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lask\magnit\template\"/>
    </mc:Choice>
  </mc:AlternateContent>
  <xr:revisionPtr revIDLastSave="0" documentId="13_ncr:1_{78941E2A-DA16-4174-AFB8-30F3E959AFE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ТН" sheetId="7" r:id="rId1"/>
    <sheet name="Талоны" sheetId="9" state="hidden" r:id="rId2"/>
    <sheet name="Виды услуг" sheetId="10" state="hidden" r:id="rId3"/>
    <sheet name="Отчет по полигону" sheetId="11" state="hidden" r:id="rId4"/>
    <sheet name="Номера авто" sheetId="12" state="hidden" r:id="rId5"/>
    <sheet name="Лист17" sheetId="13" state="hidden" r:id="rId6"/>
    <sheet name="source" sheetId="14" state="hidden" r:id="rId7"/>
    <sheet name="ТН old" sheetId="15" state="hidden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8" i="14" l="1"/>
  <c r="B2" i="14"/>
  <c r="A3" i="14" s="1"/>
  <c r="C12" i="10"/>
  <c r="A12" i="10"/>
  <c r="C11" i="10"/>
  <c r="A11" i="10"/>
  <c r="C10" i="10"/>
  <c r="A10" i="10"/>
  <c r="C9" i="10"/>
  <c r="A9" i="10"/>
  <c r="C8" i="10"/>
  <c r="A8" i="10"/>
  <c r="C7" i="10"/>
  <c r="A7" i="10"/>
  <c r="B6" i="10"/>
  <c r="A6" i="10"/>
  <c r="C5" i="10"/>
  <c r="A5" i="10"/>
  <c r="C4" i="10"/>
  <c r="B4" i="10"/>
  <c r="A4" i="10"/>
  <c r="B3" i="10"/>
  <c r="A3" i="10"/>
  <c r="C2" i="10"/>
  <c r="A2" i="10"/>
  <c r="C1" i="10"/>
  <c r="B1" i="10"/>
  <c r="A1" i="10"/>
  <c r="E8345" i="9"/>
  <c r="D8345" i="9"/>
  <c r="C8345" i="9"/>
  <c r="B8345" i="9"/>
  <c r="A8345" i="9"/>
  <c r="E8344" i="9"/>
  <c r="D8344" i="9"/>
  <c r="C8344" i="9"/>
  <c r="B8344" i="9"/>
  <c r="A8344" i="9"/>
  <c r="E8343" i="9"/>
  <c r="D8343" i="9"/>
  <c r="C8343" i="9"/>
  <c r="B8343" i="9"/>
  <c r="A8343" i="9"/>
  <c r="E8342" i="9"/>
  <c r="D8342" i="9"/>
  <c r="C8342" i="9"/>
  <c r="B8342" i="9"/>
  <c r="A8342" i="9"/>
  <c r="E8341" i="9"/>
  <c r="D8341" i="9"/>
  <c r="C8341" i="9"/>
  <c r="B8341" i="9"/>
  <c r="A8341" i="9"/>
  <c r="E8340" i="9"/>
  <c r="D8340" i="9"/>
  <c r="C8340" i="9"/>
  <c r="B8340" i="9"/>
  <c r="A8340" i="9"/>
  <c r="E8339" i="9"/>
  <c r="D8339" i="9"/>
  <c r="C8339" i="9"/>
  <c r="B8339" i="9"/>
  <c r="A8339" i="9"/>
  <c r="E8338" i="9"/>
  <c r="D8338" i="9"/>
  <c r="C8338" i="9"/>
  <c r="B8338" i="9"/>
  <c r="A8338" i="9"/>
  <c r="E8337" i="9"/>
  <c r="D8337" i="9"/>
  <c r="C8337" i="9"/>
  <c r="B8337" i="9"/>
  <c r="A8337" i="9"/>
  <c r="E8336" i="9"/>
  <c r="D8336" i="9"/>
  <c r="C8336" i="9"/>
  <c r="B8336" i="9"/>
  <c r="A8336" i="9"/>
  <c r="E8335" i="9"/>
  <c r="D8335" i="9"/>
  <c r="C8335" i="9"/>
  <c r="B8335" i="9"/>
  <c r="A8335" i="9"/>
  <c r="E8334" i="9"/>
  <c r="D8334" i="9"/>
  <c r="C8334" i="9"/>
  <c r="B8334" i="9"/>
  <c r="A8334" i="9"/>
  <c r="E8333" i="9"/>
  <c r="D8333" i="9"/>
  <c r="C8333" i="9"/>
  <c r="B8333" i="9"/>
  <c r="A8333" i="9"/>
  <c r="E8332" i="9"/>
  <c r="D8332" i="9"/>
  <c r="C8332" i="9"/>
  <c r="B8332" i="9"/>
  <c r="A8332" i="9"/>
  <c r="E8331" i="9"/>
  <c r="D8331" i="9"/>
  <c r="C8331" i="9"/>
  <c r="B8331" i="9"/>
  <c r="A8331" i="9"/>
  <c r="E8330" i="9"/>
  <c r="D8330" i="9"/>
  <c r="C8330" i="9"/>
  <c r="B8330" i="9"/>
  <c r="A8330" i="9"/>
  <c r="E8329" i="9"/>
  <c r="D8329" i="9"/>
  <c r="C8329" i="9"/>
  <c r="B8329" i="9"/>
  <c r="A8329" i="9"/>
  <c r="E8328" i="9"/>
  <c r="D8328" i="9"/>
  <c r="C8328" i="9"/>
  <c r="B8328" i="9"/>
  <c r="A8328" i="9"/>
  <c r="E8327" i="9"/>
  <c r="D8327" i="9"/>
  <c r="C8327" i="9"/>
  <c r="B8327" i="9"/>
  <c r="A8327" i="9"/>
  <c r="E8326" i="9"/>
  <c r="D8326" i="9"/>
  <c r="C8326" i="9"/>
  <c r="B8326" i="9"/>
  <c r="A8326" i="9"/>
  <c r="E8325" i="9"/>
  <c r="D8325" i="9"/>
  <c r="C8325" i="9"/>
  <c r="B8325" i="9"/>
  <c r="A8325" i="9"/>
  <c r="E8324" i="9"/>
  <c r="D8324" i="9"/>
  <c r="C8324" i="9"/>
  <c r="B8324" i="9"/>
  <c r="A8324" i="9"/>
  <c r="E8323" i="9"/>
  <c r="D8323" i="9"/>
  <c r="C8323" i="9"/>
  <c r="B8323" i="9"/>
  <c r="A8323" i="9"/>
  <c r="E8322" i="9"/>
  <c r="D8322" i="9"/>
  <c r="C8322" i="9"/>
  <c r="B8322" i="9"/>
  <c r="A8322" i="9"/>
  <c r="E8321" i="9"/>
  <c r="D8321" i="9"/>
  <c r="C8321" i="9"/>
  <c r="B8321" i="9"/>
  <c r="A8321" i="9"/>
  <c r="E8320" i="9"/>
  <c r="D8320" i="9"/>
  <c r="C8320" i="9"/>
  <c r="B8320" i="9"/>
  <c r="A8320" i="9"/>
  <c r="E8319" i="9"/>
  <c r="D8319" i="9"/>
  <c r="C8319" i="9"/>
  <c r="B8319" i="9"/>
  <c r="A8319" i="9"/>
  <c r="E8318" i="9"/>
  <c r="D8318" i="9"/>
  <c r="C8318" i="9"/>
  <c r="B8318" i="9"/>
  <c r="A8318" i="9"/>
  <c r="E8317" i="9"/>
  <c r="D8317" i="9"/>
  <c r="C8317" i="9"/>
  <c r="B8317" i="9"/>
  <c r="A8317" i="9"/>
  <c r="E8316" i="9"/>
  <c r="D8316" i="9"/>
  <c r="C8316" i="9"/>
  <c r="B8316" i="9"/>
  <c r="A8316" i="9"/>
  <c r="E8315" i="9"/>
  <c r="D8315" i="9"/>
  <c r="C8315" i="9"/>
  <c r="B8315" i="9"/>
  <c r="A8315" i="9"/>
  <c r="E8314" i="9"/>
  <c r="D8314" i="9"/>
  <c r="C8314" i="9"/>
  <c r="B8314" i="9"/>
  <c r="A8314" i="9"/>
  <c r="E8313" i="9"/>
  <c r="D8313" i="9"/>
  <c r="C8313" i="9"/>
  <c r="B8313" i="9"/>
  <c r="A8313" i="9"/>
  <c r="E8312" i="9"/>
  <c r="D8312" i="9"/>
  <c r="C8312" i="9"/>
  <c r="B8312" i="9"/>
  <c r="A8312" i="9"/>
  <c r="E8311" i="9"/>
  <c r="D8311" i="9"/>
  <c r="C8311" i="9"/>
  <c r="B8311" i="9"/>
  <c r="A8311" i="9"/>
  <c r="E8310" i="9"/>
  <c r="D8310" i="9"/>
  <c r="C8310" i="9"/>
  <c r="B8310" i="9"/>
  <c r="A8310" i="9"/>
  <c r="E8309" i="9"/>
  <c r="D8309" i="9"/>
  <c r="C8309" i="9"/>
  <c r="B8309" i="9"/>
  <c r="A8309" i="9"/>
  <c r="E8308" i="9"/>
  <c r="D8308" i="9"/>
  <c r="C8308" i="9"/>
  <c r="B8308" i="9"/>
  <c r="A8308" i="9"/>
  <c r="E8307" i="9"/>
  <c r="D8307" i="9"/>
  <c r="C8307" i="9"/>
  <c r="B8307" i="9"/>
  <c r="A8307" i="9"/>
  <c r="E8306" i="9"/>
  <c r="D8306" i="9"/>
  <c r="C8306" i="9"/>
  <c r="B8306" i="9"/>
  <c r="A8306" i="9"/>
  <c r="E8305" i="9"/>
  <c r="D8305" i="9"/>
  <c r="C8305" i="9"/>
  <c r="B8305" i="9"/>
  <c r="A8305" i="9"/>
  <c r="E8304" i="9"/>
  <c r="D8304" i="9"/>
  <c r="C8304" i="9"/>
  <c r="B8304" i="9"/>
  <c r="A8304" i="9"/>
  <c r="E8303" i="9"/>
  <c r="D8303" i="9"/>
  <c r="C8303" i="9"/>
  <c r="B8303" i="9"/>
  <c r="A8303" i="9"/>
  <c r="E8302" i="9"/>
  <c r="D8302" i="9"/>
  <c r="C8302" i="9"/>
  <c r="B8302" i="9"/>
  <c r="A8302" i="9"/>
  <c r="E8301" i="9"/>
  <c r="D8301" i="9"/>
  <c r="C8301" i="9"/>
  <c r="B8301" i="9"/>
  <c r="A8301" i="9"/>
  <c r="E8300" i="9"/>
  <c r="D8300" i="9"/>
  <c r="C8300" i="9"/>
  <c r="B8300" i="9"/>
  <c r="A8300" i="9"/>
  <c r="E8299" i="9"/>
  <c r="D8299" i="9"/>
  <c r="C8299" i="9"/>
  <c r="B8299" i="9"/>
  <c r="A8299" i="9"/>
  <c r="E8298" i="9"/>
  <c r="D8298" i="9"/>
  <c r="C8298" i="9"/>
  <c r="B8298" i="9"/>
  <c r="A8298" i="9"/>
  <c r="E8297" i="9"/>
  <c r="D8297" i="9"/>
  <c r="C8297" i="9"/>
  <c r="B8297" i="9"/>
  <c r="A8297" i="9"/>
  <c r="E8296" i="9"/>
  <c r="D8296" i="9"/>
  <c r="C8296" i="9"/>
  <c r="B8296" i="9"/>
  <c r="A8296" i="9"/>
  <c r="E8295" i="9"/>
  <c r="D8295" i="9"/>
  <c r="C8295" i="9"/>
  <c r="B8295" i="9"/>
  <c r="A8295" i="9"/>
  <c r="E8294" i="9"/>
  <c r="D8294" i="9"/>
  <c r="C8294" i="9"/>
  <c r="B8294" i="9"/>
  <c r="A8294" i="9"/>
  <c r="E8293" i="9"/>
  <c r="D8293" i="9"/>
  <c r="C8293" i="9"/>
  <c r="B8293" i="9"/>
  <c r="A8293" i="9"/>
  <c r="E8292" i="9"/>
  <c r="D8292" i="9"/>
  <c r="C8292" i="9"/>
  <c r="B8292" i="9"/>
  <c r="A8292" i="9"/>
  <c r="E8291" i="9"/>
  <c r="D8291" i="9"/>
  <c r="C8291" i="9"/>
  <c r="B8291" i="9"/>
  <c r="A8291" i="9"/>
  <c r="E8290" i="9"/>
  <c r="D8290" i="9"/>
  <c r="C8290" i="9"/>
  <c r="B8290" i="9"/>
  <c r="A8290" i="9"/>
  <c r="E8289" i="9"/>
  <c r="D8289" i="9"/>
  <c r="C8289" i="9"/>
  <c r="B8289" i="9"/>
  <c r="A8289" i="9"/>
  <c r="E8288" i="9"/>
  <c r="D8288" i="9"/>
  <c r="C8288" i="9"/>
  <c r="B8288" i="9"/>
  <c r="A8288" i="9"/>
  <c r="E8287" i="9"/>
  <c r="D8287" i="9"/>
  <c r="C8287" i="9"/>
  <c r="B8287" i="9"/>
  <c r="A8287" i="9"/>
  <c r="E8286" i="9"/>
  <c r="D8286" i="9"/>
  <c r="C8286" i="9"/>
  <c r="B8286" i="9"/>
  <c r="A8286" i="9"/>
  <c r="E8285" i="9"/>
  <c r="D8285" i="9"/>
  <c r="C8285" i="9"/>
  <c r="B8285" i="9"/>
  <c r="A8285" i="9"/>
  <c r="E8284" i="9"/>
  <c r="D8284" i="9"/>
  <c r="C8284" i="9"/>
  <c r="B8284" i="9"/>
  <c r="A8284" i="9"/>
  <c r="E8283" i="9"/>
  <c r="D8283" i="9"/>
  <c r="C8283" i="9"/>
  <c r="B8283" i="9"/>
  <c r="A8283" i="9"/>
  <c r="E8282" i="9"/>
  <c r="D8282" i="9"/>
  <c r="C8282" i="9"/>
  <c r="B8282" i="9"/>
  <c r="A8282" i="9"/>
  <c r="E8281" i="9"/>
  <c r="D8281" i="9"/>
  <c r="C8281" i="9"/>
  <c r="B8281" i="9"/>
  <c r="A8281" i="9"/>
  <c r="E8280" i="9"/>
  <c r="D8280" i="9"/>
  <c r="C8280" i="9"/>
  <c r="B8280" i="9"/>
  <c r="A8280" i="9"/>
  <c r="E8279" i="9"/>
  <c r="D8279" i="9"/>
  <c r="C8279" i="9"/>
  <c r="B8279" i="9"/>
  <c r="A8279" i="9"/>
  <c r="E8278" i="9"/>
  <c r="D8278" i="9"/>
  <c r="C8278" i="9"/>
  <c r="B8278" i="9"/>
  <c r="A8278" i="9"/>
  <c r="E8277" i="9"/>
  <c r="D8277" i="9"/>
  <c r="C8277" i="9"/>
  <c r="B8277" i="9"/>
  <c r="A8277" i="9"/>
  <c r="E8276" i="9"/>
  <c r="D8276" i="9"/>
  <c r="C8276" i="9"/>
  <c r="B8276" i="9"/>
  <c r="A8276" i="9"/>
  <c r="E8275" i="9"/>
  <c r="D8275" i="9"/>
  <c r="C8275" i="9"/>
  <c r="B8275" i="9"/>
  <c r="A8275" i="9"/>
  <c r="E8274" i="9"/>
  <c r="D8274" i="9"/>
  <c r="C8274" i="9"/>
  <c r="B8274" i="9"/>
  <c r="A8274" i="9"/>
  <c r="E8273" i="9"/>
  <c r="D8273" i="9"/>
  <c r="C8273" i="9"/>
  <c r="B8273" i="9"/>
  <c r="A8273" i="9"/>
  <c r="E8272" i="9"/>
  <c r="D8272" i="9"/>
  <c r="C8272" i="9"/>
  <c r="B8272" i="9"/>
  <c r="A8272" i="9"/>
  <c r="E8271" i="9"/>
  <c r="D8271" i="9"/>
  <c r="C8271" i="9"/>
  <c r="B8271" i="9"/>
  <c r="A8271" i="9"/>
  <c r="E8270" i="9"/>
  <c r="D8270" i="9"/>
  <c r="C8270" i="9"/>
  <c r="B8270" i="9"/>
  <c r="A8270" i="9"/>
  <c r="E8269" i="9"/>
  <c r="D8269" i="9"/>
  <c r="C8269" i="9"/>
  <c r="B8269" i="9"/>
  <c r="A8269" i="9"/>
  <c r="E8268" i="9"/>
  <c r="D8268" i="9"/>
  <c r="C8268" i="9"/>
  <c r="B8268" i="9"/>
  <c r="A8268" i="9"/>
  <c r="E8267" i="9"/>
  <c r="D8267" i="9"/>
  <c r="C8267" i="9"/>
  <c r="B8267" i="9"/>
  <c r="A8267" i="9"/>
  <c r="E8266" i="9"/>
  <c r="D8266" i="9"/>
  <c r="C8266" i="9"/>
  <c r="B8266" i="9"/>
  <c r="A8266" i="9"/>
  <c r="E8265" i="9"/>
  <c r="D8265" i="9"/>
  <c r="C8265" i="9"/>
  <c r="B8265" i="9"/>
  <c r="A8265" i="9"/>
  <c r="E8264" i="9"/>
  <c r="D8264" i="9"/>
  <c r="C8264" i="9"/>
  <c r="B8264" i="9"/>
  <c r="A8264" i="9"/>
  <c r="E8263" i="9"/>
  <c r="D8263" i="9"/>
  <c r="C8263" i="9"/>
  <c r="B8263" i="9"/>
  <c r="A8263" i="9"/>
  <c r="E8262" i="9"/>
  <c r="D8262" i="9"/>
  <c r="C8262" i="9"/>
  <c r="B8262" i="9"/>
  <c r="A8262" i="9"/>
  <c r="E8261" i="9"/>
  <c r="D8261" i="9"/>
  <c r="C8261" i="9"/>
  <c r="B8261" i="9"/>
  <c r="A8261" i="9"/>
  <c r="E8260" i="9"/>
  <c r="D8260" i="9"/>
  <c r="C8260" i="9"/>
  <c r="B8260" i="9"/>
  <c r="A8260" i="9"/>
  <c r="E8259" i="9"/>
  <c r="D8259" i="9"/>
  <c r="C8259" i="9"/>
  <c r="B8259" i="9"/>
  <c r="A8259" i="9"/>
  <c r="E8258" i="9"/>
  <c r="D8258" i="9"/>
  <c r="C8258" i="9"/>
  <c r="B8258" i="9"/>
  <c r="A8258" i="9"/>
  <c r="E8257" i="9"/>
  <c r="D8257" i="9"/>
  <c r="C8257" i="9"/>
  <c r="B8257" i="9"/>
  <c r="A8257" i="9"/>
  <c r="E8256" i="9"/>
  <c r="D8256" i="9"/>
  <c r="C8256" i="9"/>
  <c r="B8256" i="9"/>
  <c r="A8256" i="9"/>
  <c r="E8255" i="9"/>
  <c r="D8255" i="9"/>
  <c r="C8255" i="9"/>
  <c r="B8255" i="9"/>
  <c r="A8255" i="9"/>
  <c r="E8254" i="9"/>
  <c r="D8254" i="9"/>
  <c r="C8254" i="9"/>
  <c r="B8254" i="9"/>
  <c r="A8254" i="9"/>
  <c r="E8253" i="9"/>
  <c r="D8253" i="9"/>
  <c r="C8253" i="9"/>
  <c r="B8253" i="9"/>
  <c r="A8253" i="9"/>
  <c r="E8252" i="9"/>
  <c r="D8252" i="9"/>
  <c r="C8252" i="9"/>
  <c r="B8252" i="9"/>
  <c r="A8252" i="9"/>
  <c r="E8251" i="9"/>
  <c r="D8251" i="9"/>
  <c r="C8251" i="9"/>
  <c r="B8251" i="9"/>
  <c r="A8251" i="9"/>
  <c r="E8250" i="9"/>
  <c r="D8250" i="9"/>
  <c r="C8250" i="9"/>
  <c r="B8250" i="9"/>
  <c r="A8250" i="9"/>
  <c r="E8249" i="9"/>
  <c r="D8249" i="9"/>
  <c r="C8249" i="9"/>
  <c r="B8249" i="9"/>
  <c r="A8249" i="9"/>
  <c r="E8248" i="9"/>
  <c r="D8248" i="9"/>
  <c r="C8248" i="9"/>
  <c r="B8248" i="9"/>
  <c r="A8248" i="9"/>
  <c r="E8247" i="9"/>
  <c r="D8247" i="9"/>
  <c r="C8247" i="9"/>
  <c r="B8247" i="9"/>
  <c r="A8247" i="9"/>
  <c r="E8246" i="9"/>
  <c r="D8246" i="9"/>
  <c r="C8246" i="9"/>
  <c r="B8246" i="9"/>
  <c r="A8246" i="9"/>
  <c r="E8245" i="9"/>
  <c r="D8245" i="9"/>
  <c r="C8245" i="9"/>
  <c r="B8245" i="9"/>
  <c r="A8245" i="9"/>
  <c r="E8244" i="9"/>
  <c r="D8244" i="9"/>
  <c r="C8244" i="9"/>
  <c r="B8244" i="9"/>
  <c r="A8244" i="9"/>
  <c r="E8243" i="9"/>
  <c r="D8243" i="9"/>
  <c r="C8243" i="9"/>
  <c r="B8243" i="9"/>
  <c r="A8243" i="9"/>
  <c r="E8242" i="9"/>
  <c r="D8242" i="9"/>
  <c r="C8242" i="9"/>
  <c r="B8242" i="9"/>
  <c r="A8242" i="9"/>
  <c r="E8241" i="9"/>
  <c r="D8241" i="9"/>
  <c r="C8241" i="9"/>
  <c r="B8241" i="9"/>
  <c r="A8241" i="9"/>
  <c r="E8240" i="9"/>
  <c r="D8240" i="9"/>
  <c r="C8240" i="9"/>
  <c r="B8240" i="9"/>
  <c r="A8240" i="9"/>
  <c r="E8239" i="9"/>
  <c r="D8239" i="9"/>
  <c r="C8239" i="9"/>
  <c r="B8239" i="9"/>
  <c r="A8239" i="9"/>
  <c r="E8238" i="9"/>
  <c r="D8238" i="9"/>
  <c r="C8238" i="9"/>
  <c r="B8238" i="9"/>
  <c r="A8238" i="9"/>
  <c r="E8237" i="9"/>
  <c r="D8237" i="9"/>
  <c r="C8237" i="9"/>
  <c r="B8237" i="9"/>
  <c r="A8237" i="9"/>
  <c r="E8236" i="9"/>
  <c r="D8236" i="9"/>
  <c r="C8236" i="9"/>
  <c r="B8236" i="9"/>
  <c r="A8236" i="9"/>
  <c r="E8235" i="9"/>
  <c r="D8235" i="9"/>
  <c r="C8235" i="9"/>
  <c r="B8235" i="9"/>
  <c r="A8235" i="9"/>
  <c r="E8234" i="9"/>
  <c r="D8234" i="9"/>
  <c r="C8234" i="9"/>
  <c r="B8234" i="9"/>
  <c r="A8234" i="9"/>
  <c r="E8233" i="9"/>
  <c r="D8233" i="9"/>
  <c r="C8233" i="9"/>
  <c r="B8233" i="9"/>
  <c r="A8233" i="9"/>
  <c r="E8232" i="9"/>
  <c r="D8232" i="9"/>
  <c r="C8232" i="9"/>
  <c r="B8232" i="9"/>
  <c r="A8232" i="9"/>
  <c r="E8231" i="9"/>
  <c r="D8231" i="9"/>
  <c r="C8231" i="9"/>
  <c r="B8231" i="9"/>
  <c r="A8231" i="9"/>
  <c r="E8230" i="9"/>
  <c r="D8230" i="9"/>
  <c r="C8230" i="9"/>
  <c r="B8230" i="9"/>
  <c r="A8230" i="9"/>
  <c r="E8229" i="9"/>
  <c r="D8229" i="9"/>
  <c r="C8229" i="9"/>
  <c r="B8229" i="9"/>
  <c r="A8229" i="9"/>
  <c r="E8228" i="9"/>
  <c r="D8228" i="9"/>
  <c r="C8228" i="9"/>
  <c r="B8228" i="9"/>
  <c r="A8228" i="9"/>
  <c r="E8227" i="9"/>
  <c r="D8227" i="9"/>
  <c r="C8227" i="9"/>
  <c r="B8227" i="9"/>
  <c r="A8227" i="9"/>
  <c r="E8226" i="9"/>
  <c r="D8226" i="9"/>
  <c r="C8226" i="9"/>
  <c r="B8226" i="9"/>
  <c r="A8226" i="9"/>
  <c r="E8225" i="9"/>
  <c r="D8225" i="9"/>
  <c r="C8225" i="9"/>
  <c r="B8225" i="9"/>
  <c r="A8225" i="9"/>
  <c r="E8224" i="9"/>
  <c r="D8224" i="9"/>
  <c r="C8224" i="9"/>
  <c r="B8224" i="9"/>
  <c r="A8224" i="9"/>
  <c r="E8223" i="9"/>
  <c r="D8223" i="9"/>
  <c r="C8223" i="9"/>
  <c r="B8223" i="9"/>
  <c r="A8223" i="9"/>
  <c r="E8222" i="9"/>
  <c r="D8222" i="9"/>
  <c r="C8222" i="9"/>
  <c r="B8222" i="9"/>
  <c r="A8222" i="9"/>
  <c r="E8221" i="9"/>
  <c r="D8221" i="9"/>
  <c r="C8221" i="9"/>
  <c r="B8221" i="9"/>
  <c r="A8221" i="9"/>
  <c r="E8220" i="9"/>
  <c r="D8220" i="9"/>
  <c r="C8220" i="9"/>
  <c r="B8220" i="9"/>
  <c r="A8220" i="9"/>
  <c r="E8219" i="9"/>
  <c r="D8219" i="9"/>
  <c r="C8219" i="9"/>
  <c r="B8219" i="9"/>
  <c r="A8219" i="9"/>
  <c r="E8218" i="9"/>
  <c r="D8218" i="9"/>
  <c r="C8218" i="9"/>
  <c r="B8218" i="9"/>
  <c r="A8218" i="9"/>
  <c r="E8217" i="9"/>
  <c r="D8217" i="9"/>
  <c r="C8217" i="9"/>
  <c r="B8217" i="9"/>
  <c r="A8217" i="9"/>
  <c r="E8216" i="9"/>
  <c r="D8216" i="9"/>
  <c r="C8216" i="9"/>
  <c r="B8216" i="9"/>
  <c r="A8216" i="9"/>
  <c r="E8215" i="9"/>
  <c r="D8215" i="9"/>
  <c r="C8215" i="9"/>
  <c r="B8215" i="9"/>
  <c r="A8215" i="9"/>
  <c r="E8214" i="9"/>
  <c r="D8214" i="9"/>
  <c r="C8214" i="9"/>
  <c r="B8214" i="9"/>
  <c r="A8214" i="9"/>
  <c r="E8213" i="9"/>
  <c r="D8213" i="9"/>
  <c r="C8213" i="9"/>
  <c r="B8213" i="9"/>
  <c r="A8213" i="9"/>
  <c r="E8212" i="9"/>
  <c r="D8212" i="9"/>
  <c r="C8212" i="9"/>
  <c r="B8212" i="9"/>
  <c r="A8212" i="9"/>
  <c r="E8211" i="9"/>
  <c r="D8211" i="9"/>
  <c r="C8211" i="9"/>
  <c r="B8211" i="9"/>
  <c r="A8211" i="9"/>
  <c r="E8210" i="9"/>
  <c r="D8210" i="9"/>
  <c r="C8210" i="9"/>
  <c r="B8210" i="9"/>
  <c r="A8210" i="9"/>
  <c r="E8209" i="9"/>
  <c r="D8209" i="9"/>
  <c r="C8209" i="9"/>
  <c r="B8209" i="9"/>
  <c r="A8209" i="9"/>
  <c r="E8208" i="9"/>
  <c r="D8208" i="9"/>
  <c r="C8208" i="9"/>
  <c r="B8208" i="9"/>
  <c r="A8208" i="9"/>
  <c r="E8207" i="9"/>
  <c r="D8207" i="9"/>
  <c r="C8207" i="9"/>
  <c r="B8207" i="9"/>
  <c r="A8207" i="9"/>
  <c r="E8206" i="9"/>
  <c r="D8206" i="9"/>
  <c r="C8206" i="9"/>
  <c r="B8206" i="9"/>
  <c r="A8206" i="9"/>
  <c r="E8205" i="9"/>
  <c r="D8205" i="9"/>
  <c r="C8205" i="9"/>
  <c r="B8205" i="9"/>
  <c r="A8205" i="9"/>
  <c r="E8204" i="9"/>
  <c r="D8204" i="9"/>
  <c r="C8204" i="9"/>
  <c r="B8204" i="9"/>
  <c r="A8204" i="9"/>
  <c r="E8203" i="9"/>
  <c r="D8203" i="9"/>
  <c r="C8203" i="9"/>
  <c r="B8203" i="9"/>
  <c r="A8203" i="9"/>
  <c r="E8202" i="9"/>
  <c r="D8202" i="9"/>
  <c r="C8202" i="9"/>
  <c r="B8202" i="9"/>
  <c r="A8202" i="9"/>
  <c r="E8201" i="9"/>
  <c r="D8201" i="9"/>
  <c r="C8201" i="9"/>
  <c r="B8201" i="9"/>
  <c r="A8201" i="9"/>
  <c r="E8200" i="9"/>
  <c r="D8200" i="9"/>
  <c r="C8200" i="9"/>
  <c r="B8200" i="9"/>
  <c r="A8200" i="9"/>
  <c r="E8199" i="9"/>
  <c r="D8199" i="9"/>
  <c r="C8199" i="9"/>
  <c r="B8199" i="9"/>
  <c r="A8199" i="9"/>
  <c r="E8198" i="9"/>
  <c r="D8198" i="9"/>
  <c r="C8198" i="9"/>
  <c r="B8198" i="9"/>
  <c r="A8198" i="9"/>
  <c r="E8197" i="9"/>
  <c r="D8197" i="9"/>
  <c r="C8197" i="9"/>
  <c r="B8197" i="9"/>
  <c r="A8197" i="9"/>
  <c r="E8196" i="9"/>
  <c r="D8196" i="9"/>
  <c r="C8196" i="9"/>
  <c r="B8196" i="9"/>
  <c r="A8196" i="9"/>
  <c r="E8195" i="9"/>
  <c r="D8195" i="9"/>
  <c r="C8195" i="9"/>
  <c r="B8195" i="9"/>
  <c r="A8195" i="9"/>
  <c r="E8194" i="9"/>
  <c r="D8194" i="9"/>
  <c r="C8194" i="9"/>
  <c r="B8194" i="9"/>
  <c r="A8194" i="9"/>
  <c r="E8193" i="9"/>
  <c r="D8193" i="9"/>
  <c r="C8193" i="9"/>
  <c r="B8193" i="9"/>
  <c r="A8193" i="9"/>
  <c r="E8192" i="9"/>
  <c r="D8192" i="9"/>
  <c r="C8192" i="9"/>
  <c r="B8192" i="9"/>
  <c r="A8192" i="9"/>
  <c r="E8191" i="9"/>
  <c r="D8191" i="9"/>
  <c r="C8191" i="9"/>
  <c r="B8191" i="9"/>
  <c r="A8191" i="9"/>
  <c r="E8190" i="9"/>
  <c r="D8190" i="9"/>
  <c r="C8190" i="9"/>
  <c r="B8190" i="9"/>
  <c r="A8190" i="9"/>
  <c r="E8189" i="9"/>
  <c r="D8189" i="9"/>
  <c r="C8189" i="9"/>
  <c r="B8189" i="9"/>
  <c r="A8189" i="9"/>
  <c r="E8188" i="9"/>
  <c r="D8188" i="9"/>
  <c r="C8188" i="9"/>
  <c r="B8188" i="9"/>
  <c r="A8188" i="9"/>
  <c r="E8187" i="9"/>
  <c r="D8187" i="9"/>
  <c r="C8187" i="9"/>
  <c r="B8187" i="9"/>
  <c r="A8187" i="9"/>
  <c r="E8186" i="9"/>
  <c r="D8186" i="9"/>
  <c r="C8186" i="9"/>
  <c r="B8186" i="9"/>
  <c r="A8186" i="9"/>
  <c r="E8185" i="9"/>
  <c r="D8185" i="9"/>
  <c r="C8185" i="9"/>
  <c r="B8185" i="9"/>
  <c r="A8185" i="9"/>
  <c r="E8184" i="9"/>
  <c r="D8184" i="9"/>
  <c r="C8184" i="9"/>
  <c r="B8184" i="9"/>
  <c r="A8184" i="9"/>
  <c r="E8183" i="9"/>
  <c r="D8183" i="9"/>
  <c r="C8183" i="9"/>
  <c r="B8183" i="9"/>
  <c r="A8183" i="9"/>
  <c r="E8182" i="9"/>
  <c r="D8182" i="9"/>
  <c r="C8182" i="9"/>
  <c r="B8182" i="9"/>
  <c r="A8182" i="9"/>
  <c r="E8181" i="9"/>
  <c r="D8181" i="9"/>
  <c r="C8181" i="9"/>
  <c r="B8181" i="9"/>
  <c r="A8181" i="9"/>
  <c r="E8180" i="9"/>
  <c r="D8180" i="9"/>
  <c r="C8180" i="9"/>
  <c r="B8180" i="9"/>
  <c r="A8180" i="9"/>
  <c r="E8179" i="9"/>
  <c r="D8179" i="9"/>
  <c r="C8179" i="9"/>
  <c r="B8179" i="9"/>
  <c r="A8179" i="9"/>
  <c r="E8178" i="9"/>
  <c r="D8178" i="9"/>
  <c r="C8178" i="9"/>
  <c r="B8178" i="9"/>
  <c r="A8178" i="9"/>
  <c r="E8177" i="9"/>
  <c r="D8177" i="9"/>
  <c r="C8177" i="9"/>
  <c r="B8177" i="9"/>
  <c r="A8177" i="9"/>
  <c r="E8176" i="9"/>
  <c r="D8176" i="9"/>
  <c r="C8176" i="9"/>
  <c r="B8176" i="9"/>
  <c r="A8176" i="9"/>
  <c r="E8175" i="9"/>
  <c r="D8175" i="9"/>
  <c r="C8175" i="9"/>
  <c r="B8175" i="9"/>
  <c r="A8175" i="9"/>
  <c r="E8174" i="9"/>
  <c r="D8174" i="9"/>
  <c r="C8174" i="9"/>
  <c r="B8174" i="9"/>
  <c r="A8174" i="9"/>
  <c r="E8173" i="9"/>
  <c r="D8173" i="9"/>
  <c r="C8173" i="9"/>
  <c r="B8173" i="9"/>
  <c r="A8173" i="9"/>
  <c r="E8172" i="9"/>
  <c r="D8172" i="9"/>
  <c r="C8172" i="9"/>
  <c r="B8172" i="9"/>
  <c r="A8172" i="9"/>
  <c r="E8171" i="9"/>
  <c r="D8171" i="9"/>
  <c r="C8171" i="9"/>
  <c r="B8171" i="9"/>
  <c r="A8171" i="9"/>
  <c r="E8170" i="9"/>
  <c r="D8170" i="9"/>
  <c r="C8170" i="9"/>
  <c r="B8170" i="9"/>
  <c r="A8170" i="9"/>
  <c r="E8169" i="9"/>
  <c r="D8169" i="9"/>
  <c r="C8169" i="9"/>
  <c r="B8169" i="9"/>
  <c r="A8169" i="9"/>
  <c r="E8168" i="9"/>
  <c r="D8168" i="9"/>
  <c r="C8168" i="9"/>
  <c r="B8168" i="9"/>
  <c r="A8168" i="9"/>
  <c r="E8167" i="9"/>
  <c r="D8167" i="9"/>
  <c r="C8167" i="9"/>
  <c r="B8167" i="9"/>
  <c r="A8167" i="9"/>
  <c r="E8166" i="9"/>
  <c r="D8166" i="9"/>
  <c r="C8166" i="9"/>
  <c r="B8166" i="9"/>
  <c r="A8166" i="9"/>
  <c r="E8165" i="9"/>
  <c r="D8165" i="9"/>
  <c r="C8165" i="9"/>
  <c r="B8165" i="9"/>
  <c r="A8165" i="9"/>
  <c r="E8164" i="9"/>
  <c r="D8164" i="9"/>
  <c r="C8164" i="9"/>
  <c r="B8164" i="9"/>
  <c r="A8164" i="9"/>
  <c r="E8163" i="9"/>
  <c r="D8163" i="9"/>
  <c r="C8163" i="9"/>
  <c r="B8163" i="9"/>
  <c r="A8163" i="9"/>
  <c r="E8162" i="9"/>
  <c r="D8162" i="9"/>
  <c r="C8162" i="9"/>
  <c r="B8162" i="9"/>
  <c r="A8162" i="9"/>
  <c r="E8161" i="9"/>
  <c r="D8161" i="9"/>
  <c r="C8161" i="9"/>
  <c r="B8161" i="9"/>
  <c r="A8161" i="9"/>
  <c r="E8160" i="9"/>
  <c r="D8160" i="9"/>
  <c r="C8160" i="9"/>
  <c r="B8160" i="9"/>
  <c r="A8160" i="9"/>
  <c r="E8159" i="9"/>
  <c r="D8159" i="9"/>
  <c r="C8159" i="9"/>
  <c r="B8159" i="9"/>
  <c r="A8159" i="9"/>
  <c r="E8158" i="9"/>
  <c r="D8158" i="9"/>
  <c r="C8158" i="9"/>
  <c r="B8158" i="9"/>
  <c r="A8158" i="9"/>
  <c r="E8157" i="9"/>
  <c r="D8157" i="9"/>
  <c r="C8157" i="9"/>
  <c r="B8157" i="9"/>
  <c r="A8157" i="9"/>
  <c r="E8156" i="9"/>
  <c r="D8156" i="9"/>
  <c r="C8156" i="9"/>
  <c r="B8156" i="9"/>
  <c r="A8156" i="9"/>
  <c r="E8155" i="9"/>
  <c r="D8155" i="9"/>
  <c r="C8155" i="9"/>
  <c r="B8155" i="9"/>
  <c r="A8155" i="9"/>
  <c r="E8154" i="9"/>
  <c r="D8154" i="9"/>
  <c r="C8154" i="9"/>
  <c r="B8154" i="9"/>
  <c r="A8154" i="9"/>
  <c r="E8153" i="9"/>
  <c r="D8153" i="9"/>
  <c r="C8153" i="9"/>
  <c r="B8153" i="9"/>
  <c r="A8153" i="9"/>
  <c r="E8152" i="9"/>
  <c r="D8152" i="9"/>
  <c r="C8152" i="9"/>
  <c r="B8152" i="9"/>
  <c r="A8152" i="9"/>
  <c r="E8151" i="9"/>
  <c r="D8151" i="9"/>
  <c r="C8151" i="9"/>
  <c r="B8151" i="9"/>
  <c r="A8151" i="9"/>
  <c r="E8150" i="9"/>
  <c r="D8150" i="9"/>
  <c r="C8150" i="9"/>
  <c r="B8150" i="9"/>
  <c r="A8150" i="9"/>
  <c r="E8149" i="9"/>
  <c r="D8149" i="9"/>
  <c r="C8149" i="9"/>
  <c r="B8149" i="9"/>
  <c r="A8149" i="9"/>
  <c r="E8148" i="9"/>
  <c r="D8148" i="9"/>
  <c r="C8148" i="9"/>
  <c r="B8148" i="9"/>
  <c r="A8148" i="9"/>
  <c r="E8147" i="9"/>
  <c r="D8147" i="9"/>
  <c r="C8147" i="9"/>
  <c r="B8147" i="9"/>
  <c r="A8147" i="9"/>
  <c r="E8146" i="9"/>
  <c r="D8146" i="9"/>
  <c r="C8146" i="9"/>
  <c r="B8146" i="9"/>
  <c r="A8146" i="9"/>
  <c r="E8145" i="9"/>
  <c r="D8145" i="9"/>
  <c r="C8145" i="9"/>
  <c r="B8145" i="9"/>
  <c r="A8145" i="9"/>
  <c r="E8144" i="9"/>
  <c r="D8144" i="9"/>
  <c r="C8144" i="9"/>
  <c r="B8144" i="9"/>
  <c r="A8144" i="9"/>
  <c r="E8143" i="9"/>
  <c r="D8143" i="9"/>
  <c r="C8143" i="9"/>
  <c r="B8143" i="9"/>
  <c r="A8143" i="9"/>
  <c r="E8142" i="9"/>
  <c r="D8142" i="9"/>
  <c r="C8142" i="9"/>
  <c r="B8142" i="9"/>
  <c r="A8142" i="9"/>
  <c r="E8141" i="9"/>
  <c r="D8141" i="9"/>
  <c r="C8141" i="9"/>
  <c r="B8141" i="9"/>
  <c r="A8141" i="9"/>
  <c r="E8140" i="9"/>
  <c r="D8140" i="9"/>
  <c r="C8140" i="9"/>
  <c r="B8140" i="9"/>
  <c r="A8140" i="9"/>
  <c r="E8139" i="9"/>
  <c r="D8139" i="9"/>
  <c r="C8139" i="9"/>
  <c r="B8139" i="9"/>
  <c r="A8139" i="9"/>
  <c r="E8138" i="9"/>
  <c r="D8138" i="9"/>
  <c r="C8138" i="9"/>
  <c r="B8138" i="9"/>
  <c r="A8138" i="9"/>
  <c r="E8137" i="9"/>
  <c r="D8137" i="9"/>
  <c r="C8137" i="9"/>
  <c r="B8137" i="9"/>
  <c r="A8137" i="9"/>
  <c r="E8136" i="9"/>
  <c r="D8136" i="9"/>
  <c r="C8136" i="9"/>
  <c r="B8136" i="9"/>
  <c r="A8136" i="9"/>
  <c r="E8135" i="9"/>
  <c r="D8135" i="9"/>
  <c r="C8135" i="9"/>
  <c r="B8135" i="9"/>
  <c r="A8135" i="9"/>
  <c r="E8134" i="9"/>
  <c r="D8134" i="9"/>
  <c r="C8134" i="9"/>
  <c r="B8134" i="9"/>
  <c r="A8134" i="9"/>
  <c r="E8133" i="9"/>
  <c r="D8133" i="9"/>
  <c r="C8133" i="9"/>
  <c r="B8133" i="9"/>
  <c r="A8133" i="9"/>
  <c r="E8132" i="9"/>
  <c r="D8132" i="9"/>
  <c r="C8132" i="9"/>
  <c r="B8132" i="9"/>
  <c r="A8132" i="9"/>
  <c r="E8131" i="9"/>
  <c r="D8131" i="9"/>
  <c r="C8131" i="9"/>
  <c r="B8131" i="9"/>
  <c r="A8131" i="9"/>
  <c r="E8130" i="9"/>
  <c r="D8130" i="9"/>
  <c r="C8130" i="9"/>
  <c r="B8130" i="9"/>
  <c r="A8130" i="9"/>
  <c r="E8129" i="9"/>
  <c r="D8129" i="9"/>
  <c r="C8129" i="9"/>
  <c r="B8129" i="9"/>
  <c r="A8129" i="9"/>
  <c r="E8128" i="9"/>
  <c r="D8128" i="9"/>
  <c r="C8128" i="9"/>
  <c r="B8128" i="9"/>
  <c r="A8128" i="9"/>
  <c r="E8127" i="9"/>
  <c r="D8127" i="9"/>
  <c r="C8127" i="9"/>
  <c r="B8127" i="9"/>
  <c r="A8127" i="9"/>
  <c r="E8126" i="9"/>
  <c r="D8126" i="9"/>
  <c r="C8126" i="9"/>
  <c r="B8126" i="9"/>
  <c r="A8126" i="9"/>
  <c r="E8125" i="9"/>
  <c r="D8125" i="9"/>
  <c r="C8125" i="9"/>
  <c r="B8125" i="9"/>
  <c r="A8125" i="9"/>
  <c r="E8124" i="9"/>
  <c r="D8124" i="9"/>
  <c r="C8124" i="9"/>
  <c r="B8124" i="9"/>
  <c r="A8124" i="9"/>
  <c r="E8123" i="9"/>
  <c r="D8123" i="9"/>
  <c r="C8123" i="9"/>
  <c r="B8123" i="9"/>
  <c r="A8123" i="9"/>
  <c r="E8122" i="9"/>
  <c r="D8122" i="9"/>
  <c r="C8122" i="9"/>
  <c r="B8122" i="9"/>
  <c r="A8122" i="9"/>
  <c r="E8121" i="9"/>
  <c r="D8121" i="9"/>
  <c r="C8121" i="9"/>
  <c r="B8121" i="9"/>
  <c r="A8121" i="9"/>
  <c r="E8120" i="9"/>
  <c r="D8120" i="9"/>
  <c r="C8120" i="9"/>
  <c r="B8120" i="9"/>
  <c r="A8120" i="9"/>
  <c r="E8119" i="9"/>
  <c r="D8119" i="9"/>
  <c r="C8119" i="9"/>
  <c r="B8119" i="9"/>
  <c r="A8119" i="9"/>
  <c r="E8118" i="9"/>
  <c r="D8118" i="9"/>
  <c r="C8118" i="9"/>
  <c r="B8118" i="9"/>
  <c r="A8118" i="9"/>
  <c r="E8117" i="9"/>
  <c r="D8117" i="9"/>
  <c r="C8117" i="9"/>
  <c r="B8117" i="9"/>
  <c r="A8117" i="9"/>
  <c r="E8116" i="9"/>
  <c r="D8116" i="9"/>
  <c r="C8116" i="9"/>
  <c r="B8116" i="9"/>
  <c r="A8116" i="9"/>
  <c r="E8115" i="9"/>
  <c r="D8115" i="9"/>
  <c r="C8115" i="9"/>
  <c r="B8115" i="9"/>
  <c r="A8115" i="9"/>
  <c r="E8114" i="9"/>
  <c r="D8114" i="9"/>
  <c r="C8114" i="9"/>
  <c r="B8114" i="9"/>
  <c r="A8114" i="9"/>
  <c r="E8113" i="9"/>
  <c r="D8113" i="9"/>
  <c r="C8113" i="9"/>
  <c r="B8113" i="9"/>
  <c r="A8113" i="9"/>
  <c r="E8112" i="9"/>
  <c r="D8112" i="9"/>
  <c r="C8112" i="9"/>
  <c r="B8112" i="9"/>
  <c r="A8112" i="9"/>
  <c r="E8111" i="9"/>
  <c r="D8111" i="9"/>
  <c r="C8111" i="9"/>
  <c r="B8111" i="9"/>
  <c r="A8111" i="9"/>
  <c r="E8110" i="9"/>
  <c r="D8110" i="9"/>
  <c r="C8110" i="9"/>
  <c r="B8110" i="9"/>
  <c r="A8110" i="9"/>
  <c r="E8109" i="9"/>
  <c r="D8109" i="9"/>
  <c r="C8109" i="9"/>
  <c r="B8109" i="9"/>
  <c r="A8109" i="9"/>
  <c r="E8108" i="9"/>
  <c r="D8108" i="9"/>
  <c r="C8108" i="9"/>
  <c r="B8108" i="9"/>
  <c r="A8108" i="9"/>
  <c r="E8107" i="9"/>
  <c r="D8107" i="9"/>
  <c r="C8107" i="9"/>
  <c r="B8107" i="9"/>
  <c r="A8107" i="9"/>
  <c r="E8106" i="9"/>
  <c r="D8106" i="9"/>
  <c r="C8106" i="9"/>
  <c r="B8106" i="9"/>
  <c r="A8106" i="9"/>
  <c r="E8105" i="9"/>
  <c r="D8105" i="9"/>
  <c r="C8105" i="9"/>
  <c r="B8105" i="9"/>
  <c r="A8105" i="9"/>
  <c r="E8104" i="9"/>
  <c r="D8104" i="9"/>
  <c r="C8104" i="9"/>
  <c r="B8104" i="9"/>
  <c r="A8104" i="9"/>
  <c r="E8103" i="9"/>
  <c r="D8103" i="9"/>
  <c r="C8103" i="9"/>
  <c r="B8103" i="9"/>
  <c r="A8103" i="9"/>
  <c r="E8102" i="9"/>
  <c r="D8102" i="9"/>
  <c r="C8102" i="9"/>
  <c r="B8102" i="9"/>
  <c r="A8102" i="9"/>
  <c r="E8101" i="9"/>
  <c r="D8101" i="9"/>
  <c r="C8101" i="9"/>
  <c r="B8101" i="9"/>
  <c r="A8101" i="9"/>
  <c r="E8100" i="9"/>
  <c r="D8100" i="9"/>
  <c r="C8100" i="9"/>
  <c r="B8100" i="9"/>
  <c r="A8100" i="9"/>
  <c r="E8099" i="9"/>
  <c r="D8099" i="9"/>
  <c r="C8099" i="9"/>
  <c r="B8099" i="9"/>
  <c r="A8099" i="9"/>
  <c r="E8098" i="9"/>
  <c r="D8098" i="9"/>
  <c r="C8098" i="9"/>
  <c r="B8098" i="9"/>
  <c r="A8098" i="9"/>
  <c r="E8097" i="9"/>
  <c r="D8097" i="9"/>
  <c r="C8097" i="9"/>
  <c r="B8097" i="9"/>
  <c r="A8097" i="9"/>
  <c r="E8096" i="9"/>
  <c r="D8096" i="9"/>
  <c r="C8096" i="9"/>
  <c r="B8096" i="9"/>
  <c r="A8096" i="9"/>
  <c r="E8095" i="9"/>
  <c r="D8095" i="9"/>
  <c r="C8095" i="9"/>
  <c r="B8095" i="9"/>
  <c r="A8095" i="9"/>
  <c r="E8094" i="9"/>
  <c r="D8094" i="9"/>
  <c r="C8094" i="9"/>
  <c r="B8094" i="9"/>
  <c r="A8094" i="9"/>
  <c r="E8093" i="9"/>
  <c r="D8093" i="9"/>
  <c r="C8093" i="9"/>
  <c r="B8093" i="9"/>
  <c r="A8093" i="9"/>
  <c r="E8092" i="9"/>
  <c r="D8092" i="9"/>
  <c r="C8092" i="9"/>
  <c r="B8092" i="9"/>
  <c r="A8092" i="9"/>
  <c r="E8091" i="9"/>
  <c r="D8091" i="9"/>
  <c r="C8091" i="9"/>
  <c r="B8091" i="9"/>
  <c r="A8091" i="9"/>
  <c r="E8090" i="9"/>
  <c r="D8090" i="9"/>
  <c r="C8090" i="9"/>
  <c r="B8090" i="9"/>
  <c r="A8090" i="9"/>
  <c r="E8089" i="9"/>
  <c r="D8089" i="9"/>
  <c r="C8089" i="9"/>
  <c r="B8089" i="9"/>
  <c r="A8089" i="9"/>
  <c r="E8088" i="9"/>
  <c r="D8088" i="9"/>
  <c r="C8088" i="9"/>
  <c r="B8088" i="9"/>
  <c r="A8088" i="9"/>
  <c r="E8087" i="9"/>
  <c r="D8087" i="9"/>
  <c r="C8087" i="9"/>
  <c r="B8087" i="9"/>
  <c r="A8087" i="9"/>
  <c r="E8086" i="9"/>
  <c r="D8086" i="9"/>
  <c r="C8086" i="9"/>
  <c r="B8086" i="9"/>
  <c r="A8086" i="9"/>
  <c r="E8085" i="9"/>
  <c r="D8085" i="9"/>
  <c r="C8085" i="9"/>
  <c r="B8085" i="9"/>
  <c r="A8085" i="9"/>
  <c r="E8084" i="9"/>
  <c r="D8084" i="9"/>
  <c r="C8084" i="9"/>
  <c r="B8084" i="9"/>
  <c r="A8084" i="9"/>
  <c r="E8083" i="9"/>
  <c r="D8083" i="9"/>
  <c r="C8083" i="9"/>
  <c r="B8083" i="9"/>
  <c r="A8083" i="9"/>
  <c r="E8082" i="9"/>
  <c r="D8082" i="9"/>
  <c r="C8082" i="9"/>
  <c r="B8082" i="9"/>
  <c r="A8082" i="9"/>
  <c r="E8081" i="9"/>
  <c r="D8081" i="9"/>
  <c r="C8081" i="9"/>
  <c r="B8081" i="9"/>
  <c r="A8081" i="9"/>
  <c r="E8080" i="9"/>
  <c r="D8080" i="9"/>
  <c r="C8080" i="9"/>
  <c r="B8080" i="9"/>
  <c r="A8080" i="9"/>
  <c r="E8079" i="9"/>
  <c r="D8079" i="9"/>
  <c r="C8079" i="9"/>
  <c r="B8079" i="9"/>
  <c r="A8079" i="9"/>
  <c r="E8078" i="9"/>
  <c r="D8078" i="9"/>
  <c r="C8078" i="9"/>
  <c r="B8078" i="9"/>
  <c r="A8078" i="9"/>
  <c r="E8077" i="9"/>
  <c r="D8077" i="9"/>
  <c r="C8077" i="9"/>
  <c r="B8077" i="9"/>
  <c r="A8077" i="9"/>
  <c r="E8076" i="9"/>
  <c r="D8076" i="9"/>
  <c r="C8076" i="9"/>
  <c r="B8076" i="9"/>
  <c r="A8076" i="9"/>
  <c r="E8075" i="9"/>
  <c r="D8075" i="9"/>
  <c r="C8075" i="9"/>
  <c r="B8075" i="9"/>
  <c r="A8075" i="9"/>
  <c r="E8074" i="9"/>
  <c r="D8074" i="9"/>
  <c r="C8074" i="9"/>
  <c r="B8074" i="9"/>
  <c r="A8074" i="9"/>
  <c r="E8073" i="9"/>
  <c r="D8073" i="9"/>
  <c r="C8073" i="9"/>
  <c r="B8073" i="9"/>
  <c r="A8073" i="9"/>
  <c r="E8072" i="9"/>
  <c r="D8072" i="9"/>
  <c r="C8072" i="9"/>
  <c r="B8072" i="9"/>
  <c r="A8072" i="9"/>
  <c r="E8071" i="9"/>
  <c r="D8071" i="9"/>
  <c r="C8071" i="9"/>
  <c r="B8071" i="9"/>
  <c r="A8071" i="9"/>
  <c r="E8070" i="9"/>
  <c r="D8070" i="9"/>
  <c r="C8070" i="9"/>
  <c r="B8070" i="9"/>
  <c r="A8070" i="9"/>
  <c r="E8069" i="9"/>
  <c r="D8069" i="9"/>
  <c r="C8069" i="9"/>
  <c r="B8069" i="9"/>
  <c r="A8069" i="9"/>
  <c r="E8068" i="9"/>
  <c r="D8068" i="9"/>
  <c r="C8068" i="9"/>
  <c r="B8068" i="9"/>
  <c r="A8068" i="9"/>
  <c r="E8067" i="9"/>
  <c r="D8067" i="9"/>
  <c r="C8067" i="9"/>
  <c r="B8067" i="9"/>
  <c r="A8067" i="9"/>
  <c r="E8066" i="9"/>
  <c r="D8066" i="9"/>
  <c r="C8066" i="9"/>
  <c r="B8066" i="9"/>
  <c r="A8066" i="9"/>
  <c r="E8065" i="9"/>
  <c r="D8065" i="9"/>
  <c r="C8065" i="9"/>
  <c r="B8065" i="9"/>
  <c r="A8065" i="9"/>
  <c r="E8064" i="9"/>
  <c r="D8064" i="9"/>
  <c r="C8064" i="9"/>
  <c r="B8064" i="9"/>
  <c r="A8064" i="9"/>
  <c r="E8063" i="9"/>
  <c r="D8063" i="9"/>
  <c r="C8063" i="9"/>
  <c r="B8063" i="9"/>
  <c r="A8063" i="9"/>
  <c r="E8062" i="9"/>
  <c r="D8062" i="9"/>
  <c r="C8062" i="9"/>
  <c r="B8062" i="9"/>
  <c r="A8062" i="9"/>
  <c r="E8061" i="9"/>
  <c r="D8061" i="9"/>
  <c r="C8061" i="9"/>
  <c r="B8061" i="9"/>
  <c r="A8061" i="9"/>
  <c r="E8060" i="9"/>
  <c r="D8060" i="9"/>
  <c r="C8060" i="9"/>
  <c r="B8060" i="9"/>
  <c r="A8060" i="9"/>
  <c r="E8059" i="9"/>
  <c r="D8059" i="9"/>
  <c r="C8059" i="9"/>
  <c r="B8059" i="9"/>
  <c r="A8059" i="9"/>
  <c r="E8058" i="9"/>
  <c r="D8058" i="9"/>
  <c r="C8058" i="9"/>
  <c r="B8058" i="9"/>
  <c r="A8058" i="9"/>
  <c r="E8057" i="9"/>
  <c r="D8057" i="9"/>
  <c r="C8057" i="9"/>
  <c r="B8057" i="9"/>
  <c r="A8057" i="9"/>
  <c r="E8056" i="9"/>
  <c r="D8056" i="9"/>
  <c r="C8056" i="9"/>
  <c r="B8056" i="9"/>
  <c r="A8056" i="9"/>
  <c r="E8055" i="9"/>
  <c r="D8055" i="9"/>
  <c r="C8055" i="9"/>
  <c r="B8055" i="9"/>
  <c r="A8055" i="9"/>
  <c r="E8054" i="9"/>
  <c r="D8054" i="9"/>
  <c r="C8054" i="9"/>
  <c r="B8054" i="9"/>
  <c r="A8054" i="9"/>
  <c r="E8053" i="9"/>
  <c r="D8053" i="9"/>
  <c r="C8053" i="9"/>
  <c r="B8053" i="9"/>
  <c r="A8053" i="9"/>
  <c r="E8052" i="9"/>
  <c r="D8052" i="9"/>
  <c r="C8052" i="9"/>
  <c r="B8052" i="9"/>
  <c r="A8052" i="9"/>
  <c r="E8051" i="9"/>
  <c r="D8051" i="9"/>
  <c r="C8051" i="9"/>
  <c r="B8051" i="9"/>
  <c r="A8051" i="9"/>
  <c r="E8050" i="9"/>
  <c r="D8050" i="9"/>
  <c r="C8050" i="9"/>
  <c r="B8050" i="9"/>
  <c r="A8050" i="9"/>
  <c r="E8049" i="9"/>
  <c r="D8049" i="9"/>
  <c r="C8049" i="9"/>
  <c r="B8049" i="9"/>
  <c r="A8049" i="9"/>
  <c r="E8048" i="9"/>
  <c r="D8048" i="9"/>
  <c r="C8048" i="9"/>
  <c r="B8048" i="9"/>
  <c r="A8048" i="9"/>
  <c r="E8047" i="9"/>
  <c r="D8047" i="9"/>
  <c r="C8047" i="9"/>
  <c r="B8047" i="9"/>
  <c r="A8047" i="9"/>
  <c r="E8046" i="9"/>
  <c r="D8046" i="9"/>
  <c r="C8046" i="9"/>
  <c r="B8046" i="9"/>
  <c r="A8046" i="9"/>
  <c r="E8045" i="9"/>
  <c r="D8045" i="9"/>
  <c r="C8045" i="9"/>
  <c r="B8045" i="9"/>
  <c r="A8045" i="9"/>
  <c r="E8044" i="9"/>
  <c r="D8044" i="9"/>
  <c r="C8044" i="9"/>
  <c r="B8044" i="9"/>
  <c r="A8044" i="9"/>
  <c r="E8043" i="9"/>
  <c r="D8043" i="9"/>
  <c r="C8043" i="9"/>
  <c r="B8043" i="9"/>
  <c r="A8043" i="9"/>
  <c r="E8042" i="9"/>
  <c r="D8042" i="9"/>
  <c r="C8042" i="9"/>
  <c r="B8042" i="9"/>
  <c r="A8042" i="9"/>
  <c r="E8041" i="9"/>
  <c r="D8041" i="9"/>
  <c r="C8041" i="9"/>
  <c r="B8041" i="9"/>
  <c r="A8041" i="9"/>
  <c r="E8040" i="9"/>
  <c r="D8040" i="9"/>
  <c r="C8040" i="9"/>
  <c r="B8040" i="9"/>
  <c r="A8040" i="9"/>
  <c r="E8039" i="9"/>
  <c r="D8039" i="9"/>
  <c r="C8039" i="9"/>
  <c r="B8039" i="9"/>
  <c r="A8039" i="9"/>
  <c r="E8038" i="9"/>
  <c r="D8038" i="9"/>
  <c r="C8038" i="9"/>
  <c r="B8038" i="9"/>
  <c r="A8038" i="9"/>
  <c r="E8037" i="9"/>
  <c r="D8037" i="9"/>
  <c r="C8037" i="9"/>
  <c r="B8037" i="9"/>
  <c r="A8037" i="9"/>
  <c r="E8036" i="9"/>
  <c r="D8036" i="9"/>
  <c r="C8036" i="9"/>
  <c r="B8036" i="9"/>
  <c r="A8036" i="9"/>
  <c r="E8035" i="9"/>
  <c r="D8035" i="9"/>
  <c r="C8035" i="9"/>
  <c r="B8035" i="9"/>
  <c r="A8035" i="9"/>
  <c r="E8034" i="9"/>
  <c r="D8034" i="9"/>
  <c r="C8034" i="9"/>
  <c r="B8034" i="9"/>
  <c r="A8034" i="9"/>
  <c r="E8033" i="9"/>
  <c r="D8033" i="9"/>
  <c r="C8033" i="9"/>
  <c r="B8033" i="9"/>
  <c r="A8033" i="9"/>
  <c r="E8032" i="9"/>
  <c r="D8032" i="9"/>
  <c r="C8032" i="9"/>
  <c r="B8032" i="9"/>
  <c r="A8032" i="9"/>
  <c r="E8031" i="9"/>
  <c r="D8031" i="9"/>
  <c r="C8031" i="9"/>
  <c r="B8031" i="9"/>
  <c r="A8031" i="9"/>
  <c r="E8030" i="9"/>
  <c r="D8030" i="9"/>
  <c r="C8030" i="9"/>
  <c r="B8030" i="9"/>
  <c r="A8030" i="9"/>
  <c r="E8029" i="9"/>
  <c r="D8029" i="9"/>
  <c r="C8029" i="9"/>
  <c r="B8029" i="9"/>
  <c r="A8029" i="9"/>
  <c r="E8028" i="9"/>
  <c r="D8028" i="9"/>
  <c r="C8028" i="9"/>
  <c r="B8028" i="9"/>
  <c r="A8028" i="9"/>
  <c r="E8027" i="9"/>
  <c r="D8027" i="9"/>
  <c r="C8027" i="9"/>
  <c r="B8027" i="9"/>
  <c r="A8027" i="9"/>
  <c r="E8026" i="9"/>
  <c r="D8026" i="9"/>
  <c r="C8026" i="9"/>
  <c r="B8026" i="9"/>
  <c r="A8026" i="9"/>
  <c r="E8025" i="9"/>
  <c r="D8025" i="9"/>
  <c r="C8025" i="9"/>
  <c r="B8025" i="9"/>
  <c r="A8025" i="9"/>
  <c r="E8024" i="9"/>
  <c r="D8024" i="9"/>
  <c r="C8024" i="9"/>
  <c r="B8024" i="9"/>
  <c r="A8024" i="9"/>
  <c r="E8023" i="9"/>
  <c r="D8023" i="9"/>
  <c r="C8023" i="9"/>
  <c r="B8023" i="9"/>
  <c r="A8023" i="9"/>
  <c r="E8022" i="9"/>
  <c r="D8022" i="9"/>
  <c r="C8022" i="9"/>
  <c r="B8022" i="9"/>
  <c r="A8022" i="9"/>
  <c r="E8021" i="9"/>
  <c r="D8021" i="9"/>
  <c r="C8021" i="9"/>
  <c r="B8021" i="9"/>
  <c r="A8021" i="9"/>
  <c r="E8020" i="9"/>
  <c r="D8020" i="9"/>
  <c r="C8020" i="9"/>
  <c r="B8020" i="9"/>
  <c r="A8020" i="9"/>
  <c r="E8019" i="9"/>
  <c r="D8019" i="9"/>
  <c r="C8019" i="9"/>
  <c r="B8019" i="9"/>
  <c r="A8019" i="9"/>
  <c r="E8018" i="9"/>
  <c r="D8018" i="9"/>
  <c r="C8018" i="9"/>
  <c r="B8018" i="9"/>
  <c r="A8018" i="9"/>
  <c r="E8017" i="9"/>
  <c r="D8017" i="9"/>
  <c r="C8017" i="9"/>
  <c r="B8017" i="9"/>
  <c r="A8017" i="9"/>
  <c r="E8016" i="9"/>
  <c r="D8016" i="9"/>
  <c r="C8016" i="9"/>
  <c r="B8016" i="9"/>
  <c r="A8016" i="9"/>
  <c r="E8015" i="9"/>
  <c r="D8015" i="9"/>
  <c r="C8015" i="9"/>
  <c r="B8015" i="9"/>
  <c r="A8015" i="9"/>
  <c r="E8014" i="9"/>
  <c r="D8014" i="9"/>
  <c r="C8014" i="9"/>
  <c r="B8014" i="9"/>
  <c r="A8014" i="9"/>
  <c r="E8013" i="9"/>
  <c r="D8013" i="9"/>
  <c r="C8013" i="9"/>
  <c r="B8013" i="9"/>
  <c r="A8013" i="9"/>
  <c r="E8012" i="9"/>
  <c r="D8012" i="9"/>
  <c r="C8012" i="9"/>
  <c r="B8012" i="9"/>
  <c r="A8012" i="9"/>
  <c r="E8011" i="9"/>
  <c r="D8011" i="9"/>
  <c r="C8011" i="9"/>
  <c r="B8011" i="9"/>
  <c r="A8011" i="9"/>
  <c r="E8010" i="9"/>
  <c r="D8010" i="9"/>
  <c r="C8010" i="9"/>
  <c r="B8010" i="9"/>
  <c r="A8010" i="9"/>
  <c r="E8009" i="9"/>
  <c r="D8009" i="9"/>
  <c r="C8009" i="9"/>
  <c r="B8009" i="9"/>
  <c r="A8009" i="9"/>
  <c r="E8008" i="9"/>
  <c r="D8008" i="9"/>
  <c r="C8008" i="9"/>
  <c r="B8008" i="9"/>
  <c r="A8008" i="9"/>
  <c r="E8007" i="9"/>
  <c r="D8007" i="9"/>
  <c r="C8007" i="9"/>
  <c r="B8007" i="9"/>
  <c r="A8007" i="9"/>
  <c r="E8006" i="9"/>
  <c r="D8006" i="9"/>
  <c r="C8006" i="9"/>
  <c r="B8006" i="9"/>
  <c r="A8006" i="9"/>
  <c r="E8005" i="9"/>
  <c r="D8005" i="9"/>
  <c r="C8005" i="9"/>
  <c r="B8005" i="9"/>
  <c r="A8005" i="9"/>
  <c r="E8004" i="9"/>
  <c r="D8004" i="9"/>
  <c r="C8004" i="9"/>
  <c r="B8004" i="9"/>
  <c r="A8004" i="9"/>
  <c r="E8003" i="9"/>
  <c r="D8003" i="9"/>
  <c r="C8003" i="9"/>
  <c r="B8003" i="9"/>
  <c r="A8003" i="9"/>
  <c r="E8002" i="9"/>
  <c r="D8002" i="9"/>
  <c r="C8002" i="9"/>
  <c r="B8002" i="9"/>
  <c r="A8002" i="9"/>
  <c r="E8001" i="9"/>
  <c r="D8001" i="9"/>
  <c r="C8001" i="9"/>
  <c r="B8001" i="9"/>
  <c r="A8001" i="9"/>
  <c r="E8000" i="9"/>
  <c r="D8000" i="9"/>
  <c r="C8000" i="9"/>
  <c r="B8000" i="9"/>
  <c r="A8000" i="9"/>
  <c r="E7999" i="9"/>
  <c r="D7999" i="9"/>
  <c r="C7999" i="9"/>
  <c r="B7999" i="9"/>
  <c r="A7999" i="9"/>
  <c r="E7998" i="9"/>
  <c r="D7998" i="9"/>
  <c r="C7998" i="9"/>
  <c r="B7998" i="9"/>
  <c r="A7998" i="9"/>
  <c r="E7997" i="9"/>
  <c r="D7997" i="9"/>
  <c r="C7997" i="9"/>
  <c r="B7997" i="9"/>
  <c r="A7997" i="9"/>
  <c r="E7996" i="9"/>
  <c r="D7996" i="9"/>
  <c r="C7996" i="9"/>
  <c r="B7996" i="9"/>
  <c r="A7996" i="9"/>
  <c r="E7995" i="9"/>
  <c r="D7995" i="9"/>
  <c r="C7995" i="9"/>
  <c r="B7995" i="9"/>
  <c r="A7995" i="9"/>
  <c r="E7994" i="9"/>
  <c r="D7994" i="9"/>
  <c r="C7994" i="9"/>
  <c r="B7994" i="9"/>
  <c r="A7994" i="9"/>
  <c r="E7993" i="9"/>
  <c r="D7993" i="9"/>
  <c r="C7993" i="9"/>
  <c r="B7993" i="9"/>
  <c r="A7993" i="9"/>
  <c r="E7992" i="9"/>
  <c r="D7992" i="9"/>
  <c r="C7992" i="9"/>
  <c r="B7992" i="9"/>
  <c r="A7992" i="9"/>
  <c r="E7991" i="9"/>
  <c r="D7991" i="9"/>
  <c r="C7991" i="9"/>
  <c r="B7991" i="9"/>
  <c r="A7991" i="9"/>
  <c r="E7990" i="9"/>
  <c r="D7990" i="9"/>
  <c r="C7990" i="9"/>
  <c r="B7990" i="9"/>
  <c r="A7990" i="9"/>
  <c r="E7989" i="9"/>
  <c r="D7989" i="9"/>
  <c r="C7989" i="9"/>
  <c r="B7989" i="9"/>
  <c r="A7989" i="9"/>
  <c r="E7988" i="9"/>
  <c r="D7988" i="9"/>
  <c r="C7988" i="9"/>
  <c r="B7988" i="9"/>
  <c r="A7988" i="9"/>
  <c r="E7987" i="9"/>
  <c r="D7987" i="9"/>
  <c r="C7987" i="9"/>
  <c r="B7987" i="9"/>
  <c r="A7987" i="9"/>
  <c r="E7986" i="9"/>
  <c r="D7986" i="9"/>
  <c r="C7986" i="9"/>
  <c r="B7986" i="9"/>
  <c r="A7986" i="9"/>
  <c r="E7985" i="9"/>
  <c r="D7985" i="9"/>
  <c r="C7985" i="9"/>
  <c r="B7985" i="9"/>
  <c r="A7985" i="9"/>
  <c r="E7984" i="9"/>
  <c r="D7984" i="9"/>
  <c r="C7984" i="9"/>
  <c r="B7984" i="9"/>
  <c r="A7984" i="9"/>
  <c r="E7983" i="9"/>
  <c r="D7983" i="9"/>
  <c r="C7983" i="9"/>
  <c r="B7983" i="9"/>
  <c r="A7983" i="9"/>
  <c r="E7982" i="9"/>
  <c r="D7982" i="9"/>
  <c r="C7982" i="9"/>
  <c r="B7982" i="9"/>
  <c r="A7982" i="9"/>
  <c r="E7981" i="9"/>
  <c r="D7981" i="9"/>
  <c r="C7981" i="9"/>
  <c r="B7981" i="9"/>
  <c r="A7981" i="9"/>
  <c r="E7980" i="9"/>
  <c r="D7980" i="9"/>
  <c r="C7980" i="9"/>
  <c r="B7980" i="9"/>
  <c r="A7980" i="9"/>
  <c r="E7979" i="9"/>
  <c r="D7979" i="9"/>
  <c r="C7979" i="9"/>
  <c r="B7979" i="9"/>
  <c r="A7979" i="9"/>
  <c r="E7978" i="9"/>
  <c r="D7978" i="9"/>
  <c r="C7978" i="9"/>
  <c r="B7978" i="9"/>
  <c r="A7978" i="9"/>
  <c r="E7977" i="9"/>
  <c r="D7977" i="9"/>
  <c r="C7977" i="9"/>
  <c r="B7977" i="9"/>
  <c r="A7977" i="9"/>
  <c r="E7976" i="9"/>
  <c r="D7976" i="9"/>
  <c r="C7976" i="9"/>
  <c r="B7976" i="9"/>
  <c r="A7976" i="9"/>
  <c r="E7975" i="9"/>
  <c r="D7975" i="9"/>
  <c r="C7975" i="9"/>
  <c r="B7975" i="9"/>
  <c r="A7975" i="9"/>
  <c r="E7974" i="9"/>
  <c r="D7974" i="9"/>
  <c r="C7974" i="9"/>
  <c r="B7974" i="9"/>
  <c r="A7974" i="9"/>
  <c r="E7973" i="9"/>
  <c r="D7973" i="9"/>
  <c r="C7973" i="9"/>
  <c r="B7973" i="9"/>
  <c r="A7973" i="9"/>
  <c r="E7972" i="9"/>
  <c r="D7972" i="9"/>
  <c r="C7972" i="9"/>
  <c r="B7972" i="9"/>
  <c r="A7972" i="9"/>
  <c r="E7971" i="9"/>
  <c r="D7971" i="9"/>
  <c r="C7971" i="9"/>
  <c r="B7971" i="9"/>
  <c r="A7971" i="9"/>
  <c r="E7970" i="9"/>
  <c r="D7970" i="9"/>
  <c r="C7970" i="9"/>
  <c r="B7970" i="9"/>
  <c r="A7970" i="9"/>
  <c r="E7969" i="9"/>
  <c r="D7969" i="9"/>
  <c r="C7969" i="9"/>
  <c r="B7969" i="9"/>
  <c r="A7969" i="9"/>
  <c r="E7968" i="9"/>
  <c r="D7968" i="9"/>
  <c r="C7968" i="9"/>
  <c r="B7968" i="9"/>
  <c r="A7968" i="9"/>
  <c r="E7967" i="9"/>
  <c r="D7967" i="9"/>
  <c r="C7967" i="9"/>
  <c r="B7967" i="9"/>
  <c r="A7967" i="9"/>
  <c r="E7966" i="9"/>
  <c r="D7966" i="9"/>
  <c r="C7966" i="9"/>
  <c r="B7966" i="9"/>
  <c r="A7966" i="9"/>
  <c r="E7965" i="9"/>
  <c r="D7965" i="9"/>
  <c r="C7965" i="9"/>
  <c r="B7965" i="9"/>
  <c r="A7965" i="9"/>
  <c r="E7964" i="9"/>
  <c r="D7964" i="9"/>
  <c r="C7964" i="9"/>
  <c r="B7964" i="9"/>
  <c r="A7964" i="9"/>
  <c r="E7963" i="9"/>
  <c r="D7963" i="9"/>
  <c r="C7963" i="9"/>
  <c r="B7963" i="9"/>
  <c r="A7963" i="9"/>
  <c r="E7962" i="9"/>
  <c r="D7962" i="9"/>
  <c r="C7962" i="9"/>
  <c r="B7962" i="9"/>
  <c r="A7962" i="9"/>
  <c r="E7961" i="9"/>
  <c r="D7961" i="9"/>
  <c r="C7961" i="9"/>
  <c r="B7961" i="9"/>
  <c r="A7961" i="9"/>
  <c r="E7960" i="9"/>
  <c r="D7960" i="9"/>
  <c r="C7960" i="9"/>
  <c r="B7960" i="9"/>
  <c r="A7960" i="9"/>
  <c r="E7959" i="9"/>
  <c r="D7959" i="9"/>
  <c r="C7959" i="9"/>
  <c r="B7959" i="9"/>
  <c r="A7959" i="9"/>
  <c r="E7958" i="9"/>
  <c r="D7958" i="9"/>
  <c r="C7958" i="9"/>
  <c r="B7958" i="9"/>
  <c r="A7958" i="9"/>
  <c r="E7957" i="9"/>
  <c r="D7957" i="9"/>
  <c r="C7957" i="9"/>
  <c r="B7957" i="9"/>
  <c r="A7957" i="9"/>
  <c r="E7956" i="9"/>
  <c r="D7956" i="9"/>
  <c r="C7956" i="9"/>
  <c r="B7956" i="9"/>
  <c r="A7956" i="9"/>
  <c r="E7955" i="9"/>
  <c r="D7955" i="9"/>
  <c r="C7955" i="9"/>
  <c r="B7955" i="9"/>
  <c r="A7955" i="9"/>
  <c r="E7954" i="9"/>
  <c r="D7954" i="9"/>
  <c r="C7954" i="9"/>
  <c r="B7954" i="9"/>
  <c r="A7954" i="9"/>
  <c r="E7953" i="9"/>
  <c r="D7953" i="9"/>
  <c r="C7953" i="9"/>
  <c r="B7953" i="9"/>
  <c r="A7953" i="9"/>
  <c r="E7952" i="9"/>
  <c r="D7952" i="9"/>
  <c r="C7952" i="9"/>
  <c r="B7952" i="9"/>
  <c r="A7952" i="9"/>
  <c r="E7951" i="9"/>
  <c r="D7951" i="9"/>
  <c r="C7951" i="9"/>
  <c r="B7951" i="9"/>
  <c r="A7951" i="9"/>
  <c r="E7950" i="9"/>
  <c r="D7950" i="9"/>
  <c r="C7950" i="9"/>
  <c r="B7950" i="9"/>
  <c r="A7950" i="9"/>
  <c r="E7949" i="9"/>
  <c r="D7949" i="9"/>
  <c r="C7949" i="9"/>
  <c r="B7949" i="9"/>
  <c r="A7949" i="9"/>
  <c r="E7948" i="9"/>
  <c r="D7948" i="9"/>
  <c r="C7948" i="9"/>
  <c r="B7948" i="9"/>
  <c r="A7948" i="9"/>
  <c r="E7947" i="9"/>
  <c r="D7947" i="9"/>
  <c r="C7947" i="9"/>
  <c r="B7947" i="9"/>
  <c r="A7947" i="9"/>
  <c r="E7946" i="9"/>
  <c r="D7946" i="9"/>
  <c r="C7946" i="9"/>
  <c r="B7946" i="9"/>
  <c r="A7946" i="9"/>
  <c r="E7945" i="9"/>
  <c r="D7945" i="9"/>
  <c r="C7945" i="9"/>
  <c r="B7945" i="9"/>
  <c r="A7945" i="9"/>
  <c r="E7944" i="9"/>
  <c r="D7944" i="9"/>
  <c r="C7944" i="9"/>
  <c r="B7944" i="9"/>
  <c r="A7944" i="9"/>
  <c r="E7943" i="9"/>
  <c r="D7943" i="9"/>
  <c r="C7943" i="9"/>
  <c r="B7943" i="9"/>
  <c r="A7943" i="9"/>
  <c r="E7942" i="9"/>
  <c r="D7942" i="9"/>
  <c r="C7942" i="9"/>
  <c r="B7942" i="9"/>
  <c r="A7942" i="9"/>
  <c r="E7941" i="9"/>
  <c r="D7941" i="9"/>
  <c r="C7941" i="9"/>
  <c r="B7941" i="9"/>
  <c r="A7941" i="9"/>
  <c r="E7940" i="9"/>
  <c r="D7940" i="9"/>
  <c r="C7940" i="9"/>
  <c r="B7940" i="9"/>
  <c r="A7940" i="9"/>
  <c r="E7939" i="9"/>
  <c r="D7939" i="9"/>
  <c r="C7939" i="9"/>
  <c r="B7939" i="9"/>
  <c r="A7939" i="9"/>
  <c r="E7938" i="9"/>
  <c r="D7938" i="9"/>
  <c r="C7938" i="9"/>
  <c r="B7938" i="9"/>
  <c r="A7938" i="9"/>
  <c r="E7937" i="9"/>
  <c r="D7937" i="9"/>
  <c r="C7937" i="9"/>
  <c r="B7937" i="9"/>
  <c r="A7937" i="9"/>
  <c r="E7936" i="9"/>
  <c r="D7936" i="9"/>
  <c r="C7936" i="9"/>
  <c r="B7936" i="9"/>
  <c r="A7936" i="9"/>
  <c r="E7935" i="9"/>
  <c r="D7935" i="9"/>
  <c r="C7935" i="9"/>
  <c r="B7935" i="9"/>
  <c r="A7935" i="9"/>
  <c r="E7934" i="9"/>
  <c r="D7934" i="9"/>
  <c r="C7934" i="9"/>
  <c r="B7934" i="9"/>
  <c r="A7934" i="9"/>
  <c r="E7933" i="9"/>
  <c r="D7933" i="9"/>
  <c r="C7933" i="9"/>
  <c r="B7933" i="9"/>
  <c r="A7933" i="9"/>
  <c r="E7932" i="9"/>
  <c r="D7932" i="9"/>
  <c r="C7932" i="9"/>
  <c r="B7932" i="9"/>
  <c r="A7932" i="9"/>
  <c r="E7931" i="9"/>
  <c r="D7931" i="9"/>
  <c r="C7931" i="9"/>
  <c r="B7931" i="9"/>
  <c r="A7931" i="9"/>
  <c r="E7930" i="9"/>
  <c r="D7930" i="9"/>
  <c r="C7930" i="9"/>
  <c r="B7930" i="9"/>
  <c r="A7930" i="9"/>
  <c r="E7929" i="9"/>
  <c r="D7929" i="9"/>
  <c r="C7929" i="9"/>
  <c r="B7929" i="9"/>
  <c r="A7929" i="9"/>
  <c r="E7928" i="9"/>
  <c r="D7928" i="9"/>
  <c r="C7928" i="9"/>
  <c r="B7928" i="9"/>
  <c r="A7928" i="9"/>
  <c r="E7927" i="9"/>
  <c r="D7927" i="9"/>
  <c r="C7927" i="9"/>
  <c r="B7927" i="9"/>
  <c r="A7927" i="9"/>
  <c r="E7926" i="9"/>
  <c r="D7926" i="9"/>
  <c r="C7926" i="9"/>
  <c r="B7926" i="9"/>
  <c r="A7926" i="9"/>
  <c r="E7925" i="9"/>
  <c r="D7925" i="9"/>
  <c r="C7925" i="9"/>
  <c r="B7925" i="9"/>
  <c r="A7925" i="9"/>
  <c r="E7924" i="9"/>
  <c r="D7924" i="9"/>
  <c r="C7924" i="9"/>
  <c r="B7924" i="9"/>
  <c r="A7924" i="9"/>
  <c r="E7923" i="9"/>
  <c r="D7923" i="9"/>
  <c r="C7923" i="9"/>
  <c r="B7923" i="9"/>
  <c r="A7923" i="9"/>
  <c r="E7922" i="9"/>
  <c r="D7922" i="9"/>
  <c r="C7922" i="9"/>
  <c r="B7922" i="9"/>
  <c r="A7922" i="9"/>
  <c r="E7921" i="9"/>
  <c r="D7921" i="9"/>
  <c r="C7921" i="9"/>
  <c r="B7921" i="9"/>
  <c r="A7921" i="9"/>
  <c r="E7920" i="9"/>
  <c r="D7920" i="9"/>
  <c r="C7920" i="9"/>
  <c r="B7920" i="9"/>
  <c r="A7920" i="9"/>
  <c r="E7919" i="9"/>
  <c r="D7919" i="9"/>
  <c r="C7919" i="9"/>
  <c r="B7919" i="9"/>
  <c r="A7919" i="9"/>
  <c r="E7918" i="9"/>
  <c r="D7918" i="9"/>
  <c r="C7918" i="9"/>
  <c r="B7918" i="9"/>
  <c r="A7918" i="9"/>
  <c r="E7917" i="9"/>
  <c r="D7917" i="9"/>
  <c r="C7917" i="9"/>
  <c r="B7917" i="9"/>
  <c r="A7917" i="9"/>
  <c r="E7916" i="9"/>
  <c r="D7916" i="9"/>
  <c r="C7916" i="9"/>
  <c r="B7916" i="9"/>
  <c r="A7916" i="9"/>
  <c r="E7915" i="9"/>
  <c r="D7915" i="9"/>
  <c r="C7915" i="9"/>
  <c r="B7915" i="9"/>
  <c r="A7915" i="9"/>
  <c r="E7914" i="9"/>
  <c r="D7914" i="9"/>
  <c r="C7914" i="9"/>
  <c r="B7914" i="9"/>
  <c r="A7914" i="9"/>
  <c r="E7913" i="9"/>
  <c r="D7913" i="9"/>
  <c r="C7913" i="9"/>
  <c r="B7913" i="9"/>
  <c r="A7913" i="9"/>
  <c r="E7912" i="9"/>
  <c r="D7912" i="9"/>
  <c r="C7912" i="9"/>
  <c r="B7912" i="9"/>
  <c r="A7912" i="9"/>
  <c r="E7911" i="9"/>
  <c r="D7911" i="9"/>
  <c r="C7911" i="9"/>
  <c r="B7911" i="9"/>
  <c r="A7911" i="9"/>
  <c r="E7910" i="9"/>
  <c r="D7910" i="9"/>
  <c r="C7910" i="9"/>
  <c r="B7910" i="9"/>
  <c r="A7910" i="9"/>
  <c r="E7909" i="9"/>
  <c r="D7909" i="9"/>
  <c r="C7909" i="9"/>
  <c r="B7909" i="9"/>
  <c r="A7909" i="9"/>
  <c r="E7908" i="9"/>
  <c r="D7908" i="9"/>
  <c r="C7908" i="9"/>
  <c r="B7908" i="9"/>
  <c r="A7908" i="9"/>
  <c r="E7907" i="9"/>
  <c r="D7907" i="9"/>
  <c r="C7907" i="9"/>
  <c r="B7907" i="9"/>
  <c r="A7907" i="9"/>
  <c r="E7906" i="9"/>
  <c r="D7906" i="9"/>
  <c r="C7906" i="9"/>
  <c r="B7906" i="9"/>
  <c r="A7906" i="9"/>
  <c r="E7905" i="9"/>
  <c r="D7905" i="9"/>
  <c r="C7905" i="9"/>
  <c r="B7905" i="9"/>
  <c r="A7905" i="9"/>
  <c r="E7904" i="9"/>
  <c r="D7904" i="9"/>
  <c r="C7904" i="9"/>
  <c r="B7904" i="9"/>
  <c r="A7904" i="9"/>
  <c r="E7903" i="9"/>
  <c r="D7903" i="9"/>
  <c r="C7903" i="9"/>
  <c r="B7903" i="9"/>
  <c r="A7903" i="9"/>
  <c r="E7902" i="9"/>
  <c r="D7902" i="9"/>
  <c r="C7902" i="9"/>
  <c r="B7902" i="9"/>
  <c r="A7902" i="9"/>
  <c r="E7901" i="9"/>
  <c r="D7901" i="9"/>
  <c r="C7901" i="9"/>
  <c r="B7901" i="9"/>
  <c r="A7901" i="9"/>
  <c r="E7900" i="9"/>
  <c r="D7900" i="9"/>
  <c r="C7900" i="9"/>
  <c r="B7900" i="9"/>
  <c r="A7900" i="9"/>
  <c r="E7899" i="9"/>
  <c r="D7899" i="9"/>
  <c r="C7899" i="9"/>
  <c r="B7899" i="9"/>
  <c r="A7899" i="9"/>
  <c r="E7898" i="9"/>
  <c r="D7898" i="9"/>
  <c r="C7898" i="9"/>
  <c r="B7898" i="9"/>
  <c r="A7898" i="9"/>
  <c r="E7897" i="9"/>
  <c r="D7897" i="9"/>
  <c r="C7897" i="9"/>
  <c r="B7897" i="9"/>
  <c r="A7897" i="9"/>
  <c r="E7896" i="9"/>
  <c r="D7896" i="9"/>
  <c r="C7896" i="9"/>
  <c r="B7896" i="9"/>
  <c r="A7896" i="9"/>
  <c r="E7895" i="9"/>
  <c r="D7895" i="9"/>
  <c r="C7895" i="9"/>
  <c r="B7895" i="9"/>
  <c r="A7895" i="9"/>
  <c r="E7894" i="9"/>
  <c r="D7894" i="9"/>
  <c r="C7894" i="9"/>
  <c r="B7894" i="9"/>
  <c r="A7894" i="9"/>
  <c r="E7893" i="9"/>
  <c r="D7893" i="9"/>
  <c r="C7893" i="9"/>
  <c r="B7893" i="9"/>
  <c r="A7893" i="9"/>
  <c r="E7892" i="9"/>
  <c r="D7892" i="9"/>
  <c r="C7892" i="9"/>
  <c r="B7892" i="9"/>
  <c r="A7892" i="9"/>
  <c r="E7891" i="9"/>
  <c r="D7891" i="9"/>
  <c r="C7891" i="9"/>
  <c r="B7891" i="9"/>
  <c r="A7891" i="9"/>
  <c r="E7890" i="9"/>
  <c r="D7890" i="9"/>
  <c r="C7890" i="9"/>
  <c r="B7890" i="9"/>
  <c r="A7890" i="9"/>
  <c r="E7889" i="9"/>
  <c r="D7889" i="9"/>
  <c r="C7889" i="9"/>
  <c r="B7889" i="9"/>
  <c r="A7889" i="9"/>
  <c r="E7888" i="9"/>
  <c r="D7888" i="9"/>
  <c r="C7888" i="9"/>
  <c r="B7888" i="9"/>
  <c r="A7888" i="9"/>
  <c r="E7887" i="9"/>
  <c r="D7887" i="9"/>
  <c r="C7887" i="9"/>
  <c r="B7887" i="9"/>
  <c r="A7887" i="9"/>
  <c r="E7886" i="9"/>
  <c r="D7886" i="9"/>
  <c r="C7886" i="9"/>
  <c r="B7886" i="9"/>
  <c r="A7886" i="9"/>
  <c r="E7885" i="9"/>
  <c r="D7885" i="9"/>
  <c r="C7885" i="9"/>
  <c r="B7885" i="9"/>
  <c r="A7885" i="9"/>
  <c r="E7884" i="9"/>
  <c r="D7884" i="9"/>
  <c r="C7884" i="9"/>
  <c r="B7884" i="9"/>
  <c r="A7884" i="9"/>
  <c r="E7883" i="9"/>
  <c r="D7883" i="9"/>
  <c r="C7883" i="9"/>
  <c r="B7883" i="9"/>
  <c r="A7883" i="9"/>
  <c r="E7882" i="9"/>
  <c r="D7882" i="9"/>
  <c r="C7882" i="9"/>
  <c r="B7882" i="9"/>
  <c r="A7882" i="9"/>
  <c r="E7881" i="9"/>
  <c r="D7881" i="9"/>
  <c r="C7881" i="9"/>
  <c r="B7881" i="9"/>
  <c r="A7881" i="9"/>
  <c r="E7880" i="9"/>
  <c r="D7880" i="9"/>
  <c r="C7880" i="9"/>
  <c r="B7880" i="9"/>
  <c r="A7880" i="9"/>
  <c r="E7879" i="9"/>
  <c r="D7879" i="9"/>
  <c r="C7879" i="9"/>
  <c r="B7879" i="9"/>
  <c r="A7879" i="9"/>
  <c r="E7878" i="9"/>
  <c r="D7878" i="9"/>
  <c r="C7878" i="9"/>
  <c r="B7878" i="9"/>
  <c r="A7878" i="9"/>
  <c r="E7877" i="9"/>
  <c r="D7877" i="9"/>
  <c r="C7877" i="9"/>
  <c r="B7877" i="9"/>
  <c r="A7877" i="9"/>
  <c r="E7876" i="9"/>
  <c r="D7876" i="9"/>
  <c r="C7876" i="9"/>
  <c r="B7876" i="9"/>
  <c r="A7876" i="9"/>
  <c r="E7875" i="9"/>
  <c r="D7875" i="9"/>
  <c r="C7875" i="9"/>
  <c r="B7875" i="9"/>
  <c r="A7875" i="9"/>
  <c r="E7874" i="9"/>
  <c r="D7874" i="9"/>
  <c r="C7874" i="9"/>
  <c r="B7874" i="9"/>
  <c r="A7874" i="9"/>
  <c r="E7873" i="9"/>
  <c r="D7873" i="9"/>
  <c r="C7873" i="9"/>
  <c r="B7873" i="9"/>
  <c r="A7873" i="9"/>
  <c r="E7872" i="9"/>
  <c r="D7872" i="9"/>
  <c r="C7872" i="9"/>
  <c r="B7872" i="9"/>
  <c r="A7872" i="9"/>
  <c r="E7871" i="9"/>
  <c r="D7871" i="9"/>
  <c r="C7871" i="9"/>
  <c r="B7871" i="9"/>
  <c r="A7871" i="9"/>
  <c r="E7870" i="9"/>
  <c r="D7870" i="9"/>
  <c r="C7870" i="9"/>
  <c r="B7870" i="9"/>
  <c r="A7870" i="9"/>
  <c r="E7869" i="9"/>
  <c r="D7869" i="9"/>
  <c r="C7869" i="9"/>
  <c r="B7869" i="9"/>
  <c r="A7869" i="9"/>
  <c r="E7868" i="9"/>
  <c r="D7868" i="9"/>
  <c r="C7868" i="9"/>
  <c r="B7868" i="9"/>
  <c r="A7868" i="9"/>
  <c r="E7867" i="9"/>
  <c r="D7867" i="9"/>
  <c r="C7867" i="9"/>
  <c r="B7867" i="9"/>
  <c r="A7867" i="9"/>
  <c r="E7866" i="9"/>
  <c r="D7866" i="9"/>
  <c r="C7866" i="9"/>
  <c r="B7866" i="9"/>
  <c r="A7866" i="9"/>
  <c r="E7865" i="9"/>
  <c r="D7865" i="9"/>
  <c r="C7865" i="9"/>
  <c r="B7865" i="9"/>
  <c r="A7865" i="9"/>
  <c r="E7864" i="9"/>
  <c r="D7864" i="9"/>
  <c r="C7864" i="9"/>
  <c r="B7864" i="9"/>
  <c r="A7864" i="9"/>
  <c r="E7863" i="9"/>
  <c r="D7863" i="9"/>
  <c r="C7863" i="9"/>
  <c r="B7863" i="9"/>
  <c r="A7863" i="9"/>
  <c r="E7862" i="9"/>
  <c r="D7862" i="9"/>
  <c r="C7862" i="9"/>
  <c r="B7862" i="9"/>
  <c r="A7862" i="9"/>
  <c r="E7861" i="9"/>
  <c r="D7861" i="9"/>
  <c r="C7861" i="9"/>
  <c r="B7861" i="9"/>
  <c r="A7861" i="9"/>
  <c r="E7860" i="9"/>
  <c r="D7860" i="9"/>
  <c r="C7860" i="9"/>
  <c r="B7860" i="9"/>
  <c r="A7860" i="9"/>
  <c r="E7859" i="9"/>
  <c r="D7859" i="9"/>
  <c r="C7859" i="9"/>
  <c r="B7859" i="9"/>
  <c r="A7859" i="9"/>
  <c r="E7858" i="9"/>
  <c r="D7858" i="9"/>
  <c r="C7858" i="9"/>
  <c r="B7858" i="9"/>
  <c r="A7858" i="9"/>
  <c r="E7857" i="9"/>
  <c r="D7857" i="9"/>
  <c r="C7857" i="9"/>
  <c r="B7857" i="9"/>
  <c r="A7857" i="9"/>
  <c r="E7856" i="9"/>
  <c r="D7856" i="9"/>
  <c r="C7856" i="9"/>
  <c r="B7856" i="9"/>
  <c r="A7856" i="9"/>
  <c r="E7855" i="9"/>
  <c r="D7855" i="9"/>
  <c r="C7855" i="9"/>
  <c r="B7855" i="9"/>
  <c r="A7855" i="9"/>
  <c r="E7854" i="9"/>
  <c r="D7854" i="9"/>
  <c r="C7854" i="9"/>
  <c r="B7854" i="9"/>
  <c r="A7854" i="9"/>
  <c r="E7853" i="9"/>
  <c r="D7853" i="9"/>
  <c r="C7853" i="9"/>
  <c r="B7853" i="9"/>
  <c r="A7853" i="9"/>
  <c r="E7852" i="9"/>
  <c r="D7852" i="9"/>
  <c r="C7852" i="9"/>
  <c r="B7852" i="9"/>
  <c r="A7852" i="9"/>
  <c r="E7851" i="9"/>
  <c r="D7851" i="9"/>
  <c r="C7851" i="9"/>
  <c r="B7851" i="9"/>
  <c r="A7851" i="9"/>
  <c r="E7850" i="9"/>
  <c r="D7850" i="9"/>
  <c r="C7850" i="9"/>
  <c r="B7850" i="9"/>
  <c r="A7850" i="9"/>
  <c r="E7849" i="9"/>
  <c r="D7849" i="9"/>
  <c r="C7849" i="9"/>
  <c r="B7849" i="9"/>
  <c r="A7849" i="9"/>
  <c r="E7848" i="9"/>
  <c r="D7848" i="9"/>
  <c r="C7848" i="9"/>
  <c r="B7848" i="9"/>
  <c r="A7848" i="9"/>
  <c r="E7847" i="9"/>
  <c r="D7847" i="9"/>
  <c r="C7847" i="9"/>
  <c r="B7847" i="9"/>
  <c r="A7847" i="9"/>
  <c r="E7846" i="9"/>
  <c r="D7846" i="9"/>
  <c r="C7846" i="9"/>
  <c r="B7846" i="9"/>
  <c r="A7846" i="9"/>
  <c r="E7845" i="9"/>
  <c r="D7845" i="9"/>
  <c r="C7845" i="9"/>
  <c r="B7845" i="9"/>
  <c r="A7845" i="9"/>
  <c r="E7844" i="9"/>
  <c r="D7844" i="9"/>
  <c r="C7844" i="9"/>
  <c r="B7844" i="9"/>
  <c r="A7844" i="9"/>
  <c r="E7843" i="9"/>
  <c r="D7843" i="9"/>
  <c r="C7843" i="9"/>
  <c r="B7843" i="9"/>
  <c r="A7843" i="9"/>
  <c r="E7842" i="9"/>
  <c r="D7842" i="9"/>
  <c r="C7842" i="9"/>
  <c r="B7842" i="9"/>
  <c r="A7842" i="9"/>
  <c r="E7841" i="9"/>
  <c r="D7841" i="9"/>
  <c r="C7841" i="9"/>
  <c r="B7841" i="9"/>
  <c r="A7841" i="9"/>
  <c r="E7840" i="9"/>
  <c r="D7840" i="9"/>
  <c r="C7840" i="9"/>
  <c r="B7840" i="9"/>
  <c r="A7840" i="9"/>
  <c r="E7839" i="9"/>
  <c r="D7839" i="9"/>
  <c r="C7839" i="9"/>
  <c r="B7839" i="9"/>
  <c r="A7839" i="9"/>
  <c r="E7838" i="9"/>
  <c r="D7838" i="9"/>
  <c r="C7838" i="9"/>
  <c r="B7838" i="9"/>
  <c r="A7838" i="9"/>
  <c r="E7837" i="9"/>
  <c r="D7837" i="9"/>
  <c r="C7837" i="9"/>
  <c r="B7837" i="9"/>
  <c r="A7837" i="9"/>
  <c r="E7836" i="9"/>
  <c r="D7836" i="9"/>
  <c r="C7836" i="9"/>
  <c r="B7836" i="9"/>
  <c r="A7836" i="9"/>
  <c r="E7835" i="9"/>
  <c r="D7835" i="9"/>
  <c r="C7835" i="9"/>
  <c r="B7835" i="9"/>
  <c r="A7835" i="9"/>
  <c r="E7834" i="9"/>
  <c r="D7834" i="9"/>
  <c r="C7834" i="9"/>
  <c r="B7834" i="9"/>
  <c r="A7834" i="9"/>
  <c r="E7833" i="9"/>
  <c r="D7833" i="9"/>
  <c r="C7833" i="9"/>
  <c r="B7833" i="9"/>
  <c r="A7833" i="9"/>
  <c r="E7832" i="9"/>
  <c r="D7832" i="9"/>
  <c r="C7832" i="9"/>
  <c r="B7832" i="9"/>
  <c r="A7832" i="9"/>
  <c r="E7831" i="9"/>
  <c r="D7831" i="9"/>
  <c r="C7831" i="9"/>
  <c r="B7831" i="9"/>
  <c r="A7831" i="9"/>
  <c r="E7830" i="9"/>
  <c r="D7830" i="9"/>
  <c r="C7830" i="9"/>
  <c r="B7830" i="9"/>
  <c r="A7830" i="9"/>
  <c r="E7829" i="9"/>
  <c r="D7829" i="9"/>
  <c r="C7829" i="9"/>
  <c r="B7829" i="9"/>
  <c r="A7829" i="9"/>
  <c r="E7828" i="9"/>
  <c r="D7828" i="9"/>
  <c r="C7828" i="9"/>
  <c r="B7828" i="9"/>
  <c r="A7828" i="9"/>
  <c r="E7827" i="9"/>
  <c r="D7827" i="9"/>
  <c r="C7827" i="9"/>
  <c r="B7827" i="9"/>
  <c r="A7827" i="9"/>
  <c r="E7826" i="9"/>
  <c r="D7826" i="9"/>
  <c r="C7826" i="9"/>
  <c r="B7826" i="9"/>
  <c r="A7826" i="9"/>
  <c r="E7825" i="9"/>
  <c r="D7825" i="9"/>
  <c r="C7825" i="9"/>
  <c r="B7825" i="9"/>
  <c r="A7825" i="9"/>
  <c r="E7824" i="9"/>
  <c r="D7824" i="9"/>
  <c r="C7824" i="9"/>
  <c r="B7824" i="9"/>
  <c r="A7824" i="9"/>
  <c r="E7823" i="9"/>
  <c r="D7823" i="9"/>
  <c r="C7823" i="9"/>
  <c r="B7823" i="9"/>
  <c r="A7823" i="9"/>
  <c r="E7822" i="9"/>
  <c r="D7822" i="9"/>
  <c r="C7822" i="9"/>
  <c r="B7822" i="9"/>
  <c r="A7822" i="9"/>
  <c r="E7821" i="9"/>
  <c r="D7821" i="9"/>
  <c r="C7821" i="9"/>
  <c r="B7821" i="9"/>
  <c r="A7821" i="9"/>
  <c r="E7820" i="9"/>
  <c r="D7820" i="9"/>
  <c r="C7820" i="9"/>
  <c r="B7820" i="9"/>
  <c r="A7820" i="9"/>
  <c r="E7819" i="9"/>
  <c r="D7819" i="9"/>
  <c r="C7819" i="9"/>
  <c r="B7819" i="9"/>
  <c r="A7819" i="9"/>
  <c r="E7818" i="9"/>
  <c r="D7818" i="9"/>
  <c r="C7818" i="9"/>
  <c r="B7818" i="9"/>
  <c r="A7818" i="9"/>
  <c r="E7817" i="9"/>
  <c r="D7817" i="9"/>
  <c r="C7817" i="9"/>
  <c r="B7817" i="9"/>
  <c r="A7817" i="9"/>
  <c r="E7816" i="9"/>
  <c r="D7816" i="9"/>
  <c r="C7816" i="9"/>
  <c r="B7816" i="9"/>
  <c r="A7816" i="9"/>
  <c r="E7815" i="9"/>
  <c r="D7815" i="9"/>
  <c r="C7815" i="9"/>
  <c r="B7815" i="9"/>
  <c r="A7815" i="9"/>
  <c r="E7814" i="9"/>
  <c r="D7814" i="9"/>
  <c r="C7814" i="9"/>
  <c r="B7814" i="9"/>
  <c r="A7814" i="9"/>
  <c r="E7813" i="9"/>
  <c r="D7813" i="9"/>
  <c r="C7813" i="9"/>
  <c r="B7813" i="9"/>
  <c r="A7813" i="9"/>
  <c r="E7812" i="9"/>
  <c r="D7812" i="9"/>
  <c r="C7812" i="9"/>
  <c r="B7812" i="9"/>
  <c r="A7812" i="9"/>
  <c r="E7811" i="9"/>
  <c r="D7811" i="9"/>
  <c r="C7811" i="9"/>
  <c r="B7811" i="9"/>
  <c r="A7811" i="9"/>
  <c r="E7810" i="9"/>
  <c r="D7810" i="9"/>
  <c r="C7810" i="9"/>
  <c r="B7810" i="9"/>
  <c r="A7810" i="9"/>
  <c r="E7809" i="9"/>
  <c r="D7809" i="9"/>
  <c r="C7809" i="9"/>
  <c r="B7809" i="9"/>
  <c r="A7809" i="9"/>
  <c r="E7808" i="9"/>
  <c r="D7808" i="9"/>
  <c r="C7808" i="9"/>
  <c r="B7808" i="9"/>
  <c r="A7808" i="9"/>
  <c r="E7807" i="9"/>
  <c r="D7807" i="9"/>
  <c r="C7807" i="9"/>
  <c r="B7807" i="9"/>
  <c r="A7807" i="9"/>
  <c r="E7806" i="9"/>
  <c r="D7806" i="9"/>
  <c r="C7806" i="9"/>
  <c r="B7806" i="9"/>
  <c r="A7806" i="9"/>
  <c r="E7805" i="9"/>
  <c r="D7805" i="9"/>
  <c r="C7805" i="9"/>
  <c r="B7805" i="9"/>
  <c r="A7805" i="9"/>
  <c r="E7804" i="9"/>
  <c r="D7804" i="9"/>
  <c r="C7804" i="9"/>
  <c r="B7804" i="9"/>
  <c r="A7804" i="9"/>
  <c r="E7803" i="9"/>
  <c r="D7803" i="9"/>
  <c r="C7803" i="9"/>
  <c r="B7803" i="9"/>
  <c r="A7803" i="9"/>
  <c r="E7802" i="9"/>
  <c r="D7802" i="9"/>
  <c r="C7802" i="9"/>
  <c r="B7802" i="9"/>
  <c r="A7802" i="9"/>
  <c r="E7801" i="9"/>
  <c r="D7801" i="9"/>
  <c r="C7801" i="9"/>
  <c r="B7801" i="9"/>
  <c r="A7801" i="9"/>
  <c r="E7800" i="9"/>
  <c r="D7800" i="9"/>
  <c r="C7800" i="9"/>
  <c r="B7800" i="9"/>
  <c r="A7800" i="9"/>
  <c r="E7799" i="9"/>
  <c r="D7799" i="9"/>
  <c r="C7799" i="9"/>
  <c r="B7799" i="9"/>
  <c r="A7799" i="9"/>
  <c r="E7798" i="9"/>
  <c r="D7798" i="9"/>
  <c r="C7798" i="9"/>
  <c r="B7798" i="9"/>
  <c r="A7798" i="9"/>
  <c r="E7797" i="9"/>
  <c r="D7797" i="9"/>
  <c r="C7797" i="9"/>
  <c r="B7797" i="9"/>
  <c r="A7797" i="9"/>
  <c r="E7796" i="9"/>
  <c r="D7796" i="9"/>
  <c r="C7796" i="9"/>
  <c r="B7796" i="9"/>
  <c r="A7796" i="9"/>
  <c r="E7795" i="9"/>
  <c r="D7795" i="9"/>
  <c r="C7795" i="9"/>
  <c r="B7795" i="9"/>
  <c r="A7795" i="9"/>
  <c r="E7794" i="9"/>
  <c r="D7794" i="9"/>
  <c r="C7794" i="9"/>
  <c r="B7794" i="9"/>
  <c r="A7794" i="9"/>
  <c r="E7793" i="9"/>
  <c r="D7793" i="9"/>
  <c r="C7793" i="9"/>
  <c r="B7793" i="9"/>
  <c r="A7793" i="9"/>
  <c r="E7792" i="9"/>
  <c r="D7792" i="9"/>
  <c r="C7792" i="9"/>
  <c r="B7792" i="9"/>
  <c r="A7792" i="9"/>
  <c r="E7791" i="9"/>
  <c r="D7791" i="9"/>
  <c r="C7791" i="9"/>
  <c r="B7791" i="9"/>
  <c r="A7791" i="9"/>
  <c r="E7790" i="9"/>
  <c r="D7790" i="9"/>
  <c r="C7790" i="9"/>
  <c r="B7790" i="9"/>
  <c r="A7790" i="9"/>
  <c r="E7789" i="9"/>
  <c r="D7789" i="9"/>
  <c r="C7789" i="9"/>
  <c r="B7789" i="9"/>
  <c r="A7789" i="9"/>
  <c r="E7788" i="9"/>
  <c r="D7788" i="9"/>
  <c r="C7788" i="9"/>
  <c r="B7788" i="9"/>
  <c r="A7788" i="9"/>
  <c r="E7787" i="9"/>
  <c r="D7787" i="9"/>
  <c r="C7787" i="9"/>
  <c r="B7787" i="9"/>
  <c r="A7787" i="9"/>
  <c r="E7786" i="9"/>
  <c r="D7786" i="9"/>
  <c r="C7786" i="9"/>
  <c r="B7786" i="9"/>
  <c r="A7786" i="9"/>
  <c r="E7785" i="9"/>
  <c r="D7785" i="9"/>
  <c r="C7785" i="9"/>
  <c r="B7785" i="9"/>
  <c r="A7785" i="9"/>
  <c r="E7784" i="9"/>
  <c r="D7784" i="9"/>
  <c r="C7784" i="9"/>
  <c r="B7784" i="9"/>
  <c r="A7784" i="9"/>
  <c r="E7783" i="9"/>
  <c r="D7783" i="9"/>
  <c r="C7783" i="9"/>
  <c r="B7783" i="9"/>
  <c r="A7783" i="9"/>
  <c r="E7782" i="9"/>
  <c r="D7782" i="9"/>
  <c r="C7782" i="9"/>
  <c r="B7782" i="9"/>
  <c r="A7782" i="9"/>
  <c r="E7781" i="9"/>
  <c r="D7781" i="9"/>
  <c r="C7781" i="9"/>
  <c r="B7781" i="9"/>
  <c r="A7781" i="9"/>
  <c r="E7780" i="9"/>
  <c r="D7780" i="9"/>
  <c r="C7780" i="9"/>
  <c r="B7780" i="9"/>
  <c r="A7780" i="9"/>
  <c r="E7779" i="9"/>
  <c r="D7779" i="9"/>
  <c r="C7779" i="9"/>
  <c r="B7779" i="9"/>
  <c r="A7779" i="9"/>
  <c r="E7778" i="9"/>
  <c r="D7778" i="9"/>
  <c r="C7778" i="9"/>
  <c r="B7778" i="9"/>
  <c r="A7778" i="9"/>
  <c r="E7777" i="9"/>
  <c r="D7777" i="9"/>
  <c r="C7777" i="9"/>
  <c r="B7777" i="9"/>
  <c r="A7777" i="9"/>
  <c r="E7776" i="9"/>
  <c r="D7776" i="9"/>
  <c r="C7776" i="9"/>
  <c r="B7776" i="9"/>
  <c r="A7776" i="9"/>
  <c r="E7775" i="9"/>
  <c r="D7775" i="9"/>
  <c r="C7775" i="9"/>
  <c r="B7775" i="9"/>
  <c r="A7775" i="9"/>
  <c r="E7774" i="9"/>
  <c r="D7774" i="9"/>
  <c r="C7774" i="9"/>
  <c r="B7774" i="9"/>
  <c r="A7774" i="9"/>
  <c r="E7773" i="9"/>
  <c r="D7773" i="9"/>
  <c r="C7773" i="9"/>
  <c r="B7773" i="9"/>
  <c r="A7773" i="9"/>
  <c r="E7772" i="9"/>
  <c r="D7772" i="9"/>
  <c r="C7772" i="9"/>
  <c r="B7772" i="9"/>
  <c r="A7772" i="9"/>
  <c r="E7771" i="9"/>
  <c r="D7771" i="9"/>
  <c r="C7771" i="9"/>
  <c r="B7771" i="9"/>
  <c r="A7771" i="9"/>
  <c r="E7770" i="9"/>
  <c r="D7770" i="9"/>
  <c r="C7770" i="9"/>
  <c r="B7770" i="9"/>
  <c r="A7770" i="9"/>
  <c r="E7769" i="9"/>
  <c r="D7769" i="9"/>
  <c r="C7769" i="9"/>
  <c r="B7769" i="9"/>
  <c r="A7769" i="9"/>
  <c r="E7768" i="9"/>
  <c r="D7768" i="9"/>
  <c r="C7768" i="9"/>
  <c r="B7768" i="9"/>
  <c r="A7768" i="9"/>
  <c r="E7767" i="9"/>
  <c r="D7767" i="9"/>
  <c r="C7767" i="9"/>
  <c r="B7767" i="9"/>
  <c r="A7767" i="9"/>
  <c r="E7766" i="9"/>
  <c r="D7766" i="9"/>
  <c r="C7766" i="9"/>
  <c r="B7766" i="9"/>
  <c r="A7766" i="9"/>
  <c r="E7765" i="9"/>
  <c r="D7765" i="9"/>
  <c r="C7765" i="9"/>
  <c r="B7765" i="9"/>
  <c r="A7765" i="9"/>
  <c r="E7764" i="9"/>
  <c r="D7764" i="9"/>
  <c r="C7764" i="9"/>
  <c r="B7764" i="9"/>
  <c r="A7764" i="9"/>
  <c r="E7763" i="9"/>
  <c r="D7763" i="9"/>
  <c r="C7763" i="9"/>
  <c r="B7763" i="9"/>
  <c r="A7763" i="9"/>
  <c r="E7762" i="9"/>
  <c r="D7762" i="9"/>
  <c r="C7762" i="9"/>
  <c r="B7762" i="9"/>
  <c r="A7762" i="9"/>
  <c r="E7761" i="9"/>
  <c r="D7761" i="9"/>
  <c r="C7761" i="9"/>
  <c r="B7761" i="9"/>
  <c r="A7761" i="9"/>
  <c r="E7760" i="9"/>
  <c r="D7760" i="9"/>
  <c r="C7760" i="9"/>
  <c r="B7760" i="9"/>
  <c r="A7760" i="9"/>
  <c r="E7759" i="9"/>
  <c r="D7759" i="9"/>
  <c r="C7759" i="9"/>
  <c r="B7759" i="9"/>
  <c r="A7759" i="9"/>
  <c r="E7758" i="9"/>
  <c r="D7758" i="9"/>
  <c r="C7758" i="9"/>
  <c r="B7758" i="9"/>
  <c r="A7758" i="9"/>
  <c r="E7757" i="9"/>
  <c r="D7757" i="9"/>
  <c r="C7757" i="9"/>
  <c r="B7757" i="9"/>
  <c r="A7757" i="9"/>
  <c r="E7756" i="9"/>
  <c r="D7756" i="9"/>
  <c r="C7756" i="9"/>
  <c r="B7756" i="9"/>
  <c r="A7756" i="9"/>
  <c r="E7755" i="9"/>
  <c r="D7755" i="9"/>
  <c r="C7755" i="9"/>
  <c r="B7755" i="9"/>
  <c r="A7755" i="9"/>
  <c r="E7754" i="9"/>
  <c r="D7754" i="9"/>
  <c r="C7754" i="9"/>
  <c r="B7754" i="9"/>
  <c r="A7754" i="9"/>
  <c r="E7753" i="9"/>
  <c r="D7753" i="9"/>
  <c r="C7753" i="9"/>
  <c r="B7753" i="9"/>
  <c r="A7753" i="9"/>
  <c r="E7752" i="9"/>
  <c r="D7752" i="9"/>
  <c r="C7752" i="9"/>
  <c r="B7752" i="9"/>
  <c r="A7752" i="9"/>
  <c r="E7751" i="9"/>
  <c r="D7751" i="9"/>
  <c r="C7751" i="9"/>
  <c r="B7751" i="9"/>
  <c r="A7751" i="9"/>
  <c r="E7750" i="9"/>
  <c r="D7750" i="9"/>
  <c r="C7750" i="9"/>
  <c r="B7750" i="9"/>
  <c r="A7750" i="9"/>
  <c r="E7749" i="9"/>
  <c r="D7749" i="9"/>
  <c r="C7749" i="9"/>
  <c r="B7749" i="9"/>
  <c r="A7749" i="9"/>
  <c r="E7748" i="9"/>
  <c r="D7748" i="9"/>
  <c r="C7748" i="9"/>
  <c r="B7748" i="9"/>
  <c r="A7748" i="9"/>
  <c r="E7747" i="9"/>
  <c r="D7747" i="9"/>
  <c r="C7747" i="9"/>
  <c r="B7747" i="9"/>
  <c r="A7747" i="9"/>
  <c r="E7746" i="9"/>
  <c r="D7746" i="9"/>
  <c r="C7746" i="9"/>
  <c r="B7746" i="9"/>
  <c r="A7746" i="9"/>
  <c r="E7745" i="9"/>
  <c r="D7745" i="9"/>
  <c r="C7745" i="9"/>
  <c r="B7745" i="9"/>
  <c r="A7745" i="9"/>
  <c r="E7744" i="9"/>
  <c r="D7744" i="9"/>
  <c r="C7744" i="9"/>
  <c r="B7744" i="9"/>
  <c r="A7744" i="9"/>
  <c r="E7743" i="9"/>
  <c r="D7743" i="9"/>
  <c r="C7743" i="9"/>
  <c r="B7743" i="9"/>
  <c r="A7743" i="9"/>
  <c r="E7742" i="9"/>
  <c r="D7742" i="9"/>
  <c r="C7742" i="9"/>
  <c r="B7742" i="9"/>
  <c r="A7742" i="9"/>
  <c r="E7741" i="9"/>
  <c r="D7741" i="9"/>
  <c r="C7741" i="9"/>
  <c r="B7741" i="9"/>
  <c r="A7741" i="9"/>
  <c r="E7740" i="9"/>
  <c r="D7740" i="9"/>
  <c r="C7740" i="9"/>
  <c r="B7740" i="9"/>
  <c r="A7740" i="9"/>
  <c r="E7739" i="9"/>
  <c r="D7739" i="9"/>
  <c r="C7739" i="9"/>
  <c r="B7739" i="9"/>
  <c r="A7739" i="9"/>
  <c r="E7738" i="9"/>
  <c r="D7738" i="9"/>
  <c r="C7738" i="9"/>
  <c r="B7738" i="9"/>
  <c r="A7738" i="9"/>
  <c r="E7737" i="9"/>
  <c r="D7737" i="9"/>
  <c r="C7737" i="9"/>
  <c r="B7737" i="9"/>
  <c r="A7737" i="9"/>
  <c r="E7736" i="9"/>
  <c r="D7736" i="9"/>
  <c r="C7736" i="9"/>
  <c r="B7736" i="9"/>
  <c r="A7736" i="9"/>
  <c r="E7735" i="9"/>
  <c r="D7735" i="9"/>
  <c r="C7735" i="9"/>
  <c r="B7735" i="9"/>
  <c r="A7735" i="9"/>
  <c r="E7734" i="9"/>
  <c r="D7734" i="9"/>
  <c r="C7734" i="9"/>
  <c r="B7734" i="9"/>
  <c r="A7734" i="9"/>
  <c r="E7733" i="9"/>
  <c r="D7733" i="9"/>
  <c r="C7733" i="9"/>
  <c r="B7733" i="9"/>
  <c r="A7733" i="9"/>
  <c r="E7732" i="9"/>
  <c r="D7732" i="9"/>
  <c r="C7732" i="9"/>
  <c r="B7732" i="9"/>
  <c r="A7732" i="9"/>
  <c r="E7731" i="9"/>
  <c r="D7731" i="9"/>
  <c r="C7731" i="9"/>
  <c r="B7731" i="9"/>
  <c r="A7731" i="9"/>
  <c r="E7730" i="9"/>
  <c r="D7730" i="9"/>
  <c r="C7730" i="9"/>
  <c r="B7730" i="9"/>
  <c r="A7730" i="9"/>
  <c r="E7729" i="9"/>
  <c r="D7729" i="9"/>
  <c r="C7729" i="9"/>
  <c r="B7729" i="9"/>
  <c r="A7729" i="9"/>
  <c r="E7728" i="9"/>
  <c r="D7728" i="9"/>
  <c r="C7728" i="9"/>
  <c r="B7728" i="9"/>
  <c r="A7728" i="9"/>
  <c r="E7727" i="9"/>
  <c r="D7727" i="9"/>
  <c r="C7727" i="9"/>
  <c r="B7727" i="9"/>
  <c r="A7727" i="9"/>
  <c r="E7726" i="9"/>
  <c r="D7726" i="9"/>
  <c r="C7726" i="9"/>
  <c r="B7726" i="9"/>
  <c r="A7726" i="9"/>
  <c r="E7725" i="9"/>
  <c r="D7725" i="9"/>
  <c r="C7725" i="9"/>
  <c r="B7725" i="9"/>
  <c r="A7725" i="9"/>
  <c r="E7724" i="9"/>
  <c r="D7724" i="9"/>
  <c r="C7724" i="9"/>
  <c r="B7724" i="9"/>
  <c r="A7724" i="9"/>
  <c r="E7723" i="9"/>
  <c r="D7723" i="9"/>
  <c r="C7723" i="9"/>
  <c r="B7723" i="9"/>
  <c r="A7723" i="9"/>
  <c r="E7722" i="9"/>
  <c r="D7722" i="9"/>
  <c r="C7722" i="9"/>
  <c r="B7722" i="9"/>
  <c r="A7722" i="9"/>
  <c r="E7721" i="9"/>
  <c r="D7721" i="9"/>
  <c r="C7721" i="9"/>
  <c r="B7721" i="9"/>
  <c r="A7721" i="9"/>
  <c r="E7720" i="9"/>
  <c r="D7720" i="9"/>
  <c r="C7720" i="9"/>
  <c r="B7720" i="9"/>
  <c r="A7720" i="9"/>
  <c r="E7719" i="9"/>
  <c r="D7719" i="9"/>
  <c r="C7719" i="9"/>
  <c r="B7719" i="9"/>
  <c r="A7719" i="9"/>
  <c r="E7718" i="9"/>
  <c r="D7718" i="9"/>
  <c r="C7718" i="9"/>
  <c r="B7718" i="9"/>
  <c r="A7718" i="9"/>
  <c r="E7717" i="9"/>
  <c r="D7717" i="9"/>
  <c r="C7717" i="9"/>
  <c r="B7717" i="9"/>
  <c r="A7717" i="9"/>
  <c r="E7716" i="9"/>
  <c r="D7716" i="9"/>
  <c r="C7716" i="9"/>
  <c r="B7716" i="9"/>
  <c r="A7716" i="9"/>
  <c r="E7715" i="9"/>
  <c r="D7715" i="9"/>
  <c r="C7715" i="9"/>
  <c r="B7715" i="9"/>
  <c r="A7715" i="9"/>
  <c r="E7714" i="9"/>
  <c r="D7714" i="9"/>
  <c r="C7714" i="9"/>
  <c r="B7714" i="9"/>
  <c r="A7714" i="9"/>
  <c r="E7713" i="9"/>
  <c r="D7713" i="9"/>
  <c r="C7713" i="9"/>
  <c r="B7713" i="9"/>
  <c r="A7713" i="9"/>
  <c r="E7712" i="9"/>
  <c r="D7712" i="9"/>
  <c r="C7712" i="9"/>
  <c r="B7712" i="9"/>
  <c r="A7712" i="9"/>
  <c r="E7711" i="9"/>
  <c r="D7711" i="9"/>
  <c r="C7711" i="9"/>
  <c r="B7711" i="9"/>
  <c r="A7711" i="9"/>
  <c r="E7710" i="9"/>
  <c r="D7710" i="9"/>
  <c r="C7710" i="9"/>
  <c r="B7710" i="9"/>
  <c r="A7710" i="9"/>
  <c r="E7709" i="9"/>
  <c r="D7709" i="9"/>
  <c r="C7709" i="9"/>
  <c r="B7709" i="9"/>
  <c r="A7709" i="9"/>
  <c r="E7708" i="9"/>
  <c r="D7708" i="9"/>
  <c r="C7708" i="9"/>
  <c r="B7708" i="9"/>
  <c r="A7708" i="9"/>
  <c r="E7707" i="9"/>
  <c r="D7707" i="9"/>
  <c r="C7707" i="9"/>
  <c r="B7707" i="9"/>
  <c r="A7707" i="9"/>
  <c r="E7706" i="9"/>
  <c r="D7706" i="9"/>
  <c r="C7706" i="9"/>
  <c r="B7706" i="9"/>
  <c r="A7706" i="9"/>
  <c r="E7705" i="9"/>
  <c r="D7705" i="9"/>
  <c r="C7705" i="9"/>
  <c r="B7705" i="9"/>
  <c r="A7705" i="9"/>
  <c r="E7704" i="9"/>
  <c r="D7704" i="9"/>
  <c r="C7704" i="9"/>
  <c r="B7704" i="9"/>
  <c r="A7704" i="9"/>
  <c r="E7703" i="9"/>
  <c r="D7703" i="9"/>
  <c r="C7703" i="9"/>
  <c r="B7703" i="9"/>
  <c r="A7703" i="9"/>
  <c r="E7702" i="9"/>
  <c r="D7702" i="9"/>
  <c r="C7702" i="9"/>
  <c r="B7702" i="9"/>
  <c r="A7702" i="9"/>
  <c r="E7701" i="9"/>
  <c r="D7701" i="9"/>
  <c r="C7701" i="9"/>
  <c r="B7701" i="9"/>
  <c r="A7701" i="9"/>
  <c r="E7700" i="9"/>
  <c r="D7700" i="9"/>
  <c r="C7700" i="9"/>
  <c r="B7700" i="9"/>
  <c r="A7700" i="9"/>
  <c r="E7699" i="9"/>
  <c r="D7699" i="9"/>
  <c r="C7699" i="9"/>
  <c r="B7699" i="9"/>
  <c r="A7699" i="9"/>
  <c r="E7698" i="9"/>
  <c r="D7698" i="9"/>
  <c r="C7698" i="9"/>
  <c r="B7698" i="9"/>
  <c r="A7698" i="9"/>
  <c r="E7697" i="9"/>
  <c r="D7697" i="9"/>
  <c r="C7697" i="9"/>
  <c r="B7697" i="9"/>
  <c r="A7697" i="9"/>
  <c r="E7696" i="9"/>
  <c r="D7696" i="9"/>
  <c r="C7696" i="9"/>
  <c r="B7696" i="9"/>
  <c r="A7696" i="9"/>
  <c r="E7695" i="9"/>
  <c r="D7695" i="9"/>
  <c r="C7695" i="9"/>
  <c r="B7695" i="9"/>
  <c r="A7695" i="9"/>
  <c r="E7694" i="9"/>
  <c r="D7694" i="9"/>
  <c r="C7694" i="9"/>
  <c r="B7694" i="9"/>
  <c r="A7694" i="9"/>
  <c r="E7693" i="9"/>
  <c r="D7693" i="9"/>
  <c r="C7693" i="9"/>
  <c r="B7693" i="9"/>
  <c r="A7693" i="9"/>
  <c r="E7692" i="9"/>
  <c r="D7692" i="9"/>
  <c r="C7692" i="9"/>
  <c r="B7692" i="9"/>
  <c r="A7692" i="9"/>
  <c r="E7691" i="9"/>
  <c r="D7691" i="9"/>
  <c r="C7691" i="9"/>
  <c r="B7691" i="9"/>
  <c r="A7691" i="9"/>
  <c r="E7690" i="9"/>
  <c r="D7690" i="9"/>
  <c r="C7690" i="9"/>
  <c r="B7690" i="9"/>
  <c r="A7690" i="9"/>
  <c r="E7689" i="9"/>
  <c r="D7689" i="9"/>
  <c r="C7689" i="9"/>
  <c r="B7689" i="9"/>
  <c r="A7689" i="9"/>
  <c r="E7688" i="9"/>
  <c r="D7688" i="9"/>
  <c r="C7688" i="9"/>
  <c r="B7688" i="9"/>
  <c r="A7688" i="9"/>
  <c r="E7687" i="9"/>
  <c r="D7687" i="9"/>
  <c r="C7687" i="9"/>
  <c r="B7687" i="9"/>
  <c r="A7687" i="9"/>
  <c r="E7686" i="9"/>
  <c r="D7686" i="9"/>
  <c r="C7686" i="9"/>
  <c r="B7686" i="9"/>
  <c r="A7686" i="9"/>
  <c r="E7685" i="9"/>
  <c r="D7685" i="9"/>
  <c r="C7685" i="9"/>
  <c r="B7685" i="9"/>
  <c r="A7685" i="9"/>
  <c r="E7684" i="9"/>
  <c r="D7684" i="9"/>
  <c r="C7684" i="9"/>
  <c r="B7684" i="9"/>
  <c r="A7684" i="9"/>
  <c r="E7683" i="9"/>
  <c r="D7683" i="9"/>
  <c r="C7683" i="9"/>
  <c r="B7683" i="9"/>
  <c r="A7683" i="9"/>
  <c r="E7682" i="9"/>
  <c r="D7682" i="9"/>
  <c r="C7682" i="9"/>
  <c r="B7682" i="9"/>
  <c r="A7682" i="9"/>
  <c r="E7681" i="9"/>
  <c r="D7681" i="9"/>
  <c r="C7681" i="9"/>
  <c r="B7681" i="9"/>
  <c r="A7681" i="9"/>
  <c r="E7680" i="9"/>
  <c r="D7680" i="9"/>
  <c r="C7680" i="9"/>
  <c r="B7680" i="9"/>
  <c r="A7680" i="9"/>
  <c r="E7679" i="9"/>
  <c r="D7679" i="9"/>
  <c r="C7679" i="9"/>
  <c r="B7679" i="9"/>
  <c r="A7679" i="9"/>
  <c r="E7678" i="9"/>
  <c r="D7678" i="9"/>
  <c r="C7678" i="9"/>
  <c r="B7678" i="9"/>
  <c r="A7678" i="9"/>
  <c r="E7677" i="9"/>
  <c r="D7677" i="9"/>
  <c r="C7677" i="9"/>
  <c r="B7677" i="9"/>
  <c r="A7677" i="9"/>
  <c r="E7676" i="9"/>
  <c r="D7676" i="9"/>
  <c r="C7676" i="9"/>
  <c r="B7676" i="9"/>
  <c r="A7676" i="9"/>
  <c r="E7675" i="9"/>
  <c r="D7675" i="9"/>
  <c r="C7675" i="9"/>
  <c r="B7675" i="9"/>
  <c r="A7675" i="9"/>
  <c r="E7674" i="9"/>
  <c r="D7674" i="9"/>
  <c r="C7674" i="9"/>
  <c r="B7674" i="9"/>
  <c r="A7674" i="9"/>
  <c r="E7673" i="9"/>
  <c r="D7673" i="9"/>
  <c r="C7673" i="9"/>
  <c r="B7673" i="9"/>
  <c r="A7673" i="9"/>
  <c r="E7672" i="9"/>
  <c r="D7672" i="9"/>
  <c r="C7672" i="9"/>
  <c r="B7672" i="9"/>
  <c r="A7672" i="9"/>
  <c r="E7671" i="9"/>
  <c r="D7671" i="9"/>
  <c r="C7671" i="9"/>
  <c r="B7671" i="9"/>
  <c r="A7671" i="9"/>
  <c r="E7670" i="9"/>
  <c r="D7670" i="9"/>
  <c r="C7670" i="9"/>
  <c r="B7670" i="9"/>
  <c r="A7670" i="9"/>
  <c r="E7669" i="9"/>
  <c r="D7669" i="9"/>
  <c r="C7669" i="9"/>
  <c r="B7669" i="9"/>
  <c r="A7669" i="9"/>
  <c r="E7668" i="9"/>
  <c r="D7668" i="9"/>
  <c r="C7668" i="9"/>
  <c r="B7668" i="9"/>
  <c r="A7668" i="9"/>
  <c r="E7667" i="9"/>
  <c r="D7667" i="9"/>
  <c r="C7667" i="9"/>
  <c r="B7667" i="9"/>
  <c r="A7667" i="9"/>
  <c r="E7666" i="9"/>
  <c r="D7666" i="9"/>
  <c r="C7666" i="9"/>
  <c r="B7666" i="9"/>
  <c r="A7666" i="9"/>
  <c r="E7665" i="9"/>
  <c r="D7665" i="9"/>
  <c r="C7665" i="9"/>
  <c r="B7665" i="9"/>
  <c r="A7665" i="9"/>
  <c r="E7664" i="9"/>
  <c r="D7664" i="9"/>
  <c r="C7664" i="9"/>
  <c r="B7664" i="9"/>
  <c r="A7664" i="9"/>
  <c r="E7663" i="9"/>
  <c r="D7663" i="9"/>
  <c r="C7663" i="9"/>
  <c r="B7663" i="9"/>
  <c r="A7663" i="9"/>
  <c r="E7662" i="9"/>
  <c r="D7662" i="9"/>
  <c r="C7662" i="9"/>
  <c r="B7662" i="9"/>
  <c r="A7662" i="9"/>
  <c r="E7661" i="9"/>
  <c r="D7661" i="9"/>
  <c r="C7661" i="9"/>
  <c r="B7661" i="9"/>
  <c r="A7661" i="9"/>
  <c r="E7660" i="9"/>
  <c r="D7660" i="9"/>
  <c r="C7660" i="9"/>
  <c r="B7660" i="9"/>
  <c r="A7660" i="9"/>
  <c r="E7659" i="9"/>
  <c r="D7659" i="9"/>
  <c r="C7659" i="9"/>
  <c r="B7659" i="9"/>
  <c r="A7659" i="9"/>
  <c r="E7658" i="9"/>
  <c r="D7658" i="9"/>
  <c r="C7658" i="9"/>
  <c r="B7658" i="9"/>
  <c r="A7658" i="9"/>
  <c r="E7657" i="9"/>
  <c r="D7657" i="9"/>
  <c r="C7657" i="9"/>
  <c r="B7657" i="9"/>
  <c r="A7657" i="9"/>
  <c r="E7656" i="9"/>
  <c r="D7656" i="9"/>
  <c r="C7656" i="9"/>
  <c r="B7656" i="9"/>
  <c r="A7656" i="9"/>
  <c r="E7655" i="9"/>
  <c r="D7655" i="9"/>
  <c r="C7655" i="9"/>
  <c r="B7655" i="9"/>
  <c r="A7655" i="9"/>
  <c r="E7654" i="9"/>
  <c r="D7654" i="9"/>
  <c r="C7654" i="9"/>
  <c r="B7654" i="9"/>
  <c r="A7654" i="9"/>
  <c r="E7653" i="9"/>
  <c r="D7653" i="9"/>
  <c r="C7653" i="9"/>
  <c r="B7653" i="9"/>
  <c r="A7653" i="9"/>
  <c r="E7652" i="9"/>
  <c r="D7652" i="9"/>
  <c r="C7652" i="9"/>
  <c r="B7652" i="9"/>
  <c r="A7652" i="9"/>
  <c r="E7651" i="9"/>
  <c r="D7651" i="9"/>
  <c r="C7651" i="9"/>
  <c r="B7651" i="9"/>
  <c r="A7651" i="9"/>
  <c r="E7650" i="9"/>
  <c r="D7650" i="9"/>
  <c r="C7650" i="9"/>
  <c r="B7650" i="9"/>
  <c r="A7650" i="9"/>
  <c r="E7649" i="9"/>
  <c r="D7649" i="9"/>
  <c r="C7649" i="9"/>
  <c r="B7649" i="9"/>
  <c r="A7649" i="9"/>
  <c r="E7648" i="9"/>
  <c r="D7648" i="9"/>
  <c r="C7648" i="9"/>
  <c r="B7648" i="9"/>
  <c r="A7648" i="9"/>
  <c r="E7647" i="9"/>
  <c r="D7647" i="9"/>
  <c r="C7647" i="9"/>
  <c r="B7647" i="9"/>
  <c r="A7647" i="9"/>
  <c r="E7646" i="9"/>
  <c r="D7646" i="9"/>
  <c r="C7646" i="9"/>
  <c r="B7646" i="9"/>
  <c r="A7646" i="9"/>
  <c r="E7645" i="9"/>
  <c r="D7645" i="9"/>
  <c r="C7645" i="9"/>
  <c r="B7645" i="9"/>
  <c r="A7645" i="9"/>
  <c r="E7644" i="9"/>
  <c r="D7644" i="9"/>
  <c r="C7644" i="9"/>
  <c r="B7644" i="9"/>
  <c r="A7644" i="9"/>
  <c r="E7643" i="9"/>
  <c r="D7643" i="9"/>
  <c r="C7643" i="9"/>
  <c r="B7643" i="9"/>
  <c r="A7643" i="9"/>
  <c r="E7642" i="9"/>
  <c r="D7642" i="9"/>
  <c r="C7642" i="9"/>
  <c r="B7642" i="9"/>
  <c r="A7642" i="9"/>
  <c r="E7641" i="9"/>
  <c r="D7641" i="9"/>
  <c r="C7641" i="9"/>
  <c r="B7641" i="9"/>
  <c r="A7641" i="9"/>
  <c r="E7640" i="9"/>
  <c r="D7640" i="9"/>
  <c r="C7640" i="9"/>
  <c r="B7640" i="9"/>
  <c r="A7640" i="9"/>
  <c r="E7639" i="9"/>
  <c r="D7639" i="9"/>
  <c r="C7639" i="9"/>
  <c r="B7639" i="9"/>
  <c r="A7639" i="9"/>
  <c r="E7638" i="9"/>
  <c r="D7638" i="9"/>
  <c r="C7638" i="9"/>
  <c r="B7638" i="9"/>
  <c r="A7638" i="9"/>
  <c r="E7637" i="9"/>
  <c r="D7637" i="9"/>
  <c r="C7637" i="9"/>
  <c r="B7637" i="9"/>
  <c r="A7637" i="9"/>
  <c r="E7636" i="9"/>
  <c r="D7636" i="9"/>
  <c r="C7636" i="9"/>
  <c r="B7636" i="9"/>
  <c r="A7636" i="9"/>
  <c r="E7635" i="9"/>
  <c r="D7635" i="9"/>
  <c r="C7635" i="9"/>
  <c r="B7635" i="9"/>
  <c r="A7635" i="9"/>
  <c r="E7634" i="9"/>
  <c r="D7634" i="9"/>
  <c r="C7634" i="9"/>
  <c r="B7634" i="9"/>
  <c r="A7634" i="9"/>
  <c r="E7633" i="9"/>
  <c r="D7633" i="9"/>
  <c r="C7633" i="9"/>
  <c r="B7633" i="9"/>
  <c r="A7633" i="9"/>
  <c r="E7632" i="9"/>
  <c r="D7632" i="9"/>
  <c r="C7632" i="9"/>
  <c r="B7632" i="9"/>
  <c r="A7632" i="9"/>
  <c r="E7631" i="9"/>
  <c r="D7631" i="9"/>
  <c r="C7631" i="9"/>
  <c r="B7631" i="9"/>
  <c r="A7631" i="9"/>
  <c r="E7630" i="9"/>
  <c r="D7630" i="9"/>
  <c r="C7630" i="9"/>
  <c r="B7630" i="9"/>
  <c r="A7630" i="9"/>
  <c r="E7629" i="9"/>
  <c r="D7629" i="9"/>
  <c r="C7629" i="9"/>
  <c r="B7629" i="9"/>
  <c r="A7629" i="9"/>
  <c r="E7628" i="9"/>
  <c r="D7628" i="9"/>
  <c r="C7628" i="9"/>
  <c r="B7628" i="9"/>
  <c r="A7628" i="9"/>
  <c r="E7627" i="9"/>
  <c r="D7627" i="9"/>
  <c r="C7627" i="9"/>
  <c r="B7627" i="9"/>
  <c r="A7627" i="9"/>
  <c r="E7626" i="9"/>
  <c r="D7626" i="9"/>
  <c r="C7626" i="9"/>
  <c r="B7626" i="9"/>
  <c r="A7626" i="9"/>
  <c r="E7625" i="9"/>
  <c r="D7625" i="9"/>
  <c r="C7625" i="9"/>
  <c r="B7625" i="9"/>
  <c r="A7625" i="9"/>
  <c r="E7624" i="9"/>
  <c r="D7624" i="9"/>
  <c r="C7624" i="9"/>
  <c r="B7624" i="9"/>
  <c r="A7624" i="9"/>
  <c r="E7623" i="9"/>
  <c r="D7623" i="9"/>
  <c r="C7623" i="9"/>
  <c r="B7623" i="9"/>
  <c r="A7623" i="9"/>
  <c r="E7622" i="9"/>
  <c r="D7622" i="9"/>
  <c r="C7622" i="9"/>
  <c r="B7622" i="9"/>
  <c r="A7622" i="9"/>
  <c r="E7621" i="9"/>
  <c r="D7621" i="9"/>
  <c r="C7621" i="9"/>
  <c r="B7621" i="9"/>
  <c r="A7621" i="9"/>
  <c r="E7620" i="9"/>
  <c r="D7620" i="9"/>
  <c r="C7620" i="9"/>
  <c r="B7620" i="9"/>
  <c r="A7620" i="9"/>
  <c r="E7619" i="9"/>
  <c r="D7619" i="9"/>
  <c r="C7619" i="9"/>
  <c r="B7619" i="9"/>
  <c r="A7619" i="9"/>
  <c r="E7618" i="9"/>
  <c r="D7618" i="9"/>
  <c r="C7618" i="9"/>
  <c r="B7618" i="9"/>
  <c r="A7618" i="9"/>
  <c r="E7617" i="9"/>
  <c r="D7617" i="9"/>
  <c r="C7617" i="9"/>
  <c r="B7617" i="9"/>
  <c r="A7617" i="9"/>
  <c r="E7616" i="9"/>
  <c r="D7616" i="9"/>
  <c r="C7616" i="9"/>
  <c r="B7616" i="9"/>
  <c r="A7616" i="9"/>
  <c r="E7615" i="9"/>
  <c r="D7615" i="9"/>
  <c r="C7615" i="9"/>
  <c r="B7615" i="9"/>
  <c r="A7615" i="9"/>
  <c r="E7614" i="9"/>
  <c r="D7614" i="9"/>
  <c r="C7614" i="9"/>
  <c r="B7614" i="9"/>
  <c r="A7614" i="9"/>
  <c r="E7613" i="9"/>
  <c r="D7613" i="9"/>
  <c r="C7613" i="9"/>
  <c r="B7613" i="9"/>
  <c r="A7613" i="9"/>
  <c r="E7612" i="9"/>
  <c r="D7612" i="9"/>
  <c r="C7612" i="9"/>
  <c r="B7612" i="9"/>
  <c r="A7612" i="9"/>
  <c r="E7611" i="9"/>
  <c r="D7611" i="9"/>
  <c r="C7611" i="9"/>
  <c r="B7611" i="9"/>
  <c r="A7611" i="9"/>
  <c r="E7610" i="9"/>
  <c r="D7610" i="9"/>
  <c r="C7610" i="9"/>
  <c r="B7610" i="9"/>
  <c r="A7610" i="9"/>
  <c r="E7609" i="9"/>
  <c r="D7609" i="9"/>
  <c r="C7609" i="9"/>
  <c r="B7609" i="9"/>
  <c r="A7609" i="9"/>
  <c r="E7608" i="9"/>
  <c r="D7608" i="9"/>
  <c r="C7608" i="9"/>
  <c r="B7608" i="9"/>
  <c r="A7608" i="9"/>
  <c r="E7607" i="9"/>
  <c r="D7607" i="9"/>
  <c r="C7607" i="9"/>
  <c r="B7607" i="9"/>
  <c r="A7607" i="9"/>
  <c r="E7606" i="9"/>
  <c r="D7606" i="9"/>
  <c r="C7606" i="9"/>
  <c r="B7606" i="9"/>
  <c r="A7606" i="9"/>
  <c r="E7605" i="9"/>
  <c r="D7605" i="9"/>
  <c r="C7605" i="9"/>
  <c r="B7605" i="9"/>
  <c r="A7605" i="9"/>
  <c r="E7604" i="9"/>
  <c r="D7604" i="9"/>
  <c r="C7604" i="9"/>
  <c r="B7604" i="9"/>
  <c r="A7604" i="9"/>
  <c r="E7603" i="9"/>
  <c r="D7603" i="9"/>
  <c r="C7603" i="9"/>
  <c r="B7603" i="9"/>
  <c r="A7603" i="9"/>
  <c r="E7602" i="9"/>
  <c r="D7602" i="9"/>
  <c r="C7602" i="9"/>
  <c r="B7602" i="9"/>
  <c r="A7602" i="9"/>
  <c r="Q7601" i="9"/>
  <c r="N7601" i="9"/>
  <c r="I7601" i="9"/>
  <c r="H7601" i="9"/>
  <c r="G7601" i="9"/>
  <c r="F7601" i="9"/>
  <c r="E7601" i="9"/>
  <c r="D7601" i="9"/>
  <c r="C7601" i="9"/>
  <c r="B7601" i="9"/>
  <c r="A7601" i="9"/>
  <c r="E7600" i="9"/>
  <c r="D7600" i="9"/>
  <c r="C7600" i="9"/>
  <c r="B7600" i="9"/>
  <c r="A7600" i="9"/>
  <c r="E7599" i="9"/>
  <c r="D7599" i="9"/>
  <c r="C7599" i="9"/>
  <c r="B7599" i="9"/>
  <c r="A7599" i="9"/>
  <c r="E7598" i="9"/>
  <c r="D7598" i="9"/>
  <c r="C7598" i="9"/>
  <c r="B7598" i="9"/>
  <c r="A7598" i="9"/>
  <c r="E7597" i="9"/>
  <c r="D7597" i="9"/>
  <c r="C7597" i="9"/>
  <c r="B7597" i="9"/>
  <c r="A7597" i="9"/>
  <c r="E7596" i="9"/>
  <c r="D7596" i="9"/>
  <c r="C7596" i="9"/>
  <c r="B7596" i="9"/>
  <c r="A7596" i="9"/>
  <c r="E7595" i="9"/>
  <c r="D7595" i="9"/>
  <c r="C7595" i="9"/>
  <c r="B7595" i="9"/>
  <c r="A7595" i="9"/>
  <c r="E7594" i="9"/>
  <c r="D7594" i="9"/>
  <c r="C7594" i="9"/>
  <c r="B7594" i="9"/>
  <c r="A7594" i="9"/>
  <c r="E7593" i="9"/>
  <c r="D7593" i="9"/>
  <c r="C7593" i="9"/>
  <c r="B7593" i="9"/>
  <c r="A7593" i="9"/>
  <c r="E7592" i="9"/>
  <c r="D7592" i="9"/>
  <c r="C7592" i="9"/>
  <c r="B7592" i="9"/>
  <c r="A7592" i="9"/>
  <c r="E7591" i="9"/>
  <c r="D7591" i="9"/>
  <c r="C7591" i="9"/>
  <c r="B7591" i="9"/>
  <c r="A7591" i="9"/>
  <c r="E7590" i="9"/>
  <c r="D7590" i="9"/>
  <c r="C7590" i="9"/>
  <c r="B7590" i="9"/>
  <c r="A7590" i="9"/>
  <c r="E7589" i="9"/>
  <c r="D7589" i="9"/>
  <c r="C7589" i="9"/>
  <c r="B7589" i="9"/>
  <c r="A7589" i="9"/>
  <c r="E7588" i="9"/>
  <c r="D7588" i="9"/>
  <c r="C7588" i="9"/>
  <c r="B7588" i="9"/>
  <c r="A7588" i="9"/>
  <c r="E7587" i="9"/>
  <c r="D7587" i="9"/>
  <c r="C7587" i="9"/>
  <c r="B7587" i="9"/>
  <c r="A7587" i="9"/>
  <c r="E7586" i="9"/>
  <c r="D7586" i="9"/>
  <c r="C7586" i="9"/>
  <c r="B7586" i="9"/>
  <c r="A7586" i="9"/>
  <c r="E7585" i="9"/>
  <c r="D7585" i="9"/>
  <c r="C7585" i="9"/>
  <c r="B7585" i="9"/>
  <c r="A7585" i="9"/>
  <c r="E7584" i="9"/>
  <c r="D7584" i="9"/>
  <c r="C7584" i="9"/>
  <c r="B7584" i="9"/>
  <c r="A7584" i="9"/>
  <c r="E7583" i="9"/>
  <c r="D7583" i="9"/>
  <c r="C7583" i="9"/>
  <c r="B7583" i="9"/>
  <c r="A7583" i="9"/>
  <c r="E7582" i="9"/>
  <c r="D7582" i="9"/>
  <c r="C7582" i="9"/>
  <c r="B7582" i="9"/>
  <c r="A7582" i="9"/>
  <c r="E7581" i="9"/>
  <c r="D7581" i="9"/>
  <c r="C7581" i="9"/>
  <c r="B7581" i="9"/>
  <c r="A7581" i="9"/>
  <c r="E7580" i="9"/>
  <c r="D7580" i="9"/>
  <c r="C7580" i="9"/>
  <c r="B7580" i="9"/>
  <c r="A7580" i="9"/>
  <c r="E7579" i="9"/>
  <c r="D7579" i="9"/>
  <c r="C7579" i="9"/>
  <c r="B7579" i="9"/>
  <c r="A7579" i="9"/>
  <c r="E7578" i="9"/>
  <c r="D7578" i="9"/>
  <c r="C7578" i="9"/>
  <c r="B7578" i="9"/>
  <c r="A7578" i="9"/>
  <c r="E7577" i="9"/>
  <c r="D7577" i="9"/>
  <c r="C7577" i="9"/>
  <c r="B7577" i="9"/>
  <c r="A7577" i="9"/>
  <c r="E7576" i="9"/>
  <c r="D7576" i="9"/>
  <c r="C7576" i="9"/>
  <c r="B7576" i="9"/>
  <c r="A7576" i="9"/>
  <c r="E7575" i="9"/>
  <c r="D7575" i="9"/>
  <c r="C7575" i="9"/>
  <c r="B7575" i="9"/>
  <c r="A7575" i="9"/>
  <c r="E7574" i="9"/>
  <c r="D7574" i="9"/>
  <c r="C7574" i="9"/>
  <c r="B7574" i="9"/>
  <c r="A7574" i="9"/>
  <c r="E7573" i="9"/>
  <c r="D7573" i="9"/>
  <c r="C7573" i="9"/>
  <c r="B7573" i="9"/>
  <c r="A7573" i="9"/>
  <c r="E7572" i="9"/>
  <c r="D7572" i="9"/>
  <c r="C7572" i="9"/>
  <c r="B7572" i="9"/>
  <c r="A7572" i="9"/>
  <c r="E7571" i="9"/>
  <c r="D7571" i="9"/>
  <c r="C7571" i="9"/>
  <c r="B7571" i="9"/>
  <c r="A7571" i="9"/>
  <c r="E7570" i="9"/>
  <c r="D7570" i="9"/>
  <c r="C7570" i="9"/>
  <c r="B7570" i="9"/>
  <c r="A7570" i="9"/>
  <c r="E7569" i="9"/>
  <c r="D7569" i="9"/>
  <c r="C7569" i="9"/>
  <c r="B7569" i="9"/>
  <c r="A7569" i="9"/>
  <c r="E7568" i="9"/>
  <c r="D7568" i="9"/>
  <c r="C7568" i="9"/>
  <c r="B7568" i="9"/>
  <c r="A7568" i="9"/>
  <c r="E7567" i="9"/>
  <c r="D7567" i="9"/>
  <c r="C7567" i="9"/>
  <c r="B7567" i="9"/>
  <c r="A7567" i="9"/>
  <c r="E7566" i="9"/>
  <c r="D7566" i="9"/>
  <c r="C7566" i="9"/>
  <c r="B7566" i="9"/>
  <c r="A7566" i="9"/>
  <c r="E7565" i="9"/>
  <c r="D7565" i="9"/>
  <c r="C7565" i="9"/>
  <c r="B7565" i="9"/>
  <c r="A7565" i="9"/>
  <c r="E7564" i="9"/>
  <c r="D7564" i="9"/>
  <c r="C7564" i="9"/>
  <c r="B7564" i="9"/>
  <c r="A7564" i="9"/>
  <c r="E7563" i="9"/>
  <c r="D7563" i="9"/>
  <c r="C7563" i="9"/>
  <c r="B7563" i="9"/>
  <c r="A7563" i="9"/>
  <c r="E7562" i="9"/>
  <c r="D7562" i="9"/>
  <c r="C7562" i="9"/>
  <c r="B7562" i="9"/>
  <c r="A7562" i="9"/>
  <c r="E7561" i="9"/>
  <c r="D7561" i="9"/>
  <c r="C7561" i="9"/>
  <c r="B7561" i="9"/>
  <c r="A7561" i="9"/>
  <c r="E7560" i="9"/>
  <c r="D7560" i="9"/>
  <c r="C7560" i="9"/>
  <c r="B7560" i="9"/>
  <c r="A7560" i="9"/>
  <c r="E7559" i="9"/>
  <c r="D7559" i="9"/>
  <c r="C7559" i="9"/>
  <c r="B7559" i="9"/>
  <c r="A7559" i="9"/>
  <c r="E7558" i="9"/>
  <c r="D7558" i="9"/>
  <c r="C7558" i="9"/>
  <c r="B7558" i="9"/>
  <c r="A7558" i="9"/>
  <c r="E7557" i="9"/>
  <c r="D7557" i="9"/>
  <c r="C7557" i="9"/>
  <c r="B7557" i="9"/>
  <c r="A7557" i="9"/>
  <c r="E7556" i="9"/>
  <c r="D7556" i="9"/>
  <c r="C7556" i="9"/>
  <c r="B7556" i="9"/>
  <c r="A7556" i="9"/>
  <c r="E7555" i="9"/>
  <c r="D7555" i="9"/>
  <c r="C7555" i="9"/>
  <c r="B7555" i="9"/>
  <c r="A7555" i="9"/>
  <c r="E7554" i="9"/>
  <c r="D7554" i="9"/>
  <c r="C7554" i="9"/>
  <c r="B7554" i="9"/>
  <c r="A7554" i="9"/>
  <c r="E7553" i="9"/>
  <c r="D7553" i="9"/>
  <c r="C7553" i="9"/>
  <c r="B7553" i="9"/>
  <c r="A7553" i="9"/>
  <c r="E7552" i="9"/>
  <c r="D7552" i="9"/>
  <c r="C7552" i="9"/>
  <c r="B7552" i="9"/>
  <c r="A7552" i="9"/>
  <c r="E7551" i="9"/>
  <c r="D7551" i="9"/>
  <c r="C7551" i="9"/>
  <c r="B7551" i="9"/>
  <c r="A7551" i="9"/>
  <c r="E7550" i="9"/>
  <c r="D7550" i="9"/>
  <c r="C7550" i="9"/>
  <c r="B7550" i="9"/>
  <c r="A7550" i="9"/>
  <c r="E7549" i="9"/>
  <c r="D7549" i="9"/>
  <c r="C7549" i="9"/>
  <c r="B7549" i="9"/>
  <c r="A7549" i="9"/>
  <c r="E7548" i="9"/>
  <c r="D7548" i="9"/>
  <c r="C7548" i="9"/>
  <c r="B7548" i="9"/>
  <c r="A7548" i="9"/>
  <c r="E7547" i="9"/>
  <c r="D7547" i="9"/>
  <c r="C7547" i="9"/>
  <c r="B7547" i="9"/>
  <c r="A7547" i="9"/>
  <c r="E7546" i="9"/>
  <c r="D7546" i="9"/>
  <c r="C7546" i="9"/>
  <c r="B7546" i="9"/>
  <c r="A7546" i="9"/>
  <c r="E7545" i="9"/>
  <c r="D7545" i="9"/>
  <c r="C7545" i="9"/>
  <c r="B7545" i="9"/>
  <c r="A7545" i="9"/>
  <c r="E7544" i="9"/>
  <c r="D7544" i="9"/>
  <c r="C7544" i="9"/>
  <c r="B7544" i="9"/>
  <c r="A7544" i="9"/>
  <c r="E7543" i="9"/>
  <c r="D7543" i="9"/>
  <c r="C7543" i="9"/>
  <c r="B7543" i="9"/>
  <c r="A7543" i="9"/>
  <c r="E7542" i="9"/>
  <c r="D7542" i="9"/>
  <c r="C7542" i="9"/>
  <c r="B7542" i="9"/>
  <c r="A7542" i="9"/>
  <c r="E7541" i="9"/>
  <c r="D7541" i="9"/>
  <c r="C7541" i="9"/>
  <c r="B7541" i="9"/>
  <c r="A7541" i="9"/>
  <c r="E7540" i="9"/>
  <c r="D7540" i="9"/>
  <c r="C7540" i="9"/>
  <c r="B7540" i="9"/>
  <c r="A7540" i="9"/>
  <c r="E7539" i="9"/>
  <c r="D7539" i="9"/>
  <c r="C7539" i="9"/>
  <c r="B7539" i="9"/>
  <c r="A7539" i="9"/>
  <c r="E7538" i="9"/>
  <c r="D7538" i="9"/>
  <c r="C7538" i="9"/>
  <c r="B7538" i="9"/>
  <c r="A7538" i="9"/>
  <c r="E7537" i="9"/>
  <c r="D7537" i="9"/>
  <c r="C7537" i="9"/>
  <c r="B7537" i="9"/>
  <c r="A7537" i="9"/>
  <c r="E7536" i="9"/>
  <c r="D7536" i="9"/>
  <c r="C7536" i="9"/>
  <c r="B7536" i="9"/>
  <c r="A7536" i="9"/>
  <c r="E7535" i="9"/>
  <c r="D7535" i="9"/>
  <c r="C7535" i="9"/>
  <c r="B7535" i="9"/>
  <c r="A7535" i="9"/>
  <c r="E7534" i="9"/>
  <c r="D7534" i="9"/>
  <c r="C7534" i="9"/>
  <c r="B7534" i="9"/>
  <c r="A7534" i="9"/>
  <c r="E7533" i="9"/>
  <c r="D7533" i="9"/>
  <c r="C7533" i="9"/>
  <c r="B7533" i="9"/>
  <c r="A7533" i="9"/>
  <c r="E7532" i="9"/>
  <c r="D7532" i="9"/>
  <c r="C7532" i="9"/>
  <c r="B7532" i="9"/>
  <c r="A7532" i="9"/>
  <c r="E7531" i="9"/>
  <c r="D7531" i="9"/>
  <c r="C7531" i="9"/>
  <c r="B7531" i="9"/>
  <c r="A7531" i="9"/>
  <c r="E7530" i="9"/>
  <c r="D7530" i="9"/>
  <c r="C7530" i="9"/>
  <c r="B7530" i="9"/>
  <c r="A7530" i="9"/>
  <c r="E7529" i="9"/>
  <c r="D7529" i="9"/>
  <c r="C7529" i="9"/>
  <c r="B7529" i="9"/>
  <c r="A7529" i="9"/>
  <c r="E7528" i="9"/>
  <c r="D7528" i="9"/>
  <c r="C7528" i="9"/>
  <c r="B7528" i="9"/>
  <c r="A7528" i="9"/>
  <c r="E7527" i="9"/>
  <c r="D7527" i="9"/>
  <c r="C7527" i="9"/>
  <c r="B7527" i="9"/>
  <c r="A7527" i="9"/>
  <c r="E7526" i="9"/>
  <c r="D7526" i="9"/>
  <c r="C7526" i="9"/>
  <c r="B7526" i="9"/>
  <c r="A7526" i="9"/>
  <c r="E7525" i="9"/>
  <c r="D7525" i="9"/>
  <c r="C7525" i="9"/>
  <c r="B7525" i="9"/>
  <c r="A7525" i="9"/>
  <c r="E7524" i="9"/>
  <c r="D7524" i="9"/>
  <c r="C7524" i="9"/>
  <c r="B7524" i="9"/>
  <c r="A7524" i="9"/>
  <c r="E7523" i="9"/>
  <c r="D7523" i="9"/>
  <c r="C7523" i="9"/>
  <c r="B7523" i="9"/>
  <c r="A7523" i="9"/>
  <c r="E7522" i="9"/>
  <c r="D7522" i="9"/>
  <c r="C7522" i="9"/>
  <c r="B7522" i="9"/>
  <c r="A7522" i="9"/>
  <c r="E7521" i="9"/>
  <c r="D7521" i="9"/>
  <c r="C7521" i="9"/>
  <c r="B7521" i="9"/>
  <c r="A7521" i="9"/>
  <c r="E7520" i="9"/>
  <c r="D7520" i="9"/>
  <c r="C7520" i="9"/>
  <c r="B7520" i="9"/>
  <c r="A7520" i="9"/>
  <c r="E7519" i="9"/>
  <c r="D7519" i="9"/>
  <c r="C7519" i="9"/>
  <c r="B7519" i="9"/>
  <c r="A7519" i="9"/>
  <c r="E7518" i="9"/>
  <c r="D7518" i="9"/>
  <c r="C7518" i="9"/>
  <c r="B7518" i="9"/>
  <c r="A7518" i="9"/>
  <c r="E7517" i="9"/>
  <c r="D7517" i="9"/>
  <c r="C7517" i="9"/>
  <c r="B7517" i="9"/>
  <c r="A7517" i="9"/>
  <c r="E7516" i="9"/>
  <c r="D7516" i="9"/>
  <c r="C7516" i="9"/>
  <c r="B7516" i="9"/>
  <c r="A7516" i="9"/>
  <c r="E7515" i="9"/>
  <c r="D7515" i="9"/>
  <c r="C7515" i="9"/>
  <c r="B7515" i="9"/>
  <c r="A7515" i="9"/>
  <c r="E7514" i="9"/>
  <c r="D7514" i="9"/>
  <c r="C7514" i="9"/>
  <c r="B7514" i="9"/>
  <c r="A7514" i="9"/>
  <c r="E7513" i="9"/>
  <c r="D7513" i="9"/>
  <c r="C7513" i="9"/>
  <c r="B7513" i="9"/>
  <c r="A7513" i="9"/>
  <c r="E7512" i="9"/>
  <c r="D7512" i="9"/>
  <c r="C7512" i="9"/>
  <c r="B7512" i="9"/>
  <c r="A7512" i="9"/>
  <c r="E7511" i="9"/>
  <c r="D7511" i="9"/>
  <c r="C7511" i="9"/>
  <c r="B7511" i="9"/>
  <c r="A7511" i="9"/>
  <c r="E7510" i="9"/>
  <c r="D7510" i="9"/>
  <c r="C7510" i="9"/>
  <c r="B7510" i="9"/>
  <c r="A7510" i="9"/>
  <c r="E7509" i="9"/>
  <c r="D7509" i="9"/>
  <c r="C7509" i="9"/>
  <c r="B7509" i="9"/>
  <c r="A7509" i="9"/>
  <c r="E7508" i="9"/>
  <c r="D7508" i="9"/>
  <c r="C7508" i="9"/>
  <c r="B7508" i="9"/>
  <c r="A7508" i="9"/>
  <c r="E7507" i="9"/>
  <c r="D7507" i="9"/>
  <c r="C7507" i="9"/>
  <c r="B7507" i="9"/>
  <c r="A7507" i="9"/>
  <c r="E7506" i="9"/>
  <c r="D7506" i="9"/>
  <c r="C7506" i="9"/>
  <c r="B7506" i="9"/>
  <c r="A7506" i="9"/>
  <c r="E7505" i="9"/>
  <c r="D7505" i="9"/>
  <c r="C7505" i="9"/>
  <c r="B7505" i="9"/>
  <c r="A7505" i="9"/>
  <c r="E7504" i="9"/>
  <c r="D7504" i="9"/>
  <c r="C7504" i="9"/>
  <c r="B7504" i="9"/>
  <c r="A7504" i="9"/>
  <c r="E7503" i="9"/>
  <c r="D7503" i="9"/>
  <c r="C7503" i="9"/>
  <c r="B7503" i="9"/>
  <c r="A7503" i="9"/>
  <c r="E7502" i="9"/>
  <c r="D7502" i="9"/>
  <c r="C7502" i="9"/>
  <c r="B7502" i="9"/>
  <c r="A7502" i="9"/>
  <c r="E7501" i="9"/>
  <c r="D7501" i="9"/>
  <c r="C7501" i="9"/>
  <c r="B7501" i="9"/>
  <c r="A7501" i="9"/>
  <c r="E7500" i="9"/>
  <c r="D7500" i="9"/>
  <c r="C7500" i="9"/>
  <c r="B7500" i="9"/>
  <c r="A7500" i="9"/>
  <c r="E7499" i="9"/>
  <c r="D7499" i="9"/>
  <c r="C7499" i="9"/>
  <c r="B7499" i="9"/>
  <c r="A7499" i="9"/>
  <c r="E7498" i="9"/>
  <c r="D7498" i="9"/>
  <c r="C7498" i="9"/>
  <c r="B7498" i="9"/>
  <c r="A7498" i="9"/>
  <c r="E7497" i="9"/>
  <c r="D7497" i="9"/>
  <c r="C7497" i="9"/>
  <c r="B7497" i="9"/>
  <c r="A7497" i="9"/>
  <c r="E7496" i="9"/>
  <c r="D7496" i="9"/>
  <c r="C7496" i="9"/>
  <c r="B7496" i="9"/>
  <c r="A7496" i="9"/>
  <c r="E7495" i="9"/>
  <c r="D7495" i="9"/>
  <c r="C7495" i="9"/>
  <c r="B7495" i="9"/>
  <c r="A7495" i="9"/>
  <c r="E7494" i="9"/>
  <c r="D7494" i="9"/>
  <c r="C7494" i="9"/>
  <c r="B7494" i="9"/>
  <c r="A7494" i="9"/>
  <c r="E7493" i="9"/>
  <c r="D7493" i="9"/>
  <c r="C7493" i="9"/>
  <c r="B7493" i="9"/>
  <c r="A7493" i="9"/>
  <c r="E7492" i="9"/>
  <c r="D7492" i="9"/>
  <c r="C7492" i="9"/>
  <c r="B7492" i="9"/>
  <c r="A7492" i="9"/>
  <c r="E7491" i="9"/>
  <c r="D7491" i="9"/>
  <c r="C7491" i="9"/>
  <c r="B7491" i="9"/>
  <c r="A7491" i="9"/>
  <c r="E7490" i="9"/>
  <c r="D7490" i="9"/>
  <c r="C7490" i="9"/>
  <c r="B7490" i="9"/>
  <c r="A7490" i="9"/>
  <c r="E7489" i="9"/>
  <c r="D7489" i="9"/>
  <c r="C7489" i="9"/>
  <c r="B7489" i="9"/>
  <c r="A7489" i="9"/>
  <c r="E7488" i="9"/>
  <c r="D7488" i="9"/>
  <c r="C7488" i="9"/>
  <c r="B7488" i="9"/>
  <c r="A7488" i="9"/>
  <c r="E7487" i="9"/>
  <c r="D7487" i="9"/>
  <c r="C7487" i="9"/>
  <c r="B7487" i="9"/>
  <c r="A7487" i="9"/>
  <c r="E7486" i="9"/>
  <c r="D7486" i="9"/>
  <c r="C7486" i="9"/>
  <c r="B7486" i="9"/>
  <c r="A7486" i="9"/>
  <c r="E7485" i="9"/>
  <c r="D7485" i="9"/>
  <c r="C7485" i="9"/>
  <c r="B7485" i="9"/>
  <c r="A7485" i="9"/>
  <c r="E7484" i="9"/>
  <c r="D7484" i="9"/>
  <c r="C7484" i="9"/>
  <c r="B7484" i="9"/>
  <c r="A7484" i="9"/>
  <c r="E7483" i="9"/>
  <c r="D7483" i="9"/>
  <c r="C7483" i="9"/>
  <c r="B7483" i="9"/>
  <c r="A7483" i="9"/>
  <c r="E7482" i="9"/>
  <c r="D7482" i="9"/>
  <c r="C7482" i="9"/>
  <c r="B7482" i="9"/>
  <c r="A7482" i="9"/>
  <c r="E7481" i="9"/>
  <c r="D7481" i="9"/>
  <c r="C7481" i="9"/>
  <c r="B7481" i="9"/>
  <c r="A7481" i="9"/>
  <c r="E7480" i="9"/>
  <c r="D7480" i="9"/>
  <c r="C7480" i="9"/>
  <c r="B7480" i="9"/>
  <c r="A7480" i="9"/>
  <c r="E7479" i="9"/>
  <c r="D7479" i="9"/>
  <c r="C7479" i="9"/>
  <c r="B7479" i="9"/>
  <c r="A7479" i="9"/>
  <c r="E7478" i="9"/>
  <c r="D7478" i="9"/>
  <c r="C7478" i="9"/>
  <c r="B7478" i="9"/>
  <c r="A7478" i="9"/>
  <c r="E7477" i="9"/>
  <c r="D7477" i="9"/>
  <c r="C7477" i="9"/>
  <c r="B7477" i="9"/>
  <c r="A7477" i="9"/>
  <c r="E7476" i="9"/>
  <c r="D7476" i="9"/>
  <c r="C7476" i="9"/>
  <c r="B7476" i="9"/>
  <c r="A7476" i="9"/>
  <c r="E7475" i="9"/>
  <c r="D7475" i="9"/>
  <c r="C7475" i="9"/>
  <c r="B7475" i="9"/>
  <c r="A7475" i="9"/>
  <c r="E7474" i="9"/>
  <c r="D7474" i="9"/>
  <c r="C7474" i="9"/>
  <c r="B7474" i="9"/>
  <c r="A7474" i="9"/>
  <c r="E7473" i="9"/>
  <c r="D7473" i="9"/>
  <c r="C7473" i="9"/>
  <c r="B7473" i="9"/>
  <c r="A7473" i="9"/>
  <c r="E7472" i="9"/>
  <c r="D7472" i="9"/>
  <c r="C7472" i="9"/>
  <c r="B7472" i="9"/>
  <c r="A7472" i="9"/>
  <c r="E7471" i="9"/>
  <c r="D7471" i="9"/>
  <c r="C7471" i="9"/>
  <c r="B7471" i="9"/>
  <c r="A7471" i="9"/>
  <c r="E7470" i="9"/>
  <c r="D7470" i="9"/>
  <c r="C7470" i="9"/>
  <c r="B7470" i="9"/>
  <c r="A7470" i="9"/>
  <c r="E7469" i="9"/>
  <c r="D7469" i="9"/>
  <c r="C7469" i="9"/>
  <c r="B7469" i="9"/>
  <c r="A7469" i="9"/>
  <c r="E7468" i="9"/>
  <c r="D7468" i="9"/>
  <c r="C7468" i="9"/>
  <c r="B7468" i="9"/>
  <c r="A7468" i="9"/>
  <c r="E7467" i="9"/>
  <c r="D7467" i="9"/>
  <c r="C7467" i="9"/>
  <c r="B7467" i="9"/>
  <c r="A7467" i="9"/>
  <c r="E7466" i="9"/>
  <c r="D7466" i="9"/>
  <c r="C7466" i="9"/>
  <c r="B7466" i="9"/>
  <c r="A7466" i="9"/>
  <c r="E7465" i="9"/>
  <c r="D7465" i="9"/>
  <c r="C7465" i="9"/>
  <c r="B7465" i="9"/>
  <c r="A7465" i="9"/>
  <c r="E7464" i="9"/>
  <c r="D7464" i="9"/>
  <c r="C7464" i="9"/>
  <c r="B7464" i="9"/>
  <c r="A7464" i="9"/>
  <c r="E7463" i="9"/>
  <c r="D7463" i="9"/>
  <c r="C7463" i="9"/>
  <c r="B7463" i="9"/>
  <c r="A7463" i="9"/>
  <c r="E7462" i="9"/>
  <c r="D7462" i="9"/>
  <c r="C7462" i="9"/>
  <c r="B7462" i="9"/>
  <c r="A7462" i="9"/>
  <c r="E7461" i="9"/>
  <c r="D7461" i="9"/>
  <c r="C7461" i="9"/>
  <c r="B7461" i="9"/>
  <c r="A7461" i="9"/>
  <c r="E7460" i="9"/>
  <c r="D7460" i="9"/>
  <c r="C7460" i="9"/>
  <c r="B7460" i="9"/>
  <c r="A7460" i="9"/>
  <c r="E7459" i="9"/>
  <c r="D7459" i="9"/>
  <c r="C7459" i="9"/>
  <c r="B7459" i="9"/>
  <c r="A7459" i="9"/>
  <c r="E7458" i="9"/>
  <c r="D7458" i="9"/>
  <c r="C7458" i="9"/>
  <c r="B7458" i="9"/>
  <c r="A7458" i="9"/>
  <c r="E7457" i="9"/>
  <c r="D7457" i="9"/>
  <c r="C7457" i="9"/>
  <c r="B7457" i="9"/>
  <c r="A7457" i="9"/>
  <c r="E7456" i="9"/>
  <c r="D7456" i="9"/>
  <c r="C7456" i="9"/>
  <c r="B7456" i="9"/>
  <c r="A7456" i="9"/>
  <c r="E7455" i="9"/>
  <c r="D7455" i="9"/>
  <c r="C7455" i="9"/>
  <c r="B7455" i="9"/>
  <c r="A7455" i="9"/>
  <c r="E7454" i="9"/>
  <c r="D7454" i="9"/>
  <c r="C7454" i="9"/>
  <c r="B7454" i="9"/>
  <c r="A7454" i="9"/>
  <c r="E7453" i="9"/>
  <c r="D7453" i="9"/>
  <c r="C7453" i="9"/>
  <c r="B7453" i="9"/>
  <c r="A7453" i="9"/>
  <c r="E7452" i="9"/>
  <c r="D7452" i="9"/>
  <c r="C7452" i="9"/>
  <c r="B7452" i="9"/>
  <c r="A7452" i="9"/>
  <c r="E7451" i="9"/>
  <c r="D7451" i="9"/>
  <c r="C7451" i="9"/>
  <c r="B7451" i="9"/>
  <c r="A7451" i="9"/>
  <c r="E7450" i="9"/>
  <c r="D7450" i="9"/>
  <c r="C7450" i="9"/>
  <c r="B7450" i="9"/>
  <c r="A7450" i="9"/>
  <c r="E7449" i="9"/>
  <c r="D7449" i="9"/>
  <c r="C7449" i="9"/>
  <c r="B7449" i="9"/>
  <c r="A7449" i="9"/>
  <c r="E7448" i="9"/>
  <c r="D7448" i="9"/>
  <c r="C7448" i="9"/>
  <c r="B7448" i="9"/>
  <c r="A7448" i="9"/>
  <c r="E7447" i="9"/>
  <c r="D7447" i="9"/>
  <c r="C7447" i="9"/>
  <c r="B7447" i="9"/>
  <c r="A7447" i="9"/>
  <c r="E7446" i="9"/>
  <c r="D7446" i="9"/>
  <c r="C7446" i="9"/>
  <c r="B7446" i="9"/>
  <c r="A7446" i="9"/>
  <c r="E7445" i="9"/>
  <c r="D7445" i="9"/>
  <c r="C7445" i="9"/>
  <c r="B7445" i="9"/>
  <c r="A7445" i="9"/>
  <c r="E7444" i="9"/>
  <c r="D7444" i="9"/>
  <c r="C7444" i="9"/>
  <c r="B7444" i="9"/>
  <c r="A7444" i="9"/>
  <c r="E7443" i="9"/>
  <c r="D7443" i="9"/>
  <c r="C7443" i="9"/>
  <c r="B7443" i="9"/>
  <c r="A7443" i="9"/>
  <c r="E7442" i="9"/>
  <c r="D7442" i="9"/>
  <c r="C7442" i="9"/>
  <c r="B7442" i="9"/>
  <c r="A7442" i="9"/>
  <c r="E7441" i="9"/>
  <c r="D7441" i="9"/>
  <c r="C7441" i="9"/>
  <c r="B7441" i="9"/>
  <c r="A7441" i="9"/>
  <c r="E7440" i="9"/>
  <c r="D7440" i="9"/>
  <c r="C7440" i="9"/>
  <c r="B7440" i="9"/>
  <c r="A7440" i="9"/>
  <c r="E7439" i="9"/>
  <c r="D7439" i="9"/>
  <c r="C7439" i="9"/>
  <c r="B7439" i="9"/>
  <c r="A7439" i="9"/>
  <c r="E7438" i="9"/>
  <c r="D7438" i="9"/>
  <c r="C7438" i="9"/>
  <c r="B7438" i="9"/>
  <c r="A7438" i="9"/>
  <c r="E7437" i="9"/>
  <c r="D7437" i="9"/>
  <c r="C7437" i="9"/>
  <c r="B7437" i="9"/>
  <c r="A7437" i="9"/>
  <c r="E7436" i="9"/>
  <c r="D7436" i="9"/>
  <c r="C7436" i="9"/>
  <c r="B7436" i="9"/>
  <c r="A7436" i="9"/>
  <c r="E7435" i="9"/>
  <c r="D7435" i="9"/>
  <c r="C7435" i="9"/>
  <c r="B7435" i="9"/>
  <c r="A7435" i="9"/>
  <c r="E7434" i="9"/>
  <c r="D7434" i="9"/>
  <c r="C7434" i="9"/>
  <c r="B7434" i="9"/>
  <c r="A7434" i="9"/>
  <c r="E7433" i="9"/>
  <c r="D7433" i="9"/>
  <c r="C7433" i="9"/>
  <c r="B7433" i="9"/>
  <c r="A7433" i="9"/>
  <c r="E7432" i="9"/>
  <c r="D7432" i="9"/>
  <c r="C7432" i="9"/>
  <c r="B7432" i="9"/>
  <c r="A7432" i="9"/>
  <c r="E7431" i="9"/>
  <c r="D7431" i="9"/>
  <c r="C7431" i="9"/>
  <c r="B7431" i="9"/>
  <c r="A7431" i="9"/>
  <c r="E7430" i="9"/>
  <c r="D7430" i="9"/>
  <c r="C7430" i="9"/>
  <c r="B7430" i="9"/>
  <c r="A7430" i="9"/>
  <c r="E7429" i="9"/>
  <c r="D7429" i="9"/>
  <c r="C7429" i="9"/>
  <c r="B7429" i="9"/>
  <c r="A7429" i="9"/>
  <c r="E7428" i="9"/>
  <c r="D7428" i="9"/>
  <c r="C7428" i="9"/>
  <c r="B7428" i="9"/>
  <c r="A7428" i="9"/>
  <c r="E7427" i="9"/>
  <c r="D7427" i="9"/>
  <c r="C7427" i="9"/>
  <c r="B7427" i="9"/>
  <c r="A7427" i="9"/>
  <c r="E7426" i="9"/>
  <c r="D7426" i="9"/>
  <c r="C7426" i="9"/>
  <c r="B7426" i="9"/>
  <c r="A7426" i="9"/>
  <c r="E7425" i="9"/>
  <c r="D7425" i="9"/>
  <c r="C7425" i="9"/>
  <c r="B7425" i="9"/>
  <c r="A7425" i="9"/>
  <c r="E7424" i="9"/>
  <c r="D7424" i="9"/>
  <c r="C7424" i="9"/>
  <c r="B7424" i="9"/>
  <c r="A7424" i="9"/>
  <c r="E7423" i="9"/>
  <c r="D7423" i="9"/>
  <c r="C7423" i="9"/>
  <c r="B7423" i="9"/>
  <c r="A7423" i="9"/>
  <c r="E7422" i="9"/>
  <c r="D7422" i="9"/>
  <c r="C7422" i="9"/>
  <c r="B7422" i="9"/>
  <c r="A7422" i="9"/>
  <c r="E7421" i="9"/>
  <c r="D7421" i="9"/>
  <c r="C7421" i="9"/>
  <c r="B7421" i="9"/>
  <c r="A7421" i="9"/>
  <c r="E7420" i="9"/>
  <c r="D7420" i="9"/>
  <c r="C7420" i="9"/>
  <c r="B7420" i="9"/>
  <c r="A7420" i="9"/>
  <c r="E7419" i="9"/>
  <c r="D7419" i="9"/>
  <c r="C7419" i="9"/>
  <c r="B7419" i="9"/>
  <c r="A7419" i="9"/>
  <c r="E7418" i="9"/>
  <c r="D7418" i="9"/>
  <c r="C7418" i="9"/>
  <c r="B7418" i="9"/>
  <c r="A7418" i="9"/>
  <c r="E7417" i="9"/>
  <c r="D7417" i="9"/>
  <c r="C7417" i="9"/>
  <c r="B7417" i="9"/>
  <c r="A7417" i="9"/>
  <c r="E7416" i="9"/>
  <c r="D7416" i="9"/>
  <c r="C7416" i="9"/>
  <c r="B7416" i="9"/>
  <c r="A7416" i="9"/>
  <c r="E7415" i="9"/>
  <c r="D7415" i="9"/>
  <c r="C7415" i="9"/>
  <c r="B7415" i="9"/>
  <c r="A7415" i="9"/>
  <c r="E7414" i="9"/>
  <c r="D7414" i="9"/>
  <c r="C7414" i="9"/>
  <c r="B7414" i="9"/>
  <c r="A7414" i="9"/>
  <c r="E7413" i="9"/>
  <c r="D7413" i="9"/>
  <c r="C7413" i="9"/>
  <c r="B7413" i="9"/>
  <c r="A7413" i="9"/>
  <c r="E7412" i="9"/>
  <c r="D7412" i="9"/>
  <c r="C7412" i="9"/>
  <c r="B7412" i="9"/>
  <c r="A7412" i="9"/>
  <c r="E7411" i="9"/>
  <c r="D7411" i="9"/>
  <c r="C7411" i="9"/>
  <c r="B7411" i="9"/>
  <c r="A7411" i="9"/>
  <c r="E7410" i="9"/>
  <c r="D7410" i="9"/>
  <c r="C7410" i="9"/>
  <c r="B7410" i="9"/>
  <c r="A7410" i="9"/>
  <c r="E7409" i="9"/>
  <c r="D7409" i="9"/>
  <c r="C7409" i="9"/>
  <c r="B7409" i="9"/>
  <c r="A7409" i="9"/>
  <c r="E7408" i="9"/>
  <c r="D7408" i="9"/>
  <c r="C7408" i="9"/>
  <c r="B7408" i="9"/>
  <c r="A7408" i="9"/>
  <c r="E7407" i="9"/>
  <c r="D7407" i="9"/>
  <c r="C7407" i="9"/>
  <c r="B7407" i="9"/>
  <c r="A7407" i="9"/>
  <c r="E7406" i="9"/>
  <c r="D7406" i="9"/>
  <c r="C7406" i="9"/>
  <c r="B7406" i="9"/>
  <c r="A7406" i="9"/>
  <c r="E7405" i="9"/>
  <c r="D7405" i="9"/>
  <c r="C7405" i="9"/>
  <c r="B7405" i="9"/>
  <c r="A7405" i="9"/>
  <c r="E7404" i="9"/>
  <c r="D7404" i="9"/>
  <c r="C7404" i="9"/>
  <c r="B7404" i="9"/>
  <c r="A7404" i="9"/>
  <c r="E7403" i="9"/>
  <c r="D7403" i="9"/>
  <c r="C7403" i="9"/>
  <c r="B7403" i="9"/>
  <c r="A7403" i="9"/>
  <c r="E7402" i="9"/>
  <c r="D7402" i="9"/>
  <c r="C7402" i="9"/>
  <c r="B7402" i="9"/>
  <c r="A7402" i="9"/>
  <c r="E7401" i="9"/>
  <c r="D7401" i="9"/>
  <c r="C7401" i="9"/>
  <c r="B7401" i="9"/>
  <c r="A7401" i="9"/>
  <c r="E7400" i="9"/>
  <c r="D7400" i="9"/>
  <c r="C7400" i="9"/>
  <c r="B7400" i="9"/>
  <c r="A7400" i="9"/>
  <c r="E7399" i="9"/>
  <c r="D7399" i="9"/>
  <c r="C7399" i="9"/>
  <c r="B7399" i="9"/>
  <c r="A7399" i="9"/>
  <c r="E7398" i="9"/>
  <c r="D7398" i="9"/>
  <c r="C7398" i="9"/>
  <c r="B7398" i="9"/>
  <c r="A7398" i="9"/>
  <c r="E7397" i="9"/>
  <c r="D7397" i="9"/>
  <c r="C7397" i="9"/>
  <c r="B7397" i="9"/>
  <c r="A7397" i="9"/>
  <c r="E7396" i="9"/>
  <c r="D7396" i="9"/>
  <c r="C7396" i="9"/>
  <c r="B7396" i="9"/>
  <c r="A7396" i="9"/>
  <c r="E7395" i="9"/>
  <c r="D7395" i="9"/>
  <c r="C7395" i="9"/>
  <c r="B7395" i="9"/>
  <c r="A7395" i="9"/>
  <c r="E7394" i="9"/>
  <c r="D7394" i="9"/>
  <c r="C7394" i="9"/>
  <c r="B7394" i="9"/>
  <c r="A7394" i="9"/>
  <c r="E7393" i="9"/>
  <c r="D7393" i="9"/>
  <c r="C7393" i="9"/>
  <c r="B7393" i="9"/>
  <c r="A7393" i="9"/>
  <c r="E7392" i="9"/>
  <c r="D7392" i="9"/>
  <c r="C7392" i="9"/>
  <c r="B7392" i="9"/>
  <c r="A7392" i="9"/>
  <c r="E7391" i="9"/>
  <c r="D7391" i="9"/>
  <c r="C7391" i="9"/>
  <c r="B7391" i="9"/>
  <c r="A7391" i="9"/>
  <c r="E7390" i="9"/>
  <c r="D7390" i="9"/>
  <c r="C7390" i="9"/>
  <c r="B7390" i="9"/>
  <c r="A7390" i="9"/>
  <c r="E7389" i="9"/>
  <c r="D7389" i="9"/>
  <c r="C7389" i="9"/>
  <c r="B7389" i="9"/>
  <c r="A7389" i="9"/>
  <c r="E7388" i="9"/>
  <c r="D7388" i="9"/>
  <c r="C7388" i="9"/>
  <c r="B7388" i="9"/>
  <c r="A7388" i="9"/>
  <c r="E7387" i="9"/>
  <c r="D7387" i="9"/>
  <c r="C7387" i="9"/>
  <c r="B7387" i="9"/>
  <c r="A7387" i="9"/>
  <c r="E7386" i="9"/>
  <c r="D7386" i="9"/>
  <c r="C7386" i="9"/>
  <c r="B7386" i="9"/>
  <c r="A7386" i="9"/>
  <c r="E7385" i="9"/>
  <c r="D7385" i="9"/>
  <c r="C7385" i="9"/>
  <c r="B7385" i="9"/>
  <c r="A7385" i="9"/>
  <c r="E7384" i="9"/>
  <c r="D7384" i="9"/>
  <c r="C7384" i="9"/>
  <c r="B7384" i="9"/>
  <c r="A7384" i="9"/>
  <c r="E7383" i="9"/>
  <c r="D7383" i="9"/>
  <c r="C7383" i="9"/>
  <c r="B7383" i="9"/>
  <c r="A7383" i="9"/>
  <c r="E7382" i="9"/>
  <c r="D7382" i="9"/>
  <c r="C7382" i="9"/>
  <c r="B7382" i="9"/>
  <c r="A7382" i="9"/>
  <c r="E7381" i="9"/>
  <c r="D7381" i="9"/>
  <c r="C7381" i="9"/>
  <c r="B7381" i="9"/>
  <c r="A7381" i="9"/>
  <c r="E7380" i="9"/>
  <c r="D7380" i="9"/>
  <c r="C7380" i="9"/>
  <c r="B7380" i="9"/>
  <c r="A7380" i="9"/>
  <c r="E7379" i="9"/>
  <c r="D7379" i="9"/>
  <c r="C7379" i="9"/>
  <c r="B7379" i="9"/>
  <c r="A7379" i="9"/>
  <c r="E7378" i="9"/>
  <c r="D7378" i="9"/>
  <c r="C7378" i="9"/>
  <c r="B7378" i="9"/>
  <c r="A7378" i="9"/>
  <c r="E7377" i="9"/>
  <c r="D7377" i="9"/>
  <c r="C7377" i="9"/>
  <c r="B7377" i="9"/>
  <c r="A7377" i="9"/>
  <c r="E7376" i="9"/>
  <c r="D7376" i="9"/>
  <c r="C7376" i="9"/>
  <c r="B7376" i="9"/>
  <c r="A7376" i="9"/>
  <c r="E7375" i="9"/>
  <c r="D7375" i="9"/>
  <c r="C7375" i="9"/>
  <c r="B7375" i="9"/>
  <c r="A7375" i="9"/>
  <c r="E7374" i="9"/>
  <c r="D7374" i="9"/>
  <c r="C7374" i="9"/>
  <c r="B7374" i="9"/>
  <c r="A7374" i="9"/>
  <c r="E7373" i="9"/>
  <c r="D7373" i="9"/>
  <c r="C7373" i="9"/>
  <c r="B7373" i="9"/>
  <c r="A7373" i="9"/>
  <c r="E7372" i="9"/>
  <c r="D7372" i="9"/>
  <c r="C7372" i="9"/>
  <c r="B7372" i="9"/>
  <c r="A7372" i="9"/>
  <c r="E7371" i="9"/>
  <c r="D7371" i="9"/>
  <c r="C7371" i="9"/>
  <c r="B7371" i="9"/>
  <c r="A7371" i="9"/>
  <c r="E7370" i="9"/>
  <c r="D7370" i="9"/>
  <c r="C7370" i="9"/>
  <c r="B7370" i="9"/>
  <c r="A7370" i="9"/>
  <c r="E7369" i="9"/>
  <c r="D7369" i="9"/>
  <c r="C7369" i="9"/>
  <c r="B7369" i="9"/>
  <c r="A7369" i="9"/>
  <c r="E7368" i="9"/>
  <c r="D7368" i="9"/>
  <c r="C7368" i="9"/>
  <c r="B7368" i="9"/>
  <c r="A7368" i="9"/>
  <c r="E7367" i="9"/>
  <c r="D7367" i="9"/>
  <c r="C7367" i="9"/>
  <c r="B7367" i="9"/>
  <c r="A7367" i="9"/>
  <c r="E7366" i="9"/>
  <c r="D7366" i="9"/>
  <c r="C7366" i="9"/>
  <c r="B7366" i="9"/>
  <c r="A7366" i="9"/>
  <c r="E7365" i="9"/>
  <c r="D7365" i="9"/>
  <c r="C7365" i="9"/>
  <c r="B7365" i="9"/>
  <c r="A7365" i="9"/>
  <c r="E7364" i="9"/>
  <c r="D7364" i="9"/>
  <c r="C7364" i="9"/>
  <c r="B7364" i="9"/>
  <c r="A7364" i="9"/>
  <c r="E7363" i="9"/>
  <c r="D7363" i="9"/>
  <c r="C7363" i="9"/>
  <c r="B7363" i="9"/>
  <c r="A7363" i="9"/>
  <c r="E7362" i="9"/>
  <c r="D7362" i="9"/>
  <c r="C7362" i="9"/>
  <c r="B7362" i="9"/>
  <c r="A7362" i="9"/>
  <c r="E7361" i="9"/>
  <c r="D7361" i="9"/>
  <c r="C7361" i="9"/>
  <c r="B7361" i="9"/>
  <c r="A7361" i="9"/>
  <c r="E7360" i="9"/>
  <c r="D7360" i="9"/>
  <c r="C7360" i="9"/>
  <c r="B7360" i="9"/>
  <c r="A7360" i="9"/>
  <c r="E7359" i="9"/>
  <c r="D7359" i="9"/>
  <c r="C7359" i="9"/>
  <c r="B7359" i="9"/>
  <c r="A7359" i="9"/>
  <c r="E7358" i="9"/>
  <c r="D7358" i="9"/>
  <c r="C7358" i="9"/>
  <c r="B7358" i="9"/>
  <c r="A7358" i="9"/>
  <c r="E7357" i="9"/>
  <c r="D7357" i="9"/>
  <c r="C7357" i="9"/>
  <c r="B7357" i="9"/>
  <c r="A7357" i="9"/>
  <c r="E7356" i="9"/>
  <c r="D7356" i="9"/>
  <c r="C7356" i="9"/>
  <c r="B7356" i="9"/>
  <c r="A7356" i="9"/>
  <c r="E7355" i="9"/>
  <c r="D7355" i="9"/>
  <c r="C7355" i="9"/>
  <c r="B7355" i="9"/>
  <c r="A7355" i="9"/>
  <c r="E7354" i="9"/>
  <c r="D7354" i="9"/>
  <c r="C7354" i="9"/>
  <c r="B7354" i="9"/>
  <c r="A7354" i="9"/>
  <c r="E7353" i="9"/>
  <c r="D7353" i="9"/>
  <c r="C7353" i="9"/>
  <c r="B7353" i="9"/>
  <c r="A7353" i="9"/>
  <c r="E7352" i="9"/>
  <c r="D7352" i="9"/>
  <c r="C7352" i="9"/>
  <c r="B7352" i="9"/>
  <c r="A7352" i="9"/>
  <c r="E7351" i="9"/>
  <c r="D7351" i="9"/>
  <c r="C7351" i="9"/>
  <c r="B7351" i="9"/>
  <c r="A7351" i="9"/>
  <c r="E7350" i="9"/>
  <c r="D7350" i="9"/>
  <c r="C7350" i="9"/>
  <c r="B7350" i="9"/>
  <c r="A7350" i="9"/>
  <c r="E7349" i="9"/>
  <c r="D7349" i="9"/>
  <c r="C7349" i="9"/>
  <c r="B7349" i="9"/>
  <c r="A7349" i="9"/>
  <c r="E7348" i="9"/>
  <c r="D7348" i="9"/>
  <c r="C7348" i="9"/>
  <c r="B7348" i="9"/>
  <c r="A7348" i="9"/>
  <c r="E7347" i="9"/>
  <c r="D7347" i="9"/>
  <c r="C7347" i="9"/>
  <c r="B7347" i="9"/>
  <c r="A7347" i="9"/>
  <c r="E7346" i="9"/>
  <c r="D7346" i="9"/>
  <c r="C7346" i="9"/>
  <c r="B7346" i="9"/>
  <c r="A7346" i="9"/>
  <c r="E7345" i="9"/>
  <c r="D7345" i="9"/>
  <c r="C7345" i="9"/>
  <c r="B7345" i="9"/>
  <c r="A7345" i="9"/>
  <c r="E7344" i="9"/>
  <c r="D7344" i="9"/>
  <c r="C7344" i="9"/>
  <c r="B7344" i="9"/>
  <c r="A7344" i="9"/>
  <c r="E7343" i="9"/>
  <c r="D7343" i="9"/>
  <c r="C7343" i="9"/>
  <c r="B7343" i="9"/>
  <c r="A7343" i="9"/>
  <c r="E7342" i="9"/>
  <c r="D7342" i="9"/>
  <c r="C7342" i="9"/>
  <c r="B7342" i="9"/>
  <c r="A7342" i="9"/>
  <c r="E7341" i="9"/>
  <c r="D7341" i="9"/>
  <c r="C7341" i="9"/>
  <c r="B7341" i="9"/>
  <c r="A7341" i="9"/>
  <c r="E7340" i="9"/>
  <c r="D7340" i="9"/>
  <c r="C7340" i="9"/>
  <c r="B7340" i="9"/>
  <c r="A7340" i="9"/>
  <c r="E7339" i="9"/>
  <c r="D7339" i="9"/>
  <c r="C7339" i="9"/>
  <c r="B7339" i="9"/>
  <c r="A7339" i="9"/>
  <c r="E7338" i="9"/>
  <c r="D7338" i="9"/>
  <c r="C7338" i="9"/>
  <c r="B7338" i="9"/>
  <c r="A7338" i="9"/>
  <c r="E7337" i="9"/>
  <c r="D7337" i="9"/>
  <c r="C7337" i="9"/>
  <c r="B7337" i="9"/>
  <c r="A7337" i="9"/>
  <c r="E7336" i="9"/>
  <c r="D7336" i="9"/>
  <c r="C7336" i="9"/>
  <c r="B7336" i="9"/>
  <c r="A7336" i="9"/>
  <c r="E7335" i="9"/>
  <c r="D7335" i="9"/>
  <c r="C7335" i="9"/>
  <c r="B7335" i="9"/>
  <c r="A7335" i="9"/>
  <c r="E7334" i="9"/>
  <c r="D7334" i="9"/>
  <c r="C7334" i="9"/>
  <c r="B7334" i="9"/>
  <c r="A7334" i="9"/>
  <c r="E7333" i="9"/>
  <c r="D7333" i="9"/>
  <c r="C7333" i="9"/>
  <c r="B7333" i="9"/>
  <c r="A7333" i="9"/>
  <c r="E7332" i="9"/>
  <c r="D7332" i="9"/>
  <c r="C7332" i="9"/>
  <c r="B7332" i="9"/>
  <c r="A7332" i="9"/>
  <c r="E7331" i="9"/>
  <c r="D7331" i="9"/>
  <c r="C7331" i="9"/>
  <c r="B7331" i="9"/>
  <c r="A7331" i="9"/>
  <c r="E7330" i="9"/>
  <c r="D7330" i="9"/>
  <c r="C7330" i="9"/>
  <c r="B7330" i="9"/>
  <c r="A7330" i="9"/>
  <c r="E7329" i="9"/>
  <c r="D7329" i="9"/>
  <c r="C7329" i="9"/>
  <c r="B7329" i="9"/>
  <c r="A7329" i="9"/>
  <c r="E7328" i="9"/>
  <c r="D7328" i="9"/>
  <c r="C7328" i="9"/>
  <c r="B7328" i="9"/>
  <c r="A7328" i="9"/>
  <c r="E7327" i="9"/>
  <c r="D7327" i="9"/>
  <c r="C7327" i="9"/>
  <c r="B7327" i="9"/>
  <c r="A7327" i="9"/>
  <c r="E7326" i="9"/>
  <c r="D7326" i="9"/>
  <c r="C7326" i="9"/>
  <c r="B7326" i="9"/>
  <c r="A7326" i="9"/>
  <c r="E7325" i="9"/>
  <c r="D7325" i="9"/>
  <c r="C7325" i="9"/>
  <c r="B7325" i="9"/>
  <c r="A7325" i="9"/>
  <c r="E7324" i="9"/>
  <c r="D7324" i="9"/>
  <c r="C7324" i="9"/>
  <c r="B7324" i="9"/>
  <c r="A7324" i="9"/>
  <c r="E7323" i="9"/>
  <c r="D7323" i="9"/>
  <c r="C7323" i="9"/>
  <c r="B7323" i="9"/>
  <c r="A7323" i="9"/>
  <c r="E7322" i="9"/>
  <c r="D7322" i="9"/>
  <c r="C7322" i="9"/>
  <c r="B7322" i="9"/>
  <c r="A7322" i="9"/>
  <c r="E7321" i="9"/>
  <c r="D7321" i="9"/>
  <c r="C7321" i="9"/>
  <c r="B7321" i="9"/>
  <c r="A7321" i="9"/>
  <c r="E7320" i="9"/>
  <c r="D7320" i="9"/>
  <c r="C7320" i="9"/>
  <c r="B7320" i="9"/>
  <c r="A7320" i="9"/>
  <c r="E7319" i="9"/>
  <c r="D7319" i="9"/>
  <c r="C7319" i="9"/>
  <c r="B7319" i="9"/>
  <c r="A7319" i="9"/>
  <c r="E7318" i="9"/>
  <c r="D7318" i="9"/>
  <c r="C7318" i="9"/>
  <c r="B7318" i="9"/>
  <c r="A7318" i="9"/>
  <c r="E7317" i="9"/>
  <c r="D7317" i="9"/>
  <c r="C7317" i="9"/>
  <c r="B7317" i="9"/>
  <c r="A7317" i="9"/>
  <c r="E7316" i="9"/>
  <c r="D7316" i="9"/>
  <c r="C7316" i="9"/>
  <c r="B7316" i="9"/>
  <c r="A7316" i="9"/>
  <c r="E7315" i="9"/>
  <c r="D7315" i="9"/>
  <c r="C7315" i="9"/>
  <c r="B7315" i="9"/>
  <c r="A7315" i="9"/>
  <c r="E7314" i="9"/>
  <c r="D7314" i="9"/>
  <c r="C7314" i="9"/>
  <c r="B7314" i="9"/>
  <c r="A7314" i="9"/>
  <c r="E7313" i="9"/>
  <c r="D7313" i="9"/>
  <c r="C7313" i="9"/>
  <c r="B7313" i="9"/>
  <c r="A7313" i="9"/>
  <c r="E7312" i="9"/>
  <c r="D7312" i="9"/>
  <c r="C7312" i="9"/>
  <c r="B7312" i="9"/>
  <c r="A7312" i="9"/>
  <c r="E7311" i="9"/>
  <c r="D7311" i="9"/>
  <c r="C7311" i="9"/>
  <c r="B7311" i="9"/>
  <c r="A7311" i="9"/>
  <c r="E7310" i="9"/>
  <c r="D7310" i="9"/>
  <c r="C7310" i="9"/>
  <c r="B7310" i="9"/>
  <c r="A7310" i="9"/>
  <c r="E7309" i="9"/>
  <c r="D7309" i="9"/>
  <c r="C7309" i="9"/>
  <c r="B7309" i="9"/>
  <c r="A7309" i="9"/>
  <c r="E7308" i="9"/>
  <c r="D7308" i="9"/>
  <c r="C7308" i="9"/>
  <c r="B7308" i="9"/>
  <c r="A7308" i="9"/>
  <c r="E7307" i="9"/>
  <c r="D7307" i="9"/>
  <c r="C7307" i="9"/>
  <c r="B7307" i="9"/>
  <c r="A7307" i="9"/>
  <c r="E7306" i="9"/>
  <c r="D7306" i="9"/>
  <c r="C7306" i="9"/>
  <c r="B7306" i="9"/>
  <c r="A7306" i="9"/>
  <c r="E7305" i="9"/>
  <c r="D7305" i="9"/>
  <c r="C7305" i="9"/>
  <c r="B7305" i="9"/>
  <c r="A7305" i="9"/>
  <c r="E7304" i="9"/>
  <c r="D7304" i="9"/>
  <c r="C7304" i="9"/>
  <c r="B7304" i="9"/>
  <c r="A7304" i="9"/>
  <c r="E7303" i="9"/>
  <c r="D7303" i="9"/>
  <c r="C7303" i="9"/>
  <c r="B7303" i="9"/>
  <c r="A7303" i="9"/>
  <c r="E7302" i="9"/>
  <c r="D7302" i="9"/>
  <c r="C7302" i="9"/>
  <c r="B7302" i="9"/>
  <c r="A7302" i="9"/>
  <c r="E7301" i="9"/>
  <c r="D7301" i="9"/>
  <c r="C7301" i="9"/>
  <c r="B7301" i="9"/>
  <c r="A7301" i="9"/>
  <c r="E7300" i="9"/>
  <c r="D7300" i="9"/>
  <c r="C7300" i="9"/>
  <c r="B7300" i="9"/>
  <c r="A7300" i="9"/>
  <c r="E7299" i="9"/>
  <c r="D7299" i="9"/>
  <c r="C7299" i="9"/>
  <c r="B7299" i="9"/>
  <c r="A7299" i="9"/>
  <c r="E7298" i="9"/>
  <c r="D7298" i="9"/>
  <c r="C7298" i="9"/>
  <c r="B7298" i="9"/>
  <c r="A7298" i="9"/>
  <c r="E7297" i="9"/>
  <c r="D7297" i="9"/>
  <c r="C7297" i="9"/>
  <c r="B7297" i="9"/>
  <c r="A7297" i="9"/>
  <c r="E7296" i="9"/>
  <c r="D7296" i="9"/>
  <c r="C7296" i="9"/>
  <c r="B7296" i="9"/>
  <c r="A7296" i="9"/>
  <c r="E7295" i="9"/>
  <c r="D7295" i="9"/>
  <c r="C7295" i="9"/>
  <c r="B7295" i="9"/>
  <c r="A7295" i="9"/>
  <c r="E7294" i="9"/>
  <c r="D7294" i="9"/>
  <c r="C7294" i="9"/>
  <c r="B7294" i="9"/>
  <c r="A7294" i="9"/>
  <c r="E7293" i="9"/>
  <c r="D7293" i="9"/>
  <c r="C7293" i="9"/>
  <c r="B7293" i="9"/>
  <c r="A7293" i="9"/>
  <c r="E7292" i="9"/>
  <c r="D7292" i="9"/>
  <c r="C7292" i="9"/>
  <c r="B7292" i="9"/>
  <c r="A7292" i="9"/>
  <c r="E7291" i="9"/>
  <c r="D7291" i="9"/>
  <c r="C7291" i="9"/>
  <c r="B7291" i="9"/>
  <c r="A7291" i="9"/>
  <c r="E7290" i="9"/>
  <c r="D7290" i="9"/>
  <c r="C7290" i="9"/>
  <c r="B7290" i="9"/>
  <c r="A7290" i="9"/>
  <c r="E7289" i="9"/>
  <c r="D7289" i="9"/>
  <c r="C7289" i="9"/>
  <c r="B7289" i="9"/>
  <c r="A7289" i="9"/>
  <c r="E7288" i="9"/>
  <c r="D7288" i="9"/>
  <c r="C7288" i="9"/>
  <c r="B7288" i="9"/>
  <c r="A7288" i="9"/>
  <c r="E7287" i="9"/>
  <c r="D7287" i="9"/>
  <c r="C7287" i="9"/>
  <c r="B7287" i="9"/>
  <c r="A7287" i="9"/>
  <c r="E7286" i="9"/>
  <c r="D7286" i="9"/>
  <c r="C7286" i="9"/>
  <c r="B7286" i="9"/>
  <c r="A7286" i="9"/>
  <c r="E7285" i="9"/>
  <c r="D7285" i="9"/>
  <c r="C7285" i="9"/>
  <c r="B7285" i="9"/>
  <c r="A7285" i="9"/>
  <c r="E7284" i="9"/>
  <c r="D7284" i="9"/>
  <c r="C7284" i="9"/>
  <c r="B7284" i="9"/>
  <c r="A7284" i="9"/>
  <c r="E7283" i="9"/>
  <c r="D7283" i="9"/>
  <c r="C7283" i="9"/>
  <c r="B7283" i="9"/>
  <c r="A7283" i="9"/>
  <c r="E7282" i="9"/>
  <c r="D7282" i="9"/>
  <c r="C7282" i="9"/>
  <c r="B7282" i="9"/>
  <c r="A7282" i="9"/>
  <c r="E7281" i="9"/>
  <c r="D7281" i="9"/>
  <c r="C7281" i="9"/>
  <c r="B7281" i="9"/>
  <c r="A7281" i="9"/>
  <c r="E7280" i="9"/>
  <c r="D7280" i="9"/>
  <c r="C7280" i="9"/>
  <c r="B7280" i="9"/>
  <c r="A7280" i="9"/>
  <c r="E7279" i="9"/>
  <c r="D7279" i="9"/>
  <c r="C7279" i="9"/>
  <c r="B7279" i="9"/>
  <c r="A7279" i="9"/>
  <c r="E7278" i="9"/>
  <c r="D7278" i="9"/>
  <c r="C7278" i="9"/>
  <c r="B7278" i="9"/>
  <c r="A7278" i="9"/>
  <c r="E7277" i="9"/>
  <c r="D7277" i="9"/>
  <c r="C7277" i="9"/>
  <c r="B7277" i="9"/>
  <c r="A7277" i="9"/>
  <c r="E7276" i="9"/>
  <c r="D7276" i="9"/>
  <c r="C7276" i="9"/>
  <c r="B7276" i="9"/>
  <c r="A7276" i="9"/>
  <c r="E7275" i="9"/>
  <c r="D7275" i="9"/>
  <c r="C7275" i="9"/>
  <c r="B7275" i="9"/>
  <c r="A7275" i="9"/>
  <c r="E7274" i="9"/>
  <c r="D7274" i="9"/>
  <c r="C7274" i="9"/>
  <c r="B7274" i="9"/>
  <c r="A7274" i="9"/>
  <c r="E7273" i="9"/>
  <c r="D7273" i="9"/>
  <c r="C7273" i="9"/>
  <c r="B7273" i="9"/>
  <c r="A7273" i="9"/>
  <c r="E7272" i="9"/>
  <c r="D7272" i="9"/>
  <c r="C7272" i="9"/>
  <c r="B7272" i="9"/>
  <c r="A7272" i="9"/>
  <c r="E7271" i="9"/>
  <c r="D7271" i="9"/>
  <c r="C7271" i="9"/>
  <c r="B7271" i="9"/>
  <c r="A7271" i="9"/>
  <c r="E7270" i="9"/>
  <c r="D7270" i="9"/>
  <c r="C7270" i="9"/>
  <c r="B7270" i="9"/>
  <c r="A7270" i="9"/>
  <c r="E7269" i="9"/>
  <c r="D7269" i="9"/>
  <c r="C7269" i="9"/>
  <c r="B7269" i="9"/>
  <c r="A7269" i="9"/>
  <c r="E7268" i="9"/>
  <c r="D7268" i="9"/>
  <c r="C7268" i="9"/>
  <c r="B7268" i="9"/>
  <c r="A7268" i="9"/>
  <c r="E7267" i="9"/>
  <c r="D7267" i="9"/>
  <c r="C7267" i="9"/>
  <c r="B7267" i="9"/>
  <c r="A7267" i="9"/>
  <c r="E7266" i="9"/>
  <c r="D7266" i="9"/>
  <c r="C7266" i="9"/>
  <c r="B7266" i="9"/>
  <c r="A7266" i="9"/>
  <c r="E7265" i="9"/>
  <c r="D7265" i="9"/>
  <c r="C7265" i="9"/>
  <c r="B7265" i="9"/>
  <c r="A7265" i="9"/>
  <c r="E7264" i="9"/>
  <c r="D7264" i="9"/>
  <c r="C7264" i="9"/>
  <c r="B7264" i="9"/>
  <c r="A7264" i="9"/>
  <c r="E7263" i="9"/>
  <c r="D7263" i="9"/>
  <c r="C7263" i="9"/>
  <c r="B7263" i="9"/>
  <c r="A7263" i="9"/>
  <c r="E7262" i="9"/>
  <c r="D7262" i="9"/>
  <c r="C7262" i="9"/>
  <c r="B7262" i="9"/>
  <c r="A7262" i="9"/>
  <c r="E7261" i="9"/>
  <c r="D7261" i="9"/>
  <c r="C7261" i="9"/>
  <c r="B7261" i="9"/>
  <c r="A7261" i="9"/>
  <c r="E7260" i="9"/>
  <c r="D7260" i="9"/>
  <c r="C7260" i="9"/>
  <c r="B7260" i="9"/>
  <c r="A7260" i="9"/>
  <c r="E7259" i="9"/>
  <c r="D7259" i="9"/>
  <c r="C7259" i="9"/>
  <c r="B7259" i="9"/>
  <c r="A7259" i="9"/>
  <c r="E7258" i="9"/>
  <c r="D7258" i="9"/>
  <c r="C7258" i="9"/>
  <c r="B7258" i="9"/>
  <c r="A7258" i="9"/>
  <c r="E7257" i="9"/>
  <c r="D7257" i="9"/>
  <c r="C7257" i="9"/>
  <c r="B7257" i="9"/>
  <c r="A7257" i="9"/>
  <c r="E7256" i="9"/>
  <c r="D7256" i="9"/>
  <c r="C7256" i="9"/>
  <c r="B7256" i="9"/>
  <c r="A7256" i="9"/>
  <c r="E7255" i="9"/>
  <c r="D7255" i="9"/>
  <c r="C7255" i="9"/>
  <c r="B7255" i="9"/>
  <c r="A7255" i="9"/>
  <c r="E7254" i="9"/>
  <c r="D7254" i="9"/>
  <c r="C7254" i="9"/>
  <c r="B7254" i="9"/>
  <c r="A7254" i="9"/>
  <c r="E7253" i="9"/>
  <c r="D7253" i="9"/>
  <c r="C7253" i="9"/>
  <c r="B7253" i="9"/>
  <c r="A7253" i="9"/>
  <c r="E7252" i="9"/>
  <c r="D7252" i="9"/>
  <c r="C7252" i="9"/>
  <c r="B7252" i="9"/>
  <c r="A7252" i="9"/>
  <c r="E7251" i="9"/>
  <c r="D7251" i="9"/>
  <c r="C7251" i="9"/>
  <c r="B7251" i="9"/>
  <c r="A7251" i="9"/>
  <c r="E7250" i="9"/>
  <c r="D7250" i="9"/>
  <c r="C7250" i="9"/>
  <c r="B7250" i="9"/>
  <c r="A7250" i="9"/>
  <c r="E7249" i="9"/>
  <c r="D7249" i="9"/>
  <c r="C7249" i="9"/>
  <c r="B7249" i="9"/>
  <c r="A7249" i="9"/>
  <c r="E7248" i="9"/>
  <c r="D7248" i="9"/>
  <c r="C7248" i="9"/>
  <c r="B7248" i="9"/>
  <c r="A7248" i="9"/>
  <c r="E7247" i="9"/>
  <c r="D7247" i="9"/>
  <c r="C7247" i="9"/>
  <c r="B7247" i="9"/>
  <c r="A7247" i="9"/>
  <c r="E7246" i="9"/>
  <c r="D7246" i="9"/>
  <c r="C7246" i="9"/>
  <c r="B7246" i="9"/>
  <c r="A7246" i="9"/>
  <c r="E7245" i="9"/>
  <c r="D7245" i="9"/>
  <c r="C7245" i="9"/>
  <c r="B7245" i="9"/>
  <c r="A7245" i="9"/>
  <c r="E7244" i="9"/>
  <c r="D7244" i="9"/>
  <c r="C7244" i="9"/>
  <c r="B7244" i="9"/>
  <c r="A7244" i="9"/>
  <c r="E7243" i="9"/>
  <c r="D7243" i="9"/>
  <c r="C7243" i="9"/>
  <c r="B7243" i="9"/>
  <c r="A7243" i="9"/>
  <c r="E7242" i="9"/>
  <c r="D7242" i="9"/>
  <c r="C7242" i="9"/>
  <c r="B7242" i="9"/>
  <c r="A7242" i="9"/>
  <c r="E7241" i="9"/>
  <c r="D7241" i="9"/>
  <c r="C7241" i="9"/>
  <c r="B7241" i="9"/>
  <c r="A7241" i="9"/>
  <c r="E7240" i="9"/>
  <c r="D7240" i="9"/>
  <c r="C7240" i="9"/>
  <c r="B7240" i="9"/>
  <c r="A7240" i="9"/>
  <c r="E7239" i="9"/>
  <c r="D7239" i="9"/>
  <c r="C7239" i="9"/>
  <c r="B7239" i="9"/>
  <c r="A7239" i="9"/>
  <c r="E7238" i="9"/>
  <c r="D7238" i="9"/>
  <c r="C7238" i="9"/>
  <c r="B7238" i="9"/>
  <c r="A7238" i="9"/>
  <c r="E7237" i="9"/>
  <c r="D7237" i="9"/>
  <c r="C7237" i="9"/>
  <c r="B7237" i="9"/>
  <c r="A7237" i="9"/>
  <c r="E7236" i="9"/>
  <c r="D7236" i="9"/>
  <c r="C7236" i="9"/>
  <c r="B7236" i="9"/>
  <c r="A7236" i="9"/>
  <c r="E7235" i="9"/>
  <c r="D7235" i="9"/>
  <c r="C7235" i="9"/>
  <c r="B7235" i="9"/>
  <c r="A7235" i="9"/>
  <c r="E7234" i="9"/>
  <c r="D7234" i="9"/>
  <c r="C7234" i="9"/>
  <c r="B7234" i="9"/>
  <c r="A7234" i="9"/>
  <c r="E7233" i="9"/>
  <c r="D7233" i="9"/>
  <c r="C7233" i="9"/>
  <c r="B7233" i="9"/>
  <c r="A7233" i="9"/>
  <c r="E7232" i="9"/>
  <c r="D7232" i="9"/>
  <c r="C7232" i="9"/>
  <c r="B7232" i="9"/>
  <c r="A7232" i="9"/>
  <c r="E7231" i="9"/>
  <c r="D7231" i="9"/>
  <c r="C7231" i="9"/>
  <c r="B7231" i="9"/>
  <c r="A7231" i="9"/>
  <c r="E7230" i="9"/>
  <c r="D7230" i="9"/>
  <c r="C7230" i="9"/>
  <c r="B7230" i="9"/>
  <c r="A7230" i="9"/>
  <c r="E7229" i="9"/>
  <c r="D7229" i="9"/>
  <c r="C7229" i="9"/>
  <c r="B7229" i="9"/>
  <c r="A7229" i="9"/>
  <c r="E7228" i="9"/>
  <c r="D7228" i="9"/>
  <c r="C7228" i="9"/>
  <c r="B7228" i="9"/>
  <c r="A7228" i="9"/>
  <c r="E7227" i="9"/>
  <c r="D7227" i="9"/>
  <c r="C7227" i="9"/>
  <c r="B7227" i="9"/>
  <c r="A7227" i="9"/>
  <c r="E7226" i="9"/>
  <c r="D7226" i="9"/>
  <c r="C7226" i="9"/>
  <c r="B7226" i="9"/>
  <c r="A7226" i="9"/>
  <c r="E7225" i="9"/>
  <c r="D7225" i="9"/>
  <c r="C7225" i="9"/>
  <c r="B7225" i="9"/>
  <c r="A7225" i="9"/>
  <c r="E7224" i="9"/>
  <c r="D7224" i="9"/>
  <c r="C7224" i="9"/>
  <c r="B7224" i="9"/>
  <c r="A7224" i="9"/>
  <c r="E7223" i="9"/>
  <c r="D7223" i="9"/>
  <c r="C7223" i="9"/>
  <c r="B7223" i="9"/>
  <c r="A7223" i="9"/>
  <c r="E7222" i="9"/>
  <c r="D7222" i="9"/>
  <c r="C7222" i="9"/>
  <c r="B7222" i="9"/>
  <c r="A7222" i="9"/>
  <c r="E7221" i="9"/>
  <c r="D7221" i="9"/>
  <c r="C7221" i="9"/>
  <c r="B7221" i="9"/>
  <c r="A7221" i="9"/>
  <c r="E7220" i="9"/>
  <c r="D7220" i="9"/>
  <c r="C7220" i="9"/>
  <c r="B7220" i="9"/>
  <c r="A7220" i="9"/>
  <c r="E7219" i="9"/>
  <c r="D7219" i="9"/>
  <c r="C7219" i="9"/>
  <c r="B7219" i="9"/>
  <c r="A7219" i="9"/>
  <c r="E7218" i="9"/>
  <c r="D7218" i="9"/>
  <c r="C7218" i="9"/>
  <c r="B7218" i="9"/>
  <c r="A7218" i="9"/>
  <c r="E7217" i="9"/>
  <c r="D7217" i="9"/>
  <c r="C7217" i="9"/>
  <c r="B7217" i="9"/>
  <c r="A7217" i="9"/>
  <c r="E7216" i="9"/>
  <c r="D7216" i="9"/>
  <c r="C7216" i="9"/>
  <c r="B7216" i="9"/>
  <c r="A7216" i="9"/>
  <c r="E7215" i="9"/>
  <c r="D7215" i="9"/>
  <c r="C7215" i="9"/>
  <c r="B7215" i="9"/>
  <c r="A7215" i="9"/>
  <c r="E7214" i="9"/>
  <c r="D7214" i="9"/>
  <c r="C7214" i="9"/>
  <c r="B7214" i="9"/>
  <c r="A7214" i="9"/>
  <c r="E7213" i="9"/>
  <c r="D7213" i="9"/>
  <c r="C7213" i="9"/>
  <c r="B7213" i="9"/>
  <c r="A7213" i="9"/>
  <c r="E7212" i="9"/>
  <c r="D7212" i="9"/>
  <c r="C7212" i="9"/>
  <c r="B7212" i="9"/>
  <c r="A7212" i="9"/>
  <c r="E7211" i="9"/>
  <c r="D7211" i="9"/>
  <c r="C7211" i="9"/>
  <c r="B7211" i="9"/>
  <c r="A7211" i="9"/>
  <c r="E7210" i="9"/>
  <c r="D7210" i="9"/>
  <c r="C7210" i="9"/>
  <c r="B7210" i="9"/>
  <c r="A7210" i="9"/>
  <c r="E7209" i="9"/>
  <c r="D7209" i="9"/>
  <c r="C7209" i="9"/>
  <c r="B7209" i="9"/>
  <c r="A7209" i="9"/>
  <c r="E7208" i="9"/>
  <c r="D7208" i="9"/>
  <c r="C7208" i="9"/>
  <c r="B7208" i="9"/>
  <c r="A7208" i="9"/>
  <c r="E7207" i="9"/>
  <c r="D7207" i="9"/>
  <c r="C7207" i="9"/>
  <c r="B7207" i="9"/>
  <c r="A7207" i="9"/>
  <c r="E7206" i="9"/>
  <c r="D7206" i="9"/>
  <c r="C7206" i="9"/>
  <c r="B7206" i="9"/>
  <c r="A7206" i="9"/>
  <c r="E7205" i="9"/>
  <c r="D7205" i="9"/>
  <c r="C7205" i="9"/>
  <c r="B7205" i="9"/>
  <c r="A7205" i="9"/>
  <c r="E7204" i="9"/>
  <c r="D7204" i="9"/>
  <c r="C7204" i="9"/>
  <c r="B7204" i="9"/>
  <c r="A7204" i="9"/>
  <c r="E7203" i="9"/>
  <c r="D7203" i="9"/>
  <c r="C7203" i="9"/>
  <c r="B7203" i="9"/>
  <c r="A7203" i="9"/>
  <c r="E7202" i="9"/>
  <c r="D7202" i="9"/>
  <c r="C7202" i="9"/>
  <c r="B7202" i="9"/>
  <c r="A7202" i="9"/>
  <c r="E7201" i="9"/>
  <c r="D7201" i="9"/>
  <c r="C7201" i="9"/>
  <c r="B7201" i="9"/>
  <c r="A7201" i="9"/>
  <c r="E7200" i="9"/>
  <c r="D7200" i="9"/>
  <c r="C7200" i="9"/>
  <c r="B7200" i="9"/>
  <c r="A7200" i="9"/>
  <c r="E7199" i="9"/>
  <c r="D7199" i="9"/>
  <c r="C7199" i="9"/>
  <c r="B7199" i="9"/>
  <c r="A7199" i="9"/>
  <c r="E7198" i="9"/>
  <c r="D7198" i="9"/>
  <c r="C7198" i="9"/>
  <c r="B7198" i="9"/>
  <c r="A7198" i="9"/>
  <c r="E7197" i="9"/>
  <c r="D7197" i="9"/>
  <c r="C7197" i="9"/>
  <c r="B7197" i="9"/>
  <c r="A7197" i="9"/>
  <c r="E7196" i="9"/>
  <c r="D7196" i="9"/>
  <c r="C7196" i="9"/>
  <c r="B7196" i="9"/>
  <c r="A7196" i="9"/>
  <c r="E7195" i="9"/>
  <c r="D7195" i="9"/>
  <c r="C7195" i="9"/>
  <c r="B7195" i="9"/>
  <c r="A7195" i="9"/>
  <c r="E7194" i="9"/>
  <c r="D7194" i="9"/>
  <c r="C7194" i="9"/>
  <c r="B7194" i="9"/>
  <c r="A7194" i="9"/>
  <c r="E7193" i="9"/>
  <c r="D7193" i="9"/>
  <c r="C7193" i="9"/>
  <c r="B7193" i="9"/>
  <c r="A7193" i="9"/>
  <c r="E7192" i="9"/>
  <c r="D7192" i="9"/>
  <c r="C7192" i="9"/>
  <c r="B7192" i="9"/>
  <c r="A7192" i="9"/>
  <c r="E7191" i="9"/>
  <c r="D7191" i="9"/>
  <c r="C7191" i="9"/>
  <c r="B7191" i="9"/>
  <c r="A7191" i="9"/>
  <c r="E7190" i="9"/>
  <c r="D7190" i="9"/>
  <c r="C7190" i="9"/>
  <c r="B7190" i="9"/>
  <c r="A7190" i="9"/>
  <c r="E7189" i="9"/>
  <c r="D7189" i="9"/>
  <c r="C7189" i="9"/>
  <c r="B7189" i="9"/>
  <c r="A7189" i="9"/>
  <c r="E7188" i="9"/>
  <c r="D7188" i="9"/>
  <c r="C7188" i="9"/>
  <c r="B7188" i="9"/>
  <c r="A7188" i="9"/>
  <c r="E7187" i="9"/>
  <c r="D7187" i="9"/>
  <c r="C7187" i="9"/>
  <c r="B7187" i="9"/>
  <c r="A7187" i="9"/>
  <c r="E7186" i="9"/>
  <c r="D7186" i="9"/>
  <c r="C7186" i="9"/>
  <c r="B7186" i="9"/>
  <c r="A7186" i="9"/>
  <c r="E7185" i="9"/>
  <c r="D7185" i="9"/>
  <c r="C7185" i="9"/>
  <c r="B7185" i="9"/>
  <c r="A7185" i="9"/>
  <c r="E7184" i="9"/>
  <c r="D7184" i="9"/>
  <c r="C7184" i="9"/>
  <c r="B7184" i="9"/>
  <c r="A7184" i="9"/>
  <c r="E7183" i="9"/>
  <c r="D7183" i="9"/>
  <c r="C7183" i="9"/>
  <c r="B7183" i="9"/>
  <c r="A7183" i="9"/>
  <c r="E7182" i="9"/>
  <c r="D7182" i="9"/>
  <c r="C7182" i="9"/>
  <c r="B7182" i="9"/>
  <c r="A7182" i="9"/>
  <c r="E7181" i="9"/>
  <c r="D7181" i="9"/>
  <c r="C7181" i="9"/>
  <c r="B7181" i="9"/>
  <c r="A7181" i="9"/>
  <c r="E7180" i="9"/>
  <c r="D7180" i="9"/>
  <c r="C7180" i="9"/>
  <c r="B7180" i="9"/>
  <c r="A7180" i="9"/>
  <c r="E7179" i="9"/>
  <c r="D7179" i="9"/>
  <c r="C7179" i="9"/>
  <c r="B7179" i="9"/>
  <c r="A7179" i="9"/>
  <c r="E7178" i="9"/>
  <c r="D7178" i="9"/>
  <c r="C7178" i="9"/>
  <c r="B7178" i="9"/>
  <c r="A7178" i="9"/>
  <c r="E7177" i="9"/>
  <c r="D7177" i="9"/>
  <c r="C7177" i="9"/>
  <c r="B7177" i="9"/>
  <c r="A7177" i="9"/>
  <c r="E7176" i="9"/>
  <c r="D7176" i="9"/>
  <c r="C7176" i="9"/>
  <c r="B7176" i="9"/>
  <c r="A7176" i="9"/>
  <c r="E7175" i="9"/>
  <c r="D7175" i="9"/>
  <c r="C7175" i="9"/>
  <c r="B7175" i="9"/>
  <c r="A7175" i="9"/>
  <c r="E7174" i="9"/>
  <c r="D7174" i="9"/>
  <c r="C7174" i="9"/>
  <c r="B7174" i="9"/>
  <c r="A7174" i="9"/>
  <c r="E7173" i="9"/>
  <c r="D7173" i="9"/>
  <c r="C7173" i="9"/>
  <c r="B7173" i="9"/>
  <c r="A7173" i="9"/>
  <c r="E7172" i="9"/>
  <c r="D7172" i="9"/>
  <c r="C7172" i="9"/>
  <c r="B7172" i="9"/>
  <c r="A7172" i="9"/>
  <c r="E7171" i="9"/>
  <c r="D7171" i="9"/>
  <c r="C7171" i="9"/>
  <c r="B7171" i="9"/>
  <c r="A7171" i="9"/>
  <c r="E7170" i="9"/>
  <c r="D7170" i="9"/>
  <c r="C7170" i="9"/>
  <c r="B7170" i="9"/>
  <c r="A7170" i="9"/>
  <c r="E7169" i="9"/>
  <c r="D7169" i="9"/>
  <c r="C7169" i="9"/>
  <c r="B7169" i="9"/>
  <c r="A7169" i="9"/>
  <c r="E7168" i="9"/>
  <c r="D7168" i="9"/>
  <c r="C7168" i="9"/>
  <c r="B7168" i="9"/>
  <c r="A7168" i="9"/>
  <c r="E7167" i="9"/>
  <c r="D7167" i="9"/>
  <c r="C7167" i="9"/>
  <c r="B7167" i="9"/>
  <c r="A7167" i="9"/>
  <c r="E7166" i="9"/>
  <c r="D7166" i="9"/>
  <c r="C7166" i="9"/>
  <c r="B7166" i="9"/>
  <c r="A7166" i="9"/>
  <c r="E7165" i="9"/>
  <c r="D7165" i="9"/>
  <c r="C7165" i="9"/>
  <c r="B7165" i="9"/>
  <c r="A7165" i="9"/>
  <c r="E7164" i="9"/>
  <c r="D7164" i="9"/>
  <c r="C7164" i="9"/>
  <c r="B7164" i="9"/>
  <c r="A7164" i="9"/>
  <c r="E7163" i="9"/>
  <c r="D7163" i="9"/>
  <c r="C7163" i="9"/>
  <c r="B7163" i="9"/>
  <c r="A7163" i="9"/>
  <c r="E7162" i="9"/>
  <c r="D7162" i="9"/>
  <c r="C7162" i="9"/>
  <c r="B7162" i="9"/>
  <c r="A7162" i="9"/>
  <c r="E7161" i="9"/>
  <c r="D7161" i="9"/>
  <c r="C7161" i="9"/>
  <c r="B7161" i="9"/>
  <c r="A7161" i="9"/>
  <c r="E7160" i="9"/>
  <c r="D7160" i="9"/>
  <c r="C7160" i="9"/>
  <c r="B7160" i="9"/>
  <c r="A7160" i="9"/>
  <c r="E7159" i="9"/>
  <c r="D7159" i="9"/>
  <c r="C7159" i="9"/>
  <c r="B7159" i="9"/>
  <c r="A7159" i="9"/>
  <c r="E7158" i="9"/>
  <c r="D7158" i="9"/>
  <c r="C7158" i="9"/>
  <c r="B7158" i="9"/>
  <c r="A7158" i="9"/>
  <c r="E7157" i="9"/>
  <c r="D7157" i="9"/>
  <c r="C7157" i="9"/>
  <c r="B7157" i="9"/>
  <c r="A7157" i="9"/>
  <c r="E7156" i="9"/>
  <c r="D7156" i="9"/>
  <c r="C7156" i="9"/>
  <c r="B7156" i="9"/>
  <c r="A7156" i="9"/>
  <c r="E7155" i="9"/>
  <c r="D7155" i="9"/>
  <c r="C7155" i="9"/>
  <c r="B7155" i="9"/>
  <c r="A7155" i="9"/>
  <c r="E7154" i="9"/>
  <c r="D7154" i="9"/>
  <c r="C7154" i="9"/>
  <c r="B7154" i="9"/>
  <c r="A7154" i="9"/>
  <c r="E7153" i="9"/>
  <c r="D7153" i="9"/>
  <c r="C7153" i="9"/>
  <c r="B7153" i="9"/>
  <c r="A7153" i="9"/>
  <c r="E7152" i="9"/>
  <c r="D7152" i="9"/>
  <c r="C7152" i="9"/>
  <c r="B7152" i="9"/>
  <c r="A7152" i="9"/>
  <c r="Q7151" i="9"/>
  <c r="N7151" i="9"/>
  <c r="I7151" i="9"/>
  <c r="H7151" i="9"/>
  <c r="G7151" i="9"/>
  <c r="F7151" i="9"/>
  <c r="E7151" i="9"/>
  <c r="D7151" i="9"/>
  <c r="C7151" i="9"/>
  <c r="B7151" i="9"/>
  <c r="A7151" i="9"/>
  <c r="E7150" i="9"/>
  <c r="D7150" i="9"/>
  <c r="C7150" i="9"/>
  <c r="B7150" i="9"/>
  <c r="A7150" i="9"/>
  <c r="E7149" i="9"/>
  <c r="D7149" i="9"/>
  <c r="C7149" i="9"/>
  <c r="B7149" i="9"/>
  <c r="A7149" i="9"/>
  <c r="E7148" i="9"/>
  <c r="D7148" i="9"/>
  <c r="C7148" i="9"/>
  <c r="B7148" i="9"/>
  <c r="A7148" i="9"/>
  <c r="E7147" i="9"/>
  <c r="D7147" i="9"/>
  <c r="C7147" i="9"/>
  <c r="B7147" i="9"/>
  <c r="A7147" i="9"/>
  <c r="E7146" i="9"/>
  <c r="D7146" i="9"/>
  <c r="C7146" i="9"/>
  <c r="B7146" i="9"/>
  <c r="A7146" i="9"/>
  <c r="E7145" i="9"/>
  <c r="D7145" i="9"/>
  <c r="C7145" i="9"/>
  <c r="B7145" i="9"/>
  <c r="A7145" i="9"/>
  <c r="E7144" i="9"/>
  <c r="D7144" i="9"/>
  <c r="C7144" i="9"/>
  <c r="B7144" i="9"/>
  <c r="A7144" i="9"/>
  <c r="E7143" i="9"/>
  <c r="D7143" i="9"/>
  <c r="C7143" i="9"/>
  <c r="B7143" i="9"/>
  <c r="A7143" i="9"/>
  <c r="E7142" i="9"/>
  <c r="D7142" i="9"/>
  <c r="C7142" i="9"/>
  <c r="B7142" i="9"/>
  <c r="A7142" i="9"/>
  <c r="E7141" i="9"/>
  <c r="D7141" i="9"/>
  <c r="C7141" i="9"/>
  <c r="B7141" i="9"/>
  <c r="A7141" i="9"/>
  <c r="E7140" i="9"/>
  <c r="D7140" i="9"/>
  <c r="C7140" i="9"/>
  <c r="B7140" i="9"/>
  <c r="A7140" i="9"/>
  <c r="E7139" i="9"/>
  <c r="D7139" i="9"/>
  <c r="C7139" i="9"/>
  <c r="B7139" i="9"/>
  <c r="A7139" i="9"/>
  <c r="E7138" i="9"/>
  <c r="D7138" i="9"/>
  <c r="C7138" i="9"/>
  <c r="B7138" i="9"/>
  <c r="A7138" i="9"/>
  <c r="E7137" i="9"/>
  <c r="D7137" i="9"/>
  <c r="C7137" i="9"/>
  <c r="B7137" i="9"/>
  <c r="A7137" i="9"/>
  <c r="E7136" i="9"/>
  <c r="D7136" i="9"/>
  <c r="C7136" i="9"/>
  <c r="B7136" i="9"/>
  <c r="A7136" i="9"/>
  <c r="E7135" i="9"/>
  <c r="D7135" i="9"/>
  <c r="C7135" i="9"/>
  <c r="B7135" i="9"/>
  <c r="A7135" i="9"/>
  <c r="E7134" i="9"/>
  <c r="D7134" i="9"/>
  <c r="C7134" i="9"/>
  <c r="B7134" i="9"/>
  <c r="A7134" i="9"/>
  <c r="E7133" i="9"/>
  <c r="D7133" i="9"/>
  <c r="C7133" i="9"/>
  <c r="B7133" i="9"/>
  <c r="A7133" i="9"/>
  <c r="E7132" i="9"/>
  <c r="D7132" i="9"/>
  <c r="C7132" i="9"/>
  <c r="B7132" i="9"/>
  <c r="A7132" i="9"/>
  <c r="E7131" i="9"/>
  <c r="D7131" i="9"/>
  <c r="C7131" i="9"/>
  <c r="B7131" i="9"/>
  <c r="A7131" i="9"/>
  <c r="E7130" i="9"/>
  <c r="D7130" i="9"/>
  <c r="C7130" i="9"/>
  <c r="B7130" i="9"/>
  <c r="A7130" i="9"/>
  <c r="E7129" i="9"/>
  <c r="D7129" i="9"/>
  <c r="C7129" i="9"/>
  <c r="B7129" i="9"/>
  <c r="A7129" i="9"/>
  <c r="E7128" i="9"/>
  <c r="D7128" i="9"/>
  <c r="C7128" i="9"/>
  <c r="B7128" i="9"/>
  <c r="A7128" i="9"/>
  <c r="E7127" i="9"/>
  <c r="D7127" i="9"/>
  <c r="C7127" i="9"/>
  <c r="B7127" i="9"/>
  <c r="A7127" i="9"/>
  <c r="E7126" i="9"/>
  <c r="D7126" i="9"/>
  <c r="C7126" i="9"/>
  <c r="B7126" i="9"/>
  <c r="A7126" i="9"/>
  <c r="E7125" i="9"/>
  <c r="D7125" i="9"/>
  <c r="C7125" i="9"/>
  <c r="B7125" i="9"/>
  <c r="A7125" i="9"/>
  <c r="E7124" i="9"/>
  <c r="D7124" i="9"/>
  <c r="C7124" i="9"/>
  <c r="B7124" i="9"/>
  <c r="A7124" i="9"/>
  <c r="E7123" i="9"/>
  <c r="D7123" i="9"/>
  <c r="C7123" i="9"/>
  <c r="B7123" i="9"/>
  <c r="A7123" i="9"/>
  <c r="E7122" i="9"/>
  <c r="D7122" i="9"/>
  <c r="C7122" i="9"/>
  <c r="B7122" i="9"/>
  <c r="A7122" i="9"/>
  <c r="E7121" i="9"/>
  <c r="D7121" i="9"/>
  <c r="C7121" i="9"/>
  <c r="B7121" i="9"/>
  <c r="A7121" i="9"/>
  <c r="E7120" i="9"/>
  <c r="D7120" i="9"/>
  <c r="C7120" i="9"/>
  <c r="B7120" i="9"/>
  <c r="A7120" i="9"/>
  <c r="E7119" i="9"/>
  <c r="D7119" i="9"/>
  <c r="C7119" i="9"/>
  <c r="B7119" i="9"/>
  <c r="A7119" i="9"/>
  <c r="E7118" i="9"/>
  <c r="D7118" i="9"/>
  <c r="C7118" i="9"/>
  <c r="B7118" i="9"/>
  <c r="A7118" i="9"/>
  <c r="E7117" i="9"/>
  <c r="D7117" i="9"/>
  <c r="C7117" i="9"/>
  <c r="B7117" i="9"/>
  <c r="A7117" i="9"/>
  <c r="E7116" i="9"/>
  <c r="D7116" i="9"/>
  <c r="C7116" i="9"/>
  <c r="B7116" i="9"/>
  <c r="A7116" i="9"/>
  <c r="E7115" i="9"/>
  <c r="D7115" i="9"/>
  <c r="C7115" i="9"/>
  <c r="B7115" i="9"/>
  <c r="A7115" i="9"/>
  <c r="E7114" i="9"/>
  <c r="D7114" i="9"/>
  <c r="C7114" i="9"/>
  <c r="B7114" i="9"/>
  <c r="A7114" i="9"/>
  <c r="E7113" i="9"/>
  <c r="D7113" i="9"/>
  <c r="C7113" i="9"/>
  <c r="B7113" i="9"/>
  <c r="A7113" i="9"/>
  <c r="E7112" i="9"/>
  <c r="D7112" i="9"/>
  <c r="C7112" i="9"/>
  <c r="B7112" i="9"/>
  <c r="A7112" i="9"/>
  <c r="E7111" i="9"/>
  <c r="D7111" i="9"/>
  <c r="C7111" i="9"/>
  <c r="B7111" i="9"/>
  <c r="A7111" i="9"/>
  <c r="E7110" i="9"/>
  <c r="D7110" i="9"/>
  <c r="C7110" i="9"/>
  <c r="B7110" i="9"/>
  <c r="A7110" i="9"/>
  <c r="E7109" i="9"/>
  <c r="D7109" i="9"/>
  <c r="C7109" i="9"/>
  <c r="B7109" i="9"/>
  <c r="A7109" i="9"/>
  <c r="E7108" i="9"/>
  <c r="D7108" i="9"/>
  <c r="C7108" i="9"/>
  <c r="B7108" i="9"/>
  <c r="A7108" i="9"/>
  <c r="E7107" i="9"/>
  <c r="D7107" i="9"/>
  <c r="C7107" i="9"/>
  <c r="B7107" i="9"/>
  <c r="A7107" i="9"/>
  <c r="E7106" i="9"/>
  <c r="D7106" i="9"/>
  <c r="C7106" i="9"/>
  <c r="B7106" i="9"/>
  <c r="A7106" i="9"/>
  <c r="E7105" i="9"/>
  <c r="D7105" i="9"/>
  <c r="C7105" i="9"/>
  <c r="B7105" i="9"/>
  <c r="A7105" i="9"/>
  <c r="E7104" i="9"/>
  <c r="D7104" i="9"/>
  <c r="C7104" i="9"/>
  <c r="B7104" i="9"/>
  <c r="A7104" i="9"/>
  <c r="E7103" i="9"/>
  <c r="D7103" i="9"/>
  <c r="C7103" i="9"/>
  <c r="B7103" i="9"/>
  <c r="A7103" i="9"/>
  <c r="E7102" i="9"/>
  <c r="D7102" i="9"/>
  <c r="C7102" i="9"/>
  <c r="B7102" i="9"/>
  <c r="A7102" i="9"/>
  <c r="E7101" i="9"/>
  <c r="D7101" i="9"/>
  <c r="C7101" i="9"/>
  <c r="B7101" i="9"/>
  <c r="A7101" i="9"/>
  <c r="E7100" i="9"/>
  <c r="D7100" i="9"/>
  <c r="C7100" i="9"/>
  <c r="B7100" i="9"/>
  <c r="A7100" i="9"/>
  <c r="E7099" i="9"/>
  <c r="D7099" i="9"/>
  <c r="C7099" i="9"/>
  <c r="B7099" i="9"/>
  <c r="A7099" i="9"/>
  <c r="E7098" i="9"/>
  <c r="D7098" i="9"/>
  <c r="C7098" i="9"/>
  <c r="B7098" i="9"/>
  <c r="A7098" i="9"/>
  <c r="E7097" i="9"/>
  <c r="D7097" i="9"/>
  <c r="C7097" i="9"/>
  <c r="B7097" i="9"/>
  <c r="A7097" i="9"/>
  <c r="E7096" i="9"/>
  <c r="D7096" i="9"/>
  <c r="C7096" i="9"/>
  <c r="B7096" i="9"/>
  <c r="A7096" i="9"/>
  <c r="E7095" i="9"/>
  <c r="D7095" i="9"/>
  <c r="C7095" i="9"/>
  <c r="B7095" i="9"/>
  <c r="A7095" i="9"/>
  <c r="E7094" i="9"/>
  <c r="D7094" i="9"/>
  <c r="C7094" i="9"/>
  <c r="B7094" i="9"/>
  <c r="A7094" i="9"/>
  <c r="E7093" i="9"/>
  <c r="D7093" i="9"/>
  <c r="C7093" i="9"/>
  <c r="B7093" i="9"/>
  <c r="A7093" i="9"/>
  <c r="E7092" i="9"/>
  <c r="D7092" i="9"/>
  <c r="C7092" i="9"/>
  <c r="B7092" i="9"/>
  <c r="A7092" i="9"/>
  <c r="E7091" i="9"/>
  <c r="D7091" i="9"/>
  <c r="C7091" i="9"/>
  <c r="B7091" i="9"/>
  <c r="A7091" i="9"/>
  <c r="E7090" i="9"/>
  <c r="D7090" i="9"/>
  <c r="C7090" i="9"/>
  <c r="B7090" i="9"/>
  <c r="A7090" i="9"/>
  <c r="E7089" i="9"/>
  <c r="D7089" i="9"/>
  <c r="C7089" i="9"/>
  <c r="B7089" i="9"/>
  <c r="A7089" i="9"/>
  <c r="E7088" i="9"/>
  <c r="D7088" i="9"/>
  <c r="C7088" i="9"/>
  <c r="B7088" i="9"/>
  <c r="A7088" i="9"/>
  <c r="E7087" i="9"/>
  <c r="D7087" i="9"/>
  <c r="C7087" i="9"/>
  <c r="B7087" i="9"/>
  <c r="A7087" i="9"/>
  <c r="E7086" i="9"/>
  <c r="D7086" i="9"/>
  <c r="C7086" i="9"/>
  <c r="B7086" i="9"/>
  <c r="A7086" i="9"/>
  <c r="E7085" i="9"/>
  <c r="D7085" i="9"/>
  <c r="C7085" i="9"/>
  <c r="B7085" i="9"/>
  <c r="A7085" i="9"/>
  <c r="E7084" i="9"/>
  <c r="D7084" i="9"/>
  <c r="C7084" i="9"/>
  <c r="B7084" i="9"/>
  <c r="A7084" i="9"/>
  <c r="E7083" i="9"/>
  <c r="D7083" i="9"/>
  <c r="C7083" i="9"/>
  <c r="B7083" i="9"/>
  <c r="A7083" i="9"/>
  <c r="E7082" i="9"/>
  <c r="D7082" i="9"/>
  <c r="C7082" i="9"/>
  <c r="B7082" i="9"/>
  <c r="A7082" i="9"/>
  <c r="E7081" i="9"/>
  <c r="D7081" i="9"/>
  <c r="C7081" i="9"/>
  <c r="B7081" i="9"/>
  <c r="A7081" i="9"/>
  <c r="E7080" i="9"/>
  <c r="D7080" i="9"/>
  <c r="C7080" i="9"/>
  <c r="B7080" i="9"/>
  <c r="A7080" i="9"/>
  <c r="E7079" i="9"/>
  <c r="D7079" i="9"/>
  <c r="C7079" i="9"/>
  <c r="B7079" i="9"/>
  <c r="A7079" i="9"/>
  <c r="E7078" i="9"/>
  <c r="D7078" i="9"/>
  <c r="C7078" i="9"/>
  <c r="B7078" i="9"/>
  <c r="A7078" i="9"/>
  <c r="E7077" i="9"/>
  <c r="D7077" i="9"/>
  <c r="C7077" i="9"/>
  <c r="B7077" i="9"/>
  <c r="A7077" i="9"/>
  <c r="E7076" i="9"/>
  <c r="D7076" i="9"/>
  <c r="C7076" i="9"/>
  <c r="B7076" i="9"/>
  <c r="A7076" i="9"/>
  <c r="E7075" i="9"/>
  <c r="D7075" i="9"/>
  <c r="C7075" i="9"/>
  <c r="B7075" i="9"/>
  <c r="A7075" i="9"/>
  <c r="E7074" i="9"/>
  <c r="D7074" i="9"/>
  <c r="C7074" i="9"/>
  <c r="B7074" i="9"/>
  <c r="A7074" i="9"/>
  <c r="E7073" i="9"/>
  <c r="D7073" i="9"/>
  <c r="C7073" i="9"/>
  <c r="B7073" i="9"/>
  <c r="A7073" i="9"/>
  <c r="E7072" i="9"/>
  <c r="D7072" i="9"/>
  <c r="C7072" i="9"/>
  <c r="B7072" i="9"/>
  <c r="A7072" i="9"/>
  <c r="E7071" i="9"/>
  <c r="D7071" i="9"/>
  <c r="C7071" i="9"/>
  <c r="B7071" i="9"/>
  <c r="A7071" i="9"/>
  <c r="E7070" i="9"/>
  <c r="D7070" i="9"/>
  <c r="C7070" i="9"/>
  <c r="B7070" i="9"/>
  <c r="A7070" i="9"/>
  <c r="E7069" i="9"/>
  <c r="D7069" i="9"/>
  <c r="C7069" i="9"/>
  <c r="B7069" i="9"/>
  <c r="A7069" i="9"/>
  <c r="E7068" i="9"/>
  <c r="D7068" i="9"/>
  <c r="C7068" i="9"/>
  <c r="B7068" i="9"/>
  <c r="A7068" i="9"/>
  <c r="E7067" i="9"/>
  <c r="D7067" i="9"/>
  <c r="C7067" i="9"/>
  <c r="B7067" i="9"/>
  <c r="A7067" i="9"/>
  <c r="E7066" i="9"/>
  <c r="D7066" i="9"/>
  <c r="C7066" i="9"/>
  <c r="B7066" i="9"/>
  <c r="A7066" i="9"/>
  <c r="E7065" i="9"/>
  <c r="D7065" i="9"/>
  <c r="C7065" i="9"/>
  <c r="B7065" i="9"/>
  <c r="A7065" i="9"/>
  <c r="E7064" i="9"/>
  <c r="D7064" i="9"/>
  <c r="C7064" i="9"/>
  <c r="B7064" i="9"/>
  <c r="A7064" i="9"/>
  <c r="E7063" i="9"/>
  <c r="D7063" i="9"/>
  <c r="C7063" i="9"/>
  <c r="B7063" i="9"/>
  <c r="A7063" i="9"/>
  <c r="E7062" i="9"/>
  <c r="D7062" i="9"/>
  <c r="C7062" i="9"/>
  <c r="B7062" i="9"/>
  <c r="A7062" i="9"/>
  <c r="E7061" i="9"/>
  <c r="D7061" i="9"/>
  <c r="C7061" i="9"/>
  <c r="B7061" i="9"/>
  <c r="A7061" i="9"/>
  <c r="E7060" i="9"/>
  <c r="D7060" i="9"/>
  <c r="C7060" i="9"/>
  <c r="B7060" i="9"/>
  <c r="A7060" i="9"/>
  <c r="E7059" i="9"/>
  <c r="D7059" i="9"/>
  <c r="C7059" i="9"/>
  <c r="B7059" i="9"/>
  <c r="A7059" i="9"/>
  <c r="E7058" i="9"/>
  <c r="D7058" i="9"/>
  <c r="C7058" i="9"/>
  <c r="B7058" i="9"/>
  <c r="A7058" i="9"/>
  <c r="E7057" i="9"/>
  <c r="D7057" i="9"/>
  <c r="C7057" i="9"/>
  <c r="B7057" i="9"/>
  <c r="A7057" i="9"/>
  <c r="E7056" i="9"/>
  <c r="D7056" i="9"/>
  <c r="C7056" i="9"/>
  <c r="B7056" i="9"/>
  <c r="A7056" i="9"/>
  <c r="E7055" i="9"/>
  <c r="D7055" i="9"/>
  <c r="C7055" i="9"/>
  <c r="B7055" i="9"/>
  <c r="A7055" i="9"/>
  <c r="E7054" i="9"/>
  <c r="D7054" i="9"/>
  <c r="C7054" i="9"/>
  <c r="B7054" i="9"/>
  <c r="A7054" i="9"/>
  <c r="E7053" i="9"/>
  <c r="D7053" i="9"/>
  <c r="C7053" i="9"/>
  <c r="B7053" i="9"/>
  <c r="A7053" i="9"/>
  <c r="E7052" i="9"/>
  <c r="D7052" i="9"/>
  <c r="C7052" i="9"/>
  <c r="B7052" i="9"/>
  <c r="A7052" i="9"/>
  <c r="E7051" i="9"/>
  <c r="D7051" i="9"/>
  <c r="C7051" i="9"/>
  <c r="B7051" i="9"/>
  <c r="A7051" i="9"/>
  <c r="E7050" i="9"/>
  <c r="D7050" i="9"/>
  <c r="C7050" i="9"/>
  <c r="B7050" i="9"/>
  <c r="A7050" i="9"/>
  <c r="E7049" i="9"/>
  <c r="D7049" i="9"/>
  <c r="C7049" i="9"/>
  <c r="B7049" i="9"/>
  <c r="A7049" i="9"/>
  <c r="E7048" i="9"/>
  <c r="D7048" i="9"/>
  <c r="C7048" i="9"/>
  <c r="B7048" i="9"/>
  <c r="A7048" i="9"/>
  <c r="E7047" i="9"/>
  <c r="D7047" i="9"/>
  <c r="C7047" i="9"/>
  <c r="B7047" i="9"/>
  <c r="A7047" i="9"/>
  <c r="E7046" i="9"/>
  <c r="D7046" i="9"/>
  <c r="C7046" i="9"/>
  <c r="B7046" i="9"/>
  <c r="A7046" i="9"/>
  <c r="E7045" i="9"/>
  <c r="D7045" i="9"/>
  <c r="C7045" i="9"/>
  <c r="B7045" i="9"/>
  <c r="A7045" i="9"/>
  <c r="E7044" i="9"/>
  <c r="D7044" i="9"/>
  <c r="C7044" i="9"/>
  <c r="B7044" i="9"/>
  <c r="A7044" i="9"/>
  <c r="E7043" i="9"/>
  <c r="D7043" i="9"/>
  <c r="C7043" i="9"/>
  <c r="B7043" i="9"/>
  <c r="A7043" i="9"/>
  <c r="E7042" i="9"/>
  <c r="D7042" i="9"/>
  <c r="C7042" i="9"/>
  <c r="B7042" i="9"/>
  <c r="A7042" i="9"/>
  <c r="E7041" i="9"/>
  <c r="D7041" i="9"/>
  <c r="C7041" i="9"/>
  <c r="B7041" i="9"/>
  <c r="A7041" i="9"/>
  <c r="E7040" i="9"/>
  <c r="D7040" i="9"/>
  <c r="C7040" i="9"/>
  <c r="B7040" i="9"/>
  <c r="A7040" i="9"/>
  <c r="E7039" i="9"/>
  <c r="D7039" i="9"/>
  <c r="C7039" i="9"/>
  <c r="B7039" i="9"/>
  <c r="A7039" i="9"/>
  <c r="E7038" i="9"/>
  <c r="D7038" i="9"/>
  <c r="C7038" i="9"/>
  <c r="B7038" i="9"/>
  <c r="A7038" i="9"/>
  <c r="E7037" i="9"/>
  <c r="D7037" i="9"/>
  <c r="C7037" i="9"/>
  <c r="B7037" i="9"/>
  <c r="A7037" i="9"/>
  <c r="E7036" i="9"/>
  <c r="D7036" i="9"/>
  <c r="C7036" i="9"/>
  <c r="B7036" i="9"/>
  <c r="A7036" i="9"/>
  <c r="E7035" i="9"/>
  <c r="D7035" i="9"/>
  <c r="C7035" i="9"/>
  <c r="B7035" i="9"/>
  <c r="A7035" i="9"/>
  <c r="E7034" i="9"/>
  <c r="D7034" i="9"/>
  <c r="C7034" i="9"/>
  <c r="B7034" i="9"/>
  <c r="A7034" i="9"/>
  <c r="E7033" i="9"/>
  <c r="D7033" i="9"/>
  <c r="C7033" i="9"/>
  <c r="B7033" i="9"/>
  <c r="A7033" i="9"/>
  <c r="E7032" i="9"/>
  <c r="D7032" i="9"/>
  <c r="C7032" i="9"/>
  <c r="B7032" i="9"/>
  <c r="A7032" i="9"/>
  <c r="E7031" i="9"/>
  <c r="D7031" i="9"/>
  <c r="C7031" i="9"/>
  <c r="B7031" i="9"/>
  <c r="A7031" i="9"/>
  <c r="E7030" i="9"/>
  <c r="D7030" i="9"/>
  <c r="C7030" i="9"/>
  <c r="B7030" i="9"/>
  <c r="A7030" i="9"/>
  <c r="E7029" i="9"/>
  <c r="D7029" i="9"/>
  <c r="C7029" i="9"/>
  <c r="B7029" i="9"/>
  <c r="A7029" i="9"/>
  <c r="E7028" i="9"/>
  <c r="D7028" i="9"/>
  <c r="C7028" i="9"/>
  <c r="B7028" i="9"/>
  <c r="A7028" i="9"/>
  <c r="E7027" i="9"/>
  <c r="D7027" i="9"/>
  <c r="C7027" i="9"/>
  <c r="B7027" i="9"/>
  <c r="A7027" i="9"/>
  <c r="E7026" i="9"/>
  <c r="D7026" i="9"/>
  <c r="C7026" i="9"/>
  <c r="B7026" i="9"/>
  <c r="A7026" i="9"/>
  <c r="E7025" i="9"/>
  <c r="D7025" i="9"/>
  <c r="C7025" i="9"/>
  <c r="B7025" i="9"/>
  <c r="A7025" i="9"/>
  <c r="E7024" i="9"/>
  <c r="D7024" i="9"/>
  <c r="C7024" i="9"/>
  <c r="B7024" i="9"/>
  <c r="A7024" i="9"/>
  <c r="E7023" i="9"/>
  <c r="D7023" i="9"/>
  <c r="C7023" i="9"/>
  <c r="B7023" i="9"/>
  <c r="A7023" i="9"/>
  <c r="E7022" i="9"/>
  <c r="D7022" i="9"/>
  <c r="C7022" i="9"/>
  <c r="B7022" i="9"/>
  <c r="A7022" i="9"/>
  <c r="E7021" i="9"/>
  <c r="D7021" i="9"/>
  <c r="C7021" i="9"/>
  <c r="B7021" i="9"/>
  <c r="A7021" i="9"/>
  <c r="E7020" i="9"/>
  <c r="D7020" i="9"/>
  <c r="C7020" i="9"/>
  <c r="B7020" i="9"/>
  <c r="A7020" i="9"/>
  <c r="E7019" i="9"/>
  <c r="D7019" i="9"/>
  <c r="C7019" i="9"/>
  <c r="B7019" i="9"/>
  <c r="A7019" i="9"/>
  <c r="E7018" i="9"/>
  <c r="D7018" i="9"/>
  <c r="C7018" i="9"/>
  <c r="B7018" i="9"/>
  <c r="A7018" i="9"/>
  <c r="E7017" i="9"/>
  <c r="D7017" i="9"/>
  <c r="C7017" i="9"/>
  <c r="B7017" i="9"/>
  <c r="A7017" i="9"/>
  <c r="E7016" i="9"/>
  <c r="D7016" i="9"/>
  <c r="C7016" i="9"/>
  <c r="B7016" i="9"/>
  <c r="A7016" i="9"/>
  <c r="E7015" i="9"/>
  <c r="D7015" i="9"/>
  <c r="C7015" i="9"/>
  <c r="B7015" i="9"/>
  <c r="A7015" i="9"/>
  <c r="E7014" i="9"/>
  <c r="D7014" i="9"/>
  <c r="C7014" i="9"/>
  <c r="B7014" i="9"/>
  <c r="A7014" i="9"/>
  <c r="E7013" i="9"/>
  <c r="D7013" i="9"/>
  <c r="C7013" i="9"/>
  <c r="B7013" i="9"/>
  <c r="A7013" i="9"/>
  <c r="E7012" i="9"/>
  <c r="D7012" i="9"/>
  <c r="C7012" i="9"/>
  <c r="B7012" i="9"/>
  <c r="A7012" i="9"/>
  <c r="E7011" i="9"/>
  <c r="D7011" i="9"/>
  <c r="C7011" i="9"/>
  <c r="B7011" i="9"/>
  <c r="A7011" i="9"/>
  <c r="E7010" i="9"/>
  <c r="D7010" i="9"/>
  <c r="C7010" i="9"/>
  <c r="B7010" i="9"/>
  <c r="A7010" i="9"/>
  <c r="E7009" i="9"/>
  <c r="D7009" i="9"/>
  <c r="C7009" i="9"/>
  <c r="B7009" i="9"/>
  <c r="A7009" i="9"/>
  <c r="E7008" i="9"/>
  <c r="D7008" i="9"/>
  <c r="C7008" i="9"/>
  <c r="B7008" i="9"/>
  <c r="A7008" i="9"/>
  <c r="E7007" i="9"/>
  <c r="D7007" i="9"/>
  <c r="C7007" i="9"/>
  <c r="B7007" i="9"/>
  <c r="A7007" i="9"/>
  <c r="E7006" i="9"/>
  <c r="D7006" i="9"/>
  <c r="C7006" i="9"/>
  <c r="B7006" i="9"/>
  <c r="A7006" i="9"/>
  <c r="E7005" i="9"/>
  <c r="D7005" i="9"/>
  <c r="C7005" i="9"/>
  <c r="B7005" i="9"/>
  <c r="A7005" i="9"/>
  <c r="E7004" i="9"/>
  <c r="D7004" i="9"/>
  <c r="C7004" i="9"/>
  <c r="B7004" i="9"/>
  <c r="A7004" i="9"/>
  <c r="E7003" i="9"/>
  <c r="D7003" i="9"/>
  <c r="C7003" i="9"/>
  <c r="B7003" i="9"/>
  <c r="A7003" i="9"/>
  <c r="E7002" i="9"/>
  <c r="D7002" i="9"/>
  <c r="C7002" i="9"/>
  <c r="B7002" i="9"/>
  <c r="A7002" i="9"/>
  <c r="E7001" i="9"/>
  <c r="D7001" i="9"/>
  <c r="C7001" i="9"/>
  <c r="B7001" i="9"/>
  <c r="A7001" i="9"/>
  <c r="E7000" i="9"/>
  <c r="D7000" i="9"/>
  <c r="C7000" i="9"/>
  <c r="B7000" i="9"/>
  <c r="A7000" i="9"/>
  <c r="E6999" i="9"/>
  <c r="D6999" i="9"/>
  <c r="C6999" i="9"/>
  <c r="B6999" i="9"/>
  <c r="A6999" i="9"/>
  <c r="E6998" i="9"/>
  <c r="D6998" i="9"/>
  <c r="C6998" i="9"/>
  <c r="B6998" i="9"/>
  <c r="A6998" i="9"/>
  <c r="E6997" i="9"/>
  <c r="D6997" i="9"/>
  <c r="C6997" i="9"/>
  <c r="B6997" i="9"/>
  <c r="A6997" i="9"/>
  <c r="E6996" i="9"/>
  <c r="D6996" i="9"/>
  <c r="C6996" i="9"/>
  <c r="B6996" i="9"/>
  <c r="A6996" i="9"/>
  <c r="E6995" i="9"/>
  <c r="D6995" i="9"/>
  <c r="C6995" i="9"/>
  <c r="B6995" i="9"/>
  <c r="A6995" i="9"/>
  <c r="E6994" i="9"/>
  <c r="D6994" i="9"/>
  <c r="C6994" i="9"/>
  <c r="B6994" i="9"/>
  <c r="A6994" i="9"/>
  <c r="E6993" i="9"/>
  <c r="D6993" i="9"/>
  <c r="C6993" i="9"/>
  <c r="B6993" i="9"/>
  <c r="A6993" i="9"/>
  <c r="E6992" i="9"/>
  <c r="D6992" i="9"/>
  <c r="C6992" i="9"/>
  <c r="B6992" i="9"/>
  <c r="A6992" i="9"/>
  <c r="E6991" i="9"/>
  <c r="D6991" i="9"/>
  <c r="C6991" i="9"/>
  <c r="B6991" i="9"/>
  <c r="A6991" i="9"/>
  <c r="E6990" i="9"/>
  <c r="D6990" i="9"/>
  <c r="C6990" i="9"/>
  <c r="B6990" i="9"/>
  <c r="A6990" i="9"/>
  <c r="E6989" i="9"/>
  <c r="D6989" i="9"/>
  <c r="C6989" i="9"/>
  <c r="B6989" i="9"/>
  <c r="A6989" i="9"/>
  <c r="E6988" i="9"/>
  <c r="D6988" i="9"/>
  <c r="C6988" i="9"/>
  <c r="B6988" i="9"/>
  <c r="A6988" i="9"/>
  <c r="E6987" i="9"/>
  <c r="D6987" i="9"/>
  <c r="C6987" i="9"/>
  <c r="B6987" i="9"/>
  <c r="A6987" i="9"/>
  <c r="E6986" i="9"/>
  <c r="D6986" i="9"/>
  <c r="C6986" i="9"/>
  <c r="B6986" i="9"/>
  <c r="A6986" i="9"/>
  <c r="E6985" i="9"/>
  <c r="D6985" i="9"/>
  <c r="C6985" i="9"/>
  <c r="B6985" i="9"/>
  <c r="A6985" i="9"/>
  <c r="E6984" i="9"/>
  <c r="D6984" i="9"/>
  <c r="C6984" i="9"/>
  <c r="B6984" i="9"/>
  <c r="A6984" i="9"/>
  <c r="E6983" i="9"/>
  <c r="D6983" i="9"/>
  <c r="C6983" i="9"/>
  <c r="B6983" i="9"/>
  <c r="A6983" i="9"/>
  <c r="E6982" i="9"/>
  <c r="D6982" i="9"/>
  <c r="C6982" i="9"/>
  <c r="B6982" i="9"/>
  <c r="A6982" i="9"/>
  <c r="E6981" i="9"/>
  <c r="D6981" i="9"/>
  <c r="C6981" i="9"/>
  <c r="B6981" i="9"/>
  <c r="A6981" i="9"/>
  <c r="E6980" i="9"/>
  <c r="D6980" i="9"/>
  <c r="C6980" i="9"/>
  <c r="B6980" i="9"/>
  <c r="A6980" i="9"/>
  <c r="E6979" i="9"/>
  <c r="D6979" i="9"/>
  <c r="C6979" i="9"/>
  <c r="B6979" i="9"/>
  <c r="A6979" i="9"/>
  <c r="E6978" i="9"/>
  <c r="D6978" i="9"/>
  <c r="C6978" i="9"/>
  <c r="B6978" i="9"/>
  <c r="A6978" i="9"/>
  <c r="E6977" i="9"/>
  <c r="D6977" i="9"/>
  <c r="C6977" i="9"/>
  <c r="B6977" i="9"/>
  <c r="A6977" i="9"/>
  <c r="E6976" i="9"/>
  <c r="D6976" i="9"/>
  <c r="C6976" i="9"/>
  <c r="B6976" i="9"/>
  <c r="A6976" i="9"/>
  <c r="E6975" i="9"/>
  <c r="D6975" i="9"/>
  <c r="C6975" i="9"/>
  <c r="B6975" i="9"/>
  <c r="A6975" i="9"/>
  <c r="E6974" i="9"/>
  <c r="D6974" i="9"/>
  <c r="C6974" i="9"/>
  <c r="B6974" i="9"/>
  <c r="A6974" i="9"/>
  <c r="E6973" i="9"/>
  <c r="D6973" i="9"/>
  <c r="C6973" i="9"/>
  <c r="B6973" i="9"/>
  <c r="A6973" i="9"/>
  <c r="E6972" i="9"/>
  <c r="D6972" i="9"/>
  <c r="C6972" i="9"/>
  <c r="B6972" i="9"/>
  <c r="A6972" i="9"/>
  <c r="E6971" i="9"/>
  <c r="D6971" i="9"/>
  <c r="C6971" i="9"/>
  <c r="B6971" i="9"/>
  <c r="A6971" i="9"/>
  <c r="E6970" i="9"/>
  <c r="D6970" i="9"/>
  <c r="C6970" i="9"/>
  <c r="B6970" i="9"/>
  <c r="A6970" i="9"/>
  <c r="E6969" i="9"/>
  <c r="D6969" i="9"/>
  <c r="C6969" i="9"/>
  <c r="B6969" i="9"/>
  <c r="A6969" i="9"/>
  <c r="E6968" i="9"/>
  <c r="D6968" i="9"/>
  <c r="C6968" i="9"/>
  <c r="B6968" i="9"/>
  <c r="A6968" i="9"/>
  <c r="E6967" i="9"/>
  <c r="D6967" i="9"/>
  <c r="C6967" i="9"/>
  <c r="B6967" i="9"/>
  <c r="A6967" i="9"/>
  <c r="E6966" i="9"/>
  <c r="D6966" i="9"/>
  <c r="C6966" i="9"/>
  <c r="B6966" i="9"/>
  <c r="A6966" i="9"/>
  <c r="E6965" i="9"/>
  <c r="D6965" i="9"/>
  <c r="C6965" i="9"/>
  <c r="B6965" i="9"/>
  <c r="A6965" i="9"/>
  <c r="E6964" i="9"/>
  <c r="D6964" i="9"/>
  <c r="C6964" i="9"/>
  <c r="B6964" i="9"/>
  <c r="A6964" i="9"/>
  <c r="E6963" i="9"/>
  <c r="D6963" i="9"/>
  <c r="C6963" i="9"/>
  <c r="B6963" i="9"/>
  <c r="A6963" i="9"/>
  <c r="E6962" i="9"/>
  <c r="D6962" i="9"/>
  <c r="C6962" i="9"/>
  <c r="B6962" i="9"/>
  <c r="A6962" i="9"/>
  <c r="E6961" i="9"/>
  <c r="D6961" i="9"/>
  <c r="C6961" i="9"/>
  <c r="B6961" i="9"/>
  <c r="A6961" i="9"/>
  <c r="E6960" i="9"/>
  <c r="D6960" i="9"/>
  <c r="C6960" i="9"/>
  <c r="B6960" i="9"/>
  <c r="A6960" i="9"/>
  <c r="E6959" i="9"/>
  <c r="D6959" i="9"/>
  <c r="C6959" i="9"/>
  <c r="B6959" i="9"/>
  <c r="A6959" i="9"/>
  <c r="E6958" i="9"/>
  <c r="D6958" i="9"/>
  <c r="C6958" i="9"/>
  <c r="B6958" i="9"/>
  <c r="A6958" i="9"/>
  <c r="E6957" i="9"/>
  <c r="D6957" i="9"/>
  <c r="C6957" i="9"/>
  <c r="B6957" i="9"/>
  <c r="A6957" i="9"/>
  <c r="E6956" i="9"/>
  <c r="D6956" i="9"/>
  <c r="C6956" i="9"/>
  <c r="B6956" i="9"/>
  <c r="A6956" i="9"/>
  <c r="E6955" i="9"/>
  <c r="D6955" i="9"/>
  <c r="C6955" i="9"/>
  <c r="B6955" i="9"/>
  <c r="A6955" i="9"/>
  <c r="E6954" i="9"/>
  <c r="D6954" i="9"/>
  <c r="C6954" i="9"/>
  <c r="B6954" i="9"/>
  <c r="A6954" i="9"/>
  <c r="E6953" i="9"/>
  <c r="D6953" i="9"/>
  <c r="C6953" i="9"/>
  <c r="B6953" i="9"/>
  <c r="A6953" i="9"/>
  <c r="E6952" i="9"/>
  <c r="D6952" i="9"/>
  <c r="C6952" i="9"/>
  <c r="B6952" i="9"/>
  <c r="A6952" i="9"/>
  <c r="E6951" i="9"/>
  <c r="D6951" i="9"/>
  <c r="C6951" i="9"/>
  <c r="B6951" i="9"/>
  <c r="A6951" i="9"/>
  <c r="E6950" i="9"/>
  <c r="D6950" i="9"/>
  <c r="C6950" i="9"/>
  <c r="B6950" i="9"/>
  <c r="A6950" i="9"/>
  <c r="E6949" i="9"/>
  <c r="D6949" i="9"/>
  <c r="C6949" i="9"/>
  <c r="B6949" i="9"/>
  <c r="A6949" i="9"/>
  <c r="E6948" i="9"/>
  <c r="D6948" i="9"/>
  <c r="C6948" i="9"/>
  <c r="B6948" i="9"/>
  <c r="A6948" i="9"/>
  <c r="E6947" i="9"/>
  <c r="D6947" i="9"/>
  <c r="C6947" i="9"/>
  <c r="B6947" i="9"/>
  <c r="A6947" i="9"/>
  <c r="E6946" i="9"/>
  <c r="D6946" i="9"/>
  <c r="C6946" i="9"/>
  <c r="B6946" i="9"/>
  <c r="A6946" i="9"/>
  <c r="E6945" i="9"/>
  <c r="D6945" i="9"/>
  <c r="C6945" i="9"/>
  <c r="B6945" i="9"/>
  <c r="A6945" i="9"/>
  <c r="E6944" i="9"/>
  <c r="D6944" i="9"/>
  <c r="C6944" i="9"/>
  <c r="B6944" i="9"/>
  <c r="A6944" i="9"/>
  <c r="E6943" i="9"/>
  <c r="D6943" i="9"/>
  <c r="C6943" i="9"/>
  <c r="B6943" i="9"/>
  <c r="A6943" i="9"/>
  <c r="E6942" i="9"/>
  <c r="D6942" i="9"/>
  <c r="C6942" i="9"/>
  <c r="B6942" i="9"/>
  <c r="A6942" i="9"/>
  <c r="E6941" i="9"/>
  <c r="D6941" i="9"/>
  <c r="C6941" i="9"/>
  <c r="B6941" i="9"/>
  <c r="A6941" i="9"/>
  <c r="E6940" i="9"/>
  <c r="D6940" i="9"/>
  <c r="C6940" i="9"/>
  <c r="B6940" i="9"/>
  <c r="A6940" i="9"/>
  <c r="E6939" i="9"/>
  <c r="D6939" i="9"/>
  <c r="C6939" i="9"/>
  <c r="B6939" i="9"/>
  <c r="A6939" i="9"/>
  <c r="E6938" i="9"/>
  <c r="D6938" i="9"/>
  <c r="C6938" i="9"/>
  <c r="B6938" i="9"/>
  <c r="A6938" i="9"/>
  <c r="E6937" i="9"/>
  <c r="D6937" i="9"/>
  <c r="C6937" i="9"/>
  <c r="B6937" i="9"/>
  <c r="A6937" i="9"/>
  <c r="E6936" i="9"/>
  <c r="D6936" i="9"/>
  <c r="C6936" i="9"/>
  <c r="B6936" i="9"/>
  <c r="A6936" i="9"/>
  <c r="E6935" i="9"/>
  <c r="D6935" i="9"/>
  <c r="C6935" i="9"/>
  <c r="B6935" i="9"/>
  <c r="A6935" i="9"/>
  <c r="E6934" i="9"/>
  <c r="D6934" i="9"/>
  <c r="C6934" i="9"/>
  <c r="B6934" i="9"/>
  <c r="A6934" i="9"/>
  <c r="E6933" i="9"/>
  <c r="D6933" i="9"/>
  <c r="C6933" i="9"/>
  <c r="B6933" i="9"/>
  <c r="A6933" i="9"/>
  <c r="E6932" i="9"/>
  <c r="D6932" i="9"/>
  <c r="C6932" i="9"/>
  <c r="B6932" i="9"/>
  <c r="A6932" i="9"/>
  <c r="E6931" i="9"/>
  <c r="D6931" i="9"/>
  <c r="C6931" i="9"/>
  <c r="B6931" i="9"/>
  <c r="A6931" i="9"/>
  <c r="E6930" i="9"/>
  <c r="D6930" i="9"/>
  <c r="C6930" i="9"/>
  <c r="B6930" i="9"/>
  <c r="A6930" i="9"/>
  <c r="E6929" i="9"/>
  <c r="D6929" i="9"/>
  <c r="C6929" i="9"/>
  <c r="B6929" i="9"/>
  <c r="A6929" i="9"/>
  <c r="E6928" i="9"/>
  <c r="D6928" i="9"/>
  <c r="C6928" i="9"/>
  <c r="B6928" i="9"/>
  <c r="A6928" i="9"/>
  <c r="E6927" i="9"/>
  <c r="D6927" i="9"/>
  <c r="C6927" i="9"/>
  <c r="B6927" i="9"/>
  <c r="A6927" i="9"/>
  <c r="E6926" i="9"/>
  <c r="D6926" i="9"/>
  <c r="C6926" i="9"/>
  <c r="B6926" i="9"/>
  <c r="A6926" i="9"/>
  <c r="E6925" i="9"/>
  <c r="D6925" i="9"/>
  <c r="C6925" i="9"/>
  <c r="B6925" i="9"/>
  <c r="A6925" i="9"/>
  <c r="E6924" i="9"/>
  <c r="D6924" i="9"/>
  <c r="C6924" i="9"/>
  <c r="B6924" i="9"/>
  <c r="A6924" i="9"/>
  <c r="E6923" i="9"/>
  <c r="D6923" i="9"/>
  <c r="C6923" i="9"/>
  <c r="B6923" i="9"/>
  <c r="A6923" i="9"/>
  <c r="E6922" i="9"/>
  <c r="D6922" i="9"/>
  <c r="C6922" i="9"/>
  <c r="B6922" i="9"/>
  <c r="A6922" i="9"/>
  <c r="E6921" i="9"/>
  <c r="D6921" i="9"/>
  <c r="C6921" i="9"/>
  <c r="B6921" i="9"/>
  <c r="A6921" i="9"/>
  <c r="E6920" i="9"/>
  <c r="D6920" i="9"/>
  <c r="C6920" i="9"/>
  <c r="B6920" i="9"/>
  <c r="A6920" i="9"/>
  <c r="E6919" i="9"/>
  <c r="D6919" i="9"/>
  <c r="C6919" i="9"/>
  <c r="B6919" i="9"/>
  <c r="A6919" i="9"/>
  <c r="E6918" i="9"/>
  <c r="D6918" i="9"/>
  <c r="C6918" i="9"/>
  <c r="B6918" i="9"/>
  <c r="A6918" i="9"/>
  <c r="E6917" i="9"/>
  <c r="D6917" i="9"/>
  <c r="C6917" i="9"/>
  <c r="B6917" i="9"/>
  <c r="A6917" i="9"/>
  <c r="E6916" i="9"/>
  <c r="D6916" i="9"/>
  <c r="C6916" i="9"/>
  <c r="B6916" i="9"/>
  <c r="A6916" i="9"/>
  <c r="E6915" i="9"/>
  <c r="D6915" i="9"/>
  <c r="C6915" i="9"/>
  <c r="B6915" i="9"/>
  <c r="A6915" i="9"/>
  <c r="E6914" i="9"/>
  <c r="D6914" i="9"/>
  <c r="C6914" i="9"/>
  <c r="B6914" i="9"/>
  <c r="A6914" i="9"/>
  <c r="E6913" i="9"/>
  <c r="D6913" i="9"/>
  <c r="C6913" i="9"/>
  <c r="B6913" i="9"/>
  <c r="A6913" i="9"/>
  <c r="E6912" i="9"/>
  <c r="D6912" i="9"/>
  <c r="C6912" i="9"/>
  <c r="B6912" i="9"/>
  <c r="A6912" i="9"/>
  <c r="E6911" i="9"/>
  <c r="D6911" i="9"/>
  <c r="C6911" i="9"/>
  <c r="B6911" i="9"/>
  <c r="A6911" i="9"/>
  <c r="E6910" i="9"/>
  <c r="D6910" i="9"/>
  <c r="C6910" i="9"/>
  <c r="B6910" i="9"/>
  <c r="A6910" i="9"/>
  <c r="E6909" i="9"/>
  <c r="D6909" i="9"/>
  <c r="C6909" i="9"/>
  <c r="B6909" i="9"/>
  <c r="A6909" i="9"/>
  <c r="E6908" i="9"/>
  <c r="D6908" i="9"/>
  <c r="C6908" i="9"/>
  <c r="B6908" i="9"/>
  <c r="A6908" i="9"/>
  <c r="E6907" i="9"/>
  <c r="D6907" i="9"/>
  <c r="C6907" i="9"/>
  <c r="B6907" i="9"/>
  <c r="A6907" i="9"/>
  <c r="E6906" i="9"/>
  <c r="D6906" i="9"/>
  <c r="C6906" i="9"/>
  <c r="B6906" i="9"/>
  <c r="A6906" i="9"/>
  <c r="E6905" i="9"/>
  <c r="D6905" i="9"/>
  <c r="C6905" i="9"/>
  <c r="B6905" i="9"/>
  <c r="A6905" i="9"/>
  <c r="E6904" i="9"/>
  <c r="D6904" i="9"/>
  <c r="C6904" i="9"/>
  <c r="B6904" i="9"/>
  <c r="A6904" i="9"/>
  <c r="E6903" i="9"/>
  <c r="D6903" i="9"/>
  <c r="C6903" i="9"/>
  <c r="B6903" i="9"/>
  <c r="A6903" i="9"/>
  <c r="E6902" i="9"/>
  <c r="D6902" i="9"/>
  <c r="C6902" i="9"/>
  <c r="B6902" i="9"/>
  <c r="A6902" i="9"/>
  <c r="E6901" i="9"/>
  <c r="D6901" i="9"/>
  <c r="C6901" i="9"/>
  <c r="B6901" i="9"/>
  <c r="A6901" i="9"/>
  <c r="E6900" i="9"/>
  <c r="D6900" i="9"/>
  <c r="C6900" i="9"/>
  <c r="B6900" i="9"/>
  <c r="A6900" i="9"/>
  <c r="E6899" i="9"/>
  <c r="D6899" i="9"/>
  <c r="C6899" i="9"/>
  <c r="B6899" i="9"/>
  <c r="A6899" i="9"/>
  <c r="E6898" i="9"/>
  <c r="D6898" i="9"/>
  <c r="C6898" i="9"/>
  <c r="B6898" i="9"/>
  <c r="A6898" i="9"/>
  <c r="E6897" i="9"/>
  <c r="D6897" i="9"/>
  <c r="C6897" i="9"/>
  <c r="B6897" i="9"/>
  <c r="A6897" i="9"/>
  <c r="E6896" i="9"/>
  <c r="D6896" i="9"/>
  <c r="C6896" i="9"/>
  <c r="B6896" i="9"/>
  <c r="A6896" i="9"/>
  <c r="E6895" i="9"/>
  <c r="D6895" i="9"/>
  <c r="C6895" i="9"/>
  <c r="B6895" i="9"/>
  <c r="A6895" i="9"/>
  <c r="E6894" i="9"/>
  <c r="D6894" i="9"/>
  <c r="C6894" i="9"/>
  <c r="B6894" i="9"/>
  <c r="A6894" i="9"/>
  <c r="E6893" i="9"/>
  <c r="D6893" i="9"/>
  <c r="C6893" i="9"/>
  <c r="B6893" i="9"/>
  <c r="A6893" i="9"/>
  <c r="E6892" i="9"/>
  <c r="D6892" i="9"/>
  <c r="C6892" i="9"/>
  <c r="B6892" i="9"/>
  <c r="A6892" i="9"/>
  <c r="E6891" i="9"/>
  <c r="D6891" i="9"/>
  <c r="C6891" i="9"/>
  <c r="B6891" i="9"/>
  <c r="A6891" i="9"/>
  <c r="E6890" i="9"/>
  <c r="D6890" i="9"/>
  <c r="C6890" i="9"/>
  <c r="B6890" i="9"/>
  <c r="A6890" i="9"/>
  <c r="E6889" i="9"/>
  <c r="D6889" i="9"/>
  <c r="C6889" i="9"/>
  <c r="B6889" i="9"/>
  <c r="A6889" i="9"/>
  <c r="E6888" i="9"/>
  <c r="D6888" i="9"/>
  <c r="C6888" i="9"/>
  <c r="B6888" i="9"/>
  <c r="A6888" i="9"/>
  <c r="E6887" i="9"/>
  <c r="D6887" i="9"/>
  <c r="C6887" i="9"/>
  <c r="B6887" i="9"/>
  <c r="A6887" i="9"/>
  <c r="E6886" i="9"/>
  <c r="D6886" i="9"/>
  <c r="C6886" i="9"/>
  <c r="B6886" i="9"/>
  <c r="A6886" i="9"/>
  <c r="E6885" i="9"/>
  <c r="D6885" i="9"/>
  <c r="C6885" i="9"/>
  <c r="B6885" i="9"/>
  <c r="A6885" i="9"/>
  <c r="E6884" i="9"/>
  <c r="D6884" i="9"/>
  <c r="C6884" i="9"/>
  <c r="B6884" i="9"/>
  <c r="A6884" i="9"/>
  <c r="E6883" i="9"/>
  <c r="D6883" i="9"/>
  <c r="C6883" i="9"/>
  <c r="B6883" i="9"/>
  <c r="A6883" i="9"/>
  <c r="E6882" i="9"/>
  <c r="D6882" i="9"/>
  <c r="C6882" i="9"/>
  <c r="B6882" i="9"/>
  <c r="A6882" i="9"/>
  <c r="E6881" i="9"/>
  <c r="D6881" i="9"/>
  <c r="C6881" i="9"/>
  <c r="B6881" i="9"/>
  <c r="A6881" i="9"/>
  <c r="E6880" i="9"/>
  <c r="D6880" i="9"/>
  <c r="C6880" i="9"/>
  <c r="B6880" i="9"/>
  <c r="A6880" i="9"/>
  <c r="E6879" i="9"/>
  <c r="D6879" i="9"/>
  <c r="C6879" i="9"/>
  <c r="B6879" i="9"/>
  <c r="A6879" i="9"/>
  <c r="E6878" i="9"/>
  <c r="D6878" i="9"/>
  <c r="C6878" i="9"/>
  <c r="B6878" i="9"/>
  <c r="A6878" i="9"/>
  <c r="E6877" i="9"/>
  <c r="D6877" i="9"/>
  <c r="C6877" i="9"/>
  <c r="B6877" i="9"/>
  <c r="A6877" i="9"/>
  <c r="E6876" i="9"/>
  <c r="D6876" i="9"/>
  <c r="C6876" i="9"/>
  <c r="B6876" i="9"/>
  <c r="A6876" i="9"/>
  <c r="E6875" i="9"/>
  <c r="D6875" i="9"/>
  <c r="C6875" i="9"/>
  <c r="B6875" i="9"/>
  <c r="A6875" i="9"/>
  <c r="E6874" i="9"/>
  <c r="D6874" i="9"/>
  <c r="C6874" i="9"/>
  <c r="B6874" i="9"/>
  <c r="A6874" i="9"/>
  <c r="E6873" i="9"/>
  <c r="D6873" i="9"/>
  <c r="C6873" i="9"/>
  <c r="B6873" i="9"/>
  <c r="A6873" i="9"/>
  <c r="E6872" i="9"/>
  <c r="D6872" i="9"/>
  <c r="C6872" i="9"/>
  <c r="B6872" i="9"/>
  <c r="A6872" i="9"/>
  <c r="E6871" i="9"/>
  <c r="D6871" i="9"/>
  <c r="C6871" i="9"/>
  <c r="B6871" i="9"/>
  <c r="A6871" i="9"/>
  <c r="E6870" i="9"/>
  <c r="D6870" i="9"/>
  <c r="C6870" i="9"/>
  <c r="B6870" i="9"/>
  <c r="A6870" i="9"/>
  <c r="E6869" i="9"/>
  <c r="D6869" i="9"/>
  <c r="C6869" i="9"/>
  <c r="B6869" i="9"/>
  <c r="A6869" i="9"/>
  <c r="E6868" i="9"/>
  <c r="D6868" i="9"/>
  <c r="C6868" i="9"/>
  <c r="B6868" i="9"/>
  <c r="A6868" i="9"/>
  <c r="E6867" i="9"/>
  <c r="D6867" i="9"/>
  <c r="C6867" i="9"/>
  <c r="B6867" i="9"/>
  <c r="A6867" i="9"/>
  <c r="E6866" i="9"/>
  <c r="D6866" i="9"/>
  <c r="C6866" i="9"/>
  <c r="B6866" i="9"/>
  <c r="A6866" i="9"/>
  <c r="E6865" i="9"/>
  <c r="D6865" i="9"/>
  <c r="C6865" i="9"/>
  <c r="B6865" i="9"/>
  <c r="A6865" i="9"/>
  <c r="E6864" i="9"/>
  <c r="D6864" i="9"/>
  <c r="C6864" i="9"/>
  <c r="B6864" i="9"/>
  <c r="A6864" i="9"/>
  <c r="E6863" i="9"/>
  <c r="D6863" i="9"/>
  <c r="C6863" i="9"/>
  <c r="B6863" i="9"/>
  <c r="A6863" i="9"/>
  <c r="E6862" i="9"/>
  <c r="D6862" i="9"/>
  <c r="C6862" i="9"/>
  <c r="B6862" i="9"/>
  <c r="A6862" i="9"/>
  <c r="E6861" i="9"/>
  <c r="D6861" i="9"/>
  <c r="C6861" i="9"/>
  <c r="B6861" i="9"/>
  <c r="A6861" i="9"/>
  <c r="E6860" i="9"/>
  <c r="D6860" i="9"/>
  <c r="C6860" i="9"/>
  <c r="B6860" i="9"/>
  <c r="A6860" i="9"/>
  <c r="E6859" i="9"/>
  <c r="D6859" i="9"/>
  <c r="C6859" i="9"/>
  <c r="B6859" i="9"/>
  <c r="A6859" i="9"/>
  <c r="E6858" i="9"/>
  <c r="D6858" i="9"/>
  <c r="C6858" i="9"/>
  <c r="B6858" i="9"/>
  <c r="A6858" i="9"/>
  <c r="E6857" i="9"/>
  <c r="D6857" i="9"/>
  <c r="C6857" i="9"/>
  <c r="B6857" i="9"/>
  <c r="A6857" i="9"/>
  <c r="E6856" i="9"/>
  <c r="D6856" i="9"/>
  <c r="C6856" i="9"/>
  <c r="B6856" i="9"/>
  <c r="A6856" i="9"/>
  <c r="E6855" i="9"/>
  <c r="D6855" i="9"/>
  <c r="C6855" i="9"/>
  <c r="B6855" i="9"/>
  <c r="A6855" i="9"/>
  <c r="E6854" i="9"/>
  <c r="D6854" i="9"/>
  <c r="C6854" i="9"/>
  <c r="B6854" i="9"/>
  <c r="A6854" i="9"/>
  <c r="E6853" i="9"/>
  <c r="D6853" i="9"/>
  <c r="C6853" i="9"/>
  <c r="B6853" i="9"/>
  <c r="A6853" i="9"/>
  <c r="E6852" i="9"/>
  <c r="D6852" i="9"/>
  <c r="C6852" i="9"/>
  <c r="B6852" i="9"/>
  <c r="A6852" i="9"/>
  <c r="E6851" i="9"/>
  <c r="D6851" i="9"/>
  <c r="C6851" i="9"/>
  <c r="B6851" i="9"/>
  <c r="A6851" i="9"/>
  <c r="E6850" i="9"/>
  <c r="D6850" i="9"/>
  <c r="C6850" i="9"/>
  <c r="B6850" i="9"/>
  <c r="A6850" i="9"/>
  <c r="E6849" i="9"/>
  <c r="D6849" i="9"/>
  <c r="C6849" i="9"/>
  <c r="B6849" i="9"/>
  <c r="A6849" i="9"/>
  <c r="E6848" i="9"/>
  <c r="D6848" i="9"/>
  <c r="C6848" i="9"/>
  <c r="B6848" i="9"/>
  <c r="A6848" i="9"/>
  <c r="E6847" i="9"/>
  <c r="D6847" i="9"/>
  <c r="C6847" i="9"/>
  <c r="B6847" i="9"/>
  <c r="A6847" i="9"/>
  <c r="E6846" i="9"/>
  <c r="D6846" i="9"/>
  <c r="C6846" i="9"/>
  <c r="B6846" i="9"/>
  <c r="A6846" i="9"/>
  <c r="E6845" i="9"/>
  <c r="D6845" i="9"/>
  <c r="C6845" i="9"/>
  <c r="B6845" i="9"/>
  <c r="A6845" i="9"/>
  <c r="E6844" i="9"/>
  <c r="D6844" i="9"/>
  <c r="C6844" i="9"/>
  <c r="B6844" i="9"/>
  <c r="A6844" i="9"/>
  <c r="E6843" i="9"/>
  <c r="D6843" i="9"/>
  <c r="C6843" i="9"/>
  <c r="B6843" i="9"/>
  <c r="A6843" i="9"/>
  <c r="E6842" i="9"/>
  <c r="D6842" i="9"/>
  <c r="C6842" i="9"/>
  <c r="B6842" i="9"/>
  <c r="A6842" i="9"/>
  <c r="E6841" i="9"/>
  <c r="D6841" i="9"/>
  <c r="C6841" i="9"/>
  <c r="B6841" i="9"/>
  <c r="A6841" i="9"/>
  <c r="E6840" i="9"/>
  <c r="D6840" i="9"/>
  <c r="C6840" i="9"/>
  <c r="B6840" i="9"/>
  <c r="A6840" i="9"/>
  <c r="E6839" i="9"/>
  <c r="D6839" i="9"/>
  <c r="C6839" i="9"/>
  <c r="B6839" i="9"/>
  <c r="A6839" i="9"/>
  <c r="E6838" i="9"/>
  <c r="D6838" i="9"/>
  <c r="C6838" i="9"/>
  <c r="B6838" i="9"/>
  <c r="A6838" i="9"/>
  <c r="E6837" i="9"/>
  <c r="D6837" i="9"/>
  <c r="C6837" i="9"/>
  <c r="B6837" i="9"/>
  <c r="A6837" i="9"/>
  <c r="E6836" i="9"/>
  <c r="D6836" i="9"/>
  <c r="C6836" i="9"/>
  <c r="B6836" i="9"/>
  <c r="A6836" i="9"/>
  <c r="E6835" i="9"/>
  <c r="D6835" i="9"/>
  <c r="C6835" i="9"/>
  <c r="B6835" i="9"/>
  <c r="A6835" i="9"/>
  <c r="E6834" i="9"/>
  <c r="D6834" i="9"/>
  <c r="C6834" i="9"/>
  <c r="B6834" i="9"/>
  <c r="A6834" i="9"/>
  <c r="E6833" i="9"/>
  <c r="D6833" i="9"/>
  <c r="C6833" i="9"/>
  <c r="B6833" i="9"/>
  <c r="A6833" i="9"/>
  <c r="E6832" i="9"/>
  <c r="D6832" i="9"/>
  <c r="C6832" i="9"/>
  <c r="B6832" i="9"/>
  <c r="A6832" i="9"/>
  <c r="E6831" i="9"/>
  <c r="D6831" i="9"/>
  <c r="C6831" i="9"/>
  <c r="B6831" i="9"/>
  <c r="A6831" i="9"/>
  <c r="E6830" i="9"/>
  <c r="D6830" i="9"/>
  <c r="C6830" i="9"/>
  <c r="B6830" i="9"/>
  <c r="A6830" i="9"/>
  <c r="E6829" i="9"/>
  <c r="D6829" i="9"/>
  <c r="C6829" i="9"/>
  <c r="B6829" i="9"/>
  <c r="A6829" i="9"/>
  <c r="E6828" i="9"/>
  <c r="D6828" i="9"/>
  <c r="C6828" i="9"/>
  <c r="B6828" i="9"/>
  <c r="A6828" i="9"/>
  <c r="E6827" i="9"/>
  <c r="D6827" i="9"/>
  <c r="C6827" i="9"/>
  <c r="B6827" i="9"/>
  <c r="A6827" i="9"/>
  <c r="E6826" i="9"/>
  <c r="D6826" i="9"/>
  <c r="C6826" i="9"/>
  <c r="B6826" i="9"/>
  <c r="A6826" i="9"/>
  <c r="E6825" i="9"/>
  <c r="D6825" i="9"/>
  <c r="C6825" i="9"/>
  <c r="B6825" i="9"/>
  <c r="A6825" i="9"/>
  <c r="E6824" i="9"/>
  <c r="D6824" i="9"/>
  <c r="C6824" i="9"/>
  <c r="B6824" i="9"/>
  <c r="A6824" i="9"/>
  <c r="E6823" i="9"/>
  <c r="D6823" i="9"/>
  <c r="C6823" i="9"/>
  <c r="B6823" i="9"/>
  <c r="A6823" i="9"/>
  <c r="E6822" i="9"/>
  <c r="D6822" i="9"/>
  <c r="C6822" i="9"/>
  <c r="B6822" i="9"/>
  <c r="A6822" i="9"/>
  <c r="E6821" i="9"/>
  <c r="D6821" i="9"/>
  <c r="C6821" i="9"/>
  <c r="B6821" i="9"/>
  <c r="A6821" i="9"/>
  <c r="E6820" i="9"/>
  <c r="D6820" i="9"/>
  <c r="C6820" i="9"/>
  <c r="B6820" i="9"/>
  <c r="A6820" i="9"/>
  <c r="E6819" i="9"/>
  <c r="D6819" i="9"/>
  <c r="C6819" i="9"/>
  <c r="B6819" i="9"/>
  <c r="A6819" i="9"/>
  <c r="E6818" i="9"/>
  <c r="D6818" i="9"/>
  <c r="C6818" i="9"/>
  <c r="B6818" i="9"/>
  <c r="A6818" i="9"/>
  <c r="E6817" i="9"/>
  <c r="D6817" i="9"/>
  <c r="C6817" i="9"/>
  <c r="B6817" i="9"/>
  <c r="A6817" i="9"/>
  <c r="E6816" i="9"/>
  <c r="D6816" i="9"/>
  <c r="C6816" i="9"/>
  <c r="B6816" i="9"/>
  <c r="A6816" i="9"/>
  <c r="E6815" i="9"/>
  <c r="D6815" i="9"/>
  <c r="C6815" i="9"/>
  <c r="B6815" i="9"/>
  <c r="A6815" i="9"/>
  <c r="E6814" i="9"/>
  <c r="D6814" i="9"/>
  <c r="C6814" i="9"/>
  <c r="B6814" i="9"/>
  <c r="A6814" i="9"/>
  <c r="E6813" i="9"/>
  <c r="D6813" i="9"/>
  <c r="C6813" i="9"/>
  <c r="B6813" i="9"/>
  <c r="A6813" i="9"/>
  <c r="E6812" i="9"/>
  <c r="D6812" i="9"/>
  <c r="C6812" i="9"/>
  <c r="B6812" i="9"/>
  <c r="A6812" i="9"/>
  <c r="E6811" i="9"/>
  <c r="D6811" i="9"/>
  <c r="C6811" i="9"/>
  <c r="B6811" i="9"/>
  <c r="A6811" i="9"/>
  <c r="E6810" i="9"/>
  <c r="D6810" i="9"/>
  <c r="C6810" i="9"/>
  <c r="B6810" i="9"/>
  <c r="A6810" i="9"/>
  <c r="E6809" i="9"/>
  <c r="D6809" i="9"/>
  <c r="C6809" i="9"/>
  <c r="B6809" i="9"/>
  <c r="A6809" i="9"/>
  <c r="E6808" i="9"/>
  <c r="D6808" i="9"/>
  <c r="C6808" i="9"/>
  <c r="B6808" i="9"/>
  <c r="A6808" i="9"/>
  <c r="E6807" i="9"/>
  <c r="D6807" i="9"/>
  <c r="C6807" i="9"/>
  <c r="B6807" i="9"/>
  <c r="A6807" i="9"/>
  <c r="E6806" i="9"/>
  <c r="D6806" i="9"/>
  <c r="C6806" i="9"/>
  <c r="B6806" i="9"/>
  <c r="A6806" i="9"/>
  <c r="E6805" i="9"/>
  <c r="D6805" i="9"/>
  <c r="C6805" i="9"/>
  <c r="B6805" i="9"/>
  <c r="A6805" i="9"/>
  <c r="E6804" i="9"/>
  <c r="D6804" i="9"/>
  <c r="C6804" i="9"/>
  <c r="B6804" i="9"/>
  <c r="A6804" i="9"/>
  <c r="E6803" i="9"/>
  <c r="D6803" i="9"/>
  <c r="C6803" i="9"/>
  <c r="B6803" i="9"/>
  <c r="A6803" i="9"/>
  <c r="E6802" i="9"/>
  <c r="D6802" i="9"/>
  <c r="C6802" i="9"/>
  <c r="B6802" i="9"/>
  <c r="A6802" i="9"/>
  <c r="E6801" i="9"/>
  <c r="D6801" i="9"/>
  <c r="C6801" i="9"/>
  <c r="B6801" i="9"/>
  <c r="A6801" i="9"/>
  <c r="E6800" i="9"/>
  <c r="D6800" i="9"/>
  <c r="C6800" i="9"/>
  <c r="B6800" i="9"/>
  <c r="A6800" i="9"/>
  <c r="E6799" i="9"/>
  <c r="D6799" i="9"/>
  <c r="C6799" i="9"/>
  <c r="B6799" i="9"/>
  <c r="A6799" i="9"/>
  <c r="E6798" i="9"/>
  <c r="D6798" i="9"/>
  <c r="C6798" i="9"/>
  <c r="B6798" i="9"/>
  <c r="A6798" i="9"/>
  <c r="E6797" i="9"/>
  <c r="D6797" i="9"/>
  <c r="C6797" i="9"/>
  <c r="B6797" i="9"/>
  <c r="A6797" i="9"/>
  <c r="E6796" i="9"/>
  <c r="D6796" i="9"/>
  <c r="C6796" i="9"/>
  <c r="B6796" i="9"/>
  <c r="A6796" i="9"/>
  <c r="E6795" i="9"/>
  <c r="D6795" i="9"/>
  <c r="C6795" i="9"/>
  <c r="B6795" i="9"/>
  <c r="A6795" i="9"/>
  <c r="E6794" i="9"/>
  <c r="D6794" i="9"/>
  <c r="C6794" i="9"/>
  <c r="B6794" i="9"/>
  <c r="A6794" i="9"/>
  <c r="E6793" i="9"/>
  <c r="D6793" i="9"/>
  <c r="C6793" i="9"/>
  <c r="B6793" i="9"/>
  <c r="A6793" i="9"/>
  <c r="E6792" i="9"/>
  <c r="D6792" i="9"/>
  <c r="C6792" i="9"/>
  <c r="B6792" i="9"/>
  <c r="A6792" i="9"/>
  <c r="E6791" i="9"/>
  <c r="D6791" i="9"/>
  <c r="C6791" i="9"/>
  <c r="B6791" i="9"/>
  <c r="A6791" i="9"/>
  <c r="E6790" i="9"/>
  <c r="D6790" i="9"/>
  <c r="C6790" i="9"/>
  <c r="B6790" i="9"/>
  <c r="A6790" i="9"/>
  <c r="E6789" i="9"/>
  <c r="D6789" i="9"/>
  <c r="C6789" i="9"/>
  <c r="B6789" i="9"/>
  <c r="A6789" i="9"/>
  <c r="E6788" i="9"/>
  <c r="D6788" i="9"/>
  <c r="C6788" i="9"/>
  <c r="B6788" i="9"/>
  <c r="A6788" i="9"/>
  <c r="E6787" i="9"/>
  <c r="D6787" i="9"/>
  <c r="C6787" i="9"/>
  <c r="B6787" i="9"/>
  <c r="A6787" i="9"/>
  <c r="E6786" i="9"/>
  <c r="D6786" i="9"/>
  <c r="C6786" i="9"/>
  <c r="B6786" i="9"/>
  <c r="A6786" i="9"/>
  <c r="E6785" i="9"/>
  <c r="D6785" i="9"/>
  <c r="C6785" i="9"/>
  <c r="B6785" i="9"/>
  <c r="A6785" i="9"/>
  <c r="E6784" i="9"/>
  <c r="D6784" i="9"/>
  <c r="C6784" i="9"/>
  <c r="B6784" i="9"/>
  <c r="A6784" i="9"/>
  <c r="E6783" i="9"/>
  <c r="D6783" i="9"/>
  <c r="C6783" i="9"/>
  <c r="B6783" i="9"/>
  <c r="A6783" i="9"/>
  <c r="E6782" i="9"/>
  <c r="D6782" i="9"/>
  <c r="C6782" i="9"/>
  <c r="B6782" i="9"/>
  <c r="A6782" i="9"/>
  <c r="E6781" i="9"/>
  <c r="D6781" i="9"/>
  <c r="C6781" i="9"/>
  <c r="B6781" i="9"/>
  <c r="A6781" i="9"/>
  <c r="E6780" i="9"/>
  <c r="D6780" i="9"/>
  <c r="C6780" i="9"/>
  <c r="B6780" i="9"/>
  <c r="A6780" i="9"/>
  <c r="E6779" i="9"/>
  <c r="D6779" i="9"/>
  <c r="C6779" i="9"/>
  <c r="B6779" i="9"/>
  <c r="A6779" i="9"/>
  <c r="E6778" i="9"/>
  <c r="D6778" i="9"/>
  <c r="C6778" i="9"/>
  <c r="B6778" i="9"/>
  <c r="A6778" i="9"/>
  <c r="E6777" i="9"/>
  <c r="D6777" i="9"/>
  <c r="C6777" i="9"/>
  <c r="B6777" i="9"/>
  <c r="A6777" i="9"/>
  <c r="E6776" i="9"/>
  <c r="D6776" i="9"/>
  <c r="C6776" i="9"/>
  <c r="B6776" i="9"/>
  <c r="A6776" i="9"/>
  <c r="E6775" i="9"/>
  <c r="D6775" i="9"/>
  <c r="C6775" i="9"/>
  <c r="B6775" i="9"/>
  <c r="A6775" i="9"/>
  <c r="E6774" i="9"/>
  <c r="D6774" i="9"/>
  <c r="C6774" i="9"/>
  <c r="B6774" i="9"/>
  <c r="A6774" i="9"/>
  <c r="E6773" i="9"/>
  <c r="D6773" i="9"/>
  <c r="C6773" i="9"/>
  <c r="B6773" i="9"/>
  <c r="A6773" i="9"/>
  <c r="E6772" i="9"/>
  <c r="D6772" i="9"/>
  <c r="C6772" i="9"/>
  <c r="B6772" i="9"/>
  <c r="A6772" i="9"/>
  <c r="E6771" i="9"/>
  <c r="D6771" i="9"/>
  <c r="C6771" i="9"/>
  <c r="B6771" i="9"/>
  <c r="A6771" i="9"/>
  <c r="E6770" i="9"/>
  <c r="D6770" i="9"/>
  <c r="C6770" i="9"/>
  <c r="B6770" i="9"/>
  <c r="A6770" i="9"/>
  <c r="E6769" i="9"/>
  <c r="D6769" i="9"/>
  <c r="C6769" i="9"/>
  <c r="B6769" i="9"/>
  <c r="A6769" i="9"/>
  <c r="E6768" i="9"/>
  <c r="D6768" i="9"/>
  <c r="C6768" i="9"/>
  <c r="B6768" i="9"/>
  <c r="A6768" i="9"/>
  <c r="E6767" i="9"/>
  <c r="D6767" i="9"/>
  <c r="C6767" i="9"/>
  <c r="B6767" i="9"/>
  <c r="A6767" i="9"/>
  <c r="E6766" i="9"/>
  <c r="D6766" i="9"/>
  <c r="C6766" i="9"/>
  <c r="B6766" i="9"/>
  <c r="A6766" i="9"/>
  <c r="E6765" i="9"/>
  <c r="D6765" i="9"/>
  <c r="C6765" i="9"/>
  <c r="B6765" i="9"/>
  <c r="A6765" i="9"/>
  <c r="E6764" i="9"/>
  <c r="D6764" i="9"/>
  <c r="C6764" i="9"/>
  <c r="B6764" i="9"/>
  <c r="A6764" i="9"/>
  <c r="E6763" i="9"/>
  <c r="D6763" i="9"/>
  <c r="C6763" i="9"/>
  <c r="B6763" i="9"/>
  <c r="A6763" i="9"/>
  <c r="E6762" i="9"/>
  <c r="D6762" i="9"/>
  <c r="C6762" i="9"/>
  <c r="B6762" i="9"/>
  <c r="A6762" i="9"/>
  <c r="E6761" i="9"/>
  <c r="D6761" i="9"/>
  <c r="C6761" i="9"/>
  <c r="B6761" i="9"/>
  <c r="A6761" i="9"/>
  <c r="E6760" i="9"/>
  <c r="D6760" i="9"/>
  <c r="C6760" i="9"/>
  <c r="B6760" i="9"/>
  <c r="A6760" i="9"/>
  <c r="E6759" i="9"/>
  <c r="D6759" i="9"/>
  <c r="C6759" i="9"/>
  <c r="B6759" i="9"/>
  <c r="A6759" i="9"/>
  <c r="E6758" i="9"/>
  <c r="D6758" i="9"/>
  <c r="C6758" i="9"/>
  <c r="B6758" i="9"/>
  <c r="A6758" i="9"/>
  <c r="E6757" i="9"/>
  <c r="D6757" i="9"/>
  <c r="C6757" i="9"/>
  <c r="B6757" i="9"/>
  <c r="A6757" i="9"/>
  <c r="E6756" i="9"/>
  <c r="D6756" i="9"/>
  <c r="C6756" i="9"/>
  <c r="B6756" i="9"/>
  <c r="A6756" i="9"/>
  <c r="E6755" i="9"/>
  <c r="D6755" i="9"/>
  <c r="C6755" i="9"/>
  <c r="B6755" i="9"/>
  <c r="A6755" i="9"/>
  <c r="E6754" i="9"/>
  <c r="D6754" i="9"/>
  <c r="C6754" i="9"/>
  <c r="B6754" i="9"/>
  <c r="A6754" i="9"/>
  <c r="E6753" i="9"/>
  <c r="D6753" i="9"/>
  <c r="C6753" i="9"/>
  <c r="B6753" i="9"/>
  <c r="A6753" i="9"/>
  <c r="E6752" i="9"/>
  <c r="D6752" i="9"/>
  <c r="C6752" i="9"/>
  <c r="B6752" i="9"/>
  <c r="A6752" i="9"/>
  <c r="E6751" i="9"/>
  <c r="D6751" i="9"/>
  <c r="C6751" i="9"/>
  <c r="B6751" i="9"/>
  <c r="A6751" i="9"/>
  <c r="E6750" i="9"/>
  <c r="D6750" i="9"/>
  <c r="C6750" i="9"/>
  <c r="B6750" i="9"/>
  <c r="A6750" i="9"/>
  <c r="E6749" i="9"/>
  <c r="D6749" i="9"/>
  <c r="C6749" i="9"/>
  <c r="B6749" i="9"/>
  <c r="A6749" i="9"/>
  <c r="E6748" i="9"/>
  <c r="D6748" i="9"/>
  <c r="C6748" i="9"/>
  <c r="B6748" i="9"/>
  <c r="A6748" i="9"/>
  <c r="E6747" i="9"/>
  <c r="D6747" i="9"/>
  <c r="C6747" i="9"/>
  <c r="B6747" i="9"/>
  <c r="A6747" i="9"/>
  <c r="E6746" i="9"/>
  <c r="D6746" i="9"/>
  <c r="C6746" i="9"/>
  <c r="B6746" i="9"/>
  <c r="A6746" i="9"/>
  <c r="E6745" i="9"/>
  <c r="D6745" i="9"/>
  <c r="C6745" i="9"/>
  <c r="B6745" i="9"/>
  <c r="A6745" i="9"/>
  <c r="E6744" i="9"/>
  <c r="D6744" i="9"/>
  <c r="C6744" i="9"/>
  <c r="B6744" i="9"/>
  <c r="A6744" i="9"/>
  <c r="E6743" i="9"/>
  <c r="D6743" i="9"/>
  <c r="C6743" i="9"/>
  <c r="B6743" i="9"/>
  <c r="A6743" i="9"/>
  <c r="E6742" i="9"/>
  <c r="D6742" i="9"/>
  <c r="C6742" i="9"/>
  <c r="B6742" i="9"/>
  <c r="A6742" i="9"/>
  <c r="E6741" i="9"/>
  <c r="D6741" i="9"/>
  <c r="C6741" i="9"/>
  <c r="B6741" i="9"/>
  <c r="A6741" i="9"/>
  <c r="E6740" i="9"/>
  <c r="D6740" i="9"/>
  <c r="C6740" i="9"/>
  <c r="B6740" i="9"/>
  <c r="A6740" i="9"/>
  <c r="E6739" i="9"/>
  <c r="D6739" i="9"/>
  <c r="C6739" i="9"/>
  <c r="B6739" i="9"/>
  <c r="A6739" i="9"/>
  <c r="E6738" i="9"/>
  <c r="D6738" i="9"/>
  <c r="C6738" i="9"/>
  <c r="B6738" i="9"/>
  <c r="A6738" i="9"/>
  <c r="E6737" i="9"/>
  <c r="D6737" i="9"/>
  <c r="C6737" i="9"/>
  <c r="B6737" i="9"/>
  <c r="A6737" i="9"/>
  <c r="E6736" i="9"/>
  <c r="D6736" i="9"/>
  <c r="C6736" i="9"/>
  <c r="B6736" i="9"/>
  <c r="A6736" i="9"/>
  <c r="E6735" i="9"/>
  <c r="D6735" i="9"/>
  <c r="C6735" i="9"/>
  <c r="B6735" i="9"/>
  <c r="A6735" i="9"/>
  <c r="E6734" i="9"/>
  <c r="D6734" i="9"/>
  <c r="C6734" i="9"/>
  <c r="B6734" i="9"/>
  <c r="A6734" i="9"/>
  <c r="E6733" i="9"/>
  <c r="D6733" i="9"/>
  <c r="C6733" i="9"/>
  <c r="B6733" i="9"/>
  <c r="A6733" i="9"/>
  <c r="E6732" i="9"/>
  <c r="D6732" i="9"/>
  <c r="C6732" i="9"/>
  <c r="B6732" i="9"/>
  <c r="A6732" i="9"/>
  <c r="E6731" i="9"/>
  <c r="D6731" i="9"/>
  <c r="C6731" i="9"/>
  <c r="B6731" i="9"/>
  <c r="A6731" i="9"/>
  <c r="E6730" i="9"/>
  <c r="D6730" i="9"/>
  <c r="C6730" i="9"/>
  <c r="B6730" i="9"/>
  <c r="A6730" i="9"/>
  <c r="E6729" i="9"/>
  <c r="D6729" i="9"/>
  <c r="C6729" i="9"/>
  <c r="B6729" i="9"/>
  <c r="A6729" i="9"/>
  <c r="E6728" i="9"/>
  <c r="D6728" i="9"/>
  <c r="C6728" i="9"/>
  <c r="B6728" i="9"/>
  <c r="A6728" i="9"/>
  <c r="E6727" i="9"/>
  <c r="D6727" i="9"/>
  <c r="C6727" i="9"/>
  <c r="B6727" i="9"/>
  <c r="A6727" i="9"/>
  <c r="E6726" i="9"/>
  <c r="D6726" i="9"/>
  <c r="C6726" i="9"/>
  <c r="B6726" i="9"/>
  <c r="A6726" i="9"/>
  <c r="E6725" i="9"/>
  <c r="D6725" i="9"/>
  <c r="C6725" i="9"/>
  <c r="B6725" i="9"/>
  <c r="A6725" i="9"/>
  <c r="E6724" i="9"/>
  <c r="D6724" i="9"/>
  <c r="C6724" i="9"/>
  <c r="B6724" i="9"/>
  <c r="A6724" i="9"/>
  <c r="E6723" i="9"/>
  <c r="D6723" i="9"/>
  <c r="C6723" i="9"/>
  <c r="B6723" i="9"/>
  <c r="A6723" i="9"/>
  <c r="E6722" i="9"/>
  <c r="D6722" i="9"/>
  <c r="C6722" i="9"/>
  <c r="B6722" i="9"/>
  <c r="A6722" i="9"/>
  <c r="E6721" i="9"/>
  <c r="D6721" i="9"/>
  <c r="C6721" i="9"/>
  <c r="B6721" i="9"/>
  <c r="A6721" i="9"/>
  <c r="E6720" i="9"/>
  <c r="D6720" i="9"/>
  <c r="C6720" i="9"/>
  <c r="B6720" i="9"/>
  <c r="A6720" i="9"/>
  <c r="E6719" i="9"/>
  <c r="D6719" i="9"/>
  <c r="C6719" i="9"/>
  <c r="B6719" i="9"/>
  <c r="A6719" i="9"/>
  <c r="E6718" i="9"/>
  <c r="D6718" i="9"/>
  <c r="C6718" i="9"/>
  <c r="B6718" i="9"/>
  <c r="A6718" i="9"/>
  <c r="E6717" i="9"/>
  <c r="D6717" i="9"/>
  <c r="C6717" i="9"/>
  <c r="B6717" i="9"/>
  <c r="A6717" i="9"/>
  <c r="E6716" i="9"/>
  <c r="D6716" i="9"/>
  <c r="C6716" i="9"/>
  <c r="B6716" i="9"/>
  <c r="A6716" i="9"/>
  <c r="E6715" i="9"/>
  <c r="D6715" i="9"/>
  <c r="C6715" i="9"/>
  <c r="B6715" i="9"/>
  <c r="A6715" i="9"/>
  <c r="E6714" i="9"/>
  <c r="D6714" i="9"/>
  <c r="C6714" i="9"/>
  <c r="B6714" i="9"/>
  <c r="A6714" i="9"/>
  <c r="E6713" i="9"/>
  <c r="D6713" i="9"/>
  <c r="C6713" i="9"/>
  <c r="B6713" i="9"/>
  <c r="A6713" i="9"/>
  <c r="E6712" i="9"/>
  <c r="D6712" i="9"/>
  <c r="C6712" i="9"/>
  <c r="B6712" i="9"/>
  <c r="A6712" i="9"/>
  <c r="E6711" i="9"/>
  <c r="D6711" i="9"/>
  <c r="C6711" i="9"/>
  <c r="B6711" i="9"/>
  <c r="A6711" i="9"/>
  <c r="E6710" i="9"/>
  <c r="D6710" i="9"/>
  <c r="C6710" i="9"/>
  <c r="B6710" i="9"/>
  <c r="A6710" i="9"/>
  <c r="E6709" i="9"/>
  <c r="D6709" i="9"/>
  <c r="C6709" i="9"/>
  <c r="B6709" i="9"/>
  <c r="A6709" i="9"/>
  <c r="E6708" i="9"/>
  <c r="D6708" i="9"/>
  <c r="C6708" i="9"/>
  <c r="B6708" i="9"/>
  <c r="A6708" i="9"/>
  <c r="E6707" i="9"/>
  <c r="D6707" i="9"/>
  <c r="C6707" i="9"/>
  <c r="B6707" i="9"/>
  <c r="A6707" i="9"/>
  <c r="E6706" i="9"/>
  <c r="D6706" i="9"/>
  <c r="C6706" i="9"/>
  <c r="B6706" i="9"/>
  <c r="A6706" i="9"/>
  <c r="E6705" i="9"/>
  <c r="D6705" i="9"/>
  <c r="C6705" i="9"/>
  <c r="B6705" i="9"/>
  <c r="A6705" i="9"/>
  <c r="E6704" i="9"/>
  <c r="D6704" i="9"/>
  <c r="C6704" i="9"/>
  <c r="B6704" i="9"/>
  <c r="A6704" i="9"/>
  <c r="E6703" i="9"/>
  <c r="D6703" i="9"/>
  <c r="C6703" i="9"/>
  <c r="B6703" i="9"/>
  <c r="A6703" i="9"/>
  <c r="E6702" i="9"/>
  <c r="D6702" i="9"/>
  <c r="C6702" i="9"/>
  <c r="B6702" i="9"/>
  <c r="A6702" i="9"/>
  <c r="E6701" i="9"/>
  <c r="D6701" i="9"/>
  <c r="C6701" i="9"/>
  <c r="B6701" i="9"/>
  <c r="A6701" i="9"/>
  <c r="E6700" i="9"/>
  <c r="D6700" i="9"/>
  <c r="C6700" i="9"/>
  <c r="B6700" i="9"/>
  <c r="A6700" i="9"/>
  <c r="E6699" i="9"/>
  <c r="D6699" i="9"/>
  <c r="C6699" i="9"/>
  <c r="B6699" i="9"/>
  <c r="A6699" i="9"/>
  <c r="E6698" i="9"/>
  <c r="D6698" i="9"/>
  <c r="C6698" i="9"/>
  <c r="B6698" i="9"/>
  <c r="A6698" i="9"/>
  <c r="E6697" i="9"/>
  <c r="D6697" i="9"/>
  <c r="C6697" i="9"/>
  <c r="B6697" i="9"/>
  <c r="A6697" i="9"/>
  <c r="E6696" i="9"/>
  <c r="D6696" i="9"/>
  <c r="C6696" i="9"/>
  <c r="B6696" i="9"/>
  <c r="A6696" i="9"/>
  <c r="E6695" i="9"/>
  <c r="D6695" i="9"/>
  <c r="C6695" i="9"/>
  <c r="B6695" i="9"/>
  <c r="A6695" i="9"/>
  <c r="E6694" i="9"/>
  <c r="D6694" i="9"/>
  <c r="C6694" i="9"/>
  <c r="B6694" i="9"/>
  <c r="A6694" i="9"/>
  <c r="E6693" i="9"/>
  <c r="D6693" i="9"/>
  <c r="C6693" i="9"/>
  <c r="B6693" i="9"/>
  <c r="A6693" i="9"/>
  <c r="E6692" i="9"/>
  <c r="D6692" i="9"/>
  <c r="C6692" i="9"/>
  <c r="B6692" i="9"/>
  <c r="A6692" i="9"/>
  <c r="E6691" i="9"/>
  <c r="D6691" i="9"/>
  <c r="C6691" i="9"/>
  <c r="B6691" i="9"/>
  <c r="A6691" i="9"/>
  <c r="E6690" i="9"/>
  <c r="D6690" i="9"/>
  <c r="C6690" i="9"/>
  <c r="B6690" i="9"/>
  <c r="A6690" i="9"/>
  <c r="E6689" i="9"/>
  <c r="D6689" i="9"/>
  <c r="C6689" i="9"/>
  <c r="B6689" i="9"/>
  <c r="A6689" i="9"/>
  <c r="E6688" i="9"/>
  <c r="D6688" i="9"/>
  <c r="C6688" i="9"/>
  <c r="B6688" i="9"/>
  <c r="A6688" i="9"/>
  <c r="E6687" i="9"/>
  <c r="D6687" i="9"/>
  <c r="C6687" i="9"/>
  <c r="B6687" i="9"/>
  <c r="A6687" i="9"/>
  <c r="E6686" i="9"/>
  <c r="D6686" i="9"/>
  <c r="C6686" i="9"/>
  <c r="B6686" i="9"/>
  <c r="A6686" i="9"/>
  <c r="E6685" i="9"/>
  <c r="D6685" i="9"/>
  <c r="C6685" i="9"/>
  <c r="B6685" i="9"/>
  <c r="A6685" i="9"/>
  <c r="E6684" i="9"/>
  <c r="D6684" i="9"/>
  <c r="C6684" i="9"/>
  <c r="B6684" i="9"/>
  <c r="A6684" i="9"/>
  <c r="E6683" i="9"/>
  <c r="D6683" i="9"/>
  <c r="C6683" i="9"/>
  <c r="B6683" i="9"/>
  <c r="A6683" i="9"/>
  <c r="E6682" i="9"/>
  <c r="D6682" i="9"/>
  <c r="C6682" i="9"/>
  <c r="B6682" i="9"/>
  <c r="A6682" i="9"/>
  <c r="E6681" i="9"/>
  <c r="D6681" i="9"/>
  <c r="C6681" i="9"/>
  <c r="B6681" i="9"/>
  <c r="A6681" i="9"/>
  <c r="E6680" i="9"/>
  <c r="D6680" i="9"/>
  <c r="C6680" i="9"/>
  <c r="B6680" i="9"/>
  <c r="A6680" i="9"/>
  <c r="E6679" i="9"/>
  <c r="D6679" i="9"/>
  <c r="C6679" i="9"/>
  <c r="B6679" i="9"/>
  <c r="A6679" i="9"/>
  <c r="E6678" i="9"/>
  <c r="D6678" i="9"/>
  <c r="C6678" i="9"/>
  <c r="B6678" i="9"/>
  <c r="A6678" i="9"/>
  <c r="E6677" i="9"/>
  <c r="D6677" i="9"/>
  <c r="C6677" i="9"/>
  <c r="B6677" i="9"/>
  <c r="A6677" i="9"/>
  <c r="E6676" i="9"/>
  <c r="D6676" i="9"/>
  <c r="C6676" i="9"/>
  <c r="B6676" i="9"/>
  <c r="A6676" i="9"/>
  <c r="E6675" i="9"/>
  <c r="D6675" i="9"/>
  <c r="C6675" i="9"/>
  <c r="B6675" i="9"/>
  <c r="A6675" i="9"/>
  <c r="E6674" i="9"/>
  <c r="D6674" i="9"/>
  <c r="C6674" i="9"/>
  <c r="B6674" i="9"/>
  <c r="A6674" i="9"/>
  <c r="E6673" i="9"/>
  <c r="D6673" i="9"/>
  <c r="C6673" i="9"/>
  <c r="B6673" i="9"/>
  <c r="A6673" i="9"/>
  <c r="E6672" i="9"/>
  <c r="D6672" i="9"/>
  <c r="C6672" i="9"/>
  <c r="B6672" i="9"/>
  <c r="A6672" i="9"/>
  <c r="E6671" i="9"/>
  <c r="D6671" i="9"/>
  <c r="C6671" i="9"/>
  <c r="B6671" i="9"/>
  <c r="A6671" i="9"/>
  <c r="E6670" i="9"/>
  <c r="D6670" i="9"/>
  <c r="C6670" i="9"/>
  <c r="B6670" i="9"/>
  <c r="A6670" i="9"/>
  <c r="E6669" i="9"/>
  <c r="D6669" i="9"/>
  <c r="C6669" i="9"/>
  <c r="B6669" i="9"/>
  <c r="A6669" i="9"/>
  <c r="E6668" i="9"/>
  <c r="D6668" i="9"/>
  <c r="C6668" i="9"/>
  <c r="B6668" i="9"/>
  <c r="A6668" i="9"/>
  <c r="E6667" i="9"/>
  <c r="D6667" i="9"/>
  <c r="C6667" i="9"/>
  <c r="B6667" i="9"/>
  <c r="A6667" i="9"/>
  <c r="E6666" i="9"/>
  <c r="D6666" i="9"/>
  <c r="C6666" i="9"/>
  <c r="B6666" i="9"/>
  <c r="A6666" i="9"/>
  <c r="E6665" i="9"/>
  <c r="D6665" i="9"/>
  <c r="C6665" i="9"/>
  <c r="B6665" i="9"/>
  <c r="A6665" i="9"/>
  <c r="E6664" i="9"/>
  <c r="D6664" i="9"/>
  <c r="C6664" i="9"/>
  <c r="B6664" i="9"/>
  <c r="A6664" i="9"/>
  <c r="E6663" i="9"/>
  <c r="D6663" i="9"/>
  <c r="C6663" i="9"/>
  <c r="B6663" i="9"/>
  <c r="A6663" i="9"/>
  <c r="E6662" i="9"/>
  <c r="D6662" i="9"/>
  <c r="C6662" i="9"/>
  <c r="B6662" i="9"/>
  <c r="A6662" i="9"/>
  <c r="E6661" i="9"/>
  <c r="D6661" i="9"/>
  <c r="C6661" i="9"/>
  <c r="B6661" i="9"/>
  <c r="A6661" i="9"/>
  <c r="E6660" i="9"/>
  <c r="D6660" i="9"/>
  <c r="C6660" i="9"/>
  <c r="B6660" i="9"/>
  <c r="A6660" i="9"/>
  <c r="E6659" i="9"/>
  <c r="D6659" i="9"/>
  <c r="C6659" i="9"/>
  <c r="B6659" i="9"/>
  <c r="A6659" i="9"/>
  <c r="E6658" i="9"/>
  <c r="D6658" i="9"/>
  <c r="C6658" i="9"/>
  <c r="B6658" i="9"/>
  <c r="A6658" i="9"/>
  <c r="E6657" i="9"/>
  <c r="D6657" i="9"/>
  <c r="C6657" i="9"/>
  <c r="B6657" i="9"/>
  <c r="A6657" i="9"/>
  <c r="E6656" i="9"/>
  <c r="D6656" i="9"/>
  <c r="C6656" i="9"/>
  <c r="B6656" i="9"/>
  <c r="A6656" i="9"/>
  <c r="E6655" i="9"/>
  <c r="D6655" i="9"/>
  <c r="C6655" i="9"/>
  <c r="B6655" i="9"/>
  <c r="A6655" i="9"/>
  <c r="E6654" i="9"/>
  <c r="D6654" i="9"/>
  <c r="C6654" i="9"/>
  <c r="B6654" i="9"/>
  <c r="A6654" i="9"/>
  <c r="E6653" i="9"/>
  <c r="D6653" i="9"/>
  <c r="C6653" i="9"/>
  <c r="B6653" i="9"/>
  <c r="A6653" i="9"/>
  <c r="E6652" i="9"/>
  <c r="D6652" i="9"/>
  <c r="C6652" i="9"/>
  <c r="B6652" i="9"/>
  <c r="A6652" i="9"/>
  <c r="E6651" i="9"/>
  <c r="D6651" i="9"/>
  <c r="C6651" i="9"/>
  <c r="B6651" i="9"/>
  <c r="A6651" i="9"/>
  <c r="E6650" i="9"/>
  <c r="D6650" i="9"/>
  <c r="C6650" i="9"/>
  <c r="B6650" i="9"/>
  <c r="A6650" i="9"/>
  <c r="E6649" i="9"/>
  <c r="D6649" i="9"/>
  <c r="C6649" i="9"/>
  <c r="B6649" i="9"/>
  <c r="A6649" i="9"/>
  <c r="E6648" i="9"/>
  <c r="D6648" i="9"/>
  <c r="C6648" i="9"/>
  <c r="B6648" i="9"/>
  <c r="A6648" i="9"/>
  <c r="E6647" i="9"/>
  <c r="D6647" i="9"/>
  <c r="C6647" i="9"/>
  <c r="B6647" i="9"/>
  <c r="A6647" i="9"/>
  <c r="E6646" i="9"/>
  <c r="D6646" i="9"/>
  <c r="C6646" i="9"/>
  <c r="B6646" i="9"/>
  <c r="A6646" i="9"/>
  <c r="E6645" i="9"/>
  <c r="D6645" i="9"/>
  <c r="C6645" i="9"/>
  <c r="B6645" i="9"/>
  <c r="A6645" i="9"/>
  <c r="E6644" i="9"/>
  <c r="D6644" i="9"/>
  <c r="C6644" i="9"/>
  <c r="B6644" i="9"/>
  <c r="A6644" i="9"/>
  <c r="E6643" i="9"/>
  <c r="D6643" i="9"/>
  <c r="C6643" i="9"/>
  <c r="B6643" i="9"/>
  <c r="A6643" i="9"/>
  <c r="E6642" i="9"/>
  <c r="D6642" i="9"/>
  <c r="C6642" i="9"/>
  <c r="B6642" i="9"/>
  <c r="A6642" i="9"/>
  <c r="E6641" i="9"/>
  <c r="D6641" i="9"/>
  <c r="C6641" i="9"/>
  <c r="B6641" i="9"/>
  <c r="A6641" i="9"/>
  <c r="E6640" i="9"/>
  <c r="D6640" i="9"/>
  <c r="C6640" i="9"/>
  <c r="B6640" i="9"/>
  <c r="A6640" i="9"/>
  <c r="E6639" i="9"/>
  <c r="D6639" i="9"/>
  <c r="C6639" i="9"/>
  <c r="B6639" i="9"/>
  <c r="A6639" i="9"/>
  <c r="E6638" i="9"/>
  <c r="D6638" i="9"/>
  <c r="C6638" i="9"/>
  <c r="B6638" i="9"/>
  <c r="A6638" i="9"/>
  <c r="E6637" i="9"/>
  <c r="D6637" i="9"/>
  <c r="C6637" i="9"/>
  <c r="B6637" i="9"/>
  <c r="A6637" i="9"/>
  <c r="E6636" i="9"/>
  <c r="D6636" i="9"/>
  <c r="C6636" i="9"/>
  <c r="B6636" i="9"/>
  <c r="A6636" i="9"/>
  <c r="E6635" i="9"/>
  <c r="D6635" i="9"/>
  <c r="C6635" i="9"/>
  <c r="B6635" i="9"/>
  <c r="A6635" i="9"/>
  <c r="E6634" i="9"/>
  <c r="D6634" i="9"/>
  <c r="C6634" i="9"/>
  <c r="B6634" i="9"/>
  <c r="A6634" i="9"/>
  <c r="E6633" i="9"/>
  <c r="D6633" i="9"/>
  <c r="C6633" i="9"/>
  <c r="B6633" i="9"/>
  <c r="A6633" i="9"/>
  <c r="E6632" i="9"/>
  <c r="D6632" i="9"/>
  <c r="C6632" i="9"/>
  <c r="B6632" i="9"/>
  <c r="A6632" i="9"/>
  <c r="E6631" i="9"/>
  <c r="D6631" i="9"/>
  <c r="C6631" i="9"/>
  <c r="B6631" i="9"/>
  <c r="A6631" i="9"/>
  <c r="E6630" i="9"/>
  <c r="D6630" i="9"/>
  <c r="C6630" i="9"/>
  <c r="B6630" i="9"/>
  <c r="A6630" i="9"/>
  <c r="E6629" i="9"/>
  <c r="D6629" i="9"/>
  <c r="C6629" i="9"/>
  <c r="B6629" i="9"/>
  <c r="A6629" i="9"/>
  <c r="E6628" i="9"/>
  <c r="D6628" i="9"/>
  <c r="C6628" i="9"/>
  <c r="B6628" i="9"/>
  <c r="A6628" i="9"/>
  <c r="E6627" i="9"/>
  <c r="D6627" i="9"/>
  <c r="C6627" i="9"/>
  <c r="B6627" i="9"/>
  <c r="A6627" i="9"/>
  <c r="E6626" i="9"/>
  <c r="D6626" i="9"/>
  <c r="C6626" i="9"/>
  <c r="B6626" i="9"/>
  <c r="A6626" i="9"/>
  <c r="E6625" i="9"/>
  <c r="D6625" i="9"/>
  <c r="C6625" i="9"/>
  <c r="B6625" i="9"/>
  <c r="A6625" i="9"/>
  <c r="E6624" i="9"/>
  <c r="D6624" i="9"/>
  <c r="C6624" i="9"/>
  <c r="B6624" i="9"/>
  <c r="A6624" i="9"/>
  <c r="E6623" i="9"/>
  <c r="D6623" i="9"/>
  <c r="C6623" i="9"/>
  <c r="B6623" i="9"/>
  <c r="A6623" i="9"/>
  <c r="E6622" i="9"/>
  <c r="D6622" i="9"/>
  <c r="C6622" i="9"/>
  <c r="B6622" i="9"/>
  <c r="A6622" i="9"/>
  <c r="E6621" i="9"/>
  <c r="D6621" i="9"/>
  <c r="C6621" i="9"/>
  <c r="B6621" i="9"/>
  <c r="A6621" i="9"/>
  <c r="E6620" i="9"/>
  <c r="D6620" i="9"/>
  <c r="C6620" i="9"/>
  <c r="B6620" i="9"/>
  <c r="A6620" i="9"/>
  <c r="E6619" i="9"/>
  <c r="D6619" i="9"/>
  <c r="C6619" i="9"/>
  <c r="B6619" i="9"/>
  <c r="A6619" i="9"/>
  <c r="E6618" i="9"/>
  <c r="D6618" i="9"/>
  <c r="C6618" i="9"/>
  <c r="B6618" i="9"/>
  <c r="A6618" i="9"/>
  <c r="E6617" i="9"/>
  <c r="D6617" i="9"/>
  <c r="C6617" i="9"/>
  <c r="B6617" i="9"/>
  <c r="A6617" i="9"/>
  <c r="E6616" i="9"/>
  <c r="D6616" i="9"/>
  <c r="C6616" i="9"/>
  <c r="B6616" i="9"/>
  <c r="A6616" i="9"/>
  <c r="E6615" i="9"/>
  <c r="D6615" i="9"/>
  <c r="C6615" i="9"/>
  <c r="B6615" i="9"/>
  <c r="A6615" i="9"/>
  <c r="E6614" i="9"/>
  <c r="D6614" i="9"/>
  <c r="C6614" i="9"/>
  <c r="B6614" i="9"/>
  <c r="A6614" i="9"/>
  <c r="E6613" i="9"/>
  <c r="D6613" i="9"/>
  <c r="C6613" i="9"/>
  <c r="B6613" i="9"/>
  <c r="A6613" i="9"/>
  <c r="E6612" i="9"/>
  <c r="D6612" i="9"/>
  <c r="C6612" i="9"/>
  <c r="B6612" i="9"/>
  <c r="A6612" i="9"/>
  <c r="E6611" i="9"/>
  <c r="D6611" i="9"/>
  <c r="C6611" i="9"/>
  <c r="B6611" i="9"/>
  <c r="A6611" i="9"/>
  <c r="E6610" i="9"/>
  <c r="D6610" i="9"/>
  <c r="C6610" i="9"/>
  <c r="B6610" i="9"/>
  <c r="A6610" i="9"/>
  <c r="E6609" i="9"/>
  <c r="D6609" i="9"/>
  <c r="C6609" i="9"/>
  <c r="B6609" i="9"/>
  <c r="A6609" i="9"/>
  <c r="E6608" i="9"/>
  <c r="D6608" i="9"/>
  <c r="C6608" i="9"/>
  <c r="B6608" i="9"/>
  <c r="A6608" i="9"/>
  <c r="E6607" i="9"/>
  <c r="D6607" i="9"/>
  <c r="C6607" i="9"/>
  <c r="B6607" i="9"/>
  <c r="A6607" i="9"/>
  <c r="E6606" i="9"/>
  <c r="D6606" i="9"/>
  <c r="C6606" i="9"/>
  <c r="B6606" i="9"/>
  <c r="A6606" i="9"/>
  <c r="E6605" i="9"/>
  <c r="D6605" i="9"/>
  <c r="C6605" i="9"/>
  <c r="B6605" i="9"/>
  <c r="A6605" i="9"/>
  <c r="E6604" i="9"/>
  <c r="D6604" i="9"/>
  <c r="C6604" i="9"/>
  <c r="B6604" i="9"/>
  <c r="A6604" i="9"/>
  <c r="E6603" i="9"/>
  <c r="D6603" i="9"/>
  <c r="C6603" i="9"/>
  <c r="B6603" i="9"/>
  <c r="A6603" i="9"/>
  <c r="E6602" i="9"/>
  <c r="D6602" i="9"/>
  <c r="C6602" i="9"/>
  <c r="B6602" i="9"/>
  <c r="A6602" i="9"/>
  <c r="E6601" i="9"/>
  <c r="D6601" i="9"/>
  <c r="C6601" i="9"/>
  <c r="B6601" i="9"/>
  <c r="A6601" i="9"/>
  <c r="E6600" i="9"/>
  <c r="D6600" i="9"/>
  <c r="C6600" i="9"/>
  <c r="B6600" i="9"/>
  <c r="A6600" i="9"/>
  <c r="E6599" i="9"/>
  <c r="D6599" i="9"/>
  <c r="C6599" i="9"/>
  <c r="B6599" i="9"/>
  <c r="A6599" i="9"/>
  <c r="E6598" i="9"/>
  <c r="D6598" i="9"/>
  <c r="C6598" i="9"/>
  <c r="B6598" i="9"/>
  <c r="A6598" i="9"/>
  <c r="E6597" i="9"/>
  <c r="D6597" i="9"/>
  <c r="C6597" i="9"/>
  <c r="B6597" i="9"/>
  <c r="A6597" i="9"/>
  <c r="E6596" i="9"/>
  <c r="D6596" i="9"/>
  <c r="C6596" i="9"/>
  <c r="B6596" i="9"/>
  <c r="A6596" i="9"/>
  <c r="E6595" i="9"/>
  <c r="D6595" i="9"/>
  <c r="C6595" i="9"/>
  <c r="B6595" i="9"/>
  <c r="A6595" i="9"/>
  <c r="E6594" i="9"/>
  <c r="D6594" i="9"/>
  <c r="C6594" i="9"/>
  <c r="B6594" i="9"/>
  <c r="A6594" i="9"/>
  <c r="E6593" i="9"/>
  <c r="D6593" i="9"/>
  <c r="C6593" i="9"/>
  <c r="B6593" i="9"/>
  <c r="A6593" i="9"/>
  <c r="E6592" i="9"/>
  <c r="D6592" i="9"/>
  <c r="C6592" i="9"/>
  <c r="B6592" i="9"/>
  <c r="A6592" i="9"/>
  <c r="E6591" i="9"/>
  <c r="D6591" i="9"/>
  <c r="C6591" i="9"/>
  <c r="B6591" i="9"/>
  <c r="A6591" i="9"/>
  <c r="E6590" i="9"/>
  <c r="D6590" i="9"/>
  <c r="C6590" i="9"/>
  <c r="B6590" i="9"/>
  <c r="A6590" i="9"/>
  <c r="E6589" i="9"/>
  <c r="D6589" i="9"/>
  <c r="C6589" i="9"/>
  <c r="B6589" i="9"/>
  <c r="A6589" i="9"/>
  <c r="E6588" i="9"/>
  <c r="D6588" i="9"/>
  <c r="C6588" i="9"/>
  <c r="B6588" i="9"/>
  <c r="A6588" i="9"/>
  <c r="E6587" i="9"/>
  <c r="D6587" i="9"/>
  <c r="C6587" i="9"/>
  <c r="B6587" i="9"/>
  <c r="A6587" i="9"/>
  <c r="E6586" i="9"/>
  <c r="D6586" i="9"/>
  <c r="C6586" i="9"/>
  <c r="B6586" i="9"/>
  <c r="A6586" i="9"/>
  <c r="E6585" i="9"/>
  <c r="D6585" i="9"/>
  <c r="C6585" i="9"/>
  <c r="B6585" i="9"/>
  <c r="A6585" i="9"/>
  <c r="E6584" i="9"/>
  <c r="D6584" i="9"/>
  <c r="C6584" i="9"/>
  <c r="B6584" i="9"/>
  <c r="A6584" i="9"/>
  <c r="E6583" i="9"/>
  <c r="D6583" i="9"/>
  <c r="C6583" i="9"/>
  <c r="B6583" i="9"/>
  <c r="A6583" i="9"/>
  <c r="E6582" i="9"/>
  <c r="D6582" i="9"/>
  <c r="C6582" i="9"/>
  <c r="B6582" i="9"/>
  <c r="A6582" i="9"/>
  <c r="E6581" i="9"/>
  <c r="D6581" i="9"/>
  <c r="C6581" i="9"/>
  <c r="B6581" i="9"/>
  <c r="A6581" i="9"/>
  <c r="E6580" i="9"/>
  <c r="D6580" i="9"/>
  <c r="C6580" i="9"/>
  <c r="B6580" i="9"/>
  <c r="A6580" i="9"/>
  <c r="E6579" i="9"/>
  <c r="D6579" i="9"/>
  <c r="C6579" i="9"/>
  <c r="B6579" i="9"/>
  <c r="A6579" i="9"/>
  <c r="E6578" i="9"/>
  <c r="D6578" i="9"/>
  <c r="C6578" i="9"/>
  <c r="B6578" i="9"/>
  <c r="A6578" i="9"/>
  <c r="E6577" i="9"/>
  <c r="D6577" i="9"/>
  <c r="C6577" i="9"/>
  <c r="B6577" i="9"/>
  <c r="A6577" i="9"/>
  <c r="E6576" i="9"/>
  <c r="D6576" i="9"/>
  <c r="C6576" i="9"/>
  <c r="B6576" i="9"/>
  <c r="A6576" i="9"/>
  <c r="E6575" i="9"/>
  <c r="D6575" i="9"/>
  <c r="C6575" i="9"/>
  <c r="B6575" i="9"/>
  <c r="A6575" i="9"/>
  <c r="E6574" i="9"/>
  <c r="D6574" i="9"/>
  <c r="C6574" i="9"/>
  <c r="B6574" i="9"/>
  <c r="A6574" i="9"/>
  <c r="E6573" i="9"/>
  <c r="D6573" i="9"/>
  <c r="C6573" i="9"/>
  <c r="B6573" i="9"/>
  <c r="A6573" i="9"/>
  <c r="E6572" i="9"/>
  <c r="D6572" i="9"/>
  <c r="C6572" i="9"/>
  <c r="B6572" i="9"/>
  <c r="A6572" i="9"/>
  <c r="E6571" i="9"/>
  <c r="D6571" i="9"/>
  <c r="C6571" i="9"/>
  <c r="B6571" i="9"/>
  <c r="A6571" i="9"/>
  <c r="E6570" i="9"/>
  <c r="D6570" i="9"/>
  <c r="C6570" i="9"/>
  <c r="B6570" i="9"/>
  <c r="A6570" i="9"/>
  <c r="E6569" i="9"/>
  <c r="D6569" i="9"/>
  <c r="C6569" i="9"/>
  <c r="B6569" i="9"/>
  <c r="A6569" i="9"/>
  <c r="E6568" i="9"/>
  <c r="D6568" i="9"/>
  <c r="C6568" i="9"/>
  <c r="B6568" i="9"/>
  <c r="A6568" i="9"/>
  <c r="E6567" i="9"/>
  <c r="D6567" i="9"/>
  <c r="C6567" i="9"/>
  <c r="B6567" i="9"/>
  <c r="A6567" i="9"/>
  <c r="E6566" i="9"/>
  <c r="D6566" i="9"/>
  <c r="C6566" i="9"/>
  <c r="B6566" i="9"/>
  <c r="A6566" i="9"/>
  <c r="E6565" i="9"/>
  <c r="D6565" i="9"/>
  <c r="C6565" i="9"/>
  <c r="B6565" i="9"/>
  <c r="A6565" i="9"/>
  <c r="E6564" i="9"/>
  <c r="D6564" i="9"/>
  <c r="C6564" i="9"/>
  <c r="B6564" i="9"/>
  <c r="A6564" i="9"/>
  <c r="E6563" i="9"/>
  <c r="D6563" i="9"/>
  <c r="C6563" i="9"/>
  <c r="B6563" i="9"/>
  <c r="A6563" i="9"/>
  <c r="E6562" i="9"/>
  <c r="D6562" i="9"/>
  <c r="C6562" i="9"/>
  <c r="B6562" i="9"/>
  <c r="A6562" i="9"/>
  <c r="E6561" i="9"/>
  <c r="D6561" i="9"/>
  <c r="C6561" i="9"/>
  <c r="B6561" i="9"/>
  <c r="A6561" i="9"/>
  <c r="E6560" i="9"/>
  <c r="D6560" i="9"/>
  <c r="C6560" i="9"/>
  <c r="B6560" i="9"/>
  <c r="A6560" i="9"/>
  <c r="E6559" i="9"/>
  <c r="D6559" i="9"/>
  <c r="C6559" i="9"/>
  <c r="B6559" i="9"/>
  <c r="A6559" i="9"/>
  <c r="E6558" i="9"/>
  <c r="D6558" i="9"/>
  <c r="C6558" i="9"/>
  <c r="B6558" i="9"/>
  <c r="A6558" i="9"/>
  <c r="E6557" i="9"/>
  <c r="D6557" i="9"/>
  <c r="C6557" i="9"/>
  <c r="B6557" i="9"/>
  <c r="A6557" i="9"/>
  <c r="E6556" i="9"/>
  <c r="D6556" i="9"/>
  <c r="C6556" i="9"/>
  <c r="B6556" i="9"/>
  <c r="A6556" i="9"/>
  <c r="E6555" i="9"/>
  <c r="D6555" i="9"/>
  <c r="C6555" i="9"/>
  <c r="B6555" i="9"/>
  <c r="A6555" i="9"/>
  <c r="E6554" i="9"/>
  <c r="D6554" i="9"/>
  <c r="C6554" i="9"/>
  <c r="B6554" i="9"/>
  <c r="A6554" i="9"/>
  <c r="E6553" i="9"/>
  <c r="D6553" i="9"/>
  <c r="C6553" i="9"/>
  <c r="B6553" i="9"/>
  <c r="A6553" i="9"/>
  <c r="E6552" i="9"/>
  <c r="D6552" i="9"/>
  <c r="C6552" i="9"/>
  <c r="B6552" i="9"/>
  <c r="A6552" i="9"/>
  <c r="E6551" i="9"/>
  <c r="D6551" i="9"/>
  <c r="C6551" i="9"/>
  <c r="B6551" i="9"/>
  <c r="A6551" i="9"/>
  <c r="E6550" i="9"/>
  <c r="D6550" i="9"/>
  <c r="C6550" i="9"/>
  <c r="B6550" i="9"/>
  <c r="A6550" i="9"/>
  <c r="E6549" i="9"/>
  <c r="D6549" i="9"/>
  <c r="C6549" i="9"/>
  <c r="B6549" i="9"/>
  <c r="A6549" i="9"/>
  <c r="E6548" i="9"/>
  <c r="D6548" i="9"/>
  <c r="C6548" i="9"/>
  <c r="B6548" i="9"/>
  <c r="A6548" i="9"/>
  <c r="E6547" i="9"/>
  <c r="D6547" i="9"/>
  <c r="C6547" i="9"/>
  <c r="B6547" i="9"/>
  <c r="A6547" i="9"/>
  <c r="E6546" i="9"/>
  <c r="D6546" i="9"/>
  <c r="C6546" i="9"/>
  <c r="B6546" i="9"/>
  <c r="A6546" i="9"/>
  <c r="E6545" i="9"/>
  <c r="D6545" i="9"/>
  <c r="C6545" i="9"/>
  <c r="B6545" i="9"/>
  <c r="A6545" i="9"/>
  <c r="E6544" i="9"/>
  <c r="D6544" i="9"/>
  <c r="C6544" i="9"/>
  <c r="B6544" i="9"/>
  <c r="A6544" i="9"/>
  <c r="E6543" i="9"/>
  <c r="D6543" i="9"/>
  <c r="C6543" i="9"/>
  <c r="B6543" i="9"/>
  <c r="A6543" i="9"/>
  <c r="E6542" i="9"/>
  <c r="D6542" i="9"/>
  <c r="C6542" i="9"/>
  <c r="B6542" i="9"/>
  <c r="A6542" i="9"/>
  <c r="E6541" i="9"/>
  <c r="D6541" i="9"/>
  <c r="C6541" i="9"/>
  <c r="B6541" i="9"/>
  <c r="A6541" i="9"/>
  <c r="E6540" i="9"/>
  <c r="D6540" i="9"/>
  <c r="C6540" i="9"/>
  <c r="B6540" i="9"/>
  <c r="A6540" i="9"/>
  <c r="E6539" i="9"/>
  <c r="D6539" i="9"/>
  <c r="C6539" i="9"/>
  <c r="B6539" i="9"/>
  <c r="A6539" i="9"/>
  <c r="E6538" i="9"/>
  <c r="D6538" i="9"/>
  <c r="C6538" i="9"/>
  <c r="B6538" i="9"/>
  <c r="A6538" i="9"/>
  <c r="E6537" i="9"/>
  <c r="D6537" i="9"/>
  <c r="C6537" i="9"/>
  <c r="B6537" i="9"/>
  <c r="A6537" i="9"/>
  <c r="E6536" i="9"/>
  <c r="D6536" i="9"/>
  <c r="C6536" i="9"/>
  <c r="B6536" i="9"/>
  <c r="A6536" i="9"/>
  <c r="E6535" i="9"/>
  <c r="D6535" i="9"/>
  <c r="C6535" i="9"/>
  <c r="B6535" i="9"/>
  <c r="A6535" i="9"/>
  <c r="E6534" i="9"/>
  <c r="D6534" i="9"/>
  <c r="C6534" i="9"/>
  <c r="B6534" i="9"/>
  <c r="A6534" i="9"/>
  <c r="E6533" i="9"/>
  <c r="D6533" i="9"/>
  <c r="C6533" i="9"/>
  <c r="B6533" i="9"/>
  <c r="A6533" i="9"/>
  <c r="E6532" i="9"/>
  <c r="D6532" i="9"/>
  <c r="C6532" i="9"/>
  <c r="B6532" i="9"/>
  <c r="A6532" i="9"/>
  <c r="E6531" i="9"/>
  <c r="D6531" i="9"/>
  <c r="C6531" i="9"/>
  <c r="B6531" i="9"/>
  <c r="A6531" i="9"/>
  <c r="E6530" i="9"/>
  <c r="D6530" i="9"/>
  <c r="C6530" i="9"/>
  <c r="B6530" i="9"/>
  <c r="A6530" i="9"/>
  <c r="E6529" i="9"/>
  <c r="D6529" i="9"/>
  <c r="C6529" i="9"/>
  <c r="B6529" i="9"/>
  <c r="A6529" i="9"/>
  <c r="E6528" i="9"/>
  <c r="D6528" i="9"/>
  <c r="C6528" i="9"/>
  <c r="B6528" i="9"/>
  <c r="A6528" i="9"/>
  <c r="E6527" i="9"/>
  <c r="D6527" i="9"/>
  <c r="C6527" i="9"/>
  <c r="B6527" i="9"/>
  <c r="A6527" i="9"/>
  <c r="E6526" i="9"/>
  <c r="D6526" i="9"/>
  <c r="C6526" i="9"/>
  <c r="B6526" i="9"/>
  <c r="A6526" i="9"/>
  <c r="E6525" i="9"/>
  <c r="D6525" i="9"/>
  <c r="C6525" i="9"/>
  <c r="B6525" i="9"/>
  <c r="A6525" i="9"/>
  <c r="E6524" i="9"/>
  <c r="D6524" i="9"/>
  <c r="C6524" i="9"/>
  <c r="B6524" i="9"/>
  <c r="A6524" i="9"/>
  <c r="E6523" i="9"/>
  <c r="D6523" i="9"/>
  <c r="C6523" i="9"/>
  <c r="B6523" i="9"/>
  <c r="A6523" i="9"/>
  <c r="E6522" i="9"/>
  <c r="D6522" i="9"/>
  <c r="C6522" i="9"/>
  <c r="B6522" i="9"/>
  <c r="A6522" i="9"/>
  <c r="E6521" i="9"/>
  <c r="D6521" i="9"/>
  <c r="C6521" i="9"/>
  <c r="B6521" i="9"/>
  <c r="A6521" i="9"/>
  <c r="E6520" i="9"/>
  <c r="D6520" i="9"/>
  <c r="C6520" i="9"/>
  <c r="B6520" i="9"/>
  <c r="A6520" i="9"/>
  <c r="E6519" i="9"/>
  <c r="D6519" i="9"/>
  <c r="C6519" i="9"/>
  <c r="B6519" i="9"/>
  <c r="A6519" i="9"/>
  <c r="E6518" i="9"/>
  <c r="D6518" i="9"/>
  <c r="C6518" i="9"/>
  <c r="B6518" i="9"/>
  <c r="A6518" i="9"/>
  <c r="E6517" i="9"/>
  <c r="D6517" i="9"/>
  <c r="C6517" i="9"/>
  <c r="B6517" i="9"/>
  <c r="A6517" i="9"/>
  <c r="E6516" i="9"/>
  <c r="D6516" i="9"/>
  <c r="C6516" i="9"/>
  <c r="B6516" i="9"/>
  <c r="A6516" i="9"/>
  <c r="E6515" i="9"/>
  <c r="D6515" i="9"/>
  <c r="C6515" i="9"/>
  <c r="B6515" i="9"/>
  <c r="A6515" i="9"/>
  <c r="E6514" i="9"/>
  <c r="D6514" i="9"/>
  <c r="C6514" i="9"/>
  <c r="B6514" i="9"/>
  <c r="A6514" i="9"/>
  <c r="E6513" i="9"/>
  <c r="D6513" i="9"/>
  <c r="C6513" i="9"/>
  <c r="B6513" i="9"/>
  <c r="A6513" i="9"/>
  <c r="E6512" i="9"/>
  <c r="D6512" i="9"/>
  <c r="C6512" i="9"/>
  <c r="B6512" i="9"/>
  <c r="A6512" i="9"/>
  <c r="E6511" i="9"/>
  <c r="D6511" i="9"/>
  <c r="C6511" i="9"/>
  <c r="B6511" i="9"/>
  <c r="A6511" i="9"/>
  <c r="E6510" i="9"/>
  <c r="D6510" i="9"/>
  <c r="C6510" i="9"/>
  <c r="B6510" i="9"/>
  <c r="A6510" i="9"/>
  <c r="E6509" i="9"/>
  <c r="D6509" i="9"/>
  <c r="C6509" i="9"/>
  <c r="B6509" i="9"/>
  <c r="A6509" i="9"/>
  <c r="E6508" i="9"/>
  <c r="D6508" i="9"/>
  <c r="C6508" i="9"/>
  <c r="B6508" i="9"/>
  <c r="A6508" i="9"/>
  <c r="E6507" i="9"/>
  <c r="D6507" i="9"/>
  <c r="C6507" i="9"/>
  <c r="B6507" i="9"/>
  <c r="A6507" i="9"/>
  <c r="E6506" i="9"/>
  <c r="D6506" i="9"/>
  <c r="C6506" i="9"/>
  <c r="B6506" i="9"/>
  <c r="A6506" i="9"/>
  <c r="E6505" i="9"/>
  <c r="D6505" i="9"/>
  <c r="C6505" i="9"/>
  <c r="B6505" i="9"/>
  <c r="A6505" i="9"/>
  <c r="E6504" i="9"/>
  <c r="D6504" i="9"/>
  <c r="C6504" i="9"/>
  <c r="B6504" i="9"/>
  <c r="A6504" i="9"/>
  <c r="E6503" i="9"/>
  <c r="D6503" i="9"/>
  <c r="C6503" i="9"/>
  <c r="B6503" i="9"/>
  <c r="A6503" i="9"/>
  <c r="E6502" i="9"/>
  <c r="D6502" i="9"/>
  <c r="C6502" i="9"/>
  <c r="B6502" i="9"/>
  <c r="A6502" i="9"/>
  <c r="E6501" i="9"/>
  <c r="D6501" i="9"/>
  <c r="C6501" i="9"/>
  <c r="B6501" i="9"/>
  <c r="A6501" i="9"/>
  <c r="E6500" i="9"/>
  <c r="D6500" i="9"/>
  <c r="C6500" i="9"/>
  <c r="B6500" i="9"/>
  <c r="A6500" i="9"/>
  <c r="E6499" i="9"/>
  <c r="D6499" i="9"/>
  <c r="C6499" i="9"/>
  <c r="B6499" i="9"/>
  <c r="A6499" i="9"/>
  <c r="E6498" i="9"/>
  <c r="D6498" i="9"/>
  <c r="C6498" i="9"/>
  <c r="B6498" i="9"/>
  <c r="A6498" i="9"/>
  <c r="E6497" i="9"/>
  <c r="D6497" i="9"/>
  <c r="C6497" i="9"/>
  <c r="B6497" i="9"/>
  <c r="A6497" i="9"/>
  <c r="E6496" i="9"/>
  <c r="D6496" i="9"/>
  <c r="C6496" i="9"/>
  <c r="B6496" i="9"/>
  <c r="A6496" i="9"/>
  <c r="E6495" i="9"/>
  <c r="D6495" i="9"/>
  <c r="C6495" i="9"/>
  <c r="B6495" i="9"/>
  <c r="A6495" i="9"/>
  <c r="E6494" i="9"/>
  <c r="D6494" i="9"/>
  <c r="C6494" i="9"/>
  <c r="B6494" i="9"/>
  <c r="A6494" i="9"/>
  <c r="E6493" i="9"/>
  <c r="D6493" i="9"/>
  <c r="C6493" i="9"/>
  <c r="B6493" i="9"/>
  <c r="A6493" i="9"/>
  <c r="E6492" i="9"/>
  <c r="D6492" i="9"/>
  <c r="C6492" i="9"/>
  <c r="B6492" i="9"/>
  <c r="A6492" i="9"/>
  <c r="E6491" i="9"/>
  <c r="D6491" i="9"/>
  <c r="C6491" i="9"/>
  <c r="B6491" i="9"/>
  <c r="A6491" i="9"/>
  <c r="E6490" i="9"/>
  <c r="D6490" i="9"/>
  <c r="C6490" i="9"/>
  <c r="B6490" i="9"/>
  <c r="A6490" i="9"/>
  <c r="E6489" i="9"/>
  <c r="D6489" i="9"/>
  <c r="C6489" i="9"/>
  <c r="B6489" i="9"/>
  <c r="A6489" i="9"/>
  <c r="E6488" i="9"/>
  <c r="D6488" i="9"/>
  <c r="C6488" i="9"/>
  <c r="B6488" i="9"/>
  <c r="A6488" i="9"/>
  <c r="E6487" i="9"/>
  <c r="D6487" i="9"/>
  <c r="C6487" i="9"/>
  <c r="B6487" i="9"/>
  <c r="A6487" i="9"/>
  <c r="E6486" i="9"/>
  <c r="D6486" i="9"/>
  <c r="C6486" i="9"/>
  <c r="B6486" i="9"/>
  <c r="A6486" i="9"/>
  <c r="E6485" i="9"/>
  <c r="D6485" i="9"/>
  <c r="C6485" i="9"/>
  <c r="B6485" i="9"/>
  <c r="A6485" i="9"/>
  <c r="E6484" i="9"/>
  <c r="D6484" i="9"/>
  <c r="C6484" i="9"/>
  <c r="B6484" i="9"/>
  <c r="A6484" i="9"/>
  <c r="E6483" i="9"/>
  <c r="D6483" i="9"/>
  <c r="C6483" i="9"/>
  <c r="B6483" i="9"/>
  <c r="A6483" i="9"/>
  <c r="E6482" i="9"/>
  <c r="D6482" i="9"/>
  <c r="C6482" i="9"/>
  <c r="B6482" i="9"/>
  <c r="A6482" i="9"/>
  <c r="E6481" i="9"/>
  <c r="D6481" i="9"/>
  <c r="C6481" i="9"/>
  <c r="B6481" i="9"/>
  <c r="A6481" i="9"/>
  <c r="E6480" i="9"/>
  <c r="D6480" i="9"/>
  <c r="C6480" i="9"/>
  <c r="B6480" i="9"/>
  <c r="A6480" i="9"/>
  <c r="E6479" i="9"/>
  <c r="D6479" i="9"/>
  <c r="C6479" i="9"/>
  <c r="B6479" i="9"/>
  <c r="A6479" i="9"/>
  <c r="E6478" i="9"/>
  <c r="D6478" i="9"/>
  <c r="C6478" i="9"/>
  <c r="B6478" i="9"/>
  <c r="A6478" i="9"/>
  <c r="E6477" i="9"/>
  <c r="D6477" i="9"/>
  <c r="C6477" i="9"/>
  <c r="B6477" i="9"/>
  <c r="A6477" i="9"/>
  <c r="E6476" i="9"/>
  <c r="D6476" i="9"/>
  <c r="C6476" i="9"/>
  <c r="B6476" i="9"/>
  <c r="A6476" i="9"/>
  <c r="E6475" i="9"/>
  <c r="D6475" i="9"/>
  <c r="C6475" i="9"/>
  <c r="B6475" i="9"/>
  <c r="A6475" i="9"/>
  <c r="E6474" i="9"/>
  <c r="D6474" i="9"/>
  <c r="C6474" i="9"/>
  <c r="B6474" i="9"/>
  <c r="A6474" i="9"/>
  <c r="E6473" i="9"/>
  <c r="D6473" i="9"/>
  <c r="C6473" i="9"/>
  <c r="B6473" i="9"/>
  <c r="A6473" i="9"/>
  <c r="E6472" i="9"/>
  <c r="D6472" i="9"/>
  <c r="C6472" i="9"/>
  <c r="B6472" i="9"/>
  <c r="A6472" i="9"/>
  <c r="E6471" i="9"/>
  <c r="D6471" i="9"/>
  <c r="C6471" i="9"/>
  <c r="B6471" i="9"/>
  <c r="A6471" i="9"/>
  <c r="E6470" i="9"/>
  <c r="D6470" i="9"/>
  <c r="C6470" i="9"/>
  <c r="B6470" i="9"/>
  <c r="A6470" i="9"/>
  <c r="E6469" i="9"/>
  <c r="D6469" i="9"/>
  <c r="C6469" i="9"/>
  <c r="B6469" i="9"/>
  <c r="A6469" i="9"/>
  <c r="E6468" i="9"/>
  <c r="D6468" i="9"/>
  <c r="C6468" i="9"/>
  <c r="B6468" i="9"/>
  <c r="A6468" i="9"/>
  <c r="E6467" i="9"/>
  <c r="D6467" i="9"/>
  <c r="C6467" i="9"/>
  <c r="B6467" i="9"/>
  <c r="A6467" i="9"/>
  <c r="E6466" i="9"/>
  <c r="D6466" i="9"/>
  <c r="C6466" i="9"/>
  <c r="B6466" i="9"/>
  <c r="A6466" i="9"/>
  <c r="E6465" i="9"/>
  <c r="D6465" i="9"/>
  <c r="C6465" i="9"/>
  <c r="B6465" i="9"/>
  <c r="A6465" i="9"/>
  <c r="E6464" i="9"/>
  <c r="D6464" i="9"/>
  <c r="C6464" i="9"/>
  <c r="B6464" i="9"/>
  <c r="A6464" i="9"/>
  <c r="E6463" i="9"/>
  <c r="D6463" i="9"/>
  <c r="C6463" i="9"/>
  <c r="B6463" i="9"/>
  <c r="A6463" i="9"/>
  <c r="E6462" i="9"/>
  <c r="D6462" i="9"/>
  <c r="C6462" i="9"/>
  <c r="B6462" i="9"/>
  <c r="A6462" i="9"/>
  <c r="E6461" i="9"/>
  <c r="D6461" i="9"/>
  <c r="C6461" i="9"/>
  <c r="B6461" i="9"/>
  <c r="A6461" i="9"/>
  <c r="E6460" i="9"/>
  <c r="D6460" i="9"/>
  <c r="C6460" i="9"/>
  <c r="B6460" i="9"/>
  <c r="A6460" i="9"/>
  <c r="E6459" i="9"/>
  <c r="D6459" i="9"/>
  <c r="C6459" i="9"/>
  <c r="B6459" i="9"/>
  <c r="A6459" i="9"/>
  <c r="E6458" i="9"/>
  <c r="D6458" i="9"/>
  <c r="C6458" i="9"/>
  <c r="B6458" i="9"/>
  <c r="A6458" i="9"/>
  <c r="E6457" i="9"/>
  <c r="D6457" i="9"/>
  <c r="C6457" i="9"/>
  <c r="B6457" i="9"/>
  <c r="A6457" i="9"/>
  <c r="E6456" i="9"/>
  <c r="D6456" i="9"/>
  <c r="C6456" i="9"/>
  <c r="B6456" i="9"/>
  <c r="A6456" i="9"/>
  <c r="E6455" i="9"/>
  <c r="D6455" i="9"/>
  <c r="C6455" i="9"/>
  <c r="B6455" i="9"/>
  <c r="A6455" i="9"/>
  <c r="E6454" i="9"/>
  <c r="D6454" i="9"/>
  <c r="C6454" i="9"/>
  <c r="B6454" i="9"/>
  <c r="A6454" i="9"/>
  <c r="E6453" i="9"/>
  <c r="D6453" i="9"/>
  <c r="C6453" i="9"/>
  <c r="B6453" i="9"/>
  <c r="A6453" i="9"/>
  <c r="E6452" i="9"/>
  <c r="D6452" i="9"/>
  <c r="C6452" i="9"/>
  <c r="B6452" i="9"/>
  <c r="A6452" i="9"/>
  <c r="E6451" i="9"/>
  <c r="D6451" i="9"/>
  <c r="C6451" i="9"/>
  <c r="B6451" i="9"/>
  <c r="A6451" i="9"/>
  <c r="E6450" i="9"/>
  <c r="D6450" i="9"/>
  <c r="C6450" i="9"/>
  <c r="B6450" i="9"/>
  <c r="A6450" i="9"/>
  <c r="E6449" i="9"/>
  <c r="D6449" i="9"/>
  <c r="C6449" i="9"/>
  <c r="B6449" i="9"/>
  <c r="A6449" i="9"/>
  <c r="E6448" i="9"/>
  <c r="D6448" i="9"/>
  <c r="C6448" i="9"/>
  <c r="B6448" i="9"/>
  <c r="A6448" i="9"/>
  <c r="E6447" i="9"/>
  <c r="D6447" i="9"/>
  <c r="C6447" i="9"/>
  <c r="B6447" i="9"/>
  <c r="A6447" i="9"/>
  <c r="E6446" i="9"/>
  <c r="D6446" i="9"/>
  <c r="C6446" i="9"/>
  <c r="B6446" i="9"/>
  <c r="A6446" i="9"/>
  <c r="E6445" i="9"/>
  <c r="D6445" i="9"/>
  <c r="C6445" i="9"/>
  <c r="B6445" i="9"/>
  <c r="A6445" i="9"/>
  <c r="E6444" i="9"/>
  <c r="D6444" i="9"/>
  <c r="C6444" i="9"/>
  <c r="B6444" i="9"/>
  <c r="A6444" i="9"/>
  <c r="E6443" i="9"/>
  <c r="D6443" i="9"/>
  <c r="C6443" i="9"/>
  <c r="B6443" i="9"/>
  <c r="A6443" i="9"/>
  <c r="E6442" i="9"/>
  <c r="D6442" i="9"/>
  <c r="C6442" i="9"/>
  <c r="B6442" i="9"/>
  <c r="A6442" i="9"/>
  <c r="E6441" i="9"/>
  <c r="D6441" i="9"/>
  <c r="C6441" i="9"/>
  <c r="B6441" i="9"/>
  <c r="A6441" i="9"/>
  <c r="E6440" i="9"/>
  <c r="D6440" i="9"/>
  <c r="C6440" i="9"/>
  <c r="B6440" i="9"/>
  <c r="A6440" i="9"/>
  <c r="E6439" i="9"/>
  <c r="D6439" i="9"/>
  <c r="C6439" i="9"/>
  <c r="B6439" i="9"/>
  <c r="A6439" i="9"/>
  <c r="E6438" i="9"/>
  <c r="D6438" i="9"/>
  <c r="C6438" i="9"/>
  <c r="B6438" i="9"/>
  <c r="A6438" i="9"/>
  <c r="E6437" i="9"/>
  <c r="D6437" i="9"/>
  <c r="C6437" i="9"/>
  <c r="B6437" i="9"/>
  <c r="A6437" i="9"/>
  <c r="E6436" i="9"/>
  <c r="D6436" i="9"/>
  <c r="C6436" i="9"/>
  <c r="B6436" i="9"/>
  <c r="A6436" i="9"/>
  <c r="E6435" i="9"/>
  <c r="D6435" i="9"/>
  <c r="C6435" i="9"/>
  <c r="B6435" i="9"/>
  <c r="A6435" i="9"/>
  <c r="E6434" i="9"/>
  <c r="D6434" i="9"/>
  <c r="C6434" i="9"/>
  <c r="B6434" i="9"/>
  <c r="A6434" i="9"/>
  <c r="E6433" i="9"/>
  <c r="D6433" i="9"/>
  <c r="C6433" i="9"/>
  <c r="B6433" i="9"/>
  <c r="A6433" i="9"/>
  <c r="E6432" i="9"/>
  <c r="D6432" i="9"/>
  <c r="C6432" i="9"/>
  <c r="B6432" i="9"/>
  <c r="A6432" i="9"/>
  <c r="E6431" i="9"/>
  <c r="D6431" i="9"/>
  <c r="C6431" i="9"/>
  <c r="B6431" i="9"/>
  <c r="A6431" i="9"/>
  <c r="E6430" i="9"/>
  <c r="D6430" i="9"/>
  <c r="C6430" i="9"/>
  <c r="B6430" i="9"/>
  <c r="A6430" i="9"/>
  <c r="E6429" i="9"/>
  <c r="D6429" i="9"/>
  <c r="C6429" i="9"/>
  <c r="B6429" i="9"/>
  <c r="A6429" i="9"/>
  <c r="E6428" i="9"/>
  <c r="D6428" i="9"/>
  <c r="C6428" i="9"/>
  <c r="B6428" i="9"/>
  <c r="A6428" i="9"/>
  <c r="E6427" i="9"/>
  <c r="D6427" i="9"/>
  <c r="C6427" i="9"/>
  <c r="B6427" i="9"/>
  <c r="A6427" i="9"/>
  <c r="E6426" i="9"/>
  <c r="D6426" i="9"/>
  <c r="C6426" i="9"/>
  <c r="B6426" i="9"/>
  <c r="A6426" i="9"/>
  <c r="E6425" i="9"/>
  <c r="D6425" i="9"/>
  <c r="C6425" i="9"/>
  <c r="B6425" i="9"/>
  <c r="A6425" i="9"/>
  <c r="E6424" i="9"/>
  <c r="D6424" i="9"/>
  <c r="C6424" i="9"/>
  <c r="B6424" i="9"/>
  <c r="A6424" i="9"/>
  <c r="E6423" i="9"/>
  <c r="D6423" i="9"/>
  <c r="C6423" i="9"/>
  <c r="B6423" i="9"/>
  <c r="A6423" i="9"/>
  <c r="E6422" i="9"/>
  <c r="D6422" i="9"/>
  <c r="C6422" i="9"/>
  <c r="B6422" i="9"/>
  <c r="A6422" i="9"/>
  <c r="E6421" i="9"/>
  <c r="D6421" i="9"/>
  <c r="C6421" i="9"/>
  <c r="B6421" i="9"/>
  <c r="A6421" i="9"/>
  <c r="E6420" i="9"/>
  <c r="D6420" i="9"/>
  <c r="C6420" i="9"/>
  <c r="B6420" i="9"/>
  <c r="A6420" i="9"/>
  <c r="E6419" i="9"/>
  <c r="D6419" i="9"/>
  <c r="C6419" i="9"/>
  <c r="B6419" i="9"/>
  <c r="A6419" i="9"/>
  <c r="E6418" i="9"/>
  <c r="D6418" i="9"/>
  <c r="C6418" i="9"/>
  <c r="B6418" i="9"/>
  <c r="A6418" i="9"/>
  <c r="E6417" i="9"/>
  <c r="D6417" i="9"/>
  <c r="C6417" i="9"/>
  <c r="B6417" i="9"/>
  <c r="A6417" i="9"/>
  <c r="E6416" i="9"/>
  <c r="D6416" i="9"/>
  <c r="C6416" i="9"/>
  <c r="B6416" i="9"/>
  <c r="A6416" i="9"/>
  <c r="E6415" i="9"/>
  <c r="D6415" i="9"/>
  <c r="C6415" i="9"/>
  <c r="B6415" i="9"/>
  <c r="A6415" i="9"/>
  <c r="E6414" i="9"/>
  <c r="D6414" i="9"/>
  <c r="C6414" i="9"/>
  <c r="B6414" i="9"/>
  <c r="A6414" i="9"/>
  <c r="E6413" i="9"/>
  <c r="D6413" i="9"/>
  <c r="C6413" i="9"/>
  <c r="B6413" i="9"/>
  <c r="A6413" i="9"/>
  <c r="E6412" i="9"/>
  <c r="D6412" i="9"/>
  <c r="C6412" i="9"/>
  <c r="B6412" i="9"/>
  <c r="A6412" i="9"/>
  <c r="E6411" i="9"/>
  <c r="D6411" i="9"/>
  <c r="C6411" i="9"/>
  <c r="B6411" i="9"/>
  <c r="A6411" i="9"/>
  <c r="E6410" i="9"/>
  <c r="D6410" i="9"/>
  <c r="C6410" i="9"/>
  <c r="B6410" i="9"/>
  <c r="A6410" i="9"/>
  <c r="E6409" i="9"/>
  <c r="D6409" i="9"/>
  <c r="C6409" i="9"/>
  <c r="B6409" i="9"/>
  <c r="A6409" i="9"/>
  <c r="E6408" i="9"/>
  <c r="D6408" i="9"/>
  <c r="C6408" i="9"/>
  <c r="B6408" i="9"/>
  <c r="A6408" i="9"/>
  <c r="E6407" i="9"/>
  <c r="D6407" i="9"/>
  <c r="C6407" i="9"/>
  <c r="B6407" i="9"/>
  <c r="A6407" i="9"/>
  <c r="E6406" i="9"/>
  <c r="D6406" i="9"/>
  <c r="C6406" i="9"/>
  <c r="B6406" i="9"/>
  <c r="A6406" i="9"/>
  <c r="E6405" i="9"/>
  <c r="D6405" i="9"/>
  <c r="C6405" i="9"/>
  <c r="B6405" i="9"/>
  <c r="A6405" i="9"/>
  <c r="E6404" i="9"/>
  <c r="D6404" i="9"/>
  <c r="C6404" i="9"/>
  <c r="B6404" i="9"/>
  <c r="A6404" i="9"/>
  <c r="E6403" i="9"/>
  <c r="D6403" i="9"/>
  <c r="C6403" i="9"/>
  <c r="B6403" i="9"/>
  <c r="A6403" i="9"/>
  <c r="E6402" i="9"/>
  <c r="D6402" i="9"/>
  <c r="C6402" i="9"/>
  <c r="B6402" i="9"/>
  <c r="A6402" i="9"/>
  <c r="E6401" i="9"/>
  <c r="D6401" i="9"/>
  <c r="C6401" i="9"/>
  <c r="B6401" i="9"/>
  <c r="A6401" i="9"/>
  <c r="E6400" i="9"/>
  <c r="D6400" i="9"/>
  <c r="C6400" i="9"/>
  <c r="B6400" i="9"/>
  <c r="A6400" i="9"/>
  <c r="E6399" i="9"/>
  <c r="D6399" i="9"/>
  <c r="C6399" i="9"/>
  <c r="B6399" i="9"/>
  <c r="A6399" i="9"/>
  <c r="E6398" i="9"/>
  <c r="D6398" i="9"/>
  <c r="C6398" i="9"/>
  <c r="B6398" i="9"/>
  <c r="A6398" i="9"/>
  <c r="E6397" i="9"/>
  <c r="D6397" i="9"/>
  <c r="C6397" i="9"/>
  <c r="B6397" i="9"/>
  <c r="A6397" i="9"/>
  <c r="E6396" i="9"/>
  <c r="D6396" i="9"/>
  <c r="C6396" i="9"/>
  <c r="B6396" i="9"/>
  <c r="A6396" i="9"/>
  <c r="E6395" i="9"/>
  <c r="D6395" i="9"/>
  <c r="C6395" i="9"/>
  <c r="B6395" i="9"/>
  <c r="A6395" i="9"/>
  <c r="E6394" i="9"/>
  <c r="D6394" i="9"/>
  <c r="C6394" i="9"/>
  <c r="B6394" i="9"/>
  <c r="A6394" i="9"/>
  <c r="E6393" i="9"/>
  <c r="D6393" i="9"/>
  <c r="C6393" i="9"/>
  <c r="B6393" i="9"/>
  <c r="A6393" i="9"/>
  <c r="E6392" i="9"/>
  <c r="D6392" i="9"/>
  <c r="C6392" i="9"/>
  <c r="B6392" i="9"/>
  <c r="A6392" i="9"/>
  <c r="E6391" i="9"/>
  <c r="D6391" i="9"/>
  <c r="C6391" i="9"/>
  <c r="B6391" i="9"/>
  <c r="A6391" i="9"/>
  <c r="E6390" i="9"/>
  <c r="D6390" i="9"/>
  <c r="C6390" i="9"/>
  <c r="B6390" i="9"/>
  <c r="A6390" i="9"/>
  <c r="E6389" i="9"/>
  <c r="D6389" i="9"/>
  <c r="C6389" i="9"/>
  <c r="B6389" i="9"/>
  <c r="A6389" i="9"/>
  <c r="E6388" i="9"/>
  <c r="D6388" i="9"/>
  <c r="C6388" i="9"/>
  <c r="B6388" i="9"/>
  <c r="A6388" i="9"/>
  <c r="E6387" i="9"/>
  <c r="D6387" i="9"/>
  <c r="C6387" i="9"/>
  <c r="B6387" i="9"/>
  <c r="A6387" i="9"/>
  <c r="E6386" i="9"/>
  <c r="D6386" i="9"/>
  <c r="C6386" i="9"/>
  <c r="B6386" i="9"/>
  <c r="A6386" i="9"/>
  <c r="E6385" i="9"/>
  <c r="D6385" i="9"/>
  <c r="C6385" i="9"/>
  <c r="B6385" i="9"/>
  <c r="A6385" i="9"/>
  <c r="E6384" i="9"/>
  <c r="D6384" i="9"/>
  <c r="C6384" i="9"/>
  <c r="B6384" i="9"/>
  <c r="A6384" i="9"/>
  <c r="E6383" i="9"/>
  <c r="D6383" i="9"/>
  <c r="C6383" i="9"/>
  <c r="B6383" i="9"/>
  <c r="A6383" i="9"/>
  <c r="E6382" i="9"/>
  <c r="D6382" i="9"/>
  <c r="C6382" i="9"/>
  <c r="B6382" i="9"/>
  <c r="A6382" i="9"/>
  <c r="E6381" i="9"/>
  <c r="D6381" i="9"/>
  <c r="C6381" i="9"/>
  <c r="B6381" i="9"/>
  <c r="A6381" i="9"/>
  <c r="E6380" i="9"/>
  <c r="D6380" i="9"/>
  <c r="C6380" i="9"/>
  <c r="B6380" i="9"/>
  <c r="A6380" i="9"/>
  <c r="E6379" i="9"/>
  <c r="D6379" i="9"/>
  <c r="C6379" i="9"/>
  <c r="B6379" i="9"/>
  <c r="A6379" i="9"/>
  <c r="E6378" i="9"/>
  <c r="D6378" i="9"/>
  <c r="C6378" i="9"/>
  <c r="B6378" i="9"/>
  <c r="A6378" i="9"/>
  <c r="E6377" i="9"/>
  <c r="D6377" i="9"/>
  <c r="C6377" i="9"/>
  <c r="B6377" i="9"/>
  <c r="A6377" i="9"/>
  <c r="E6376" i="9"/>
  <c r="D6376" i="9"/>
  <c r="C6376" i="9"/>
  <c r="B6376" i="9"/>
  <c r="A6376" i="9"/>
  <c r="E6375" i="9"/>
  <c r="D6375" i="9"/>
  <c r="C6375" i="9"/>
  <c r="B6375" i="9"/>
  <c r="A6375" i="9"/>
  <c r="E6374" i="9"/>
  <c r="D6374" i="9"/>
  <c r="C6374" i="9"/>
  <c r="B6374" i="9"/>
  <c r="A6374" i="9"/>
  <c r="E6373" i="9"/>
  <c r="D6373" i="9"/>
  <c r="C6373" i="9"/>
  <c r="B6373" i="9"/>
  <c r="A6373" i="9"/>
  <c r="E6372" i="9"/>
  <c r="D6372" i="9"/>
  <c r="C6372" i="9"/>
  <c r="B6372" i="9"/>
  <c r="A6372" i="9"/>
  <c r="E6371" i="9"/>
  <c r="D6371" i="9"/>
  <c r="C6371" i="9"/>
  <c r="B6371" i="9"/>
  <c r="A6371" i="9"/>
  <c r="E6370" i="9"/>
  <c r="D6370" i="9"/>
  <c r="C6370" i="9"/>
  <c r="B6370" i="9"/>
  <c r="A6370" i="9"/>
  <c r="E6369" i="9"/>
  <c r="D6369" i="9"/>
  <c r="C6369" i="9"/>
  <c r="B6369" i="9"/>
  <c r="A6369" i="9"/>
  <c r="E6368" i="9"/>
  <c r="D6368" i="9"/>
  <c r="C6368" i="9"/>
  <c r="B6368" i="9"/>
  <c r="A6368" i="9"/>
  <c r="E6367" i="9"/>
  <c r="D6367" i="9"/>
  <c r="C6367" i="9"/>
  <c r="B6367" i="9"/>
  <c r="A6367" i="9"/>
  <c r="E6366" i="9"/>
  <c r="D6366" i="9"/>
  <c r="C6366" i="9"/>
  <c r="B6366" i="9"/>
  <c r="A6366" i="9"/>
  <c r="E6365" i="9"/>
  <c r="D6365" i="9"/>
  <c r="C6365" i="9"/>
  <c r="B6365" i="9"/>
  <c r="A6365" i="9"/>
  <c r="E6364" i="9"/>
  <c r="D6364" i="9"/>
  <c r="C6364" i="9"/>
  <c r="B6364" i="9"/>
  <c r="A6364" i="9"/>
  <c r="E6363" i="9"/>
  <c r="D6363" i="9"/>
  <c r="C6363" i="9"/>
  <c r="B6363" i="9"/>
  <c r="A6363" i="9"/>
  <c r="E6362" i="9"/>
  <c r="D6362" i="9"/>
  <c r="C6362" i="9"/>
  <c r="B6362" i="9"/>
  <c r="A6362" i="9"/>
  <c r="E6361" i="9"/>
  <c r="D6361" i="9"/>
  <c r="C6361" i="9"/>
  <c r="B6361" i="9"/>
  <c r="A6361" i="9"/>
  <c r="E6360" i="9"/>
  <c r="D6360" i="9"/>
  <c r="C6360" i="9"/>
  <c r="B6360" i="9"/>
  <c r="A6360" i="9"/>
  <c r="E6359" i="9"/>
  <c r="D6359" i="9"/>
  <c r="C6359" i="9"/>
  <c r="B6359" i="9"/>
  <c r="A6359" i="9"/>
  <c r="E6358" i="9"/>
  <c r="D6358" i="9"/>
  <c r="C6358" i="9"/>
  <c r="B6358" i="9"/>
  <c r="A6358" i="9"/>
  <c r="E6357" i="9"/>
  <c r="D6357" i="9"/>
  <c r="C6357" i="9"/>
  <c r="B6357" i="9"/>
  <c r="A6357" i="9"/>
  <c r="E6356" i="9"/>
  <c r="D6356" i="9"/>
  <c r="C6356" i="9"/>
  <c r="B6356" i="9"/>
  <c r="A6356" i="9"/>
  <c r="E6355" i="9"/>
  <c r="D6355" i="9"/>
  <c r="C6355" i="9"/>
  <c r="B6355" i="9"/>
  <c r="A6355" i="9"/>
  <c r="E6354" i="9"/>
  <c r="D6354" i="9"/>
  <c r="C6354" i="9"/>
  <c r="B6354" i="9"/>
  <c r="A6354" i="9"/>
  <c r="E6353" i="9"/>
  <c r="D6353" i="9"/>
  <c r="C6353" i="9"/>
  <c r="B6353" i="9"/>
  <c r="A6353" i="9"/>
  <c r="E6352" i="9"/>
  <c r="D6352" i="9"/>
  <c r="C6352" i="9"/>
  <c r="B6352" i="9"/>
  <c r="A6352" i="9"/>
  <c r="E6351" i="9"/>
  <c r="D6351" i="9"/>
  <c r="C6351" i="9"/>
  <c r="B6351" i="9"/>
  <c r="A6351" i="9"/>
  <c r="E6350" i="9"/>
  <c r="D6350" i="9"/>
  <c r="C6350" i="9"/>
  <c r="B6350" i="9"/>
  <c r="A6350" i="9"/>
  <c r="E6349" i="9"/>
  <c r="D6349" i="9"/>
  <c r="C6349" i="9"/>
  <c r="B6349" i="9"/>
  <c r="A6349" i="9"/>
  <c r="E6348" i="9"/>
  <c r="D6348" i="9"/>
  <c r="C6348" i="9"/>
  <c r="B6348" i="9"/>
  <c r="A6348" i="9"/>
  <c r="E6347" i="9"/>
  <c r="D6347" i="9"/>
  <c r="C6347" i="9"/>
  <c r="B6347" i="9"/>
  <c r="A6347" i="9"/>
  <c r="E6346" i="9"/>
  <c r="D6346" i="9"/>
  <c r="C6346" i="9"/>
  <c r="B6346" i="9"/>
  <c r="A6346" i="9"/>
  <c r="E6345" i="9"/>
  <c r="D6345" i="9"/>
  <c r="C6345" i="9"/>
  <c r="B6345" i="9"/>
  <c r="A6345" i="9"/>
  <c r="E6344" i="9"/>
  <c r="D6344" i="9"/>
  <c r="C6344" i="9"/>
  <c r="B6344" i="9"/>
  <c r="A6344" i="9"/>
  <c r="E6343" i="9"/>
  <c r="D6343" i="9"/>
  <c r="C6343" i="9"/>
  <c r="B6343" i="9"/>
  <c r="A6343" i="9"/>
  <c r="E6342" i="9"/>
  <c r="D6342" i="9"/>
  <c r="C6342" i="9"/>
  <c r="B6342" i="9"/>
  <c r="A6342" i="9"/>
  <c r="E6341" i="9"/>
  <c r="D6341" i="9"/>
  <c r="C6341" i="9"/>
  <c r="B6341" i="9"/>
  <c r="A6341" i="9"/>
  <c r="E6340" i="9"/>
  <c r="D6340" i="9"/>
  <c r="C6340" i="9"/>
  <c r="B6340" i="9"/>
  <c r="A6340" i="9"/>
  <c r="E6339" i="9"/>
  <c r="D6339" i="9"/>
  <c r="C6339" i="9"/>
  <c r="B6339" i="9"/>
  <c r="A6339" i="9"/>
  <c r="E6338" i="9"/>
  <c r="D6338" i="9"/>
  <c r="C6338" i="9"/>
  <c r="B6338" i="9"/>
  <c r="A6338" i="9"/>
  <c r="E6337" i="9"/>
  <c r="D6337" i="9"/>
  <c r="C6337" i="9"/>
  <c r="B6337" i="9"/>
  <c r="A6337" i="9"/>
  <c r="E6336" i="9"/>
  <c r="D6336" i="9"/>
  <c r="C6336" i="9"/>
  <c r="B6336" i="9"/>
  <c r="A6336" i="9"/>
  <c r="E6335" i="9"/>
  <c r="D6335" i="9"/>
  <c r="C6335" i="9"/>
  <c r="B6335" i="9"/>
  <c r="A6335" i="9"/>
  <c r="E6334" i="9"/>
  <c r="D6334" i="9"/>
  <c r="C6334" i="9"/>
  <c r="B6334" i="9"/>
  <c r="A6334" i="9"/>
  <c r="E6333" i="9"/>
  <c r="D6333" i="9"/>
  <c r="C6333" i="9"/>
  <c r="B6333" i="9"/>
  <c r="A6333" i="9"/>
  <c r="E6332" i="9"/>
  <c r="D6332" i="9"/>
  <c r="C6332" i="9"/>
  <c r="B6332" i="9"/>
  <c r="A6332" i="9"/>
  <c r="E6331" i="9"/>
  <c r="D6331" i="9"/>
  <c r="C6331" i="9"/>
  <c r="B6331" i="9"/>
  <c r="A6331" i="9"/>
  <c r="E6330" i="9"/>
  <c r="D6330" i="9"/>
  <c r="C6330" i="9"/>
  <c r="B6330" i="9"/>
  <c r="A6330" i="9"/>
  <c r="E6329" i="9"/>
  <c r="D6329" i="9"/>
  <c r="C6329" i="9"/>
  <c r="B6329" i="9"/>
  <c r="A6329" i="9"/>
  <c r="E6328" i="9"/>
  <c r="D6328" i="9"/>
  <c r="C6328" i="9"/>
  <c r="B6328" i="9"/>
  <c r="A6328" i="9"/>
  <c r="E6327" i="9"/>
  <c r="D6327" i="9"/>
  <c r="C6327" i="9"/>
  <c r="B6327" i="9"/>
  <c r="A6327" i="9"/>
  <c r="E6326" i="9"/>
  <c r="D6326" i="9"/>
  <c r="C6326" i="9"/>
  <c r="B6326" i="9"/>
  <c r="A6326" i="9"/>
  <c r="E6325" i="9"/>
  <c r="D6325" i="9"/>
  <c r="C6325" i="9"/>
  <c r="B6325" i="9"/>
  <c r="A6325" i="9"/>
  <c r="E6324" i="9"/>
  <c r="D6324" i="9"/>
  <c r="C6324" i="9"/>
  <c r="B6324" i="9"/>
  <c r="A6324" i="9"/>
  <c r="E6323" i="9"/>
  <c r="D6323" i="9"/>
  <c r="C6323" i="9"/>
  <c r="B6323" i="9"/>
  <c r="A6323" i="9"/>
  <c r="E6322" i="9"/>
  <c r="D6322" i="9"/>
  <c r="C6322" i="9"/>
  <c r="B6322" i="9"/>
  <c r="A6322" i="9"/>
  <c r="E6321" i="9"/>
  <c r="D6321" i="9"/>
  <c r="C6321" i="9"/>
  <c r="B6321" i="9"/>
  <c r="A6321" i="9"/>
  <c r="E6320" i="9"/>
  <c r="D6320" i="9"/>
  <c r="C6320" i="9"/>
  <c r="B6320" i="9"/>
  <c r="A6320" i="9"/>
  <c r="E6319" i="9"/>
  <c r="D6319" i="9"/>
  <c r="C6319" i="9"/>
  <c r="B6319" i="9"/>
  <c r="A6319" i="9"/>
  <c r="E6318" i="9"/>
  <c r="D6318" i="9"/>
  <c r="C6318" i="9"/>
  <c r="B6318" i="9"/>
  <c r="A6318" i="9"/>
  <c r="E6317" i="9"/>
  <c r="D6317" i="9"/>
  <c r="C6317" i="9"/>
  <c r="B6317" i="9"/>
  <c r="A6317" i="9"/>
  <c r="E6316" i="9"/>
  <c r="D6316" i="9"/>
  <c r="C6316" i="9"/>
  <c r="B6316" i="9"/>
  <c r="A6316" i="9"/>
  <c r="E6315" i="9"/>
  <c r="D6315" i="9"/>
  <c r="C6315" i="9"/>
  <c r="B6315" i="9"/>
  <c r="A6315" i="9"/>
  <c r="E6314" i="9"/>
  <c r="D6314" i="9"/>
  <c r="C6314" i="9"/>
  <c r="B6314" i="9"/>
  <c r="A6314" i="9"/>
  <c r="E6313" i="9"/>
  <c r="D6313" i="9"/>
  <c r="C6313" i="9"/>
  <c r="B6313" i="9"/>
  <c r="A6313" i="9"/>
  <c r="E6312" i="9"/>
  <c r="D6312" i="9"/>
  <c r="C6312" i="9"/>
  <c r="B6312" i="9"/>
  <c r="A6312" i="9"/>
  <c r="E6311" i="9"/>
  <c r="D6311" i="9"/>
  <c r="C6311" i="9"/>
  <c r="B6311" i="9"/>
  <c r="A6311" i="9"/>
  <c r="E6310" i="9"/>
  <c r="D6310" i="9"/>
  <c r="C6310" i="9"/>
  <c r="B6310" i="9"/>
  <c r="A6310" i="9"/>
  <c r="E6309" i="9"/>
  <c r="D6309" i="9"/>
  <c r="C6309" i="9"/>
  <c r="B6309" i="9"/>
  <c r="A6309" i="9"/>
  <c r="E6308" i="9"/>
  <c r="D6308" i="9"/>
  <c r="C6308" i="9"/>
  <c r="B6308" i="9"/>
  <c r="A6308" i="9"/>
  <c r="E6307" i="9"/>
  <c r="D6307" i="9"/>
  <c r="C6307" i="9"/>
  <c r="B6307" i="9"/>
  <c r="A6307" i="9"/>
  <c r="E6306" i="9"/>
  <c r="D6306" i="9"/>
  <c r="C6306" i="9"/>
  <c r="B6306" i="9"/>
  <c r="A6306" i="9"/>
  <c r="E6305" i="9"/>
  <c r="D6305" i="9"/>
  <c r="C6305" i="9"/>
  <c r="B6305" i="9"/>
  <c r="A6305" i="9"/>
  <c r="E6304" i="9"/>
  <c r="D6304" i="9"/>
  <c r="C6304" i="9"/>
  <c r="B6304" i="9"/>
  <c r="A6304" i="9"/>
  <c r="E6303" i="9"/>
  <c r="D6303" i="9"/>
  <c r="C6303" i="9"/>
  <c r="B6303" i="9"/>
  <c r="A6303" i="9"/>
  <c r="E6302" i="9"/>
  <c r="D6302" i="9"/>
  <c r="C6302" i="9"/>
  <c r="B6302" i="9"/>
  <c r="A6302" i="9"/>
  <c r="E6301" i="9"/>
  <c r="D6301" i="9"/>
  <c r="C6301" i="9"/>
  <c r="B6301" i="9"/>
  <c r="A6301" i="9"/>
  <c r="E6300" i="9"/>
  <c r="D6300" i="9"/>
  <c r="C6300" i="9"/>
  <c r="B6300" i="9"/>
  <c r="A6300" i="9"/>
  <c r="E6299" i="9"/>
  <c r="D6299" i="9"/>
  <c r="C6299" i="9"/>
  <c r="B6299" i="9"/>
  <c r="A6299" i="9"/>
  <c r="E6298" i="9"/>
  <c r="D6298" i="9"/>
  <c r="C6298" i="9"/>
  <c r="B6298" i="9"/>
  <c r="A6298" i="9"/>
  <c r="E6297" i="9"/>
  <c r="D6297" i="9"/>
  <c r="C6297" i="9"/>
  <c r="B6297" i="9"/>
  <c r="A6297" i="9"/>
  <c r="E6296" i="9"/>
  <c r="D6296" i="9"/>
  <c r="C6296" i="9"/>
  <c r="B6296" i="9"/>
  <c r="A6296" i="9"/>
  <c r="E6295" i="9"/>
  <c r="D6295" i="9"/>
  <c r="C6295" i="9"/>
  <c r="B6295" i="9"/>
  <c r="A6295" i="9"/>
  <c r="E6294" i="9"/>
  <c r="D6294" i="9"/>
  <c r="C6294" i="9"/>
  <c r="B6294" i="9"/>
  <c r="A6294" i="9"/>
  <c r="E6293" i="9"/>
  <c r="D6293" i="9"/>
  <c r="C6293" i="9"/>
  <c r="B6293" i="9"/>
  <c r="A6293" i="9"/>
  <c r="E6292" i="9"/>
  <c r="D6292" i="9"/>
  <c r="C6292" i="9"/>
  <c r="B6292" i="9"/>
  <c r="A6292" i="9"/>
  <c r="E6291" i="9"/>
  <c r="D6291" i="9"/>
  <c r="C6291" i="9"/>
  <c r="B6291" i="9"/>
  <c r="A6291" i="9"/>
  <c r="E6290" i="9"/>
  <c r="D6290" i="9"/>
  <c r="C6290" i="9"/>
  <c r="B6290" i="9"/>
  <c r="A6290" i="9"/>
  <c r="E6289" i="9"/>
  <c r="D6289" i="9"/>
  <c r="C6289" i="9"/>
  <c r="B6289" i="9"/>
  <c r="A6289" i="9"/>
  <c r="E6288" i="9"/>
  <c r="D6288" i="9"/>
  <c r="C6288" i="9"/>
  <c r="B6288" i="9"/>
  <c r="A6288" i="9"/>
  <c r="E6287" i="9"/>
  <c r="D6287" i="9"/>
  <c r="C6287" i="9"/>
  <c r="B6287" i="9"/>
  <c r="A6287" i="9"/>
  <c r="E6286" i="9"/>
  <c r="D6286" i="9"/>
  <c r="C6286" i="9"/>
  <c r="B6286" i="9"/>
  <c r="A6286" i="9"/>
  <c r="E6285" i="9"/>
  <c r="D6285" i="9"/>
  <c r="C6285" i="9"/>
  <c r="B6285" i="9"/>
  <c r="A6285" i="9"/>
  <c r="E6284" i="9"/>
  <c r="D6284" i="9"/>
  <c r="C6284" i="9"/>
  <c r="B6284" i="9"/>
  <c r="A6284" i="9"/>
  <c r="E6283" i="9"/>
  <c r="D6283" i="9"/>
  <c r="C6283" i="9"/>
  <c r="B6283" i="9"/>
  <c r="A6283" i="9"/>
  <c r="E6282" i="9"/>
  <c r="D6282" i="9"/>
  <c r="C6282" i="9"/>
  <c r="B6282" i="9"/>
  <c r="A6282" i="9"/>
  <c r="E6281" i="9"/>
  <c r="D6281" i="9"/>
  <c r="C6281" i="9"/>
  <c r="B6281" i="9"/>
  <c r="A6281" i="9"/>
  <c r="E6280" i="9"/>
  <c r="D6280" i="9"/>
  <c r="C6280" i="9"/>
  <c r="B6280" i="9"/>
  <c r="A6280" i="9"/>
  <c r="E6279" i="9"/>
  <c r="D6279" i="9"/>
  <c r="C6279" i="9"/>
  <c r="B6279" i="9"/>
  <c r="A6279" i="9"/>
  <c r="E6278" i="9"/>
  <c r="D6278" i="9"/>
  <c r="C6278" i="9"/>
  <c r="B6278" i="9"/>
  <c r="A6278" i="9"/>
  <c r="E6277" i="9"/>
  <c r="D6277" i="9"/>
  <c r="C6277" i="9"/>
  <c r="B6277" i="9"/>
  <c r="A6277" i="9"/>
  <c r="E6276" i="9"/>
  <c r="D6276" i="9"/>
  <c r="C6276" i="9"/>
  <c r="B6276" i="9"/>
  <c r="A6276" i="9"/>
  <c r="E6275" i="9"/>
  <c r="D6275" i="9"/>
  <c r="C6275" i="9"/>
  <c r="B6275" i="9"/>
  <c r="A6275" i="9"/>
  <c r="E6274" i="9"/>
  <c r="D6274" i="9"/>
  <c r="C6274" i="9"/>
  <c r="B6274" i="9"/>
  <c r="A6274" i="9"/>
  <c r="E6273" i="9"/>
  <c r="D6273" i="9"/>
  <c r="C6273" i="9"/>
  <c r="B6273" i="9"/>
  <c r="A6273" i="9"/>
  <c r="E6272" i="9"/>
  <c r="D6272" i="9"/>
  <c r="C6272" i="9"/>
  <c r="B6272" i="9"/>
  <c r="A6272" i="9"/>
  <c r="E6271" i="9"/>
  <c r="D6271" i="9"/>
  <c r="C6271" i="9"/>
  <c r="B6271" i="9"/>
  <c r="A6271" i="9"/>
  <c r="E6270" i="9"/>
  <c r="D6270" i="9"/>
  <c r="C6270" i="9"/>
  <c r="B6270" i="9"/>
  <c r="A6270" i="9"/>
  <c r="E6269" i="9"/>
  <c r="D6269" i="9"/>
  <c r="C6269" i="9"/>
  <c r="B6269" i="9"/>
  <c r="A6269" i="9"/>
  <c r="E6268" i="9"/>
  <c r="D6268" i="9"/>
  <c r="C6268" i="9"/>
  <c r="B6268" i="9"/>
  <c r="A6268" i="9"/>
  <c r="E6267" i="9"/>
  <c r="D6267" i="9"/>
  <c r="C6267" i="9"/>
  <c r="B6267" i="9"/>
  <c r="A6267" i="9"/>
  <c r="E6266" i="9"/>
  <c r="D6266" i="9"/>
  <c r="C6266" i="9"/>
  <c r="B6266" i="9"/>
  <c r="A6266" i="9"/>
  <c r="E6265" i="9"/>
  <c r="D6265" i="9"/>
  <c r="C6265" i="9"/>
  <c r="B6265" i="9"/>
  <c r="A6265" i="9"/>
  <c r="E6264" i="9"/>
  <c r="D6264" i="9"/>
  <c r="C6264" i="9"/>
  <c r="B6264" i="9"/>
  <c r="A6264" i="9"/>
  <c r="E6263" i="9"/>
  <c r="D6263" i="9"/>
  <c r="C6263" i="9"/>
  <c r="B6263" i="9"/>
  <c r="A6263" i="9"/>
  <c r="E6262" i="9"/>
  <c r="D6262" i="9"/>
  <c r="C6262" i="9"/>
  <c r="B6262" i="9"/>
  <c r="A6262" i="9"/>
  <c r="E6261" i="9"/>
  <c r="D6261" i="9"/>
  <c r="C6261" i="9"/>
  <c r="B6261" i="9"/>
  <c r="A6261" i="9"/>
  <c r="E6260" i="9"/>
  <c r="D6260" i="9"/>
  <c r="C6260" i="9"/>
  <c r="B6260" i="9"/>
  <c r="A6260" i="9"/>
  <c r="E6259" i="9"/>
  <c r="D6259" i="9"/>
  <c r="C6259" i="9"/>
  <c r="B6259" i="9"/>
  <c r="A6259" i="9"/>
  <c r="E6258" i="9"/>
  <c r="D6258" i="9"/>
  <c r="C6258" i="9"/>
  <c r="B6258" i="9"/>
  <c r="A6258" i="9"/>
  <c r="E6257" i="9"/>
  <c r="D6257" i="9"/>
  <c r="C6257" i="9"/>
  <c r="B6257" i="9"/>
  <c r="A6257" i="9"/>
  <c r="E6256" i="9"/>
  <c r="D6256" i="9"/>
  <c r="C6256" i="9"/>
  <c r="B6256" i="9"/>
  <c r="A6256" i="9"/>
  <c r="E6255" i="9"/>
  <c r="D6255" i="9"/>
  <c r="C6255" i="9"/>
  <c r="B6255" i="9"/>
  <c r="A6255" i="9"/>
  <c r="E6254" i="9"/>
  <c r="D6254" i="9"/>
  <c r="C6254" i="9"/>
  <c r="B6254" i="9"/>
  <c r="A6254" i="9"/>
  <c r="E6253" i="9"/>
  <c r="D6253" i="9"/>
  <c r="C6253" i="9"/>
  <c r="B6253" i="9"/>
  <c r="A6253" i="9"/>
  <c r="E6252" i="9"/>
  <c r="D6252" i="9"/>
  <c r="C6252" i="9"/>
  <c r="B6252" i="9"/>
  <c r="A6252" i="9"/>
  <c r="E6251" i="9"/>
  <c r="D6251" i="9"/>
  <c r="C6251" i="9"/>
  <c r="B6251" i="9"/>
  <c r="A6251" i="9"/>
  <c r="E6250" i="9"/>
  <c r="D6250" i="9"/>
  <c r="C6250" i="9"/>
  <c r="B6250" i="9"/>
  <c r="A6250" i="9"/>
  <c r="E6249" i="9"/>
  <c r="D6249" i="9"/>
  <c r="C6249" i="9"/>
  <c r="B6249" i="9"/>
  <c r="A6249" i="9"/>
  <c r="E6248" i="9"/>
  <c r="D6248" i="9"/>
  <c r="C6248" i="9"/>
  <c r="B6248" i="9"/>
  <c r="A6248" i="9"/>
  <c r="E6247" i="9"/>
  <c r="D6247" i="9"/>
  <c r="C6247" i="9"/>
  <c r="B6247" i="9"/>
  <c r="A6247" i="9"/>
  <c r="E6246" i="9"/>
  <c r="D6246" i="9"/>
  <c r="C6246" i="9"/>
  <c r="B6246" i="9"/>
  <c r="A6246" i="9"/>
  <c r="E6245" i="9"/>
  <c r="D6245" i="9"/>
  <c r="C6245" i="9"/>
  <c r="B6245" i="9"/>
  <c r="A6245" i="9"/>
  <c r="E6244" i="9"/>
  <c r="D6244" i="9"/>
  <c r="C6244" i="9"/>
  <c r="B6244" i="9"/>
  <c r="A6244" i="9"/>
  <c r="E6243" i="9"/>
  <c r="D6243" i="9"/>
  <c r="C6243" i="9"/>
  <c r="B6243" i="9"/>
  <c r="A6243" i="9"/>
  <c r="E6242" i="9"/>
  <c r="D6242" i="9"/>
  <c r="C6242" i="9"/>
  <c r="B6242" i="9"/>
  <c r="A6242" i="9"/>
  <c r="E6241" i="9"/>
  <c r="D6241" i="9"/>
  <c r="C6241" i="9"/>
  <c r="B6241" i="9"/>
  <c r="A6241" i="9"/>
  <c r="E6240" i="9"/>
  <c r="D6240" i="9"/>
  <c r="C6240" i="9"/>
  <c r="B6240" i="9"/>
  <c r="A6240" i="9"/>
  <c r="E6239" i="9"/>
  <c r="D6239" i="9"/>
  <c r="C6239" i="9"/>
  <c r="B6239" i="9"/>
  <c r="A6239" i="9"/>
  <c r="E6238" i="9"/>
  <c r="D6238" i="9"/>
  <c r="C6238" i="9"/>
  <c r="B6238" i="9"/>
  <c r="A6238" i="9"/>
  <c r="E6237" i="9"/>
  <c r="D6237" i="9"/>
  <c r="C6237" i="9"/>
  <c r="B6237" i="9"/>
  <c r="A6237" i="9"/>
  <c r="E6236" i="9"/>
  <c r="D6236" i="9"/>
  <c r="C6236" i="9"/>
  <c r="B6236" i="9"/>
  <c r="A6236" i="9"/>
  <c r="E6235" i="9"/>
  <c r="D6235" i="9"/>
  <c r="C6235" i="9"/>
  <c r="B6235" i="9"/>
  <c r="A6235" i="9"/>
  <c r="E6234" i="9"/>
  <c r="D6234" i="9"/>
  <c r="C6234" i="9"/>
  <c r="B6234" i="9"/>
  <c r="A6234" i="9"/>
  <c r="E6233" i="9"/>
  <c r="D6233" i="9"/>
  <c r="C6233" i="9"/>
  <c r="B6233" i="9"/>
  <c r="A6233" i="9"/>
  <c r="E6232" i="9"/>
  <c r="D6232" i="9"/>
  <c r="C6232" i="9"/>
  <c r="B6232" i="9"/>
  <c r="A6232" i="9"/>
  <c r="E6231" i="9"/>
  <c r="D6231" i="9"/>
  <c r="C6231" i="9"/>
  <c r="B6231" i="9"/>
  <c r="A6231" i="9"/>
  <c r="E6230" i="9"/>
  <c r="D6230" i="9"/>
  <c r="C6230" i="9"/>
  <c r="B6230" i="9"/>
  <c r="A6230" i="9"/>
  <c r="E6229" i="9"/>
  <c r="D6229" i="9"/>
  <c r="C6229" i="9"/>
  <c r="B6229" i="9"/>
  <c r="A6229" i="9"/>
  <c r="E6228" i="9"/>
  <c r="D6228" i="9"/>
  <c r="C6228" i="9"/>
  <c r="B6228" i="9"/>
  <c r="A6228" i="9"/>
  <c r="E6227" i="9"/>
  <c r="D6227" i="9"/>
  <c r="C6227" i="9"/>
  <c r="B6227" i="9"/>
  <c r="A6227" i="9"/>
  <c r="E6226" i="9"/>
  <c r="D6226" i="9"/>
  <c r="C6226" i="9"/>
  <c r="B6226" i="9"/>
  <c r="A6226" i="9"/>
  <c r="E6225" i="9"/>
  <c r="D6225" i="9"/>
  <c r="C6225" i="9"/>
  <c r="B6225" i="9"/>
  <c r="A6225" i="9"/>
  <c r="E6224" i="9"/>
  <c r="D6224" i="9"/>
  <c r="C6224" i="9"/>
  <c r="B6224" i="9"/>
  <c r="A6224" i="9"/>
  <c r="E6223" i="9"/>
  <c r="D6223" i="9"/>
  <c r="C6223" i="9"/>
  <c r="B6223" i="9"/>
  <c r="A6223" i="9"/>
  <c r="E6222" i="9"/>
  <c r="D6222" i="9"/>
  <c r="C6222" i="9"/>
  <c r="B6222" i="9"/>
  <c r="A6222" i="9"/>
  <c r="E6221" i="9"/>
  <c r="D6221" i="9"/>
  <c r="C6221" i="9"/>
  <c r="B6221" i="9"/>
  <c r="A6221" i="9"/>
  <c r="E6220" i="9"/>
  <c r="D6220" i="9"/>
  <c r="C6220" i="9"/>
  <c r="B6220" i="9"/>
  <c r="A6220" i="9"/>
  <c r="E6219" i="9"/>
  <c r="D6219" i="9"/>
  <c r="C6219" i="9"/>
  <c r="B6219" i="9"/>
  <c r="A6219" i="9"/>
  <c r="E6218" i="9"/>
  <c r="D6218" i="9"/>
  <c r="C6218" i="9"/>
  <c r="B6218" i="9"/>
  <c r="A6218" i="9"/>
  <c r="E6217" i="9"/>
  <c r="D6217" i="9"/>
  <c r="C6217" i="9"/>
  <c r="B6217" i="9"/>
  <c r="A6217" i="9"/>
  <c r="E6216" i="9"/>
  <c r="D6216" i="9"/>
  <c r="C6216" i="9"/>
  <c r="B6216" i="9"/>
  <c r="A6216" i="9"/>
  <c r="E6215" i="9"/>
  <c r="D6215" i="9"/>
  <c r="C6215" i="9"/>
  <c r="B6215" i="9"/>
  <c r="A6215" i="9"/>
  <c r="E6214" i="9"/>
  <c r="D6214" i="9"/>
  <c r="C6214" i="9"/>
  <c r="B6214" i="9"/>
  <c r="A6214" i="9"/>
  <c r="E6213" i="9"/>
  <c r="D6213" i="9"/>
  <c r="C6213" i="9"/>
  <c r="B6213" i="9"/>
  <c r="A6213" i="9"/>
  <c r="E6212" i="9"/>
  <c r="D6212" i="9"/>
  <c r="C6212" i="9"/>
  <c r="B6212" i="9"/>
  <c r="A6212" i="9"/>
  <c r="E6211" i="9"/>
  <c r="D6211" i="9"/>
  <c r="C6211" i="9"/>
  <c r="B6211" i="9"/>
  <c r="A6211" i="9"/>
  <c r="E6210" i="9"/>
  <c r="D6210" i="9"/>
  <c r="C6210" i="9"/>
  <c r="B6210" i="9"/>
  <c r="A6210" i="9"/>
  <c r="E6209" i="9"/>
  <c r="D6209" i="9"/>
  <c r="C6209" i="9"/>
  <c r="B6209" i="9"/>
  <c r="A6209" i="9"/>
  <c r="E6208" i="9"/>
  <c r="D6208" i="9"/>
  <c r="C6208" i="9"/>
  <c r="B6208" i="9"/>
  <c r="A6208" i="9"/>
  <c r="E6207" i="9"/>
  <c r="D6207" i="9"/>
  <c r="C6207" i="9"/>
  <c r="B6207" i="9"/>
  <c r="A6207" i="9"/>
  <c r="E6206" i="9"/>
  <c r="D6206" i="9"/>
  <c r="C6206" i="9"/>
  <c r="B6206" i="9"/>
  <c r="A6206" i="9"/>
  <c r="E6205" i="9"/>
  <c r="D6205" i="9"/>
  <c r="C6205" i="9"/>
  <c r="B6205" i="9"/>
  <c r="A6205" i="9"/>
  <c r="E6204" i="9"/>
  <c r="D6204" i="9"/>
  <c r="C6204" i="9"/>
  <c r="B6204" i="9"/>
  <c r="A6204" i="9"/>
  <c r="E6203" i="9"/>
  <c r="D6203" i="9"/>
  <c r="C6203" i="9"/>
  <c r="B6203" i="9"/>
  <c r="A6203" i="9"/>
  <c r="E6202" i="9"/>
  <c r="D6202" i="9"/>
  <c r="C6202" i="9"/>
  <c r="B6202" i="9"/>
  <c r="A6202" i="9"/>
  <c r="E6201" i="9"/>
  <c r="D6201" i="9"/>
  <c r="C6201" i="9"/>
  <c r="B6201" i="9"/>
  <c r="A6201" i="9"/>
  <c r="E6200" i="9"/>
  <c r="D6200" i="9"/>
  <c r="C6200" i="9"/>
  <c r="B6200" i="9"/>
  <c r="A6200" i="9"/>
  <c r="E6199" i="9"/>
  <c r="D6199" i="9"/>
  <c r="C6199" i="9"/>
  <c r="B6199" i="9"/>
  <c r="A6199" i="9"/>
  <c r="E6198" i="9"/>
  <c r="D6198" i="9"/>
  <c r="C6198" i="9"/>
  <c r="B6198" i="9"/>
  <c r="A6198" i="9"/>
  <c r="E6197" i="9"/>
  <c r="D6197" i="9"/>
  <c r="C6197" i="9"/>
  <c r="B6197" i="9"/>
  <c r="A6197" i="9"/>
  <c r="E6196" i="9"/>
  <c r="D6196" i="9"/>
  <c r="C6196" i="9"/>
  <c r="B6196" i="9"/>
  <c r="A6196" i="9"/>
  <c r="E6195" i="9"/>
  <c r="D6195" i="9"/>
  <c r="C6195" i="9"/>
  <c r="B6195" i="9"/>
  <c r="A6195" i="9"/>
  <c r="E6194" i="9"/>
  <c r="D6194" i="9"/>
  <c r="C6194" i="9"/>
  <c r="B6194" i="9"/>
  <c r="A6194" i="9"/>
  <c r="E6193" i="9"/>
  <c r="D6193" i="9"/>
  <c r="C6193" i="9"/>
  <c r="B6193" i="9"/>
  <c r="A6193" i="9"/>
  <c r="E6192" i="9"/>
  <c r="D6192" i="9"/>
  <c r="C6192" i="9"/>
  <c r="B6192" i="9"/>
  <c r="A6192" i="9"/>
  <c r="E6191" i="9"/>
  <c r="D6191" i="9"/>
  <c r="C6191" i="9"/>
  <c r="B6191" i="9"/>
  <c r="A6191" i="9"/>
  <c r="E6190" i="9"/>
  <c r="D6190" i="9"/>
  <c r="C6190" i="9"/>
  <c r="B6190" i="9"/>
  <c r="A6190" i="9"/>
  <c r="E6189" i="9"/>
  <c r="D6189" i="9"/>
  <c r="C6189" i="9"/>
  <c r="B6189" i="9"/>
  <c r="A6189" i="9"/>
  <c r="E6188" i="9"/>
  <c r="D6188" i="9"/>
  <c r="C6188" i="9"/>
  <c r="B6188" i="9"/>
  <c r="A6188" i="9"/>
  <c r="E6187" i="9"/>
  <c r="D6187" i="9"/>
  <c r="C6187" i="9"/>
  <c r="B6187" i="9"/>
  <c r="A6187" i="9"/>
  <c r="E6186" i="9"/>
  <c r="D6186" i="9"/>
  <c r="C6186" i="9"/>
  <c r="B6186" i="9"/>
  <c r="A6186" i="9"/>
  <c r="E6185" i="9"/>
  <c r="D6185" i="9"/>
  <c r="C6185" i="9"/>
  <c r="B6185" i="9"/>
  <c r="A6185" i="9"/>
  <c r="E6184" i="9"/>
  <c r="D6184" i="9"/>
  <c r="C6184" i="9"/>
  <c r="B6184" i="9"/>
  <c r="A6184" i="9"/>
  <c r="E6183" i="9"/>
  <c r="D6183" i="9"/>
  <c r="C6183" i="9"/>
  <c r="B6183" i="9"/>
  <c r="A6183" i="9"/>
  <c r="E6182" i="9"/>
  <c r="D6182" i="9"/>
  <c r="C6182" i="9"/>
  <c r="B6182" i="9"/>
  <c r="A6182" i="9"/>
  <c r="E6181" i="9"/>
  <c r="D6181" i="9"/>
  <c r="C6181" i="9"/>
  <c r="B6181" i="9"/>
  <c r="A6181" i="9"/>
  <c r="E6180" i="9"/>
  <c r="D6180" i="9"/>
  <c r="C6180" i="9"/>
  <c r="B6180" i="9"/>
  <c r="A6180" i="9"/>
  <c r="E6179" i="9"/>
  <c r="D6179" i="9"/>
  <c r="C6179" i="9"/>
  <c r="B6179" i="9"/>
  <c r="A6179" i="9"/>
  <c r="E6178" i="9"/>
  <c r="D6178" i="9"/>
  <c r="C6178" i="9"/>
  <c r="B6178" i="9"/>
  <c r="A6178" i="9"/>
  <c r="E6177" i="9"/>
  <c r="D6177" i="9"/>
  <c r="C6177" i="9"/>
  <c r="B6177" i="9"/>
  <c r="A6177" i="9"/>
  <c r="E6176" i="9"/>
  <c r="D6176" i="9"/>
  <c r="C6176" i="9"/>
  <c r="B6176" i="9"/>
  <c r="A6176" i="9"/>
  <c r="E6175" i="9"/>
  <c r="D6175" i="9"/>
  <c r="C6175" i="9"/>
  <c r="B6175" i="9"/>
  <c r="A6175" i="9"/>
  <c r="E6174" i="9"/>
  <c r="D6174" i="9"/>
  <c r="C6174" i="9"/>
  <c r="B6174" i="9"/>
  <c r="A6174" i="9"/>
  <c r="E6173" i="9"/>
  <c r="D6173" i="9"/>
  <c r="C6173" i="9"/>
  <c r="B6173" i="9"/>
  <c r="A6173" i="9"/>
  <c r="E6172" i="9"/>
  <c r="D6172" i="9"/>
  <c r="C6172" i="9"/>
  <c r="B6172" i="9"/>
  <c r="A6172" i="9"/>
  <c r="E6171" i="9"/>
  <c r="D6171" i="9"/>
  <c r="C6171" i="9"/>
  <c r="B6171" i="9"/>
  <c r="A6171" i="9"/>
  <c r="E6170" i="9"/>
  <c r="D6170" i="9"/>
  <c r="C6170" i="9"/>
  <c r="B6170" i="9"/>
  <c r="A6170" i="9"/>
  <c r="E6169" i="9"/>
  <c r="D6169" i="9"/>
  <c r="C6169" i="9"/>
  <c r="B6169" i="9"/>
  <c r="A6169" i="9"/>
  <c r="E6168" i="9"/>
  <c r="D6168" i="9"/>
  <c r="C6168" i="9"/>
  <c r="B6168" i="9"/>
  <c r="A6168" i="9"/>
  <c r="E6167" i="9"/>
  <c r="D6167" i="9"/>
  <c r="C6167" i="9"/>
  <c r="B6167" i="9"/>
  <c r="A6167" i="9"/>
  <c r="E6166" i="9"/>
  <c r="D6166" i="9"/>
  <c r="C6166" i="9"/>
  <c r="B6166" i="9"/>
  <c r="A6166" i="9"/>
  <c r="E6165" i="9"/>
  <c r="D6165" i="9"/>
  <c r="C6165" i="9"/>
  <c r="B6165" i="9"/>
  <c r="A6165" i="9"/>
  <c r="E6164" i="9"/>
  <c r="D6164" i="9"/>
  <c r="C6164" i="9"/>
  <c r="B6164" i="9"/>
  <c r="A6164" i="9"/>
  <c r="E6163" i="9"/>
  <c r="D6163" i="9"/>
  <c r="C6163" i="9"/>
  <c r="B6163" i="9"/>
  <c r="A6163" i="9"/>
  <c r="E6162" i="9"/>
  <c r="D6162" i="9"/>
  <c r="C6162" i="9"/>
  <c r="B6162" i="9"/>
  <c r="A6162" i="9"/>
  <c r="E6161" i="9"/>
  <c r="D6161" i="9"/>
  <c r="C6161" i="9"/>
  <c r="B6161" i="9"/>
  <c r="A6161" i="9"/>
  <c r="E6160" i="9"/>
  <c r="D6160" i="9"/>
  <c r="C6160" i="9"/>
  <c r="B6160" i="9"/>
  <c r="A6160" i="9"/>
  <c r="E6159" i="9"/>
  <c r="D6159" i="9"/>
  <c r="C6159" i="9"/>
  <c r="B6159" i="9"/>
  <c r="A6159" i="9"/>
  <c r="E6158" i="9"/>
  <c r="D6158" i="9"/>
  <c r="C6158" i="9"/>
  <c r="B6158" i="9"/>
  <c r="A6158" i="9"/>
  <c r="E6157" i="9"/>
  <c r="D6157" i="9"/>
  <c r="C6157" i="9"/>
  <c r="B6157" i="9"/>
  <c r="A6157" i="9"/>
  <c r="E6156" i="9"/>
  <c r="D6156" i="9"/>
  <c r="C6156" i="9"/>
  <c r="B6156" i="9"/>
  <c r="A6156" i="9"/>
  <c r="E6155" i="9"/>
  <c r="D6155" i="9"/>
  <c r="C6155" i="9"/>
  <c r="B6155" i="9"/>
  <c r="A6155" i="9"/>
  <c r="E6154" i="9"/>
  <c r="D6154" i="9"/>
  <c r="C6154" i="9"/>
  <c r="B6154" i="9"/>
  <c r="A6154" i="9"/>
  <c r="E6153" i="9"/>
  <c r="D6153" i="9"/>
  <c r="C6153" i="9"/>
  <c r="B6153" i="9"/>
  <c r="A6153" i="9"/>
  <c r="E6152" i="9"/>
  <c r="D6152" i="9"/>
  <c r="C6152" i="9"/>
  <c r="B6152" i="9"/>
  <c r="A6152" i="9"/>
  <c r="E6151" i="9"/>
  <c r="D6151" i="9"/>
  <c r="C6151" i="9"/>
  <c r="B6151" i="9"/>
  <c r="A6151" i="9"/>
  <c r="E6150" i="9"/>
  <c r="D6150" i="9"/>
  <c r="C6150" i="9"/>
  <c r="B6150" i="9"/>
  <c r="A6150" i="9"/>
  <c r="E6149" i="9"/>
  <c r="D6149" i="9"/>
  <c r="C6149" i="9"/>
  <c r="B6149" i="9"/>
  <c r="A6149" i="9"/>
  <c r="E6148" i="9"/>
  <c r="D6148" i="9"/>
  <c r="C6148" i="9"/>
  <c r="B6148" i="9"/>
  <c r="A6148" i="9"/>
  <c r="E6147" i="9"/>
  <c r="D6147" i="9"/>
  <c r="C6147" i="9"/>
  <c r="B6147" i="9"/>
  <c r="A6147" i="9"/>
  <c r="E6146" i="9"/>
  <c r="D6146" i="9"/>
  <c r="C6146" i="9"/>
  <c r="B6146" i="9"/>
  <c r="A6146" i="9"/>
  <c r="E6145" i="9"/>
  <c r="D6145" i="9"/>
  <c r="C6145" i="9"/>
  <c r="B6145" i="9"/>
  <c r="A6145" i="9"/>
  <c r="E6144" i="9"/>
  <c r="D6144" i="9"/>
  <c r="C6144" i="9"/>
  <c r="B6144" i="9"/>
  <c r="A6144" i="9"/>
  <c r="E6143" i="9"/>
  <c r="D6143" i="9"/>
  <c r="C6143" i="9"/>
  <c r="B6143" i="9"/>
  <c r="A6143" i="9"/>
  <c r="E6142" i="9"/>
  <c r="D6142" i="9"/>
  <c r="C6142" i="9"/>
  <c r="B6142" i="9"/>
  <c r="A6142" i="9"/>
  <c r="E6141" i="9"/>
  <c r="D6141" i="9"/>
  <c r="C6141" i="9"/>
  <c r="B6141" i="9"/>
  <c r="A6141" i="9"/>
  <c r="E6140" i="9"/>
  <c r="D6140" i="9"/>
  <c r="C6140" i="9"/>
  <c r="B6140" i="9"/>
  <c r="A6140" i="9"/>
  <c r="E6139" i="9"/>
  <c r="D6139" i="9"/>
  <c r="C6139" i="9"/>
  <c r="B6139" i="9"/>
  <c r="A6139" i="9"/>
  <c r="E6138" i="9"/>
  <c r="D6138" i="9"/>
  <c r="C6138" i="9"/>
  <c r="B6138" i="9"/>
  <c r="A6138" i="9"/>
  <c r="E6137" i="9"/>
  <c r="D6137" i="9"/>
  <c r="C6137" i="9"/>
  <c r="B6137" i="9"/>
  <c r="A6137" i="9"/>
  <c r="E6136" i="9"/>
  <c r="D6136" i="9"/>
  <c r="C6136" i="9"/>
  <c r="B6136" i="9"/>
  <c r="A6136" i="9"/>
  <c r="E6135" i="9"/>
  <c r="D6135" i="9"/>
  <c r="C6135" i="9"/>
  <c r="B6135" i="9"/>
  <c r="A6135" i="9"/>
  <c r="E6134" i="9"/>
  <c r="D6134" i="9"/>
  <c r="C6134" i="9"/>
  <c r="B6134" i="9"/>
  <c r="A6134" i="9"/>
  <c r="E6133" i="9"/>
  <c r="D6133" i="9"/>
  <c r="C6133" i="9"/>
  <c r="B6133" i="9"/>
  <c r="A6133" i="9"/>
  <c r="E6132" i="9"/>
  <c r="D6132" i="9"/>
  <c r="C6132" i="9"/>
  <c r="B6132" i="9"/>
  <c r="A6132" i="9"/>
  <c r="E6131" i="9"/>
  <c r="D6131" i="9"/>
  <c r="C6131" i="9"/>
  <c r="B6131" i="9"/>
  <c r="A6131" i="9"/>
  <c r="E6130" i="9"/>
  <c r="D6130" i="9"/>
  <c r="C6130" i="9"/>
  <c r="B6130" i="9"/>
  <c r="A6130" i="9"/>
  <c r="E6129" i="9"/>
  <c r="D6129" i="9"/>
  <c r="C6129" i="9"/>
  <c r="B6129" i="9"/>
  <c r="A6129" i="9"/>
  <c r="E6128" i="9"/>
  <c r="D6128" i="9"/>
  <c r="C6128" i="9"/>
  <c r="B6128" i="9"/>
  <c r="A6128" i="9"/>
  <c r="E6127" i="9"/>
  <c r="D6127" i="9"/>
  <c r="C6127" i="9"/>
  <c r="B6127" i="9"/>
  <c r="A6127" i="9"/>
  <c r="E6126" i="9"/>
  <c r="D6126" i="9"/>
  <c r="C6126" i="9"/>
  <c r="B6126" i="9"/>
  <c r="A6126" i="9"/>
  <c r="E6125" i="9"/>
  <c r="D6125" i="9"/>
  <c r="C6125" i="9"/>
  <c r="B6125" i="9"/>
  <c r="A6125" i="9"/>
  <c r="E6124" i="9"/>
  <c r="D6124" i="9"/>
  <c r="C6124" i="9"/>
  <c r="B6124" i="9"/>
  <c r="A6124" i="9"/>
  <c r="E6123" i="9"/>
  <c r="D6123" i="9"/>
  <c r="C6123" i="9"/>
  <c r="B6123" i="9"/>
  <c r="A6123" i="9"/>
  <c r="E6122" i="9"/>
  <c r="D6122" i="9"/>
  <c r="C6122" i="9"/>
  <c r="B6122" i="9"/>
  <c r="A6122" i="9"/>
  <c r="E6121" i="9"/>
  <c r="D6121" i="9"/>
  <c r="C6121" i="9"/>
  <c r="B6121" i="9"/>
  <c r="A6121" i="9"/>
  <c r="E6120" i="9"/>
  <c r="D6120" i="9"/>
  <c r="C6120" i="9"/>
  <c r="B6120" i="9"/>
  <c r="A6120" i="9"/>
  <c r="E6119" i="9"/>
  <c r="D6119" i="9"/>
  <c r="C6119" i="9"/>
  <c r="B6119" i="9"/>
  <c r="A6119" i="9"/>
  <c r="E6118" i="9"/>
  <c r="D6118" i="9"/>
  <c r="C6118" i="9"/>
  <c r="B6118" i="9"/>
  <c r="A6118" i="9"/>
  <c r="E6117" i="9"/>
  <c r="D6117" i="9"/>
  <c r="C6117" i="9"/>
  <c r="B6117" i="9"/>
  <c r="A6117" i="9"/>
  <c r="E6116" i="9"/>
  <c r="D6116" i="9"/>
  <c r="C6116" i="9"/>
  <c r="B6116" i="9"/>
  <c r="A6116" i="9"/>
  <c r="E6115" i="9"/>
  <c r="D6115" i="9"/>
  <c r="C6115" i="9"/>
  <c r="B6115" i="9"/>
  <c r="A6115" i="9"/>
  <c r="E6114" i="9"/>
  <c r="D6114" i="9"/>
  <c r="C6114" i="9"/>
  <c r="B6114" i="9"/>
  <c r="A6114" i="9"/>
  <c r="E6113" i="9"/>
  <c r="D6113" i="9"/>
  <c r="C6113" i="9"/>
  <c r="B6113" i="9"/>
  <c r="A6113" i="9"/>
  <c r="E6112" i="9"/>
  <c r="D6112" i="9"/>
  <c r="C6112" i="9"/>
  <c r="B6112" i="9"/>
  <c r="A6112" i="9"/>
  <c r="E6111" i="9"/>
  <c r="D6111" i="9"/>
  <c r="C6111" i="9"/>
  <c r="B6111" i="9"/>
  <c r="A6111" i="9"/>
  <c r="E6110" i="9"/>
  <c r="D6110" i="9"/>
  <c r="C6110" i="9"/>
  <c r="B6110" i="9"/>
  <c r="A6110" i="9"/>
  <c r="E6109" i="9"/>
  <c r="D6109" i="9"/>
  <c r="C6109" i="9"/>
  <c r="B6109" i="9"/>
  <c r="A6109" i="9"/>
  <c r="E6108" i="9"/>
  <c r="D6108" i="9"/>
  <c r="C6108" i="9"/>
  <c r="B6108" i="9"/>
  <c r="A6108" i="9"/>
  <c r="E6107" i="9"/>
  <c r="D6107" i="9"/>
  <c r="C6107" i="9"/>
  <c r="B6107" i="9"/>
  <c r="A6107" i="9"/>
  <c r="E6106" i="9"/>
  <c r="D6106" i="9"/>
  <c r="C6106" i="9"/>
  <c r="B6106" i="9"/>
  <c r="A6106" i="9"/>
  <c r="E6105" i="9"/>
  <c r="D6105" i="9"/>
  <c r="C6105" i="9"/>
  <c r="B6105" i="9"/>
  <c r="A6105" i="9"/>
  <c r="E6104" i="9"/>
  <c r="D6104" i="9"/>
  <c r="C6104" i="9"/>
  <c r="B6104" i="9"/>
  <c r="A6104" i="9"/>
  <c r="E6103" i="9"/>
  <c r="D6103" i="9"/>
  <c r="C6103" i="9"/>
  <c r="B6103" i="9"/>
  <c r="A6103" i="9"/>
  <c r="E6102" i="9"/>
  <c r="D6102" i="9"/>
  <c r="C6102" i="9"/>
  <c r="B6102" i="9"/>
  <c r="A6102" i="9"/>
  <c r="E6101" i="9"/>
  <c r="D6101" i="9"/>
  <c r="C6101" i="9"/>
  <c r="B6101" i="9"/>
  <c r="A6101" i="9"/>
  <c r="E6100" i="9"/>
  <c r="D6100" i="9"/>
  <c r="C6100" i="9"/>
  <c r="B6100" i="9"/>
  <c r="A6100" i="9"/>
  <c r="E6099" i="9"/>
  <c r="D6099" i="9"/>
  <c r="C6099" i="9"/>
  <c r="B6099" i="9"/>
  <c r="A6099" i="9"/>
  <c r="E6098" i="9"/>
  <c r="D6098" i="9"/>
  <c r="C6098" i="9"/>
  <c r="B6098" i="9"/>
  <c r="A6098" i="9"/>
  <c r="E6097" i="9"/>
  <c r="D6097" i="9"/>
  <c r="C6097" i="9"/>
  <c r="B6097" i="9"/>
  <c r="A6097" i="9"/>
  <c r="E6096" i="9"/>
  <c r="D6096" i="9"/>
  <c r="C6096" i="9"/>
  <c r="B6096" i="9"/>
  <c r="A6096" i="9"/>
  <c r="E6095" i="9"/>
  <c r="D6095" i="9"/>
  <c r="C6095" i="9"/>
  <c r="B6095" i="9"/>
  <c r="A6095" i="9"/>
  <c r="E6094" i="9"/>
  <c r="D6094" i="9"/>
  <c r="C6094" i="9"/>
  <c r="B6094" i="9"/>
  <c r="A6094" i="9"/>
  <c r="E6093" i="9"/>
  <c r="D6093" i="9"/>
  <c r="C6093" i="9"/>
  <c r="B6093" i="9"/>
  <c r="A6093" i="9"/>
  <c r="E6092" i="9"/>
  <c r="D6092" i="9"/>
  <c r="C6092" i="9"/>
  <c r="B6092" i="9"/>
  <c r="A6092" i="9"/>
  <c r="E6091" i="9"/>
  <c r="D6091" i="9"/>
  <c r="C6091" i="9"/>
  <c r="B6091" i="9"/>
  <c r="A6091" i="9"/>
  <c r="E6090" i="9"/>
  <c r="D6090" i="9"/>
  <c r="C6090" i="9"/>
  <c r="B6090" i="9"/>
  <c r="A6090" i="9"/>
  <c r="E6089" i="9"/>
  <c r="D6089" i="9"/>
  <c r="C6089" i="9"/>
  <c r="B6089" i="9"/>
  <c r="A6089" i="9"/>
  <c r="E6088" i="9"/>
  <c r="D6088" i="9"/>
  <c r="C6088" i="9"/>
  <c r="B6088" i="9"/>
  <c r="A6088" i="9"/>
  <c r="E6087" i="9"/>
  <c r="D6087" i="9"/>
  <c r="C6087" i="9"/>
  <c r="B6087" i="9"/>
  <c r="A6087" i="9"/>
  <c r="E6086" i="9"/>
  <c r="D6086" i="9"/>
  <c r="C6086" i="9"/>
  <c r="B6086" i="9"/>
  <c r="A6086" i="9"/>
  <c r="E6085" i="9"/>
  <c r="D6085" i="9"/>
  <c r="C6085" i="9"/>
  <c r="B6085" i="9"/>
  <c r="A6085" i="9"/>
  <c r="E6084" i="9"/>
  <c r="D6084" i="9"/>
  <c r="C6084" i="9"/>
  <c r="B6084" i="9"/>
  <c r="A6084" i="9"/>
  <c r="E6083" i="9"/>
  <c r="D6083" i="9"/>
  <c r="C6083" i="9"/>
  <c r="B6083" i="9"/>
  <c r="A6083" i="9"/>
  <c r="E6082" i="9"/>
  <c r="D6082" i="9"/>
  <c r="C6082" i="9"/>
  <c r="B6082" i="9"/>
  <c r="A6082" i="9"/>
  <c r="E6081" i="9"/>
  <c r="D6081" i="9"/>
  <c r="C6081" i="9"/>
  <c r="B6081" i="9"/>
  <c r="A6081" i="9"/>
  <c r="E6080" i="9"/>
  <c r="D6080" i="9"/>
  <c r="C6080" i="9"/>
  <c r="B6080" i="9"/>
  <c r="A6080" i="9"/>
  <c r="E6079" i="9"/>
  <c r="D6079" i="9"/>
  <c r="C6079" i="9"/>
  <c r="B6079" i="9"/>
  <c r="A6079" i="9"/>
  <c r="E6078" i="9"/>
  <c r="D6078" i="9"/>
  <c r="C6078" i="9"/>
  <c r="B6078" i="9"/>
  <c r="A6078" i="9"/>
  <c r="E6077" i="9"/>
  <c r="D6077" i="9"/>
  <c r="C6077" i="9"/>
  <c r="B6077" i="9"/>
  <c r="A6077" i="9"/>
  <c r="E6076" i="9"/>
  <c r="D6076" i="9"/>
  <c r="C6076" i="9"/>
  <c r="B6076" i="9"/>
  <c r="A6076" i="9"/>
  <c r="E6075" i="9"/>
  <c r="D6075" i="9"/>
  <c r="C6075" i="9"/>
  <c r="B6075" i="9"/>
  <c r="A6075" i="9"/>
  <c r="E6074" i="9"/>
  <c r="D6074" i="9"/>
  <c r="C6074" i="9"/>
  <c r="B6074" i="9"/>
  <c r="A6074" i="9"/>
  <c r="E6073" i="9"/>
  <c r="D6073" i="9"/>
  <c r="C6073" i="9"/>
  <c r="B6073" i="9"/>
  <c r="A6073" i="9"/>
  <c r="E6072" i="9"/>
  <c r="D6072" i="9"/>
  <c r="C6072" i="9"/>
  <c r="B6072" i="9"/>
  <c r="A6072" i="9"/>
  <c r="E6071" i="9"/>
  <c r="D6071" i="9"/>
  <c r="C6071" i="9"/>
  <c r="B6071" i="9"/>
  <c r="A6071" i="9"/>
  <c r="E6070" i="9"/>
  <c r="D6070" i="9"/>
  <c r="C6070" i="9"/>
  <c r="B6070" i="9"/>
  <c r="A6070" i="9"/>
  <c r="E6069" i="9"/>
  <c r="D6069" i="9"/>
  <c r="C6069" i="9"/>
  <c r="B6069" i="9"/>
  <c r="A6069" i="9"/>
  <c r="E6068" i="9"/>
  <c r="D6068" i="9"/>
  <c r="C6068" i="9"/>
  <c r="B6068" i="9"/>
  <c r="A6068" i="9"/>
  <c r="E6067" i="9"/>
  <c r="D6067" i="9"/>
  <c r="C6067" i="9"/>
  <c r="B6067" i="9"/>
  <c r="A6067" i="9"/>
  <c r="E6066" i="9"/>
  <c r="D6066" i="9"/>
  <c r="C6066" i="9"/>
  <c r="B6066" i="9"/>
  <c r="A6066" i="9"/>
  <c r="E6065" i="9"/>
  <c r="D6065" i="9"/>
  <c r="C6065" i="9"/>
  <c r="B6065" i="9"/>
  <c r="A6065" i="9"/>
  <c r="E6064" i="9"/>
  <c r="D6064" i="9"/>
  <c r="C6064" i="9"/>
  <c r="B6064" i="9"/>
  <c r="A6064" i="9"/>
  <c r="E6063" i="9"/>
  <c r="D6063" i="9"/>
  <c r="C6063" i="9"/>
  <c r="B6063" i="9"/>
  <c r="A6063" i="9"/>
  <c r="E6062" i="9"/>
  <c r="D6062" i="9"/>
  <c r="C6062" i="9"/>
  <c r="B6062" i="9"/>
  <c r="A6062" i="9"/>
  <c r="E6061" i="9"/>
  <c r="D6061" i="9"/>
  <c r="C6061" i="9"/>
  <c r="B6061" i="9"/>
  <c r="A6061" i="9"/>
  <c r="E6060" i="9"/>
  <c r="D6060" i="9"/>
  <c r="C6060" i="9"/>
  <c r="B6060" i="9"/>
  <c r="A6060" i="9"/>
  <c r="E6059" i="9"/>
  <c r="D6059" i="9"/>
  <c r="C6059" i="9"/>
  <c r="B6059" i="9"/>
  <c r="A6059" i="9"/>
  <c r="E6058" i="9"/>
  <c r="D6058" i="9"/>
  <c r="C6058" i="9"/>
  <c r="B6058" i="9"/>
  <c r="A6058" i="9"/>
  <c r="E6057" i="9"/>
  <c r="D6057" i="9"/>
  <c r="C6057" i="9"/>
  <c r="B6057" i="9"/>
  <c r="A6057" i="9"/>
  <c r="E6056" i="9"/>
  <c r="D6056" i="9"/>
  <c r="C6056" i="9"/>
  <c r="B6056" i="9"/>
  <c r="A6056" i="9"/>
  <c r="E6055" i="9"/>
  <c r="D6055" i="9"/>
  <c r="C6055" i="9"/>
  <c r="B6055" i="9"/>
  <c r="A6055" i="9"/>
  <c r="E6054" i="9"/>
  <c r="D6054" i="9"/>
  <c r="C6054" i="9"/>
  <c r="B6054" i="9"/>
  <c r="A6054" i="9"/>
  <c r="E6053" i="9"/>
  <c r="D6053" i="9"/>
  <c r="C6053" i="9"/>
  <c r="B6053" i="9"/>
  <c r="A6053" i="9"/>
  <c r="E6052" i="9"/>
  <c r="D6052" i="9"/>
  <c r="C6052" i="9"/>
  <c r="B6052" i="9"/>
  <c r="A6052" i="9"/>
  <c r="E6051" i="9"/>
  <c r="D6051" i="9"/>
  <c r="C6051" i="9"/>
  <c r="B6051" i="9"/>
  <c r="A6051" i="9"/>
  <c r="E6050" i="9"/>
  <c r="D6050" i="9"/>
  <c r="C6050" i="9"/>
  <c r="B6050" i="9"/>
  <c r="A6050" i="9"/>
  <c r="E6049" i="9"/>
  <c r="D6049" i="9"/>
  <c r="C6049" i="9"/>
  <c r="B6049" i="9"/>
  <c r="A6049" i="9"/>
  <c r="E6048" i="9"/>
  <c r="D6048" i="9"/>
  <c r="C6048" i="9"/>
  <c r="B6048" i="9"/>
  <c r="A6048" i="9"/>
  <c r="E6047" i="9"/>
  <c r="D6047" i="9"/>
  <c r="C6047" i="9"/>
  <c r="B6047" i="9"/>
  <c r="A6047" i="9"/>
  <c r="E6046" i="9"/>
  <c r="D6046" i="9"/>
  <c r="C6046" i="9"/>
  <c r="B6046" i="9"/>
  <c r="A6046" i="9"/>
  <c r="E6045" i="9"/>
  <c r="D6045" i="9"/>
  <c r="C6045" i="9"/>
  <c r="B6045" i="9"/>
  <c r="A6045" i="9"/>
  <c r="E6044" i="9"/>
  <c r="D6044" i="9"/>
  <c r="C6044" i="9"/>
  <c r="B6044" i="9"/>
  <c r="A6044" i="9"/>
  <c r="E6043" i="9"/>
  <c r="D6043" i="9"/>
  <c r="C6043" i="9"/>
  <c r="B6043" i="9"/>
  <c r="A6043" i="9"/>
  <c r="E6042" i="9"/>
  <c r="D6042" i="9"/>
  <c r="C6042" i="9"/>
  <c r="B6042" i="9"/>
  <c r="A6042" i="9"/>
  <c r="E6041" i="9"/>
  <c r="D6041" i="9"/>
  <c r="C6041" i="9"/>
  <c r="B6041" i="9"/>
  <c r="A6041" i="9"/>
  <c r="E6040" i="9"/>
  <c r="D6040" i="9"/>
  <c r="C6040" i="9"/>
  <c r="B6040" i="9"/>
  <c r="A6040" i="9"/>
  <c r="E6039" i="9"/>
  <c r="D6039" i="9"/>
  <c r="C6039" i="9"/>
  <c r="B6039" i="9"/>
  <c r="A6039" i="9"/>
  <c r="E6038" i="9"/>
  <c r="D6038" i="9"/>
  <c r="C6038" i="9"/>
  <c r="B6038" i="9"/>
  <c r="A6038" i="9"/>
  <c r="E6037" i="9"/>
  <c r="D6037" i="9"/>
  <c r="C6037" i="9"/>
  <c r="B6037" i="9"/>
  <c r="A6037" i="9"/>
  <c r="E6036" i="9"/>
  <c r="D6036" i="9"/>
  <c r="C6036" i="9"/>
  <c r="B6036" i="9"/>
  <c r="A6036" i="9"/>
  <c r="E6035" i="9"/>
  <c r="D6035" i="9"/>
  <c r="C6035" i="9"/>
  <c r="B6035" i="9"/>
  <c r="A6035" i="9"/>
  <c r="E6034" i="9"/>
  <c r="D6034" i="9"/>
  <c r="C6034" i="9"/>
  <c r="B6034" i="9"/>
  <c r="A6034" i="9"/>
  <c r="E6033" i="9"/>
  <c r="D6033" i="9"/>
  <c r="C6033" i="9"/>
  <c r="B6033" i="9"/>
  <c r="A6033" i="9"/>
  <c r="E6032" i="9"/>
  <c r="D6032" i="9"/>
  <c r="C6032" i="9"/>
  <c r="B6032" i="9"/>
  <c r="A6032" i="9"/>
  <c r="E6031" i="9"/>
  <c r="D6031" i="9"/>
  <c r="C6031" i="9"/>
  <c r="B6031" i="9"/>
  <c r="A6031" i="9"/>
  <c r="E6030" i="9"/>
  <c r="D6030" i="9"/>
  <c r="C6030" i="9"/>
  <c r="B6030" i="9"/>
  <c r="A6030" i="9"/>
  <c r="E6029" i="9"/>
  <c r="D6029" i="9"/>
  <c r="C6029" i="9"/>
  <c r="B6029" i="9"/>
  <c r="A6029" i="9"/>
  <c r="E6028" i="9"/>
  <c r="D6028" i="9"/>
  <c r="C6028" i="9"/>
  <c r="B6028" i="9"/>
  <c r="A6028" i="9"/>
  <c r="E6027" i="9"/>
  <c r="D6027" i="9"/>
  <c r="C6027" i="9"/>
  <c r="B6027" i="9"/>
  <c r="A6027" i="9"/>
  <c r="E6026" i="9"/>
  <c r="D6026" i="9"/>
  <c r="C6026" i="9"/>
  <c r="B6026" i="9"/>
  <c r="A6026" i="9"/>
  <c r="E6025" i="9"/>
  <c r="D6025" i="9"/>
  <c r="C6025" i="9"/>
  <c r="B6025" i="9"/>
  <c r="A6025" i="9"/>
  <c r="E6024" i="9"/>
  <c r="D6024" i="9"/>
  <c r="C6024" i="9"/>
  <c r="B6024" i="9"/>
  <c r="A6024" i="9"/>
  <c r="E6023" i="9"/>
  <c r="D6023" i="9"/>
  <c r="C6023" i="9"/>
  <c r="B6023" i="9"/>
  <c r="A6023" i="9"/>
  <c r="E6022" i="9"/>
  <c r="D6022" i="9"/>
  <c r="C6022" i="9"/>
  <c r="B6022" i="9"/>
  <c r="A6022" i="9"/>
  <c r="E6021" i="9"/>
  <c r="D6021" i="9"/>
  <c r="C6021" i="9"/>
  <c r="B6021" i="9"/>
  <c r="A6021" i="9"/>
  <c r="E6020" i="9"/>
  <c r="D6020" i="9"/>
  <c r="C6020" i="9"/>
  <c r="B6020" i="9"/>
  <c r="A6020" i="9"/>
  <c r="E6019" i="9"/>
  <c r="D6019" i="9"/>
  <c r="C6019" i="9"/>
  <c r="B6019" i="9"/>
  <c r="A6019" i="9"/>
  <c r="E6018" i="9"/>
  <c r="D6018" i="9"/>
  <c r="C6018" i="9"/>
  <c r="B6018" i="9"/>
  <c r="A6018" i="9"/>
  <c r="E6017" i="9"/>
  <c r="D6017" i="9"/>
  <c r="C6017" i="9"/>
  <c r="B6017" i="9"/>
  <c r="A6017" i="9"/>
  <c r="E6016" i="9"/>
  <c r="D6016" i="9"/>
  <c r="C6016" i="9"/>
  <c r="B6016" i="9"/>
  <c r="A6016" i="9"/>
  <c r="E6015" i="9"/>
  <c r="D6015" i="9"/>
  <c r="C6015" i="9"/>
  <c r="B6015" i="9"/>
  <c r="A6015" i="9"/>
  <c r="E6014" i="9"/>
  <c r="D6014" i="9"/>
  <c r="C6014" i="9"/>
  <c r="B6014" i="9"/>
  <c r="A6014" i="9"/>
  <c r="E6013" i="9"/>
  <c r="D6013" i="9"/>
  <c r="C6013" i="9"/>
  <c r="B6013" i="9"/>
  <c r="A6013" i="9"/>
  <c r="E6012" i="9"/>
  <c r="D6012" i="9"/>
  <c r="C6012" i="9"/>
  <c r="B6012" i="9"/>
  <c r="A6012" i="9"/>
  <c r="E6011" i="9"/>
  <c r="D6011" i="9"/>
  <c r="C6011" i="9"/>
  <c r="B6011" i="9"/>
  <c r="A6011" i="9"/>
  <c r="E6010" i="9"/>
  <c r="D6010" i="9"/>
  <c r="C6010" i="9"/>
  <c r="B6010" i="9"/>
  <c r="A6010" i="9"/>
  <c r="E6009" i="9"/>
  <c r="D6009" i="9"/>
  <c r="C6009" i="9"/>
  <c r="B6009" i="9"/>
  <c r="A6009" i="9"/>
  <c r="E6008" i="9"/>
  <c r="D6008" i="9"/>
  <c r="C6008" i="9"/>
  <c r="B6008" i="9"/>
  <c r="A6008" i="9"/>
  <c r="E6007" i="9"/>
  <c r="D6007" i="9"/>
  <c r="C6007" i="9"/>
  <c r="B6007" i="9"/>
  <c r="A6007" i="9"/>
  <c r="E6006" i="9"/>
  <c r="D6006" i="9"/>
  <c r="C6006" i="9"/>
  <c r="B6006" i="9"/>
  <c r="A6006" i="9"/>
  <c r="E6005" i="9"/>
  <c r="D6005" i="9"/>
  <c r="C6005" i="9"/>
  <c r="B6005" i="9"/>
  <c r="A6005" i="9"/>
  <c r="E6004" i="9"/>
  <c r="D6004" i="9"/>
  <c r="C6004" i="9"/>
  <c r="B6004" i="9"/>
  <c r="A6004" i="9"/>
  <c r="E6003" i="9"/>
  <c r="D6003" i="9"/>
  <c r="C6003" i="9"/>
  <c r="B6003" i="9"/>
  <c r="A6003" i="9"/>
  <c r="E6002" i="9"/>
  <c r="D6002" i="9"/>
  <c r="C6002" i="9"/>
  <c r="B6002" i="9"/>
  <c r="A6002" i="9"/>
  <c r="E6001" i="9"/>
  <c r="D6001" i="9"/>
  <c r="C6001" i="9"/>
  <c r="B6001" i="9"/>
  <c r="A6001" i="9"/>
  <c r="E6000" i="9"/>
  <c r="D6000" i="9"/>
  <c r="C6000" i="9"/>
  <c r="B6000" i="9"/>
  <c r="A6000" i="9"/>
  <c r="E5999" i="9"/>
  <c r="D5999" i="9"/>
  <c r="C5999" i="9"/>
  <c r="B5999" i="9"/>
  <c r="A5999" i="9"/>
  <c r="E5998" i="9"/>
  <c r="D5998" i="9"/>
  <c r="C5998" i="9"/>
  <c r="B5998" i="9"/>
  <c r="A5998" i="9"/>
  <c r="E5997" i="9"/>
  <c r="D5997" i="9"/>
  <c r="C5997" i="9"/>
  <c r="B5997" i="9"/>
  <c r="A5997" i="9"/>
  <c r="E5996" i="9"/>
  <c r="D5996" i="9"/>
  <c r="C5996" i="9"/>
  <c r="B5996" i="9"/>
  <c r="A5996" i="9"/>
  <c r="E5995" i="9"/>
  <c r="D5995" i="9"/>
  <c r="C5995" i="9"/>
  <c r="B5995" i="9"/>
  <c r="A5995" i="9"/>
  <c r="E5994" i="9"/>
  <c r="D5994" i="9"/>
  <c r="C5994" i="9"/>
  <c r="B5994" i="9"/>
  <c r="A5994" i="9"/>
  <c r="E5993" i="9"/>
  <c r="D5993" i="9"/>
  <c r="C5993" i="9"/>
  <c r="B5993" i="9"/>
  <c r="A5993" i="9"/>
  <c r="E5992" i="9"/>
  <c r="D5992" i="9"/>
  <c r="C5992" i="9"/>
  <c r="B5992" i="9"/>
  <c r="A5992" i="9"/>
  <c r="E5991" i="9"/>
  <c r="D5991" i="9"/>
  <c r="C5991" i="9"/>
  <c r="B5991" i="9"/>
  <c r="A5991" i="9"/>
  <c r="E5990" i="9"/>
  <c r="D5990" i="9"/>
  <c r="C5990" i="9"/>
  <c r="B5990" i="9"/>
  <c r="A5990" i="9"/>
  <c r="E5989" i="9"/>
  <c r="D5989" i="9"/>
  <c r="C5989" i="9"/>
  <c r="B5989" i="9"/>
  <c r="A5989" i="9"/>
  <c r="E5988" i="9"/>
  <c r="D5988" i="9"/>
  <c r="C5988" i="9"/>
  <c r="B5988" i="9"/>
  <c r="A5988" i="9"/>
  <c r="E5987" i="9"/>
  <c r="D5987" i="9"/>
  <c r="C5987" i="9"/>
  <c r="B5987" i="9"/>
  <c r="A5987" i="9"/>
  <c r="E5986" i="9"/>
  <c r="D5986" i="9"/>
  <c r="C5986" i="9"/>
  <c r="B5986" i="9"/>
  <c r="A5986" i="9"/>
  <c r="E5985" i="9"/>
  <c r="D5985" i="9"/>
  <c r="C5985" i="9"/>
  <c r="B5985" i="9"/>
  <c r="A5985" i="9"/>
  <c r="E5984" i="9"/>
  <c r="D5984" i="9"/>
  <c r="C5984" i="9"/>
  <c r="B5984" i="9"/>
  <c r="A5984" i="9"/>
  <c r="E5983" i="9"/>
  <c r="D5983" i="9"/>
  <c r="C5983" i="9"/>
  <c r="B5983" i="9"/>
  <c r="A5983" i="9"/>
  <c r="E5982" i="9"/>
  <c r="D5982" i="9"/>
  <c r="C5982" i="9"/>
  <c r="B5982" i="9"/>
  <c r="A5982" i="9"/>
  <c r="E5981" i="9"/>
  <c r="D5981" i="9"/>
  <c r="C5981" i="9"/>
  <c r="B5981" i="9"/>
  <c r="A5981" i="9"/>
  <c r="E5980" i="9"/>
  <c r="D5980" i="9"/>
  <c r="C5980" i="9"/>
  <c r="B5980" i="9"/>
  <c r="A5980" i="9"/>
  <c r="E5979" i="9"/>
  <c r="D5979" i="9"/>
  <c r="C5979" i="9"/>
  <c r="B5979" i="9"/>
  <c r="A5979" i="9"/>
  <c r="E5978" i="9"/>
  <c r="D5978" i="9"/>
  <c r="C5978" i="9"/>
  <c r="B5978" i="9"/>
  <c r="A5978" i="9"/>
  <c r="E5977" i="9"/>
  <c r="D5977" i="9"/>
  <c r="C5977" i="9"/>
  <c r="B5977" i="9"/>
  <c r="A5977" i="9"/>
  <c r="E5976" i="9"/>
  <c r="D5976" i="9"/>
  <c r="C5976" i="9"/>
  <c r="B5976" i="9"/>
  <c r="A5976" i="9"/>
  <c r="E5975" i="9"/>
  <c r="D5975" i="9"/>
  <c r="C5975" i="9"/>
  <c r="B5975" i="9"/>
  <c r="A5975" i="9"/>
  <c r="E5974" i="9"/>
  <c r="D5974" i="9"/>
  <c r="C5974" i="9"/>
  <c r="B5974" i="9"/>
  <c r="A5974" i="9"/>
  <c r="E5973" i="9"/>
  <c r="D5973" i="9"/>
  <c r="C5973" i="9"/>
  <c r="B5973" i="9"/>
  <c r="A5973" i="9"/>
  <c r="E5972" i="9"/>
  <c r="D5972" i="9"/>
  <c r="C5972" i="9"/>
  <c r="B5972" i="9"/>
  <c r="A5972" i="9"/>
  <c r="E5971" i="9"/>
  <c r="D5971" i="9"/>
  <c r="C5971" i="9"/>
  <c r="B5971" i="9"/>
  <c r="A5971" i="9"/>
  <c r="E5970" i="9"/>
  <c r="D5970" i="9"/>
  <c r="C5970" i="9"/>
  <c r="B5970" i="9"/>
  <c r="A5970" i="9"/>
  <c r="E5969" i="9"/>
  <c r="D5969" i="9"/>
  <c r="C5969" i="9"/>
  <c r="B5969" i="9"/>
  <c r="A5969" i="9"/>
  <c r="E5968" i="9"/>
  <c r="D5968" i="9"/>
  <c r="C5968" i="9"/>
  <c r="B5968" i="9"/>
  <c r="A5968" i="9"/>
  <c r="E5967" i="9"/>
  <c r="D5967" i="9"/>
  <c r="C5967" i="9"/>
  <c r="B5967" i="9"/>
  <c r="A5967" i="9"/>
  <c r="E5966" i="9"/>
  <c r="D5966" i="9"/>
  <c r="C5966" i="9"/>
  <c r="B5966" i="9"/>
  <c r="A5966" i="9"/>
  <c r="E5965" i="9"/>
  <c r="D5965" i="9"/>
  <c r="C5965" i="9"/>
  <c r="B5965" i="9"/>
  <c r="A5965" i="9"/>
  <c r="E5964" i="9"/>
  <c r="D5964" i="9"/>
  <c r="C5964" i="9"/>
  <c r="B5964" i="9"/>
  <c r="A5964" i="9"/>
  <c r="E5963" i="9"/>
  <c r="D5963" i="9"/>
  <c r="C5963" i="9"/>
  <c r="B5963" i="9"/>
  <c r="A5963" i="9"/>
  <c r="E5962" i="9"/>
  <c r="D5962" i="9"/>
  <c r="C5962" i="9"/>
  <c r="B5962" i="9"/>
  <c r="A5962" i="9"/>
  <c r="E5961" i="9"/>
  <c r="D5961" i="9"/>
  <c r="C5961" i="9"/>
  <c r="B5961" i="9"/>
  <c r="A5961" i="9"/>
  <c r="E5960" i="9"/>
  <c r="D5960" i="9"/>
  <c r="C5960" i="9"/>
  <c r="B5960" i="9"/>
  <c r="A5960" i="9"/>
  <c r="E5959" i="9"/>
  <c r="D5959" i="9"/>
  <c r="C5959" i="9"/>
  <c r="B5959" i="9"/>
  <c r="A5959" i="9"/>
  <c r="E5958" i="9"/>
  <c r="D5958" i="9"/>
  <c r="C5958" i="9"/>
  <c r="B5958" i="9"/>
  <c r="A5958" i="9"/>
  <c r="E5957" i="9"/>
  <c r="D5957" i="9"/>
  <c r="C5957" i="9"/>
  <c r="B5957" i="9"/>
  <c r="A5957" i="9"/>
  <c r="E5956" i="9"/>
  <c r="D5956" i="9"/>
  <c r="C5956" i="9"/>
  <c r="B5956" i="9"/>
  <c r="A5956" i="9"/>
  <c r="E5955" i="9"/>
  <c r="D5955" i="9"/>
  <c r="C5955" i="9"/>
  <c r="B5955" i="9"/>
  <c r="A5955" i="9"/>
  <c r="E5954" i="9"/>
  <c r="D5954" i="9"/>
  <c r="C5954" i="9"/>
  <c r="B5954" i="9"/>
  <c r="A5954" i="9"/>
  <c r="E5953" i="9"/>
  <c r="D5953" i="9"/>
  <c r="C5953" i="9"/>
  <c r="B5953" i="9"/>
  <c r="A5953" i="9"/>
  <c r="E5952" i="9"/>
  <c r="D5952" i="9"/>
  <c r="C5952" i="9"/>
  <c r="B5952" i="9"/>
  <c r="A5952" i="9"/>
  <c r="E5951" i="9"/>
  <c r="D5951" i="9"/>
  <c r="C5951" i="9"/>
  <c r="B5951" i="9"/>
  <c r="A5951" i="9"/>
  <c r="E5950" i="9"/>
  <c r="D5950" i="9"/>
  <c r="C5950" i="9"/>
  <c r="B5950" i="9"/>
  <c r="A5950" i="9"/>
  <c r="E5949" i="9"/>
  <c r="D5949" i="9"/>
  <c r="C5949" i="9"/>
  <c r="B5949" i="9"/>
  <c r="A5949" i="9"/>
  <c r="E5948" i="9"/>
  <c r="D5948" i="9"/>
  <c r="C5948" i="9"/>
  <c r="B5948" i="9"/>
  <c r="A5948" i="9"/>
  <c r="E5947" i="9"/>
  <c r="D5947" i="9"/>
  <c r="C5947" i="9"/>
  <c r="B5947" i="9"/>
  <c r="A5947" i="9"/>
  <c r="E5946" i="9"/>
  <c r="D5946" i="9"/>
  <c r="C5946" i="9"/>
  <c r="B5946" i="9"/>
  <c r="A5946" i="9"/>
  <c r="E5945" i="9"/>
  <c r="D5945" i="9"/>
  <c r="C5945" i="9"/>
  <c r="B5945" i="9"/>
  <c r="A5945" i="9"/>
  <c r="E5944" i="9"/>
  <c r="D5944" i="9"/>
  <c r="C5944" i="9"/>
  <c r="B5944" i="9"/>
  <c r="A5944" i="9"/>
  <c r="E5943" i="9"/>
  <c r="D5943" i="9"/>
  <c r="C5943" i="9"/>
  <c r="B5943" i="9"/>
  <c r="A5943" i="9"/>
  <c r="E5942" i="9"/>
  <c r="D5942" i="9"/>
  <c r="C5942" i="9"/>
  <c r="B5942" i="9"/>
  <c r="A5942" i="9"/>
  <c r="E5941" i="9"/>
  <c r="D5941" i="9"/>
  <c r="C5941" i="9"/>
  <c r="B5941" i="9"/>
  <c r="A5941" i="9"/>
  <c r="E5940" i="9"/>
  <c r="D5940" i="9"/>
  <c r="C5940" i="9"/>
  <c r="B5940" i="9"/>
  <c r="A5940" i="9"/>
  <c r="E5939" i="9"/>
  <c r="D5939" i="9"/>
  <c r="C5939" i="9"/>
  <c r="B5939" i="9"/>
  <c r="A5939" i="9"/>
  <c r="E5938" i="9"/>
  <c r="D5938" i="9"/>
  <c r="C5938" i="9"/>
  <c r="B5938" i="9"/>
  <c r="A5938" i="9"/>
  <c r="E5937" i="9"/>
  <c r="D5937" i="9"/>
  <c r="C5937" i="9"/>
  <c r="B5937" i="9"/>
  <c r="A5937" i="9"/>
  <c r="E5936" i="9"/>
  <c r="D5936" i="9"/>
  <c r="C5936" i="9"/>
  <c r="B5936" i="9"/>
  <c r="A5936" i="9"/>
  <c r="E5935" i="9"/>
  <c r="D5935" i="9"/>
  <c r="C5935" i="9"/>
  <c r="B5935" i="9"/>
  <c r="A5935" i="9"/>
  <c r="E5934" i="9"/>
  <c r="D5934" i="9"/>
  <c r="C5934" i="9"/>
  <c r="B5934" i="9"/>
  <c r="A5934" i="9"/>
  <c r="E5933" i="9"/>
  <c r="D5933" i="9"/>
  <c r="C5933" i="9"/>
  <c r="B5933" i="9"/>
  <c r="A5933" i="9"/>
  <c r="E5932" i="9"/>
  <c r="D5932" i="9"/>
  <c r="C5932" i="9"/>
  <c r="B5932" i="9"/>
  <c r="A5932" i="9"/>
  <c r="E5931" i="9"/>
  <c r="D5931" i="9"/>
  <c r="C5931" i="9"/>
  <c r="B5931" i="9"/>
  <c r="A5931" i="9"/>
  <c r="E5930" i="9"/>
  <c r="D5930" i="9"/>
  <c r="C5930" i="9"/>
  <c r="B5930" i="9"/>
  <c r="A5930" i="9"/>
  <c r="E5929" i="9"/>
  <c r="D5929" i="9"/>
  <c r="C5929" i="9"/>
  <c r="B5929" i="9"/>
  <c r="A5929" i="9"/>
  <c r="E5928" i="9"/>
  <c r="D5928" i="9"/>
  <c r="C5928" i="9"/>
  <c r="B5928" i="9"/>
  <c r="A5928" i="9"/>
  <c r="E5927" i="9"/>
  <c r="D5927" i="9"/>
  <c r="C5927" i="9"/>
  <c r="B5927" i="9"/>
  <c r="A5927" i="9"/>
  <c r="E5926" i="9"/>
  <c r="D5926" i="9"/>
  <c r="C5926" i="9"/>
  <c r="B5926" i="9"/>
  <c r="A5926" i="9"/>
  <c r="E5925" i="9"/>
  <c r="D5925" i="9"/>
  <c r="C5925" i="9"/>
  <c r="B5925" i="9"/>
  <c r="A5925" i="9"/>
  <c r="E5924" i="9"/>
  <c r="D5924" i="9"/>
  <c r="C5924" i="9"/>
  <c r="B5924" i="9"/>
  <c r="A5924" i="9"/>
  <c r="E5923" i="9"/>
  <c r="D5923" i="9"/>
  <c r="C5923" i="9"/>
  <c r="B5923" i="9"/>
  <c r="A5923" i="9"/>
  <c r="E5922" i="9"/>
  <c r="D5922" i="9"/>
  <c r="C5922" i="9"/>
  <c r="B5922" i="9"/>
  <c r="A5922" i="9"/>
  <c r="E5921" i="9"/>
  <c r="D5921" i="9"/>
  <c r="C5921" i="9"/>
  <c r="B5921" i="9"/>
  <c r="A5921" i="9"/>
  <c r="E5920" i="9"/>
  <c r="D5920" i="9"/>
  <c r="C5920" i="9"/>
  <c r="B5920" i="9"/>
  <c r="A5920" i="9"/>
  <c r="E5919" i="9"/>
  <c r="D5919" i="9"/>
  <c r="C5919" i="9"/>
  <c r="B5919" i="9"/>
  <c r="A5919" i="9"/>
  <c r="E5918" i="9"/>
  <c r="D5918" i="9"/>
  <c r="C5918" i="9"/>
  <c r="B5918" i="9"/>
  <c r="A5918" i="9"/>
  <c r="E5917" i="9"/>
  <c r="D5917" i="9"/>
  <c r="C5917" i="9"/>
  <c r="B5917" i="9"/>
  <c r="A5917" i="9"/>
  <c r="E5916" i="9"/>
  <c r="D5916" i="9"/>
  <c r="C5916" i="9"/>
  <c r="B5916" i="9"/>
  <c r="A5916" i="9"/>
  <c r="E5915" i="9"/>
  <c r="D5915" i="9"/>
  <c r="C5915" i="9"/>
  <c r="B5915" i="9"/>
  <c r="A5915" i="9"/>
  <c r="E5914" i="9"/>
  <c r="D5914" i="9"/>
  <c r="C5914" i="9"/>
  <c r="B5914" i="9"/>
  <c r="A5914" i="9"/>
  <c r="E5913" i="9"/>
  <c r="D5913" i="9"/>
  <c r="C5913" i="9"/>
  <c r="B5913" i="9"/>
  <c r="A5913" i="9"/>
  <c r="E5912" i="9"/>
  <c r="D5912" i="9"/>
  <c r="C5912" i="9"/>
  <c r="B5912" i="9"/>
  <c r="A5912" i="9"/>
  <c r="E5911" i="9"/>
  <c r="D5911" i="9"/>
  <c r="C5911" i="9"/>
  <c r="B5911" i="9"/>
  <c r="A5911" i="9"/>
  <c r="E5910" i="9"/>
  <c r="D5910" i="9"/>
  <c r="C5910" i="9"/>
  <c r="B5910" i="9"/>
  <c r="A5910" i="9"/>
  <c r="E5909" i="9"/>
  <c r="D5909" i="9"/>
  <c r="C5909" i="9"/>
  <c r="B5909" i="9"/>
  <c r="A5909" i="9"/>
  <c r="E5908" i="9"/>
  <c r="D5908" i="9"/>
  <c r="C5908" i="9"/>
  <c r="B5908" i="9"/>
  <c r="A5908" i="9"/>
  <c r="E5907" i="9"/>
  <c r="D5907" i="9"/>
  <c r="C5907" i="9"/>
  <c r="B5907" i="9"/>
  <c r="A5907" i="9"/>
  <c r="E5906" i="9"/>
  <c r="D5906" i="9"/>
  <c r="C5906" i="9"/>
  <c r="B5906" i="9"/>
  <c r="A5906" i="9"/>
  <c r="E5905" i="9"/>
  <c r="D5905" i="9"/>
  <c r="C5905" i="9"/>
  <c r="B5905" i="9"/>
  <c r="A5905" i="9"/>
  <c r="E5904" i="9"/>
  <c r="D5904" i="9"/>
  <c r="C5904" i="9"/>
  <c r="B5904" i="9"/>
  <c r="A5904" i="9"/>
  <c r="E5903" i="9"/>
  <c r="D5903" i="9"/>
  <c r="C5903" i="9"/>
  <c r="B5903" i="9"/>
  <c r="A5903" i="9"/>
  <c r="E5902" i="9"/>
  <c r="D5902" i="9"/>
  <c r="C5902" i="9"/>
  <c r="B5902" i="9"/>
  <c r="A5902" i="9"/>
  <c r="E5901" i="9"/>
  <c r="D5901" i="9"/>
  <c r="C5901" i="9"/>
  <c r="B5901" i="9"/>
  <c r="A5901" i="9"/>
  <c r="E5900" i="9"/>
  <c r="D5900" i="9"/>
  <c r="C5900" i="9"/>
  <c r="B5900" i="9"/>
  <c r="A5900" i="9"/>
  <c r="E5899" i="9"/>
  <c r="D5899" i="9"/>
  <c r="C5899" i="9"/>
  <c r="B5899" i="9"/>
  <c r="A5899" i="9"/>
  <c r="E5898" i="9"/>
  <c r="D5898" i="9"/>
  <c r="C5898" i="9"/>
  <c r="B5898" i="9"/>
  <c r="A5898" i="9"/>
  <c r="E5897" i="9"/>
  <c r="D5897" i="9"/>
  <c r="C5897" i="9"/>
  <c r="B5897" i="9"/>
  <c r="A5897" i="9"/>
  <c r="E5896" i="9"/>
  <c r="D5896" i="9"/>
  <c r="C5896" i="9"/>
  <c r="B5896" i="9"/>
  <c r="A5896" i="9"/>
  <c r="E5895" i="9"/>
  <c r="D5895" i="9"/>
  <c r="C5895" i="9"/>
  <c r="B5895" i="9"/>
  <c r="A5895" i="9"/>
  <c r="E5894" i="9"/>
  <c r="D5894" i="9"/>
  <c r="C5894" i="9"/>
  <c r="B5894" i="9"/>
  <c r="A5894" i="9"/>
  <c r="E5893" i="9"/>
  <c r="D5893" i="9"/>
  <c r="C5893" i="9"/>
  <c r="B5893" i="9"/>
  <c r="A5893" i="9"/>
  <c r="E5892" i="9"/>
  <c r="D5892" i="9"/>
  <c r="C5892" i="9"/>
  <c r="B5892" i="9"/>
  <c r="A5892" i="9"/>
  <c r="E5891" i="9"/>
  <c r="D5891" i="9"/>
  <c r="C5891" i="9"/>
  <c r="B5891" i="9"/>
  <c r="A5891" i="9"/>
  <c r="E5890" i="9"/>
  <c r="D5890" i="9"/>
  <c r="C5890" i="9"/>
  <c r="B5890" i="9"/>
  <c r="A5890" i="9"/>
  <c r="E5889" i="9"/>
  <c r="D5889" i="9"/>
  <c r="C5889" i="9"/>
  <c r="B5889" i="9"/>
  <c r="A5889" i="9"/>
  <c r="E5888" i="9"/>
  <c r="D5888" i="9"/>
  <c r="C5888" i="9"/>
  <c r="B5888" i="9"/>
  <c r="A5888" i="9"/>
  <c r="E5887" i="9"/>
  <c r="D5887" i="9"/>
  <c r="C5887" i="9"/>
  <c r="B5887" i="9"/>
  <c r="A5887" i="9"/>
  <c r="E5886" i="9"/>
  <c r="D5886" i="9"/>
  <c r="C5886" i="9"/>
  <c r="B5886" i="9"/>
  <c r="A5886" i="9"/>
  <c r="E5885" i="9"/>
  <c r="D5885" i="9"/>
  <c r="C5885" i="9"/>
  <c r="B5885" i="9"/>
  <c r="A5885" i="9"/>
  <c r="E5884" i="9"/>
  <c r="D5884" i="9"/>
  <c r="C5884" i="9"/>
  <c r="B5884" i="9"/>
  <c r="A5884" i="9"/>
  <c r="E5883" i="9"/>
  <c r="D5883" i="9"/>
  <c r="C5883" i="9"/>
  <c r="B5883" i="9"/>
  <c r="A5883" i="9"/>
  <c r="E5882" i="9"/>
  <c r="D5882" i="9"/>
  <c r="C5882" i="9"/>
  <c r="B5882" i="9"/>
  <c r="A5882" i="9"/>
  <c r="E5881" i="9"/>
  <c r="D5881" i="9"/>
  <c r="C5881" i="9"/>
  <c r="B5881" i="9"/>
  <c r="A5881" i="9"/>
  <c r="E5880" i="9"/>
  <c r="D5880" i="9"/>
  <c r="C5880" i="9"/>
  <c r="B5880" i="9"/>
  <c r="A5880" i="9"/>
  <c r="E5879" i="9"/>
  <c r="D5879" i="9"/>
  <c r="C5879" i="9"/>
  <c r="B5879" i="9"/>
  <c r="A5879" i="9"/>
  <c r="E5878" i="9"/>
  <c r="D5878" i="9"/>
  <c r="C5878" i="9"/>
  <c r="B5878" i="9"/>
  <c r="A5878" i="9"/>
  <c r="E5877" i="9"/>
  <c r="D5877" i="9"/>
  <c r="C5877" i="9"/>
  <c r="B5877" i="9"/>
  <c r="A5877" i="9"/>
  <c r="E5876" i="9"/>
  <c r="D5876" i="9"/>
  <c r="C5876" i="9"/>
  <c r="B5876" i="9"/>
  <c r="A5876" i="9"/>
  <c r="E5875" i="9"/>
  <c r="D5875" i="9"/>
  <c r="C5875" i="9"/>
  <c r="B5875" i="9"/>
  <c r="A5875" i="9"/>
  <c r="E5874" i="9"/>
  <c r="D5874" i="9"/>
  <c r="C5874" i="9"/>
  <c r="B5874" i="9"/>
  <c r="A5874" i="9"/>
  <c r="E5873" i="9"/>
  <c r="D5873" i="9"/>
  <c r="C5873" i="9"/>
  <c r="B5873" i="9"/>
  <c r="A5873" i="9"/>
  <c r="E5872" i="9"/>
  <c r="D5872" i="9"/>
  <c r="C5872" i="9"/>
  <c r="B5872" i="9"/>
  <c r="A5872" i="9"/>
  <c r="E5871" i="9"/>
  <c r="D5871" i="9"/>
  <c r="C5871" i="9"/>
  <c r="B5871" i="9"/>
  <c r="A5871" i="9"/>
  <c r="E5870" i="9"/>
  <c r="D5870" i="9"/>
  <c r="C5870" i="9"/>
  <c r="B5870" i="9"/>
  <c r="A5870" i="9"/>
  <c r="E5869" i="9"/>
  <c r="D5869" i="9"/>
  <c r="C5869" i="9"/>
  <c r="B5869" i="9"/>
  <c r="A5869" i="9"/>
  <c r="E5868" i="9"/>
  <c r="D5868" i="9"/>
  <c r="C5868" i="9"/>
  <c r="B5868" i="9"/>
  <c r="A5868" i="9"/>
  <c r="E5867" i="9"/>
  <c r="D5867" i="9"/>
  <c r="C5867" i="9"/>
  <c r="B5867" i="9"/>
  <c r="A5867" i="9"/>
  <c r="E5866" i="9"/>
  <c r="D5866" i="9"/>
  <c r="C5866" i="9"/>
  <c r="B5866" i="9"/>
  <c r="A5866" i="9"/>
  <c r="E5865" i="9"/>
  <c r="D5865" i="9"/>
  <c r="C5865" i="9"/>
  <c r="B5865" i="9"/>
  <c r="A5865" i="9"/>
  <c r="E5864" i="9"/>
  <c r="D5864" i="9"/>
  <c r="C5864" i="9"/>
  <c r="B5864" i="9"/>
  <c r="A5864" i="9"/>
  <c r="E5863" i="9"/>
  <c r="D5863" i="9"/>
  <c r="C5863" i="9"/>
  <c r="B5863" i="9"/>
  <c r="A5863" i="9"/>
  <c r="E5862" i="9"/>
  <c r="D5862" i="9"/>
  <c r="C5862" i="9"/>
  <c r="B5862" i="9"/>
  <c r="A5862" i="9"/>
  <c r="E5861" i="9"/>
  <c r="D5861" i="9"/>
  <c r="C5861" i="9"/>
  <c r="B5861" i="9"/>
  <c r="A5861" i="9"/>
  <c r="E5860" i="9"/>
  <c r="D5860" i="9"/>
  <c r="C5860" i="9"/>
  <c r="B5860" i="9"/>
  <c r="A5860" i="9"/>
  <c r="E5859" i="9"/>
  <c r="D5859" i="9"/>
  <c r="C5859" i="9"/>
  <c r="B5859" i="9"/>
  <c r="A5859" i="9"/>
  <c r="E5858" i="9"/>
  <c r="D5858" i="9"/>
  <c r="C5858" i="9"/>
  <c r="B5858" i="9"/>
  <c r="A5858" i="9"/>
  <c r="E5857" i="9"/>
  <c r="D5857" i="9"/>
  <c r="C5857" i="9"/>
  <c r="B5857" i="9"/>
  <c r="A5857" i="9"/>
  <c r="E5856" i="9"/>
  <c r="D5856" i="9"/>
  <c r="C5856" i="9"/>
  <c r="B5856" i="9"/>
  <c r="A5856" i="9"/>
  <c r="E5855" i="9"/>
  <c r="D5855" i="9"/>
  <c r="C5855" i="9"/>
  <c r="B5855" i="9"/>
  <c r="A5855" i="9"/>
  <c r="E5854" i="9"/>
  <c r="D5854" i="9"/>
  <c r="C5854" i="9"/>
  <c r="B5854" i="9"/>
  <c r="A5854" i="9"/>
  <c r="E5853" i="9"/>
  <c r="D5853" i="9"/>
  <c r="C5853" i="9"/>
  <c r="B5853" i="9"/>
  <c r="A5853" i="9"/>
  <c r="E5852" i="9"/>
  <c r="D5852" i="9"/>
  <c r="C5852" i="9"/>
  <c r="B5852" i="9"/>
  <c r="A5852" i="9"/>
  <c r="E5851" i="9"/>
  <c r="D5851" i="9"/>
  <c r="C5851" i="9"/>
  <c r="B5851" i="9"/>
  <c r="A5851" i="9"/>
  <c r="E5850" i="9"/>
  <c r="D5850" i="9"/>
  <c r="C5850" i="9"/>
  <c r="B5850" i="9"/>
  <c r="A5850" i="9"/>
  <c r="E5849" i="9"/>
  <c r="D5849" i="9"/>
  <c r="C5849" i="9"/>
  <c r="B5849" i="9"/>
  <c r="A5849" i="9"/>
  <c r="E5848" i="9"/>
  <c r="D5848" i="9"/>
  <c r="C5848" i="9"/>
  <c r="B5848" i="9"/>
  <c r="A5848" i="9"/>
  <c r="E5847" i="9"/>
  <c r="D5847" i="9"/>
  <c r="C5847" i="9"/>
  <c r="B5847" i="9"/>
  <c r="A5847" i="9"/>
  <c r="E5846" i="9"/>
  <c r="D5846" i="9"/>
  <c r="C5846" i="9"/>
  <c r="B5846" i="9"/>
  <c r="A5846" i="9"/>
  <c r="E5845" i="9"/>
  <c r="D5845" i="9"/>
  <c r="C5845" i="9"/>
  <c r="B5845" i="9"/>
  <c r="A5845" i="9"/>
  <c r="E5844" i="9"/>
  <c r="D5844" i="9"/>
  <c r="C5844" i="9"/>
  <c r="B5844" i="9"/>
  <c r="A5844" i="9"/>
  <c r="E5843" i="9"/>
  <c r="D5843" i="9"/>
  <c r="C5843" i="9"/>
  <c r="B5843" i="9"/>
  <c r="A5843" i="9"/>
  <c r="E5842" i="9"/>
  <c r="D5842" i="9"/>
  <c r="C5842" i="9"/>
  <c r="B5842" i="9"/>
  <c r="A5842" i="9"/>
  <c r="E5841" i="9"/>
  <c r="D5841" i="9"/>
  <c r="C5841" i="9"/>
  <c r="B5841" i="9"/>
  <c r="A5841" i="9"/>
  <c r="E5840" i="9"/>
  <c r="D5840" i="9"/>
  <c r="C5840" i="9"/>
  <c r="B5840" i="9"/>
  <c r="A5840" i="9"/>
  <c r="E5839" i="9"/>
  <c r="D5839" i="9"/>
  <c r="C5839" i="9"/>
  <c r="B5839" i="9"/>
  <c r="A5839" i="9"/>
  <c r="E5838" i="9"/>
  <c r="D5838" i="9"/>
  <c r="C5838" i="9"/>
  <c r="B5838" i="9"/>
  <c r="A5838" i="9"/>
  <c r="E5837" i="9"/>
  <c r="D5837" i="9"/>
  <c r="C5837" i="9"/>
  <c r="B5837" i="9"/>
  <c r="A5837" i="9"/>
  <c r="E5836" i="9"/>
  <c r="D5836" i="9"/>
  <c r="C5836" i="9"/>
  <c r="B5836" i="9"/>
  <c r="A5836" i="9"/>
  <c r="E5835" i="9"/>
  <c r="D5835" i="9"/>
  <c r="C5835" i="9"/>
  <c r="B5835" i="9"/>
  <c r="A5835" i="9"/>
  <c r="E5834" i="9"/>
  <c r="D5834" i="9"/>
  <c r="C5834" i="9"/>
  <c r="B5834" i="9"/>
  <c r="A5834" i="9"/>
  <c r="E5833" i="9"/>
  <c r="D5833" i="9"/>
  <c r="C5833" i="9"/>
  <c r="B5833" i="9"/>
  <c r="A5833" i="9"/>
  <c r="E5832" i="9"/>
  <c r="D5832" i="9"/>
  <c r="C5832" i="9"/>
  <c r="B5832" i="9"/>
  <c r="A5832" i="9"/>
  <c r="E5831" i="9"/>
  <c r="D5831" i="9"/>
  <c r="C5831" i="9"/>
  <c r="B5831" i="9"/>
  <c r="A5831" i="9"/>
  <c r="E5830" i="9"/>
  <c r="D5830" i="9"/>
  <c r="C5830" i="9"/>
  <c r="B5830" i="9"/>
  <c r="A5830" i="9"/>
  <c r="E5829" i="9"/>
  <c r="D5829" i="9"/>
  <c r="C5829" i="9"/>
  <c r="B5829" i="9"/>
  <c r="A5829" i="9"/>
  <c r="E5828" i="9"/>
  <c r="D5828" i="9"/>
  <c r="C5828" i="9"/>
  <c r="B5828" i="9"/>
  <c r="A5828" i="9"/>
  <c r="E5827" i="9"/>
  <c r="D5827" i="9"/>
  <c r="C5827" i="9"/>
  <c r="B5827" i="9"/>
  <c r="A5827" i="9"/>
  <c r="Q5826" i="9"/>
  <c r="N5826" i="9"/>
  <c r="I5826" i="9"/>
  <c r="H5826" i="9"/>
  <c r="G5826" i="9"/>
  <c r="F5826" i="9"/>
  <c r="E5826" i="9"/>
  <c r="D5826" i="9"/>
  <c r="C5826" i="9"/>
  <c r="B5826" i="9"/>
  <c r="A5826" i="9"/>
  <c r="E5825" i="9"/>
  <c r="D5825" i="9"/>
  <c r="C5825" i="9"/>
  <c r="B5825" i="9"/>
  <c r="A5825" i="9"/>
  <c r="E5824" i="9"/>
  <c r="D5824" i="9"/>
  <c r="C5824" i="9"/>
  <c r="B5824" i="9"/>
  <c r="A5824" i="9"/>
  <c r="E5823" i="9"/>
  <c r="D5823" i="9"/>
  <c r="C5823" i="9"/>
  <c r="B5823" i="9"/>
  <c r="A5823" i="9"/>
  <c r="E5822" i="9"/>
  <c r="D5822" i="9"/>
  <c r="C5822" i="9"/>
  <c r="B5822" i="9"/>
  <c r="A5822" i="9"/>
  <c r="E5821" i="9"/>
  <c r="D5821" i="9"/>
  <c r="C5821" i="9"/>
  <c r="B5821" i="9"/>
  <c r="A5821" i="9"/>
  <c r="E5820" i="9"/>
  <c r="D5820" i="9"/>
  <c r="C5820" i="9"/>
  <c r="B5820" i="9"/>
  <c r="A5820" i="9"/>
  <c r="E5819" i="9"/>
  <c r="D5819" i="9"/>
  <c r="C5819" i="9"/>
  <c r="B5819" i="9"/>
  <c r="A5819" i="9"/>
  <c r="E5818" i="9"/>
  <c r="D5818" i="9"/>
  <c r="C5818" i="9"/>
  <c r="B5818" i="9"/>
  <c r="A5818" i="9"/>
  <c r="E5817" i="9"/>
  <c r="D5817" i="9"/>
  <c r="C5817" i="9"/>
  <c r="B5817" i="9"/>
  <c r="A5817" i="9"/>
  <c r="E5816" i="9"/>
  <c r="D5816" i="9"/>
  <c r="C5816" i="9"/>
  <c r="B5816" i="9"/>
  <c r="A5816" i="9"/>
  <c r="E5815" i="9"/>
  <c r="D5815" i="9"/>
  <c r="C5815" i="9"/>
  <c r="B5815" i="9"/>
  <c r="A5815" i="9"/>
  <c r="E5814" i="9"/>
  <c r="D5814" i="9"/>
  <c r="C5814" i="9"/>
  <c r="B5814" i="9"/>
  <c r="A5814" i="9"/>
  <c r="E5813" i="9"/>
  <c r="D5813" i="9"/>
  <c r="C5813" i="9"/>
  <c r="B5813" i="9"/>
  <c r="A5813" i="9"/>
  <c r="E5812" i="9"/>
  <c r="D5812" i="9"/>
  <c r="C5812" i="9"/>
  <c r="B5812" i="9"/>
  <c r="A5812" i="9"/>
  <c r="E5811" i="9"/>
  <c r="D5811" i="9"/>
  <c r="C5811" i="9"/>
  <c r="B5811" i="9"/>
  <c r="A5811" i="9"/>
  <c r="E5810" i="9"/>
  <c r="D5810" i="9"/>
  <c r="C5810" i="9"/>
  <c r="B5810" i="9"/>
  <c r="A5810" i="9"/>
  <c r="E5809" i="9"/>
  <c r="D5809" i="9"/>
  <c r="C5809" i="9"/>
  <c r="B5809" i="9"/>
  <c r="A5809" i="9"/>
  <c r="E5808" i="9"/>
  <c r="D5808" i="9"/>
  <c r="C5808" i="9"/>
  <c r="B5808" i="9"/>
  <c r="A5808" i="9"/>
  <c r="E5807" i="9"/>
  <c r="D5807" i="9"/>
  <c r="C5807" i="9"/>
  <c r="B5807" i="9"/>
  <c r="A5807" i="9"/>
  <c r="E5806" i="9"/>
  <c r="D5806" i="9"/>
  <c r="C5806" i="9"/>
  <c r="B5806" i="9"/>
  <c r="A5806" i="9"/>
  <c r="E5805" i="9"/>
  <c r="D5805" i="9"/>
  <c r="C5805" i="9"/>
  <c r="B5805" i="9"/>
  <c r="A5805" i="9"/>
  <c r="E5804" i="9"/>
  <c r="D5804" i="9"/>
  <c r="C5804" i="9"/>
  <c r="B5804" i="9"/>
  <c r="A5804" i="9"/>
  <c r="E5803" i="9"/>
  <c r="D5803" i="9"/>
  <c r="C5803" i="9"/>
  <c r="B5803" i="9"/>
  <c r="A5803" i="9"/>
  <c r="E5802" i="9"/>
  <c r="D5802" i="9"/>
  <c r="C5802" i="9"/>
  <c r="B5802" i="9"/>
  <c r="A5802" i="9"/>
  <c r="E5801" i="9"/>
  <c r="D5801" i="9"/>
  <c r="C5801" i="9"/>
  <c r="B5801" i="9"/>
  <c r="A5801" i="9"/>
  <c r="E5800" i="9"/>
  <c r="D5800" i="9"/>
  <c r="C5800" i="9"/>
  <c r="B5800" i="9"/>
  <c r="A5800" i="9"/>
  <c r="E5799" i="9"/>
  <c r="D5799" i="9"/>
  <c r="C5799" i="9"/>
  <c r="B5799" i="9"/>
  <c r="A5799" i="9"/>
  <c r="E5798" i="9"/>
  <c r="D5798" i="9"/>
  <c r="C5798" i="9"/>
  <c r="B5798" i="9"/>
  <c r="A5798" i="9"/>
  <c r="E5797" i="9"/>
  <c r="D5797" i="9"/>
  <c r="C5797" i="9"/>
  <c r="B5797" i="9"/>
  <c r="A5797" i="9"/>
  <c r="E5796" i="9"/>
  <c r="D5796" i="9"/>
  <c r="C5796" i="9"/>
  <c r="B5796" i="9"/>
  <c r="A5796" i="9"/>
  <c r="E5795" i="9"/>
  <c r="D5795" i="9"/>
  <c r="C5795" i="9"/>
  <c r="B5795" i="9"/>
  <c r="A5795" i="9"/>
  <c r="E5794" i="9"/>
  <c r="D5794" i="9"/>
  <c r="C5794" i="9"/>
  <c r="B5794" i="9"/>
  <c r="A5794" i="9"/>
  <c r="E5793" i="9"/>
  <c r="D5793" i="9"/>
  <c r="C5793" i="9"/>
  <c r="B5793" i="9"/>
  <c r="A5793" i="9"/>
  <c r="E5792" i="9"/>
  <c r="D5792" i="9"/>
  <c r="C5792" i="9"/>
  <c r="B5792" i="9"/>
  <c r="A5792" i="9"/>
  <c r="E5791" i="9"/>
  <c r="D5791" i="9"/>
  <c r="C5791" i="9"/>
  <c r="B5791" i="9"/>
  <c r="A5791" i="9"/>
  <c r="E5790" i="9"/>
  <c r="D5790" i="9"/>
  <c r="C5790" i="9"/>
  <c r="B5790" i="9"/>
  <c r="A5790" i="9"/>
  <c r="E5789" i="9"/>
  <c r="D5789" i="9"/>
  <c r="C5789" i="9"/>
  <c r="B5789" i="9"/>
  <c r="A5789" i="9"/>
  <c r="E5788" i="9"/>
  <c r="D5788" i="9"/>
  <c r="C5788" i="9"/>
  <c r="B5788" i="9"/>
  <c r="A5788" i="9"/>
  <c r="E5787" i="9"/>
  <c r="D5787" i="9"/>
  <c r="C5787" i="9"/>
  <c r="B5787" i="9"/>
  <c r="A5787" i="9"/>
  <c r="E5786" i="9"/>
  <c r="D5786" i="9"/>
  <c r="C5786" i="9"/>
  <c r="B5786" i="9"/>
  <c r="A5786" i="9"/>
  <c r="E5785" i="9"/>
  <c r="D5785" i="9"/>
  <c r="C5785" i="9"/>
  <c r="B5785" i="9"/>
  <c r="A5785" i="9"/>
  <c r="E5784" i="9"/>
  <c r="D5784" i="9"/>
  <c r="C5784" i="9"/>
  <c r="B5784" i="9"/>
  <c r="A5784" i="9"/>
  <c r="E5783" i="9"/>
  <c r="D5783" i="9"/>
  <c r="C5783" i="9"/>
  <c r="B5783" i="9"/>
  <c r="A5783" i="9"/>
  <c r="E5782" i="9"/>
  <c r="D5782" i="9"/>
  <c r="C5782" i="9"/>
  <c r="B5782" i="9"/>
  <c r="A5782" i="9"/>
  <c r="E5781" i="9"/>
  <c r="D5781" i="9"/>
  <c r="C5781" i="9"/>
  <c r="B5781" i="9"/>
  <c r="A5781" i="9"/>
  <c r="E5780" i="9"/>
  <c r="D5780" i="9"/>
  <c r="C5780" i="9"/>
  <c r="B5780" i="9"/>
  <c r="A5780" i="9"/>
  <c r="E5779" i="9"/>
  <c r="D5779" i="9"/>
  <c r="C5779" i="9"/>
  <c r="B5779" i="9"/>
  <c r="A5779" i="9"/>
  <c r="E5778" i="9"/>
  <c r="D5778" i="9"/>
  <c r="C5778" i="9"/>
  <c r="B5778" i="9"/>
  <c r="A5778" i="9"/>
  <c r="E5777" i="9"/>
  <c r="D5777" i="9"/>
  <c r="C5777" i="9"/>
  <c r="B5777" i="9"/>
  <c r="A5777" i="9"/>
  <c r="E5776" i="9"/>
  <c r="D5776" i="9"/>
  <c r="C5776" i="9"/>
  <c r="B5776" i="9"/>
  <c r="A5776" i="9"/>
  <c r="E5775" i="9"/>
  <c r="D5775" i="9"/>
  <c r="C5775" i="9"/>
  <c r="B5775" i="9"/>
  <c r="A5775" i="9"/>
  <c r="E5774" i="9"/>
  <c r="D5774" i="9"/>
  <c r="C5774" i="9"/>
  <c r="B5774" i="9"/>
  <c r="A5774" i="9"/>
  <c r="E5773" i="9"/>
  <c r="D5773" i="9"/>
  <c r="C5773" i="9"/>
  <c r="B5773" i="9"/>
  <c r="A5773" i="9"/>
  <c r="E5772" i="9"/>
  <c r="D5772" i="9"/>
  <c r="C5772" i="9"/>
  <c r="B5772" i="9"/>
  <c r="A5772" i="9"/>
  <c r="E5771" i="9"/>
  <c r="D5771" i="9"/>
  <c r="C5771" i="9"/>
  <c r="B5771" i="9"/>
  <c r="A5771" i="9"/>
  <c r="E5770" i="9"/>
  <c r="D5770" i="9"/>
  <c r="C5770" i="9"/>
  <c r="B5770" i="9"/>
  <c r="A5770" i="9"/>
  <c r="E5769" i="9"/>
  <c r="D5769" i="9"/>
  <c r="C5769" i="9"/>
  <c r="B5769" i="9"/>
  <c r="A5769" i="9"/>
  <c r="E5768" i="9"/>
  <c r="D5768" i="9"/>
  <c r="C5768" i="9"/>
  <c r="B5768" i="9"/>
  <c r="A5768" i="9"/>
  <c r="E5767" i="9"/>
  <c r="D5767" i="9"/>
  <c r="C5767" i="9"/>
  <c r="B5767" i="9"/>
  <c r="A5767" i="9"/>
  <c r="E5766" i="9"/>
  <c r="D5766" i="9"/>
  <c r="C5766" i="9"/>
  <c r="B5766" i="9"/>
  <c r="A5766" i="9"/>
  <c r="E5765" i="9"/>
  <c r="D5765" i="9"/>
  <c r="C5765" i="9"/>
  <c r="B5765" i="9"/>
  <c r="A5765" i="9"/>
  <c r="E5764" i="9"/>
  <c r="D5764" i="9"/>
  <c r="C5764" i="9"/>
  <c r="B5764" i="9"/>
  <c r="A5764" i="9"/>
  <c r="E5763" i="9"/>
  <c r="D5763" i="9"/>
  <c r="C5763" i="9"/>
  <c r="B5763" i="9"/>
  <c r="A5763" i="9"/>
  <c r="E5762" i="9"/>
  <c r="D5762" i="9"/>
  <c r="C5762" i="9"/>
  <c r="B5762" i="9"/>
  <c r="A5762" i="9"/>
  <c r="E5761" i="9"/>
  <c r="D5761" i="9"/>
  <c r="C5761" i="9"/>
  <c r="B5761" i="9"/>
  <c r="A5761" i="9"/>
  <c r="E5760" i="9"/>
  <c r="D5760" i="9"/>
  <c r="C5760" i="9"/>
  <c r="B5760" i="9"/>
  <c r="A5760" i="9"/>
  <c r="E5759" i="9"/>
  <c r="D5759" i="9"/>
  <c r="C5759" i="9"/>
  <c r="B5759" i="9"/>
  <c r="A5759" i="9"/>
  <c r="E5758" i="9"/>
  <c r="D5758" i="9"/>
  <c r="C5758" i="9"/>
  <c r="B5758" i="9"/>
  <c r="A5758" i="9"/>
  <c r="E5757" i="9"/>
  <c r="D5757" i="9"/>
  <c r="C5757" i="9"/>
  <c r="B5757" i="9"/>
  <c r="A5757" i="9"/>
  <c r="E5756" i="9"/>
  <c r="D5756" i="9"/>
  <c r="C5756" i="9"/>
  <c r="B5756" i="9"/>
  <c r="A5756" i="9"/>
  <c r="E5755" i="9"/>
  <c r="D5755" i="9"/>
  <c r="C5755" i="9"/>
  <c r="B5755" i="9"/>
  <c r="A5755" i="9"/>
  <c r="E5754" i="9"/>
  <c r="D5754" i="9"/>
  <c r="C5754" i="9"/>
  <c r="B5754" i="9"/>
  <c r="A5754" i="9"/>
  <c r="E5753" i="9"/>
  <c r="D5753" i="9"/>
  <c r="C5753" i="9"/>
  <c r="B5753" i="9"/>
  <c r="A5753" i="9"/>
  <c r="E5752" i="9"/>
  <c r="D5752" i="9"/>
  <c r="C5752" i="9"/>
  <c r="B5752" i="9"/>
  <c r="A5752" i="9"/>
  <c r="E5751" i="9"/>
  <c r="D5751" i="9"/>
  <c r="C5751" i="9"/>
  <c r="B5751" i="9"/>
  <c r="A5751" i="9"/>
  <c r="E5750" i="9"/>
  <c r="D5750" i="9"/>
  <c r="C5750" i="9"/>
  <c r="B5750" i="9"/>
  <c r="A5750" i="9"/>
  <c r="E5749" i="9"/>
  <c r="D5749" i="9"/>
  <c r="C5749" i="9"/>
  <c r="B5749" i="9"/>
  <c r="A5749" i="9"/>
  <c r="E5748" i="9"/>
  <c r="D5748" i="9"/>
  <c r="C5748" i="9"/>
  <c r="B5748" i="9"/>
  <c r="A5748" i="9"/>
  <c r="E5747" i="9"/>
  <c r="D5747" i="9"/>
  <c r="C5747" i="9"/>
  <c r="B5747" i="9"/>
  <c r="A5747" i="9"/>
  <c r="E5746" i="9"/>
  <c r="D5746" i="9"/>
  <c r="C5746" i="9"/>
  <c r="B5746" i="9"/>
  <c r="A5746" i="9"/>
  <c r="E5745" i="9"/>
  <c r="D5745" i="9"/>
  <c r="C5745" i="9"/>
  <c r="B5745" i="9"/>
  <c r="A5745" i="9"/>
  <c r="E5744" i="9"/>
  <c r="D5744" i="9"/>
  <c r="C5744" i="9"/>
  <c r="B5744" i="9"/>
  <c r="A5744" i="9"/>
  <c r="E5743" i="9"/>
  <c r="D5743" i="9"/>
  <c r="C5743" i="9"/>
  <c r="B5743" i="9"/>
  <c r="A5743" i="9"/>
  <c r="E5742" i="9"/>
  <c r="D5742" i="9"/>
  <c r="C5742" i="9"/>
  <c r="B5742" i="9"/>
  <c r="A5742" i="9"/>
  <c r="E5741" i="9"/>
  <c r="D5741" i="9"/>
  <c r="C5741" i="9"/>
  <c r="B5741" i="9"/>
  <c r="A5741" i="9"/>
  <c r="E5740" i="9"/>
  <c r="D5740" i="9"/>
  <c r="C5740" i="9"/>
  <c r="B5740" i="9"/>
  <c r="A5740" i="9"/>
  <c r="E5739" i="9"/>
  <c r="D5739" i="9"/>
  <c r="C5739" i="9"/>
  <c r="B5739" i="9"/>
  <c r="A5739" i="9"/>
  <c r="E5738" i="9"/>
  <c r="D5738" i="9"/>
  <c r="C5738" i="9"/>
  <c r="B5738" i="9"/>
  <c r="A5738" i="9"/>
  <c r="E5737" i="9"/>
  <c r="D5737" i="9"/>
  <c r="C5737" i="9"/>
  <c r="B5737" i="9"/>
  <c r="A5737" i="9"/>
  <c r="E5736" i="9"/>
  <c r="D5736" i="9"/>
  <c r="C5736" i="9"/>
  <c r="B5736" i="9"/>
  <c r="A5736" i="9"/>
  <c r="E5735" i="9"/>
  <c r="D5735" i="9"/>
  <c r="C5735" i="9"/>
  <c r="B5735" i="9"/>
  <c r="A5735" i="9"/>
  <c r="E5734" i="9"/>
  <c r="D5734" i="9"/>
  <c r="C5734" i="9"/>
  <c r="B5734" i="9"/>
  <c r="A5734" i="9"/>
  <c r="E5733" i="9"/>
  <c r="D5733" i="9"/>
  <c r="C5733" i="9"/>
  <c r="B5733" i="9"/>
  <c r="A5733" i="9"/>
  <c r="E5732" i="9"/>
  <c r="D5732" i="9"/>
  <c r="C5732" i="9"/>
  <c r="B5732" i="9"/>
  <c r="A5732" i="9"/>
  <c r="E5731" i="9"/>
  <c r="D5731" i="9"/>
  <c r="C5731" i="9"/>
  <c r="B5731" i="9"/>
  <c r="A5731" i="9"/>
  <c r="E5730" i="9"/>
  <c r="D5730" i="9"/>
  <c r="C5730" i="9"/>
  <c r="B5730" i="9"/>
  <c r="A5730" i="9"/>
  <c r="E5729" i="9"/>
  <c r="D5729" i="9"/>
  <c r="C5729" i="9"/>
  <c r="B5729" i="9"/>
  <c r="A5729" i="9"/>
  <c r="E5728" i="9"/>
  <c r="D5728" i="9"/>
  <c r="C5728" i="9"/>
  <c r="B5728" i="9"/>
  <c r="A5728" i="9"/>
  <c r="E5727" i="9"/>
  <c r="D5727" i="9"/>
  <c r="C5727" i="9"/>
  <c r="B5727" i="9"/>
  <c r="A5727" i="9"/>
  <c r="E5726" i="9"/>
  <c r="D5726" i="9"/>
  <c r="C5726" i="9"/>
  <c r="B5726" i="9"/>
  <c r="A5726" i="9"/>
  <c r="E5725" i="9"/>
  <c r="D5725" i="9"/>
  <c r="C5725" i="9"/>
  <c r="B5725" i="9"/>
  <c r="A5725" i="9"/>
  <c r="E5724" i="9"/>
  <c r="D5724" i="9"/>
  <c r="C5724" i="9"/>
  <c r="B5724" i="9"/>
  <c r="A5724" i="9"/>
  <c r="E5723" i="9"/>
  <c r="D5723" i="9"/>
  <c r="C5723" i="9"/>
  <c r="B5723" i="9"/>
  <c r="A5723" i="9"/>
  <c r="E5722" i="9"/>
  <c r="D5722" i="9"/>
  <c r="C5722" i="9"/>
  <c r="B5722" i="9"/>
  <c r="A5722" i="9"/>
  <c r="E5721" i="9"/>
  <c r="D5721" i="9"/>
  <c r="C5721" i="9"/>
  <c r="B5721" i="9"/>
  <c r="A5721" i="9"/>
  <c r="E5720" i="9"/>
  <c r="D5720" i="9"/>
  <c r="C5720" i="9"/>
  <c r="B5720" i="9"/>
  <c r="A5720" i="9"/>
  <c r="E5719" i="9"/>
  <c r="D5719" i="9"/>
  <c r="C5719" i="9"/>
  <c r="B5719" i="9"/>
  <c r="A5719" i="9"/>
  <c r="E5718" i="9"/>
  <c r="D5718" i="9"/>
  <c r="C5718" i="9"/>
  <c r="B5718" i="9"/>
  <c r="A5718" i="9"/>
  <c r="E5717" i="9"/>
  <c r="D5717" i="9"/>
  <c r="C5717" i="9"/>
  <c r="B5717" i="9"/>
  <c r="A5717" i="9"/>
  <c r="E5716" i="9"/>
  <c r="D5716" i="9"/>
  <c r="C5716" i="9"/>
  <c r="B5716" i="9"/>
  <c r="A5716" i="9"/>
  <c r="E5715" i="9"/>
  <c r="D5715" i="9"/>
  <c r="C5715" i="9"/>
  <c r="B5715" i="9"/>
  <c r="A5715" i="9"/>
  <c r="E5714" i="9"/>
  <c r="D5714" i="9"/>
  <c r="C5714" i="9"/>
  <c r="B5714" i="9"/>
  <c r="A5714" i="9"/>
  <c r="E5713" i="9"/>
  <c r="D5713" i="9"/>
  <c r="C5713" i="9"/>
  <c r="B5713" i="9"/>
  <c r="A5713" i="9"/>
  <c r="E5712" i="9"/>
  <c r="D5712" i="9"/>
  <c r="C5712" i="9"/>
  <c r="B5712" i="9"/>
  <c r="A5712" i="9"/>
  <c r="E5711" i="9"/>
  <c r="D5711" i="9"/>
  <c r="C5711" i="9"/>
  <c r="B5711" i="9"/>
  <c r="A5711" i="9"/>
  <c r="E5710" i="9"/>
  <c r="D5710" i="9"/>
  <c r="C5710" i="9"/>
  <c r="B5710" i="9"/>
  <c r="A5710" i="9"/>
  <c r="E5709" i="9"/>
  <c r="D5709" i="9"/>
  <c r="C5709" i="9"/>
  <c r="B5709" i="9"/>
  <c r="A5709" i="9"/>
  <c r="E5708" i="9"/>
  <c r="D5708" i="9"/>
  <c r="C5708" i="9"/>
  <c r="B5708" i="9"/>
  <c r="A5708" i="9"/>
  <c r="E5707" i="9"/>
  <c r="D5707" i="9"/>
  <c r="C5707" i="9"/>
  <c r="B5707" i="9"/>
  <c r="A5707" i="9"/>
  <c r="E5706" i="9"/>
  <c r="D5706" i="9"/>
  <c r="C5706" i="9"/>
  <c r="B5706" i="9"/>
  <c r="A5706" i="9"/>
  <c r="E5705" i="9"/>
  <c r="D5705" i="9"/>
  <c r="C5705" i="9"/>
  <c r="B5705" i="9"/>
  <c r="A5705" i="9"/>
  <c r="E5704" i="9"/>
  <c r="D5704" i="9"/>
  <c r="C5704" i="9"/>
  <c r="B5704" i="9"/>
  <c r="A5704" i="9"/>
  <c r="E5703" i="9"/>
  <c r="D5703" i="9"/>
  <c r="C5703" i="9"/>
  <c r="B5703" i="9"/>
  <c r="A5703" i="9"/>
  <c r="E5702" i="9"/>
  <c r="D5702" i="9"/>
  <c r="C5702" i="9"/>
  <c r="B5702" i="9"/>
  <c r="A5702" i="9"/>
  <c r="E5701" i="9"/>
  <c r="D5701" i="9"/>
  <c r="C5701" i="9"/>
  <c r="B5701" i="9"/>
  <c r="A5701" i="9"/>
  <c r="E5700" i="9"/>
  <c r="D5700" i="9"/>
  <c r="C5700" i="9"/>
  <c r="B5700" i="9"/>
  <c r="A5700" i="9"/>
  <c r="E5699" i="9"/>
  <c r="D5699" i="9"/>
  <c r="C5699" i="9"/>
  <c r="B5699" i="9"/>
  <c r="A5699" i="9"/>
  <c r="E5698" i="9"/>
  <c r="D5698" i="9"/>
  <c r="C5698" i="9"/>
  <c r="B5698" i="9"/>
  <c r="A5698" i="9"/>
  <c r="E5697" i="9"/>
  <c r="D5697" i="9"/>
  <c r="C5697" i="9"/>
  <c r="B5697" i="9"/>
  <c r="A5697" i="9"/>
  <c r="E5696" i="9"/>
  <c r="D5696" i="9"/>
  <c r="C5696" i="9"/>
  <c r="B5696" i="9"/>
  <c r="A5696" i="9"/>
  <c r="E5695" i="9"/>
  <c r="D5695" i="9"/>
  <c r="C5695" i="9"/>
  <c r="B5695" i="9"/>
  <c r="A5695" i="9"/>
  <c r="E5694" i="9"/>
  <c r="D5694" i="9"/>
  <c r="C5694" i="9"/>
  <c r="B5694" i="9"/>
  <c r="A5694" i="9"/>
  <c r="E5693" i="9"/>
  <c r="D5693" i="9"/>
  <c r="C5693" i="9"/>
  <c r="B5693" i="9"/>
  <c r="A5693" i="9"/>
  <c r="E5692" i="9"/>
  <c r="D5692" i="9"/>
  <c r="C5692" i="9"/>
  <c r="B5692" i="9"/>
  <c r="A5692" i="9"/>
  <c r="E5691" i="9"/>
  <c r="D5691" i="9"/>
  <c r="C5691" i="9"/>
  <c r="B5691" i="9"/>
  <c r="A5691" i="9"/>
  <c r="E5690" i="9"/>
  <c r="D5690" i="9"/>
  <c r="C5690" i="9"/>
  <c r="B5690" i="9"/>
  <c r="A5690" i="9"/>
  <c r="E5689" i="9"/>
  <c r="D5689" i="9"/>
  <c r="C5689" i="9"/>
  <c r="B5689" i="9"/>
  <c r="A5689" i="9"/>
  <c r="E5688" i="9"/>
  <c r="D5688" i="9"/>
  <c r="C5688" i="9"/>
  <c r="B5688" i="9"/>
  <c r="A5688" i="9"/>
  <c r="E5687" i="9"/>
  <c r="D5687" i="9"/>
  <c r="C5687" i="9"/>
  <c r="B5687" i="9"/>
  <c r="A5687" i="9"/>
  <c r="E5686" i="9"/>
  <c r="D5686" i="9"/>
  <c r="C5686" i="9"/>
  <c r="B5686" i="9"/>
  <c r="A5686" i="9"/>
  <c r="E5685" i="9"/>
  <c r="D5685" i="9"/>
  <c r="C5685" i="9"/>
  <c r="B5685" i="9"/>
  <c r="A5685" i="9"/>
  <c r="E5684" i="9"/>
  <c r="D5684" i="9"/>
  <c r="C5684" i="9"/>
  <c r="B5684" i="9"/>
  <c r="A5684" i="9"/>
  <c r="E5683" i="9"/>
  <c r="D5683" i="9"/>
  <c r="C5683" i="9"/>
  <c r="B5683" i="9"/>
  <c r="A5683" i="9"/>
  <c r="E5682" i="9"/>
  <c r="D5682" i="9"/>
  <c r="C5682" i="9"/>
  <c r="B5682" i="9"/>
  <c r="A5682" i="9"/>
  <c r="E5681" i="9"/>
  <c r="D5681" i="9"/>
  <c r="C5681" i="9"/>
  <c r="B5681" i="9"/>
  <c r="A5681" i="9"/>
  <c r="E5680" i="9"/>
  <c r="D5680" i="9"/>
  <c r="C5680" i="9"/>
  <c r="B5680" i="9"/>
  <c r="A5680" i="9"/>
  <c r="E5679" i="9"/>
  <c r="D5679" i="9"/>
  <c r="C5679" i="9"/>
  <c r="B5679" i="9"/>
  <c r="A5679" i="9"/>
  <c r="E5678" i="9"/>
  <c r="D5678" i="9"/>
  <c r="C5678" i="9"/>
  <c r="B5678" i="9"/>
  <c r="A5678" i="9"/>
  <c r="E5677" i="9"/>
  <c r="D5677" i="9"/>
  <c r="C5677" i="9"/>
  <c r="B5677" i="9"/>
  <c r="A5677" i="9"/>
  <c r="E5676" i="9"/>
  <c r="D5676" i="9"/>
  <c r="C5676" i="9"/>
  <c r="B5676" i="9"/>
  <c r="A5676" i="9"/>
  <c r="E5675" i="9"/>
  <c r="D5675" i="9"/>
  <c r="C5675" i="9"/>
  <c r="B5675" i="9"/>
  <c r="A5675" i="9"/>
  <c r="E5674" i="9"/>
  <c r="D5674" i="9"/>
  <c r="C5674" i="9"/>
  <c r="B5674" i="9"/>
  <c r="A5674" i="9"/>
  <c r="E5673" i="9"/>
  <c r="D5673" i="9"/>
  <c r="C5673" i="9"/>
  <c r="B5673" i="9"/>
  <c r="A5673" i="9"/>
  <c r="E5672" i="9"/>
  <c r="D5672" i="9"/>
  <c r="C5672" i="9"/>
  <c r="B5672" i="9"/>
  <c r="A5672" i="9"/>
  <c r="E5671" i="9"/>
  <c r="D5671" i="9"/>
  <c r="C5671" i="9"/>
  <c r="B5671" i="9"/>
  <c r="A5671" i="9"/>
  <c r="E5670" i="9"/>
  <c r="D5670" i="9"/>
  <c r="C5670" i="9"/>
  <c r="B5670" i="9"/>
  <c r="A5670" i="9"/>
  <c r="E5669" i="9"/>
  <c r="D5669" i="9"/>
  <c r="C5669" i="9"/>
  <c r="B5669" i="9"/>
  <c r="A5669" i="9"/>
  <c r="E5668" i="9"/>
  <c r="D5668" i="9"/>
  <c r="C5668" i="9"/>
  <c r="B5668" i="9"/>
  <c r="A5668" i="9"/>
  <c r="E5667" i="9"/>
  <c r="D5667" i="9"/>
  <c r="C5667" i="9"/>
  <c r="B5667" i="9"/>
  <c r="A5667" i="9"/>
  <c r="E5666" i="9"/>
  <c r="D5666" i="9"/>
  <c r="C5666" i="9"/>
  <c r="B5666" i="9"/>
  <c r="A5666" i="9"/>
  <c r="E5665" i="9"/>
  <c r="D5665" i="9"/>
  <c r="C5665" i="9"/>
  <c r="B5665" i="9"/>
  <c r="A5665" i="9"/>
  <c r="E5664" i="9"/>
  <c r="D5664" i="9"/>
  <c r="C5664" i="9"/>
  <c r="B5664" i="9"/>
  <c r="A5664" i="9"/>
  <c r="E5663" i="9"/>
  <c r="D5663" i="9"/>
  <c r="C5663" i="9"/>
  <c r="B5663" i="9"/>
  <c r="A5663" i="9"/>
  <c r="E5662" i="9"/>
  <c r="D5662" i="9"/>
  <c r="C5662" i="9"/>
  <c r="B5662" i="9"/>
  <c r="A5662" i="9"/>
  <c r="E5661" i="9"/>
  <c r="D5661" i="9"/>
  <c r="C5661" i="9"/>
  <c r="B5661" i="9"/>
  <c r="A5661" i="9"/>
  <c r="E5660" i="9"/>
  <c r="D5660" i="9"/>
  <c r="C5660" i="9"/>
  <c r="B5660" i="9"/>
  <c r="A5660" i="9"/>
  <c r="E5659" i="9"/>
  <c r="D5659" i="9"/>
  <c r="C5659" i="9"/>
  <c r="B5659" i="9"/>
  <c r="A5659" i="9"/>
  <c r="E5658" i="9"/>
  <c r="D5658" i="9"/>
  <c r="C5658" i="9"/>
  <c r="B5658" i="9"/>
  <c r="A5658" i="9"/>
  <c r="E5657" i="9"/>
  <c r="D5657" i="9"/>
  <c r="C5657" i="9"/>
  <c r="B5657" i="9"/>
  <c r="A5657" i="9"/>
  <c r="E5656" i="9"/>
  <c r="D5656" i="9"/>
  <c r="C5656" i="9"/>
  <c r="B5656" i="9"/>
  <c r="A5656" i="9"/>
  <c r="E5655" i="9"/>
  <c r="D5655" i="9"/>
  <c r="C5655" i="9"/>
  <c r="B5655" i="9"/>
  <c r="A5655" i="9"/>
  <c r="E5654" i="9"/>
  <c r="D5654" i="9"/>
  <c r="C5654" i="9"/>
  <c r="B5654" i="9"/>
  <c r="A5654" i="9"/>
  <c r="E5653" i="9"/>
  <c r="D5653" i="9"/>
  <c r="C5653" i="9"/>
  <c r="B5653" i="9"/>
  <c r="A5653" i="9"/>
  <c r="E5652" i="9"/>
  <c r="D5652" i="9"/>
  <c r="C5652" i="9"/>
  <c r="B5652" i="9"/>
  <c r="A5652" i="9"/>
  <c r="E5651" i="9"/>
  <c r="D5651" i="9"/>
  <c r="C5651" i="9"/>
  <c r="B5651" i="9"/>
  <c r="A5651" i="9"/>
  <c r="E5650" i="9"/>
  <c r="D5650" i="9"/>
  <c r="C5650" i="9"/>
  <c r="B5650" i="9"/>
  <c r="A5650" i="9"/>
  <c r="E5649" i="9"/>
  <c r="D5649" i="9"/>
  <c r="C5649" i="9"/>
  <c r="B5649" i="9"/>
  <c r="A5649" i="9"/>
  <c r="E5648" i="9"/>
  <c r="D5648" i="9"/>
  <c r="C5648" i="9"/>
  <c r="B5648" i="9"/>
  <c r="A5648" i="9"/>
  <c r="E5647" i="9"/>
  <c r="D5647" i="9"/>
  <c r="C5647" i="9"/>
  <c r="B5647" i="9"/>
  <c r="A5647" i="9"/>
  <c r="E5646" i="9"/>
  <c r="D5646" i="9"/>
  <c r="C5646" i="9"/>
  <c r="B5646" i="9"/>
  <c r="A5646" i="9"/>
  <c r="E5645" i="9"/>
  <c r="D5645" i="9"/>
  <c r="C5645" i="9"/>
  <c r="B5645" i="9"/>
  <c r="A5645" i="9"/>
  <c r="E5644" i="9"/>
  <c r="D5644" i="9"/>
  <c r="C5644" i="9"/>
  <c r="B5644" i="9"/>
  <c r="A5644" i="9"/>
  <c r="E5643" i="9"/>
  <c r="D5643" i="9"/>
  <c r="C5643" i="9"/>
  <c r="B5643" i="9"/>
  <c r="A5643" i="9"/>
  <c r="E5642" i="9"/>
  <c r="D5642" i="9"/>
  <c r="C5642" i="9"/>
  <c r="B5642" i="9"/>
  <c r="A5642" i="9"/>
  <c r="E5641" i="9"/>
  <c r="D5641" i="9"/>
  <c r="C5641" i="9"/>
  <c r="B5641" i="9"/>
  <c r="A5641" i="9"/>
  <c r="E5640" i="9"/>
  <c r="D5640" i="9"/>
  <c r="C5640" i="9"/>
  <c r="B5640" i="9"/>
  <c r="A5640" i="9"/>
  <c r="E5639" i="9"/>
  <c r="D5639" i="9"/>
  <c r="C5639" i="9"/>
  <c r="B5639" i="9"/>
  <c r="A5639" i="9"/>
  <c r="E5638" i="9"/>
  <c r="D5638" i="9"/>
  <c r="C5638" i="9"/>
  <c r="B5638" i="9"/>
  <c r="A5638" i="9"/>
  <c r="E5637" i="9"/>
  <c r="D5637" i="9"/>
  <c r="C5637" i="9"/>
  <c r="B5637" i="9"/>
  <c r="A5637" i="9"/>
  <c r="E5636" i="9"/>
  <c r="D5636" i="9"/>
  <c r="C5636" i="9"/>
  <c r="B5636" i="9"/>
  <c r="A5636" i="9"/>
  <c r="E5635" i="9"/>
  <c r="D5635" i="9"/>
  <c r="C5635" i="9"/>
  <c r="B5635" i="9"/>
  <c r="A5635" i="9"/>
  <c r="E5634" i="9"/>
  <c r="D5634" i="9"/>
  <c r="C5634" i="9"/>
  <c r="B5634" i="9"/>
  <c r="A5634" i="9"/>
  <c r="E5633" i="9"/>
  <c r="D5633" i="9"/>
  <c r="C5633" i="9"/>
  <c r="B5633" i="9"/>
  <c r="A5633" i="9"/>
  <c r="E5632" i="9"/>
  <c r="D5632" i="9"/>
  <c r="C5632" i="9"/>
  <c r="B5632" i="9"/>
  <c r="A5632" i="9"/>
  <c r="E5631" i="9"/>
  <c r="D5631" i="9"/>
  <c r="C5631" i="9"/>
  <c r="B5631" i="9"/>
  <c r="A5631" i="9"/>
  <c r="E5630" i="9"/>
  <c r="D5630" i="9"/>
  <c r="C5630" i="9"/>
  <c r="B5630" i="9"/>
  <c r="A5630" i="9"/>
  <c r="E5629" i="9"/>
  <c r="D5629" i="9"/>
  <c r="C5629" i="9"/>
  <c r="B5629" i="9"/>
  <c r="A5629" i="9"/>
  <c r="E5628" i="9"/>
  <c r="D5628" i="9"/>
  <c r="C5628" i="9"/>
  <c r="B5628" i="9"/>
  <c r="A5628" i="9"/>
  <c r="E5627" i="9"/>
  <c r="D5627" i="9"/>
  <c r="C5627" i="9"/>
  <c r="B5627" i="9"/>
  <c r="A5627" i="9"/>
  <c r="E5626" i="9"/>
  <c r="D5626" i="9"/>
  <c r="C5626" i="9"/>
  <c r="B5626" i="9"/>
  <c r="A5626" i="9"/>
  <c r="E5625" i="9"/>
  <c r="D5625" i="9"/>
  <c r="C5625" i="9"/>
  <c r="B5625" i="9"/>
  <c r="A5625" i="9"/>
  <c r="E5624" i="9"/>
  <c r="D5624" i="9"/>
  <c r="C5624" i="9"/>
  <c r="B5624" i="9"/>
  <c r="A5624" i="9"/>
  <c r="E5623" i="9"/>
  <c r="D5623" i="9"/>
  <c r="C5623" i="9"/>
  <c r="B5623" i="9"/>
  <c r="A5623" i="9"/>
  <c r="E5622" i="9"/>
  <c r="D5622" i="9"/>
  <c r="C5622" i="9"/>
  <c r="B5622" i="9"/>
  <c r="A5622" i="9"/>
  <c r="E5621" i="9"/>
  <c r="D5621" i="9"/>
  <c r="C5621" i="9"/>
  <c r="B5621" i="9"/>
  <c r="A5621" i="9"/>
  <c r="E5620" i="9"/>
  <c r="D5620" i="9"/>
  <c r="C5620" i="9"/>
  <c r="B5620" i="9"/>
  <c r="A5620" i="9"/>
  <c r="E5619" i="9"/>
  <c r="D5619" i="9"/>
  <c r="C5619" i="9"/>
  <c r="B5619" i="9"/>
  <c r="A5619" i="9"/>
  <c r="E5618" i="9"/>
  <c r="D5618" i="9"/>
  <c r="C5618" i="9"/>
  <c r="B5618" i="9"/>
  <c r="A5618" i="9"/>
  <c r="E5617" i="9"/>
  <c r="D5617" i="9"/>
  <c r="C5617" i="9"/>
  <c r="B5617" i="9"/>
  <c r="A5617" i="9"/>
  <c r="E5616" i="9"/>
  <c r="D5616" i="9"/>
  <c r="C5616" i="9"/>
  <c r="B5616" i="9"/>
  <c r="A5616" i="9"/>
  <c r="E5615" i="9"/>
  <c r="D5615" i="9"/>
  <c r="C5615" i="9"/>
  <c r="B5615" i="9"/>
  <c r="A5615" i="9"/>
  <c r="E5614" i="9"/>
  <c r="D5614" i="9"/>
  <c r="C5614" i="9"/>
  <c r="B5614" i="9"/>
  <c r="A5614" i="9"/>
  <c r="E5613" i="9"/>
  <c r="D5613" i="9"/>
  <c r="C5613" i="9"/>
  <c r="B5613" i="9"/>
  <c r="A5613" i="9"/>
  <c r="E5612" i="9"/>
  <c r="D5612" i="9"/>
  <c r="C5612" i="9"/>
  <c r="B5612" i="9"/>
  <c r="A5612" i="9"/>
  <c r="E5611" i="9"/>
  <c r="D5611" i="9"/>
  <c r="C5611" i="9"/>
  <c r="B5611" i="9"/>
  <c r="A5611" i="9"/>
  <c r="E5610" i="9"/>
  <c r="D5610" i="9"/>
  <c r="C5610" i="9"/>
  <c r="B5610" i="9"/>
  <c r="A5610" i="9"/>
  <c r="E5609" i="9"/>
  <c r="D5609" i="9"/>
  <c r="C5609" i="9"/>
  <c r="B5609" i="9"/>
  <c r="A5609" i="9"/>
  <c r="E5608" i="9"/>
  <c r="D5608" i="9"/>
  <c r="C5608" i="9"/>
  <c r="B5608" i="9"/>
  <c r="A5608" i="9"/>
  <c r="E5607" i="9"/>
  <c r="D5607" i="9"/>
  <c r="C5607" i="9"/>
  <c r="B5607" i="9"/>
  <c r="A5607" i="9"/>
  <c r="E5606" i="9"/>
  <c r="D5606" i="9"/>
  <c r="C5606" i="9"/>
  <c r="B5606" i="9"/>
  <c r="A5606" i="9"/>
  <c r="E5605" i="9"/>
  <c r="D5605" i="9"/>
  <c r="C5605" i="9"/>
  <c r="B5605" i="9"/>
  <c r="A5605" i="9"/>
  <c r="E5604" i="9"/>
  <c r="D5604" i="9"/>
  <c r="C5604" i="9"/>
  <c r="B5604" i="9"/>
  <c r="A5604" i="9"/>
  <c r="E5603" i="9"/>
  <c r="D5603" i="9"/>
  <c r="C5603" i="9"/>
  <c r="B5603" i="9"/>
  <c r="A5603" i="9"/>
  <c r="E5602" i="9"/>
  <c r="D5602" i="9"/>
  <c r="C5602" i="9"/>
  <c r="B5602" i="9"/>
  <c r="A5602" i="9"/>
  <c r="E5601" i="9"/>
  <c r="D5601" i="9"/>
  <c r="C5601" i="9"/>
  <c r="B5601" i="9"/>
  <c r="A5601" i="9"/>
  <c r="E5600" i="9"/>
  <c r="D5600" i="9"/>
  <c r="C5600" i="9"/>
  <c r="B5600" i="9"/>
  <c r="A5600" i="9"/>
  <c r="E5599" i="9"/>
  <c r="D5599" i="9"/>
  <c r="C5599" i="9"/>
  <c r="B5599" i="9"/>
  <c r="A5599" i="9"/>
  <c r="E5598" i="9"/>
  <c r="D5598" i="9"/>
  <c r="C5598" i="9"/>
  <c r="B5598" i="9"/>
  <c r="A5598" i="9"/>
  <c r="E5597" i="9"/>
  <c r="D5597" i="9"/>
  <c r="C5597" i="9"/>
  <c r="B5597" i="9"/>
  <c r="A5597" i="9"/>
  <c r="E5596" i="9"/>
  <c r="D5596" i="9"/>
  <c r="C5596" i="9"/>
  <c r="B5596" i="9"/>
  <c r="A5596" i="9"/>
  <c r="E5595" i="9"/>
  <c r="D5595" i="9"/>
  <c r="C5595" i="9"/>
  <c r="B5595" i="9"/>
  <c r="A5595" i="9"/>
  <c r="E5594" i="9"/>
  <c r="D5594" i="9"/>
  <c r="C5594" i="9"/>
  <c r="B5594" i="9"/>
  <c r="A5594" i="9"/>
  <c r="E5593" i="9"/>
  <c r="D5593" i="9"/>
  <c r="C5593" i="9"/>
  <c r="B5593" i="9"/>
  <c r="A5593" i="9"/>
  <c r="E5592" i="9"/>
  <c r="D5592" i="9"/>
  <c r="C5592" i="9"/>
  <c r="B5592" i="9"/>
  <c r="A5592" i="9"/>
  <c r="E5591" i="9"/>
  <c r="D5591" i="9"/>
  <c r="C5591" i="9"/>
  <c r="B5591" i="9"/>
  <c r="A5591" i="9"/>
  <c r="E5590" i="9"/>
  <c r="D5590" i="9"/>
  <c r="C5590" i="9"/>
  <c r="B5590" i="9"/>
  <c r="A5590" i="9"/>
  <c r="E5589" i="9"/>
  <c r="D5589" i="9"/>
  <c r="C5589" i="9"/>
  <c r="B5589" i="9"/>
  <c r="A5589" i="9"/>
  <c r="E5588" i="9"/>
  <c r="D5588" i="9"/>
  <c r="C5588" i="9"/>
  <c r="B5588" i="9"/>
  <c r="A5588" i="9"/>
  <c r="E5587" i="9"/>
  <c r="D5587" i="9"/>
  <c r="C5587" i="9"/>
  <c r="B5587" i="9"/>
  <c r="A5587" i="9"/>
  <c r="E5586" i="9"/>
  <c r="D5586" i="9"/>
  <c r="C5586" i="9"/>
  <c r="B5586" i="9"/>
  <c r="A5586" i="9"/>
  <c r="E5585" i="9"/>
  <c r="D5585" i="9"/>
  <c r="C5585" i="9"/>
  <c r="B5585" i="9"/>
  <c r="A5585" i="9"/>
  <c r="E5584" i="9"/>
  <c r="D5584" i="9"/>
  <c r="C5584" i="9"/>
  <c r="B5584" i="9"/>
  <c r="A5584" i="9"/>
  <c r="E5583" i="9"/>
  <c r="D5583" i="9"/>
  <c r="C5583" i="9"/>
  <c r="B5583" i="9"/>
  <c r="A5583" i="9"/>
  <c r="E5582" i="9"/>
  <c r="D5582" i="9"/>
  <c r="C5582" i="9"/>
  <c r="B5582" i="9"/>
  <c r="A5582" i="9"/>
  <c r="E5581" i="9"/>
  <c r="D5581" i="9"/>
  <c r="C5581" i="9"/>
  <c r="B5581" i="9"/>
  <c r="A5581" i="9"/>
  <c r="E5580" i="9"/>
  <c r="D5580" i="9"/>
  <c r="C5580" i="9"/>
  <c r="B5580" i="9"/>
  <c r="A5580" i="9"/>
  <c r="E5579" i="9"/>
  <c r="D5579" i="9"/>
  <c r="C5579" i="9"/>
  <c r="B5579" i="9"/>
  <c r="A5579" i="9"/>
  <c r="E5578" i="9"/>
  <c r="D5578" i="9"/>
  <c r="C5578" i="9"/>
  <c r="B5578" i="9"/>
  <c r="A5578" i="9"/>
  <c r="E5577" i="9"/>
  <c r="D5577" i="9"/>
  <c r="C5577" i="9"/>
  <c r="B5577" i="9"/>
  <c r="A5577" i="9"/>
  <c r="E5576" i="9"/>
  <c r="D5576" i="9"/>
  <c r="C5576" i="9"/>
  <c r="B5576" i="9"/>
  <c r="A5576" i="9"/>
  <c r="E5575" i="9"/>
  <c r="D5575" i="9"/>
  <c r="C5575" i="9"/>
  <c r="B5575" i="9"/>
  <c r="A5575" i="9"/>
  <c r="E5574" i="9"/>
  <c r="D5574" i="9"/>
  <c r="C5574" i="9"/>
  <c r="B5574" i="9"/>
  <c r="A5574" i="9"/>
  <c r="E5573" i="9"/>
  <c r="D5573" i="9"/>
  <c r="C5573" i="9"/>
  <c r="B5573" i="9"/>
  <c r="A5573" i="9"/>
  <c r="E5572" i="9"/>
  <c r="D5572" i="9"/>
  <c r="C5572" i="9"/>
  <c r="B5572" i="9"/>
  <c r="A5572" i="9"/>
  <c r="E5571" i="9"/>
  <c r="D5571" i="9"/>
  <c r="C5571" i="9"/>
  <c r="B5571" i="9"/>
  <c r="A5571" i="9"/>
  <c r="E5570" i="9"/>
  <c r="D5570" i="9"/>
  <c r="C5570" i="9"/>
  <c r="B5570" i="9"/>
  <c r="A5570" i="9"/>
  <c r="E5569" i="9"/>
  <c r="D5569" i="9"/>
  <c r="C5569" i="9"/>
  <c r="B5569" i="9"/>
  <c r="A5569" i="9"/>
  <c r="E5568" i="9"/>
  <c r="D5568" i="9"/>
  <c r="C5568" i="9"/>
  <c r="B5568" i="9"/>
  <c r="A5568" i="9"/>
  <c r="E5567" i="9"/>
  <c r="D5567" i="9"/>
  <c r="C5567" i="9"/>
  <c r="B5567" i="9"/>
  <c r="A5567" i="9"/>
  <c r="E5566" i="9"/>
  <c r="D5566" i="9"/>
  <c r="C5566" i="9"/>
  <c r="B5566" i="9"/>
  <c r="A5566" i="9"/>
  <c r="E5565" i="9"/>
  <c r="D5565" i="9"/>
  <c r="C5565" i="9"/>
  <c r="B5565" i="9"/>
  <c r="A5565" i="9"/>
  <c r="E5564" i="9"/>
  <c r="D5564" i="9"/>
  <c r="C5564" i="9"/>
  <c r="B5564" i="9"/>
  <c r="A5564" i="9"/>
  <c r="E5563" i="9"/>
  <c r="D5563" i="9"/>
  <c r="C5563" i="9"/>
  <c r="B5563" i="9"/>
  <c r="A5563" i="9"/>
  <c r="E5562" i="9"/>
  <c r="D5562" i="9"/>
  <c r="C5562" i="9"/>
  <c r="B5562" i="9"/>
  <c r="A5562" i="9"/>
  <c r="E5561" i="9"/>
  <c r="D5561" i="9"/>
  <c r="C5561" i="9"/>
  <c r="B5561" i="9"/>
  <c r="A5561" i="9"/>
  <c r="E5560" i="9"/>
  <c r="D5560" i="9"/>
  <c r="C5560" i="9"/>
  <c r="B5560" i="9"/>
  <c r="A5560" i="9"/>
  <c r="E5559" i="9"/>
  <c r="D5559" i="9"/>
  <c r="C5559" i="9"/>
  <c r="B5559" i="9"/>
  <c r="A5559" i="9"/>
  <c r="E5558" i="9"/>
  <c r="D5558" i="9"/>
  <c r="C5558" i="9"/>
  <c r="B5558" i="9"/>
  <c r="A5558" i="9"/>
  <c r="E5557" i="9"/>
  <c r="D5557" i="9"/>
  <c r="C5557" i="9"/>
  <c r="B5557" i="9"/>
  <c r="A5557" i="9"/>
  <c r="E5556" i="9"/>
  <c r="D5556" i="9"/>
  <c r="C5556" i="9"/>
  <c r="B5556" i="9"/>
  <c r="A5556" i="9"/>
  <c r="E5555" i="9"/>
  <c r="D5555" i="9"/>
  <c r="C5555" i="9"/>
  <c r="B5555" i="9"/>
  <c r="A5555" i="9"/>
  <c r="E5554" i="9"/>
  <c r="D5554" i="9"/>
  <c r="C5554" i="9"/>
  <c r="B5554" i="9"/>
  <c r="A5554" i="9"/>
  <c r="E5553" i="9"/>
  <c r="D5553" i="9"/>
  <c r="C5553" i="9"/>
  <c r="B5553" i="9"/>
  <c r="A5553" i="9"/>
  <c r="E5552" i="9"/>
  <c r="D5552" i="9"/>
  <c r="C5552" i="9"/>
  <c r="B5552" i="9"/>
  <c r="A5552" i="9"/>
  <c r="E5551" i="9"/>
  <c r="D5551" i="9"/>
  <c r="C5551" i="9"/>
  <c r="B5551" i="9"/>
  <c r="A5551" i="9"/>
  <c r="E5550" i="9"/>
  <c r="D5550" i="9"/>
  <c r="C5550" i="9"/>
  <c r="B5550" i="9"/>
  <c r="A5550" i="9"/>
  <c r="E5549" i="9"/>
  <c r="D5549" i="9"/>
  <c r="C5549" i="9"/>
  <c r="B5549" i="9"/>
  <c r="A5549" i="9"/>
  <c r="E5548" i="9"/>
  <c r="D5548" i="9"/>
  <c r="C5548" i="9"/>
  <c r="B5548" i="9"/>
  <c r="A5548" i="9"/>
  <c r="E5547" i="9"/>
  <c r="D5547" i="9"/>
  <c r="C5547" i="9"/>
  <c r="B5547" i="9"/>
  <c r="A5547" i="9"/>
  <c r="E5546" i="9"/>
  <c r="D5546" i="9"/>
  <c r="C5546" i="9"/>
  <c r="B5546" i="9"/>
  <c r="A5546" i="9"/>
  <c r="E5545" i="9"/>
  <c r="D5545" i="9"/>
  <c r="C5545" i="9"/>
  <c r="B5545" i="9"/>
  <c r="A5545" i="9"/>
  <c r="E5544" i="9"/>
  <c r="D5544" i="9"/>
  <c r="C5544" i="9"/>
  <c r="B5544" i="9"/>
  <c r="A5544" i="9"/>
  <c r="E5543" i="9"/>
  <c r="D5543" i="9"/>
  <c r="C5543" i="9"/>
  <c r="B5543" i="9"/>
  <c r="A5543" i="9"/>
  <c r="E5542" i="9"/>
  <c r="D5542" i="9"/>
  <c r="C5542" i="9"/>
  <c r="B5542" i="9"/>
  <c r="A5542" i="9"/>
  <c r="E5541" i="9"/>
  <c r="D5541" i="9"/>
  <c r="C5541" i="9"/>
  <c r="B5541" i="9"/>
  <c r="A5541" i="9"/>
  <c r="E5540" i="9"/>
  <c r="D5540" i="9"/>
  <c r="C5540" i="9"/>
  <c r="B5540" i="9"/>
  <c r="A5540" i="9"/>
  <c r="E5539" i="9"/>
  <c r="D5539" i="9"/>
  <c r="C5539" i="9"/>
  <c r="B5539" i="9"/>
  <c r="A5539" i="9"/>
  <c r="E5538" i="9"/>
  <c r="D5538" i="9"/>
  <c r="C5538" i="9"/>
  <c r="B5538" i="9"/>
  <c r="A5538" i="9"/>
  <c r="E5537" i="9"/>
  <c r="D5537" i="9"/>
  <c r="C5537" i="9"/>
  <c r="B5537" i="9"/>
  <c r="A5537" i="9"/>
  <c r="E5536" i="9"/>
  <c r="D5536" i="9"/>
  <c r="C5536" i="9"/>
  <c r="B5536" i="9"/>
  <c r="A5536" i="9"/>
  <c r="E5535" i="9"/>
  <c r="D5535" i="9"/>
  <c r="C5535" i="9"/>
  <c r="B5535" i="9"/>
  <c r="A5535" i="9"/>
  <c r="E5534" i="9"/>
  <c r="D5534" i="9"/>
  <c r="C5534" i="9"/>
  <c r="B5534" i="9"/>
  <c r="A5534" i="9"/>
  <c r="E5533" i="9"/>
  <c r="D5533" i="9"/>
  <c r="C5533" i="9"/>
  <c r="B5533" i="9"/>
  <c r="A5533" i="9"/>
  <c r="E5532" i="9"/>
  <c r="D5532" i="9"/>
  <c r="C5532" i="9"/>
  <c r="B5532" i="9"/>
  <c r="A5532" i="9"/>
  <c r="E5531" i="9"/>
  <c r="D5531" i="9"/>
  <c r="C5531" i="9"/>
  <c r="B5531" i="9"/>
  <c r="A5531" i="9"/>
  <c r="E5530" i="9"/>
  <c r="D5530" i="9"/>
  <c r="C5530" i="9"/>
  <c r="B5530" i="9"/>
  <c r="A5530" i="9"/>
  <c r="E5529" i="9"/>
  <c r="D5529" i="9"/>
  <c r="C5529" i="9"/>
  <c r="B5529" i="9"/>
  <c r="A5529" i="9"/>
  <c r="E5528" i="9"/>
  <c r="D5528" i="9"/>
  <c r="C5528" i="9"/>
  <c r="B5528" i="9"/>
  <c r="A5528" i="9"/>
  <c r="E5527" i="9"/>
  <c r="D5527" i="9"/>
  <c r="C5527" i="9"/>
  <c r="B5527" i="9"/>
  <c r="A5527" i="9"/>
  <c r="E5526" i="9"/>
  <c r="D5526" i="9"/>
  <c r="C5526" i="9"/>
  <c r="B5526" i="9"/>
  <c r="A5526" i="9"/>
  <c r="E5525" i="9"/>
  <c r="D5525" i="9"/>
  <c r="C5525" i="9"/>
  <c r="B5525" i="9"/>
  <c r="A5525" i="9"/>
  <c r="E5524" i="9"/>
  <c r="D5524" i="9"/>
  <c r="C5524" i="9"/>
  <c r="B5524" i="9"/>
  <c r="A5524" i="9"/>
  <c r="E5523" i="9"/>
  <c r="D5523" i="9"/>
  <c r="C5523" i="9"/>
  <c r="B5523" i="9"/>
  <c r="A5523" i="9"/>
  <c r="E5522" i="9"/>
  <c r="D5522" i="9"/>
  <c r="C5522" i="9"/>
  <c r="B5522" i="9"/>
  <c r="A5522" i="9"/>
  <c r="E5521" i="9"/>
  <c r="D5521" i="9"/>
  <c r="C5521" i="9"/>
  <c r="B5521" i="9"/>
  <c r="A5521" i="9"/>
  <c r="E5520" i="9"/>
  <c r="D5520" i="9"/>
  <c r="C5520" i="9"/>
  <c r="B5520" i="9"/>
  <c r="A5520" i="9"/>
  <c r="E5519" i="9"/>
  <c r="D5519" i="9"/>
  <c r="C5519" i="9"/>
  <c r="B5519" i="9"/>
  <c r="A5519" i="9"/>
  <c r="E5518" i="9"/>
  <c r="D5518" i="9"/>
  <c r="C5518" i="9"/>
  <c r="B5518" i="9"/>
  <c r="A5518" i="9"/>
  <c r="E5517" i="9"/>
  <c r="D5517" i="9"/>
  <c r="C5517" i="9"/>
  <c r="B5517" i="9"/>
  <c r="A5517" i="9"/>
  <c r="E5516" i="9"/>
  <c r="D5516" i="9"/>
  <c r="C5516" i="9"/>
  <c r="B5516" i="9"/>
  <c r="A5516" i="9"/>
  <c r="E5515" i="9"/>
  <c r="D5515" i="9"/>
  <c r="C5515" i="9"/>
  <c r="B5515" i="9"/>
  <c r="A5515" i="9"/>
  <c r="E5514" i="9"/>
  <c r="D5514" i="9"/>
  <c r="C5514" i="9"/>
  <c r="B5514" i="9"/>
  <c r="A5514" i="9"/>
  <c r="E5513" i="9"/>
  <c r="D5513" i="9"/>
  <c r="C5513" i="9"/>
  <c r="B5513" i="9"/>
  <c r="A5513" i="9"/>
  <c r="E5512" i="9"/>
  <c r="D5512" i="9"/>
  <c r="C5512" i="9"/>
  <c r="B5512" i="9"/>
  <c r="A5512" i="9"/>
  <c r="E5511" i="9"/>
  <c r="D5511" i="9"/>
  <c r="C5511" i="9"/>
  <c r="B5511" i="9"/>
  <c r="A5511" i="9"/>
  <c r="E5510" i="9"/>
  <c r="D5510" i="9"/>
  <c r="C5510" i="9"/>
  <c r="B5510" i="9"/>
  <c r="A5510" i="9"/>
  <c r="E5509" i="9"/>
  <c r="D5509" i="9"/>
  <c r="C5509" i="9"/>
  <c r="B5509" i="9"/>
  <c r="A5509" i="9"/>
  <c r="E5508" i="9"/>
  <c r="D5508" i="9"/>
  <c r="C5508" i="9"/>
  <c r="B5508" i="9"/>
  <c r="A5508" i="9"/>
  <c r="E5507" i="9"/>
  <c r="D5507" i="9"/>
  <c r="C5507" i="9"/>
  <c r="B5507" i="9"/>
  <c r="A5507" i="9"/>
  <c r="E5506" i="9"/>
  <c r="D5506" i="9"/>
  <c r="C5506" i="9"/>
  <c r="B5506" i="9"/>
  <c r="A5506" i="9"/>
  <c r="E5505" i="9"/>
  <c r="D5505" i="9"/>
  <c r="C5505" i="9"/>
  <c r="B5505" i="9"/>
  <c r="A5505" i="9"/>
  <c r="E5504" i="9"/>
  <c r="D5504" i="9"/>
  <c r="C5504" i="9"/>
  <c r="B5504" i="9"/>
  <c r="A5504" i="9"/>
  <c r="E5503" i="9"/>
  <c r="D5503" i="9"/>
  <c r="C5503" i="9"/>
  <c r="B5503" i="9"/>
  <c r="A5503" i="9"/>
  <c r="E5502" i="9"/>
  <c r="D5502" i="9"/>
  <c r="C5502" i="9"/>
  <c r="B5502" i="9"/>
  <c r="A5502" i="9"/>
  <c r="E5501" i="9"/>
  <c r="D5501" i="9"/>
  <c r="C5501" i="9"/>
  <c r="B5501" i="9"/>
  <c r="A5501" i="9"/>
  <c r="E5500" i="9"/>
  <c r="D5500" i="9"/>
  <c r="C5500" i="9"/>
  <c r="B5500" i="9"/>
  <c r="A5500" i="9"/>
  <c r="E5499" i="9"/>
  <c r="D5499" i="9"/>
  <c r="C5499" i="9"/>
  <c r="B5499" i="9"/>
  <c r="A5499" i="9"/>
  <c r="E5498" i="9"/>
  <c r="D5498" i="9"/>
  <c r="C5498" i="9"/>
  <c r="B5498" i="9"/>
  <c r="A5498" i="9"/>
  <c r="E5497" i="9"/>
  <c r="D5497" i="9"/>
  <c r="C5497" i="9"/>
  <c r="B5497" i="9"/>
  <c r="A5497" i="9"/>
  <c r="E5496" i="9"/>
  <c r="D5496" i="9"/>
  <c r="C5496" i="9"/>
  <c r="B5496" i="9"/>
  <c r="A5496" i="9"/>
  <c r="E5495" i="9"/>
  <c r="D5495" i="9"/>
  <c r="C5495" i="9"/>
  <c r="B5495" i="9"/>
  <c r="A5495" i="9"/>
  <c r="E5494" i="9"/>
  <c r="D5494" i="9"/>
  <c r="C5494" i="9"/>
  <c r="B5494" i="9"/>
  <c r="A5494" i="9"/>
  <c r="E5493" i="9"/>
  <c r="D5493" i="9"/>
  <c r="C5493" i="9"/>
  <c r="B5493" i="9"/>
  <c r="A5493" i="9"/>
  <c r="E5492" i="9"/>
  <c r="D5492" i="9"/>
  <c r="C5492" i="9"/>
  <c r="B5492" i="9"/>
  <c r="A5492" i="9"/>
  <c r="E5491" i="9"/>
  <c r="D5491" i="9"/>
  <c r="C5491" i="9"/>
  <c r="B5491" i="9"/>
  <c r="A5491" i="9"/>
  <c r="E5490" i="9"/>
  <c r="D5490" i="9"/>
  <c r="C5490" i="9"/>
  <c r="B5490" i="9"/>
  <c r="A5490" i="9"/>
  <c r="E5489" i="9"/>
  <c r="D5489" i="9"/>
  <c r="C5489" i="9"/>
  <c r="B5489" i="9"/>
  <c r="A5489" i="9"/>
  <c r="E5488" i="9"/>
  <c r="D5488" i="9"/>
  <c r="C5488" i="9"/>
  <c r="B5488" i="9"/>
  <c r="A5488" i="9"/>
  <c r="E5487" i="9"/>
  <c r="D5487" i="9"/>
  <c r="C5487" i="9"/>
  <c r="B5487" i="9"/>
  <c r="A5487" i="9"/>
  <c r="E5486" i="9"/>
  <c r="D5486" i="9"/>
  <c r="C5486" i="9"/>
  <c r="B5486" i="9"/>
  <c r="A5486" i="9"/>
  <c r="E5485" i="9"/>
  <c r="D5485" i="9"/>
  <c r="C5485" i="9"/>
  <c r="B5485" i="9"/>
  <c r="A5485" i="9"/>
  <c r="E5484" i="9"/>
  <c r="D5484" i="9"/>
  <c r="C5484" i="9"/>
  <c r="B5484" i="9"/>
  <c r="A5484" i="9"/>
  <c r="E5483" i="9"/>
  <c r="D5483" i="9"/>
  <c r="C5483" i="9"/>
  <c r="B5483" i="9"/>
  <c r="A5483" i="9"/>
  <c r="E5482" i="9"/>
  <c r="D5482" i="9"/>
  <c r="C5482" i="9"/>
  <c r="B5482" i="9"/>
  <c r="A5482" i="9"/>
  <c r="E5481" i="9"/>
  <c r="D5481" i="9"/>
  <c r="C5481" i="9"/>
  <c r="B5481" i="9"/>
  <c r="A5481" i="9"/>
  <c r="E5480" i="9"/>
  <c r="D5480" i="9"/>
  <c r="C5480" i="9"/>
  <c r="B5480" i="9"/>
  <c r="A5480" i="9"/>
  <c r="E5479" i="9"/>
  <c r="D5479" i="9"/>
  <c r="C5479" i="9"/>
  <c r="B5479" i="9"/>
  <c r="A5479" i="9"/>
  <c r="E5478" i="9"/>
  <c r="D5478" i="9"/>
  <c r="C5478" i="9"/>
  <c r="B5478" i="9"/>
  <c r="A5478" i="9"/>
  <c r="E5477" i="9"/>
  <c r="D5477" i="9"/>
  <c r="C5477" i="9"/>
  <c r="B5477" i="9"/>
  <c r="A5477" i="9"/>
  <c r="E5476" i="9"/>
  <c r="D5476" i="9"/>
  <c r="C5476" i="9"/>
  <c r="B5476" i="9"/>
  <c r="A5476" i="9"/>
  <c r="E5475" i="9"/>
  <c r="D5475" i="9"/>
  <c r="C5475" i="9"/>
  <c r="B5475" i="9"/>
  <c r="A5475" i="9"/>
  <c r="E5474" i="9"/>
  <c r="D5474" i="9"/>
  <c r="C5474" i="9"/>
  <c r="B5474" i="9"/>
  <c r="A5474" i="9"/>
  <c r="E5473" i="9"/>
  <c r="D5473" i="9"/>
  <c r="C5473" i="9"/>
  <c r="B5473" i="9"/>
  <c r="A5473" i="9"/>
  <c r="E5472" i="9"/>
  <c r="D5472" i="9"/>
  <c r="C5472" i="9"/>
  <c r="B5472" i="9"/>
  <c r="A5472" i="9"/>
  <c r="E5471" i="9"/>
  <c r="D5471" i="9"/>
  <c r="C5471" i="9"/>
  <c r="B5471" i="9"/>
  <c r="A5471" i="9"/>
  <c r="E5470" i="9"/>
  <c r="D5470" i="9"/>
  <c r="C5470" i="9"/>
  <c r="B5470" i="9"/>
  <c r="A5470" i="9"/>
  <c r="E5469" i="9"/>
  <c r="D5469" i="9"/>
  <c r="C5469" i="9"/>
  <c r="B5469" i="9"/>
  <c r="A5469" i="9"/>
  <c r="E5468" i="9"/>
  <c r="D5468" i="9"/>
  <c r="C5468" i="9"/>
  <c r="B5468" i="9"/>
  <c r="A5468" i="9"/>
  <c r="E5467" i="9"/>
  <c r="D5467" i="9"/>
  <c r="C5467" i="9"/>
  <c r="B5467" i="9"/>
  <c r="A5467" i="9"/>
  <c r="E5466" i="9"/>
  <c r="D5466" i="9"/>
  <c r="C5466" i="9"/>
  <c r="B5466" i="9"/>
  <c r="A5466" i="9"/>
  <c r="E5465" i="9"/>
  <c r="D5465" i="9"/>
  <c r="C5465" i="9"/>
  <c r="B5465" i="9"/>
  <c r="A5465" i="9"/>
  <c r="E5464" i="9"/>
  <c r="D5464" i="9"/>
  <c r="C5464" i="9"/>
  <c r="B5464" i="9"/>
  <c r="A5464" i="9"/>
  <c r="E5463" i="9"/>
  <c r="D5463" i="9"/>
  <c r="C5463" i="9"/>
  <c r="B5463" i="9"/>
  <c r="A5463" i="9"/>
  <c r="E5462" i="9"/>
  <c r="D5462" i="9"/>
  <c r="C5462" i="9"/>
  <c r="B5462" i="9"/>
  <c r="A5462" i="9"/>
  <c r="E5461" i="9"/>
  <c r="D5461" i="9"/>
  <c r="C5461" i="9"/>
  <c r="B5461" i="9"/>
  <c r="A5461" i="9"/>
  <c r="E5460" i="9"/>
  <c r="D5460" i="9"/>
  <c r="C5460" i="9"/>
  <c r="B5460" i="9"/>
  <c r="A5460" i="9"/>
  <c r="E5459" i="9"/>
  <c r="D5459" i="9"/>
  <c r="C5459" i="9"/>
  <c r="B5459" i="9"/>
  <c r="A5459" i="9"/>
  <c r="E5458" i="9"/>
  <c r="D5458" i="9"/>
  <c r="C5458" i="9"/>
  <c r="B5458" i="9"/>
  <c r="A5458" i="9"/>
  <c r="E5457" i="9"/>
  <c r="D5457" i="9"/>
  <c r="C5457" i="9"/>
  <c r="B5457" i="9"/>
  <c r="A5457" i="9"/>
  <c r="E5456" i="9"/>
  <c r="D5456" i="9"/>
  <c r="C5456" i="9"/>
  <c r="B5456" i="9"/>
  <c r="A5456" i="9"/>
  <c r="E5455" i="9"/>
  <c r="D5455" i="9"/>
  <c r="C5455" i="9"/>
  <c r="B5455" i="9"/>
  <c r="A5455" i="9"/>
  <c r="E5454" i="9"/>
  <c r="D5454" i="9"/>
  <c r="C5454" i="9"/>
  <c r="B5454" i="9"/>
  <c r="A5454" i="9"/>
  <c r="E5453" i="9"/>
  <c r="D5453" i="9"/>
  <c r="C5453" i="9"/>
  <c r="B5453" i="9"/>
  <c r="A5453" i="9"/>
  <c r="E5452" i="9"/>
  <c r="D5452" i="9"/>
  <c r="C5452" i="9"/>
  <c r="B5452" i="9"/>
  <c r="A5452" i="9"/>
  <c r="E5451" i="9"/>
  <c r="D5451" i="9"/>
  <c r="C5451" i="9"/>
  <c r="B5451" i="9"/>
  <c r="A5451" i="9"/>
  <c r="E5450" i="9"/>
  <c r="D5450" i="9"/>
  <c r="C5450" i="9"/>
  <c r="B5450" i="9"/>
  <c r="A5450" i="9"/>
  <c r="E5449" i="9"/>
  <c r="D5449" i="9"/>
  <c r="C5449" i="9"/>
  <c r="B5449" i="9"/>
  <c r="A5449" i="9"/>
  <c r="E5448" i="9"/>
  <c r="D5448" i="9"/>
  <c r="C5448" i="9"/>
  <c r="B5448" i="9"/>
  <c r="A5448" i="9"/>
  <c r="E5447" i="9"/>
  <c r="D5447" i="9"/>
  <c r="C5447" i="9"/>
  <c r="B5447" i="9"/>
  <c r="A5447" i="9"/>
  <c r="E5446" i="9"/>
  <c r="D5446" i="9"/>
  <c r="C5446" i="9"/>
  <c r="B5446" i="9"/>
  <c r="A5446" i="9"/>
  <c r="E5445" i="9"/>
  <c r="D5445" i="9"/>
  <c r="C5445" i="9"/>
  <c r="B5445" i="9"/>
  <c r="A5445" i="9"/>
  <c r="E5444" i="9"/>
  <c r="D5444" i="9"/>
  <c r="C5444" i="9"/>
  <c r="B5444" i="9"/>
  <c r="A5444" i="9"/>
  <c r="E5443" i="9"/>
  <c r="D5443" i="9"/>
  <c r="C5443" i="9"/>
  <c r="B5443" i="9"/>
  <c r="A5443" i="9"/>
  <c r="E5442" i="9"/>
  <c r="D5442" i="9"/>
  <c r="C5442" i="9"/>
  <c r="B5442" i="9"/>
  <c r="A5442" i="9"/>
  <c r="E5441" i="9"/>
  <c r="D5441" i="9"/>
  <c r="C5441" i="9"/>
  <c r="B5441" i="9"/>
  <c r="A5441" i="9"/>
  <c r="E5440" i="9"/>
  <c r="D5440" i="9"/>
  <c r="C5440" i="9"/>
  <c r="B5440" i="9"/>
  <c r="A5440" i="9"/>
  <c r="E5439" i="9"/>
  <c r="D5439" i="9"/>
  <c r="C5439" i="9"/>
  <c r="B5439" i="9"/>
  <c r="A5439" i="9"/>
  <c r="E5438" i="9"/>
  <c r="D5438" i="9"/>
  <c r="C5438" i="9"/>
  <c r="B5438" i="9"/>
  <c r="A5438" i="9"/>
  <c r="E5437" i="9"/>
  <c r="D5437" i="9"/>
  <c r="C5437" i="9"/>
  <c r="B5437" i="9"/>
  <c r="A5437" i="9"/>
  <c r="E5436" i="9"/>
  <c r="D5436" i="9"/>
  <c r="C5436" i="9"/>
  <c r="B5436" i="9"/>
  <c r="A5436" i="9"/>
  <c r="E5435" i="9"/>
  <c r="D5435" i="9"/>
  <c r="C5435" i="9"/>
  <c r="B5435" i="9"/>
  <c r="A5435" i="9"/>
  <c r="E5434" i="9"/>
  <c r="D5434" i="9"/>
  <c r="C5434" i="9"/>
  <c r="B5434" i="9"/>
  <c r="A5434" i="9"/>
  <c r="E5433" i="9"/>
  <c r="D5433" i="9"/>
  <c r="C5433" i="9"/>
  <c r="B5433" i="9"/>
  <c r="A5433" i="9"/>
  <c r="E5432" i="9"/>
  <c r="D5432" i="9"/>
  <c r="C5432" i="9"/>
  <c r="B5432" i="9"/>
  <c r="A5432" i="9"/>
  <c r="E5431" i="9"/>
  <c r="D5431" i="9"/>
  <c r="C5431" i="9"/>
  <c r="B5431" i="9"/>
  <c r="A5431" i="9"/>
  <c r="E5430" i="9"/>
  <c r="D5430" i="9"/>
  <c r="C5430" i="9"/>
  <c r="B5430" i="9"/>
  <c r="A5430" i="9"/>
  <c r="E5429" i="9"/>
  <c r="D5429" i="9"/>
  <c r="C5429" i="9"/>
  <c r="B5429" i="9"/>
  <c r="A5429" i="9"/>
  <c r="E5428" i="9"/>
  <c r="D5428" i="9"/>
  <c r="C5428" i="9"/>
  <c r="B5428" i="9"/>
  <c r="A5428" i="9"/>
  <c r="E5427" i="9"/>
  <c r="D5427" i="9"/>
  <c r="C5427" i="9"/>
  <c r="B5427" i="9"/>
  <c r="A5427" i="9"/>
  <c r="E5426" i="9"/>
  <c r="D5426" i="9"/>
  <c r="C5426" i="9"/>
  <c r="B5426" i="9"/>
  <c r="A5426" i="9"/>
  <c r="E5425" i="9"/>
  <c r="D5425" i="9"/>
  <c r="C5425" i="9"/>
  <c r="B5425" i="9"/>
  <c r="A5425" i="9"/>
  <c r="E5424" i="9"/>
  <c r="D5424" i="9"/>
  <c r="C5424" i="9"/>
  <c r="B5424" i="9"/>
  <c r="A5424" i="9"/>
  <c r="E5423" i="9"/>
  <c r="D5423" i="9"/>
  <c r="C5423" i="9"/>
  <c r="B5423" i="9"/>
  <c r="A5423" i="9"/>
  <c r="E5422" i="9"/>
  <c r="D5422" i="9"/>
  <c r="C5422" i="9"/>
  <c r="B5422" i="9"/>
  <c r="A5422" i="9"/>
  <c r="E5421" i="9"/>
  <c r="D5421" i="9"/>
  <c r="C5421" i="9"/>
  <c r="B5421" i="9"/>
  <c r="A5421" i="9"/>
  <c r="E5420" i="9"/>
  <c r="D5420" i="9"/>
  <c r="C5420" i="9"/>
  <c r="B5420" i="9"/>
  <c r="A5420" i="9"/>
  <c r="E5419" i="9"/>
  <c r="D5419" i="9"/>
  <c r="C5419" i="9"/>
  <c r="B5419" i="9"/>
  <c r="A5419" i="9"/>
  <c r="E5418" i="9"/>
  <c r="D5418" i="9"/>
  <c r="C5418" i="9"/>
  <c r="B5418" i="9"/>
  <c r="A5418" i="9"/>
  <c r="E5417" i="9"/>
  <c r="D5417" i="9"/>
  <c r="C5417" i="9"/>
  <c r="B5417" i="9"/>
  <c r="A5417" i="9"/>
  <c r="E5416" i="9"/>
  <c r="D5416" i="9"/>
  <c r="C5416" i="9"/>
  <c r="B5416" i="9"/>
  <c r="A5416" i="9"/>
  <c r="E5415" i="9"/>
  <c r="D5415" i="9"/>
  <c r="C5415" i="9"/>
  <c r="B5415" i="9"/>
  <c r="A5415" i="9"/>
  <c r="E5414" i="9"/>
  <c r="D5414" i="9"/>
  <c r="C5414" i="9"/>
  <c r="B5414" i="9"/>
  <c r="A5414" i="9"/>
  <c r="E5413" i="9"/>
  <c r="D5413" i="9"/>
  <c r="C5413" i="9"/>
  <c r="B5413" i="9"/>
  <c r="A5413" i="9"/>
  <c r="E5412" i="9"/>
  <c r="D5412" i="9"/>
  <c r="C5412" i="9"/>
  <c r="B5412" i="9"/>
  <c r="A5412" i="9"/>
  <c r="E5411" i="9"/>
  <c r="D5411" i="9"/>
  <c r="C5411" i="9"/>
  <c r="B5411" i="9"/>
  <c r="A5411" i="9"/>
  <c r="E5410" i="9"/>
  <c r="D5410" i="9"/>
  <c r="C5410" i="9"/>
  <c r="B5410" i="9"/>
  <c r="A5410" i="9"/>
  <c r="E5409" i="9"/>
  <c r="D5409" i="9"/>
  <c r="C5409" i="9"/>
  <c r="B5409" i="9"/>
  <c r="A5409" i="9"/>
  <c r="E5408" i="9"/>
  <c r="D5408" i="9"/>
  <c r="C5408" i="9"/>
  <c r="B5408" i="9"/>
  <c r="A5408" i="9"/>
  <c r="E5407" i="9"/>
  <c r="D5407" i="9"/>
  <c r="C5407" i="9"/>
  <c r="B5407" i="9"/>
  <c r="A5407" i="9"/>
  <c r="E5406" i="9"/>
  <c r="D5406" i="9"/>
  <c r="C5406" i="9"/>
  <c r="B5406" i="9"/>
  <c r="A5406" i="9"/>
  <c r="E5405" i="9"/>
  <c r="D5405" i="9"/>
  <c r="C5405" i="9"/>
  <c r="B5405" i="9"/>
  <c r="A5405" i="9"/>
  <c r="E5404" i="9"/>
  <c r="D5404" i="9"/>
  <c r="C5404" i="9"/>
  <c r="B5404" i="9"/>
  <c r="A5404" i="9"/>
  <c r="E5403" i="9"/>
  <c r="D5403" i="9"/>
  <c r="C5403" i="9"/>
  <c r="B5403" i="9"/>
  <c r="A5403" i="9"/>
  <c r="E5402" i="9"/>
  <c r="D5402" i="9"/>
  <c r="C5402" i="9"/>
  <c r="B5402" i="9"/>
  <c r="A5402" i="9"/>
  <c r="E5401" i="9"/>
  <c r="D5401" i="9"/>
  <c r="C5401" i="9"/>
  <c r="B5401" i="9"/>
  <c r="A5401" i="9"/>
  <c r="E5400" i="9"/>
  <c r="D5400" i="9"/>
  <c r="C5400" i="9"/>
  <c r="B5400" i="9"/>
  <c r="A5400" i="9"/>
  <c r="E5399" i="9"/>
  <c r="D5399" i="9"/>
  <c r="C5399" i="9"/>
  <c r="B5399" i="9"/>
  <c r="A5399" i="9"/>
  <c r="E5398" i="9"/>
  <c r="D5398" i="9"/>
  <c r="C5398" i="9"/>
  <c r="B5398" i="9"/>
  <c r="A5398" i="9"/>
  <c r="E5397" i="9"/>
  <c r="D5397" i="9"/>
  <c r="C5397" i="9"/>
  <c r="B5397" i="9"/>
  <c r="A5397" i="9"/>
  <c r="E5396" i="9"/>
  <c r="D5396" i="9"/>
  <c r="C5396" i="9"/>
  <c r="B5396" i="9"/>
  <c r="A5396" i="9"/>
  <c r="E5395" i="9"/>
  <c r="D5395" i="9"/>
  <c r="C5395" i="9"/>
  <c r="B5395" i="9"/>
  <c r="A5395" i="9"/>
  <c r="E5394" i="9"/>
  <c r="D5394" i="9"/>
  <c r="C5394" i="9"/>
  <c r="B5394" i="9"/>
  <c r="A5394" i="9"/>
  <c r="E5393" i="9"/>
  <c r="D5393" i="9"/>
  <c r="C5393" i="9"/>
  <c r="B5393" i="9"/>
  <c r="A5393" i="9"/>
  <c r="E5392" i="9"/>
  <c r="D5392" i="9"/>
  <c r="C5392" i="9"/>
  <c r="B5392" i="9"/>
  <c r="A5392" i="9"/>
  <c r="E5391" i="9"/>
  <c r="D5391" i="9"/>
  <c r="C5391" i="9"/>
  <c r="B5391" i="9"/>
  <c r="A5391" i="9"/>
  <c r="E5390" i="9"/>
  <c r="D5390" i="9"/>
  <c r="C5390" i="9"/>
  <c r="B5390" i="9"/>
  <c r="A5390" i="9"/>
  <c r="E5389" i="9"/>
  <c r="D5389" i="9"/>
  <c r="C5389" i="9"/>
  <c r="B5389" i="9"/>
  <c r="A5389" i="9"/>
  <c r="E5388" i="9"/>
  <c r="D5388" i="9"/>
  <c r="C5388" i="9"/>
  <c r="B5388" i="9"/>
  <c r="A5388" i="9"/>
  <c r="E5387" i="9"/>
  <c r="D5387" i="9"/>
  <c r="C5387" i="9"/>
  <c r="B5387" i="9"/>
  <c r="A5387" i="9"/>
  <c r="E5386" i="9"/>
  <c r="D5386" i="9"/>
  <c r="C5386" i="9"/>
  <c r="B5386" i="9"/>
  <c r="A5386" i="9"/>
  <c r="E5385" i="9"/>
  <c r="D5385" i="9"/>
  <c r="C5385" i="9"/>
  <c r="B5385" i="9"/>
  <c r="A5385" i="9"/>
  <c r="E5384" i="9"/>
  <c r="D5384" i="9"/>
  <c r="C5384" i="9"/>
  <c r="B5384" i="9"/>
  <c r="A5384" i="9"/>
  <c r="E5383" i="9"/>
  <c r="D5383" i="9"/>
  <c r="C5383" i="9"/>
  <c r="B5383" i="9"/>
  <c r="A5383" i="9"/>
  <c r="E5382" i="9"/>
  <c r="D5382" i="9"/>
  <c r="C5382" i="9"/>
  <c r="B5382" i="9"/>
  <c r="A5382" i="9"/>
  <c r="E5381" i="9"/>
  <c r="D5381" i="9"/>
  <c r="C5381" i="9"/>
  <c r="B5381" i="9"/>
  <c r="A5381" i="9"/>
  <c r="E5380" i="9"/>
  <c r="D5380" i="9"/>
  <c r="C5380" i="9"/>
  <c r="B5380" i="9"/>
  <c r="A5380" i="9"/>
  <c r="E5379" i="9"/>
  <c r="D5379" i="9"/>
  <c r="C5379" i="9"/>
  <c r="B5379" i="9"/>
  <c r="A5379" i="9"/>
  <c r="E5378" i="9"/>
  <c r="D5378" i="9"/>
  <c r="C5378" i="9"/>
  <c r="B5378" i="9"/>
  <c r="A5378" i="9"/>
  <c r="E5377" i="9"/>
  <c r="D5377" i="9"/>
  <c r="C5377" i="9"/>
  <c r="B5377" i="9"/>
  <c r="A5377" i="9"/>
  <c r="E5376" i="9"/>
  <c r="D5376" i="9"/>
  <c r="C5376" i="9"/>
  <c r="B5376" i="9"/>
  <c r="A5376" i="9"/>
  <c r="E5375" i="9"/>
  <c r="D5375" i="9"/>
  <c r="C5375" i="9"/>
  <c r="B5375" i="9"/>
  <c r="A5375" i="9"/>
  <c r="E5374" i="9"/>
  <c r="D5374" i="9"/>
  <c r="C5374" i="9"/>
  <c r="B5374" i="9"/>
  <c r="A5374" i="9"/>
  <c r="E5373" i="9"/>
  <c r="D5373" i="9"/>
  <c r="C5373" i="9"/>
  <c r="B5373" i="9"/>
  <c r="A5373" i="9"/>
  <c r="E5372" i="9"/>
  <c r="D5372" i="9"/>
  <c r="C5372" i="9"/>
  <c r="B5372" i="9"/>
  <c r="A5372" i="9"/>
  <c r="E5371" i="9"/>
  <c r="D5371" i="9"/>
  <c r="C5371" i="9"/>
  <c r="B5371" i="9"/>
  <c r="A5371" i="9"/>
  <c r="E5370" i="9"/>
  <c r="D5370" i="9"/>
  <c r="C5370" i="9"/>
  <c r="B5370" i="9"/>
  <c r="A5370" i="9"/>
  <c r="E5369" i="9"/>
  <c r="D5369" i="9"/>
  <c r="C5369" i="9"/>
  <c r="B5369" i="9"/>
  <c r="A5369" i="9"/>
  <c r="E5368" i="9"/>
  <c r="D5368" i="9"/>
  <c r="C5368" i="9"/>
  <c r="B5368" i="9"/>
  <c r="A5368" i="9"/>
  <c r="E5367" i="9"/>
  <c r="D5367" i="9"/>
  <c r="C5367" i="9"/>
  <c r="B5367" i="9"/>
  <c r="A5367" i="9"/>
  <c r="E5366" i="9"/>
  <c r="D5366" i="9"/>
  <c r="C5366" i="9"/>
  <c r="B5366" i="9"/>
  <c r="A5366" i="9"/>
  <c r="E5365" i="9"/>
  <c r="D5365" i="9"/>
  <c r="C5365" i="9"/>
  <c r="B5365" i="9"/>
  <c r="A5365" i="9"/>
  <c r="E5364" i="9"/>
  <c r="D5364" i="9"/>
  <c r="C5364" i="9"/>
  <c r="B5364" i="9"/>
  <c r="A5364" i="9"/>
  <c r="E5363" i="9"/>
  <c r="D5363" i="9"/>
  <c r="C5363" i="9"/>
  <c r="B5363" i="9"/>
  <c r="A5363" i="9"/>
  <c r="E5362" i="9"/>
  <c r="D5362" i="9"/>
  <c r="C5362" i="9"/>
  <c r="B5362" i="9"/>
  <c r="A5362" i="9"/>
  <c r="E5361" i="9"/>
  <c r="D5361" i="9"/>
  <c r="C5361" i="9"/>
  <c r="B5361" i="9"/>
  <c r="A5361" i="9"/>
  <c r="E5360" i="9"/>
  <c r="D5360" i="9"/>
  <c r="C5360" i="9"/>
  <c r="B5360" i="9"/>
  <c r="A5360" i="9"/>
  <c r="E5359" i="9"/>
  <c r="D5359" i="9"/>
  <c r="C5359" i="9"/>
  <c r="B5359" i="9"/>
  <c r="A5359" i="9"/>
  <c r="E5358" i="9"/>
  <c r="D5358" i="9"/>
  <c r="C5358" i="9"/>
  <c r="B5358" i="9"/>
  <c r="A5358" i="9"/>
  <c r="E5357" i="9"/>
  <c r="D5357" i="9"/>
  <c r="C5357" i="9"/>
  <c r="B5357" i="9"/>
  <c r="A5357" i="9"/>
  <c r="E5356" i="9"/>
  <c r="D5356" i="9"/>
  <c r="C5356" i="9"/>
  <c r="B5356" i="9"/>
  <c r="A5356" i="9"/>
  <c r="E5355" i="9"/>
  <c r="D5355" i="9"/>
  <c r="C5355" i="9"/>
  <c r="B5355" i="9"/>
  <c r="A5355" i="9"/>
  <c r="E5354" i="9"/>
  <c r="D5354" i="9"/>
  <c r="C5354" i="9"/>
  <c r="B5354" i="9"/>
  <c r="A5354" i="9"/>
  <c r="E5353" i="9"/>
  <c r="D5353" i="9"/>
  <c r="C5353" i="9"/>
  <c r="B5353" i="9"/>
  <c r="A5353" i="9"/>
  <c r="E5352" i="9"/>
  <c r="D5352" i="9"/>
  <c r="C5352" i="9"/>
  <c r="B5352" i="9"/>
  <c r="A5352" i="9"/>
  <c r="E5351" i="9"/>
  <c r="D5351" i="9"/>
  <c r="C5351" i="9"/>
  <c r="B5351" i="9"/>
  <c r="A5351" i="9"/>
  <c r="E5350" i="9"/>
  <c r="D5350" i="9"/>
  <c r="C5350" i="9"/>
  <c r="B5350" i="9"/>
  <c r="A5350" i="9"/>
  <c r="E5349" i="9"/>
  <c r="D5349" i="9"/>
  <c r="C5349" i="9"/>
  <c r="B5349" i="9"/>
  <c r="A5349" i="9"/>
  <c r="E5348" i="9"/>
  <c r="D5348" i="9"/>
  <c r="C5348" i="9"/>
  <c r="B5348" i="9"/>
  <c r="A5348" i="9"/>
  <c r="E5347" i="9"/>
  <c r="D5347" i="9"/>
  <c r="C5347" i="9"/>
  <c r="B5347" i="9"/>
  <c r="A5347" i="9"/>
  <c r="E5346" i="9"/>
  <c r="D5346" i="9"/>
  <c r="C5346" i="9"/>
  <c r="B5346" i="9"/>
  <c r="A5346" i="9"/>
  <c r="E5345" i="9"/>
  <c r="D5345" i="9"/>
  <c r="C5345" i="9"/>
  <c r="B5345" i="9"/>
  <c r="A5345" i="9"/>
  <c r="E5344" i="9"/>
  <c r="D5344" i="9"/>
  <c r="C5344" i="9"/>
  <c r="B5344" i="9"/>
  <c r="A5344" i="9"/>
  <c r="E5343" i="9"/>
  <c r="D5343" i="9"/>
  <c r="C5343" i="9"/>
  <c r="B5343" i="9"/>
  <c r="A5343" i="9"/>
  <c r="E5342" i="9"/>
  <c r="D5342" i="9"/>
  <c r="C5342" i="9"/>
  <c r="B5342" i="9"/>
  <c r="A5342" i="9"/>
  <c r="E5341" i="9"/>
  <c r="D5341" i="9"/>
  <c r="C5341" i="9"/>
  <c r="B5341" i="9"/>
  <c r="A5341" i="9"/>
  <c r="E5340" i="9"/>
  <c r="D5340" i="9"/>
  <c r="C5340" i="9"/>
  <c r="B5340" i="9"/>
  <c r="A5340" i="9"/>
  <c r="E5339" i="9"/>
  <c r="D5339" i="9"/>
  <c r="C5339" i="9"/>
  <c r="B5339" i="9"/>
  <c r="A5339" i="9"/>
  <c r="E5338" i="9"/>
  <c r="D5338" i="9"/>
  <c r="C5338" i="9"/>
  <c r="B5338" i="9"/>
  <c r="A5338" i="9"/>
  <c r="E5337" i="9"/>
  <c r="D5337" i="9"/>
  <c r="C5337" i="9"/>
  <c r="B5337" i="9"/>
  <c r="A5337" i="9"/>
  <c r="E5336" i="9"/>
  <c r="D5336" i="9"/>
  <c r="C5336" i="9"/>
  <c r="B5336" i="9"/>
  <c r="A5336" i="9"/>
  <c r="E5335" i="9"/>
  <c r="D5335" i="9"/>
  <c r="C5335" i="9"/>
  <c r="B5335" i="9"/>
  <c r="A5335" i="9"/>
  <c r="E5334" i="9"/>
  <c r="D5334" i="9"/>
  <c r="C5334" i="9"/>
  <c r="B5334" i="9"/>
  <c r="A5334" i="9"/>
  <c r="E5333" i="9"/>
  <c r="D5333" i="9"/>
  <c r="C5333" i="9"/>
  <c r="B5333" i="9"/>
  <c r="A5333" i="9"/>
  <c r="E5332" i="9"/>
  <c r="D5332" i="9"/>
  <c r="C5332" i="9"/>
  <c r="B5332" i="9"/>
  <c r="A5332" i="9"/>
  <c r="E5331" i="9"/>
  <c r="D5331" i="9"/>
  <c r="C5331" i="9"/>
  <c r="B5331" i="9"/>
  <c r="A5331" i="9"/>
  <c r="E5330" i="9"/>
  <c r="D5330" i="9"/>
  <c r="C5330" i="9"/>
  <c r="B5330" i="9"/>
  <c r="A5330" i="9"/>
  <c r="E5329" i="9"/>
  <c r="D5329" i="9"/>
  <c r="C5329" i="9"/>
  <c r="B5329" i="9"/>
  <c r="A5329" i="9"/>
  <c r="E5328" i="9"/>
  <c r="D5328" i="9"/>
  <c r="C5328" i="9"/>
  <c r="B5328" i="9"/>
  <c r="A5328" i="9"/>
  <c r="E5327" i="9"/>
  <c r="D5327" i="9"/>
  <c r="C5327" i="9"/>
  <c r="B5327" i="9"/>
  <c r="A5327" i="9"/>
  <c r="E5326" i="9"/>
  <c r="D5326" i="9"/>
  <c r="C5326" i="9"/>
  <c r="B5326" i="9"/>
  <c r="A5326" i="9"/>
  <c r="E5325" i="9"/>
  <c r="D5325" i="9"/>
  <c r="C5325" i="9"/>
  <c r="B5325" i="9"/>
  <c r="A5325" i="9"/>
  <c r="E5324" i="9"/>
  <c r="D5324" i="9"/>
  <c r="C5324" i="9"/>
  <c r="B5324" i="9"/>
  <c r="A5324" i="9"/>
  <c r="E5323" i="9"/>
  <c r="D5323" i="9"/>
  <c r="C5323" i="9"/>
  <c r="B5323" i="9"/>
  <c r="A5323" i="9"/>
  <c r="E5322" i="9"/>
  <c r="D5322" i="9"/>
  <c r="C5322" i="9"/>
  <c r="B5322" i="9"/>
  <c r="A5322" i="9"/>
  <c r="E5321" i="9"/>
  <c r="D5321" i="9"/>
  <c r="C5321" i="9"/>
  <c r="B5321" i="9"/>
  <c r="A5321" i="9"/>
  <c r="E5320" i="9"/>
  <c r="D5320" i="9"/>
  <c r="C5320" i="9"/>
  <c r="B5320" i="9"/>
  <c r="A5320" i="9"/>
  <c r="E5319" i="9"/>
  <c r="D5319" i="9"/>
  <c r="C5319" i="9"/>
  <c r="B5319" i="9"/>
  <c r="A5319" i="9"/>
  <c r="E5318" i="9"/>
  <c r="D5318" i="9"/>
  <c r="C5318" i="9"/>
  <c r="B5318" i="9"/>
  <c r="A5318" i="9"/>
  <c r="E5317" i="9"/>
  <c r="D5317" i="9"/>
  <c r="C5317" i="9"/>
  <c r="B5317" i="9"/>
  <c r="A5317" i="9"/>
  <c r="E5316" i="9"/>
  <c r="D5316" i="9"/>
  <c r="C5316" i="9"/>
  <c r="B5316" i="9"/>
  <c r="A5316" i="9"/>
  <c r="E5315" i="9"/>
  <c r="D5315" i="9"/>
  <c r="C5315" i="9"/>
  <c r="B5315" i="9"/>
  <c r="A5315" i="9"/>
  <c r="E5314" i="9"/>
  <c r="D5314" i="9"/>
  <c r="C5314" i="9"/>
  <c r="B5314" i="9"/>
  <c r="A5314" i="9"/>
  <c r="E5313" i="9"/>
  <c r="D5313" i="9"/>
  <c r="C5313" i="9"/>
  <c r="B5313" i="9"/>
  <c r="A5313" i="9"/>
  <c r="E5312" i="9"/>
  <c r="D5312" i="9"/>
  <c r="C5312" i="9"/>
  <c r="B5312" i="9"/>
  <c r="A5312" i="9"/>
  <c r="E5311" i="9"/>
  <c r="D5311" i="9"/>
  <c r="C5311" i="9"/>
  <c r="B5311" i="9"/>
  <c r="A5311" i="9"/>
  <c r="E5310" i="9"/>
  <c r="D5310" i="9"/>
  <c r="C5310" i="9"/>
  <c r="B5310" i="9"/>
  <c r="A5310" i="9"/>
  <c r="E5309" i="9"/>
  <c r="D5309" i="9"/>
  <c r="C5309" i="9"/>
  <c r="B5309" i="9"/>
  <c r="A5309" i="9"/>
  <c r="E5308" i="9"/>
  <c r="D5308" i="9"/>
  <c r="C5308" i="9"/>
  <c r="B5308" i="9"/>
  <c r="A5308" i="9"/>
  <c r="E5307" i="9"/>
  <c r="D5307" i="9"/>
  <c r="C5307" i="9"/>
  <c r="B5307" i="9"/>
  <c r="A5307" i="9"/>
  <c r="E5306" i="9"/>
  <c r="D5306" i="9"/>
  <c r="C5306" i="9"/>
  <c r="B5306" i="9"/>
  <c r="A5306" i="9"/>
  <c r="E5305" i="9"/>
  <c r="D5305" i="9"/>
  <c r="C5305" i="9"/>
  <c r="B5305" i="9"/>
  <c r="A5305" i="9"/>
  <c r="E5304" i="9"/>
  <c r="D5304" i="9"/>
  <c r="C5304" i="9"/>
  <c r="B5304" i="9"/>
  <c r="A5304" i="9"/>
  <c r="E5303" i="9"/>
  <c r="D5303" i="9"/>
  <c r="C5303" i="9"/>
  <c r="B5303" i="9"/>
  <c r="A5303" i="9"/>
  <c r="E5302" i="9"/>
  <c r="D5302" i="9"/>
  <c r="C5302" i="9"/>
  <c r="B5302" i="9"/>
  <c r="A5302" i="9"/>
  <c r="E5301" i="9"/>
  <c r="D5301" i="9"/>
  <c r="C5301" i="9"/>
  <c r="B5301" i="9"/>
  <c r="A5301" i="9"/>
  <c r="E5300" i="9"/>
  <c r="D5300" i="9"/>
  <c r="C5300" i="9"/>
  <c r="B5300" i="9"/>
  <c r="A5300" i="9"/>
  <c r="E5299" i="9"/>
  <c r="D5299" i="9"/>
  <c r="C5299" i="9"/>
  <c r="B5299" i="9"/>
  <c r="A5299" i="9"/>
  <c r="E5298" i="9"/>
  <c r="D5298" i="9"/>
  <c r="C5298" i="9"/>
  <c r="B5298" i="9"/>
  <c r="A5298" i="9"/>
  <c r="E5297" i="9"/>
  <c r="D5297" i="9"/>
  <c r="C5297" i="9"/>
  <c r="B5297" i="9"/>
  <c r="A5297" i="9"/>
  <c r="E5296" i="9"/>
  <c r="D5296" i="9"/>
  <c r="C5296" i="9"/>
  <c r="B5296" i="9"/>
  <c r="A5296" i="9"/>
  <c r="E5295" i="9"/>
  <c r="D5295" i="9"/>
  <c r="C5295" i="9"/>
  <c r="B5295" i="9"/>
  <c r="A5295" i="9"/>
  <c r="E5294" i="9"/>
  <c r="D5294" i="9"/>
  <c r="C5294" i="9"/>
  <c r="B5294" i="9"/>
  <c r="A5294" i="9"/>
  <c r="E5293" i="9"/>
  <c r="D5293" i="9"/>
  <c r="C5293" i="9"/>
  <c r="B5293" i="9"/>
  <c r="A5293" i="9"/>
  <c r="E5292" i="9"/>
  <c r="D5292" i="9"/>
  <c r="C5292" i="9"/>
  <c r="B5292" i="9"/>
  <c r="A5292" i="9"/>
  <c r="E5291" i="9"/>
  <c r="D5291" i="9"/>
  <c r="C5291" i="9"/>
  <c r="B5291" i="9"/>
  <c r="A5291" i="9"/>
  <c r="E5290" i="9"/>
  <c r="D5290" i="9"/>
  <c r="C5290" i="9"/>
  <c r="B5290" i="9"/>
  <c r="A5290" i="9"/>
  <c r="E5289" i="9"/>
  <c r="D5289" i="9"/>
  <c r="C5289" i="9"/>
  <c r="B5289" i="9"/>
  <c r="A5289" i="9"/>
  <c r="E5288" i="9"/>
  <c r="D5288" i="9"/>
  <c r="C5288" i="9"/>
  <c r="B5288" i="9"/>
  <c r="A5288" i="9"/>
  <c r="E5287" i="9"/>
  <c r="D5287" i="9"/>
  <c r="C5287" i="9"/>
  <c r="B5287" i="9"/>
  <c r="A5287" i="9"/>
  <c r="E5286" i="9"/>
  <c r="D5286" i="9"/>
  <c r="C5286" i="9"/>
  <c r="B5286" i="9"/>
  <c r="A5286" i="9"/>
  <c r="E5285" i="9"/>
  <c r="D5285" i="9"/>
  <c r="C5285" i="9"/>
  <c r="B5285" i="9"/>
  <c r="A5285" i="9"/>
  <c r="E5284" i="9"/>
  <c r="D5284" i="9"/>
  <c r="C5284" i="9"/>
  <c r="B5284" i="9"/>
  <c r="A5284" i="9"/>
  <c r="E5283" i="9"/>
  <c r="D5283" i="9"/>
  <c r="C5283" i="9"/>
  <c r="B5283" i="9"/>
  <c r="A5283" i="9"/>
  <c r="E5282" i="9"/>
  <c r="D5282" i="9"/>
  <c r="C5282" i="9"/>
  <c r="B5282" i="9"/>
  <c r="A5282" i="9"/>
  <c r="E5281" i="9"/>
  <c r="D5281" i="9"/>
  <c r="C5281" i="9"/>
  <c r="B5281" i="9"/>
  <c r="A5281" i="9"/>
  <c r="E5280" i="9"/>
  <c r="D5280" i="9"/>
  <c r="C5280" i="9"/>
  <c r="B5280" i="9"/>
  <c r="A5280" i="9"/>
  <c r="Q5279" i="9"/>
  <c r="N5279" i="9"/>
  <c r="I5279" i="9"/>
  <c r="H5279" i="9"/>
  <c r="G5279" i="9"/>
  <c r="F5279" i="9"/>
  <c r="E5279" i="9"/>
  <c r="D5279" i="9"/>
  <c r="C5279" i="9"/>
  <c r="B5279" i="9"/>
  <c r="A5279" i="9"/>
  <c r="E5278" i="9"/>
  <c r="D5278" i="9"/>
  <c r="C5278" i="9"/>
  <c r="B5278" i="9"/>
  <c r="A5278" i="9"/>
  <c r="E5277" i="9"/>
  <c r="D5277" i="9"/>
  <c r="C5277" i="9"/>
  <c r="B5277" i="9"/>
  <c r="A5277" i="9"/>
  <c r="E5276" i="9"/>
  <c r="D5276" i="9"/>
  <c r="C5276" i="9"/>
  <c r="B5276" i="9"/>
  <c r="A5276" i="9"/>
  <c r="E5275" i="9"/>
  <c r="D5275" i="9"/>
  <c r="C5275" i="9"/>
  <c r="B5275" i="9"/>
  <c r="A5275" i="9"/>
  <c r="E5274" i="9"/>
  <c r="D5274" i="9"/>
  <c r="C5274" i="9"/>
  <c r="B5274" i="9"/>
  <c r="A5274" i="9"/>
  <c r="E5273" i="9"/>
  <c r="D5273" i="9"/>
  <c r="C5273" i="9"/>
  <c r="B5273" i="9"/>
  <c r="A5273" i="9"/>
  <c r="E5272" i="9"/>
  <c r="D5272" i="9"/>
  <c r="C5272" i="9"/>
  <c r="B5272" i="9"/>
  <c r="A5272" i="9"/>
  <c r="E5271" i="9"/>
  <c r="D5271" i="9"/>
  <c r="C5271" i="9"/>
  <c r="B5271" i="9"/>
  <c r="A5271" i="9"/>
  <c r="E5270" i="9"/>
  <c r="D5270" i="9"/>
  <c r="C5270" i="9"/>
  <c r="B5270" i="9"/>
  <c r="A5270" i="9"/>
  <c r="E5269" i="9"/>
  <c r="D5269" i="9"/>
  <c r="C5269" i="9"/>
  <c r="B5269" i="9"/>
  <c r="A5269" i="9"/>
  <c r="E5268" i="9"/>
  <c r="D5268" i="9"/>
  <c r="C5268" i="9"/>
  <c r="B5268" i="9"/>
  <c r="A5268" i="9"/>
  <c r="E5267" i="9"/>
  <c r="D5267" i="9"/>
  <c r="C5267" i="9"/>
  <c r="B5267" i="9"/>
  <c r="A5267" i="9"/>
  <c r="E5266" i="9"/>
  <c r="D5266" i="9"/>
  <c r="C5266" i="9"/>
  <c r="B5266" i="9"/>
  <c r="A5266" i="9"/>
  <c r="E5265" i="9"/>
  <c r="D5265" i="9"/>
  <c r="C5265" i="9"/>
  <c r="B5265" i="9"/>
  <c r="A5265" i="9"/>
  <c r="E5264" i="9"/>
  <c r="D5264" i="9"/>
  <c r="C5264" i="9"/>
  <c r="B5264" i="9"/>
  <c r="A5264" i="9"/>
  <c r="E5263" i="9"/>
  <c r="D5263" i="9"/>
  <c r="C5263" i="9"/>
  <c r="B5263" i="9"/>
  <c r="A5263" i="9"/>
  <c r="E5262" i="9"/>
  <c r="D5262" i="9"/>
  <c r="C5262" i="9"/>
  <c r="B5262" i="9"/>
  <c r="A5262" i="9"/>
  <c r="E5261" i="9"/>
  <c r="D5261" i="9"/>
  <c r="C5261" i="9"/>
  <c r="B5261" i="9"/>
  <c r="A5261" i="9"/>
  <c r="E5260" i="9"/>
  <c r="D5260" i="9"/>
  <c r="C5260" i="9"/>
  <c r="B5260" i="9"/>
  <c r="A5260" i="9"/>
  <c r="E5259" i="9"/>
  <c r="D5259" i="9"/>
  <c r="C5259" i="9"/>
  <c r="B5259" i="9"/>
  <c r="A5259" i="9"/>
  <c r="E5258" i="9"/>
  <c r="D5258" i="9"/>
  <c r="C5258" i="9"/>
  <c r="B5258" i="9"/>
  <c r="A5258" i="9"/>
  <c r="E5257" i="9"/>
  <c r="D5257" i="9"/>
  <c r="C5257" i="9"/>
  <c r="B5257" i="9"/>
  <c r="A5257" i="9"/>
  <c r="E5256" i="9"/>
  <c r="D5256" i="9"/>
  <c r="C5256" i="9"/>
  <c r="B5256" i="9"/>
  <c r="A5256" i="9"/>
  <c r="E5255" i="9"/>
  <c r="D5255" i="9"/>
  <c r="C5255" i="9"/>
  <c r="B5255" i="9"/>
  <c r="A5255" i="9"/>
  <c r="E5254" i="9"/>
  <c r="D5254" i="9"/>
  <c r="C5254" i="9"/>
  <c r="B5254" i="9"/>
  <c r="A5254" i="9"/>
  <c r="E5253" i="9"/>
  <c r="D5253" i="9"/>
  <c r="C5253" i="9"/>
  <c r="B5253" i="9"/>
  <c r="A5253" i="9"/>
  <c r="E5252" i="9"/>
  <c r="D5252" i="9"/>
  <c r="C5252" i="9"/>
  <c r="B5252" i="9"/>
  <c r="A5252" i="9"/>
  <c r="E5251" i="9"/>
  <c r="D5251" i="9"/>
  <c r="C5251" i="9"/>
  <c r="B5251" i="9"/>
  <c r="A5251" i="9"/>
  <c r="E5250" i="9"/>
  <c r="D5250" i="9"/>
  <c r="C5250" i="9"/>
  <c r="B5250" i="9"/>
  <c r="A5250" i="9"/>
  <c r="E5249" i="9"/>
  <c r="D5249" i="9"/>
  <c r="C5249" i="9"/>
  <c r="B5249" i="9"/>
  <c r="A5249" i="9"/>
  <c r="E5248" i="9"/>
  <c r="D5248" i="9"/>
  <c r="C5248" i="9"/>
  <c r="B5248" i="9"/>
  <c r="A5248" i="9"/>
  <c r="E5247" i="9"/>
  <c r="D5247" i="9"/>
  <c r="C5247" i="9"/>
  <c r="B5247" i="9"/>
  <c r="A5247" i="9"/>
  <c r="E5246" i="9"/>
  <c r="D5246" i="9"/>
  <c r="C5246" i="9"/>
  <c r="B5246" i="9"/>
  <c r="A5246" i="9"/>
  <c r="E5245" i="9"/>
  <c r="D5245" i="9"/>
  <c r="C5245" i="9"/>
  <c r="B5245" i="9"/>
  <c r="A5245" i="9"/>
  <c r="E5244" i="9"/>
  <c r="D5244" i="9"/>
  <c r="C5244" i="9"/>
  <c r="B5244" i="9"/>
  <c r="A5244" i="9"/>
  <c r="E5243" i="9"/>
  <c r="D5243" i="9"/>
  <c r="C5243" i="9"/>
  <c r="B5243" i="9"/>
  <c r="A5243" i="9"/>
  <c r="E5242" i="9"/>
  <c r="D5242" i="9"/>
  <c r="C5242" i="9"/>
  <c r="B5242" i="9"/>
  <c r="A5242" i="9"/>
  <c r="E5241" i="9"/>
  <c r="D5241" i="9"/>
  <c r="C5241" i="9"/>
  <c r="B5241" i="9"/>
  <c r="A5241" i="9"/>
  <c r="E5240" i="9"/>
  <c r="D5240" i="9"/>
  <c r="C5240" i="9"/>
  <c r="B5240" i="9"/>
  <c r="A5240" i="9"/>
  <c r="E5239" i="9"/>
  <c r="D5239" i="9"/>
  <c r="C5239" i="9"/>
  <c r="B5239" i="9"/>
  <c r="A5239" i="9"/>
  <c r="E5238" i="9"/>
  <c r="D5238" i="9"/>
  <c r="C5238" i="9"/>
  <c r="B5238" i="9"/>
  <c r="A5238" i="9"/>
  <c r="E5237" i="9"/>
  <c r="D5237" i="9"/>
  <c r="C5237" i="9"/>
  <c r="B5237" i="9"/>
  <c r="A5237" i="9"/>
  <c r="E5236" i="9"/>
  <c r="D5236" i="9"/>
  <c r="C5236" i="9"/>
  <c r="B5236" i="9"/>
  <c r="A5236" i="9"/>
  <c r="E5235" i="9"/>
  <c r="D5235" i="9"/>
  <c r="C5235" i="9"/>
  <c r="B5235" i="9"/>
  <c r="A5235" i="9"/>
  <c r="E5234" i="9"/>
  <c r="D5234" i="9"/>
  <c r="C5234" i="9"/>
  <c r="B5234" i="9"/>
  <c r="A5234" i="9"/>
  <c r="E5233" i="9"/>
  <c r="D5233" i="9"/>
  <c r="C5233" i="9"/>
  <c r="B5233" i="9"/>
  <c r="A5233" i="9"/>
  <c r="E5232" i="9"/>
  <c r="D5232" i="9"/>
  <c r="C5232" i="9"/>
  <c r="B5232" i="9"/>
  <c r="A5232" i="9"/>
  <c r="E5231" i="9"/>
  <c r="D5231" i="9"/>
  <c r="C5231" i="9"/>
  <c r="B5231" i="9"/>
  <c r="A5231" i="9"/>
  <c r="E5230" i="9"/>
  <c r="D5230" i="9"/>
  <c r="C5230" i="9"/>
  <c r="B5230" i="9"/>
  <c r="A5230" i="9"/>
  <c r="E5229" i="9"/>
  <c r="D5229" i="9"/>
  <c r="C5229" i="9"/>
  <c r="B5229" i="9"/>
  <c r="A5229" i="9"/>
  <c r="E5228" i="9"/>
  <c r="D5228" i="9"/>
  <c r="C5228" i="9"/>
  <c r="B5228" i="9"/>
  <c r="A5228" i="9"/>
  <c r="E5227" i="9"/>
  <c r="D5227" i="9"/>
  <c r="C5227" i="9"/>
  <c r="B5227" i="9"/>
  <c r="A5227" i="9"/>
  <c r="E5226" i="9"/>
  <c r="D5226" i="9"/>
  <c r="C5226" i="9"/>
  <c r="B5226" i="9"/>
  <c r="A5226" i="9"/>
  <c r="E5225" i="9"/>
  <c r="D5225" i="9"/>
  <c r="C5225" i="9"/>
  <c r="B5225" i="9"/>
  <c r="A5225" i="9"/>
  <c r="E5224" i="9"/>
  <c r="D5224" i="9"/>
  <c r="C5224" i="9"/>
  <c r="B5224" i="9"/>
  <c r="A5224" i="9"/>
  <c r="E5223" i="9"/>
  <c r="D5223" i="9"/>
  <c r="C5223" i="9"/>
  <c r="B5223" i="9"/>
  <c r="A5223" i="9"/>
  <c r="E5222" i="9"/>
  <c r="D5222" i="9"/>
  <c r="C5222" i="9"/>
  <c r="B5222" i="9"/>
  <c r="A5222" i="9"/>
  <c r="E5221" i="9"/>
  <c r="D5221" i="9"/>
  <c r="C5221" i="9"/>
  <c r="B5221" i="9"/>
  <c r="A5221" i="9"/>
  <c r="E5220" i="9"/>
  <c r="D5220" i="9"/>
  <c r="C5220" i="9"/>
  <c r="B5220" i="9"/>
  <c r="A5220" i="9"/>
  <c r="E5219" i="9"/>
  <c r="D5219" i="9"/>
  <c r="C5219" i="9"/>
  <c r="B5219" i="9"/>
  <c r="A5219" i="9"/>
  <c r="E5218" i="9"/>
  <c r="D5218" i="9"/>
  <c r="C5218" i="9"/>
  <c r="B5218" i="9"/>
  <c r="A5218" i="9"/>
  <c r="E5217" i="9"/>
  <c r="D5217" i="9"/>
  <c r="C5217" i="9"/>
  <c r="B5217" i="9"/>
  <c r="A5217" i="9"/>
  <c r="E5216" i="9"/>
  <c r="D5216" i="9"/>
  <c r="C5216" i="9"/>
  <c r="B5216" i="9"/>
  <c r="A5216" i="9"/>
  <c r="E5215" i="9"/>
  <c r="D5215" i="9"/>
  <c r="C5215" i="9"/>
  <c r="B5215" i="9"/>
  <c r="A5215" i="9"/>
  <c r="E5214" i="9"/>
  <c r="D5214" i="9"/>
  <c r="C5214" i="9"/>
  <c r="B5214" i="9"/>
  <c r="A5214" i="9"/>
  <c r="E5213" i="9"/>
  <c r="D5213" i="9"/>
  <c r="C5213" i="9"/>
  <c r="B5213" i="9"/>
  <c r="A5213" i="9"/>
  <c r="E5212" i="9"/>
  <c r="D5212" i="9"/>
  <c r="C5212" i="9"/>
  <c r="B5212" i="9"/>
  <c r="A5212" i="9"/>
  <c r="E5211" i="9"/>
  <c r="D5211" i="9"/>
  <c r="C5211" i="9"/>
  <c r="B5211" i="9"/>
  <c r="A5211" i="9"/>
  <c r="E5210" i="9"/>
  <c r="D5210" i="9"/>
  <c r="C5210" i="9"/>
  <c r="B5210" i="9"/>
  <c r="A5210" i="9"/>
  <c r="E5209" i="9"/>
  <c r="D5209" i="9"/>
  <c r="C5209" i="9"/>
  <c r="B5209" i="9"/>
  <c r="A5209" i="9"/>
  <c r="E5208" i="9"/>
  <c r="D5208" i="9"/>
  <c r="C5208" i="9"/>
  <c r="B5208" i="9"/>
  <c r="A5208" i="9"/>
  <c r="E5207" i="9"/>
  <c r="D5207" i="9"/>
  <c r="C5207" i="9"/>
  <c r="B5207" i="9"/>
  <c r="A5207" i="9"/>
  <c r="E5206" i="9"/>
  <c r="D5206" i="9"/>
  <c r="C5206" i="9"/>
  <c r="B5206" i="9"/>
  <c r="A5206" i="9"/>
  <c r="E5205" i="9"/>
  <c r="D5205" i="9"/>
  <c r="C5205" i="9"/>
  <c r="B5205" i="9"/>
  <c r="A5205" i="9"/>
  <c r="E5204" i="9"/>
  <c r="D5204" i="9"/>
  <c r="C5204" i="9"/>
  <c r="B5204" i="9"/>
  <c r="A5204" i="9"/>
  <c r="E5203" i="9"/>
  <c r="D5203" i="9"/>
  <c r="C5203" i="9"/>
  <c r="B5203" i="9"/>
  <c r="A5203" i="9"/>
  <c r="E5202" i="9"/>
  <c r="D5202" i="9"/>
  <c r="C5202" i="9"/>
  <c r="B5202" i="9"/>
  <c r="A5202" i="9"/>
  <c r="E5201" i="9"/>
  <c r="D5201" i="9"/>
  <c r="C5201" i="9"/>
  <c r="B5201" i="9"/>
  <c r="A5201" i="9"/>
  <c r="E5200" i="9"/>
  <c r="D5200" i="9"/>
  <c r="C5200" i="9"/>
  <c r="B5200" i="9"/>
  <c r="A5200" i="9"/>
  <c r="E5199" i="9"/>
  <c r="D5199" i="9"/>
  <c r="C5199" i="9"/>
  <c r="B5199" i="9"/>
  <c r="A5199" i="9"/>
  <c r="E5198" i="9"/>
  <c r="D5198" i="9"/>
  <c r="C5198" i="9"/>
  <c r="B5198" i="9"/>
  <c r="A5198" i="9"/>
  <c r="E5197" i="9"/>
  <c r="D5197" i="9"/>
  <c r="C5197" i="9"/>
  <c r="B5197" i="9"/>
  <c r="A5197" i="9"/>
  <c r="E5196" i="9"/>
  <c r="D5196" i="9"/>
  <c r="C5196" i="9"/>
  <c r="B5196" i="9"/>
  <c r="A5196" i="9"/>
  <c r="E5195" i="9"/>
  <c r="D5195" i="9"/>
  <c r="C5195" i="9"/>
  <c r="B5195" i="9"/>
  <c r="A5195" i="9"/>
  <c r="E5194" i="9"/>
  <c r="D5194" i="9"/>
  <c r="C5194" i="9"/>
  <c r="B5194" i="9"/>
  <c r="A5194" i="9"/>
  <c r="E5193" i="9"/>
  <c r="D5193" i="9"/>
  <c r="C5193" i="9"/>
  <c r="B5193" i="9"/>
  <c r="A5193" i="9"/>
  <c r="E5192" i="9"/>
  <c r="D5192" i="9"/>
  <c r="C5192" i="9"/>
  <c r="B5192" i="9"/>
  <c r="A5192" i="9"/>
  <c r="E5191" i="9"/>
  <c r="D5191" i="9"/>
  <c r="C5191" i="9"/>
  <c r="B5191" i="9"/>
  <c r="A5191" i="9"/>
  <c r="E5190" i="9"/>
  <c r="D5190" i="9"/>
  <c r="C5190" i="9"/>
  <c r="B5190" i="9"/>
  <c r="A5190" i="9"/>
  <c r="E5189" i="9"/>
  <c r="D5189" i="9"/>
  <c r="C5189" i="9"/>
  <c r="B5189" i="9"/>
  <c r="A5189" i="9"/>
  <c r="E5188" i="9"/>
  <c r="D5188" i="9"/>
  <c r="C5188" i="9"/>
  <c r="B5188" i="9"/>
  <c r="A5188" i="9"/>
  <c r="E5187" i="9"/>
  <c r="D5187" i="9"/>
  <c r="C5187" i="9"/>
  <c r="B5187" i="9"/>
  <c r="A5187" i="9"/>
  <c r="E5186" i="9"/>
  <c r="D5186" i="9"/>
  <c r="C5186" i="9"/>
  <c r="B5186" i="9"/>
  <c r="A5186" i="9"/>
  <c r="E5185" i="9"/>
  <c r="D5185" i="9"/>
  <c r="C5185" i="9"/>
  <c r="B5185" i="9"/>
  <c r="A5185" i="9"/>
  <c r="E5184" i="9"/>
  <c r="D5184" i="9"/>
  <c r="C5184" i="9"/>
  <c r="B5184" i="9"/>
  <c r="A5184" i="9"/>
  <c r="E5183" i="9"/>
  <c r="D5183" i="9"/>
  <c r="C5183" i="9"/>
  <c r="B5183" i="9"/>
  <c r="A5183" i="9"/>
  <c r="E5182" i="9"/>
  <c r="D5182" i="9"/>
  <c r="C5182" i="9"/>
  <c r="B5182" i="9"/>
  <c r="A5182" i="9"/>
  <c r="E5181" i="9"/>
  <c r="D5181" i="9"/>
  <c r="C5181" i="9"/>
  <c r="B5181" i="9"/>
  <c r="A5181" i="9"/>
  <c r="E5180" i="9"/>
  <c r="D5180" i="9"/>
  <c r="C5180" i="9"/>
  <c r="B5180" i="9"/>
  <c r="A5180" i="9"/>
  <c r="E5179" i="9"/>
  <c r="D5179" i="9"/>
  <c r="C5179" i="9"/>
  <c r="B5179" i="9"/>
  <c r="A5179" i="9"/>
  <c r="E5178" i="9"/>
  <c r="D5178" i="9"/>
  <c r="C5178" i="9"/>
  <c r="B5178" i="9"/>
  <c r="A5178" i="9"/>
  <c r="E5177" i="9"/>
  <c r="D5177" i="9"/>
  <c r="C5177" i="9"/>
  <c r="B5177" i="9"/>
  <c r="A5177" i="9"/>
  <c r="E5176" i="9"/>
  <c r="D5176" i="9"/>
  <c r="C5176" i="9"/>
  <c r="B5176" i="9"/>
  <c r="A5176" i="9"/>
  <c r="E5175" i="9"/>
  <c r="D5175" i="9"/>
  <c r="C5175" i="9"/>
  <c r="B5175" i="9"/>
  <c r="A5175" i="9"/>
  <c r="E5174" i="9"/>
  <c r="D5174" i="9"/>
  <c r="C5174" i="9"/>
  <c r="B5174" i="9"/>
  <c r="A5174" i="9"/>
  <c r="E5173" i="9"/>
  <c r="D5173" i="9"/>
  <c r="C5173" i="9"/>
  <c r="B5173" i="9"/>
  <c r="A5173" i="9"/>
  <c r="E5172" i="9"/>
  <c r="D5172" i="9"/>
  <c r="C5172" i="9"/>
  <c r="B5172" i="9"/>
  <c r="A5172" i="9"/>
  <c r="E5171" i="9"/>
  <c r="D5171" i="9"/>
  <c r="C5171" i="9"/>
  <c r="B5171" i="9"/>
  <c r="A5171" i="9"/>
  <c r="E5170" i="9"/>
  <c r="D5170" i="9"/>
  <c r="C5170" i="9"/>
  <c r="B5170" i="9"/>
  <c r="A5170" i="9"/>
  <c r="E5169" i="9"/>
  <c r="D5169" i="9"/>
  <c r="C5169" i="9"/>
  <c r="B5169" i="9"/>
  <c r="A5169" i="9"/>
  <c r="E5168" i="9"/>
  <c r="D5168" i="9"/>
  <c r="C5168" i="9"/>
  <c r="B5168" i="9"/>
  <c r="A5168" i="9"/>
  <c r="E5167" i="9"/>
  <c r="D5167" i="9"/>
  <c r="C5167" i="9"/>
  <c r="B5167" i="9"/>
  <c r="A5167" i="9"/>
  <c r="E5166" i="9"/>
  <c r="D5166" i="9"/>
  <c r="C5166" i="9"/>
  <c r="B5166" i="9"/>
  <c r="A5166" i="9"/>
  <c r="E5165" i="9"/>
  <c r="D5165" i="9"/>
  <c r="C5165" i="9"/>
  <c r="B5165" i="9"/>
  <c r="A5165" i="9"/>
  <c r="E5164" i="9"/>
  <c r="D5164" i="9"/>
  <c r="C5164" i="9"/>
  <c r="B5164" i="9"/>
  <c r="A5164" i="9"/>
  <c r="E5163" i="9"/>
  <c r="D5163" i="9"/>
  <c r="C5163" i="9"/>
  <c r="B5163" i="9"/>
  <c r="A5163" i="9"/>
  <c r="E5162" i="9"/>
  <c r="D5162" i="9"/>
  <c r="C5162" i="9"/>
  <c r="B5162" i="9"/>
  <c r="A5162" i="9"/>
  <c r="E5161" i="9"/>
  <c r="D5161" i="9"/>
  <c r="C5161" i="9"/>
  <c r="B5161" i="9"/>
  <c r="A5161" i="9"/>
  <c r="E5160" i="9"/>
  <c r="D5160" i="9"/>
  <c r="C5160" i="9"/>
  <c r="B5160" i="9"/>
  <c r="A5160" i="9"/>
  <c r="E5159" i="9"/>
  <c r="D5159" i="9"/>
  <c r="C5159" i="9"/>
  <c r="B5159" i="9"/>
  <c r="A5159" i="9"/>
  <c r="E5158" i="9"/>
  <c r="D5158" i="9"/>
  <c r="C5158" i="9"/>
  <c r="B5158" i="9"/>
  <c r="A5158" i="9"/>
  <c r="E5157" i="9"/>
  <c r="D5157" i="9"/>
  <c r="C5157" i="9"/>
  <c r="B5157" i="9"/>
  <c r="A5157" i="9"/>
  <c r="E5156" i="9"/>
  <c r="D5156" i="9"/>
  <c r="C5156" i="9"/>
  <c r="B5156" i="9"/>
  <c r="A5156" i="9"/>
  <c r="E5155" i="9"/>
  <c r="D5155" i="9"/>
  <c r="C5155" i="9"/>
  <c r="B5155" i="9"/>
  <c r="A5155" i="9"/>
  <c r="E5154" i="9"/>
  <c r="D5154" i="9"/>
  <c r="C5154" i="9"/>
  <c r="B5154" i="9"/>
  <c r="A5154" i="9"/>
  <c r="E5153" i="9"/>
  <c r="D5153" i="9"/>
  <c r="C5153" i="9"/>
  <c r="B5153" i="9"/>
  <c r="A5153" i="9"/>
  <c r="E5152" i="9"/>
  <c r="D5152" i="9"/>
  <c r="C5152" i="9"/>
  <c r="B5152" i="9"/>
  <c r="A5152" i="9"/>
  <c r="E5151" i="9"/>
  <c r="D5151" i="9"/>
  <c r="C5151" i="9"/>
  <c r="B5151" i="9"/>
  <c r="A5151" i="9"/>
  <c r="E5150" i="9"/>
  <c r="D5150" i="9"/>
  <c r="C5150" i="9"/>
  <c r="B5150" i="9"/>
  <c r="A5150" i="9"/>
  <c r="E5149" i="9"/>
  <c r="D5149" i="9"/>
  <c r="C5149" i="9"/>
  <c r="B5149" i="9"/>
  <c r="A5149" i="9"/>
  <c r="E5148" i="9"/>
  <c r="D5148" i="9"/>
  <c r="C5148" i="9"/>
  <c r="B5148" i="9"/>
  <c r="A5148" i="9"/>
  <c r="E5147" i="9"/>
  <c r="D5147" i="9"/>
  <c r="C5147" i="9"/>
  <c r="B5147" i="9"/>
  <c r="A5147" i="9"/>
  <c r="E5146" i="9"/>
  <c r="D5146" i="9"/>
  <c r="C5146" i="9"/>
  <c r="B5146" i="9"/>
  <c r="A5146" i="9"/>
  <c r="E5145" i="9"/>
  <c r="D5145" i="9"/>
  <c r="C5145" i="9"/>
  <c r="B5145" i="9"/>
  <c r="A5145" i="9"/>
  <c r="E5144" i="9"/>
  <c r="D5144" i="9"/>
  <c r="C5144" i="9"/>
  <c r="B5144" i="9"/>
  <c r="A5144" i="9"/>
  <c r="E5143" i="9"/>
  <c r="D5143" i="9"/>
  <c r="C5143" i="9"/>
  <c r="B5143" i="9"/>
  <c r="A5143" i="9"/>
  <c r="E5142" i="9"/>
  <c r="D5142" i="9"/>
  <c r="C5142" i="9"/>
  <c r="B5142" i="9"/>
  <c r="A5142" i="9"/>
  <c r="E5141" i="9"/>
  <c r="D5141" i="9"/>
  <c r="C5141" i="9"/>
  <c r="B5141" i="9"/>
  <c r="A5141" i="9"/>
  <c r="E5140" i="9"/>
  <c r="D5140" i="9"/>
  <c r="C5140" i="9"/>
  <c r="B5140" i="9"/>
  <c r="A5140" i="9"/>
  <c r="E5139" i="9"/>
  <c r="D5139" i="9"/>
  <c r="C5139" i="9"/>
  <c r="B5139" i="9"/>
  <c r="A5139" i="9"/>
  <c r="E5138" i="9"/>
  <c r="D5138" i="9"/>
  <c r="C5138" i="9"/>
  <c r="B5138" i="9"/>
  <c r="A5138" i="9"/>
  <c r="E5137" i="9"/>
  <c r="D5137" i="9"/>
  <c r="C5137" i="9"/>
  <c r="B5137" i="9"/>
  <c r="A5137" i="9"/>
  <c r="E5136" i="9"/>
  <c r="D5136" i="9"/>
  <c r="C5136" i="9"/>
  <c r="B5136" i="9"/>
  <c r="A5136" i="9"/>
  <c r="E5135" i="9"/>
  <c r="D5135" i="9"/>
  <c r="C5135" i="9"/>
  <c r="B5135" i="9"/>
  <c r="A5135" i="9"/>
  <c r="E5134" i="9"/>
  <c r="D5134" i="9"/>
  <c r="C5134" i="9"/>
  <c r="B5134" i="9"/>
  <c r="A5134" i="9"/>
  <c r="E5133" i="9"/>
  <c r="D5133" i="9"/>
  <c r="C5133" i="9"/>
  <c r="B5133" i="9"/>
  <c r="A5133" i="9"/>
  <c r="E5132" i="9"/>
  <c r="D5132" i="9"/>
  <c r="C5132" i="9"/>
  <c r="B5132" i="9"/>
  <c r="A5132" i="9"/>
  <c r="E5131" i="9"/>
  <c r="D5131" i="9"/>
  <c r="C5131" i="9"/>
  <c r="B5131" i="9"/>
  <c r="A5131" i="9"/>
  <c r="E5130" i="9"/>
  <c r="D5130" i="9"/>
  <c r="C5130" i="9"/>
  <c r="B5130" i="9"/>
  <c r="A5130" i="9"/>
  <c r="E5129" i="9"/>
  <c r="D5129" i="9"/>
  <c r="C5129" i="9"/>
  <c r="B5129" i="9"/>
  <c r="A5129" i="9"/>
  <c r="E5128" i="9"/>
  <c r="D5128" i="9"/>
  <c r="C5128" i="9"/>
  <c r="B5128" i="9"/>
  <c r="A5128" i="9"/>
  <c r="E5127" i="9"/>
  <c r="D5127" i="9"/>
  <c r="C5127" i="9"/>
  <c r="B5127" i="9"/>
  <c r="A5127" i="9"/>
  <c r="E5126" i="9"/>
  <c r="D5126" i="9"/>
  <c r="C5126" i="9"/>
  <c r="B5126" i="9"/>
  <c r="A5126" i="9"/>
  <c r="E5125" i="9"/>
  <c r="D5125" i="9"/>
  <c r="C5125" i="9"/>
  <c r="B5125" i="9"/>
  <c r="A5125" i="9"/>
  <c r="E5124" i="9"/>
  <c r="D5124" i="9"/>
  <c r="C5124" i="9"/>
  <c r="B5124" i="9"/>
  <c r="A5124" i="9"/>
  <c r="E5123" i="9"/>
  <c r="D5123" i="9"/>
  <c r="C5123" i="9"/>
  <c r="B5123" i="9"/>
  <c r="A5123" i="9"/>
  <c r="E5122" i="9"/>
  <c r="D5122" i="9"/>
  <c r="C5122" i="9"/>
  <c r="B5122" i="9"/>
  <c r="A5122" i="9"/>
  <c r="E5121" i="9"/>
  <c r="D5121" i="9"/>
  <c r="C5121" i="9"/>
  <c r="B5121" i="9"/>
  <c r="A5121" i="9"/>
  <c r="E5120" i="9"/>
  <c r="D5120" i="9"/>
  <c r="C5120" i="9"/>
  <c r="B5120" i="9"/>
  <c r="A5120" i="9"/>
  <c r="E5119" i="9"/>
  <c r="D5119" i="9"/>
  <c r="C5119" i="9"/>
  <c r="B5119" i="9"/>
  <c r="A5119" i="9"/>
  <c r="E5118" i="9"/>
  <c r="D5118" i="9"/>
  <c r="C5118" i="9"/>
  <c r="B5118" i="9"/>
  <c r="A5118" i="9"/>
  <c r="E5117" i="9"/>
  <c r="D5117" i="9"/>
  <c r="C5117" i="9"/>
  <c r="B5117" i="9"/>
  <c r="A5117" i="9"/>
  <c r="E5116" i="9"/>
  <c r="D5116" i="9"/>
  <c r="C5116" i="9"/>
  <c r="B5116" i="9"/>
  <c r="A5116" i="9"/>
  <c r="E5115" i="9"/>
  <c r="D5115" i="9"/>
  <c r="C5115" i="9"/>
  <c r="B5115" i="9"/>
  <c r="A5115" i="9"/>
  <c r="E5114" i="9"/>
  <c r="D5114" i="9"/>
  <c r="C5114" i="9"/>
  <c r="B5114" i="9"/>
  <c r="A5114" i="9"/>
  <c r="E5113" i="9"/>
  <c r="D5113" i="9"/>
  <c r="C5113" i="9"/>
  <c r="B5113" i="9"/>
  <c r="A5113" i="9"/>
  <c r="E5112" i="9"/>
  <c r="D5112" i="9"/>
  <c r="C5112" i="9"/>
  <c r="B5112" i="9"/>
  <c r="A5112" i="9"/>
  <c r="E5111" i="9"/>
  <c r="D5111" i="9"/>
  <c r="C5111" i="9"/>
  <c r="B5111" i="9"/>
  <c r="A5111" i="9"/>
  <c r="E5110" i="9"/>
  <c r="D5110" i="9"/>
  <c r="C5110" i="9"/>
  <c r="B5110" i="9"/>
  <c r="A5110" i="9"/>
  <c r="E5109" i="9"/>
  <c r="D5109" i="9"/>
  <c r="C5109" i="9"/>
  <c r="B5109" i="9"/>
  <c r="A5109" i="9"/>
  <c r="E5108" i="9"/>
  <c r="D5108" i="9"/>
  <c r="C5108" i="9"/>
  <c r="B5108" i="9"/>
  <c r="A5108" i="9"/>
  <c r="E5107" i="9"/>
  <c r="D5107" i="9"/>
  <c r="C5107" i="9"/>
  <c r="B5107" i="9"/>
  <c r="A5107" i="9"/>
  <c r="E5106" i="9"/>
  <c r="D5106" i="9"/>
  <c r="C5106" i="9"/>
  <c r="B5106" i="9"/>
  <c r="A5106" i="9"/>
  <c r="E5105" i="9"/>
  <c r="D5105" i="9"/>
  <c r="C5105" i="9"/>
  <c r="B5105" i="9"/>
  <c r="A5105" i="9"/>
  <c r="E5104" i="9"/>
  <c r="D5104" i="9"/>
  <c r="C5104" i="9"/>
  <c r="B5104" i="9"/>
  <c r="A5104" i="9"/>
  <c r="E5103" i="9"/>
  <c r="D5103" i="9"/>
  <c r="C5103" i="9"/>
  <c r="B5103" i="9"/>
  <c r="A5103" i="9"/>
  <c r="E5102" i="9"/>
  <c r="D5102" i="9"/>
  <c r="C5102" i="9"/>
  <c r="B5102" i="9"/>
  <c r="A5102" i="9"/>
  <c r="E5101" i="9"/>
  <c r="D5101" i="9"/>
  <c r="C5101" i="9"/>
  <c r="B5101" i="9"/>
  <c r="A5101" i="9"/>
  <c r="E5100" i="9"/>
  <c r="D5100" i="9"/>
  <c r="C5100" i="9"/>
  <c r="B5100" i="9"/>
  <c r="A5100" i="9"/>
  <c r="E5099" i="9"/>
  <c r="D5099" i="9"/>
  <c r="C5099" i="9"/>
  <c r="B5099" i="9"/>
  <c r="A5099" i="9"/>
  <c r="E5098" i="9"/>
  <c r="D5098" i="9"/>
  <c r="C5098" i="9"/>
  <c r="B5098" i="9"/>
  <c r="A5098" i="9"/>
  <c r="E5097" i="9"/>
  <c r="D5097" i="9"/>
  <c r="C5097" i="9"/>
  <c r="B5097" i="9"/>
  <c r="A5097" i="9"/>
  <c r="E5096" i="9"/>
  <c r="D5096" i="9"/>
  <c r="C5096" i="9"/>
  <c r="B5096" i="9"/>
  <c r="A5096" i="9"/>
  <c r="E5095" i="9"/>
  <c r="D5095" i="9"/>
  <c r="C5095" i="9"/>
  <c r="B5095" i="9"/>
  <c r="A5095" i="9"/>
  <c r="E5094" i="9"/>
  <c r="D5094" i="9"/>
  <c r="C5094" i="9"/>
  <c r="B5094" i="9"/>
  <c r="A5094" i="9"/>
  <c r="E5093" i="9"/>
  <c r="D5093" i="9"/>
  <c r="C5093" i="9"/>
  <c r="B5093" i="9"/>
  <c r="A5093" i="9"/>
  <c r="E5092" i="9"/>
  <c r="D5092" i="9"/>
  <c r="C5092" i="9"/>
  <c r="B5092" i="9"/>
  <c r="A5092" i="9"/>
  <c r="E5091" i="9"/>
  <c r="D5091" i="9"/>
  <c r="C5091" i="9"/>
  <c r="B5091" i="9"/>
  <c r="A5091" i="9"/>
  <c r="E5090" i="9"/>
  <c r="D5090" i="9"/>
  <c r="C5090" i="9"/>
  <c r="B5090" i="9"/>
  <c r="A5090" i="9"/>
  <c r="E5089" i="9"/>
  <c r="D5089" i="9"/>
  <c r="C5089" i="9"/>
  <c r="B5089" i="9"/>
  <c r="A5089" i="9"/>
  <c r="E5088" i="9"/>
  <c r="D5088" i="9"/>
  <c r="C5088" i="9"/>
  <c r="B5088" i="9"/>
  <c r="A5088" i="9"/>
  <c r="E5087" i="9"/>
  <c r="D5087" i="9"/>
  <c r="C5087" i="9"/>
  <c r="B5087" i="9"/>
  <c r="A5087" i="9"/>
  <c r="E5086" i="9"/>
  <c r="D5086" i="9"/>
  <c r="C5086" i="9"/>
  <c r="B5086" i="9"/>
  <c r="A5086" i="9"/>
  <c r="E5085" i="9"/>
  <c r="D5085" i="9"/>
  <c r="C5085" i="9"/>
  <c r="B5085" i="9"/>
  <c r="A5085" i="9"/>
  <c r="E5084" i="9"/>
  <c r="D5084" i="9"/>
  <c r="C5084" i="9"/>
  <c r="B5084" i="9"/>
  <c r="A5084" i="9"/>
  <c r="E5083" i="9"/>
  <c r="D5083" i="9"/>
  <c r="C5083" i="9"/>
  <c r="B5083" i="9"/>
  <c r="A5083" i="9"/>
  <c r="E5082" i="9"/>
  <c r="D5082" i="9"/>
  <c r="C5082" i="9"/>
  <c r="B5082" i="9"/>
  <c r="A5082" i="9"/>
  <c r="E5081" i="9"/>
  <c r="D5081" i="9"/>
  <c r="C5081" i="9"/>
  <c r="B5081" i="9"/>
  <c r="A5081" i="9"/>
  <c r="E5080" i="9"/>
  <c r="D5080" i="9"/>
  <c r="C5080" i="9"/>
  <c r="B5080" i="9"/>
  <c r="A5080" i="9"/>
  <c r="E5079" i="9"/>
  <c r="D5079" i="9"/>
  <c r="C5079" i="9"/>
  <c r="B5079" i="9"/>
  <c r="A5079" i="9"/>
  <c r="E5078" i="9"/>
  <c r="D5078" i="9"/>
  <c r="C5078" i="9"/>
  <c r="B5078" i="9"/>
  <c r="A5078" i="9"/>
  <c r="E5077" i="9"/>
  <c r="D5077" i="9"/>
  <c r="C5077" i="9"/>
  <c r="B5077" i="9"/>
  <c r="A5077" i="9"/>
  <c r="E5076" i="9"/>
  <c r="D5076" i="9"/>
  <c r="C5076" i="9"/>
  <c r="B5076" i="9"/>
  <c r="A5076" i="9"/>
  <c r="E5075" i="9"/>
  <c r="D5075" i="9"/>
  <c r="C5075" i="9"/>
  <c r="B5075" i="9"/>
  <c r="A5075" i="9"/>
  <c r="E5074" i="9"/>
  <c r="D5074" i="9"/>
  <c r="C5074" i="9"/>
  <c r="B5074" i="9"/>
  <c r="A5074" i="9"/>
  <c r="E5073" i="9"/>
  <c r="D5073" i="9"/>
  <c r="C5073" i="9"/>
  <c r="B5073" i="9"/>
  <c r="A5073" i="9"/>
  <c r="E5072" i="9"/>
  <c r="D5072" i="9"/>
  <c r="C5072" i="9"/>
  <c r="B5072" i="9"/>
  <c r="A5072" i="9"/>
  <c r="E5071" i="9"/>
  <c r="D5071" i="9"/>
  <c r="C5071" i="9"/>
  <c r="B5071" i="9"/>
  <c r="A5071" i="9"/>
  <c r="E5070" i="9"/>
  <c r="D5070" i="9"/>
  <c r="C5070" i="9"/>
  <c r="B5070" i="9"/>
  <c r="A5070" i="9"/>
  <c r="E5069" i="9"/>
  <c r="D5069" i="9"/>
  <c r="C5069" i="9"/>
  <c r="B5069" i="9"/>
  <c r="A5069" i="9"/>
  <c r="E5068" i="9"/>
  <c r="D5068" i="9"/>
  <c r="C5068" i="9"/>
  <c r="B5068" i="9"/>
  <c r="A5068" i="9"/>
  <c r="E5067" i="9"/>
  <c r="D5067" i="9"/>
  <c r="C5067" i="9"/>
  <c r="B5067" i="9"/>
  <c r="A5067" i="9"/>
  <c r="E5066" i="9"/>
  <c r="D5066" i="9"/>
  <c r="C5066" i="9"/>
  <c r="B5066" i="9"/>
  <c r="A5066" i="9"/>
  <c r="E5065" i="9"/>
  <c r="D5065" i="9"/>
  <c r="C5065" i="9"/>
  <c r="B5065" i="9"/>
  <c r="A5065" i="9"/>
  <c r="E5064" i="9"/>
  <c r="D5064" i="9"/>
  <c r="C5064" i="9"/>
  <c r="B5064" i="9"/>
  <c r="A5064" i="9"/>
  <c r="E5063" i="9"/>
  <c r="D5063" i="9"/>
  <c r="C5063" i="9"/>
  <c r="B5063" i="9"/>
  <c r="A5063" i="9"/>
  <c r="E5062" i="9"/>
  <c r="D5062" i="9"/>
  <c r="C5062" i="9"/>
  <c r="B5062" i="9"/>
  <c r="A5062" i="9"/>
  <c r="E5061" i="9"/>
  <c r="D5061" i="9"/>
  <c r="C5061" i="9"/>
  <c r="B5061" i="9"/>
  <c r="A5061" i="9"/>
  <c r="E5060" i="9"/>
  <c r="D5060" i="9"/>
  <c r="C5060" i="9"/>
  <c r="B5060" i="9"/>
  <c r="A5060" i="9"/>
  <c r="E5059" i="9"/>
  <c r="D5059" i="9"/>
  <c r="C5059" i="9"/>
  <c r="B5059" i="9"/>
  <c r="A5059" i="9"/>
  <c r="E5058" i="9"/>
  <c r="D5058" i="9"/>
  <c r="C5058" i="9"/>
  <c r="B5058" i="9"/>
  <c r="A5058" i="9"/>
  <c r="E5057" i="9"/>
  <c r="D5057" i="9"/>
  <c r="C5057" i="9"/>
  <c r="B5057" i="9"/>
  <c r="A5057" i="9"/>
  <c r="E5056" i="9"/>
  <c r="D5056" i="9"/>
  <c r="C5056" i="9"/>
  <c r="B5056" i="9"/>
  <c r="A5056" i="9"/>
  <c r="E5055" i="9"/>
  <c r="D5055" i="9"/>
  <c r="C5055" i="9"/>
  <c r="B5055" i="9"/>
  <c r="A5055" i="9"/>
  <c r="E5054" i="9"/>
  <c r="D5054" i="9"/>
  <c r="C5054" i="9"/>
  <c r="B5054" i="9"/>
  <c r="A5054" i="9"/>
  <c r="E5053" i="9"/>
  <c r="D5053" i="9"/>
  <c r="C5053" i="9"/>
  <c r="B5053" i="9"/>
  <c r="A5053" i="9"/>
  <c r="E5052" i="9"/>
  <c r="D5052" i="9"/>
  <c r="C5052" i="9"/>
  <c r="B5052" i="9"/>
  <c r="A5052" i="9"/>
  <c r="E5051" i="9"/>
  <c r="D5051" i="9"/>
  <c r="C5051" i="9"/>
  <c r="B5051" i="9"/>
  <c r="A5051" i="9"/>
  <c r="E5050" i="9"/>
  <c r="D5050" i="9"/>
  <c r="C5050" i="9"/>
  <c r="B5050" i="9"/>
  <c r="A5050" i="9"/>
  <c r="E5049" i="9"/>
  <c r="D5049" i="9"/>
  <c r="C5049" i="9"/>
  <c r="B5049" i="9"/>
  <c r="A5049" i="9"/>
  <c r="E5048" i="9"/>
  <c r="D5048" i="9"/>
  <c r="C5048" i="9"/>
  <c r="B5048" i="9"/>
  <c r="A5048" i="9"/>
  <c r="E5047" i="9"/>
  <c r="D5047" i="9"/>
  <c r="C5047" i="9"/>
  <c r="B5047" i="9"/>
  <c r="A5047" i="9"/>
  <c r="E5046" i="9"/>
  <c r="D5046" i="9"/>
  <c r="C5046" i="9"/>
  <c r="B5046" i="9"/>
  <c r="A5046" i="9"/>
  <c r="E5045" i="9"/>
  <c r="D5045" i="9"/>
  <c r="C5045" i="9"/>
  <c r="B5045" i="9"/>
  <c r="A5045" i="9"/>
  <c r="E5044" i="9"/>
  <c r="D5044" i="9"/>
  <c r="C5044" i="9"/>
  <c r="B5044" i="9"/>
  <c r="A5044" i="9"/>
  <c r="E5043" i="9"/>
  <c r="D5043" i="9"/>
  <c r="C5043" i="9"/>
  <c r="B5043" i="9"/>
  <c r="A5043" i="9"/>
  <c r="E5042" i="9"/>
  <c r="D5042" i="9"/>
  <c r="C5042" i="9"/>
  <c r="B5042" i="9"/>
  <c r="A5042" i="9"/>
  <c r="E5041" i="9"/>
  <c r="D5041" i="9"/>
  <c r="C5041" i="9"/>
  <c r="B5041" i="9"/>
  <c r="A5041" i="9"/>
  <c r="E5040" i="9"/>
  <c r="D5040" i="9"/>
  <c r="C5040" i="9"/>
  <c r="B5040" i="9"/>
  <c r="A5040" i="9"/>
  <c r="E5039" i="9"/>
  <c r="D5039" i="9"/>
  <c r="C5039" i="9"/>
  <c r="B5039" i="9"/>
  <c r="A5039" i="9"/>
  <c r="E5038" i="9"/>
  <c r="D5038" i="9"/>
  <c r="C5038" i="9"/>
  <c r="B5038" i="9"/>
  <c r="A5038" i="9"/>
  <c r="E5037" i="9"/>
  <c r="D5037" i="9"/>
  <c r="C5037" i="9"/>
  <c r="B5037" i="9"/>
  <c r="A5037" i="9"/>
  <c r="E5036" i="9"/>
  <c r="D5036" i="9"/>
  <c r="C5036" i="9"/>
  <c r="B5036" i="9"/>
  <c r="A5036" i="9"/>
  <c r="E5035" i="9"/>
  <c r="D5035" i="9"/>
  <c r="C5035" i="9"/>
  <c r="B5035" i="9"/>
  <c r="A5035" i="9"/>
  <c r="E5034" i="9"/>
  <c r="D5034" i="9"/>
  <c r="C5034" i="9"/>
  <c r="B5034" i="9"/>
  <c r="A5034" i="9"/>
  <c r="E5033" i="9"/>
  <c r="D5033" i="9"/>
  <c r="C5033" i="9"/>
  <c r="B5033" i="9"/>
  <c r="A5033" i="9"/>
  <c r="E5032" i="9"/>
  <c r="D5032" i="9"/>
  <c r="C5032" i="9"/>
  <c r="B5032" i="9"/>
  <c r="A5032" i="9"/>
  <c r="E5031" i="9"/>
  <c r="D5031" i="9"/>
  <c r="C5031" i="9"/>
  <c r="B5031" i="9"/>
  <c r="A5031" i="9"/>
  <c r="E5030" i="9"/>
  <c r="D5030" i="9"/>
  <c r="C5030" i="9"/>
  <c r="B5030" i="9"/>
  <c r="A5030" i="9"/>
  <c r="E5029" i="9"/>
  <c r="D5029" i="9"/>
  <c r="C5029" i="9"/>
  <c r="B5029" i="9"/>
  <c r="A5029" i="9"/>
  <c r="E5028" i="9"/>
  <c r="D5028" i="9"/>
  <c r="C5028" i="9"/>
  <c r="B5028" i="9"/>
  <c r="A5028" i="9"/>
  <c r="E5027" i="9"/>
  <c r="D5027" i="9"/>
  <c r="C5027" i="9"/>
  <c r="B5027" i="9"/>
  <c r="A5027" i="9"/>
  <c r="E5026" i="9"/>
  <c r="D5026" i="9"/>
  <c r="C5026" i="9"/>
  <c r="B5026" i="9"/>
  <c r="A5026" i="9"/>
  <c r="E5025" i="9"/>
  <c r="D5025" i="9"/>
  <c r="C5025" i="9"/>
  <c r="B5025" i="9"/>
  <c r="A5025" i="9"/>
  <c r="E5024" i="9"/>
  <c r="D5024" i="9"/>
  <c r="C5024" i="9"/>
  <c r="B5024" i="9"/>
  <c r="A5024" i="9"/>
  <c r="E5023" i="9"/>
  <c r="D5023" i="9"/>
  <c r="C5023" i="9"/>
  <c r="B5023" i="9"/>
  <c r="A5023" i="9"/>
  <c r="E5022" i="9"/>
  <c r="D5022" i="9"/>
  <c r="C5022" i="9"/>
  <c r="B5022" i="9"/>
  <c r="A5022" i="9"/>
  <c r="E5021" i="9"/>
  <c r="D5021" i="9"/>
  <c r="C5021" i="9"/>
  <c r="B5021" i="9"/>
  <c r="A5021" i="9"/>
  <c r="E5020" i="9"/>
  <c r="D5020" i="9"/>
  <c r="C5020" i="9"/>
  <c r="B5020" i="9"/>
  <c r="A5020" i="9"/>
  <c r="E5019" i="9"/>
  <c r="D5019" i="9"/>
  <c r="C5019" i="9"/>
  <c r="B5019" i="9"/>
  <c r="A5019" i="9"/>
  <c r="E5018" i="9"/>
  <c r="D5018" i="9"/>
  <c r="C5018" i="9"/>
  <c r="B5018" i="9"/>
  <c r="A5018" i="9"/>
  <c r="E5017" i="9"/>
  <c r="D5017" i="9"/>
  <c r="C5017" i="9"/>
  <c r="B5017" i="9"/>
  <c r="A5017" i="9"/>
  <c r="E5016" i="9"/>
  <c r="D5016" i="9"/>
  <c r="C5016" i="9"/>
  <c r="B5016" i="9"/>
  <c r="A5016" i="9"/>
  <c r="E5015" i="9"/>
  <c r="D5015" i="9"/>
  <c r="C5015" i="9"/>
  <c r="B5015" i="9"/>
  <c r="A5015" i="9"/>
  <c r="E5014" i="9"/>
  <c r="D5014" i="9"/>
  <c r="C5014" i="9"/>
  <c r="B5014" i="9"/>
  <c r="A5014" i="9"/>
  <c r="E5013" i="9"/>
  <c r="D5013" i="9"/>
  <c r="C5013" i="9"/>
  <c r="B5013" i="9"/>
  <c r="A5013" i="9"/>
  <c r="E5012" i="9"/>
  <c r="D5012" i="9"/>
  <c r="C5012" i="9"/>
  <c r="B5012" i="9"/>
  <c r="A5012" i="9"/>
  <c r="E5011" i="9"/>
  <c r="D5011" i="9"/>
  <c r="C5011" i="9"/>
  <c r="B5011" i="9"/>
  <c r="A5011" i="9"/>
  <c r="E5010" i="9"/>
  <c r="D5010" i="9"/>
  <c r="C5010" i="9"/>
  <c r="B5010" i="9"/>
  <c r="A5010" i="9"/>
  <c r="E5009" i="9"/>
  <c r="D5009" i="9"/>
  <c r="C5009" i="9"/>
  <c r="B5009" i="9"/>
  <c r="A5009" i="9"/>
  <c r="E5008" i="9"/>
  <c r="D5008" i="9"/>
  <c r="C5008" i="9"/>
  <c r="B5008" i="9"/>
  <c r="A5008" i="9"/>
  <c r="E5007" i="9"/>
  <c r="D5007" i="9"/>
  <c r="C5007" i="9"/>
  <c r="B5007" i="9"/>
  <c r="A5007" i="9"/>
  <c r="E5006" i="9"/>
  <c r="D5006" i="9"/>
  <c r="C5006" i="9"/>
  <c r="B5006" i="9"/>
  <c r="A5006" i="9"/>
  <c r="E5005" i="9"/>
  <c r="D5005" i="9"/>
  <c r="C5005" i="9"/>
  <c r="B5005" i="9"/>
  <c r="A5005" i="9"/>
  <c r="E5004" i="9"/>
  <c r="D5004" i="9"/>
  <c r="C5004" i="9"/>
  <c r="B5004" i="9"/>
  <c r="A5004" i="9"/>
  <c r="E5003" i="9"/>
  <c r="D5003" i="9"/>
  <c r="C5003" i="9"/>
  <c r="B5003" i="9"/>
  <c r="A5003" i="9"/>
  <c r="E5002" i="9"/>
  <c r="D5002" i="9"/>
  <c r="C5002" i="9"/>
  <c r="B5002" i="9"/>
  <c r="A5002" i="9"/>
  <c r="E5001" i="9"/>
  <c r="D5001" i="9"/>
  <c r="C5001" i="9"/>
  <c r="B5001" i="9"/>
  <c r="A5001" i="9"/>
  <c r="E5000" i="9"/>
  <c r="D5000" i="9"/>
  <c r="C5000" i="9"/>
  <c r="B5000" i="9"/>
  <c r="A5000" i="9"/>
  <c r="E4999" i="9"/>
  <c r="D4999" i="9"/>
  <c r="C4999" i="9"/>
  <c r="B4999" i="9"/>
  <c r="A4999" i="9"/>
  <c r="E4998" i="9"/>
  <c r="D4998" i="9"/>
  <c r="C4998" i="9"/>
  <c r="B4998" i="9"/>
  <c r="A4998" i="9"/>
  <c r="E4997" i="9"/>
  <c r="D4997" i="9"/>
  <c r="C4997" i="9"/>
  <c r="B4997" i="9"/>
  <c r="A4997" i="9"/>
  <c r="E4996" i="9"/>
  <c r="D4996" i="9"/>
  <c r="C4996" i="9"/>
  <c r="B4996" i="9"/>
  <c r="A4996" i="9"/>
  <c r="E4995" i="9"/>
  <c r="D4995" i="9"/>
  <c r="C4995" i="9"/>
  <c r="B4995" i="9"/>
  <c r="A4995" i="9"/>
  <c r="E4994" i="9"/>
  <c r="D4994" i="9"/>
  <c r="C4994" i="9"/>
  <c r="B4994" i="9"/>
  <c r="A4994" i="9"/>
  <c r="E4993" i="9"/>
  <c r="D4993" i="9"/>
  <c r="C4993" i="9"/>
  <c r="B4993" i="9"/>
  <c r="A4993" i="9"/>
  <c r="E4992" i="9"/>
  <c r="D4992" i="9"/>
  <c r="C4992" i="9"/>
  <c r="B4992" i="9"/>
  <c r="A4992" i="9"/>
  <c r="E4991" i="9"/>
  <c r="D4991" i="9"/>
  <c r="C4991" i="9"/>
  <c r="B4991" i="9"/>
  <c r="A4991" i="9"/>
  <c r="E4990" i="9"/>
  <c r="D4990" i="9"/>
  <c r="C4990" i="9"/>
  <c r="B4990" i="9"/>
  <c r="A4990" i="9"/>
  <c r="E4989" i="9"/>
  <c r="D4989" i="9"/>
  <c r="C4989" i="9"/>
  <c r="B4989" i="9"/>
  <c r="A4989" i="9"/>
  <c r="E4988" i="9"/>
  <c r="D4988" i="9"/>
  <c r="C4988" i="9"/>
  <c r="B4988" i="9"/>
  <c r="A4988" i="9"/>
  <c r="E4987" i="9"/>
  <c r="D4987" i="9"/>
  <c r="C4987" i="9"/>
  <c r="B4987" i="9"/>
  <c r="A4987" i="9"/>
  <c r="E4986" i="9"/>
  <c r="D4986" i="9"/>
  <c r="C4986" i="9"/>
  <c r="B4986" i="9"/>
  <c r="A4986" i="9"/>
  <c r="E4985" i="9"/>
  <c r="D4985" i="9"/>
  <c r="C4985" i="9"/>
  <c r="B4985" i="9"/>
  <c r="A4985" i="9"/>
  <c r="E4984" i="9"/>
  <c r="D4984" i="9"/>
  <c r="C4984" i="9"/>
  <c r="B4984" i="9"/>
  <c r="A4984" i="9"/>
  <c r="E4983" i="9"/>
  <c r="D4983" i="9"/>
  <c r="C4983" i="9"/>
  <c r="B4983" i="9"/>
  <c r="A4983" i="9"/>
  <c r="E4982" i="9"/>
  <c r="D4982" i="9"/>
  <c r="C4982" i="9"/>
  <c r="B4982" i="9"/>
  <c r="A4982" i="9"/>
  <c r="E4981" i="9"/>
  <c r="D4981" i="9"/>
  <c r="C4981" i="9"/>
  <c r="B4981" i="9"/>
  <c r="A4981" i="9"/>
  <c r="E4980" i="9"/>
  <c r="D4980" i="9"/>
  <c r="C4980" i="9"/>
  <c r="B4980" i="9"/>
  <c r="A4980" i="9"/>
  <c r="E4979" i="9"/>
  <c r="D4979" i="9"/>
  <c r="C4979" i="9"/>
  <c r="B4979" i="9"/>
  <c r="A4979" i="9"/>
  <c r="E4978" i="9"/>
  <c r="D4978" i="9"/>
  <c r="C4978" i="9"/>
  <c r="B4978" i="9"/>
  <c r="A4978" i="9"/>
  <c r="E4977" i="9"/>
  <c r="D4977" i="9"/>
  <c r="C4977" i="9"/>
  <c r="B4977" i="9"/>
  <c r="A4977" i="9"/>
  <c r="E4976" i="9"/>
  <c r="D4976" i="9"/>
  <c r="C4976" i="9"/>
  <c r="B4976" i="9"/>
  <c r="A4976" i="9"/>
  <c r="E4975" i="9"/>
  <c r="D4975" i="9"/>
  <c r="C4975" i="9"/>
  <c r="B4975" i="9"/>
  <c r="A4975" i="9"/>
  <c r="E4974" i="9"/>
  <c r="D4974" i="9"/>
  <c r="C4974" i="9"/>
  <c r="B4974" i="9"/>
  <c r="A4974" i="9"/>
  <c r="E4973" i="9"/>
  <c r="D4973" i="9"/>
  <c r="C4973" i="9"/>
  <c r="B4973" i="9"/>
  <c r="A4973" i="9"/>
  <c r="E4972" i="9"/>
  <c r="D4972" i="9"/>
  <c r="C4972" i="9"/>
  <c r="B4972" i="9"/>
  <c r="A4972" i="9"/>
  <c r="E4971" i="9"/>
  <c r="D4971" i="9"/>
  <c r="C4971" i="9"/>
  <c r="B4971" i="9"/>
  <c r="A4971" i="9"/>
  <c r="E4970" i="9"/>
  <c r="D4970" i="9"/>
  <c r="C4970" i="9"/>
  <c r="B4970" i="9"/>
  <c r="A4970" i="9"/>
  <c r="E4969" i="9"/>
  <c r="D4969" i="9"/>
  <c r="C4969" i="9"/>
  <c r="B4969" i="9"/>
  <c r="A4969" i="9"/>
  <c r="E4968" i="9"/>
  <c r="D4968" i="9"/>
  <c r="C4968" i="9"/>
  <c r="B4968" i="9"/>
  <c r="A4968" i="9"/>
  <c r="E4967" i="9"/>
  <c r="D4967" i="9"/>
  <c r="C4967" i="9"/>
  <c r="B4967" i="9"/>
  <c r="A4967" i="9"/>
  <c r="E4966" i="9"/>
  <c r="D4966" i="9"/>
  <c r="C4966" i="9"/>
  <c r="B4966" i="9"/>
  <c r="A4966" i="9"/>
  <c r="E4965" i="9"/>
  <c r="D4965" i="9"/>
  <c r="C4965" i="9"/>
  <c r="B4965" i="9"/>
  <c r="A4965" i="9"/>
  <c r="E4964" i="9"/>
  <c r="D4964" i="9"/>
  <c r="C4964" i="9"/>
  <c r="B4964" i="9"/>
  <c r="A4964" i="9"/>
  <c r="E4963" i="9"/>
  <c r="D4963" i="9"/>
  <c r="C4963" i="9"/>
  <c r="B4963" i="9"/>
  <c r="A4963" i="9"/>
  <c r="E4962" i="9"/>
  <c r="D4962" i="9"/>
  <c r="C4962" i="9"/>
  <c r="B4962" i="9"/>
  <c r="A4962" i="9"/>
  <c r="E4961" i="9"/>
  <c r="D4961" i="9"/>
  <c r="C4961" i="9"/>
  <c r="B4961" i="9"/>
  <c r="A4961" i="9"/>
  <c r="E4960" i="9"/>
  <c r="D4960" i="9"/>
  <c r="C4960" i="9"/>
  <c r="B4960" i="9"/>
  <c r="A4960" i="9"/>
  <c r="E4959" i="9"/>
  <c r="D4959" i="9"/>
  <c r="C4959" i="9"/>
  <c r="B4959" i="9"/>
  <c r="A4959" i="9"/>
  <c r="E4958" i="9"/>
  <c r="D4958" i="9"/>
  <c r="C4958" i="9"/>
  <c r="B4958" i="9"/>
  <c r="A4958" i="9"/>
  <c r="E4957" i="9"/>
  <c r="D4957" i="9"/>
  <c r="C4957" i="9"/>
  <c r="B4957" i="9"/>
  <c r="A4957" i="9"/>
  <c r="E4956" i="9"/>
  <c r="D4956" i="9"/>
  <c r="C4956" i="9"/>
  <c r="B4956" i="9"/>
  <c r="A4956" i="9"/>
  <c r="E4955" i="9"/>
  <c r="D4955" i="9"/>
  <c r="C4955" i="9"/>
  <c r="B4955" i="9"/>
  <c r="A4955" i="9"/>
  <c r="E4954" i="9"/>
  <c r="D4954" i="9"/>
  <c r="C4954" i="9"/>
  <c r="B4954" i="9"/>
  <c r="A4954" i="9"/>
  <c r="E4953" i="9"/>
  <c r="D4953" i="9"/>
  <c r="C4953" i="9"/>
  <c r="B4953" i="9"/>
  <c r="A4953" i="9"/>
  <c r="E4952" i="9"/>
  <c r="D4952" i="9"/>
  <c r="C4952" i="9"/>
  <c r="B4952" i="9"/>
  <c r="A4952" i="9"/>
  <c r="E4951" i="9"/>
  <c r="D4951" i="9"/>
  <c r="C4951" i="9"/>
  <c r="B4951" i="9"/>
  <c r="A4951" i="9"/>
  <c r="E4950" i="9"/>
  <c r="D4950" i="9"/>
  <c r="C4950" i="9"/>
  <c r="B4950" i="9"/>
  <c r="A4950" i="9"/>
  <c r="E4949" i="9"/>
  <c r="D4949" i="9"/>
  <c r="C4949" i="9"/>
  <c r="B4949" i="9"/>
  <c r="A4949" i="9"/>
  <c r="E4948" i="9"/>
  <c r="D4948" i="9"/>
  <c r="C4948" i="9"/>
  <c r="B4948" i="9"/>
  <c r="A4948" i="9"/>
  <c r="E4947" i="9"/>
  <c r="D4947" i="9"/>
  <c r="C4947" i="9"/>
  <c r="B4947" i="9"/>
  <c r="A4947" i="9"/>
  <c r="E4946" i="9"/>
  <c r="D4946" i="9"/>
  <c r="C4946" i="9"/>
  <c r="B4946" i="9"/>
  <c r="A4946" i="9"/>
  <c r="E4945" i="9"/>
  <c r="D4945" i="9"/>
  <c r="C4945" i="9"/>
  <c r="B4945" i="9"/>
  <c r="A4945" i="9"/>
  <c r="E4944" i="9"/>
  <c r="D4944" i="9"/>
  <c r="C4944" i="9"/>
  <c r="B4944" i="9"/>
  <c r="A4944" i="9"/>
  <c r="E4943" i="9"/>
  <c r="D4943" i="9"/>
  <c r="C4943" i="9"/>
  <c r="B4943" i="9"/>
  <c r="A4943" i="9"/>
  <c r="E4942" i="9"/>
  <c r="D4942" i="9"/>
  <c r="C4942" i="9"/>
  <c r="B4942" i="9"/>
  <c r="A4942" i="9"/>
  <c r="E4941" i="9"/>
  <c r="D4941" i="9"/>
  <c r="C4941" i="9"/>
  <c r="B4941" i="9"/>
  <c r="A4941" i="9"/>
  <c r="E4940" i="9"/>
  <c r="D4940" i="9"/>
  <c r="C4940" i="9"/>
  <c r="B4940" i="9"/>
  <c r="A4940" i="9"/>
  <c r="E4939" i="9"/>
  <c r="D4939" i="9"/>
  <c r="C4939" i="9"/>
  <c r="B4939" i="9"/>
  <c r="A4939" i="9"/>
  <c r="E4938" i="9"/>
  <c r="D4938" i="9"/>
  <c r="C4938" i="9"/>
  <c r="B4938" i="9"/>
  <c r="A4938" i="9"/>
  <c r="E4937" i="9"/>
  <c r="D4937" i="9"/>
  <c r="C4937" i="9"/>
  <c r="B4937" i="9"/>
  <c r="A4937" i="9"/>
  <c r="E4936" i="9"/>
  <c r="D4936" i="9"/>
  <c r="C4936" i="9"/>
  <c r="B4936" i="9"/>
  <c r="A4936" i="9"/>
  <c r="E4935" i="9"/>
  <c r="D4935" i="9"/>
  <c r="C4935" i="9"/>
  <c r="B4935" i="9"/>
  <c r="A4935" i="9"/>
  <c r="E4934" i="9"/>
  <c r="D4934" i="9"/>
  <c r="C4934" i="9"/>
  <c r="B4934" i="9"/>
  <c r="A4934" i="9"/>
  <c r="E4933" i="9"/>
  <c r="D4933" i="9"/>
  <c r="C4933" i="9"/>
  <c r="B4933" i="9"/>
  <c r="A4933" i="9"/>
  <c r="E4932" i="9"/>
  <c r="D4932" i="9"/>
  <c r="C4932" i="9"/>
  <c r="B4932" i="9"/>
  <c r="A4932" i="9"/>
  <c r="E4931" i="9"/>
  <c r="D4931" i="9"/>
  <c r="C4931" i="9"/>
  <c r="B4931" i="9"/>
  <c r="A4931" i="9"/>
  <c r="E4930" i="9"/>
  <c r="D4930" i="9"/>
  <c r="C4930" i="9"/>
  <c r="B4930" i="9"/>
  <c r="A4930" i="9"/>
  <c r="E4929" i="9"/>
  <c r="D4929" i="9"/>
  <c r="C4929" i="9"/>
  <c r="B4929" i="9"/>
  <c r="A4929" i="9"/>
  <c r="E4928" i="9"/>
  <c r="D4928" i="9"/>
  <c r="C4928" i="9"/>
  <c r="B4928" i="9"/>
  <c r="A4928" i="9"/>
  <c r="E4927" i="9"/>
  <c r="D4927" i="9"/>
  <c r="C4927" i="9"/>
  <c r="B4927" i="9"/>
  <c r="A4927" i="9"/>
  <c r="E4926" i="9"/>
  <c r="D4926" i="9"/>
  <c r="C4926" i="9"/>
  <c r="B4926" i="9"/>
  <c r="A4926" i="9"/>
  <c r="E4925" i="9"/>
  <c r="D4925" i="9"/>
  <c r="C4925" i="9"/>
  <c r="B4925" i="9"/>
  <c r="A4925" i="9"/>
  <c r="E4924" i="9"/>
  <c r="D4924" i="9"/>
  <c r="C4924" i="9"/>
  <c r="B4924" i="9"/>
  <c r="A4924" i="9"/>
  <c r="E4923" i="9"/>
  <c r="D4923" i="9"/>
  <c r="C4923" i="9"/>
  <c r="B4923" i="9"/>
  <c r="A4923" i="9"/>
  <c r="E4922" i="9"/>
  <c r="D4922" i="9"/>
  <c r="C4922" i="9"/>
  <c r="B4922" i="9"/>
  <c r="A4922" i="9"/>
  <c r="E4921" i="9"/>
  <c r="D4921" i="9"/>
  <c r="C4921" i="9"/>
  <c r="B4921" i="9"/>
  <c r="A4921" i="9"/>
  <c r="E4920" i="9"/>
  <c r="D4920" i="9"/>
  <c r="C4920" i="9"/>
  <c r="B4920" i="9"/>
  <c r="A4920" i="9"/>
  <c r="E4919" i="9"/>
  <c r="D4919" i="9"/>
  <c r="C4919" i="9"/>
  <c r="B4919" i="9"/>
  <c r="A4919" i="9"/>
  <c r="E4918" i="9"/>
  <c r="D4918" i="9"/>
  <c r="C4918" i="9"/>
  <c r="B4918" i="9"/>
  <c r="A4918" i="9"/>
  <c r="E4917" i="9"/>
  <c r="D4917" i="9"/>
  <c r="C4917" i="9"/>
  <c r="B4917" i="9"/>
  <c r="A4917" i="9"/>
  <c r="E4916" i="9"/>
  <c r="D4916" i="9"/>
  <c r="C4916" i="9"/>
  <c r="B4916" i="9"/>
  <c r="A4916" i="9"/>
  <c r="E4915" i="9"/>
  <c r="D4915" i="9"/>
  <c r="C4915" i="9"/>
  <c r="B4915" i="9"/>
  <c r="A4915" i="9"/>
  <c r="E4914" i="9"/>
  <c r="D4914" i="9"/>
  <c r="C4914" i="9"/>
  <c r="B4914" i="9"/>
  <c r="A4914" i="9"/>
  <c r="E4913" i="9"/>
  <c r="D4913" i="9"/>
  <c r="C4913" i="9"/>
  <c r="B4913" i="9"/>
  <c r="A4913" i="9"/>
  <c r="E4912" i="9"/>
  <c r="D4912" i="9"/>
  <c r="C4912" i="9"/>
  <c r="B4912" i="9"/>
  <c r="A4912" i="9"/>
  <c r="E4911" i="9"/>
  <c r="D4911" i="9"/>
  <c r="C4911" i="9"/>
  <c r="B4911" i="9"/>
  <c r="A4911" i="9"/>
  <c r="E4910" i="9"/>
  <c r="D4910" i="9"/>
  <c r="C4910" i="9"/>
  <c r="B4910" i="9"/>
  <c r="A4910" i="9"/>
  <c r="E4909" i="9"/>
  <c r="D4909" i="9"/>
  <c r="C4909" i="9"/>
  <c r="B4909" i="9"/>
  <c r="A4909" i="9"/>
  <c r="E4908" i="9"/>
  <c r="D4908" i="9"/>
  <c r="C4908" i="9"/>
  <c r="B4908" i="9"/>
  <c r="A4908" i="9"/>
  <c r="E4907" i="9"/>
  <c r="D4907" i="9"/>
  <c r="C4907" i="9"/>
  <c r="B4907" i="9"/>
  <c r="A4907" i="9"/>
  <c r="E4906" i="9"/>
  <c r="D4906" i="9"/>
  <c r="C4906" i="9"/>
  <c r="B4906" i="9"/>
  <c r="A4906" i="9"/>
  <c r="E4905" i="9"/>
  <c r="D4905" i="9"/>
  <c r="C4905" i="9"/>
  <c r="B4905" i="9"/>
  <c r="A4905" i="9"/>
  <c r="E4904" i="9"/>
  <c r="D4904" i="9"/>
  <c r="C4904" i="9"/>
  <c r="B4904" i="9"/>
  <c r="A4904" i="9"/>
  <c r="E4903" i="9"/>
  <c r="D4903" i="9"/>
  <c r="C4903" i="9"/>
  <c r="B4903" i="9"/>
  <c r="A4903" i="9"/>
  <c r="E4902" i="9"/>
  <c r="D4902" i="9"/>
  <c r="C4902" i="9"/>
  <c r="B4902" i="9"/>
  <c r="A4902" i="9"/>
  <c r="E4901" i="9"/>
  <c r="D4901" i="9"/>
  <c r="C4901" i="9"/>
  <c r="B4901" i="9"/>
  <c r="A4901" i="9"/>
  <c r="E4900" i="9"/>
  <c r="D4900" i="9"/>
  <c r="C4900" i="9"/>
  <c r="B4900" i="9"/>
  <c r="A4900" i="9"/>
  <c r="E4899" i="9"/>
  <c r="D4899" i="9"/>
  <c r="C4899" i="9"/>
  <c r="B4899" i="9"/>
  <c r="A4899" i="9"/>
  <c r="E4898" i="9"/>
  <c r="D4898" i="9"/>
  <c r="C4898" i="9"/>
  <c r="B4898" i="9"/>
  <c r="A4898" i="9"/>
  <c r="E4897" i="9"/>
  <c r="D4897" i="9"/>
  <c r="C4897" i="9"/>
  <c r="B4897" i="9"/>
  <c r="A4897" i="9"/>
  <c r="E4896" i="9"/>
  <c r="D4896" i="9"/>
  <c r="C4896" i="9"/>
  <c r="B4896" i="9"/>
  <c r="A4896" i="9"/>
  <c r="E4895" i="9"/>
  <c r="D4895" i="9"/>
  <c r="C4895" i="9"/>
  <c r="B4895" i="9"/>
  <c r="A4895" i="9"/>
  <c r="E4894" i="9"/>
  <c r="D4894" i="9"/>
  <c r="C4894" i="9"/>
  <c r="B4894" i="9"/>
  <c r="A4894" i="9"/>
  <c r="E4893" i="9"/>
  <c r="D4893" i="9"/>
  <c r="C4893" i="9"/>
  <c r="B4893" i="9"/>
  <c r="A4893" i="9"/>
  <c r="E4892" i="9"/>
  <c r="D4892" i="9"/>
  <c r="C4892" i="9"/>
  <c r="B4892" i="9"/>
  <c r="A4892" i="9"/>
  <c r="E4891" i="9"/>
  <c r="D4891" i="9"/>
  <c r="C4891" i="9"/>
  <c r="B4891" i="9"/>
  <c r="A4891" i="9"/>
  <c r="E4890" i="9"/>
  <c r="D4890" i="9"/>
  <c r="C4890" i="9"/>
  <c r="B4890" i="9"/>
  <c r="A4890" i="9"/>
  <c r="E4889" i="9"/>
  <c r="D4889" i="9"/>
  <c r="C4889" i="9"/>
  <c r="B4889" i="9"/>
  <c r="A4889" i="9"/>
  <c r="E4888" i="9"/>
  <c r="D4888" i="9"/>
  <c r="C4888" i="9"/>
  <c r="B4888" i="9"/>
  <c r="A4888" i="9"/>
  <c r="E4887" i="9"/>
  <c r="D4887" i="9"/>
  <c r="C4887" i="9"/>
  <c r="B4887" i="9"/>
  <c r="A4887" i="9"/>
  <c r="E4886" i="9"/>
  <c r="D4886" i="9"/>
  <c r="C4886" i="9"/>
  <c r="B4886" i="9"/>
  <c r="A4886" i="9"/>
  <c r="E4885" i="9"/>
  <c r="D4885" i="9"/>
  <c r="C4885" i="9"/>
  <c r="B4885" i="9"/>
  <c r="A4885" i="9"/>
  <c r="E4884" i="9"/>
  <c r="D4884" i="9"/>
  <c r="C4884" i="9"/>
  <c r="B4884" i="9"/>
  <c r="A4884" i="9"/>
  <c r="E4883" i="9"/>
  <c r="D4883" i="9"/>
  <c r="C4883" i="9"/>
  <c r="B4883" i="9"/>
  <c r="A4883" i="9"/>
  <c r="E4882" i="9"/>
  <c r="D4882" i="9"/>
  <c r="C4882" i="9"/>
  <c r="B4882" i="9"/>
  <c r="A4882" i="9"/>
  <c r="E4881" i="9"/>
  <c r="D4881" i="9"/>
  <c r="C4881" i="9"/>
  <c r="B4881" i="9"/>
  <c r="A4881" i="9"/>
  <c r="E4880" i="9"/>
  <c r="D4880" i="9"/>
  <c r="C4880" i="9"/>
  <c r="B4880" i="9"/>
  <c r="A4880" i="9"/>
  <c r="E4879" i="9"/>
  <c r="D4879" i="9"/>
  <c r="C4879" i="9"/>
  <c r="B4879" i="9"/>
  <c r="A4879" i="9"/>
  <c r="E4878" i="9"/>
  <c r="D4878" i="9"/>
  <c r="C4878" i="9"/>
  <c r="B4878" i="9"/>
  <c r="A4878" i="9"/>
  <c r="E4877" i="9"/>
  <c r="D4877" i="9"/>
  <c r="C4877" i="9"/>
  <c r="B4877" i="9"/>
  <c r="A4877" i="9"/>
  <c r="E4876" i="9"/>
  <c r="D4876" i="9"/>
  <c r="C4876" i="9"/>
  <c r="B4876" i="9"/>
  <c r="A4876" i="9"/>
  <c r="E4875" i="9"/>
  <c r="D4875" i="9"/>
  <c r="C4875" i="9"/>
  <c r="B4875" i="9"/>
  <c r="A4875" i="9"/>
  <c r="E4874" i="9"/>
  <c r="D4874" i="9"/>
  <c r="C4874" i="9"/>
  <c r="B4874" i="9"/>
  <c r="A4874" i="9"/>
  <c r="E4873" i="9"/>
  <c r="D4873" i="9"/>
  <c r="C4873" i="9"/>
  <c r="B4873" i="9"/>
  <c r="A4873" i="9"/>
  <c r="E4872" i="9"/>
  <c r="D4872" i="9"/>
  <c r="C4872" i="9"/>
  <c r="B4872" i="9"/>
  <c r="A4872" i="9"/>
  <c r="E4871" i="9"/>
  <c r="D4871" i="9"/>
  <c r="C4871" i="9"/>
  <c r="B4871" i="9"/>
  <c r="A4871" i="9"/>
  <c r="E4870" i="9"/>
  <c r="D4870" i="9"/>
  <c r="C4870" i="9"/>
  <c r="B4870" i="9"/>
  <c r="A4870" i="9"/>
  <c r="E4869" i="9"/>
  <c r="D4869" i="9"/>
  <c r="C4869" i="9"/>
  <c r="B4869" i="9"/>
  <c r="A4869" i="9"/>
  <c r="E4868" i="9"/>
  <c r="D4868" i="9"/>
  <c r="C4868" i="9"/>
  <c r="B4868" i="9"/>
  <c r="A4868" i="9"/>
  <c r="E4867" i="9"/>
  <c r="D4867" i="9"/>
  <c r="C4867" i="9"/>
  <c r="B4867" i="9"/>
  <c r="A4867" i="9"/>
  <c r="E4866" i="9"/>
  <c r="D4866" i="9"/>
  <c r="C4866" i="9"/>
  <c r="B4866" i="9"/>
  <c r="A4866" i="9"/>
  <c r="E4865" i="9"/>
  <c r="D4865" i="9"/>
  <c r="C4865" i="9"/>
  <c r="B4865" i="9"/>
  <c r="A4865" i="9"/>
  <c r="E4864" i="9"/>
  <c r="D4864" i="9"/>
  <c r="C4864" i="9"/>
  <c r="B4864" i="9"/>
  <c r="A4864" i="9"/>
  <c r="E4863" i="9"/>
  <c r="D4863" i="9"/>
  <c r="C4863" i="9"/>
  <c r="B4863" i="9"/>
  <c r="A4863" i="9"/>
  <c r="E4862" i="9"/>
  <c r="D4862" i="9"/>
  <c r="C4862" i="9"/>
  <c r="B4862" i="9"/>
  <c r="A4862" i="9"/>
  <c r="E4861" i="9"/>
  <c r="D4861" i="9"/>
  <c r="C4861" i="9"/>
  <c r="B4861" i="9"/>
  <c r="A4861" i="9"/>
  <c r="E4860" i="9"/>
  <c r="D4860" i="9"/>
  <c r="C4860" i="9"/>
  <c r="B4860" i="9"/>
  <c r="A4860" i="9"/>
  <c r="E4859" i="9"/>
  <c r="D4859" i="9"/>
  <c r="C4859" i="9"/>
  <c r="B4859" i="9"/>
  <c r="A4859" i="9"/>
  <c r="E4858" i="9"/>
  <c r="D4858" i="9"/>
  <c r="C4858" i="9"/>
  <c r="B4858" i="9"/>
  <c r="A4858" i="9"/>
  <c r="E4857" i="9"/>
  <c r="D4857" i="9"/>
  <c r="C4857" i="9"/>
  <c r="B4857" i="9"/>
  <c r="A4857" i="9"/>
  <c r="E4856" i="9"/>
  <c r="D4856" i="9"/>
  <c r="C4856" i="9"/>
  <c r="B4856" i="9"/>
  <c r="A4856" i="9"/>
  <c r="E4855" i="9"/>
  <c r="D4855" i="9"/>
  <c r="C4855" i="9"/>
  <c r="B4855" i="9"/>
  <c r="A4855" i="9"/>
  <c r="E4854" i="9"/>
  <c r="D4854" i="9"/>
  <c r="C4854" i="9"/>
  <c r="B4854" i="9"/>
  <c r="A4854" i="9"/>
  <c r="E4853" i="9"/>
  <c r="D4853" i="9"/>
  <c r="C4853" i="9"/>
  <c r="B4853" i="9"/>
  <c r="A4853" i="9"/>
  <c r="E4852" i="9"/>
  <c r="D4852" i="9"/>
  <c r="C4852" i="9"/>
  <c r="B4852" i="9"/>
  <c r="A4852" i="9"/>
  <c r="E4851" i="9"/>
  <c r="D4851" i="9"/>
  <c r="C4851" i="9"/>
  <c r="B4851" i="9"/>
  <c r="A4851" i="9"/>
  <c r="E4850" i="9"/>
  <c r="D4850" i="9"/>
  <c r="C4850" i="9"/>
  <c r="B4850" i="9"/>
  <c r="A4850" i="9"/>
  <c r="E4849" i="9"/>
  <c r="D4849" i="9"/>
  <c r="C4849" i="9"/>
  <c r="B4849" i="9"/>
  <c r="A4849" i="9"/>
  <c r="E4848" i="9"/>
  <c r="D4848" i="9"/>
  <c r="C4848" i="9"/>
  <c r="B4848" i="9"/>
  <c r="A4848" i="9"/>
  <c r="E4847" i="9"/>
  <c r="D4847" i="9"/>
  <c r="C4847" i="9"/>
  <c r="B4847" i="9"/>
  <c r="A4847" i="9"/>
  <c r="E4846" i="9"/>
  <c r="D4846" i="9"/>
  <c r="C4846" i="9"/>
  <c r="B4846" i="9"/>
  <c r="A4846" i="9"/>
  <c r="E4845" i="9"/>
  <c r="D4845" i="9"/>
  <c r="C4845" i="9"/>
  <c r="B4845" i="9"/>
  <c r="A4845" i="9"/>
  <c r="E4844" i="9"/>
  <c r="D4844" i="9"/>
  <c r="C4844" i="9"/>
  <c r="B4844" i="9"/>
  <c r="A4844" i="9"/>
  <c r="E4843" i="9"/>
  <c r="D4843" i="9"/>
  <c r="C4843" i="9"/>
  <c r="B4843" i="9"/>
  <c r="A4843" i="9"/>
  <c r="E4842" i="9"/>
  <c r="D4842" i="9"/>
  <c r="C4842" i="9"/>
  <c r="B4842" i="9"/>
  <c r="A4842" i="9"/>
  <c r="E4841" i="9"/>
  <c r="D4841" i="9"/>
  <c r="C4841" i="9"/>
  <c r="B4841" i="9"/>
  <c r="A4841" i="9"/>
  <c r="E4840" i="9"/>
  <c r="D4840" i="9"/>
  <c r="C4840" i="9"/>
  <c r="B4840" i="9"/>
  <c r="A4840" i="9"/>
  <c r="E4839" i="9"/>
  <c r="D4839" i="9"/>
  <c r="C4839" i="9"/>
  <c r="B4839" i="9"/>
  <c r="A4839" i="9"/>
  <c r="E4838" i="9"/>
  <c r="D4838" i="9"/>
  <c r="C4838" i="9"/>
  <c r="B4838" i="9"/>
  <c r="A4838" i="9"/>
  <c r="E4837" i="9"/>
  <c r="D4837" i="9"/>
  <c r="C4837" i="9"/>
  <c r="B4837" i="9"/>
  <c r="A4837" i="9"/>
  <c r="E4836" i="9"/>
  <c r="D4836" i="9"/>
  <c r="C4836" i="9"/>
  <c r="B4836" i="9"/>
  <c r="A4836" i="9"/>
  <c r="E4835" i="9"/>
  <c r="D4835" i="9"/>
  <c r="C4835" i="9"/>
  <c r="B4835" i="9"/>
  <c r="A4835" i="9"/>
  <c r="E4834" i="9"/>
  <c r="D4834" i="9"/>
  <c r="C4834" i="9"/>
  <c r="B4834" i="9"/>
  <c r="A4834" i="9"/>
  <c r="E4833" i="9"/>
  <c r="D4833" i="9"/>
  <c r="C4833" i="9"/>
  <c r="B4833" i="9"/>
  <c r="A4833" i="9"/>
  <c r="E4832" i="9"/>
  <c r="D4832" i="9"/>
  <c r="C4832" i="9"/>
  <c r="B4832" i="9"/>
  <c r="A4832" i="9"/>
  <c r="E4831" i="9"/>
  <c r="D4831" i="9"/>
  <c r="C4831" i="9"/>
  <c r="B4831" i="9"/>
  <c r="A4831" i="9"/>
  <c r="E4830" i="9"/>
  <c r="D4830" i="9"/>
  <c r="C4830" i="9"/>
  <c r="B4830" i="9"/>
  <c r="A4830" i="9"/>
  <c r="E4829" i="9"/>
  <c r="D4829" i="9"/>
  <c r="C4829" i="9"/>
  <c r="B4829" i="9"/>
  <c r="A4829" i="9"/>
  <c r="E4828" i="9"/>
  <c r="D4828" i="9"/>
  <c r="C4828" i="9"/>
  <c r="B4828" i="9"/>
  <c r="A4828" i="9"/>
  <c r="E4827" i="9"/>
  <c r="D4827" i="9"/>
  <c r="C4827" i="9"/>
  <c r="B4827" i="9"/>
  <c r="A4827" i="9"/>
  <c r="E4826" i="9"/>
  <c r="D4826" i="9"/>
  <c r="C4826" i="9"/>
  <c r="B4826" i="9"/>
  <c r="A4826" i="9"/>
  <c r="E4825" i="9"/>
  <c r="D4825" i="9"/>
  <c r="C4825" i="9"/>
  <c r="B4825" i="9"/>
  <c r="A4825" i="9"/>
  <c r="E4824" i="9"/>
  <c r="D4824" i="9"/>
  <c r="C4824" i="9"/>
  <c r="B4824" i="9"/>
  <c r="A4824" i="9"/>
  <c r="E4823" i="9"/>
  <c r="D4823" i="9"/>
  <c r="C4823" i="9"/>
  <c r="B4823" i="9"/>
  <c r="A4823" i="9"/>
  <c r="E4822" i="9"/>
  <c r="D4822" i="9"/>
  <c r="C4822" i="9"/>
  <c r="B4822" i="9"/>
  <c r="A4822" i="9"/>
  <c r="E4821" i="9"/>
  <c r="D4821" i="9"/>
  <c r="C4821" i="9"/>
  <c r="B4821" i="9"/>
  <c r="A4821" i="9"/>
  <c r="E4820" i="9"/>
  <c r="D4820" i="9"/>
  <c r="C4820" i="9"/>
  <c r="B4820" i="9"/>
  <c r="A4820" i="9"/>
  <c r="E4819" i="9"/>
  <c r="D4819" i="9"/>
  <c r="C4819" i="9"/>
  <c r="B4819" i="9"/>
  <c r="A4819" i="9"/>
  <c r="E4818" i="9"/>
  <c r="D4818" i="9"/>
  <c r="C4818" i="9"/>
  <c r="B4818" i="9"/>
  <c r="A4818" i="9"/>
  <c r="E4817" i="9"/>
  <c r="D4817" i="9"/>
  <c r="C4817" i="9"/>
  <c r="B4817" i="9"/>
  <c r="A4817" i="9"/>
  <c r="E4816" i="9"/>
  <c r="D4816" i="9"/>
  <c r="C4816" i="9"/>
  <c r="B4816" i="9"/>
  <c r="A4816" i="9"/>
  <c r="E4815" i="9"/>
  <c r="D4815" i="9"/>
  <c r="C4815" i="9"/>
  <c r="B4815" i="9"/>
  <c r="A4815" i="9"/>
  <c r="E4814" i="9"/>
  <c r="D4814" i="9"/>
  <c r="C4814" i="9"/>
  <c r="B4814" i="9"/>
  <c r="A4814" i="9"/>
  <c r="E4813" i="9"/>
  <c r="D4813" i="9"/>
  <c r="C4813" i="9"/>
  <c r="B4813" i="9"/>
  <c r="A4813" i="9"/>
  <c r="E4812" i="9"/>
  <c r="D4812" i="9"/>
  <c r="C4812" i="9"/>
  <c r="B4812" i="9"/>
  <c r="A4812" i="9"/>
  <c r="E4811" i="9"/>
  <c r="D4811" i="9"/>
  <c r="C4811" i="9"/>
  <c r="B4811" i="9"/>
  <c r="A4811" i="9"/>
  <c r="E4810" i="9"/>
  <c r="D4810" i="9"/>
  <c r="C4810" i="9"/>
  <c r="B4810" i="9"/>
  <c r="A4810" i="9"/>
  <c r="E4809" i="9"/>
  <c r="D4809" i="9"/>
  <c r="C4809" i="9"/>
  <c r="B4809" i="9"/>
  <c r="A4809" i="9"/>
  <c r="E4808" i="9"/>
  <c r="D4808" i="9"/>
  <c r="C4808" i="9"/>
  <c r="B4808" i="9"/>
  <c r="A4808" i="9"/>
  <c r="E4807" i="9"/>
  <c r="D4807" i="9"/>
  <c r="C4807" i="9"/>
  <c r="B4807" i="9"/>
  <c r="A4807" i="9"/>
  <c r="E4806" i="9"/>
  <c r="D4806" i="9"/>
  <c r="C4806" i="9"/>
  <c r="B4806" i="9"/>
  <c r="A4806" i="9"/>
  <c r="E4805" i="9"/>
  <c r="D4805" i="9"/>
  <c r="C4805" i="9"/>
  <c r="B4805" i="9"/>
  <c r="A4805" i="9"/>
  <c r="E4804" i="9"/>
  <c r="D4804" i="9"/>
  <c r="C4804" i="9"/>
  <c r="B4804" i="9"/>
  <c r="A4804" i="9"/>
  <c r="E4803" i="9"/>
  <c r="D4803" i="9"/>
  <c r="C4803" i="9"/>
  <c r="B4803" i="9"/>
  <c r="A4803" i="9"/>
  <c r="E4802" i="9"/>
  <c r="D4802" i="9"/>
  <c r="C4802" i="9"/>
  <c r="B4802" i="9"/>
  <c r="A4802" i="9"/>
  <c r="E4801" i="9"/>
  <c r="D4801" i="9"/>
  <c r="C4801" i="9"/>
  <c r="B4801" i="9"/>
  <c r="A4801" i="9"/>
  <c r="E4800" i="9"/>
  <c r="D4800" i="9"/>
  <c r="C4800" i="9"/>
  <c r="B4800" i="9"/>
  <c r="A4800" i="9"/>
  <c r="E4799" i="9"/>
  <c r="D4799" i="9"/>
  <c r="C4799" i="9"/>
  <c r="B4799" i="9"/>
  <c r="A4799" i="9"/>
  <c r="E4798" i="9"/>
  <c r="D4798" i="9"/>
  <c r="C4798" i="9"/>
  <c r="B4798" i="9"/>
  <c r="A4798" i="9"/>
  <c r="E4797" i="9"/>
  <c r="D4797" i="9"/>
  <c r="C4797" i="9"/>
  <c r="B4797" i="9"/>
  <c r="A4797" i="9"/>
  <c r="E4796" i="9"/>
  <c r="D4796" i="9"/>
  <c r="C4796" i="9"/>
  <c r="B4796" i="9"/>
  <c r="A4796" i="9"/>
  <c r="E4795" i="9"/>
  <c r="D4795" i="9"/>
  <c r="C4795" i="9"/>
  <c r="B4795" i="9"/>
  <c r="A4795" i="9"/>
  <c r="E4794" i="9"/>
  <c r="D4794" i="9"/>
  <c r="C4794" i="9"/>
  <c r="B4794" i="9"/>
  <c r="A4794" i="9"/>
  <c r="E4793" i="9"/>
  <c r="D4793" i="9"/>
  <c r="C4793" i="9"/>
  <c r="B4793" i="9"/>
  <c r="A4793" i="9"/>
  <c r="E4792" i="9"/>
  <c r="D4792" i="9"/>
  <c r="C4792" i="9"/>
  <c r="B4792" i="9"/>
  <c r="A4792" i="9"/>
  <c r="E4791" i="9"/>
  <c r="D4791" i="9"/>
  <c r="C4791" i="9"/>
  <c r="B4791" i="9"/>
  <c r="A4791" i="9"/>
  <c r="E4790" i="9"/>
  <c r="D4790" i="9"/>
  <c r="C4790" i="9"/>
  <c r="B4790" i="9"/>
  <c r="A4790" i="9"/>
  <c r="E4789" i="9"/>
  <c r="D4789" i="9"/>
  <c r="C4789" i="9"/>
  <c r="B4789" i="9"/>
  <c r="A4789" i="9"/>
  <c r="E4788" i="9"/>
  <c r="D4788" i="9"/>
  <c r="C4788" i="9"/>
  <c r="B4788" i="9"/>
  <c r="A4788" i="9"/>
  <c r="E4787" i="9"/>
  <c r="D4787" i="9"/>
  <c r="C4787" i="9"/>
  <c r="B4787" i="9"/>
  <c r="A4787" i="9"/>
  <c r="E4786" i="9"/>
  <c r="D4786" i="9"/>
  <c r="C4786" i="9"/>
  <c r="B4786" i="9"/>
  <c r="A4786" i="9"/>
  <c r="E4785" i="9"/>
  <c r="D4785" i="9"/>
  <c r="C4785" i="9"/>
  <c r="B4785" i="9"/>
  <c r="A4785" i="9"/>
  <c r="E4784" i="9"/>
  <c r="D4784" i="9"/>
  <c r="C4784" i="9"/>
  <c r="B4784" i="9"/>
  <c r="A4784" i="9"/>
  <c r="E4783" i="9"/>
  <c r="D4783" i="9"/>
  <c r="C4783" i="9"/>
  <c r="B4783" i="9"/>
  <c r="A4783" i="9"/>
  <c r="E4782" i="9"/>
  <c r="D4782" i="9"/>
  <c r="C4782" i="9"/>
  <c r="B4782" i="9"/>
  <c r="A4782" i="9"/>
  <c r="E4781" i="9"/>
  <c r="D4781" i="9"/>
  <c r="C4781" i="9"/>
  <c r="B4781" i="9"/>
  <c r="A4781" i="9"/>
  <c r="E4780" i="9"/>
  <c r="D4780" i="9"/>
  <c r="C4780" i="9"/>
  <c r="B4780" i="9"/>
  <c r="A4780" i="9"/>
  <c r="E4779" i="9"/>
  <c r="D4779" i="9"/>
  <c r="C4779" i="9"/>
  <c r="B4779" i="9"/>
  <c r="A4779" i="9"/>
  <c r="E4778" i="9"/>
  <c r="D4778" i="9"/>
  <c r="C4778" i="9"/>
  <c r="B4778" i="9"/>
  <c r="A4778" i="9"/>
  <c r="E4777" i="9"/>
  <c r="D4777" i="9"/>
  <c r="C4777" i="9"/>
  <c r="B4777" i="9"/>
  <c r="A4777" i="9"/>
  <c r="E4776" i="9"/>
  <c r="D4776" i="9"/>
  <c r="C4776" i="9"/>
  <c r="B4776" i="9"/>
  <c r="A4776" i="9"/>
  <c r="E4775" i="9"/>
  <c r="D4775" i="9"/>
  <c r="C4775" i="9"/>
  <c r="B4775" i="9"/>
  <c r="A4775" i="9"/>
  <c r="E4774" i="9"/>
  <c r="D4774" i="9"/>
  <c r="C4774" i="9"/>
  <c r="B4774" i="9"/>
  <c r="A4774" i="9"/>
  <c r="E4773" i="9"/>
  <c r="D4773" i="9"/>
  <c r="C4773" i="9"/>
  <c r="B4773" i="9"/>
  <c r="A4773" i="9"/>
  <c r="E4772" i="9"/>
  <c r="D4772" i="9"/>
  <c r="C4772" i="9"/>
  <c r="B4772" i="9"/>
  <c r="A4772" i="9"/>
  <c r="E4771" i="9"/>
  <c r="D4771" i="9"/>
  <c r="C4771" i="9"/>
  <c r="B4771" i="9"/>
  <c r="A4771" i="9"/>
  <c r="E4770" i="9"/>
  <c r="D4770" i="9"/>
  <c r="C4770" i="9"/>
  <c r="B4770" i="9"/>
  <c r="A4770" i="9"/>
  <c r="E4769" i="9"/>
  <c r="D4769" i="9"/>
  <c r="C4769" i="9"/>
  <c r="B4769" i="9"/>
  <c r="A4769" i="9"/>
  <c r="E4768" i="9"/>
  <c r="D4768" i="9"/>
  <c r="C4768" i="9"/>
  <c r="B4768" i="9"/>
  <c r="A4768" i="9"/>
  <c r="E4767" i="9"/>
  <c r="D4767" i="9"/>
  <c r="C4767" i="9"/>
  <c r="B4767" i="9"/>
  <c r="A4767" i="9"/>
  <c r="E4766" i="9"/>
  <c r="D4766" i="9"/>
  <c r="C4766" i="9"/>
  <c r="B4766" i="9"/>
  <c r="A4766" i="9"/>
  <c r="E4765" i="9"/>
  <c r="D4765" i="9"/>
  <c r="C4765" i="9"/>
  <c r="B4765" i="9"/>
  <c r="A4765" i="9"/>
  <c r="E4764" i="9"/>
  <c r="D4764" i="9"/>
  <c r="C4764" i="9"/>
  <c r="B4764" i="9"/>
  <c r="A4764" i="9"/>
  <c r="E4763" i="9"/>
  <c r="D4763" i="9"/>
  <c r="C4763" i="9"/>
  <c r="B4763" i="9"/>
  <c r="A4763" i="9"/>
  <c r="E4762" i="9"/>
  <c r="D4762" i="9"/>
  <c r="C4762" i="9"/>
  <c r="B4762" i="9"/>
  <c r="A4762" i="9"/>
  <c r="E4761" i="9"/>
  <c r="D4761" i="9"/>
  <c r="C4761" i="9"/>
  <c r="B4761" i="9"/>
  <c r="A4761" i="9"/>
  <c r="E4760" i="9"/>
  <c r="D4760" i="9"/>
  <c r="C4760" i="9"/>
  <c r="B4760" i="9"/>
  <c r="A4760" i="9"/>
  <c r="E4759" i="9"/>
  <c r="D4759" i="9"/>
  <c r="C4759" i="9"/>
  <c r="B4759" i="9"/>
  <c r="A4759" i="9"/>
  <c r="E4758" i="9"/>
  <c r="D4758" i="9"/>
  <c r="C4758" i="9"/>
  <c r="B4758" i="9"/>
  <c r="A4758" i="9"/>
  <c r="E4757" i="9"/>
  <c r="D4757" i="9"/>
  <c r="C4757" i="9"/>
  <c r="B4757" i="9"/>
  <c r="A4757" i="9"/>
  <c r="E4756" i="9"/>
  <c r="D4756" i="9"/>
  <c r="C4756" i="9"/>
  <c r="B4756" i="9"/>
  <c r="A4756" i="9"/>
  <c r="E4755" i="9"/>
  <c r="D4755" i="9"/>
  <c r="C4755" i="9"/>
  <c r="B4755" i="9"/>
  <c r="A4755" i="9"/>
  <c r="E4754" i="9"/>
  <c r="D4754" i="9"/>
  <c r="C4754" i="9"/>
  <c r="B4754" i="9"/>
  <c r="A4754" i="9"/>
  <c r="E4753" i="9"/>
  <c r="D4753" i="9"/>
  <c r="C4753" i="9"/>
  <c r="B4753" i="9"/>
  <c r="A4753" i="9"/>
  <c r="E4752" i="9"/>
  <c r="D4752" i="9"/>
  <c r="C4752" i="9"/>
  <c r="B4752" i="9"/>
  <c r="A4752" i="9"/>
  <c r="E4751" i="9"/>
  <c r="D4751" i="9"/>
  <c r="C4751" i="9"/>
  <c r="B4751" i="9"/>
  <c r="A4751" i="9"/>
  <c r="E4750" i="9"/>
  <c r="D4750" i="9"/>
  <c r="C4750" i="9"/>
  <c r="B4750" i="9"/>
  <c r="A4750" i="9"/>
  <c r="E4749" i="9"/>
  <c r="D4749" i="9"/>
  <c r="C4749" i="9"/>
  <c r="B4749" i="9"/>
  <c r="A4749" i="9"/>
  <c r="E4748" i="9"/>
  <c r="D4748" i="9"/>
  <c r="C4748" i="9"/>
  <c r="B4748" i="9"/>
  <c r="A4748" i="9"/>
  <c r="E4747" i="9"/>
  <c r="D4747" i="9"/>
  <c r="C4747" i="9"/>
  <c r="B4747" i="9"/>
  <c r="A4747" i="9"/>
  <c r="E4746" i="9"/>
  <c r="D4746" i="9"/>
  <c r="C4746" i="9"/>
  <c r="B4746" i="9"/>
  <c r="A4746" i="9"/>
  <c r="E4745" i="9"/>
  <c r="D4745" i="9"/>
  <c r="C4745" i="9"/>
  <c r="B4745" i="9"/>
  <c r="A4745" i="9"/>
  <c r="E4744" i="9"/>
  <c r="D4744" i="9"/>
  <c r="C4744" i="9"/>
  <c r="B4744" i="9"/>
  <c r="A4744" i="9"/>
  <c r="E4743" i="9"/>
  <c r="D4743" i="9"/>
  <c r="C4743" i="9"/>
  <c r="B4743" i="9"/>
  <c r="A4743" i="9"/>
  <c r="E4742" i="9"/>
  <c r="D4742" i="9"/>
  <c r="C4742" i="9"/>
  <c r="B4742" i="9"/>
  <c r="A4742" i="9"/>
  <c r="E4741" i="9"/>
  <c r="D4741" i="9"/>
  <c r="C4741" i="9"/>
  <c r="B4741" i="9"/>
  <c r="A4741" i="9"/>
  <c r="E4740" i="9"/>
  <c r="D4740" i="9"/>
  <c r="C4740" i="9"/>
  <c r="B4740" i="9"/>
  <c r="A4740" i="9"/>
  <c r="E4739" i="9"/>
  <c r="D4739" i="9"/>
  <c r="C4739" i="9"/>
  <c r="B4739" i="9"/>
  <c r="A4739" i="9"/>
  <c r="E4738" i="9"/>
  <c r="D4738" i="9"/>
  <c r="C4738" i="9"/>
  <c r="B4738" i="9"/>
  <c r="A4738" i="9"/>
  <c r="E4737" i="9"/>
  <c r="D4737" i="9"/>
  <c r="C4737" i="9"/>
  <c r="B4737" i="9"/>
  <c r="A4737" i="9"/>
  <c r="E4736" i="9"/>
  <c r="D4736" i="9"/>
  <c r="C4736" i="9"/>
  <c r="B4736" i="9"/>
  <c r="A4736" i="9"/>
  <c r="E4735" i="9"/>
  <c r="D4735" i="9"/>
  <c r="C4735" i="9"/>
  <c r="B4735" i="9"/>
  <c r="A4735" i="9"/>
  <c r="E4734" i="9"/>
  <c r="D4734" i="9"/>
  <c r="C4734" i="9"/>
  <c r="B4734" i="9"/>
  <c r="A4734" i="9"/>
  <c r="E4733" i="9"/>
  <c r="D4733" i="9"/>
  <c r="C4733" i="9"/>
  <c r="B4733" i="9"/>
  <c r="A4733" i="9"/>
  <c r="E4732" i="9"/>
  <c r="D4732" i="9"/>
  <c r="C4732" i="9"/>
  <c r="B4732" i="9"/>
  <c r="A4732" i="9"/>
  <c r="E4731" i="9"/>
  <c r="D4731" i="9"/>
  <c r="C4731" i="9"/>
  <c r="B4731" i="9"/>
  <c r="A4731" i="9"/>
  <c r="E4730" i="9"/>
  <c r="D4730" i="9"/>
  <c r="C4730" i="9"/>
  <c r="B4730" i="9"/>
  <c r="A4730" i="9"/>
  <c r="E4729" i="9"/>
  <c r="D4729" i="9"/>
  <c r="C4729" i="9"/>
  <c r="B4729" i="9"/>
  <c r="A4729" i="9"/>
  <c r="E4728" i="9"/>
  <c r="D4728" i="9"/>
  <c r="C4728" i="9"/>
  <c r="B4728" i="9"/>
  <c r="A4728" i="9"/>
  <c r="E4727" i="9"/>
  <c r="D4727" i="9"/>
  <c r="C4727" i="9"/>
  <c r="B4727" i="9"/>
  <c r="A4727" i="9"/>
  <c r="E4726" i="9"/>
  <c r="D4726" i="9"/>
  <c r="C4726" i="9"/>
  <c r="B4726" i="9"/>
  <c r="A4726" i="9"/>
  <c r="E4725" i="9"/>
  <c r="D4725" i="9"/>
  <c r="C4725" i="9"/>
  <c r="B4725" i="9"/>
  <c r="A4725" i="9"/>
  <c r="E4724" i="9"/>
  <c r="D4724" i="9"/>
  <c r="C4724" i="9"/>
  <c r="B4724" i="9"/>
  <c r="A4724" i="9"/>
  <c r="E4723" i="9"/>
  <c r="D4723" i="9"/>
  <c r="C4723" i="9"/>
  <c r="B4723" i="9"/>
  <c r="A4723" i="9"/>
  <c r="E4722" i="9"/>
  <c r="D4722" i="9"/>
  <c r="C4722" i="9"/>
  <c r="B4722" i="9"/>
  <c r="A4722" i="9"/>
  <c r="E4721" i="9"/>
  <c r="D4721" i="9"/>
  <c r="C4721" i="9"/>
  <c r="B4721" i="9"/>
  <c r="A4721" i="9"/>
  <c r="E4720" i="9"/>
  <c r="D4720" i="9"/>
  <c r="C4720" i="9"/>
  <c r="B4720" i="9"/>
  <c r="A4720" i="9"/>
  <c r="E4719" i="9"/>
  <c r="D4719" i="9"/>
  <c r="C4719" i="9"/>
  <c r="B4719" i="9"/>
  <c r="A4719" i="9"/>
  <c r="E4718" i="9"/>
  <c r="D4718" i="9"/>
  <c r="C4718" i="9"/>
  <c r="B4718" i="9"/>
  <c r="A4718" i="9"/>
  <c r="E4717" i="9"/>
  <c r="D4717" i="9"/>
  <c r="C4717" i="9"/>
  <c r="B4717" i="9"/>
  <c r="A4717" i="9"/>
  <c r="E4716" i="9"/>
  <c r="D4716" i="9"/>
  <c r="C4716" i="9"/>
  <c r="B4716" i="9"/>
  <c r="A4716" i="9"/>
  <c r="E4715" i="9"/>
  <c r="D4715" i="9"/>
  <c r="C4715" i="9"/>
  <c r="B4715" i="9"/>
  <c r="A4715" i="9"/>
  <c r="E4714" i="9"/>
  <c r="D4714" i="9"/>
  <c r="C4714" i="9"/>
  <c r="B4714" i="9"/>
  <c r="A4714" i="9"/>
  <c r="E4713" i="9"/>
  <c r="D4713" i="9"/>
  <c r="C4713" i="9"/>
  <c r="B4713" i="9"/>
  <c r="A4713" i="9"/>
  <c r="E4712" i="9"/>
  <c r="D4712" i="9"/>
  <c r="C4712" i="9"/>
  <c r="B4712" i="9"/>
  <c r="A4712" i="9"/>
  <c r="E4711" i="9"/>
  <c r="D4711" i="9"/>
  <c r="C4711" i="9"/>
  <c r="B4711" i="9"/>
  <c r="A4711" i="9"/>
  <c r="E4710" i="9"/>
  <c r="D4710" i="9"/>
  <c r="C4710" i="9"/>
  <c r="B4710" i="9"/>
  <c r="A4710" i="9"/>
  <c r="E4709" i="9"/>
  <c r="D4709" i="9"/>
  <c r="C4709" i="9"/>
  <c r="B4709" i="9"/>
  <c r="A4709" i="9"/>
  <c r="E4708" i="9"/>
  <c r="D4708" i="9"/>
  <c r="C4708" i="9"/>
  <c r="B4708" i="9"/>
  <c r="A4708" i="9"/>
  <c r="E4707" i="9"/>
  <c r="D4707" i="9"/>
  <c r="C4707" i="9"/>
  <c r="B4707" i="9"/>
  <c r="A4707" i="9"/>
  <c r="E4706" i="9"/>
  <c r="D4706" i="9"/>
  <c r="C4706" i="9"/>
  <c r="B4706" i="9"/>
  <c r="A4706" i="9"/>
  <c r="E4705" i="9"/>
  <c r="D4705" i="9"/>
  <c r="C4705" i="9"/>
  <c r="B4705" i="9"/>
  <c r="A4705" i="9"/>
  <c r="E4704" i="9"/>
  <c r="D4704" i="9"/>
  <c r="C4704" i="9"/>
  <c r="B4704" i="9"/>
  <c r="A4704" i="9"/>
  <c r="E4703" i="9"/>
  <c r="D4703" i="9"/>
  <c r="C4703" i="9"/>
  <c r="B4703" i="9"/>
  <c r="A4703" i="9"/>
  <c r="E4702" i="9"/>
  <c r="D4702" i="9"/>
  <c r="C4702" i="9"/>
  <c r="B4702" i="9"/>
  <c r="A4702" i="9"/>
  <c r="E4701" i="9"/>
  <c r="D4701" i="9"/>
  <c r="C4701" i="9"/>
  <c r="B4701" i="9"/>
  <c r="A4701" i="9"/>
  <c r="E4700" i="9"/>
  <c r="D4700" i="9"/>
  <c r="C4700" i="9"/>
  <c r="B4700" i="9"/>
  <c r="A4700" i="9"/>
  <c r="E4699" i="9"/>
  <c r="D4699" i="9"/>
  <c r="C4699" i="9"/>
  <c r="B4699" i="9"/>
  <c r="A4699" i="9"/>
  <c r="E4698" i="9"/>
  <c r="D4698" i="9"/>
  <c r="C4698" i="9"/>
  <c r="B4698" i="9"/>
  <c r="A4698" i="9"/>
  <c r="E4697" i="9"/>
  <c r="D4697" i="9"/>
  <c r="C4697" i="9"/>
  <c r="B4697" i="9"/>
  <c r="A4697" i="9"/>
  <c r="E4696" i="9"/>
  <c r="D4696" i="9"/>
  <c r="C4696" i="9"/>
  <c r="B4696" i="9"/>
  <c r="A4696" i="9"/>
  <c r="E4695" i="9"/>
  <c r="D4695" i="9"/>
  <c r="C4695" i="9"/>
  <c r="B4695" i="9"/>
  <c r="A4695" i="9"/>
  <c r="E4694" i="9"/>
  <c r="D4694" i="9"/>
  <c r="C4694" i="9"/>
  <c r="B4694" i="9"/>
  <c r="A4694" i="9"/>
  <c r="E4693" i="9"/>
  <c r="D4693" i="9"/>
  <c r="C4693" i="9"/>
  <c r="B4693" i="9"/>
  <c r="A4693" i="9"/>
  <c r="E4692" i="9"/>
  <c r="D4692" i="9"/>
  <c r="C4692" i="9"/>
  <c r="B4692" i="9"/>
  <c r="A4692" i="9"/>
  <c r="E4691" i="9"/>
  <c r="D4691" i="9"/>
  <c r="C4691" i="9"/>
  <c r="B4691" i="9"/>
  <c r="A4691" i="9"/>
  <c r="E4690" i="9"/>
  <c r="D4690" i="9"/>
  <c r="C4690" i="9"/>
  <c r="B4690" i="9"/>
  <c r="A4690" i="9"/>
  <c r="E4689" i="9"/>
  <c r="D4689" i="9"/>
  <c r="C4689" i="9"/>
  <c r="B4689" i="9"/>
  <c r="A4689" i="9"/>
  <c r="E4688" i="9"/>
  <c r="D4688" i="9"/>
  <c r="C4688" i="9"/>
  <c r="B4688" i="9"/>
  <c r="A4688" i="9"/>
  <c r="E4687" i="9"/>
  <c r="D4687" i="9"/>
  <c r="C4687" i="9"/>
  <c r="B4687" i="9"/>
  <c r="A4687" i="9"/>
  <c r="E4686" i="9"/>
  <c r="D4686" i="9"/>
  <c r="C4686" i="9"/>
  <c r="B4686" i="9"/>
  <c r="A4686" i="9"/>
  <c r="E4685" i="9"/>
  <c r="D4685" i="9"/>
  <c r="C4685" i="9"/>
  <c r="B4685" i="9"/>
  <c r="A4685" i="9"/>
  <c r="E4684" i="9"/>
  <c r="D4684" i="9"/>
  <c r="C4684" i="9"/>
  <c r="B4684" i="9"/>
  <c r="A4684" i="9"/>
  <c r="E4683" i="9"/>
  <c r="D4683" i="9"/>
  <c r="C4683" i="9"/>
  <c r="B4683" i="9"/>
  <c r="A4683" i="9"/>
  <c r="E4682" i="9"/>
  <c r="D4682" i="9"/>
  <c r="C4682" i="9"/>
  <c r="B4682" i="9"/>
  <c r="A4682" i="9"/>
  <c r="E4681" i="9"/>
  <c r="D4681" i="9"/>
  <c r="C4681" i="9"/>
  <c r="B4681" i="9"/>
  <c r="A4681" i="9"/>
  <c r="E4680" i="9"/>
  <c r="D4680" i="9"/>
  <c r="C4680" i="9"/>
  <c r="B4680" i="9"/>
  <c r="A4680" i="9"/>
  <c r="E4679" i="9"/>
  <c r="D4679" i="9"/>
  <c r="C4679" i="9"/>
  <c r="B4679" i="9"/>
  <c r="A4679" i="9"/>
  <c r="E4678" i="9"/>
  <c r="D4678" i="9"/>
  <c r="C4678" i="9"/>
  <c r="B4678" i="9"/>
  <c r="A4678" i="9"/>
  <c r="E4677" i="9"/>
  <c r="D4677" i="9"/>
  <c r="C4677" i="9"/>
  <c r="B4677" i="9"/>
  <c r="A4677" i="9"/>
  <c r="E4676" i="9"/>
  <c r="D4676" i="9"/>
  <c r="C4676" i="9"/>
  <c r="B4676" i="9"/>
  <c r="A4676" i="9"/>
  <c r="E4675" i="9"/>
  <c r="D4675" i="9"/>
  <c r="C4675" i="9"/>
  <c r="B4675" i="9"/>
  <c r="A4675" i="9"/>
  <c r="E4674" i="9"/>
  <c r="D4674" i="9"/>
  <c r="C4674" i="9"/>
  <c r="B4674" i="9"/>
  <c r="A4674" i="9"/>
  <c r="E4673" i="9"/>
  <c r="D4673" i="9"/>
  <c r="C4673" i="9"/>
  <c r="B4673" i="9"/>
  <c r="A4673" i="9"/>
  <c r="E4672" i="9"/>
  <c r="D4672" i="9"/>
  <c r="C4672" i="9"/>
  <c r="B4672" i="9"/>
  <c r="A4672" i="9"/>
  <c r="E4671" i="9"/>
  <c r="D4671" i="9"/>
  <c r="C4671" i="9"/>
  <c r="B4671" i="9"/>
  <c r="A4671" i="9"/>
  <c r="E4670" i="9"/>
  <c r="D4670" i="9"/>
  <c r="C4670" i="9"/>
  <c r="B4670" i="9"/>
  <c r="A4670" i="9"/>
  <c r="E4669" i="9"/>
  <c r="D4669" i="9"/>
  <c r="C4669" i="9"/>
  <c r="B4669" i="9"/>
  <c r="A4669" i="9"/>
  <c r="E4668" i="9"/>
  <c r="D4668" i="9"/>
  <c r="C4668" i="9"/>
  <c r="B4668" i="9"/>
  <c r="A4668" i="9"/>
  <c r="E4667" i="9"/>
  <c r="D4667" i="9"/>
  <c r="C4667" i="9"/>
  <c r="B4667" i="9"/>
  <c r="A4667" i="9"/>
  <c r="E4666" i="9"/>
  <c r="D4666" i="9"/>
  <c r="C4666" i="9"/>
  <c r="B4666" i="9"/>
  <c r="A4666" i="9"/>
  <c r="E4665" i="9"/>
  <c r="D4665" i="9"/>
  <c r="C4665" i="9"/>
  <c r="B4665" i="9"/>
  <c r="A4665" i="9"/>
  <c r="E4664" i="9"/>
  <c r="D4664" i="9"/>
  <c r="C4664" i="9"/>
  <c r="B4664" i="9"/>
  <c r="A4664" i="9"/>
  <c r="E4663" i="9"/>
  <c r="D4663" i="9"/>
  <c r="C4663" i="9"/>
  <c r="B4663" i="9"/>
  <c r="A4663" i="9"/>
  <c r="E4662" i="9"/>
  <c r="D4662" i="9"/>
  <c r="C4662" i="9"/>
  <c r="B4662" i="9"/>
  <c r="A4662" i="9"/>
  <c r="E4661" i="9"/>
  <c r="D4661" i="9"/>
  <c r="C4661" i="9"/>
  <c r="B4661" i="9"/>
  <c r="A4661" i="9"/>
  <c r="E4660" i="9"/>
  <c r="D4660" i="9"/>
  <c r="C4660" i="9"/>
  <c r="B4660" i="9"/>
  <c r="A4660" i="9"/>
  <c r="E4659" i="9"/>
  <c r="D4659" i="9"/>
  <c r="C4659" i="9"/>
  <c r="B4659" i="9"/>
  <c r="A4659" i="9"/>
  <c r="E4658" i="9"/>
  <c r="D4658" i="9"/>
  <c r="C4658" i="9"/>
  <c r="B4658" i="9"/>
  <c r="A4658" i="9"/>
  <c r="E4657" i="9"/>
  <c r="D4657" i="9"/>
  <c r="C4657" i="9"/>
  <c r="B4657" i="9"/>
  <c r="A4657" i="9"/>
  <c r="E4656" i="9"/>
  <c r="D4656" i="9"/>
  <c r="C4656" i="9"/>
  <c r="B4656" i="9"/>
  <c r="A4656" i="9"/>
  <c r="E4655" i="9"/>
  <c r="D4655" i="9"/>
  <c r="C4655" i="9"/>
  <c r="B4655" i="9"/>
  <c r="A4655" i="9"/>
  <c r="E4654" i="9"/>
  <c r="D4654" i="9"/>
  <c r="C4654" i="9"/>
  <c r="B4654" i="9"/>
  <c r="A4654" i="9"/>
  <c r="E4653" i="9"/>
  <c r="D4653" i="9"/>
  <c r="C4653" i="9"/>
  <c r="B4653" i="9"/>
  <c r="A4653" i="9"/>
  <c r="E4652" i="9"/>
  <c r="D4652" i="9"/>
  <c r="C4652" i="9"/>
  <c r="B4652" i="9"/>
  <c r="A4652" i="9"/>
  <c r="E4651" i="9"/>
  <c r="D4651" i="9"/>
  <c r="C4651" i="9"/>
  <c r="B4651" i="9"/>
  <c r="A4651" i="9"/>
  <c r="E4650" i="9"/>
  <c r="D4650" i="9"/>
  <c r="C4650" i="9"/>
  <c r="B4650" i="9"/>
  <c r="A4650" i="9"/>
  <c r="E4649" i="9"/>
  <c r="D4649" i="9"/>
  <c r="C4649" i="9"/>
  <c r="B4649" i="9"/>
  <c r="A4649" i="9"/>
  <c r="E4648" i="9"/>
  <c r="D4648" i="9"/>
  <c r="C4648" i="9"/>
  <c r="B4648" i="9"/>
  <c r="A4648" i="9"/>
  <c r="E4647" i="9"/>
  <c r="D4647" i="9"/>
  <c r="C4647" i="9"/>
  <c r="B4647" i="9"/>
  <c r="A4647" i="9"/>
  <c r="E4646" i="9"/>
  <c r="D4646" i="9"/>
  <c r="C4646" i="9"/>
  <c r="B4646" i="9"/>
  <c r="A4646" i="9"/>
  <c r="E4645" i="9"/>
  <c r="D4645" i="9"/>
  <c r="C4645" i="9"/>
  <c r="B4645" i="9"/>
  <c r="A4645" i="9"/>
  <c r="E4644" i="9"/>
  <c r="D4644" i="9"/>
  <c r="C4644" i="9"/>
  <c r="B4644" i="9"/>
  <c r="A4644" i="9"/>
  <c r="E4643" i="9"/>
  <c r="D4643" i="9"/>
  <c r="C4643" i="9"/>
  <c r="B4643" i="9"/>
  <c r="A4643" i="9"/>
  <c r="E4642" i="9"/>
  <c r="D4642" i="9"/>
  <c r="C4642" i="9"/>
  <c r="B4642" i="9"/>
  <c r="A4642" i="9"/>
  <c r="E4641" i="9"/>
  <c r="D4641" i="9"/>
  <c r="C4641" i="9"/>
  <c r="B4641" i="9"/>
  <c r="A4641" i="9"/>
  <c r="E4640" i="9"/>
  <c r="D4640" i="9"/>
  <c r="C4640" i="9"/>
  <c r="B4640" i="9"/>
  <c r="A4640" i="9"/>
  <c r="E4639" i="9"/>
  <c r="D4639" i="9"/>
  <c r="C4639" i="9"/>
  <c r="B4639" i="9"/>
  <c r="A4639" i="9"/>
  <c r="E4638" i="9"/>
  <c r="D4638" i="9"/>
  <c r="C4638" i="9"/>
  <c r="B4638" i="9"/>
  <c r="A4638" i="9"/>
  <c r="E4637" i="9"/>
  <c r="D4637" i="9"/>
  <c r="C4637" i="9"/>
  <c r="B4637" i="9"/>
  <c r="A4637" i="9"/>
  <c r="E4636" i="9"/>
  <c r="D4636" i="9"/>
  <c r="C4636" i="9"/>
  <c r="B4636" i="9"/>
  <c r="A4636" i="9"/>
  <c r="E4635" i="9"/>
  <c r="D4635" i="9"/>
  <c r="C4635" i="9"/>
  <c r="B4635" i="9"/>
  <c r="A4635" i="9"/>
  <c r="E4634" i="9"/>
  <c r="D4634" i="9"/>
  <c r="C4634" i="9"/>
  <c r="B4634" i="9"/>
  <c r="A4634" i="9"/>
  <c r="E4633" i="9"/>
  <c r="D4633" i="9"/>
  <c r="C4633" i="9"/>
  <c r="B4633" i="9"/>
  <c r="A4633" i="9"/>
  <c r="E4632" i="9"/>
  <c r="D4632" i="9"/>
  <c r="C4632" i="9"/>
  <c r="B4632" i="9"/>
  <c r="A4632" i="9"/>
  <c r="E4631" i="9"/>
  <c r="D4631" i="9"/>
  <c r="C4631" i="9"/>
  <c r="B4631" i="9"/>
  <c r="A4631" i="9"/>
  <c r="E4630" i="9"/>
  <c r="D4630" i="9"/>
  <c r="C4630" i="9"/>
  <c r="B4630" i="9"/>
  <c r="A4630" i="9"/>
  <c r="E4629" i="9"/>
  <c r="D4629" i="9"/>
  <c r="C4629" i="9"/>
  <c r="B4629" i="9"/>
  <c r="A4629" i="9"/>
  <c r="E4628" i="9"/>
  <c r="D4628" i="9"/>
  <c r="C4628" i="9"/>
  <c r="B4628" i="9"/>
  <c r="A4628" i="9"/>
  <c r="E4627" i="9"/>
  <c r="D4627" i="9"/>
  <c r="C4627" i="9"/>
  <c r="B4627" i="9"/>
  <c r="A4627" i="9"/>
  <c r="E4626" i="9"/>
  <c r="D4626" i="9"/>
  <c r="C4626" i="9"/>
  <c r="B4626" i="9"/>
  <c r="A4626" i="9"/>
  <c r="E4625" i="9"/>
  <c r="D4625" i="9"/>
  <c r="C4625" i="9"/>
  <c r="B4625" i="9"/>
  <c r="A4625" i="9"/>
  <c r="E4624" i="9"/>
  <c r="D4624" i="9"/>
  <c r="C4624" i="9"/>
  <c r="B4624" i="9"/>
  <c r="A4624" i="9"/>
  <c r="E4623" i="9"/>
  <c r="D4623" i="9"/>
  <c r="C4623" i="9"/>
  <c r="B4623" i="9"/>
  <c r="A4623" i="9"/>
  <c r="E4622" i="9"/>
  <c r="D4622" i="9"/>
  <c r="C4622" i="9"/>
  <c r="B4622" i="9"/>
  <c r="A4622" i="9"/>
  <c r="E4621" i="9"/>
  <c r="D4621" i="9"/>
  <c r="C4621" i="9"/>
  <c r="B4621" i="9"/>
  <c r="A4621" i="9"/>
  <c r="E4620" i="9"/>
  <c r="D4620" i="9"/>
  <c r="C4620" i="9"/>
  <c r="B4620" i="9"/>
  <c r="A4620" i="9"/>
  <c r="E4619" i="9"/>
  <c r="D4619" i="9"/>
  <c r="C4619" i="9"/>
  <c r="B4619" i="9"/>
  <c r="A4619" i="9"/>
  <c r="E4618" i="9"/>
  <c r="D4618" i="9"/>
  <c r="C4618" i="9"/>
  <c r="B4618" i="9"/>
  <c r="A4618" i="9"/>
  <c r="E4617" i="9"/>
  <c r="D4617" i="9"/>
  <c r="C4617" i="9"/>
  <c r="B4617" i="9"/>
  <c r="A4617" i="9"/>
  <c r="E4616" i="9"/>
  <c r="D4616" i="9"/>
  <c r="C4616" i="9"/>
  <c r="B4616" i="9"/>
  <c r="A4616" i="9"/>
  <c r="E4615" i="9"/>
  <c r="D4615" i="9"/>
  <c r="C4615" i="9"/>
  <c r="B4615" i="9"/>
  <c r="A4615" i="9"/>
  <c r="E4614" i="9"/>
  <c r="D4614" i="9"/>
  <c r="C4614" i="9"/>
  <c r="B4614" i="9"/>
  <c r="A4614" i="9"/>
  <c r="E4613" i="9"/>
  <c r="D4613" i="9"/>
  <c r="C4613" i="9"/>
  <c r="B4613" i="9"/>
  <c r="A4613" i="9"/>
  <c r="E4612" i="9"/>
  <c r="D4612" i="9"/>
  <c r="C4612" i="9"/>
  <c r="B4612" i="9"/>
  <c r="A4612" i="9"/>
  <c r="E4611" i="9"/>
  <c r="D4611" i="9"/>
  <c r="C4611" i="9"/>
  <c r="B4611" i="9"/>
  <c r="A4611" i="9"/>
  <c r="E4610" i="9"/>
  <c r="D4610" i="9"/>
  <c r="C4610" i="9"/>
  <c r="B4610" i="9"/>
  <c r="A4610" i="9"/>
  <c r="E4609" i="9"/>
  <c r="D4609" i="9"/>
  <c r="C4609" i="9"/>
  <c r="B4609" i="9"/>
  <c r="A4609" i="9"/>
  <c r="E4608" i="9"/>
  <c r="D4608" i="9"/>
  <c r="C4608" i="9"/>
  <c r="B4608" i="9"/>
  <c r="A4608" i="9"/>
  <c r="E4607" i="9"/>
  <c r="D4607" i="9"/>
  <c r="C4607" i="9"/>
  <c r="B4607" i="9"/>
  <c r="A4607" i="9"/>
  <c r="E4606" i="9"/>
  <c r="D4606" i="9"/>
  <c r="C4606" i="9"/>
  <c r="B4606" i="9"/>
  <c r="A4606" i="9"/>
  <c r="E4605" i="9"/>
  <c r="D4605" i="9"/>
  <c r="C4605" i="9"/>
  <c r="B4605" i="9"/>
  <c r="A4605" i="9"/>
  <c r="E4604" i="9"/>
  <c r="D4604" i="9"/>
  <c r="C4604" i="9"/>
  <c r="B4604" i="9"/>
  <c r="A4604" i="9"/>
  <c r="E4603" i="9"/>
  <c r="D4603" i="9"/>
  <c r="C4603" i="9"/>
  <c r="B4603" i="9"/>
  <c r="A4603" i="9"/>
  <c r="E4602" i="9"/>
  <c r="D4602" i="9"/>
  <c r="C4602" i="9"/>
  <c r="B4602" i="9"/>
  <c r="A4602" i="9"/>
  <c r="E4601" i="9"/>
  <c r="D4601" i="9"/>
  <c r="C4601" i="9"/>
  <c r="B4601" i="9"/>
  <c r="A4601" i="9"/>
  <c r="E4600" i="9"/>
  <c r="D4600" i="9"/>
  <c r="C4600" i="9"/>
  <c r="B4600" i="9"/>
  <c r="A4600" i="9"/>
  <c r="E4599" i="9"/>
  <c r="D4599" i="9"/>
  <c r="C4599" i="9"/>
  <c r="B4599" i="9"/>
  <c r="A4599" i="9"/>
  <c r="E4598" i="9"/>
  <c r="D4598" i="9"/>
  <c r="C4598" i="9"/>
  <c r="B4598" i="9"/>
  <c r="A4598" i="9"/>
  <c r="E4597" i="9"/>
  <c r="D4597" i="9"/>
  <c r="C4597" i="9"/>
  <c r="B4597" i="9"/>
  <c r="A4597" i="9"/>
  <c r="E4596" i="9"/>
  <c r="D4596" i="9"/>
  <c r="C4596" i="9"/>
  <c r="B4596" i="9"/>
  <c r="A4596" i="9"/>
  <c r="E4595" i="9"/>
  <c r="D4595" i="9"/>
  <c r="C4595" i="9"/>
  <c r="B4595" i="9"/>
  <c r="A4595" i="9"/>
  <c r="E4594" i="9"/>
  <c r="D4594" i="9"/>
  <c r="C4594" i="9"/>
  <c r="B4594" i="9"/>
  <c r="A4594" i="9"/>
  <c r="E4593" i="9"/>
  <c r="D4593" i="9"/>
  <c r="C4593" i="9"/>
  <c r="B4593" i="9"/>
  <c r="A4593" i="9"/>
  <c r="E4592" i="9"/>
  <c r="D4592" i="9"/>
  <c r="C4592" i="9"/>
  <c r="B4592" i="9"/>
  <c r="A4592" i="9"/>
  <c r="E4591" i="9"/>
  <c r="D4591" i="9"/>
  <c r="C4591" i="9"/>
  <c r="B4591" i="9"/>
  <c r="A4591" i="9"/>
  <c r="E4590" i="9"/>
  <c r="D4590" i="9"/>
  <c r="C4590" i="9"/>
  <c r="B4590" i="9"/>
  <c r="A4590" i="9"/>
  <c r="E4589" i="9"/>
  <c r="D4589" i="9"/>
  <c r="C4589" i="9"/>
  <c r="B4589" i="9"/>
  <c r="A4589" i="9"/>
  <c r="E4588" i="9"/>
  <c r="D4588" i="9"/>
  <c r="C4588" i="9"/>
  <c r="B4588" i="9"/>
  <c r="A4588" i="9"/>
  <c r="E4587" i="9"/>
  <c r="D4587" i="9"/>
  <c r="C4587" i="9"/>
  <c r="B4587" i="9"/>
  <c r="A4587" i="9"/>
  <c r="E4586" i="9"/>
  <c r="D4586" i="9"/>
  <c r="C4586" i="9"/>
  <c r="B4586" i="9"/>
  <c r="A4586" i="9"/>
  <c r="E4585" i="9"/>
  <c r="D4585" i="9"/>
  <c r="C4585" i="9"/>
  <c r="B4585" i="9"/>
  <c r="A4585" i="9"/>
  <c r="E4584" i="9"/>
  <c r="D4584" i="9"/>
  <c r="C4584" i="9"/>
  <c r="B4584" i="9"/>
  <c r="A4584" i="9"/>
  <c r="E4583" i="9"/>
  <c r="D4583" i="9"/>
  <c r="C4583" i="9"/>
  <c r="B4583" i="9"/>
  <c r="A4583" i="9"/>
  <c r="E4582" i="9"/>
  <c r="D4582" i="9"/>
  <c r="C4582" i="9"/>
  <c r="B4582" i="9"/>
  <c r="A4582" i="9"/>
  <c r="E4581" i="9"/>
  <c r="D4581" i="9"/>
  <c r="C4581" i="9"/>
  <c r="B4581" i="9"/>
  <c r="A4581" i="9"/>
  <c r="E4580" i="9"/>
  <c r="D4580" i="9"/>
  <c r="C4580" i="9"/>
  <c r="B4580" i="9"/>
  <c r="A4580" i="9"/>
  <c r="E4579" i="9"/>
  <c r="D4579" i="9"/>
  <c r="C4579" i="9"/>
  <c r="B4579" i="9"/>
  <c r="A4579" i="9"/>
  <c r="E4578" i="9"/>
  <c r="D4578" i="9"/>
  <c r="C4578" i="9"/>
  <c r="B4578" i="9"/>
  <c r="A4578" i="9"/>
  <c r="E4577" i="9"/>
  <c r="D4577" i="9"/>
  <c r="C4577" i="9"/>
  <c r="B4577" i="9"/>
  <c r="A4577" i="9"/>
  <c r="E4576" i="9"/>
  <c r="D4576" i="9"/>
  <c r="C4576" i="9"/>
  <c r="B4576" i="9"/>
  <c r="A4576" i="9"/>
  <c r="E4575" i="9"/>
  <c r="D4575" i="9"/>
  <c r="C4575" i="9"/>
  <c r="B4575" i="9"/>
  <c r="A4575" i="9"/>
  <c r="E4574" i="9"/>
  <c r="D4574" i="9"/>
  <c r="C4574" i="9"/>
  <c r="B4574" i="9"/>
  <c r="A4574" i="9"/>
  <c r="E4573" i="9"/>
  <c r="D4573" i="9"/>
  <c r="C4573" i="9"/>
  <c r="B4573" i="9"/>
  <c r="A4573" i="9"/>
  <c r="E4572" i="9"/>
  <c r="D4572" i="9"/>
  <c r="C4572" i="9"/>
  <c r="B4572" i="9"/>
  <c r="A4572" i="9"/>
  <c r="E4571" i="9"/>
  <c r="D4571" i="9"/>
  <c r="C4571" i="9"/>
  <c r="B4571" i="9"/>
  <c r="A4571" i="9"/>
  <c r="E4570" i="9"/>
  <c r="D4570" i="9"/>
  <c r="C4570" i="9"/>
  <c r="B4570" i="9"/>
  <c r="A4570" i="9"/>
  <c r="E4569" i="9"/>
  <c r="D4569" i="9"/>
  <c r="C4569" i="9"/>
  <c r="B4569" i="9"/>
  <c r="A4569" i="9"/>
  <c r="E4568" i="9"/>
  <c r="D4568" i="9"/>
  <c r="C4568" i="9"/>
  <c r="B4568" i="9"/>
  <c r="A4568" i="9"/>
  <c r="E4567" i="9"/>
  <c r="D4567" i="9"/>
  <c r="C4567" i="9"/>
  <c r="B4567" i="9"/>
  <c r="A4567" i="9"/>
  <c r="E4566" i="9"/>
  <c r="D4566" i="9"/>
  <c r="C4566" i="9"/>
  <c r="B4566" i="9"/>
  <c r="A4566" i="9"/>
  <c r="E4565" i="9"/>
  <c r="D4565" i="9"/>
  <c r="C4565" i="9"/>
  <c r="B4565" i="9"/>
  <c r="A4565" i="9"/>
  <c r="E4564" i="9"/>
  <c r="D4564" i="9"/>
  <c r="C4564" i="9"/>
  <c r="B4564" i="9"/>
  <c r="A4564" i="9"/>
  <c r="E4563" i="9"/>
  <c r="D4563" i="9"/>
  <c r="C4563" i="9"/>
  <c r="B4563" i="9"/>
  <c r="A4563" i="9"/>
  <c r="E4562" i="9"/>
  <c r="D4562" i="9"/>
  <c r="C4562" i="9"/>
  <c r="B4562" i="9"/>
  <c r="A4562" i="9"/>
  <c r="E4561" i="9"/>
  <c r="D4561" i="9"/>
  <c r="C4561" i="9"/>
  <c r="B4561" i="9"/>
  <c r="A4561" i="9"/>
  <c r="E4560" i="9"/>
  <c r="D4560" i="9"/>
  <c r="C4560" i="9"/>
  <c r="B4560" i="9"/>
  <c r="A4560" i="9"/>
  <c r="E4559" i="9"/>
  <c r="D4559" i="9"/>
  <c r="C4559" i="9"/>
  <c r="B4559" i="9"/>
  <c r="A4559" i="9"/>
  <c r="E4558" i="9"/>
  <c r="D4558" i="9"/>
  <c r="C4558" i="9"/>
  <c r="B4558" i="9"/>
  <c r="A4558" i="9"/>
  <c r="E4557" i="9"/>
  <c r="D4557" i="9"/>
  <c r="C4557" i="9"/>
  <c r="B4557" i="9"/>
  <c r="A4557" i="9"/>
  <c r="E4556" i="9"/>
  <c r="D4556" i="9"/>
  <c r="C4556" i="9"/>
  <c r="B4556" i="9"/>
  <c r="A4556" i="9"/>
  <c r="E4555" i="9"/>
  <c r="D4555" i="9"/>
  <c r="C4555" i="9"/>
  <c r="B4555" i="9"/>
  <c r="A4555" i="9"/>
  <c r="E4554" i="9"/>
  <c r="D4554" i="9"/>
  <c r="C4554" i="9"/>
  <c r="B4554" i="9"/>
  <c r="A4554" i="9"/>
  <c r="E4553" i="9"/>
  <c r="D4553" i="9"/>
  <c r="C4553" i="9"/>
  <c r="B4553" i="9"/>
  <c r="A4553" i="9"/>
  <c r="E4552" i="9"/>
  <c r="D4552" i="9"/>
  <c r="C4552" i="9"/>
  <c r="B4552" i="9"/>
  <c r="A4552" i="9"/>
  <c r="E4551" i="9"/>
  <c r="D4551" i="9"/>
  <c r="C4551" i="9"/>
  <c r="B4551" i="9"/>
  <c r="A4551" i="9"/>
  <c r="E4550" i="9"/>
  <c r="D4550" i="9"/>
  <c r="C4550" i="9"/>
  <c r="B4550" i="9"/>
  <c r="A4550" i="9"/>
  <c r="E4549" i="9"/>
  <c r="D4549" i="9"/>
  <c r="C4549" i="9"/>
  <c r="B4549" i="9"/>
  <c r="A4549" i="9"/>
  <c r="E4548" i="9"/>
  <c r="D4548" i="9"/>
  <c r="C4548" i="9"/>
  <c r="B4548" i="9"/>
  <c r="A4548" i="9"/>
  <c r="E4547" i="9"/>
  <c r="D4547" i="9"/>
  <c r="C4547" i="9"/>
  <c r="B4547" i="9"/>
  <c r="A4547" i="9"/>
  <c r="E4546" i="9"/>
  <c r="D4546" i="9"/>
  <c r="C4546" i="9"/>
  <c r="B4546" i="9"/>
  <c r="A4546" i="9"/>
  <c r="E4545" i="9"/>
  <c r="D4545" i="9"/>
  <c r="C4545" i="9"/>
  <c r="B4545" i="9"/>
  <c r="A4545" i="9"/>
  <c r="E4544" i="9"/>
  <c r="D4544" i="9"/>
  <c r="C4544" i="9"/>
  <c r="B4544" i="9"/>
  <c r="A4544" i="9"/>
  <c r="E4543" i="9"/>
  <c r="D4543" i="9"/>
  <c r="C4543" i="9"/>
  <c r="B4543" i="9"/>
  <c r="A4543" i="9"/>
  <c r="E4542" i="9"/>
  <c r="D4542" i="9"/>
  <c r="C4542" i="9"/>
  <c r="B4542" i="9"/>
  <c r="A4542" i="9"/>
  <c r="E4541" i="9"/>
  <c r="D4541" i="9"/>
  <c r="C4541" i="9"/>
  <c r="B4541" i="9"/>
  <c r="A4541" i="9"/>
  <c r="E4540" i="9"/>
  <c r="D4540" i="9"/>
  <c r="C4540" i="9"/>
  <c r="B4540" i="9"/>
  <c r="A4540" i="9"/>
  <c r="E4539" i="9"/>
  <c r="D4539" i="9"/>
  <c r="C4539" i="9"/>
  <c r="B4539" i="9"/>
  <c r="A4539" i="9"/>
  <c r="E4538" i="9"/>
  <c r="D4538" i="9"/>
  <c r="C4538" i="9"/>
  <c r="B4538" i="9"/>
  <c r="A4538" i="9"/>
  <c r="E4537" i="9"/>
  <c r="D4537" i="9"/>
  <c r="C4537" i="9"/>
  <c r="B4537" i="9"/>
  <c r="A4537" i="9"/>
  <c r="E4536" i="9"/>
  <c r="D4536" i="9"/>
  <c r="C4536" i="9"/>
  <c r="B4536" i="9"/>
  <c r="A4536" i="9"/>
  <c r="E4535" i="9"/>
  <c r="D4535" i="9"/>
  <c r="C4535" i="9"/>
  <c r="B4535" i="9"/>
  <c r="A4535" i="9"/>
  <c r="E4534" i="9"/>
  <c r="D4534" i="9"/>
  <c r="C4534" i="9"/>
  <c r="B4534" i="9"/>
  <c r="A4534" i="9"/>
  <c r="E4533" i="9"/>
  <c r="D4533" i="9"/>
  <c r="C4533" i="9"/>
  <c r="B4533" i="9"/>
  <c r="A4533" i="9"/>
  <c r="E4532" i="9"/>
  <c r="D4532" i="9"/>
  <c r="C4532" i="9"/>
  <c r="B4532" i="9"/>
  <c r="A4532" i="9"/>
  <c r="E4531" i="9"/>
  <c r="D4531" i="9"/>
  <c r="C4531" i="9"/>
  <c r="B4531" i="9"/>
  <c r="A4531" i="9"/>
  <c r="E4530" i="9"/>
  <c r="D4530" i="9"/>
  <c r="C4530" i="9"/>
  <c r="B4530" i="9"/>
  <c r="A4530" i="9"/>
  <c r="E4529" i="9"/>
  <c r="D4529" i="9"/>
  <c r="C4529" i="9"/>
  <c r="B4529" i="9"/>
  <c r="A4529" i="9"/>
  <c r="E4528" i="9"/>
  <c r="D4528" i="9"/>
  <c r="C4528" i="9"/>
  <c r="B4528" i="9"/>
  <c r="A4528" i="9"/>
  <c r="E4527" i="9"/>
  <c r="D4527" i="9"/>
  <c r="C4527" i="9"/>
  <c r="B4527" i="9"/>
  <c r="A4527" i="9"/>
  <c r="E4526" i="9"/>
  <c r="D4526" i="9"/>
  <c r="C4526" i="9"/>
  <c r="B4526" i="9"/>
  <c r="A4526" i="9"/>
  <c r="E4525" i="9"/>
  <c r="D4525" i="9"/>
  <c r="C4525" i="9"/>
  <c r="B4525" i="9"/>
  <c r="A4525" i="9"/>
  <c r="E4524" i="9"/>
  <c r="D4524" i="9"/>
  <c r="C4524" i="9"/>
  <c r="B4524" i="9"/>
  <c r="A4524" i="9"/>
  <c r="E4523" i="9"/>
  <c r="D4523" i="9"/>
  <c r="C4523" i="9"/>
  <c r="B4523" i="9"/>
  <c r="A4523" i="9"/>
  <c r="E4522" i="9"/>
  <c r="D4522" i="9"/>
  <c r="C4522" i="9"/>
  <c r="B4522" i="9"/>
  <c r="A4522" i="9"/>
  <c r="E4521" i="9"/>
  <c r="D4521" i="9"/>
  <c r="C4521" i="9"/>
  <c r="B4521" i="9"/>
  <c r="A4521" i="9"/>
  <c r="E4520" i="9"/>
  <c r="D4520" i="9"/>
  <c r="C4520" i="9"/>
  <c r="B4520" i="9"/>
  <c r="A4520" i="9"/>
  <c r="E4519" i="9"/>
  <c r="D4519" i="9"/>
  <c r="C4519" i="9"/>
  <c r="B4519" i="9"/>
  <c r="A4519" i="9"/>
  <c r="E4518" i="9"/>
  <c r="D4518" i="9"/>
  <c r="C4518" i="9"/>
  <c r="B4518" i="9"/>
  <c r="A4518" i="9"/>
  <c r="E4517" i="9"/>
  <c r="D4517" i="9"/>
  <c r="C4517" i="9"/>
  <c r="B4517" i="9"/>
  <c r="A4517" i="9"/>
  <c r="E4516" i="9"/>
  <c r="D4516" i="9"/>
  <c r="C4516" i="9"/>
  <c r="B4516" i="9"/>
  <c r="A4516" i="9"/>
  <c r="E4515" i="9"/>
  <c r="D4515" i="9"/>
  <c r="C4515" i="9"/>
  <c r="B4515" i="9"/>
  <c r="A4515" i="9"/>
  <c r="E4514" i="9"/>
  <c r="D4514" i="9"/>
  <c r="C4514" i="9"/>
  <c r="B4514" i="9"/>
  <c r="A4514" i="9"/>
  <c r="E4513" i="9"/>
  <c r="D4513" i="9"/>
  <c r="C4513" i="9"/>
  <c r="B4513" i="9"/>
  <c r="A4513" i="9"/>
  <c r="E4512" i="9"/>
  <c r="D4512" i="9"/>
  <c r="C4512" i="9"/>
  <c r="B4512" i="9"/>
  <c r="A4512" i="9"/>
  <c r="E4511" i="9"/>
  <c r="D4511" i="9"/>
  <c r="C4511" i="9"/>
  <c r="B4511" i="9"/>
  <c r="A4511" i="9"/>
  <c r="E4510" i="9"/>
  <c r="D4510" i="9"/>
  <c r="C4510" i="9"/>
  <c r="B4510" i="9"/>
  <c r="A4510" i="9"/>
  <c r="E4509" i="9"/>
  <c r="D4509" i="9"/>
  <c r="C4509" i="9"/>
  <c r="B4509" i="9"/>
  <c r="A4509" i="9"/>
  <c r="E4508" i="9"/>
  <c r="D4508" i="9"/>
  <c r="C4508" i="9"/>
  <c r="B4508" i="9"/>
  <c r="A4508" i="9"/>
  <c r="E4507" i="9"/>
  <c r="D4507" i="9"/>
  <c r="C4507" i="9"/>
  <c r="B4507" i="9"/>
  <c r="A4507" i="9"/>
  <c r="E4506" i="9"/>
  <c r="D4506" i="9"/>
  <c r="C4506" i="9"/>
  <c r="B4506" i="9"/>
  <c r="A4506" i="9"/>
  <c r="E4505" i="9"/>
  <c r="D4505" i="9"/>
  <c r="C4505" i="9"/>
  <c r="B4505" i="9"/>
  <c r="A4505" i="9"/>
  <c r="E4504" i="9"/>
  <c r="D4504" i="9"/>
  <c r="C4504" i="9"/>
  <c r="B4504" i="9"/>
  <c r="A4504" i="9"/>
  <c r="E4503" i="9"/>
  <c r="D4503" i="9"/>
  <c r="C4503" i="9"/>
  <c r="B4503" i="9"/>
  <c r="A4503" i="9"/>
  <c r="E4502" i="9"/>
  <c r="D4502" i="9"/>
  <c r="C4502" i="9"/>
  <c r="B4502" i="9"/>
  <c r="A4502" i="9"/>
  <c r="E4501" i="9"/>
  <c r="D4501" i="9"/>
  <c r="C4501" i="9"/>
  <c r="B4501" i="9"/>
  <c r="A4501" i="9"/>
  <c r="E4500" i="9"/>
  <c r="D4500" i="9"/>
  <c r="C4500" i="9"/>
  <c r="B4500" i="9"/>
  <c r="A4500" i="9"/>
  <c r="E4499" i="9"/>
  <c r="D4499" i="9"/>
  <c r="C4499" i="9"/>
  <c r="B4499" i="9"/>
  <c r="A4499" i="9"/>
  <c r="E4498" i="9"/>
  <c r="D4498" i="9"/>
  <c r="C4498" i="9"/>
  <c r="B4498" i="9"/>
  <c r="A4498" i="9"/>
  <c r="E4497" i="9"/>
  <c r="D4497" i="9"/>
  <c r="C4497" i="9"/>
  <c r="B4497" i="9"/>
  <c r="A4497" i="9"/>
  <c r="E4496" i="9"/>
  <c r="D4496" i="9"/>
  <c r="C4496" i="9"/>
  <c r="B4496" i="9"/>
  <c r="A4496" i="9"/>
  <c r="E4495" i="9"/>
  <c r="D4495" i="9"/>
  <c r="C4495" i="9"/>
  <c r="B4495" i="9"/>
  <c r="A4495" i="9"/>
  <c r="E4494" i="9"/>
  <c r="D4494" i="9"/>
  <c r="C4494" i="9"/>
  <c r="B4494" i="9"/>
  <c r="A4494" i="9"/>
  <c r="E4493" i="9"/>
  <c r="D4493" i="9"/>
  <c r="C4493" i="9"/>
  <c r="B4493" i="9"/>
  <c r="A4493" i="9"/>
  <c r="E4492" i="9"/>
  <c r="D4492" i="9"/>
  <c r="C4492" i="9"/>
  <c r="B4492" i="9"/>
  <c r="A4492" i="9"/>
  <c r="E4491" i="9"/>
  <c r="D4491" i="9"/>
  <c r="C4491" i="9"/>
  <c r="B4491" i="9"/>
  <c r="A4491" i="9"/>
  <c r="E4490" i="9"/>
  <c r="D4490" i="9"/>
  <c r="C4490" i="9"/>
  <c r="B4490" i="9"/>
  <c r="A4490" i="9"/>
  <c r="E4489" i="9"/>
  <c r="D4489" i="9"/>
  <c r="C4489" i="9"/>
  <c r="B4489" i="9"/>
  <c r="A4489" i="9"/>
  <c r="E4488" i="9"/>
  <c r="D4488" i="9"/>
  <c r="C4488" i="9"/>
  <c r="B4488" i="9"/>
  <c r="A4488" i="9"/>
  <c r="E4487" i="9"/>
  <c r="D4487" i="9"/>
  <c r="C4487" i="9"/>
  <c r="B4487" i="9"/>
  <c r="A4487" i="9"/>
  <c r="E4486" i="9"/>
  <c r="D4486" i="9"/>
  <c r="C4486" i="9"/>
  <c r="B4486" i="9"/>
  <c r="A4486" i="9"/>
  <c r="E4485" i="9"/>
  <c r="D4485" i="9"/>
  <c r="C4485" i="9"/>
  <c r="B4485" i="9"/>
  <c r="A4485" i="9"/>
  <c r="E4484" i="9"/>
  <c r="D4484" i="9"/>
  <c r="C4484" i="9"/>
  <c r="B4484" i="9"/>
  <c r="A4484" i="9"/>
  <c r="E4483" i="9"/>
  <c r="D4483" i="9"/>
  <c r="C4483" i="9"/>
  <c r="B4483" i="9"/>
  <c r="A4483" i="9"/>
  <c r="E4482" i="9"/>
  <c r="D4482" i="9"/>
  <c r="C4482" i="9"/>
  <c r="B4482" i="9"/>
  <c r="A4482" i="9"/>
  <c r="E4481" i="9"/>
  <c r="D4481" i="9"/>
  <c r="C4481" i="9"/>
  <c r="B4481" i="9"/>
  <c r="A4481" i="9"/>
  <c r="E4480" i="9"/>
  <c r="D4480" i="9"/>
  <c r="C4480" i="9"/>
  <c r="B4480" i="9"/>
  <c r="A4480" i="9"/>
  <c r="E4479" i="9"/>
  <c r="D4479" i="9"/>
  <c r="C4479" i="9"/>
  <c r="B4479" i="9"/>
  <c r="A4479" i="9"/>
  <c r="E4478" i="9"/>
  <c r="D4478" i="9"/>
  <c r="C4478" i="9"/>
  <c r="B4478" i="9"/>
  <c r="A4478" i="9"/>
  <c r="E4477" i="9"/>
  <c r="D4477" i="9"/>
  <c r="C4477" i="9"/>
  <c r="B4477" i="9"/>
  <c r="A4477" i="9"/>
  <c r="E4476" i="9"/>
  <c r="D4476" i="9"/>
  <c r="C4476" i="9"/>
  <c r="B4476" i="9"/>
  <c r="A4476" i="9"/>
  <c r="E4475" i="9"/>
  <c r="D4475" i="9"/>
  <c r="C4475" i="9"/>
  <c r="B4475" i="9"/>
  <c r="A4475" i="9"/>
  <c r="E4474" i="9"/>
  <c r="D4474" i="9"/>
  <c r="C4474" i="9"/>
  <c r="B4474" i="9"/>
  <c r="A4474" i="9"/>
  <c r="E4473" i="9"/>
  <c r="D4473" i="9"/>
  <c r="C4473" i="9"/>
  <c r="B4473" i="9"/>
  <c r="A4473" i="9"/>
  <c r="E4472" i="9"/>
  <c r="D4472" i="9"/>
  <c r="C4472" i="9"/>
  <c r="B4472" i="9"/>
  <c r="A4472" i="9"/>
  <c r="E4471" i="9"/>
  <c r="D4471" i="9"/>
  <c r="C4471" i="9"/>
  <c r="B4471" i="9"/>
  <c r="A4471" i="9"/>
  <c r="E4470" i="9"/>
  <c r="D4470" i="9"/>
  <c r="C4470" i="9"/>
  <c r="B4470" i="9"/>
  <c r="A4470" i="9"/>
  <c r="E4469" i="9"/>
  <c r="D4469" i="9"/>
  <c r="C4469" i="9"/>
  <c r="B4469" i="9"/>
  <c r="A4469" i="9"/>
  <c r="E4468" i="9"/>
  <c r="D4468" i="9"/>
  <c r="C4468" i="9"/>
  <c r="B4468" i="9"/>
  <c r="A4468" i="9"/>
  <c r="E4467" i="9"/>
  <c r="D4467" i="9"/>
  <c r="C4467" i="9"/>
  <c r="B4467" i="9"/>
  <c r="A4467" i="9"/>
  <c r="E4466" i="9"/>
  <c r="D4466" i="9"/>
  <c r="C4466" i="9"/>
  <c r="B4466" i="9"/>
  <c r="A4466" i="9"/>
  <c r="E4465" i="9"/>
  <c r="D4465" i="9"/>
  <c r="C4465" i="9"/>
  <c r="B4465" i="9"/>
  <c r="A4465" i="9"/>
  <c r="E4464" i="9"/>
  <c r="D4464" i="9"/>
  <c r="C4464" i="9"/>
  <c r="B4464" i="9"/>
  <c r="A4464" i="9"/>
  <c r="E4463" i="9"/>
  <c r="D4463" i="9"/>
  <c r="C4463" i="9"/>
  <c r="B4463" i="9"/>
  <c r="A4463" i="9"/>
  <c r="E4462" i="9"/>
  <c r="D4462" i="9"/>
  <c r="C4462" i="9"/>
  <c r="B4462" i="9"/>
  <c r="A4462" i="9"/>
  <c r="E4461" i="9"/>
  <c r="D4461" i="9"/>
  <c r="C4461" i="9"/>
  <c r="B4461" i="9"/>
  <c r="A4461" i="9"/>
  <c r="E4460" i="9"/>
  <c r="D4460" i="9"/>
  <c r="C4460" i="9"/>
  <c r="B4460" i="9"/>
  <c r="A4460" i="9"/>
  <c r="E4459" i="9"/>
  <c r="D4459" i="9"/>
  <c r="C4459" i="9"/>
  <c r="B4459" i="9"/>
  <c r="A4459" i="9"/>
  <c r="E4458" i="9"/>
  <c r="D4458" i="9"/>
  <c r="C4458" i="9"/>
  <c r="B4458" i="9"/>
  <c r="A4458" i="9"/>
  <c r="E4457" i="9"/>
  <c r="D4457" i="9"/>
  <c r="C4457" i="9"/>
  <c r="B4457" i="9"/>
  <c r="A4457" i="9"/>
  <c r="E4456" i="9"/>
  <c r="D4456" i="9"/>
  <c r="C4456" i="9"/>
  <c r="B4456" i="9"/>
  <c r="A4456" i="9"/>
  <c r="E4455" i="9"/>
  <c r="D4455" i="9"/>
  <c r="C4455" i="9"/>
  <c r="B4455" i="9"/>
  <c r="A4455" i="9"/>
  <c r="E4454" i="9"/>
  <c r="D4454" i="9"/>
  <c r="C4454" i="9"/>
  <c r="B4454" i="9"/>
  <c r="A4454" i="9"/>
  <c r="E4453" i="9"/>
  <c r="D4453" i="9"/>
  <c r="C4453" i="9"/>
  <c r="B4453" i="9"/>
  <c r="A4453" i="9"/>
  <c r="E4452" i="9"/>
  <c r="D4452" i="9"/>
  <c r="C4452" i="9"/>
  <c r="B4452" i="9"/>
  <c r="A4452" i="9"/>
  <c r="E4451" i="9"/>
  <c r="D4451" i="9"/>
  <c r="C4451" i="9"/>
  <c r="B4451" i="9"/>
  <c r="A4451" i="9"/>
  <c r="E4450" i="9"/>
  <c r="D4450" i="9"/>
  <c r="C4450" i="9"/>
  <c r="B4450" i="9"/>
  <c r="A4450" i="9"/>
  <c r="E4449" i="9"/>
  <c r="D4449" i="9"/>
  <c r="C4449" i="9"/>
  <c r="B4449" i="9"/>
  <c r="A4449" i="9"/>
  <c r="E4448" i="9"/>
  <c r="D4448" i="9"/>
  <c r="C4448" i="9"/>
  <c r="B4448" i="9"/>
  <c r="A4448" i="9"/>
  <c r="E4447" i="9"/>
  <c r="D4447" i="9"/>
  <c r="C4447" i="9"/>
  <c r="B4447" i="9"/>
  <c r="A4447" i="9"/>
  <c r="E4446" i="9"/>
  <c r="D4446" i="9"/>
  <c r="C4446" i="9"/>
  <c r="B4446" i="9"/>
  <c r="A4446" i="9"/>
  <c r="E4445" i="9"/>
  <c r="D4445" i="9"/>
  <c r="C4445" i="9"/>
  <c r="B4445" i="9"/>
  <c r="A4445" i="9"/>
  <c r="E4444" i="9"/>
  <c r="D4444" i="9"/>
  <c r="C4444" i="9"/>
  <c r="B4444" i="9"/>
  <c r="A4444" i="9"/>
  <c r="E4443" i="9"/>
  <c r="D4443" i="9"/>
  <c r="C4443" i="9"/>
  <c r="B4443" i="9"/>
  <c r="A4443" i="9"/>
  <c r="E4442" i="9"/>
  <c r="D4442" i="9"/>
  <c r="C4442" i="9"/>
  <c r="B4442" i="9"/>
  <c r="A4442" i="9"/>
  <c r="E4441" i="9"/>
  <c r="D4441" i="9"/>
  <c r="C4441" i="9"/>
  <c r="B4441" i="9"/>
  <c r="A4441" i="9"/>
  <c r="E4440" i="9"/>
  <c r="D4440" i="9"/>
  <c r="C4440" i="9"/>
  <c r="B4440" i="9"/>
  <c r="A4440" i="9"/>
  <c r="E4439" i="9"/>
  <c r="D4439" i="9"/>
  <c r="C4439" i="9"/>
  <c r="B4439" i="9"/>
  <c r="A4439" i="9"/>
  <c r="E4438" i="9"/>
  <c r="D4438" i="9"/>
  <c r="C4438" i="9"/>
  <c r="B4438" i="9"/>
  <c r="A4438" i="9"/>
  <c r="E4437" i="9"/>
  <c r="D4437" i="9"/>
  <c r="C4437" i="9"/>
  <c r="B4437" i="9"/>
  <c r="A4437" i="9"/>
  <c r="E4436" i="9"/>
  <c r="D4436" i="9"/>
  <c r="C4436" i="9"/>
  <c r="B4436" i="9"/>
  <c r="A4436" i="9"/>
  <c r="E4435" i="9"/>
  <c r="D4435" i="9"/>
  <c r="C4435" i="9"/>
  <c r="B4435" i="9"/>
  <c r="A4435" i="9"/>
  <c r="E4434" i="9"/>
  <c r="D4434" i="9"/>
  <c r="C4434" i="9"/>
  <c r="B4434" i="9"/>
  <c r="A4434" i="9"/>
  <c r="E4433" i="9"/>
  <c r="D4433" i="9"/>
  <c r="C4433" i="9"/>
  <c r="B4433" i="9"/>
  <c r="A4433" i="9"/>
  <c r="E4432" i="9"/>
  <c r="D4432" i="9"/>
  <c r="C4432" i="9"/>
  <c r="B4432" i="9"/>
  <c r="A4432" i="9"/>
  <c r="E4431" i="9"/>
  <c r="D4431" i="9"/>
  <c r="C4431" i="9"/>
  <c r="B4431" i="9"/>
  <c r="A4431" i="9"/>
  <c r="E4430" i="9"/>
  <c r="D4430" i="9"/>
  <c r="C4430" i="9"/>
  <c r="B4430" i="9"/>
  <c r="A4430" i="9"/>
  <c r="E4429" i="9"/>
  <c r="D4429" i="9"/>
  <c r="C4429" i="9"/>
  <c r="B4429" i="9"/>
  <c r="A4429" i="9"/>
  <c r="E4428" i="9"/>
  <c r="D4428" i="9"/>
  <c r="C4428" i="9"/>
  <c r="B4428" i="9"/>
  <c r="A4428" i="9"/>
  <c r="E4427" i="9"/>
  <c r="D4427" i="9"/>
  <c r="C4427" i="9"/>
  <c r="B4427" i="9"/>
  <c r="A4427" i="9"/>
  <c r="E4426" i="9"/>
  <c r="D4426" i="9"/>
  <c r="C4426" i="9"/>
  <c r="B4426" i="9"/>
  <c r="A4426" i="9"/>
  <c r="E4425" i="9"/>
  <c r="D4425" i="9"/>
  <c r="C4425" i="9"/>
  <c r="B4425" i="9"/>
  <c r="A4425" i="9"/>
  <c r="E4424" i="9"/>
  <c r="D4424" i="9"/>
  <c r="C4424" i="9"/>
  <c r="B4424" i="9"/>
  <c r="A4424" i="9"/>
  <c r="E4423" i="9"/>
  <c r="D4423" i="9"/>
  <c r="C4423" i="9"/>
  <c r="B4423" i="9"/>
  <c r="A4423" i="9"/>
  <c r="E4422" i="9"/>
  <c r="D4422" i="9"/>
  <c r="C4422" i="9"/>
  <c r="B4422" i="9"/>
  <c r="A4422" i="9"/>
  <c r="E4421" i="9"/>
  <c r="D4421" i="9"/>
  <c r="C4421" i="9"/>
  <c r="B4421" i="9"/>
  <c r="A4421" i="9"/>
  <c r="E4420" i="9"/>
  <c r="D4420" i="9"/>
  <c r="C4420" i="9"/>
  <c r="B4420" i="9"/>
  <c r="A4420" i="9"/>
  <c r="E4419" i="9"/>
  <c r="D4419" i="9"/>
  <c r="C4419" i="9"/>
  <c r="B4419" i="9"/>
  <c r="A4419" i="9"/>
  <c r="E4418" i="9"/>
  <c r="D4418" i="9"/>
  <c r="C4418" i="9"/>
  <c r="B4418" i="9"/>
  <c r="A4418" i="9"/>
  <c r="E4417" i="9"/>
  <c r="D4417" i="9"/>
  <c r="C4417" i="9"/>
  <c r="B4417" i="9"/>
  <c r="A4417" i="9"/>
  <c r="E4416" i="9"/>
  <c r="D4416" i="9"/>
  <c r="C4416" i="9"/>
  <c r="B4416" i="9"/>
  <c r="A4416" i="9"/>
  <c r="E4415" i="9"/>
  <c r="D4415" i="9"/>
  <c r="C4415" i="9"/>
  <c r="B4415" i="9"/>
  <c r="A4415" i="9"/>
  <c r="E4414" i="9"/>
  <c r="D4414" i="9"/>
  <c r="C4414" i="9"/>
  <c r="B4414" i="9"/>
  <c r="A4414" i="9"/>
  <c r="E4413" i="9"/>
  <c r="D4413" i="9"/>
  <c r="C4413" i="9"/>
  <c r="B4413" i="9"/>
  <c r="A4413" i="9"/>
  <c r="E4412" i="9"/>
  <c r="D4412" i="9"/>
  <c r="C4412" i="9"/>
  <c r="B4412" i="9"/>
  <c r="A4412" i="9"/>
  <c r="E4411" i="9"/>
  <c r="D4411" i="9"/>
  <c r="C4411" i="9"/>
  <c r="B4411" i="9"/>
  <c r="A4411" i="9"/>
  <c r="E4410" i="9"/>
  <c r="D4410" i="9"/>
  <c r="C4410" i="9"/>
  <c r="B4410" i="9"/>
  <c r="A4410" i="9"/>
  <c r="E4409" i="9"/>
  <c r="D4409" i="9"/>
  <c r="C4409" i="9"/>
  <c r="B4409" i="9"/>
  <c r="A4409" i="9"/>
  <c r="E4408" i="9"/>
  <c r="D4408" i="9"/>
  <c r="C4408" i="9"/>
  <c r="B4408" i="9"/>
  <c r="A4408" i="9"/>
  <c r="E4407" i="9"/>
  <c r="D4407" i="9"/>
  <c r="C4407" i="9"/>
  <c r="B4407" i="9"/>
  <c r="A4407" i="9"/>
  <c r="E4406" i="9"/>
  <c r="D4406" i="9"/>
  <c r="C4406" i="9"/>
  <c r="B4406" i="9"/>
  <c r="A4406" i="9"/>
  <c r="E4405" i="9"/>
  <c r="D4405" i="9"/>
  <c r="C4405" i="9"/>
  <c r="B4405" i="9"/>
  <c r="A4405" i="9"/>
  <c r="E4404" i="9"/>
  <c r="D4404" i="9"/>
  <c r="C4404" i="9"/>
  <c r="B4404" i="9"/>
  <c r="A4404" i="9"/>
  <c r="E4403" i="9"/>
  <c r="D4403" i="9"/>
  <c r="C4403" i="9"/>
  <c r="B4403" i="9"/>
  <c r="A4403" i="9"/>
  <c r="E4402" i="9"/>
  <c r="D4402" i="9"/>
  <c r="C4402" i="9"/>
  <c r="B4402" i="9"/>
  <c r="A4402" i="9"/>
  <c r="E4401" i="9"/>
  <c r="D4401" i="9"/>
  <c r="C4401" i="9"/>
  <c r="B4401" i="9"/>
  <c r="A4401" i="9"/>
  <c r="E4400" i="9"/>
  <c r="D4400" i="9"/>
  <c r="C4400" i="9"/>
  <c r="B4400" i="9"/>
  <c r="A4400" i="9"/>
  <c r="E4399" i="9"/>
  <c r="D4399" i="9"/>
  <c r="C4399" i="9"/>
  <c r="B4399" i="9"/>
  <c r="A4399" i="9"/>
  <c r="E4398" i="9"/>
  <c r="D4398" i="9"/>
  <c r="C4398" i="9"/>
  <c r="B4398" i="9"/>
  <c r="A4398" i="9"/>
  <c r="E4397" i="9"/>
  <c r="D4397" i="9"/>
  <c r="C4397" i="9"/>
  <c r="B4397" i="9"/>
  <c r="A4397" i="9"/>
  <c r="E4396" i="9"/>
  <c r="D4396" i="9"/>
  <c r="C4396" i="9"/>
  <c r="B4396" i="9"/>
  <c r="A4396" i="9"/>
  <c r="E4395" i="9"/>
  <c r="D4395" i="9"/>
  <c r="C4395" i="9"/>
  <c r="B4395" i="9"/>
  <c r="A4395" i="9"/>
  <c r="E4394" i="9"/>
  <c r="D4394" i="9"/>
  <c r="C4394" i="9"/>
  <c r="B4394" i="9"/>
  <c r="A4394" i="9"/>
  <c r="E4393" i="9"/>
  <c r="D4393" i="9"/>
  <c r="C4393" i="9"/>
  <c r="B4393" i="9"/>
  <c r="A4393" i="9"/>
  <c r="E4392" i="9"/>
  <c r="D4392" i="9"/>
  <c r="C4392" i="9"/>
  <c r="B4392" i="9"/>
  <c r="A4392" i="9"/>
  <c r="E4391" i="9"/>
  <c r="D4391" i="9"/>
  <c r="C4391" i="9"/>
  <c r="B4391" i="9"/>
  <c r="A4391" i="9"/>
  <c r="E4390" i="9"/>
  <c r="D4390" i="9"/>
  <c r="C4390" i="9"/>
  <c r="B4390" i="9"/>
  <c r="A4390" i="9"/>
  <c r="E4389" i="9"/>
  <c r="D4389" i="9"/>
  <c r="C4389" i="9"/>
  <c r="B4389" i="9"/>
  <c r="A4389" i="9"/>
  <c r="E4388" i="9"/>
  <c r="D4388" i="9"/>
  <c r="C4388" i="9"/>
  <c r="B4388" i="9"/>
  <c r="A4388" i="9"/>
  <c r="E4387" i="9"/>
  <c r="D4387" i="9"/>
  <c r="C4387" i="9"/>
  <c r="B4387" i="9"/>
  <c r="A4387" i="9"/>
  <c r="E4386" i="9"/>
  <c r="D4386" i="9"/>
  <c r="C4386" i="9"/>
  <c r="B4386" i="9"/>
  <c r="A4386" i="9"/>
  <c r="E4385" i="9"/>
  <c r="D4385" i="9"/>
  <c r="C4385" i="9"/>
  <c r="B4385" i="9"/>
  <c r="A4385" i="9"/>
  <c r="E4384" i="9"/>
  <c r="D4384" i="9"/>
  <c r="C4384" i="9"/>
  <c r="B4384" i="9"/>
  <c r="A4384" i="9"/>
  <c r="E4383" i="9"/>
  <c r="D4383" i="9"/>
  <c r="C4383" i="9"/>
  <c r="B4383" i="9"/>
  <c r="A4383" i="9"/>
  <c r="E4382" i="9"/>
  <c r="D4382" i="9"/>
  <c r="C4382" i="9"/>
  <c r="B4382" i="9"/>
  <c r="A4382" i="9"/>
  <c r="E4381" i="9"/>
  <c r="D4381" i="9"/>
  <c r="C4381" i="9"/>
  <c r="B4381" i="9"/>
  <c r="A4381" i="9"/>
  <c r="E4380" i="9"/>
  <c r="D4380" i="9"/>
  <c r="C4380" i="9"/>
  <c r="B4380" i="9"/>
  <c r="A4380" i="9"/>
  <c r="E4379" i="9"/>
  <c r="D4379" i="9"/>
  <c r="C4379" i="9"/>
  <c r="B4379" i="9"/>
  <c r="A4379" i="9"/>
  <c r="E4378" i="9"/>
  <c r="D4378" i="9"/>
  <c r="C4378" i="9"/>
  <c r="B4378" i="9"/>
  <c r="A4378" i="9"/>
  <c r="E4377" i="9"/>
  <c r="D4377" i="9"/>
  <c r="C4377" i="9"/>
  <c r="B4377" i="9"/>
  <c r="A4377" i="9"/>
  <c r="E4376" i="9"/>
  <c r="D4376" i="9"/>
  <c r="C4376" i="9"/>
  <c r="B4376" i="9"/>
  <c r="A4376" i="9"/>
  <c r="E4375" i="9"/>
  <c r="D4375" i="9"/>
  <c r="C4375" i="9"/>
  <c r="B4375" i="9"/>
  <c r="A4375" i="9"/>
  <c r="E4374" i="9"/>
  <c r="D4374" i="9"/>
  <c r="C4374" i="9"/>
  <c r="B4374" i="9"/>
  <c r="A4374" i="9"/>
  <c r="E4373" i="9"/>
  <c r="D4373" i="9"/>
  <c r="C4373" i="9"/>
  <c r="B4373" i="9"/>
  <c r="A4373" i="9"/>
  <c r="E4372" i="9"/>
  <c r="D4372" i="9"/>
  <c r="C4372" i="9"/>
  <c r="B4372" i="9"/>
  <c r="A4372" i="9"/>
  <c r="E4371" i="9"/>
  <c r="D4371" i="9"/>
  <c r="C4371" i="9"/>
  <c r="B4371" i="9"/>
  <c r="A4371" i="9"/>
  <c r="E4370" i="9"/>
  <c r="D4370" i="9"/>
  <c r="C4370" i="9"/>
  <c r="B4370" i="9"/>
  <c r="A4370" i="9"/>
  <c r="E4369" i="9"/>
  <c r="D4369" i="9"/>
  <c r="C4369" i="9"/>
  <c r="B4369" i="9"/>
  <c r="A4369" i="9"/>
  <c r="E4368" i="9"/>
  <c r="D4368" i="9"/>
  <c r="C4368" i="9"/>
  <c r="B4368" i="9"/>
  <c r="A4368" i="9"/>
  <c r="E4367" i="9"/>
  <c r="D4367" i="9"/>
  <c r="C4367" i="9"/>
  <c r="B4367" i="9"/>
  <c r="A4367" i="9"/>
  <c r="E4366" i="9"/>
  <c r="D4366" i="9"/>
  <c r="C4366" i="9"/>
  <c r="B4366" i="9"/>
  <c r="A4366" i="9"/>
  <c r="E4365" i="9"/>
  <c r="D4365" i="9"/>
  <c r="C4365" i="9"/>
  <c r="B4365" i="9"/>
  <c r="A4365" i="9"/>
  <c r="E4364" i="9"/>
  <c r="D4364" i="9"/>
  <c r="C4364" i="9"/>
  <c r="B4364" i="9"/>
  <c r="A4364" i="9"/>
  <c r="E4363" i="9"/>
  <c r="D4363" i="9"/>
  <c r="C4363" i="9"/>
  <c r="B4363" i="9"/>
  <c r="A4363" i="9"/>
  <c r="E4362" i="9"/>
  <c r="D4362" i="9"/>
  <c r="C4362" i="9"/>
  <c r="B4362" i="9"/>
  <c r="A4362" i="9"/>
  <c r="E4361" i="9"/>
  <c r="D4361" i="9"/>
  <c r="C4361" i="9"/>
  <c r="B4361" i="9"/>
  <c r="A4361" i="9"/>
  <c r="E4360" i="9"/>
  <c r="D4360" i="9"/>
  <c r="C4360" i="9"/>
  <c r="B4360" i="9"/>
  <c r="A4360" i="9"/>
  <c r="E4359" i="9"/>
  <c r="D4359" i="9"/>
  <c r="C4359" i="9"/>
  <c r="B4359" i="9"/>
  <c r="A4359" i="9"/>
  <c r="E4358" i="9"/>
  <c r="D4358" i="9"/>
  <c r="C4358" i="9"/>
  <c r="B4358" i="9"/>
  <c r="A4358" i="9"/>
  <c r="E4357" i="9"/>
  <c r="D4357" i="9"/>
  <c r="C4357" i="9"/>
  <c r="B4357" i="9"/>
  <c r="A4357" i="9"/>
  <c r="E4356" i="9"/>
  <c r="D4356" i="9"/>
  <c r="C4356" i="9"/>
  <c r="B4356" i="9"/>
  <c r="A4356" i="9"/>
  <c r="E4355" i="9"/>
  <c r="D4355" i="9"/>
  <c r="C4355" i="9"/>
  <c r="B4355" i="9"/>
  <c r="A4355" i="9"/>
  <c r="E4354" i="9"/>
  <c r="D4354" i="9"/>
  <c r="C4354" i="9"/>
  <c r="B4354" i="9"/>
  <c r="A4354" i="9"/>
  <c r="E4353" i="9"/>
  <c r="D4353" i="9"/>
  <c r="C4353" i="9"/>
  <c r="B4353" i="9"/>
  <c r="A4353" i="9"/>
  <c r="E4352" i="9"/>
  <c r="D4352" i="9"/>
  <c r="C4352" i="9"/>
  <c r="B4352" i="9"/>
  <c r="A4352" i="9"/>
  <c r="E4351" i="9"/>
  <c r="D4351" i="9"/>
  <c r="C4351" i="9"/>
  <c r="B4351" i="9"/>
  <c r="A4351" i="9"/>
  <c r="E4350" i="9"/>
  <c r="D4350" i="9"/>
  <c r="C4350" i="9"/>
  <c r="B4350" i="9"/>
  <c r="A4350" i="9"/>
  <c r="E4349" i="9"/>
  <c r="D4349" i="9"/>
  <c r="C4349" i="9"/>
  <c r="B4349" i="9"/>
  <c r="A4349" i="9"/>
  <c r="E4348" i="9"/>
  <c r="D4348" i="9"/>
  <c r="C4348" i="9"/>
  <c r="B4348" i="9"/>
  <c r="A4348" i="9"/>
  <c r="E4347" i="9"/>
  <c r="D4347" i="9"/>
  <c r="C4347" i="9"/>
  <c r="B4347" i="9"/>
  <c r="A4347" i="9"/>
  <c r="E4346" i="9"/>
  <c r="D4346" i="9"/>
  <c r="C4346" i="9"/>
  <c r="B4346" i="9"/>
  <c r="A4346" i="9"/>
  <c r="E4345" i="9"/>
  <c r="D4345" i="9"/>
  <c r="C4345" i="9"/>
  <c r="B4345" i="9"/>
  <c r="A4345" i="9"/>
  <c r="E4344" i="9"/>
  <c r="D4344" i="9"/>
  <c r="C4344" i="9"/>
  <c r="B4344" i="9"/>
  <c r="A4344" i="9"/>
  <c r="E4343" i="9"/>
  <c r="D4343" i="9"/>
  <c r="C4343" i="9"/>
  <c r="B4343" i="9"/>
  <c r="A4343" i="9"/>
  <c r="E4342" i="9"/>
  <c r="D4342" i="9"/>
  <c r="C4342" i="9"/>
  <c r="B4342" i="9"/>
  <c r="A4342" i="9"/>
  <c r="E4341" i="9"/>
  <c r="D4341" i="9"/>
  <c r="C4341" i="9"/>
  <c r="B4341" i="9"/>
  <c r="A4341" i="9"/>
  <c r="E4340" i="9"/>
  <c r="D4340" i="9"/>
  <c r="C4340" i="9"/>
  <c r="B4340" i="9"/>
  <c r="A4340" i="9"/>
  <c r="E4339" i="9"/>
  <c r="D4339" i="9"/>
  <c r="C4339" i="9"/>
  <c r="B4339" i="9"/>
  <c r="A4339" i="9"/>
  <c r="E4338" i="9"/>
  <c r="D4338" i="9"/>
  <c r="C4338" i="9"/>
  <c r="B4338" i="9"/>
  <c r="A4338" i="9"/>
  <c r="E4337" i="9"/>
  <c r="D4337" i="9"/>
  <c r="C4337" i="9"/>
  <c r="B4337" i="9"/>
  <c r="A4337" i="9"/>
  <c r="E4336" i="9"/>
  <c r="D4336" i="9"/>
  <c r="C4336" i="9"/>
  <c r="B4336" i="9"/>
  <c r="A4336" i="9"/>
  <c r="E4335" i="9"/>
  <c r="D4335" i="9"/>
  <c r="C4335" i="9"/>
  <c r="B4335" i="9"/>
  <c r="A4335" i="9"/>
  <c r="E4334" i="9"/>
  <c r="D4334" i="9"/>
  <c r="C4334" i="9"/>
  <c r="B4334" i="9"/>
  <c r="A4334" i="9"/>
  <c r="E4333" i="9"/>
  <c r="D4333" i="9"/>
  <c r="C4333" i="9"/>
  <c r="B4333" i="9"/>
  <c r="A4333" i="9"/>
  <c r="E4332" i="9"/>
  <c r="D4332" i="9"/>
  <c r="C4332" i="9"/>
  <c r="B4332" i="9"/>
  <c r="A4332" i="9"/>
  <c r="E4331" i="9"/>
  <c r="D4331" i="9"/>
  <c r="C4331" i="9"/>
  <c r="B4331" i="9"/>
  <c r="A4331" i="9"/>
  <c r="E4330" i="9"/>
  <c r="D4330" i="9"/>
  <c r="C4330" i="9"/>
  <c r="B4330" i="9"/>
  <c r="A4330" i="9"/>
  <c r="E4329" i="9"/>
  <c r="D4329" i="9"/>
  <c r="C4329" i="9"/>
  <c r="B4329" i="9"/>
  <c r="A4329" i="9"/>
  <c r="E4328" i="9"/>
  <c r="D4328" i="9"/>
  <c r="C4328" i="9"/>
  <c r="B4328" i="9"/>
  <c r="A4328" i="9"/>
  <c r="E4327" i="9"/>
  <c r="D4327" i="9"/>
  <c r="C4327" i="9"/>
  <c r="B4327" i="9"/>
  <c r="A4327" i="9"/>
  <c r="E4326" i="9"/>
  <c r="D4326" i="9"/>
  <c r="C4326" i="9"/>
  <c r="B4326" i="9"/>
  <c r="A4326" i="9"/>
  <c r="E4325" i="9"/>
  <c r="D4325" i="9"/>
  <c r="C4325" i="9"/>
  <c r="B4325" i="9"/>
  <c r="A4325" i="9"/>
  <c r="E4324" i="9"/>
  <c r="D4324" i="9"/>
  <c r="C4324" i="9"/>
  <c r="B4324" i="9"/>
  <c r="A4324" i="9"/>
  <c r="E4323" i="9"/>
  <c r="D4323" i="9"/>
  <c r="C4323" i="9"/>
  <c r="B4323" i="9"/>
  <c r="A4323" i="9"/>
  <c r="E4322" i="9"/>
  <c r="D4322" i="9"/>
  <c r="C4322" i="9"/>
  <c r="B4322" i="9"/>
  <c r="A4322" i="9"/>
  <c r="E4321" i="9"/>
  <c r="D4321" i="9"/>
  <c r="C4321" i="9"/>
  <c r="B4321" i="9"/>
  <c r="A4321" i="9"/>
  <c r="E4320" i="9"/>
  <c r="D4320" i="9"/>
  <c r="C4320" i="9"/>
  <c r="B4320" i="9"/>
  <c r="A4320" i="9"/>
  <c r="E4319" i="9"/>
  <c r="D4319" i="9"/>
  <c r="C4319" i="9"/>
  <c r="B4319" i="9"/>
  <c r="A4319" i="9"/>
  <c r="E4318" i="9"/>
  <c r="D4318" i="9"/>
  <c r="C4318" i="9"/>
  <c r="B4318" i="9"/>
  <c r="A4318" i="9"/>
  <c r="E4317" i="9"/>
  <c r="D4317" i="9"/>
  <c r="C4317" i="9"/>
  <c r="B4317" i="9"/>
  <c r="A4317" i="9"/>
  <c r="E4316" i="9"/>
  <c r="D4316" i="9"/>
  <c r="C4316" i="9"/>
  <c r="B4316" i="9"/>
  <c r="A4316" i="9"/>
  <c r="E4315" i="9"/>
  <c r="D4315" i="9"/>
  <c r="C4315" i="9"/>
  <c r="B4315" i="9"/>
  <c r="A4315" i="9"/>
  <c r="E4314" i="9"/>
  <c r="D4314" i="9"/>
  <c r="C4314" i="9"/>
  <c r="B4314" i="9"/>
  <c r="A4314" i="9"/>
  <c r="E4313" i="9"/>
  <c r="D4313" i="9"/>
  <c r="C4313" i="9"/>
  <c r="B4313" i="9"/>
  <c r="A4313" i="9"/>
  <c r="E4312" i="9"/>
  <c r="D4312" i="9"/>
  <c r="C4312" i="9"/>
  <c r="B4312" i="9"/>
  <c r="A4312" i="9"/>
  <c r="E4311" i="9"/>
  <c r="D4311" i="9"/>
  <c r="C4311" i="9"/>
  <c r="B4311" i="9"/>
  <c r="A4311" i="9"/>
  <c r="E4310" i="9"/>
  <c r="D4310" i="9"/>
  <c r="C4310" i="9"/>
  <c r="B4310" i="9"/>
  <c r="A4310" i="9"/>
  <c r="E4309" i="9"/>
  <c r="D4309" i="9"/>
  <c r="C4309" i="9"/>
  <c r="B4309" i="9"/>
  <c r="A4309" i="9"/>
  <c r="E4308" i="9"/>
  <c r="D4308" i="9"/>
  <c r="C4308" i="9"/>
  <c r="B4308" i="9"/>
  <c r="A4308" i="9"/>
  <c r="E4307" i="9"/>
  <c r="D4307" i="9"/>
  <c r="C4307" i="9"/>
  <c r="B4307" i="9"/>
  <c r="A4307" i="9"/>
  <c r="E4306" i="9"/>
  <c r="D4306" i="9"/>
  <c r="C4306" i="9"/>
  <c r="B4306" i="9"/>
  <c r="A4306" i="9"/>
  <c r="E4305" i="9"/>
  <c r="D4305" i="9"/>
  <c r="C4305" i="9"/>
  <c r="B4305" i="9"/>
  <c r="A4305" i="9"/>
  <c r="E4304" i="9"/>
  <c r="D4304" i="9"/>
  <c r="C4304" i="9"/>
  <c r="B4304" i="9"/>
  <c r="A4304" i="9"/>
  <c r="E4303" i="9"/>
  <c r="D4303" i="9"/>
  <c r="C4303" i="9"/>
  <c r="B4303" i="9"/>
  <c r="A4303" i="9"/>
  <c r="E4302" i="9"/>
  <c r="D4302" i="9"/>
  <c r="C4302" i="9"/>
  <c r="B4302" i="9"/>
  <c r="A4302" i="9"/>
  <c r="E4301" i="9"/>
  <c r="D4301" i="9"/>
  <c r="C4301" i="9"/>
  <c r="B4301" i="9"/>
  <c r="A4301" i="9"/>
  <c r="E4300" i="9"/>
  <c r="D4300" i="9"/>
  <c r="C4300" i="9"/>
  <c r="B4300" i="9"/>
  <c r="A4300" i="9"/>
  <c r="E4299" i="9"/>
  <c r="D4299" i="9"/>
  <c r="C4299" i="9"/>
  <c r="B4299" i="9"/>
  <c r="A4299" i="9"/>
  <c r="E4298" i="9"/>
  <c r="D4298" i="9"/>
  <c r="C4298" i="9"/>
  <c r="B4298" i="9"/>
  <c r="A4298" i="9"/>
  <c r="E4297" i="9"/>
  <c r="D4297" i="9"/>
  <c r="C4297" i="9"/>
  <c r="B4297" i="9"/>
  <c r="A4297" i="9"/>
  <c r="E4296" i="9"/>
  <c r="D4296" i="9"/>
  <c r="C4296" i="9"/>
  <c r="B4296" i="9"/>
  <c r="A4296" i="9"/>
  <c r="E4295" i="9"/>
  <c r="D4295" i="9"/>
  <c r="C4295" i="9"/>
  <c r="B4295" i="9"/>
  <c r="A4295" i="9"/>
  <c r="E4294" i="9"/>
  <c r="D4294" i="9"/>
  <c r="C4294" i="9"/>
  <c r="B4294" i="9"/>
  <c r="A4294" i="9"/>
  <c r="E4293" i="9"/>
  <c r="D4293" i="9"/>
  <c r="C4293" i="9"/>
  <c r="B4293" i="9"/>
  <c r="A4293" i="9"/>
  <c r="E4292" i="9"/>
  <c r="D4292" i="9"/>
  <c r="C4292" i="9"/>
  <c r="B4292" i="9"/>
  <c r="A4292" i="9"/>
  <c r="E4291" i="9"/>
  <c r="D4291" i="9"/>
  <c r="C4291" i="9"/>
  <c r="B4291" i="9"/>
  <c r="A4291" i="9"/>
  <c r="E4290" i="9"/>
  <c r="D4290" i="9"/>
  <c r="C4290" i="9"/>
  <c r="B4290" i="9"/>
  <c r="A4290" i="9"/>
  <c r="E4289" i="9"/>
  <c r="D4289" i="9"/>
  <c r="C4289" i="9"/>
  <c r="B4289" i="9"/>
  <c r="A4289" i="9"/>
  <c r="E4288" i="9"/>
  <c r="D4288" i="9"/>
  <c r="C4288" i="9"/>
  <c r="B4288" i="9"/>
  <c r="A4288" i="9"/>
  <c r="E4287" i="9"/>
  <c r="D4287" i="9"/>
  <c r="C4287" i="9"/>
  <c r="B4287" i="9"/>
  <c r="A4287" i="9"/>
  <c r="E4286" i="9"/>
  <c r="D4286" i="9"/>
  <c r="C4286" i="9"/>
  <c r="B4286" i="9"/>
  <c r="A4286" i="9"/>
  <c r="E4285" i="9"/>
  <c r="D4285" i="9"/>
  <c r="C4285" i="9"/>
  <c r="B4285" i="9"/>
  <c r="A4285" i="9"/>
  <c r="E4284" i="9"/>
  <c r="D4284" i="9"/>
  <c r="C4284" i="9"/>
  <c r="B4284" i="9"/>
  <c r="A4284" i="9"/>
  <c r="E4283" i="9"/>
  <c r="D4283" i="9"/>
  <c r="C4283" i="9"/>
  <c r="B4283" i="9"/>
  <c r="A4283" i="9"/>
  <c r="E4282" i="9"/>
  <c r="D4282" i="9"/>
  <c r="C4282" i="9"/>
  <c r="B4282" i="9"/>
  <c r="A4282" i="9"/>
  <c r="E4281" i="9"/>
  <c r="D4281" i="9"/>
  <c r="C4281" i="9"/>
  <c r="B4281" i="9"/>
  <c r="A4281" i="9"/>
  <c r="E4280" i="9"/>
  <c r="D4280" i="9"/>
  <c r="C4280" i="9"/>
  <c r="B4280" i="9"/>
  <c r="A4280" i="9"/>
  <c r="E4279" i="9"/>
  <c r="D4279" i="9"/>
  <c r="C4279" i="9"/>
  <c r="B4279" i="9"/>
  <c r="A4279" i="9"/>
  <c r="E4278" i="9"/>
  <c r="D4278" i="9"/>
  <c r="C4278" i="9"/>
  <c r="B4278" i="9"/>
  <c r="A4278" i="9"/>
  <c r="E4277" i="9"/>
  <c r="D4277" i="9"/>
  <c r="C4277" i="9"/>
  <c r="B4277" i="9"/>
  <c r="A4277" i="9"/>
  <c r="E4276" i="9"/>
  <c r="D4276" i="9"/>
  <c r="C4276" i="9"/>
  <c r="B4276" i="9"/>
  <c r="A4276" i="9"/>
  <c r="E4275" i="9"/>
  <c r="D4275" i="9"/>
  <c r="C4275" i="9"/>
  <c r="B4275" i="9"/>
  <c r="A4275" i="9"/>
  <c r="E4274" i="9"/>
  <c r="D4274" i="9"/>
  <c r="C4274" i="9"/>
  <c r="B4274" i="9"/>
  <c r="A4274" i="9"/>
  <c r="E4273" i="9"/>
  <c r="D4273" i="9"/>
  <c r="C4273" i="9"/>
  <c r="B4273" i="9"/>
  <c r="A4273" i="9"/>
  <c r="E4272" i="9"/>
  <c r="D4272" i="9"/>
  <c r="C4272" i="9"/>
  <c r="B4272" i="9"/>
  <c r="A4272" i="9"/>
  <c r="E4271" i="9"/>
  <c r="D4271" i="9"/>
  <c r="C4271" i="9"/>
  <c r="B4271" i="9"/>
  <c r="A4271" i="9"/>
  <c r="E4270" i="9"/>
  <c r="D4270" i="9"/>
  <c r="C4270" i="9"/>
  <c r="B4270" i="9"/>
  <c r="A4270" i="9"/>
  <c r="E4269" i="9"/>
  <c r="D4269" i="9"/>
  <c r="C4269" i="9"/>
  <c r="B4269" i="9"/>
  <c r="A4269" i="9"/>
  <c r="E4268" i="9"/>
  <c r="D4268" i="9"/>
  <c r="C4268" i="9"/>
  <c r="B4268" i="9"/>
  <c r="A4268" i="9"/>
  <c r="E4267" i="9"/>
  <c r="D4267" i="9"/>
  <c r="C4267" i="9"/>
  <c r="B4267" i="9"/>
  <c r="A4267" i="9"/>
  <c r="E4266" i="9"/>
  <c r="D4266" i="9"/>
  <c r="C4266" i="9"/>
  <c r="B4266" i="9"/>
  <c r="A4266" i="9"/>
  <c r="E4265" i="9"/>
  <c r="D4265" i="9"/>
  <c r="C4265" i="9"/>
  <c r="B4265" i="9"/>
  <c r="A4265" i="9"/>
  <c r="E4264" i="9"/>
  <c r="D4264" i="9"/>
  <c r="C4264" i="9"/>
  <c r="B4264" i="9"/>
  <c r="A4264" i="9"/>
  <c r="E4263" i="9"/>
  <c r="D4263" i="9"/>
  <c r="C4263" i="9"/>
  <c r="B4263" i="9"/>
  <c r="A4263" i="9"/>
  <c r="E4262" i="9"/>
  <c r="D4262" i="9"/>
  <c r="C4262" i="9"/>
  <c r="B4262" i="9"/>
  <c r="A4262" i="9"/>
  <c r="E4261" i="9"/>
  <c r="D4261" i="9"/>
  <c r="C4261" i="9"/>
  <c r="B4261" i="9"/>
  <c r="A4261" i="9"/>
  <c r="E4260" i="9"/>
  <c r="D4260" i="9"/>
  <c r="C4260" i="9"/>
  <c r="B4260" i="9"/>
  <c r="A4260" i="9"/>
  <c r="E4259" i="9"/>
  <c r="D4259" i="9"/>
  <c r="C4259" i="9"/>
  <c r="B4259" i="9"/>
  <c r="A4259" i="9"/>
  <c r="E4258" i="9"/>
  <c r="D4258" i="9"/>
  <c r="C4258" i="9"/>
  <c r="B4258" i="9"/>
  <c r="A4258" i="9"/>
  <c r="E4257" i="9"/>
  <c r="D4257" i="9"/>
  <c r="C4257" i="9"/>
  <c r="B4257" i="9"/>
  <c r="A4257" i="9"/>
  <c r="E4256" i="9"/>
  <c r="D4256" i="9"/>
  <c r="C4256" i="9"/>
  <c r="B4256" i="9"/>
  <c r="A4256" i="9"/>
  <c r="E4255" i="9"/>
  <c r="D4255" i="9"/>
  <c r="C4255" i="9"/>
  <c r="B4255" i="9"/>
  <c r="A4255" i="9"/>
  <c r="E4254" i="9"/>
  <c r="D4254" i="9"/>
  <c r="C4254" i="9"/>
  <c r="B4254" i="9"/>
  <c r="A4254" i="9"/>
  <c r="E4253" i="9"/>
  <c r="D4253" i="9"/>
  <c r="C4253" i="9"/>
  <c r="B4253" i="9"/>
  <c r="A4253" i="9"/>
  <c r="E4252" i="9"/>
  <c r="D4252" i="9"/>
  <c r="C4252" i="9"/>
  <c r="B4252" i="9"/>
  <c r="A4252" i="9"/>
  <c r="E4251" i="9"/>
  <c r="D4251" i="9"/>
  <c r="C4251" i="9"/>
  <c r="B4251" i="9"/>
  <c r="A4251" i="9"/>
  <c r="E4250" i="9"/>
  <c r="D4250" i="9"/>
  <c r="C4250" i="9"/>
  <c r="B4250" i="9"/>
  <c r="A4250" i="9"/>
  <c r="E4249" i="9"/>
  <c r="D4249" i="9"/>
  <c r="C4249" i="9"/>
  <c r="B4249" i="9"/>
  <c r="A4249" i="9"/>
  <c r="E4248" i="9"/>
  <c r="D4248" i="9"/>
  <c r="C4248" i="9"/>
  <c r="B4248" i="9"/>
  <c r="A4248" i="9"/>
  <c r="E4247" i="9"/>
  <c r="D4247" i="9"/>
  <c r="C4247" i="9"/>
  <c r="B4247" i="9"/>
  <c r="A4247" i="9"/>
  <c r="E4246" i="9"/>
  <c r="D4246" i="9"/>
  <c r="C4246" i="9"/>
  <c r="B4246" i="9"/>
  <c r="A4246" i="9"/>
  <c r="E4245" i="9"/>
  <c r="D4245" i="9"/>
  <c r="C4245" i="9"/>
  <c r="B4245" i="9"/>
  <c r="A4245" i="9"/>
  <c r="E4244" i="9"/>
  <c r="D4244" i="9"/>
  <c r="C4244" i="9"/>
  <c r="B4244" i="9"/>
  <c r="A4244" i="9"/>
  <c r="E4243" i="9"/>
  <c r="D4243" i="9"/>
  <c r="C4243" i="9"/>
  <c r="B4243" i="9"/>
  <c r="A4243" i="9"/>
  <c r="E4242" i="9"/>
  <c r="D4242" i="9"/>
  <c r="C4242" i="9"/>
  <c r="B4242" i="9"/>
  <c r="A4242" i="9"/>
  <c r="E4241" i="9"/>
  <c r="D4241" i="9"/>
  <c r="C4241" i="9"/>
  <c r="B4241" i="9"/>
  <c r="A4241" i="9"/>
  <c r="E4240" i="9"/>
  <c r="D4240" i="9"/>
  <c r="C4240" i="9"/>
  <c r="B4240" i="9"/>
  <c r="A4240" i="9"/>
  <c r="E4239" i="9"/>
  <c r="D4239" i="9"/>
  <c r="C4239" i="9"/>
  <c r="B4239" i="9"/>
  <c r="A4239" i="9"/>
  <c r="E4238" i="9"/>
  <c r="D4238" i="9"/>
  <c r="C4238" i="9"/>
  <c r="B4238" i="9"/>
  <c r="A4238" i="9"/>
  <c r="E4237" i="9"/>
  <c r="D4237" i="9"/>
  <c r="C4237" i="9"/>
  <c r="B4237" i="9"/>
  <c r="A4237" i="9"/>
  <c r="E4236" i="9"/>
  <c r="D4236" i="9"/>
  <c r="C4236" i="9"/>
  <c r="B4236" i="9"/>
  <c r="A4236" i="9"/>
  <c r="E4235" i="9"/>
  <c r="D4235" i="9"/>
  <c r="C4235" i="9"/>
  <c r="B4235" i="9"/>
  <c r="A4235" i="9"/>
  <c r="E4234" i="9"/>
  <c r="D4234" i="9"/>
  <c r="C4234" i="9"/>
  <c r="B4234" i="9"/>
  <c r="A4234" i="9"/>
  <c r="E4233" i="9"/>
  <c r="D4233" i="9"/>
  <c r="C4233" i="9"/>
  <c r="B4233" i="9"/>
  <c r="A4233" i="9"/>
  <c r="E4232" i="9"/>
  <c r="D4232" i="9"/>
  <c r="C4232" i="9"/>
  <c r="B4232" i="9"/>
  <c r="A4232" i="9"/>
  <c r="E4231" i="9"/>
  <c r="D4231" i="9"/>
  <c r="C4231" i="9"/>
  <c r="B4231" i="9"/>
  <c r="A4231" i="9"/>
  <c r="E4230" i="9"/>
  <c r="D4230" i="9"/>
  <c r="C4230" i="9"/>
  <c r="B4230" i="9"/>
  <c r="A4230" i="9"/>
  <c r="E4229" i="9"/>
  <c r="D4229" i="9"/>
  <c r="C4229" i="9"/>
  <c r="B4229" i="9"/>
  <c r="A4229" i="9"/>
  <c r="E4228" i="9"/>
  <c r="D4228" i="9"/>
  <c r="C4228" i="9"/>
  <c r="B4228" i="9"/>
  <c r="A4228" i="9"/>
  <c r="E4227" i="9"/>
  <c r="D4227" i="9"/>
  <c r="C4227" i="9"/>
  <c r="B4227" i="9"/>
  <c r="A4227" i="9"/>
  <c r="E4226" i="9"/>
  <c r="D4226" i="9"/>
  <c r="C4226" i="9"/>
  <c r="B4226" i="9"/>
  <c r="A4226" i="9"/>
  <c r="E4225" i="9"/>
  <c r="D4225" i="9"/>
  <c r="C4225" i="9"/>
  <c r="B4225" i="9"/>
  <c r="A4225" i="9"/>
  <c r="E4224" i="9"/>
  <c r="D4224" i="9"/>
  <c r="C4224" i="9"/>
  <c r="B4224" i="9"/>
  <c r="A4224" i="9"/>
  <c r="E4223" i="9"/>
  <c r="D4223" i="9"/>
  <c r="C4223" i="9"/>
  <c r="B4223" i="9"/>
  <c r="A4223" i="9"/>
  <c r="E4222" i="9"/>
  <c r="D4222" i="9"/>
  <c r="C4222" i="9"/>
  <c r="B4222" i="9"/>
  <c r="A4222" i="9"/>
  <c r="E4221" i="9"/>
  <c r="D4221" i="9"/>
  <c r="C4221" i="9"/>
  <c r="B4221" i="9"/>
  <c r="A4221" i="9"/>
  <c r="E4220" i="9"/>
  <c r="D4220" i="9"/>
  <c r="C4220" i="9"/>
  <c r="B4220" i="9"/>
  <c r="A4220" i="9"/>
  <c r="E4219" i="9"/>
  <c r="D4219" i="9"/>
  <c r="C4219" i="9"/>
  <c r="B4219" i="9"/>
  <c r="A4219" i="9"/>
  <c r="E4218" i="9"/>
  <c r="D4218" i="9"/>
  <c r="C4218" i="9"/>
  <c r="B4218" i="9"/>
  <c r="A4218" i="9"/>
  <c r="E4217" i="9"/>
  <c r="D4217" i="9"/>
  <c r="C4217" i="9"/>
  <c r="B4217" i="9"/>
  <c r="A4217" i="9"/>
  <c r="E4216" i="9"/>
  <c r="D4216" i="9"/>
  <c r="C4216" i="9"/>
  <c r="B4216" i="9"/>
  <c r="A4216" i="9"/>
  <c r="E4215" i="9"/>
  <c r="D4215" i="9"/>
  <c r="C4215" i="9"/>
  <c r="B4215" i="9"/>
  <c r="A4215" i="9"/>
  <c r="E4214" i="9"/>
  <c r="D4214" i="9"/>
  <c r="C4214" i="9"/>
  <c r="B4214" i="9"/>
  <c r="A4214" i="9"/>
  <c r="E4213" i="9"/>
  <c r="D4213" i="9"/>
  <c r="C4213" i="9"/>
  <c r="B4213" i="9"/>
  <c r="A4213" i="9"/>
  <c r="E4212" i="9"/>
  <c r="D4212" i="9"/>
  <c r="C4212" i="9"/>
  <c r="B4212" i="9"/>
  <c r="A4212" i="9"/>
  <c r="E4211" i="9"/>
  <c r="D4211" i="9"/>
  <c r="C4211" i="9"/>
  <c r="B4211" i="9"/>
  <c r="A4211" i="9"/>
  <c r="E4210" i="9"/>
  <c r="D4210" i="9"/>
  <c r="C4210" i="9"/>
  <c r="B4210" i="9"/>
  <c r="A4210" i="9"/>
  <c r="E4209" i="9"/>
  <c r="D4209" i="9"/>
  <c r="C4209" i="9"/>
  <c r="B4209" i="9"/>
  <c r="A4209" i="9"/>
  <c r="E4208" i="9"/>
  <c r="D4208" i="9"/>
  <c r="C4208" i="9"/>
  <c r="B4208" i="9"/>
  <c r="A4208" i="9"/>
  <c r="E4207" i="9"/>
  <c r="D4207" i="9"/>
  <c r="C4207" i="9"/>
  <c r="B4207" i="9"/>
  <c r="A4207" i="9"/>
  <c r="E4206" i="9"/>
  <c r="D4206" i="9"/>
  <c r="C4206" i="9"/>
  <c r="B4206" i="9"/>
  <c r="A4206" i="9"/>
  <c r="E4205" i="9"/>
  <c r="D4205" i="9"/>
  <c r="C4205" i="9"/>
  <c r="B4205" i="9"/>
  <c r="A4205" i="9"/>
  <c r="E4204" i="9"/>
  <c r="D4204" i="9"/>
  <c r="C4204" i="9"/>
  <c r="B4204" i="9"/>
  <c r="A4204" i="9"/>
  <c r="E4203" i="9"/>
  <c r="D4203" i="9"/>
  <c r="C4203" i="9"/>
  <c r="B4203" i="9"/>
  <c r="A4203" i="9"/>
  <c r="E4202" i="9"/>
  <c r="D4202" i="9"/>
  <c r="C4202" i="9"/>
  <c r="B4202" i="9"/>
  <c r="A4202" i="9"/>
  <c r="E4201" i="9"/>
  <c r="D4201" i="9"/>
  <c r="C4201" i="9"/>
  <c r="B4201" i="9"/>
  <c r="A4201" i="9"/>
  <c r="E4200" i="9"/>
  <c r="D4200" i="9"/>
  <c r="C4200" i="9"/>
  <c r="B4200" i="9"/>
  <c r="A4200" i="9"/>
  <c r="E4199" i="9"/>
  <c r="D4199" i="9"/>
  <c r="C4199" i="9"/>
  <c r="B4199" i="9"/>
  <c r="A4199" i="9"/>
  <c r="E4198" i="9"/>
  <c r="D4198" i="9"/>
  <c r="C4198" i="9"/>
  <c r="B4198" i="9"/>
  <c r="A4198" i="9"/>
  <c r="E4197" i="9"/>
  <c r="D4197" i="9"/>
  <c r="C4197" i="9"/>
  <c r="B4197" i="9"/>
  <c r="A4197" i="9"/>
  <c r="E4196" i="9"/>
  <c r="D4196" i="9"/>
  <c r="C4196" i="9"/>
  <c r="B4196" i="9"/>
  <c r="A4196" i="9"/>
  <c r="E4195" i="9"/>
  <c r="D4195" i="9"/>
  <c r="C4195" i="9"/>
  <c r="B4195" i="9"/>
  <c r="A4195" i="9"/>
  <c r="E4194" i="9"/>
  <c r="D4194" i="9"/>
  <c r="C4194" i="9"/>
  <c r="B4194" i="9"/>
  <c r="A4194" i="9"/>
  <c r="E4193" i="9"/>
  <c r="D4193" i="9"/>
  <c r="C4193" i="9"/>
  <c r="B4193" i="9"/>
  <c r="A4193" i="9"/>
  <c r="E4192" i="9"/>
  <c r="D4192" i="9"/>
  <c r="C4192" i="9"/>
  <c r="B4192" i="9"/>
  <c r="A4192" i="9"/>
  <c r="E4191" i="9"/>
  <c r="D4191" i="9"/>
  <c r="C4191" i="9"/>
  <c r="B4191" i="9"/>
  <c r="A4191" i="9"/>
  <c r="E4190" i="9"/>
  <c r="D4190" i="9"/>
  <c r="C4190" i="9"/>
  <c r="B4190" i="9"/>
  <c r="A4190" i="9"/>
  <c r="E4189" i="9"/>
  <c r="D4189" i="9"/>
  <c r="C4189" i="9"/>
  <c r="B4189" i="9"/>
  <c r="A4189" i="9"/>
  <c r="E4188" i="9"/>
  <c r="D4188" i="9"/>
  <c r="C4188" i="9"/>
  <c r="B4188" i="9"/>
  <c r="A4188" i="9"/>
  <c r="E4187" i="9"/>
  <c r="D4187" i="9"/>
  <c r="C4187" i="9"/>
  <c r="B4187" i="9"/>
  <c r="A4187" i="9"/>
  <c r="E4186" i="9"/>
  <c r="D4186" i="9"/>
  <c r="C4186" i="9"/>
  <c r="B4186" i="9"/>
  <c r="A4186" i="9"/>
  <c r="E4185" i="9"/>
  <c r="D4185" i="9"/>
  <c r="C4185" i="9"/>
  <c r="B4185" i="9"/>
  <c r="A4185" i="9"/>
  <c r="E4184" i="9"/>
  <c r="D4184" i="9"/>
  <c r="C4184" i="9"/>
  <c r="B4184" i="9"/>
  <c r="A4184" i="9"/>
  <c r="E4183" i="9"/>
  <c r="D4183" i="9"/>
  <c r="C4183" i="9"/>
  <c r="B4183" i="9"/>
  <c r="A4183" i="9"/>
  <c r="E4182" i="9"/>
  <c r="D4182" i="9"/>
  <c r="C4182" i="9"/>
  <c r="B4182" i="9"/>
  <c r="A4182" i="9"/>
  <c r="E4181" i="9"/>
  <c r="D4181" i="9"/>
  <c r="C4181" i="9"/>
  <c r="B4181" i="9"/>
  <c r="A4181" i="9"/>
  <c r="E4180" i="9"/>
  <c r="D4180" i="9"/>
  <c r="C4180" i="9"/>
  <c r="B4180" i="9"/>
  <c r="A4180" i="9"/>
  <c r="E4179" i="9"/>
  <c r="D4179" i="9"/>
  <c r="C4179" i="9"/>
  <c r="B4179" i="9"/>
  <c r="A4179" i="9"/>
  <c r="E4178" i="9"/>
  <c r="D4178" i="9"/>
  <c r="C4178" i="9"/>
  <c r="B4178" i="9"/>
  <c r="A4178" i="9"/>
  <c r="E4177" i="9"/>
  <c r="D4177" i="9"/>
  <c r="C4177" i="9"/>
  <c r="B4177" i="9"/>
  <c r="A4177" i="9"/>
  <c r="E4176" i="9"/>
  <c r="D4176" i="9"/>
  <c r="C4176" i="9"/>
  <c r="B4176" i="9"/>
  <c r="A4176" i="9"/>
  <c r="E4175" i="9"/>
  <c r="D4175" i="9"/>
  <c r="B4175" i="9"/>
  <c r="A4175" i="9"/>
  <c r="E4174" i="9"/>
  <c r="D4174" i="9"/>
  <c r="B4174" i="9"/>
  <c r="A4174" i="9"/>
  <c r="E4173" i="9"/>
  <c r="D4173" i="9"/>
  <c r="B4173" i="9"/>
  <c r="A4173" i="9"/>
  <c r="E4172" i="9"/>
  <c r="D4172" i="9"/>
  <c r="B4172" i="9"/>
  <c r="A4172" i="9"/>
  <c r="E4171" i="9"/>
  <c r="D4171" i="9"/>
  <c r="B4171" i="9"/>
  <c r="A4171" i="9"/>
  <c r="E4170" i="9"/>
  <c r="D4170" i="9"/>
  <c r="B4170" i="9"/>
  <c r="A4170" i="9"/>
  <c r="E4169" i="9"/>
  <c r="D4169" i="9"/>
  <c r="B4169" i="9"/>
  <c r="A4169" i="9"/>
  <c r="E4168" i="9"/>
  <c r="D4168" i="9"/>
  <c r="B4168" i="9"/>
  <c r="A4168" i="9"/>
  <c r="E4167" i="9"/>
  <c r="D4167" i="9"/>
  <c r="B4167" i="9"/>
  <c r="A4167" i="9"/>
  <c r="E4166" i="9"/>
  <c r="D4166" i="9"/>
  <c r="B4166" i="9"/>
  <c r="A4166" i="9"/>
  <c r="E4165" i="9"/>
  <c r="D4165" i="9"/>
  <c r="B4165" i="9"/>
  <c r="A4165" i="9"/>
  <c r="E4164" i="9"/>
  <c r="D4164" i="9"/>
  <c r="B4164" i="9"/>
  <c r="A4164" i="9"/>
  <c r="E4163" i="9"/>
  <c r="D4163" i="9"/>
  <c r="B4163" i="9"/>
  <c r="A4163" i="9"/>
  <c r="E4162" i="9"/>
  <c r="D4162" i="9"/>
  <c r="B4162" i="9"/>
  <c r="A4162" i="9"/>
  <c r="E4161" i="9"/>
  <c r="D4161" i="9"/>
  <c r="B4161" i="9"/>
  <c r="A4161" i="9"/>
  <c r="E4160" i="9"/>
  <c r="D4160" i="9"/>
  <c r="B4160" i="9"/>
  <c r="A4160" i="9"/>
  <c r="E4159" i="9"/>
  <c r="D4159" i="9"/>
  <c r="B4159" i="9"/>
  <c r="A4159" i="9"/>
  <c r="E4158" i="9"/>
  <c r="D4158" i="9"/>
  <c r="B4158" i="9"/>
  <c r="A4158" i="9"/>
  <c r="E4157" i="9"/>
  <c r="D4157" i="9"/>
  <c r="B4157" i="9"/>
  <c r="A4157" i="9"/>
  <c r="E4156" i="9"/>
  <c r="D4156" i="9"/>
  <c r="B4156" i="9"/>
  <c r="A4156" i="9"/>
  <c r="E4155" i="9"/>
  <c r="D4155" i="9"/>
  <c r="C4155" i="9"/>
  <c r="B4155" i="9"/>
  <c r="A4155" i="9"/>
  <c r="E4154" i="9"/>
  <c r="D4154" i="9"/>
  <c r="C4154" i="9"/>
  <c r="B4154" i="9"/>
  <c r="A4154" i="9"/>
  <c r="E4153" i="9"/>
  <c r="D4153" i="9"/>
  <c r="C4153" i="9"/>
  <c r="B4153" i="9"/>
  <c r="A4153" i="9"/>
  <c r="E4152" i="9"/>
  <c r="D4152" i="9"/>
  <c r="C4152" i="9"/>
  <c r="B4152" i="9"/>
  <c r="A4152" i="9"/>
  <c r="E4151" i="9"/>
  <c r="D4151" i="9"/>
  <c r="C4151" i="9"/>
  <c r="B4151" i="9"/>
  <c r="A4151" i="9"/>
  <c r="E4150" i="9"/>
  <c r="D4150" i="9"/>
  <c r="C4150" i="9"/>
  <c r="B4150" i="9"/>
  <c r="A4150" i="9"/>
  <c r="E4149" i="9"/>
  <c r="D4149" i="9"/>
  <c r="C4149" i="9"/>
  <c r="B4149" i="9"/>
  <c r="A4149" i="9"/>
  <c r="E4148" i="9"/>
  <c r="D4148" i="9"/>
  <c r="C4148" i="9"/>
  <c r="B4148" i="9"/>
  <c r="A4148" i="9"/>
  <c r="E4147" i="9"/>
  <c r="D4147" i="9"/>
  <c r="C4147" i="9"/>
  <c r="B4147" i="9"/>
  <c r="A4147" i="9"/>
  <c r="E4146" i="9"/>
  <c r="D4146" i="9"/>
  <c r="C4146" i="9"/>
  <c r="B4146" i="9"/>
  <c r="A4146" i="9"/>
  <c r="E4145" i="9"/>
  <c r="D4145" i="9"/>
  <c r="C4145" i="9"/>
  <c r="B4145" i="9"/>
  <c r="A4145" i="9"/>
  <c r="E4144" i="9"/>
  <c r="D4144" i="9"/>
  <c r="C4144" i="9"/>
  <c r="B4144" i="9"/>
  <c r="A4144" i="9"/>
  <c r="E4143" i="9"/>
  <c r="D4143" i="9"/>
  <c r="C4143" i="9"/>
  <c r="B4143" i="9"/>
  <c r="A4143" i="9"/>
  <c r="E4142" i="9"/>
  <c r="D4142" i="9"/>
  <c r="C4142" i="9"/>
  <c r="A4142" i="9"/>
  <c r="E4141" i="9"/>
  <c r="D4141" i="9"/>
  <c r="C4141" i="9"/>
  <c r="A4141" i="9"/>
  <c r="E4140" i="9"/>
  <c r="D4140" i="9"/>
  <c r="C4140" i="9"/>
  <c r="A4140" i="9"/>
  <c r="E4139" i="9"/>
  <c r="D4139" i="9"/>
  <c r="C4139" i="9"/>
  <c r="B4139" i="9"/>
  <c r="A4139" i="9"/>
  <c r="E4138" i="9"/>
  <c r="D4138" i="9"/>
  <c r="C4138" i="9"/>
  <c r="B4138" i="9"/>
  <c r="A4138" i="9"/>
  <c r="E4137" i="9"/>
  <c r="D4137" i="9"/>
  <c r="C4137" i="9"/>
  <c r="B4137" i="9"/>
  <c r="A4137" i="9"/>
  <c r="E4136" i="9"/>
  <c r="D4136" i="9"/>
  <c r="C4136" i="9"/>
  <c r="B4136" i="9"/>
  <c r="A4136" i="9"/>
  <c r="E4135" i="9"/>
  <c r="D4135" i="9"/>
  <c r="C4135" i="9"/>
  <c r="B4135" i="9"/>
  <c r="A4135" i="9"/>
  <c r="E4134" i="9"/>
  <c r="D4134" i="9"/>
  <c r="C4134" i="9"/>
  <c r="B4134" i="9"/>
  <c r="A4134" i="9"/>
  <c r="E4133" i="9"/>
  <c r="D4133" i="9"/>
  <c r="C4133" i="9"/>
  <c r="B4133" i="9"/>
  <c r="A4133" i="9"/>
  <c r="E4132" i="9"/>
  <c r="D4132" i="9"/>
  <c r="C4132" i="9"/>
  <c r="B4132" i="9"/>
  <c r="A4132" i="9"/>
  <c r="E4131" i="9"/>
  <c r="D4131" i="9"/>
  <c r="C4131" i="9"/>
  <c r="B4131" i="9"/>
  <c r="A4131" i="9"/>
  <c r="E4130" i="9"/>
  <c r="D4130" i="9"/>
  <c r="C4130" i="9"/>
  <c r="B4130" i="9"/>
  <c r="A4130" i="9"/>
  <c r="E4129" i="9"/>
  <c r="D4129" i="9"/>
  <c r="C4129" i="9"/>
  <c r="B4129" i="9"/>
  <c r="A4129" i="9"/>
  <c r="E4128" i="9"/>
  <c r="D4128" i="9"/>
  <c r="C4128" i="9"/>
  <c r="B4128" i="9"/>
  <c r="A4128" i="9"/>
  <c r="E4127" i="9"/>
  <c r="D4127" i="9"/>
  <c r="C4127" i="9"/>
  <c r="B4127" i="9"/>
  <c r="A4127" i="9"/>
  <c r="E4126" i="9"/>
  <c r="D4126" i="9"/>
  <c r="C4126" i="9"/>
  <c r="B4126" i="9"/>
  <c r="A4126" i="9"/>
  <c r="E4125" i="9"/>
  <c r="D4125" i="9"/>
  <c r="C4125" i="9"/>
  <c r="B4125" i="9"/>
  <c r="A4125" i="9"/>
  <c r="E4124" i="9"/>
  <c r="D4124" i="9"/>
  <c r="C4124" i="9"/>
  <c r="B4124" i="9"/>
  <c r="A4124" i="9"/>
  <c r="E4123" i="9"/>
  <c r="D4123" i="9"/>
  <c r="C4123" i="9"/>
  <c r="B4123" i="9"/>
  <c r="A4123" i="9"/>
  <c r="E4122" i="9"/>
  <c r="D4122" i="9"/>
  <c r="C4122" i="9"/>
  <c r="B4122" i="9"/>
  <c r="A4122" i="9"/>
  <c r="E4121" i="9"/>
  <c r="D4121" i="9"/>
  <c r="C4121" i="9"/>
  <c r="B4121" i="9"/>
  <c r="A4121" i="9"/>
  <c r="E4120" i="9"/>
  <c r="D4120" i="9"/>
  <c r="C4120" i="9"/>
  <c r="B4120" i="9"/>
  <c r="A4120" i="9"/>
  <c r="E4119" i="9"/>
  <c r="D4119" i="9"/>
  <c r="C4119" i="9"/>
  <c r="B4119" i="9"/>
  <c r="A4119" i="9"/>
  <c r="E4118" i="9"/>
  <c r="D4118" i="9"/>
  <c r="C4118" i="9"/>
  <c r="B4118" i="9"/>
  <c r="A4118" i="9"/>
  <c r="E4117" i="9"/>
  <c r="D4117" i="9"/>
  <c r="C4117" i="9"/>
  <c r="B4117" i="9"/>
  <c r="A4117" i="9"/>
  <c r="E4116" i="9"/>
  <c r="D4116" i="9"/>
  <c r="C4116" i="9"/>
  <c r="B4116" i="9"/>
  <c r="A4116" i="9"/>
  <c r="E4115" i="9"/>
  <c r="D4115" i="9"/>
  <c r="C4115" i="9"/>
  <c r="B4115" i="9"/>
  <c r="A4115" i="9"/>
  <c r="E4114" i="9"/>
  <c r="D4114" i="9"/>
  <c r="C4114" i="9"/>
  <c r="B4114" i="9"/>
  <c r="A4114" i="9"/>
  <c r="E4113" i="9"/>
  <c r="D4113" i="9"/>
  <c r="C4113" i="9"/>
  <c r="B4113" i="9"/>
  <c r="A4113" i="9"/>
  <c r="E4112" i="9"/>
  <c r="D4112" i="9"/>
  <c r="C4112" i="9"/>
  <c r="B4112" i="9"/>
  <c r="A4112" i="9"/>
  <c r="E4111" i="9"/>
  <c r="D4111" i="9"/>
  <c r="C4111" i="9"/>
  <c r="B4111" i="9"/>
  <c r="A4111" i="9"/>
  <c r="E4110" i="9"/>
  <c r="D4110" i="9"/>
  <c r="C4110" i="9"/>
  <c r="B4110" i="9"/>
  <c r="A4110" i="9"/>
  <c r="E4109" i="9"/>
  <c r="D4109" i="9"/>
  <c r="C4109" i="9"/>
  <c r="B4109" i="9"/>
  <c r="A4109" i="9"/>
  <c r="E4108" i="9"/>
  <c r="D4108" i="9"/>
  <c r="C4108" i="9"/>
  <c r="B4108" i="9"/>
  <c r="A4108" i="9"/>
  <c r="E4107" i="9"/>
  <c r="D4107" i="9"/>
  <c r="C4107" i="9"/>
  <c r="B4107" i="9"/>
  <c r="A4107" i="9"/>
  <c r="E4106" i="9"/>
  <c r="D4106" i="9"/>
  <c r="C4106" i="9"/>
  <c r="B4106" i="9"/>
  <c r="A4106" i="9"/>
  <c r="E4105" i="9"/>
  <c r="D4105" i="9"/>
  <c r="C4105" i="9"/>
  <c r="B4105" i="9"/>
  <c r="A4105" i="9"/>
  <c r="E4104" i="9"/>
  <c r="D4104" i="9"/>
  <c r="C4104" i="9"/>
  <c r="B4104" i="9"/>
  <c r="A4104" i="9"/>
  <c r="E4103" i="9"/>
  <c r="D4103" i="9"/>
  <c r="C4103" i="9"/>
  <c r="B4103" i="9"/>
  <c r="A4103" i="9"/>
  <c r="E4102" i="9"/>
  <c r="D4102" i="9"/>
  <c r="C4102" i="9"/>
  <c r="B4102" i="9"/>
  <c r="A4102" i="9"/>
  <c r="E4101" i="9"/>
  <c r="D4101" i="9"/>
  <c r="C4101" i="9"/>
  <c r="B4101" i="9"/>
  <c r="A4101" i="9"/>
  <c r="E4100" i="9"/>
  <c r="D4100" i="9"/>
  <c r="C4100" i="9"/>
  <c r="B4100" i="9"/>
  <c r="A4100" i="9"/>
  <c r="E4099" i="9"/>
  <c r="D4099" i="9"/>
  <c r="C4099" i="9"/>
  <c r="B4099" i="9"/>
  <c r="A4099" i="9"/>
  <c r="E4098" i="9"/>
  <c r="D4098" i="9"/>
  <c r="C4098" i="9"/>
  <c r="B4098" i="9"/>
  <c r="A4098" i="9"/>
  <c r="E4097" i="9"/>
  <c r="D4097" i="9"/>
  <c r="C4097" i="9"/>
  <c r="B4097" i="9"/>
  <c r="A4097" i="9"/>
  <c r="E4096" i="9"/>
  <c r="D4096" i="9"/>
  <c r="C4096" i="9"/>
  <c r="B4096" i="9"/>
  <c r="A4096" i="9"/>
  <c r="E4095" i="9"/>
  <c r="D4095" i="9"/>
  <c r="C4095" i="9"/>
  <c r="B4095" i="9"/>
  <c r="A4095" i="9"/>
  <c r="E4094" i="9"/>
  <c r="D4094" i="9"/>
  <c r="C4094" i="9"/>
  <c r="B4094" i="9"/>
  <c r="A4094" i="9"/>
  <c r="E4093" i="9"/>
  <c r="D4093" i="9"/>
  <c r="C4093" i="9"/>
  <c r="B4093" i="9"/>
  <c r="A4093" i="9"/>
  <c r="E4092" i="9"/>
  <c r="D4092" i="9"/>
  <c r="C4092" i="9"/>
  <c r="B4092" i="9"/>
  <c r="A4092" i="9"/>
  <c r="E4091" i="9"/>
  <c r="D4091" i="9"/>
  <c r="C4091" i="9"/>
  <c r="B4091" i="9"/>
  <c r="A4091" i="9"/>
  <c r="E4090" i="9"/>
  <c r="D4090" i="9"/>
  <c r="C4090" i="9"/>
  <c r="B4090" i="9"/>
  <c r="A4090" i="9"/>
  <c r="E4089" i="9"/>
  <c r="D4089" i="9"/>
  <c r="C4089" i="9"/>
  <c r="B4089" i="9"/>
  <c r="A4089" i="9"/>
  <c r="E4088" i="9"/>
  <c r="D4088" i="9"/>
  <c r="C4088" i="9"/>
  <c r="B4088" i="9"/>
  <c r="A4088" i="9"/>
  <c r="E4087" i="9"/>
  <c r="D4087" i="9"/>
  <c r="C4087" i="9"/>
  <c r="B4087" i="9"/>
  <c r="A4087" i="9"/>
  <c r="E4086" i="9"/>
  <c r="D4086" i="9"/>
  <c r="C4086" i="9"/>
  <c r="B4086" i="9"/>
  <c r="A4086" i="9"/>
  <c r="E4085" i="9"/>
  <c r="D4085" i="9"/>
  <c r="C4085" i="9"/>
  <c r="B4085" i="9"/>
  <c r="A4085" i="9"/>
  <c r="E4084" i="9"/>
  <c r="D4084" i="9"/>
  <c r="C4084" i="9"/>
  <c r="B4084" i="9"/>
  <c r="A4084" i="9"/>
  <c r="E4083" i="9"/>
  <c r="D4083" i="9"/>
  <c r="C4083" i="9"/>
  <c r="B4083" i="9"/>
  <c r="A4083" i="9"/>
  <c r="E4082" i="9"/>
  <c r="D4082" i="9"/>
  <c r="C4082" i="9"/>
  <c r="B4082" i="9"/>
  <c r="A4082" i="9"/>
  <c r="E4081" i="9"/>
  <c r="D4081" i="9"/>
  <c r="C4081" i="9"/>
  <c r="B4081" i="9"/>
  <c r="A4081" i="9"/>
  <c r="E4080" i="9"/>
  <c r="D4080" i="9"/>
  <c r="C4080" i="9"/>
  <c r="B4080" i="9"/>
  <c r="A4080" i="9"/>
  <c r="E4079" i="9"/>
  <c r="D4079" i="9"/>
  <c r="C4079" i="9"/>
  <c r="B4079" i="9"/>
  <c r="A4079" i="9"/>
  <c r="E4078" i="9"/>
  <c r="D4078" i="9"/>
  <c r="C4078" i="9"/>
  <c r="B4078" i="9"/>
  <c r="A4078" i="9"/>
  <c r="E4077" i="9"/>
  <c r="D4077" i="9"/>
  <c r="C4077" i="9"/>
  <c r="B4077" i="9"/>
  <c r="A4077" i="9"/>
  <c r="E4076" i="9"/>
  <c r="D4076" i="9"/>
  <c r="C4076" i="9"/>
  <c r="B4076" i="9"/>
  <c r="A4076" i="9"/>
  <c r="E4075" i="9"/>
  <c r="D4075" i="9"/>
  <c r="C4075" i="9"/>
  <c r="B4075" i="9"/>
  <c r="A4075" i="9"/>
  <c r="E4074" i="9"/>
  <c r="D4074" i="9"/>
  <c r="C4074" i="9"/>
  <c r="B4074" i="9"/>
  <c r="A4074" i="9"/>
  <c r="E4073" i="9"/>
  <c r="D4073" i="9"/>
  <c r="C4073" i="9"/>
  <c r="B4073" i="9"/>
  <c r="A4073" i="9"/>
  <c r="E4072" i="9"/>
  <c r="D4072" i="9"/>
  <c r="C4072" i="9"/>
  <c r="B4072" i="9"/>
  <c r="A4072" i="9"/>
  <c r="E4071" i="9"/>
  <c r="D4071" i="9"/>
  <c r="C4071" i="9"/>
  <c r="B4071" i="9"/>
  <c r="A4071" i="9"/>
  <c r="E4070" i="9"/>
  <c r="D4070" i="9"/>
  <c r="C4070" i="9"/>
  <c r="B4070" i="9"/>
  <c r="A4070" i="9"/>
  <c r="E4069" i="9"/>
  <c r="D4069" i="9"/>
  <c r="C4069" i="9"/>
  <c r="B4069" i="9"/>
  <c r="A4069" i="9"/>
  <c r="E4068" i="9"/>
  <c r="D4068" i="9"/>
  <c r="C4068" i="9"/>
  <c r="B4068" i="9"/>
  <c r="A4068" i="9"/>
  <c r="E4067" i="9"/>
  <c r="D4067" i="9"/>
  <c r="C4067" i="9"/>
  <c r="B4067" i="9"/>
  <c r="A4067" i="9"/>
  <c r="E4066" i="9"/>
  <c r="D4066" i="9"/>
  <c r="C4066" i="9"/>
  <c r="B4066" i="9"/>
  <c r="A4066" i="9"/>
  <c r="E4065" i="9"/>
  <c r="D4065" i="9"/>
  <c r="C4065" i="9"/>
  <c r="B4065" i="9"/>
  <c r="A4065" i="9"/>
  <c r="E4064" i="9"/>
  <c r="D4064" i="9"/>
  <c r="C4064" i="9"/>
  <c r="B4064" i="9"/>
  <c r="A4064" i="9"/>
  <c r="E4063" i="9"/>
  <c r="D4063" i="9"/>
  <c r="C4063" i="9"/>
  <c r="B4063" i="9"/>
  <c r="A4063" i="9"/>
  <c r="E4062" i="9"/>
  <c r="D4062" i="9"/>
  <c r="C4062" i="9"/>
  <c r="B4062" i="9"/>
  <c r="A4062" i="9"/>
  <c r="E4061" i="9"/>
  <c r="D4061" i="9"/>
  <c r="C4061" i="9"/>
  <c r="B4061" i="9"/>
  <c r="A4061" i="9"/>
  <c r="E4060" i="9"/>
  <c r="D4060" i="9"/>
  <c r="C4060" i="9"/>
  <c r="B4060" i="9"/>
  <c r="A4060" i="9"/>
  <c r="E4059" i="9"/>
  <c r="D4059" i="9"/>
  <c r="C4059" i="9"/>
  <c r="B4059" i="9"/>
  <c r="A4059" i="9"/>
  <c r="E4058" i="9"/>
  <c r="D4058" i="9"/>
  <c r="C4058" i="9"/>
  <c r="B4058" i="9"/>
  <c r="A4058" i="9"/>
  <c r="E4057" i="9"/>
  <c r="D4057" i="9"/>
  <c r="C4057" i="9"/>
  <c r="B4057" i="9"/>
  <c r="A4057" i="9"/>
  <c r="E4056" i="9"/>
  <c r="D4056" i="9"/>
  <c r="C4056" i="9"/>
  <c r="B4056" i="9"/>
  <c r="A4056" i="9"/>
  <c r="E4055" i="9"/>
  <c r="D4055" i="9"/>
  <c r="C4055" i="9"/>
  <c r="B4055" i="9"/>
  <c r="A4055" i="9"/>
  <c r="E4054" i="9"/>
  <c r="D4054" i="9"/>
  <c r="C4054" i="9"/>
  <c r="B4054" i="9"/>
  <c r="A4054" i="9"/>
  <c r="E4053" i="9"/>
  <c r="D4053" i="9"/>
  <c r="C4053" i="9"/>
  <c r="B4053" i="9"/>
  <c r="A4053" i="9"/>
  <c r="E4052" i="9"/>
  <c r="D4052" i="9"/>
  <c r="C4052" i="9"/>
  <c r="B4052" i="9"/>
  <c r="A4052" i="9"/>
  <c r="E4051" i="9"/>
  <c r="D4051" i="9"/>
  <c r="C4051" i="9"/>
  <c r="B4051" i="9"/>
  <c r="A4051" i="9"/>
  <c r="E4050" i="9"/>
  <c r="D4050" i="9"/>
  <c r="C4050" i="9"/>
  <c r="B4050" i="9"/>
  <c r="A4050" i="9"/>
  <c r="E4049" i="9"/>
  <c r="D4049" i="9"/>
  <c r="C4049" i="9"/>
  <c r="B4049" i="9"/>
  <c r="A4049" i="9"/>
  <c r="E4048" i="9"/>
  <c r="D4048" i="9"/>
  <c r="C4048" i="9"/>
  <c r="B4048" i="9"/>
  <c r="A4048" i="9"/>
  <c r="E4047" i="9"/>
  <c r="D4047" i="9"/>
  <c r="C4047" i="9"/>
  <c r="B4047" i="9"/>
  <c r="A4047" i="9"/>
  <c r="E4046" i="9"/>
  <c r="D4046" i="9"/>
  <c r="C4046" i="9"/>
  <c r="B4046" i="9"/>
  <c r="A4046" i="9"/>
  <c r="E4045" i="9"/>
  <c r="D4045" i="9"/>
  <c r="C4045" i="9"/>
  <c r="B4045" i="9"/>
  <c r="A4045" i="9"/>
  <c r="E4044" i="9"/>
  <c r="D4044" i="9"/>
  <c r="C4044" i="9"/>
  <c r="B4044" i="9"/>
  <c r="A4044" i="9"/>
  <c r="E4043" i="9"/>
  <c r="D4043" i="9"/>
  <c r="C4043" i="9"/>
  <c r="B4043" i="9"/>
  <c r="A4043" i="9"/>
  <c r="E4042" i="9"/>
  <c r="D4042" i="9"/>
  <c r="C4042" i="9"/>
  <c r="B4042" i="9"/>
  <c r="A4042" i="9"/>
  <c r="E4041" i="9"/>
  <c r="D4041" i="9"/>
  <c r="C4041" i="9"/>
  <c r="B4041" i="9"/>
  <c r="A4041" i="9"/>
  <c r="E4040" i="9"/>
  <c r="D4040" i="9"/>
  <c r="C4040" i="9"/>
  <c r="B4040" i="9"/>
  <c r="A4040" i="9"/>
  <c r="E4039" i="9"/>
  <c r="D4039" i="9"/>
  <c r="C4039" i="9"/>
  <c r="B4039" i="9"/>
  <c r="A4039" i="9"/>
  <c r="E4038" i="9"/>
  <c r="D4038" i="9"/>
  <c r="C4038" i="9"/>
  <c r="B4038" i="9"/>
  <c r="A4038" i="9"/>
  <c r="E4037" i="9"/>
  <c r="D4037" i="9"/>
  <c r="C4037" i="9"/>
  <c r="B4037" i="9"/>
  <c r="A4037" i="9"/>
  <c r="E4036" i="9"/>
  <c r="D4036" i="9"/>
  <c r="C4036" i="9"/>
  <c r="B4036" i="9"/>
  <c r="A4036" i="9"/>
  <c r="E4035" i="9"/>
  <c r="D4035" i="9"/>
  <c r="C4035" i="9"/>
  <c r="B4035" i="9"/>
  <c r="A4035" i="9"/>
  <c r="E4034" i="9"/>
  <c r="D4034" i="9"/>
  <c r="C4034" i="9"/>
  <c r="B4034" i="9"/>
  <c r="A4034" i="9"/>
  <c r="E4033" i="9"/>
  <c r="D4033" i="9"/>
  <c r="C4033" i="9"/>
  <c r="B4033" i="9"/>
  <c r="A4033" i="9"/>
  <c r="E4032" i="9"/>
  <c r="D4032" i="9"/>
  <c r="C4032" i="9"/>
  <c r="B4032" i="9"/>
  <c r="A4032" i="9"/>
  <c r="E4031" i="9"/>
  <c r="D4031" i="9"/>
  <c r="C4031" i="9"/>
  <c r="B4031" i="9"/>
  <c r="A4031" i="9"/>
  <c r="E4030" i="9"/>
  <c r="D4030" i="9"/>
  <c r="C4030" i="9"/>
  <c r="B4030" i="9"/>
  <c r="A4030" i="9"/>
  <c r="E4029" i="9"/>
  <c r="D4029" i="9"/>
  <c r="C4029" i="9"/>
  <c r="B4029" i="9"/>
  <c r="A4029" i="9"/>
  <c r="E4028" i="9"/>
  <c r="D4028" i="9"/>
  <c r="C4028" i="9"/>
  <c r="B4028" i="9"/>
  <c r="A4028" i="9"/>
  <c r="E4027" i="9"/>
  <c r="D4027" i="9"/>
  <c r="C4027" i="9"/>
  <c r="B4027" i="9"/>
  <c r="A4027" i="9"/>
  <c r="E4026" i="9"/>
  <c r="D4026" i="9"/>
  <c r="C4026" i="9"/>
  <c r="B4026" i="9"/>
  <c r="A4026" i="9"/>
  <c r="E4025" i="9"/>
  <c r="D4025" i="9"/>
  <c r="C4025" i="9"/>
  <c r="B4025" i="9"/>
  <c r="A4025" i="9"/>
  <c r="E4024" i="9"/>
  <c r="D4024" i="9"/>
  <c r="C4024" i="9"/>
  <c r="B4024" i="9"/>
  <c r="A4024" i="9"/>
  <c r="E4023" i="9"/>
  <c r="D4023" i="9"/>
  <c r="C4023" i="9"/>
  <c r="B4023" i="9"/>
  <c r="A4023" i="9"/>
  <c r="E4022" i="9"/>
  <c r="D4022" i="9"/>
  <c r="C4022" i="9"/>
  <c r="B4022" i="9"/>
  <c r="A4022" i="9"/>
  <c r="E4021" i="9"/>
  <c r="D4021" i="9"/>
  <c r="C4021" i="9"/>
  <c r="B4021" i="9"/>
  <c r="A4021" i="9"/>
  <c r="E4020" i="9"/>
  <c r="D4020" i="9"/>
  <c r="C4020" i="9"/>
  <c r="B4020" i="9"/>
  <c r="A4020" i="9"/>
  <c r="E4019" i="9"/>
  <c r="D4019" i="9"/>
  <c r="C4019" i="9"/>
  <c r="B4019" i="9"/>
  <c r="A4019" i="9"/>
  <c r="E4018" i="9"/>
  <c r="D4018" i="9"/>
  <c r="C4018" i="9"/>
  <c r="B4018" i="9"/>
  <c r="A4018" i="9"/>
  <c r="E4017" i="9"/>
  <c r="D4017" i="9"/>
  <c r="C4017" i="9"/>
  <c r="B4017" i="9"/>
  <c r="A4017" i="9"/>
  <c r="E4016" i="9"/>
  <c r="D4016" i="9"/>
  <c r="C4016" i="9"/>
  <c r="B4016" i="9"/>
  <c r="A4016" i="9"/>
  <c r="E4015" i="9"/>
  <c r="D4015" i="9"/>
  <c r="C4015" i="9"/>
  <c r="B4015" i="9"/>
  <c r="A4015" i="9"/>
  <c r="E4014" i="9"/>
  <c r="D4014" i="9"/>
  <c r="C4014" i="9"/>
  <c r="B4014" i="9"/>
  <c r="A4014" i="9"/>
  <c r="E4013" i="9"/>
  <c r="D4013" i="9"/>
  <c r="C4013" i="9"/>
  <c r="B4013" i="9"/>
  <c r="A4013" i="9"/>
  <c r="E4012" i="9"/>
  <c r="D4012" i="9"/>
  <c r="C4012" i="9"/>
  <c r="B4012" i="9"/>
  <c r="A4012" i="9"/>
  <c r="E4011" i="9"/>
  <c r="D4011" i="9"/>
  <c r="C4011" i="9"/>
  <c r="B4011" i="9"/>
  <c r="A4011" i="9"/>
  <c r="E4010" i="9"/>
  <c r="D4010" i="9"/>
  <c r="C4010" i="9"/>
  <c r="B4010" i="9"/>
  <c r="A4010" i="9"/>
  <c r="E4009" i="9"/>
  <c r="D4009" i="9"/>
  <c r="C4009" i="9"/>
  <c r="B4009" i="9"/>
  <c r="A4009" i="9"/>
  <c r="E4008" i="9"/>
  <c r="D4008" i="9"/>
  <c r="C4008" i="9"/>
  <c r="B4008" i="9"/>
  <c r="A4008" i="9"/>
  <c r="E4007" i="9"/>
  <c r="D4007" i="9"/>
  <c r="C4007" i="9"/>
  <c r="B4007" i="9"/>
  <c r="A4007" i="9"/>
  <c r="E4006" i="9"/>
  <c r="D4006" i="9"/>
  <c r="C4006" i="9"/>
  <c r="B4006" i="9"/>
  <c r="A4006" i="9"/>
  <c r="E4005" i="9"/>
  <c r="D4005" i="9"/>
  <c r="C4005" i="9"/>
  <c r="B4005" i="9"/>
  <c r="A4005" i="9"/>
  <c r="E4004" i="9"/>
  <c r="D4004" i="9"/>
  <c r="C4004" i="9"/>
  <c r="B4004" i="9"/>
  <c r="A4004" i="9"/>
  <c r="E4003" i="9"/>
  <c r="D4003" i="9"/>
  <c r="C4003" i="9"/>
  <c r="B4003" i="9"/>
  <c r="A4003" i="9"/>
  <c r="E4002" i="9"/>
  <c r="D4002" i="9"/>
  <c r="C4002" i="9"/>
  <c r="B4002" i="9"/>
  <c r="A4002" i="9"/>
  <c r="E4001" i="9"/>
  <c r="D4001" i="9"/>
  <c r="C4001" i="9"/>
  <c r="B4001" i="9"/>
  <c r="A4001" i="9"/>
  <c r="E4000" i="9"/>
  <c r="D4000" i="9"/>
  <c r="C4000" i="9"/>
  <c r="B4000" i="9"/>
  <c r="A4000" i="9"/>
  <c r="E3999" i="9"/>
  <c r="D3999" i="9"/>
  <c r="C3999" i="9"/>
  <c r="B3999" i="9"/>
  <c r="A3999" i="9"/>
  <c r="E3998" i="9"/>
  <c r="D3998" i="9"/>
  <c r="C3998" i="9"/>
  <c r="B3998" i="9"/>
  <c r="A3998" i="9"/>
  <c r="E3997" i="9"/>
  <c r="D3997" i="9"/>
  <c r="C3997" i="9"/>
  <c r="B3997" i="9"/>
  <c r="A3997" i="9"/>
  <c r="E3996" i="9"/>
  <c r="D3996" i="9"/>
  <c r="C3996" i="9"/>
  <c r="B3996" i="9"/>
  <c r="A3996" i="9"/>
  <c r="E3995" i="9"/>
  <c r="D3995" i="9"/>
  <c r="C3995" i="9"/>
  <c r="B3995" i="9"/>
  <c r="A3995" i="9"/>
  <c r="E3994" i="9"/>
  <c r="D3994" i="9"/>
  <c r="C3994" i="9"/>
  <c r="B3994" i="9"/>
  <c r="A3994" i="9"/>
  <c r="E3993" i="9"/>
  <c r="D3993" i="9"/>
  <c r="C3993" i="9"/>
  <c r="B3993" i="9"/>
  <c r="A3993" i="9"/>
  <c r="E3992" i="9"/>
  <c r="D3992" i="9"/>
  <c r="C3992" i="9"/>
  <c r="B3992" i="9"/>
  <c r="A3992" i="9"/>
  <c r="E3991" i="9"/>
  <c r="D3991" i="9"/>
  <c r="C3991" i="9"/>
  <c r="B3991" i="9"/>
  <c r="A3991" i="9"/>
  <c r="E3990" i="9"/>
  <c r="D3990" i="9"/>
  <c r="C3990" i="9"/>
  <c r="B3990" i="9"/>
  <c r="A3990" i="9"/>
  <c r="E3989" i="9"/>
  <c r="D3989" i="9"/>
  <c r="C3989" i="9"/>
  <c r="B3989" i="9"/>
  <c r="A3989" i="9"/>
  <c r="E3988" i="9"/>
  <c r="D3988" i="9"/>
  <c r="C3988" i="9"/>
  <c r="B3988" i="9"/>
  <c r="A3988" i="9"/>
  <c r="E3987" i="9"/>
  <c r="D3987" i="9"/>
  <c r="C3987" i="9"/>
  <c r="B3987" i="9"/>
  <c r="A3987" i="9"/>
  <c r="E3986" i="9"/>
  <c r="D3986" i="9"/>
  <c r="C3986" i="9"/>
  <c r="B3986" i="9"/>
  <c r="A3986" i="9"/>
  <c r="E3985" i="9"/>
  <c r="D3985" i="9"/>
  <c r="C3985" i="9"/>
  <c r="B3985" i="9"/>
  <c r="A3985" i="9"/>
  <c r="E3984" i="9"/>
  <c r="D3984" i="9"/>
  <c r="C3984" i="9"/>
  <c r="B3984" i="9"/>
  <c r="A3984" i="9"/>
  <c r="E3983" i="9"/>
  <c r="D3983" i="9"/>
  <c r="C3983" i="9"/>
  <c r="B3983" i="9"/>
  <c r="A3983" i="9"/>
  <c r="E3982" i="9"/>
  <c r="D3982" i="9"/>
  <c r="C3982" i="9"/>
  <c r="B3982" i="9"/>
  <c r="A3982" i="9"/>
  <c r="E3981" i="9"/>
  <c r="D3981" i="9"/>
  <c r="C3981" i="9"/>
  <c r="B3981" i="9"/>
  <c r="A3981" i="9"/>
  <c r="E3980" i="9"/>
  <c r="D3980" i="9"/>
  <c r="C3980" i="9"/>
  <c r="B3980" i="9"/>
  <c r="A3980" i="9"/>
  <c r="E3979" i="9"/>
  <c r="D3979" i="9"/>
  <c r="C3979" i="9"/>
  <c r="B3979" i="9"/>
  <c r="A3979" i="9"/>
  <c r="E3978" i="9"/>
  <c r="D3978" i="9"/>
  <c r="C3978" i="9"/>
  <c r="B3978" i="9"/>
  <c r="A3978" i="9"/>
  <c r="E3977" i="9"/>
  <c r="D3977" i="9"/>
  <c r="C3977" i="9"/>
  <c r="B3977" i="9"/>
  <c r="A3977" i="9"/>
  <c r="E3976" i="9"/>
  <c r="D3976" i="9"/>
  <c r="C3976" i="9"/>
  <c r="B3976" i="9"/>
  <c r="A3976" i="9"/>
  <c r="E3975" i="9"/>
  <c r="D3975" i="9"/>
  <c r="C3975" i="9"/>
  <c r="B3975" i="9"/>
  <c r="A3975" i="9"/>
  <c r="E3974" i="9"/>
  <c r="D3974" i="9"/>
  <c r="C3974" i="9"/>
  <c r="B3974" i="9"/>
  <c r="A3974" i="9"/>
  <c r="E3973" i="9"/>
  <c r="D3973" i="9"/>
  <c r="C3973" i="9"/>
  <c r="B3973" i="9"/>
  <c r="A3973" i="9"/>
  <c r="E3972" i="9"/>
  <c r="D3972" i="9"/>
  <c r="C3972" i="9"/>
  <c r="B3972" i="9"/>
  <c r="A3972" i="9"/>
  <c r="E3971" i="9"/>
  <c r="D3971" i="9"/>
  <c r="C3971" i="9"/>
  <c r="B3971" i="9"/>
  <c r="A3971" i="9"/>
  <c r="E3970" i="9"/>
  <c r="D3970" i="9"/>
  <c r="C3970" i="9"/>
  <c r="B3970" i="9"/>
  <c r="A3970" i="9"/>
  <c r="E3969" i="9"/>
  <c r="D3969" i="9"/>
  <c r="C3969" i="9"/>
  <c r="B3969" i="9"/>
  <c r="A3969" i="9"/>
  <c r="E3968" i="9"/>
  <c r="D3968" i="9"/>
  <c r="C3968" i="9"/>
  <c r="B3968" i="9"/>
  <c r="A3968" i="9"/>
  <c r="E3967" i="9"/>
  <c r="D3967" i="9"/>
  <c r="C3967" i="9"/>
  <c r="B3967" i="9"/>
  <c r="A3967" i="9"/>
  <c r="E3966" i="9"/>
  <c r="D3966" i="9"/>
  <c r="C3966" i="9"/>
  <c r="B3966" i="9"/>
  <c r="A3966" i="9"/>
  <c r="E3965" i="9"/>
  <c r="D3965" i="9"/>
  <c r="C3965" i="9"/>
  <c r="B3965" i="9"/>
  <c r="A3965" i="9"/>
  <c r="E3964" i="9"/>
  <c r="D3964" i="9"/>
  <c r="C3964" i="9"/>
  <c r="B3964" i="9"/>
  <c r="A3964" i="9"/>
  <c r="E3963" i="9"/>
  <c r="D3963" i="9"/>
  <c r="C3963" i="9"/>
  <c r="B3963" i="9"/>
  <c r="A3963" i="9"/>
  <c r="E3962" i="9"/>
  <c r="D3962" i="9"/>
  <c r="C3962" i="9"/>
  <c r="B3962" i="9"/>
  <c r="A3962" i="9"/>
  <c r="E3961" i="9"/>
  <c r="D3961" i="9"/>
  <c r="C3961" i="9"/>
  <c r="B3961" i="9"/>
  <c r="A3961" i="9"/>
  <c r="E3960" i="9"/>
  <c r="D3960" i="9"/>
  <c r="C3960" i="9"/>
  <c r="B3960" i="9"/>
  <c r="A3960" i="9"/>
  <c r="E3959" i="9"/>
  <c r="D3959" i="9"/>
  <c r="C3959" i="9"/>
  <c r="B3959" i="9"/>
  <c r="A3959" i="9"/>
  <c r="E3958" i="9"/>
  <c r="D3958" i="9"/>
  <c r="C3958" i="9"/>
  <c r="B3958" i="9"/>
  <c r="A3958" i="9"/>
  <c r="E3957" i="9"/>
  <c r="D3957" i="9"/>
  <c r="C3957" i="9"/>
  <c r="B3957" i="9"/>
  <c r="A3957" i="9"/>
  <c r="E3956" i="9"/>
  <c r="D3956" i="9"/>
  <c r="C3956" i="9"/>
  <c r="B3956" i="9"/>
  <c r="A3956" i="9"/>
  <c r="E3955" i="9"/>
  <c r="D3955" i="9"/>
  <c r="C3955" i="9"/>
  <c r="B3955" i="9"/>
  <c r="A3955" i="9"/>
  <c r="E3954" i="9"/>
  <c r="D3954" i="9"/>
  <c r="C3954" i="9"/>
  <c r="B3954" i="9"/>
  <c r="A3954" i="9"/>
  <c r="E3953" i="9"/>
  <c r="D3953" i="9"/>
  <c r="C3953" i="9"/>
  <c r="B3953" i="9"/>
  <c r="A3953" i="9"/>
  <c r="E3952" i="9"/>
  <c r="D3952" i="9"/>
  <c r="C3952" i="9"/>
  <c r="B3952" i="9"/>
  <c r="A3952" i="9"/>
  <c r="E3951" i="9"/>
  <c r="D3951" i="9"/>
  <c r="C3951" i="9"/>
  <c r="B3951" i="9"/>
  <c r="A3951" i="9"/>
  <c r="E3950" i="9"/>
  <c r="D3950" i="9"/>
  <c r="C3950" i="9"/>
  <c r="B3950" i="9"/>
  <c r="A3950" i="9"/>
  <c r="E3949" i="9"/>
  <c r="D3949" i="9"/>
  <c r="C3949" i="9"/>
  <c r="B3949" i="9"/>
  <c r="A3949" i="9"/>
  <c r="E3948" i="9"/>
  <c r="D3948" i="9"/>
  <c r="C3948" i="9"/>
  <c r="B3948" i="9"/>
  <c r="A3948" i="9"/>
  <c r="E3947" i="9"/>
  <c r="D3947" i="9"/>
  <c r="C3947" i="9"/>
  <c r="B3947" i="9"/>
  <c r="A3947" i="9"/>
  <c r="E3946" i="9"/>
  <c r="D3946" i="9"/>
  <c r="C3946" i="9"/>
  <c r="B3946" i="9"/>
  <c r="A3946" i="9"/>
  <c r="E3945" i="9"/>
  <c r="D3945" i="9"/>
  <c r="C3945" i="9"/>
  <c r="B3945" i="9"/>
  <c r="A3945" i="9"/>
  <c r="E3944" i="9"/>
  <c r="D3944" i="9"/>
  <c r="C3944" i="9"/>
  <c r="B3944" i="9"/>
  <c r="A3944" i="9"/>
  <c r="E3943" i="9"/>
  <c r="D3943" i="9"/>
  <c r="C3943" i="9"/>
  <c r="B3943" i="9"/>
  <c r="A3943" i="9"/>
  <c r="E3942" i="9"/>
  <c r="D3942" i="9"/>
  <c r="C3942" i="9"/>
  <c r="B3942" i="9"/>
  <c r="A3942" i="9"/>
  <c r="E3941" i="9"/>
  <c r="D3941" i="9"/>
  <c r="C3941" i="9"/>
  <c r="B3941" i="9"/>
  <c r="A3941" i="9"/>
  <c r="E3940" i="9"/>
  <c r="D3940" i="9"/>
  <c r="C3940" i="9"/>
  <c r="B3940" i="9"/>
  <c r="A3940" i="9"/>
  <c r="E3939" i="9"/>
  <c r="D3939" i="9"/>
  <c r="C3939" i="9"/>
  <c r="B3939" i="9"/>
  <c r="A3939" i="9"/>
  <c r="E3938" i="9"/>
  <c r="D3938" i="9"/>
  <c r="C3938" i="9"/>
  <c r="B3938" i="9"/>
  <c r="A3938" i="9"/>
  <c r="E3937" i="9"/>
  <c r="D3937" i="9"/>
  <c r="C3937" i="9"/>
  <c r="B3937" i="9"/>
  <c r="A3937" i="9"/>
  <c r="E3936" i="9"/>
  <c r="D3936" i="9"/>
  <c r="C3936" i="9"/>
  <c r="B3936" i="9"/>
  <c r="A3936" i="9"/>
  <c r="E3935" i="9"/>
  <c r="D3935" i="9"/>
  <c r="C3935" i="9"/>
  <c r="B3935" i="9"/>
  <c r="A3935" i="9"/>
  <c r="E3934" i="9"/>
  <c r="D3934" i="9"/>
  <c r="C3934" i="9"/>
  <c r="B3934" i="9"/>
  <c r="A3934" i="9"/>
  <c r="E3933" i="9"/>
  <c r="D3933" i="9"/>
  <c r="C3933" i="9"/>
  <c r="B3933" i="9"/>
  <c r="A3933" i="9"/>
  <c r="E3932" i="9"/>
  <c r="D3932" i="9"/>
  <c r="C3932" i="9"/>
  <c r="B3932" i="9"/>
  <c r="A3932" i="9"/>
  <c r="E3931" i="9"/>
  <c r="D3931" i="9"/>
  <c r="C3931" i="9"/>
  <c r="B3931" i="9"/>
  <c r="A3931" i="9"/>
  <c r="E3930" i="9"/>
  <c r="D3930" i="9"/>
  <c r="C3930" i="9"/>
  <c r="B3930" i="9"/>
  <c r="A3930" i="9"/>
  <c r="E3929" i="9"/>
  <c r="D3929" i="9"/>
  <c r="C3929" i="9"/>
  <c r="B3929" i="9"/>
  <c r="A3929" i="9"/>
  <c r="E3928" i="9"/>
  <c r="D3928" i="9"/>
  <c r="C3928" i="9"/>
  <c r="B3928" i="9"/>
  <c r="A3928" i="9"/>
  <c r="E3927" i="9"/>
  <c r="D3927" i="9"/>
  <c r="C3927" i="9"/>
  <c r="B3927" i="9"/>
  <c r="A3927" i="9"/>
  <c r="E3926" i="9"/>
  <c r="D3926" i="9"/>
  <c r="C3926" i="9"/>
  <c r="B3926" i="9"/>
  <c r="A3926" i="9"/>
  <c r="E3925" i="9"/>
  <c r="D3925" i="9"/>
  <c r="C3925" i="9"/>
  <c r="B3925" i="9"/>
  <c r="A3925" i="9"/>
  <c r="E3924" i="9"/>
  <c r="D3924" i="9"/>
  <c r="C3924" i="9"/>
  <c r="B3924" i="9"/>
  <c r="A3924" i="9"/>
  <c r="E3923" i="9"/>
  <c r="D3923" i="9"/>
  <c r="C3923" i="9"/>
  <c r="B3923" i="9"/>
  <c r="A3923" i="9"/>
  <c r="E3922" i="9"/>
  <c r="D3922" i="9"/>
  <c r="C3922" i="9"/>
  <c r="B3922" i="9"/>
  <c r="A3922" i="9"/>
  <c r="E3921" i="9"/>
  <c r="D3921" i="9"/>
  <c r="C3921" i="9"/>
  <c r="B3921" i="9"/>
  <c r="A3921" i="9"/>
  <c r="E3920" i="9"/>
  <c r="D3920" i="9"/>
  <c r="C3920" i="9"/>
  <c r="B3920" i="9"/>
  <c r="A3920" i="9"/>
  <c r="E3919" i="9"/>
  <c r="D3919" i="9"/>
  <c r="C3919" i="9"/>
  <c r="B3919" i="9"/>
  <c r="A3919" i="9"/>
  <c r="E3918" i="9"/>
  <c r="D3918" i="9"/>
  <c r="C3918" i="9"/>
  <c r="B3918" i="9"/>
  <c r="A3918" i="9"/>
  <c r="E3917" i="9"/>
  <c r="D3917" i="9"/>
  <c r="C3917" i="9"/>
  <c r="B3917" i="9"/>
  <c r="A3917" i="9"/>
  <c r="E3916" i="9"/>
  <c r="D3916" i="9"/>
  <c r="C3916" i="9"/>
  <c r="B3916" i="9"/>
  <c r="A3916" i="9"/>
  <c r="E3915" i="9"/>
  <c r="D3915" i="9"/>
  <c r="C3915" i="9"/>
  <c r="B3915" i="9"/>
  <c r="A3915" i="9"/>
  <c r="E3914" i="9"/>
  <c r="D3914" i="9"/>
  <c r="C3914" i="9"/>
  <c r="B3914" i="9"/>
  <c r="A3914" i="9"/>
  <c r="E3913" i="9"/>
  <c r="D3913" i="9"/>
  <c r="C3913" i="9"/>
  <c r="B3913" i="9"/>
  <c r="A3913" i="9"/>
  <c r="E3912" i="9"/>
  <c r="D3912" i="9"/>
  <c r="C3912" i="9"/>
  <c r="B3912" i="9"/>
  <c r="A3912" i="9"/>
  <c r="E3911" i="9"/>
  <c r="D3911" i="9"/>
  <c r="C3911" i="9"/>
  <c r="B3911" i="9"/>
  <c r="A3911" i="9"/>
  <c r="E3910" i="9"/>
  <c r="D3910" i="9"/>
  <c r="C3910" i="9"/>
  <c r="B3910" i="9"/>
  <c r="A3910" i="9"/>
  <c r="E3909" i="9"/>
  <c r="D3909" i="9"/>
  <c r="C3909" i="9"/>
  <c r="B3909" i="9"/>
  <c r="A3909" i="9"/>
  <c r="E3908" i="9"/>
  <c r="D3908" i="9"/>
  <c r="C3908" i="9"/>
  <c r="B3908" i="9"/>
  <c r="A3908" i="9"/>
  <c r="E3907" i="9"/>
  <c r="D3907" i="9"/>
  <c r="C3907" i="9"/>
  <c r="B3907" i="9"/>
  <c r="A3907" i="9"/>
  <c r="E3906" i="9"/>
  <c r="D3906" i="9"/>
  <c r="C3906" i="9"/>
  <c r="B3906" i="9"/>
  <c r="A3906" i="9"/>
  <c r="E3905" i="9"/>
  <c r="D3905" i="9"/>
  <c r="C3905" i="9"/>
  <c r="B3905" i="9"/>
  <c r="A3905" i="9"/>
  <c r="E3904" i="9"/>
  <c r="D3904" i="9"/>
  <c r="C3904" i="9"/>
  <c r="B3904" i="9"/>
  <c r="A3904" i="9"/>
  <c r="E3903" i="9"/>
  <c r="D3903" i="9"/>
  <c r="C3903" i="9"/>
  <c r="B3903" i="9"/>
  <c r="A3903" i="9"/>
  <c r="E3902" i="9"/>
  <c r="D3902" i="9"/>
  <c r="C3902" i="9"/>
  <c r="B3902" i="9"/>
  <c r="A3902" i="9"/>
  <c r="E3901" i="9"/>
  <c r="D3901" i="9"/>
  <c r="C3901" i="9"/>
  <c r="B3901" i="9"/>
  <c r="A3901" i="9"/>
  <c r="E3900" i="9"/>
  <c r="D3900" i="9"/>
  <c r="C3900" i="9"/>
  <c r="B3900" i="9"/>
  <c r="A3900" i="9"/>
  <c r="E3899" i="9"/>
  <c r="D3899" i="9"/>
  <c r="C3899" i="9"/>
  <c r="B3899" i="9"/>
  <c r="A3899" i="9"/>
  <c r="E3898" i="9"/>
  <c r="D3898" i="9"/>
  <c r="C3898" i="9"/>
  <c r="B3898" i="9"/>
  <c r="A3898" i="9"/>
  <c r="E3897" i="9"/>
  <c r="D3897" i="9"/>
  <c r="C3897" i="9"/>
  <c r="B3897" i="9"/>
  <c r="A3897" i="9"/>
  <c r="E3896" i="9"/>
  <c r="D3896" i="9"/>
  <c r="C3896" i="9"/>
  <c r="B3896" i="9"/>
  <c r="A3896" i="9"/>
  <c r="E3895" i="9"/>
  <c r="D3895" i="9"/>
  <c r="C3895" i="9"/>
  <c r="B3895" i="9"/>
  <c r="A3895" i="9"/>
  <c r="E3894" i="9"/>
  <c r="D3894" i="9"/>
  <c r="C3894" i="9"/>
  <c r="B3894" i="9"/>
  <c r="A3894" i="9"/>
  <c r="E3893" i="9"/>
  <c r="D3893" i="9"/>
  <c r="C3893" i="9"/>
  <c r="B3893" i="9"/>
  <c r="A3893" i="9"/>
  <c r="E3892" i="9"/>
  <c r="D3892" i="9"/>
  <c r="C3892" i="9"/>
  <c r="B3892" i="9"/>
  <c r="A3892" i="9"/>
  <c r="E3891" i="9"/>
  <c r="D3891" i="9"/>
  <c r="C3891" i="9"/>
  <c r="B3891" i="9"/>
  <c r="A3891" i="9"/>
  <c r="E3890" i="9"/>
  <c r="D3890" i="9"/>
  <c r="C3890" i="9"/>
  <c r="B3890" i="9"/>
  <c r="A3890" i="9"/>
  <c r="E3889" i="9"/>
  <c r="D3889" i="9"/>
  <c r="C3889" i="9"/>
  <c r="B3889" i="9"/>
  <c r="A3889" i="9"/>
  <c r="E3888" i="9"/>
  <c r="D3888" i="9"/>
  <c r="C3888" i="9"/>
  <c r="B3888" i="9"/>
  <c r="A3888" i="9"/>
  <c r="E3887" i="9"/>
  <c r="D3887" i="9"/>
  <c r="C3887" i="9"/>
  <c r="B3887" i="9"/>
  <c r="A3887" i="9"/>
  <c r="E3886" i="9"/>
  <c r="D3886" i="9"/>
  <c r="C3886" i="9"/>
  <c r="B3886" i="9"/>
  <c r="A3886" i="9"/>
  <c r="E3885" i="9"/>
  <c r="D3885" i="9"/>
  <c r="C3885" i="9"/>
  <c r="B3885" i="9"/>
  <c r="A3885" i="9"/>
  <c r="E3884" i="9"/>
  <c r="D3884" i="9"/>
  <c r="C3884" i="9"/>
  <c r="B3884" i="9"/>
  <c r="A3884" i="9"/>
  <c r="E3883" i="9"/>
  <c r="D3883" i="9"/>
  <c r="C3883" i="9"/>
  <c r="B3883" i="9"/>
  <c r="A3883" i="9"/>
  <c r="E3882" i="9"/>
  <c r="D3882" i="9"/>
  <c r="C3882" i="9"/>
  <c r="B3882" i="9"/>
  <c r="A3882" i="9"/>
  <c r="E3881" i="9"/>
  <c r="D3881" i="9"/>
  <c r="C3881" i="9"/>
  <c r="B3881" i="9"/>
  <c r="A3881" i="9"/>
  <c r="E3880" i="9"/>
  <c r="D3880" i="9"/>
  <c r="C3880" i="9"/>
  <c r="B3880" i="9"/>
  <c r="A3880" i="9"/>
  <c r="E3879" i="9"/>
  <c r="D3879" i="9"/>
  <c r="C3879" i="9"/>
  <c r="B3879" i="9"/>
  <c r="A3879" i="9"/>
  <c r="E3878" i="9"/>
  <c r="D3878" i="9"/>
  <c r="C3878" i="9"/>
  <c r="B3878" i="9"/>
  <c r="A3878" i="9"/>
  <c r="E3877" i="9"/>
  <c r="D3877" i="9"/>
  <c r="C3877" i="9"/>
  <c r="B3877" i="9"/>
  <c r="A3877" i="9"/>
  <c r="E3876" i="9"/>
  <c r="D3876" i="9"/>
  <c r="C3876" i="9"/>
  <c r="B3876" i="9"/>
  <c r="A3876" i="9"/>
  <c r="E3875" i="9"/>
  <c r="D3875" i="9"/>
  <c r="C3875" i="9"/>
  <c r="B3875" i="9"/>
  <c r="A3875" i="9"/>
  <c r="E3874" i="9"/>
  <c r="D3874" i="9"/>
  <c r="C3874" i="9"/>
  <c r="B3874" i="9"/>
  <c r="A3874" i="9"/>
  <c r="E3873" i="9"/>
  <c r="D3873" i="9"/>
  <c r="C3873" i="9"/>
  <c r="B3873" i="9"/>
  <c r="A3873" i="9"/>
  <c r="E3872" i="9"/>
  <c r="D3872" i="9"/>
  <c r="C3872" i="9"/>
  <c r="B3872" i="9"/>
  <c r="A3872" i="9"/>
  <c r="E3871" i="9"/>
  <c r="D3871" i="9"/>
  <c r="C3871" i="9"/>
  <c r="B3871" i="9"/>
  <c r="A3871" i="9"/>
  <c r="E3870" i="9"/>
  <c r="D3870" i="9"/>
  <c r="C3870" i="9"/>
  <c r="B3870" i="9"/>
  <c r="A3870" i="9"/>
  <c r="E3869" i="9"/>
  <c r="D3869" i="9"/>
  <c r="C3869" i="9"/>
  <c r="B3869" i="9"/>
  <c r="A3869" i="9"/>
  <c r="E3868" i="9"/>
  <c r="D3868" i="9"/>
  <c r="C3868" i="9"/>
  <c r="B3868" i="9"/>
  <c r="A3868" i="9"/>
  <c r="E3867" i="9"/>
  <c r="D3867" i="9"/>
  <c r="C3867" i="9"/>
  <c r="B3867" i="9"/>
  <c r="A3867" i="9"/>
  <c r="E3866" i="9"/>
  <c r="D3866" i="9"/>
  <c r="C3866" i="9"/>
  <c r="B3866" i="9"/>
  <c r="A3866" i="9"/>
  <c r="E3865" i="9"/>
  <c r="D3865" i="9"/>
  <c r="C3865" i="9"/>
  <c r="B3865" i="9"/>
  <c r="A3865" i="9"/>
  <c r="E3864" i="9"/>
  <c r="D3864" i="9"/>
  <c r="C3864" i="9"/>
  <c r="B3864" i="9"/>
  <c r="A3864" i="9"/>
  <c r="E3863" i="9"/>
  <c r="D3863" i="9"/>
  <c r="C3863" i="9"/>
  <c r="B3863" i="9"/>
  <c r="A3863" i="9"/>
  <c r="E3862" i="9"/>
  <c r="D3862" i="9"/>
  <c r="C3862" i="9"/>
  <c r="B3862" i="9"/>
  <c r="A3862" i="9"/>
  <c r="E3861" i="9"/>
  <c r="D3861" i="9"/>
  <c r="C3861" i="9"/>
  <c r="B3861" i="9"/>
  <c r="A3861" i="9"/>
  <c r="E3860" i="9"/>
  <c r="D3860" i="9"/>
  <c r="C3860" i="9"/>
  <c r="B3860" i="9"/>
  <c r="A3860" i="9"/>
  <c r="E3859" i="9"/>
  <c r="D3859" i="9"/>
  <c r="C3859" i="9"/>
  <c r="B3859" i="9"/>
  <c r="A3859" i="9"/>
  <c r="E3858" i="9"/>
  <c r="D3858" i="9"/>
  <c r="C3858" i="9"/>
  <c r="B3858" i="9"/>
  <c r="A3858" i="9"/>
  <c r="E3857" i="9"/>
  <c r="D3857" i="9"/>
  <c r="C3857" i="9"/>
  <c r="B3857" i="9"/>
  <c r="A3857" i="9"/>
  <c r="E3856" i="9"/>
  <c r="D3856" i="9"/>
  <c r="C3856" i="9"/>
  <c r="B3856" i="9"/>
  <c r="A3856" i="9"/>
  <c r="E3855" i="9"/>
  <c r="D3855" i="9"/>
  <c r="C3855" i="9"/>
  <c r="B3855" i="9"/>
  <c r="A3855" i="9"/>
  <c r="E3854" i="9"/>
  <c r="D3854" i="9"/>
  <c r="C3854" i="9"/>
  <c r="B3854" i="9"/>
  <c r="A3854" i="9"/>
  <c r="E3853" i="9"/>
  <c r="D3853" i="9"/>
  <c r="C3853" i="9"/>
  <c r="B3853" i="9"/>
  <c r="A3853" i="9"/>
  <c r="E3852" i="9"/>
  <c r="D3852" i="9"/>
  <c r="C3852" i="9"/>
  <c r="B3852" i="9"/>
  <c r="A3852" i="9"/>
  <c r="E3851" i="9"/>
  <c r="D3851" i="9"/>
  <c r="C3851" i="9"/>
  <c r="B3851" i="9"/>
  <c r="A3851" i="9"/>
  <c r="E3850" i="9"/>
  <c r="D3850" i="9"/>
  <c r="C3850" i="9"/>
  <c r="B3850" i="9"/>
  <c r="A3850" i="9"/>
  <c r="E3849" i="9"/>
  <c r="D3849" i="9"/>
  <c r="C3849" i="9"/>
  <c r="B3849" i="9"/>
  <c r="A3849" i="9"/>
  <c r="E3848" i="9"/>
  <c r="D3848" i="9"/>
  <c r="C3848" i="9"/>
  <c r="B3848" i="9"/>
  <c r="A3848" i="9"/>
  <c r="E3847" i="9"/>
  <c r="D3847" i="9"/>
  <c r="C3847" i="9"/>
  <c r="B3847" i="9"/>
  <c r="A3847" i="9"/>
  <c r="E3846" i="9"/>
  <c r="D3846" i="9"/>
  <c r="C3846" i="9"/>
  <c r="B3846" i="9"/>
  <c r="A3846" i="9"/>
  <c r="E3845" i="9"/>
  <c r="D3845" i="9"/>
  <c r="C3845" i="9"/>
  <c r="B3845" i="9"/>
  <c r="A3845" i="9"/>
  <c r="E3844" i="9"/>
  <c r="D3844" i="9"/>
  <c r="C3844" i="9"/>
  <c r="B3844" i="9"/>
  <c r="A3844" i="9"/>
  <c r="E3843" i="9"/>
  <c r="D3843" i="9"/>
  <c r="C3843" i="9"/>
  <c r="B3843" i="9"/>
  <c r="A3843" i="9"/>
  <c r="E3842" i="9"/>
  <c r="D3842" i="9"/>
  <c r="C3842" i="9"/>
  <c r="B3842" i="9"/>
  <c r="A3842" i="9"/>
  <c r="E3841" i="9"/>
  <c r="D3841" i="9"/>
  <c r="C3841" i="9"/>
  <c r="B3841" i="9"/>
  <c r="A3841" i="9"/>
  <c r="E3840" i="9"/>
  <c r="D3840" i="9"/>
  <c r="C3840" i="9"/>
  <c r="B3840" i="9"/>
  <c r="A3840" i="9"/>
  <c r="E3839" i="9"/>
  <c r="D3839" i="9"/>
  <c r="C3839" i="9"/>
  <c r="B3839" i="9"/>
  <c r="A3839" i="9"/>
  <c r="E3838" i="9"/>
  <c r="D3838" i="9"/>
  <c r="C3838" i="9"/>
  <c r="B3838" i="9"/>
  <c r="A3838" i="9"/>
  <c r="E3837" i="9"/>
  <c r="D3837" i="9"/>
  <c r="C3837" i="9"/>
  <c r="B3837" i="9"/>
  <c r="A3837" i="9"/>
  <c r="E3836" i="9"/>
  <c r="D3836" i="9"/>
  <c r="C3836" i="9"/>
  <c r="B3836" i="9"/>
  <c r="A3836" i="9"/>
  <c r="E3835" i="9"/>
  <c r="D3835" i="9"/>
  <c r="C3835" i="9"/>
  <c r="B3835" i="9"/>
  <c r="A3835" i="9"/>
  <c r="E3834" i="9"/>
  <c r="D3834" i="9"/>
  <c r="C3834" i="9"/>
  <c r="B3834" i="9"/>
  <c r="A3834" i="9"/>
  <c r="E3833" i="9"/>
  <c r="D3833" i="9"/>
  <c r="C3833" i="9"/>
  <c r="B3833" i="9"/>
  <c r="A3833" i="9"/>
  <c r="E3832" i="9"/>
  <c r="D3832" i="9"/>
  <c r="C3832" i="9"/>
  <c r="B3832" i="9"/>
  <c r="A3832" i="9"/>
  <c r="E3831" i="9"/>
  <c r="D3831" i="9"/>
  <c r="C3831" i="9"/>
  <c r="B3831" i="9"/>
  <c r="A3831" i="9"/>
  <c r="E3830" i="9"/>
  <c r="D3830" i="9"/>
  <c r="C3830" i="9"/>
  <c r="B3830" i="9"/>
  <c r="A3830" i="9"/>
  <c r="E3829" i="9"/>
  <c r="D3829" i="9"/>
  <c r="C3829" i="9"/>
  <c r="B3829" i="9"/>
  <c r="A3829" i="9"/>
  <c r="E3828" i="9"/>
  <c r="D3828" i="9"/>
  <c r="C3828" i="9"/>
  <c r="B3828" i="9"/>
  <c r="A3828" i="9"/>
  <c r="E3827" i="9"/>
  <c r="D3827" i="9"/>
  <c r="C3827" i="9"/>
  <c r="B3827" i="9"/>
  <c r="A3827" i="9"/>
  <c r="E3826" i="9"/>
  <c r="D3826" i="9"/>
  <c r="C3826" i="9"/>
  <c r="B3826" i="9"/>
  <c r="A3826" i="9"/>
  <c r="E3825" i="9"/>
  <c r="D3825" i="9"/>
  <c r="C3825" i="9"/>
  <c r="B3825" i="9"/>
  <c r="A3825" i="9"/>
  <c r="E3824" i="9"/>
  <c r="D3824" i="9"/>
  <c r="C3824" i="9"/>
  <c r="B3824" i="9"/>
  <c r="A3824" i="9"/>
  <c r="E3823" i="9"/>
  <c r="D3823" i="9"/>
  <c r="C3823" i="9"/>
  <c r="B3823" i="9"/>
  <c r="A3823" i="9"/>
  <c r="E3822" i="9"/>
  <c r="D3822" i="9"/>
  <c r="C3822" i="9"/>
  <c r="B3822" i="9"/>
  <c r="A3822" i="9"/>
  <c r="E3821" i="9"/>
  <c r="D3821" i="9"/>
  <c r="C3821" i="9"/>
  <c r="B3821" i="9"/>
  <c r="A3821" i="9"/>
  <c r="E3820" i="9"/>
  <c r="D3820" i="9"/>
  <c r="C3820" i="9"/>
  <c r="B3820" i="9"/>
  <c r="A3820" i="9"/>
  <c r="E3819" i="9"/>
  <c r="D3819" i="9"/>
  <c r="C3819" i="9"/>
  <c r="B3819" i="9"/>
  <c r="A3819" i="9"/>
  <c r="E3818" i="9"/>
  <c r="D3818" i="9"/>
  <c r="C3818" i="9"/>
  <c r="B3818" i="9"/>
  <c r="A3818" i="9"/>
  <c r="E3817" i="9"/>
  <c r="D3817" i="9"/>
  <c r="C3817" i="9"/>
  <c r="B3817" i="9"/>
  <c r="A3817" i="9"/>
  <c r="E3816" i="9"/>
  <c r="D3816" i="9"/>
  <c r="C3816" i="9"/>
  <c r="B3816" i="9"/>
  <c r="A3816" i="9"/>
  <c r="E3815" i="9"/>
  <c r="D3815" i="9"/>
  <c r="C3815" i="9"/>
  <c r="B3815" i="9"/>
  <c r="A3815" i="9"/>
  <c r="E3814" i="9"/>
  <c r="D3814" i="9"/>
  <c r="C3814" i="9"/>
  <c r="B3814" i="9"/>
  <c r="A3814" i="9"/>
  <c r="E3813" i="9"/>
  <c r="D3813" i="9"/>
  <c r="C3813" i="9"/>
  <c r="B3813" i="9"/>
  <c r="A3813" i="9"/>
  <c r="E3812" i="9"/>
  <c r="D3812" i="9"/>
  <c r="C3812" i="9"/>
  <c r="B3812" i="9"/>
  <c r="A3812" i="9"/>
  <c r="E3811" i="9"/>
  <c r="D3811" i="9"/>
  <c r="C3811" i="9"/>
  <c r="B3811" i="9"/>
  <c r="A3811" i="9"/>
  <c r="E3810" i="9"/>
  <c r="D3810" i="9"/>
  <c r="C3810" i="9"/>
  <c r="B3810" i="9"/>
  <c r="A3810" i="9"/>
  <c r="E3809" i="9"/>
  <c r="D3809" i="9"/>
  <c r="C3809" i="9"/>
  <c r="B3809" i="9"/>
  <c r="A3809" i="9"/>
  <c r="E3808" i="9"/>
  <c r="D3808" i="9"/>
  <c r="C3808" i="9"/>
  <c r="B3808" i="9"/>
  <c r="A3808" i="9"/>
  <c r="E3807" i="9"/>
  <c r="D3807" i="9"/>
  <c r="C3807" i="9"/>
  <c r="B3807" i="9"/>
  <c r="A3807" i="9"/>
  <c r="E3806" i="9"/>
  <c r="D3806" i="9"/>
  <c r="C3806" i="9"/>
  <c r="B3806" i="9"/>
  <c r="A3806" i="9"/>
  <c r="E3805" i="9"/>
  <c r="D3805" i="9"/>
  <c r="C3805" i="9"/>
  <c r="B3805" i="9"/>
  <c r="A3805" i="9"/>
  <c r="E3804" i="9"/>
  <c r="D3804" i="9"/>
  <c r="C3804" i="9"/>
  <c r="B3804" i="9"/>
  <c r="A3804" i="9"/>
  <c r="E3803" i="9"/>
  <c r="D3803" i="9"/>
  <c r="C3803" i="9"/>
  <c r="B3803" i="9"/>
  <c r="A3803" i="9"/>
  <c r="E3802" i="9"/>
  <c r="D3802" i="9"/>
  <c r="C3802" i="9"/>
  <c r="B3802" i="9"/>
  <c r="A3802" i="9"/>
  <c r="E3801" i="9"/>
  <c r="D3801" i="9"/>
  <c r="C3801" i="9"/>
  <c r="B3801" i="9"/>
  <c r="A3801" i="9"/>
  <c r="E3800" i="9"/>
  <c r="D3800" i="9"/>
  <c r="C3800" i="9"/>
  <c r="B3800" i="9"/>
  <c r="A3800" i="9"/>
  <c r="E3799" i="9"/>
  <c r="D3799" i="9"/>
  <c r="C3799" i="9"/>
  <c r="B3799" i="9"/>
  <c r="A3799" i="9"/>
  <c r="E3798" i="9"/>
  <c r="D3798" i="9"/>
  <c r="C3798" i="9"/>
  <c r="B3798" i="9"/>
  <c r="A3798" i="9"/>
  <c r="E3797" i="9"/>
  <c r="D3797" i="9"/>
  <c r="C3797" i="9"/>
  <c r="B3797" i="9"/>
  <c r="A3797" i="9"/>
  <c r="E3796" i="9"/>
  <c r="D3796" i="9"/>
  <c r="C3796" i="9"/>
  <c r="B3796" i="9"/>
  <c r="A3796" i="9"/>
  <c r="E3795" i="9"/>
  <c r="D3795" i="9"/>
  <c r="C3795" i="9"/>
  <c r="B3795" i="9"/>
  <c r="A3795" i="9"/>
  <c r="E3794" i="9"/>
  <c r="D3794" i="9"/>
  <c r="C3794" i="9"/>
  <c r="B3794" i="9"/>
  <c r="A3794" i="9"/>
  <c r="E3793" i="9"/>
  <c r="D3793" i="9"/>
  <c r="C3793" i="9"/>
  <c r="B3793" i="9"/>
  <c r="A3793" i="9"/>
  <c r="E3792" i="9"/>
  <c r="D3792" i="9"/>
  <c r="C3792" i="9"/>
  <c r="B3792" i="9"/>
  <c r="A3792" i="9"/>
  <c r="E3791" i="9"/>
  <c r="D3791" i="9"/>
  <c r="C3791" i="9"/>
  <c r="B3791" i="9"/>
  <c r="A3791" i="9"/>
  <c r="E3790" i="9"/>
  <c r="D3790" i="9"/>
  <c r="C3790" i="9"/>
  <c r="B3790" i="9"/>
  <c r="A3790" i="9"/>
  <c r="E3789" i="9"/>
  <c r="D3789" i="9"/>
  <c r="C3789" i="9"/>
  <c r="B3789" i="9"/>
  <c r="A3789" i="9"/>
  <c r="E3788" i="9"/>
  <c r="D3788" i="9"/>
  <c r="C3788" i="9"/>
  <c r="B3788" i="9"/>
  <c r="A3788" i="9"/>
  <c r="E3787" i="9"/>
  <c r="D3787" i="9"/>
  <c r="C3787" i="9"/>
  <c r="B3787" i="9"/>
  <c r="A3787" i="9"/>
  <c r="E3786" i="9"/>
  <c r="D3786" i="9"/>
  <c r="C3786" i="9"/>
  <c r="B3786" i="9"/>
  <c r="A3786" i="9"/>
  <c r="E3785" i="9"/>
  <c r="D3785" i="9"/>
  <c r="C3785" i="9"/>
  <c r="B3785" i="9"/>
  <c r="A3785" i="9"/>
  <c r="E3784" i="9"/>
  <c r="D3784" i="9"/>
  <c r="C3784" i="9"/>
  <c r="B3784" i="9"/>
  <c r="A3784" i="9"/>
  <c r="E3783" i="9"/>
  <c r="D3783" i="9"/>
  <c r="C3783" i="9"/>
  <c r="B3783" i="9"/>
  <c r="A3783" i="9"/>
  <c r="E3782" i="9"/>
  <c r="D3782" i="9"/>
  <c r="C3782" i="9"/>
  <c r="B3782" i="9"/>
  <c r="A3782" i="9"/>
  <c r="E3781" i="9"/>
  <c r="D3781" i="9"/>
  <c r="C3781" i="9"/>
  <c r="B3781" i="9"/>
  <c r="A3781" i="9"/>
  <c r="E3780" i="9"/>
  <c r="D3780" i="9"/>
  <c r="C3780" i="9"/>
  <c r="B3780" i="9"/>
  <c r="A3780" i="9"/>
  <c r="E3779" i="9"/>
  <c r="D3779" i="9"/>
  <c r="C3779" i="9"/>
  <c r="B3779" i="9"/>
  <c r="A3779" i="9"/>
  <c r="E3778" i="9"/>
  <c r="D3778" i="9"/>
  <c r="C3778" i="9"/>
  <c r="B3778" i="9"/>
  <c r="A3778" i="9"/>
  <c r="E3777" i="9"/>
  <c r="D3777" i="9"/>
  <c r="C3777" i="9"/>
  <c r="B3777" i="9"/>
  <c r="A3777" i="9"/>
  <c r="E3776" i="9"/>
  <c r="D3776" i="9"/>
  <c r="C3776" i="9"/>
  <c r="B3776" i="9"/>
  <c r="A3776" i="9"/>
  <c r="E3775" i="9"/>
  <c r="D3775" i="9"/>
  <c r="C3775" i="9"/>
  <c r="B3775" i="9"/>
  <c r="A3775" i="9"/>
  <c r="E3774" i="9"/>
  <c r="D3774" i="9"/>
  <c r="C3774" i="9"/>
  <c r="B3774" i="9"/>
  <c r="A3774" i="9"/>
  <c r="E3773" i="9"/>
  <c r="D3773" i="9"/>
  <c r="C3773" i="9"/>
  <c r="B3773" i="9"/>
  <c r="A3773" i="9"/>
  <c r="E3772" i="9"/>
  <c r="D3772" i="9"/>
  <c r="C3772" i="9"/>
  <c r="B3772" i="9"/>
  <c r="A3772" i="9"/>
  <c r="E3771" i="9"/>
  <c r="D3771" i="9"/>
  <c r="C3771" i="9"/>
  <c r="B3771" i="9"/>
  <c r="A3771" i="9"/>
  <c r="E3770" i="9"/>
  <c r="D3770" i="9"/>
  <c r="C3770" i="9"/>
  <c r="B3770" i="9"/>
  <c r="A3770" i="9"/>
  <c r="E3769" i="9"/>
  <c r="D3769" i="9"/>
  <c r="C3769" i="9"/>
  <c r="B3769" i="9"/>
  <c r="A3769" i="9"/>
  <c r="E3768" i="9"/>
  <c r="D3768" i="9"/>
  <c r="C3768" i="9"/>
  <c r="B3768" i="9"/>
  <c r="A3768" i="9"/>
  <c r="E3767" i="9"/>
  <c r="D3767" i="9"/>
  <c r="C3767" i="9"/>
  <c r="B3767" i="9"/>
  <c r="A3767" i="9"/>
  <c r="E3766" i="9"/>
  <c r="D3766" i="9"/>
  <c r="C3766" i="9"/>
  <c r="B3766" i="9"/>
  <c r="A3766" i="9"/>
  <c r="E3765" i="9"/>
  <c r="D3765" i="9"/>
  <c r="C3765" i="9"/>
  <c r="B3765" i="9"/>
  <c r="A3765" i="9"/>
  <c r="E3764" i="9"/>
  <c r="D3764" i="9"/>
  <c r="C3764" i="9"/>
  <c r="B3764" i="9"/>
  <c r="A3764" i="9"/>
  <c r="E3763" i="9"/>
  <c r="D3763" i="9"/>
  <c r="C3763" i="9"/>
  <c r="B3763" i="9"/>
  <c r="A3763" i="9"/>
  <c r="E3762" i="9"/>
  <c r="D3762" i="9"/>
  <c r="C3762" i="9"/>
  <c r="B3762" i="9"/>
  <c r="A3762" i="9"/>
  <c r="E3761" i="9"/>
  <c r="D3761" i="9"/>
  <c r="C3761" i="9"/>
  <c r="B3761" i="9"/>
  <c r="A3761" i="9"/>
  <c r="E3760" i="9"/>
  <c r="D3760" i="9"/>
  <c r="C3760" i="9"/>
  <c r="B3760" i="9"/>
  <c r="A3760" i="9"/>
  <c r="E3759" i="9"/>
  <c r="D3759" i="9"/>
  <c r="C3759" i="9"/>
  <c r="B3759" i="9"/>
  <c r="A3759" i="9"/>
  <c r="E3758" i="9"/>
  <c r="D3758" i="9"/>
  <c r="C3758" i="9"/>
  <c r="B3758" i="9"/>
  <c r="A3758" i="9"/>
  <c r="E3757" i="9"/>
  <c r="D3757" i="9"/>
  <c r="C3757" i="9"/>
  <c r="B3757" i="9"/>
  <c r="A3757" i="9"/>
  <c r="E3756" i="9"/>
  <c r="D3756" i="9"/>
  <c r="C3756" i="9"/>
  <c r="B3756" i="9"/>
  <c r="A3756" i="9"/>
  <c r="E3755" i="9"/>
  <c r="D3755" i="9"/>
  <c r="C3755" i="9"/>
  <c r="B3755" i="9"/>
  <c r="A3755" i="9"/>
  <c r="E3754" i="9"/>
  <c r="D3754" i="9"/>
  <c r="C3754" i="9"/>
  <c r="B3754" i="9"/>
  <c r="A3754" i="9"/>
  <c r="E3753" i="9"/>
  <c r="D3753" i="9"/>
  <c r="C3753" i="9"/>
  <c r="B3753" i="9"/>
  <c r="A3753" i="9"/>
  <c r="E3752" i="9"/>
  <c r="D3752" i="9"/>
  <c r="C3752" i="9"/>
  <c r="B3752" i="9"/>
  <c r="A3752" i="9"/>
  <c r="E3751" i="9"/>
  <c r="D3751" i="9"/>
  <c r="C3751" i="9"/>
  <c r="B3751" i="9"/>
  <c r="A3751" i="9"/>
  <c r="E3750" i="9"/>
  <c r="D3750" i="9"/>
  <c r="C3750" i="9"/>
  <c r="B3750" i="9"/>
  <c r="A3750" i="9"/>
  <c r="E3749" i="9"/>
  <c r="D3749" i="9"/>
  <c r="C3749" i="9"/>
  <c r="B3749" i="9"/>
  <c r="A3749" i="9"/>
  <c r="E3748" i="9"/>
  <c r="D3748" i="9"/>
  <c r="C3748" i="9"/>
  <c r="B3748" i="9"/>
  <c r="A3748" i="9"/>
  <c r="E3747" i="9"/>
  <c r="D3747" i="9"/>
  <c r="C3747" i="9"/>
  <c r="B3747" i="9"/>
  <c r="A3747" i="9"/>
  <c r="E3746" i="9"/>
  <c r="D3746" i="9"/>
  <c r="C3746" i="9"/>
  <c r="B3746" i="9"/>
  <c r="A3746" i="9"/>
  <c r="E3745" i="9"/>
  <c r="D3745" i="9"/>
  <c r="C3745" i="9"/>
  <c r="B3745" i="9"/>
  <c r="A3745" i="9"/>
  <c r="E3744" i="9"/>
  <c r="D3744" i="9"/>
  <c r="C3744" i="9"/>
  <c r="B3744" i="9"/>
  <c r="A3744" i="9"/>
  <c r="E3743" i="9"/>
  <c r="D3743" i="9"/>
  <c r="C3743" i="9"/>
  <c r="B3743" i="9"/>
  <c r="A3743" i="9"/>
  <c r="E3742" i="9"/>
  <c r="D3742" i="9"/>
  <c r="C3742" i="9"/>
  <c r="B3742" i="9"/>
  <c r="A3742" i="9"/>
  <c r="E3741" i="9"/>
  <c r="D3741" i="9"/>
  <c r="C3741" i="9"/>
  <c r="B3741" i="9"/>
  <c r="A3741" i="9"/>
  <c r="E3740" i="9"/>
  <c r="D3740" i="9"/>
  <c r="C3740" i="9"/>
  <c r="B3740" i="9"/>
  <c r="A3740" i="9"/>
  <c r="E3739" i="9"/>
  <c r="D3739" i="9"/>
  <c r="C3739" i="9"/>
  <c r="B3739" i="9"/>
  <c r="A3739" i="9"/>
  <c r="E3738" i="9"/>
  <c r="D3738" i="9"/>
  <c r="C3738" i="9"/>
  <c r="B3738" i="9"/>
  <c r="A3738" i="9"/>
  <c r="E3737" i="9"/>
  <c r="D3737" i="9"/>
  <c r="C3737" i="9"/>
  <c r="B3737" i="9"/>
  <c r="A3737" i="9"/>
  <c r="E3736" i="9"/>
  <c r="D3736" i="9"/>
  <c r="C3736" i="9"/>
  <c r="B3736" i="9"/>
  <c r="A3736" i="9"/>
  <c r="E3735" i="9"/>
  <c r="D3735" i="9"/>
  <c r="C3735" i="9"/>
  <c r="B3735" i="9"/>
  <c r="A3735" i="9"/>
  <c r="E3734" i="9"/>
  <c r="D3734" i="9"/>
  <c r="C3734" i="9"/>
  <c r="B3734" i="9"/>
  <c r="A3734" i="9"/>
  <c r="E3733" i="9"/>
  <c r="D3733" i="9"/>
  <c r="C3733" i="9"/>
  <c r="B3733" i="9"/>
  <c r="A3733" i="9"/>
  <c r="E3732" i="9"/>
  <c r="D3732" i="9"/>
  <c r="C3732" i="9"/>
  <c r="B3732" i="9"/>
  <c r="A3732" i="9"/>
  <c r="E3731" i="9"/>
  <c r="D3731" i="9"/>
  <c r="C3731" i="9"/>
  <c r="B3731" i="9"/>
  <c r="A3731" i="9"/>
  <c r="E3730" i="9"/>
  <c r="D3730" i="9"/>
  <c r="C3730" i="9"/>
  <c r="B3730" i="9"/>
  <c r="A3730" i="9"/>
  <c r="E3729" i="9"/>
  <c r="D3729" i="9"/>
  <c r="C3729" i="9"/>
  <c r="B3729" i="9"/>
  <c r="A3729" i="9"/>
  <c r="E3728" i="9"/>
  <c r="D3728" i="9"/>
  <c r="C3728" i="9"/>
  <c r="B3728" i="9"/>
  <c r="A3728" i="9"/>
  <c r="E3727" i="9"/>
  <c r="D3727" i="9"/>
  <c r="C3727" i="9"/>
  <c r="B3727" i="9"/>
  <c r="A3727" i="9"/>
  <c r="E3726" i="9"/>
  <c r="D3726" i="9"/>
  <c r="C3726" i="9"/>
  <c r="B3726" i="9"/>
  <c r="A3726" i="9"/>
  <c r="E3725" i="9"/>
  <c r="D3725" i="9"/>
  <c r="C3725" i="9"/>
  <c r="B3725" i="9"/>
  <c r="A3725" i="9"/>
  <c r="E3724" i="9"/>
  <c r="D3724" i="9"/>
  <c r="C3724" i="9"/>
  <c r="B3724" i="9"/>
  <c r="A3724" i="9"/>
  <c r="E3723" i="9"/>
  <c r="D3723" i="9"/>
  <c r="C3723" i="9"/>
  <c r="B3723" i="9"/>
  <c r="A3723" i="9"/>
  <c r="E3722" i="9"/>
  <c r="D3722" i="9"/>
  <c r="C3722" i="9"/>
  <c r="B3722" i="9"/>
  <c r="A3722" i="9"/>
  <c r="E3721" i="9"/>
  <c r="D3721" i="9"/>
  <c r="C3721" i="9"/>
  <c r="B3721" i="9"/>
  <c r="A3721" i="9"/>
  <c r="E3720" i="9"/>
  <c r="D3720" i="9"/>
  <c r="C3720" i="9"/>
  <c r="B3720" i="9"/>
  <c r="A3720" i="9"/>
  <c r="E3719" i="9"/>
  <c r="D3719" i="9"/>
  <c r="C3719" i="9"/>
  <c r="B3719" i="9"/>
  <c r="A3719" i="9"/>
  <c r="E3718" i="9"/>
  <c r="D3718" i="9"/>
  <c r="C3718" i="9"/>
  <c r="B3718" i="9"/>
  <c r="A3718" i="9"/>
  <c r="E3717" i="9"/>
  <c r="D3717" i="9"/>
  <c r="C3717" i="9"/>
  <c r="B3717" i="9"/>
  <c r="A3717" i="9"/>
  <c r="E3716" i="9"/>
  <c r="D3716" i="9"/>
  <c r="C3716" i="9"/>
  <c r="B3716" i="9"/>
  <c r="A3716" i="9"/>
  <c r="E3715" i="9"/>
  <c r="D3715" i="9"/>
  <c r="C3715" i="9"/>
  <c r="B3715" i="9"/>
  <c r="A3715" i="9"/>
  <c r="E3714" i="9"/>
  <c r="D3714" i="9"/>
  <c r="C3714" i="9"/>
  <c r="B3714" i="9"/>
  <c r="A3714" i="9"/>
  <c r="E3713" i="9"/>
  <c r="D3713" i="9"/>
  <c r="C3713" i="9"/>
  <c r="B3713" i="9"/>
  <c r="A3713" i="9"/>
  <c r="E3712" i="9"/>
  <c r="D3712" i="9"/>
  <c r="C3712" i="9"/>
  <c r="B3712" i="9"/>
  <c r="A3712" i="9"/>
  <c r="E3711" i="9"/>
  <c r="D3711" i="9"/>
  <c r="C3711" i="9"/>
  <c r="B3711" i="9"/>
  <c r="A3711" i="9"/>
  <c r="E3710" i="9"/>
  <c r="D3710" i="9"/>
  <c r="C3710" i="9"/>
  <c r="B3710" i="9"/>
  <c r="A3710" i="9"/>
  <c r="E3709" i="9"/>
  <c r="D3709" i="9"/>
  <c r="C3709" i="9"/>
  <c r="B3709" i="9"/>
  <c r="A3709" i="9"/>
  <c r="E3708" i="9"/>
  <c r="D3708" i="9"/>
  <c r="C3708" i="9"/>
  <c r="B3708" i="9"/>
  <c r="A3708" i="9"/>
  <c r="E3707" i="9"/>
  <c r="D3707" i="9"/>
  <c r="C3707" i="9"/>
  <c r="B3707" i="9"/>
  <c r="A3707" i="9"/>
  <c r="E3706" i="9"/>
  <c r="D3706" i="9"/>
  <c r="C3706" i="9"/>
  <c r="B3706" i="9"/>
  <c r="A3706" i="9"/>
  <c r="E3705" i="9"/>
  <c r="D3705" i="9"/>
  <c r="C3705" i="9"/>
  <c r="B3705" i="9"/>
  <c r="A3705" i="9"/>
  <c r="E3704" i="9"/>
  <c r="D3704" i="9"/>
  <c r="C3704" i="9"/>
  <c r="B3704" i="9"/>
  <c r="A3704" i="9"/>
  <c r="E3703" i="9"/>
  <c r="D3703" i="9"/>
  <c r="C3703" i="9"/>
  <c r="B3703" i="9"/>
  <c r="A3703" i="9"/>
  <c r="E3702" i="9"/>
  <c r="D3702" i="9"/>
  <c r="C3702" i="9"/>
  <c r="B3702" i="9"/>
  <c r="A3702" i="9"/>
  <c r="E3701" i="9"/>
  <c r="D3701" i="9"/>
  <c r="C3701" i="9"/>
  <c r="B3701" i="9"/>
  <c r="A3701" i="9"/>
  <c r="E3700" i="9"/>
  <c r="D3700" i="9"/>
  <c r="C3700" i="9"/>
  <c r="B3700" i="9"/>
  <c r="A3700" i="9"/>
  <c r="E3699" i="9"/>
  <c r="D3699" i="9"/>
  <c r="C3699" i="9"/>
  <c r="B3699" i="9"/>
  <c r="A3699" i="9"/>
  <c r="E3698" i="9"/>
  <c r="D3698" i="9"/>
  <c r="C3698" i="9"/>
  <c r="B3698" i="9"/>
  <c r="A3698" i="9"/>
  <c r="E3697" i="9"/>
  <c r="D3697" i="9"/>
  <c r="C3697" i="9"/>
  <c r="B3697" i="9"/>
  <c r="A3697" i="9"/>
  <c r="E3696" i="9"/>
  <c r="D3696" i="9"/>
  <c r="C3696" i="9"/>
  <c r="B3696" i="9"/>
  <c r="A3696" i="9"/>
  <c r="E3695" i="9"/>
  <c r="D3695" i="9"/>
  <c r="C3695" i="9"/>
  <c r="B3695" i="9"/>
  <c r="A3695" i="9"/>
  <c r="E3694" i="9"/>
  <c r="D3694" i="9"/>
  <c r="C3694" i="9"/>
  <c r="B3694" i="9"/>
  <c r="A3694" i="9"/>
  <c r="E3693" i="9"/>
  <c r="D3693" i="9"/>
  <c r="C3693" i="9"/>
  <c r="B3693" i="9"/>
  <c r="A3693" i="9"/>
  <c r="E3692" i="9"/>
  <c r="D3692" i="9"/>
  <c r="C3692" i="9"/>
  <c r="B3692" i="9"/>
  <c r="A3692" i="9"/>
  <c r="E3691" i="9"/>
  <c r="D3691" i="9"/>
  <c r="C3691" i="9"/>
  <c r="B3691" i="9"/>
  <c r="A3691" i="9"/>
  <c r="E3690" i="9"/>
  <c r="D3690" i="9"/>
  <c r="C3690" i="9"/>
  <c r="B3690" i="9"/>
  <c r="A3690" i="9"/>
  <c r="E3689" i="9"/>
  <c r="D3689" i="9"/>
  <c r="C3689" i="9"/>
  <c r="B3689" i="9"/>
  <c r="A3689" i="9"/>
  <c r="E3688" i="9"/>
  <c r="D3688" i="9"/>
  <c r="C3688" i="9"/>
  <c r="B3688" i="9"/>
  <c r="A3688" i="9"/>
  <c r="E3687" i="9"/>
  <c r="D3687" i="9"/>
  <c r="C3687" i="9"/>
  <c r="B3687" i="9"/>
  <c r="A3687" i="9"/>
  <c r="E3686" i="9"/>
  <c r="D3686" i="9"/>
  <c r="C3686" i="9"/>
  <c r="B3686" i="9"/>
  <c r="A3686" i="9"/>
  <c r="E3685" i="9"/>
  <c r="D3685" i="9"/>
  <c r="C3685" i="9"/>
  <c r="B3685" i="9"/>
  <c r="A3685" i="9"/>
  <c r="E3684" i="9"/>
  <c r="D3684" i="9"/>
  <c r="C3684" i="9"/>
  <c r="B3684" i="9"/>
  <c r="A3684" i="9"/>
  <c r="E3683" i="9"/>
  <c r="D3683" i="9"/>
  <c r="C3683" i="9"/>
  <c r="B3683" i="9"/>
  <c r="A3683" i="9"/>
  <c r="E3682" i="9"/>
  <c r="D3682" i="9"/>
  <c r="C3682" i="9"/>
  <c r="B3682" i="9"/>
  <c r="A3682" i="9"/>
  <c r="E3681" i="9"/>
  <c r="D3681" i="9"/>
  <c r="C3681" i="9"/>
  <c r="B3681" i="9"/>
  <c r="A3681" i="9"/>
  <c r="E3680" i="9"/>
  <c r="D3680" i="9"/>
  <c r="C3680" i="9"/>
  <c r="B3680" i="9"/>
  <c r="A3680" i="9"/>
  <c r="E3679" i="9"/>
  <c r="D3679" i="9"/>
  <c r="C3679" i="9"/>
  <c r="B3679" i="9"/>
  <c r="A3679" i="9"/>
  <c r="E3678" i="9"/>
  <c r="D3678" i="9"/>
  <c r="C3678" i="9"/>
  <c r="B3678" i="9"/>
  <c r="A3678" i="9"/>
  <c r="E3677" i="9"/>
  <c r="D3677" i="9"/>
  <c r="C3677" i="9"/>
  <c r="B3677" i="9"/>
  <c r="A3677" i="9"/>
  <c r="E3676" i="9"/>
  <c r="D3676" i="9"/>
  <c r="C3676" i="9"/>
  <c r="B3676" i="9"/>
  <c r="A3676" i="9"/>
  <c r="E3675" i="9"/>
  <c r="D3675" i="9"/>
  <c r="C3675" i="9"/>
  <c r="B3675" i="9"/>
  <c r="A3675" i="9"/>
  <c r="E3674" i="9"/>
  <c r="D3674" i="9"/>
  <c r="C3674" i="9"/>
  <c r="B3674" i="9"/>
  <c r="A3674" i="9"/>
  <c r="E3673" i="9"/>
  <c r="D3673" i="9"/>
  <c r="C3673" i="9"/>
  <c r="B3673" i="9"/>
  <c r="A3673" i="9"/>
  <c r="E3672" i="9"/>
  <c r="D3672" i="9"/>
  <c r="C3672" i="9"/>
  <c r="B3672" i="9"/>
  <c r="A3672" i="9"/>
  <c r="E3671" i="9"/>
  <c r="D3671" i="9"/>
  <c r="C3671" i="9"/>
  <c r="B3671" i="9"/>
  <c r="A3671" i="9"/>
  <c r="E3670" i="9"/>
  <c r="D3670" i="9"/>
  <c r="C3670" i="9"/>
  <c r="B3670" i="9"/>
  <c r="A3670" i="9"/>
  <c r="E3669" i="9"/>
  <c r="D3669" i="9"/>
  <c r="C3669" i="9"/>
  <c r="B3669" i="9"/>
  <c r="A3669" i="9"/>
  <c r="E3668" i="9"/>
  <c r="D3668" i="9"/>
  <c r="C3668" i="9"/>
  <c r="B3668" i="9"/>
  <c r="A3668" i="9"/>
  <c r="E3667" i="9"/>
  <c r="D3667" i="9"/>
  <c r="C3667" i="9"/>
  <c r="B3667" i="9"/>
  <c r="A3667" i="9"/>
  <c r="E3666" i="9"/>
  <c r="D3666" i="9"/>
  <c r="C3666" i="9"/>
  <c r="B3666" i="9"/>
  <c r="A3666" i="9"/>
  <c r="E3665" i="9"/>
  <c r="D3665" i="9"/>
  <c r="C3665" i="9"/>
  <c r="B3665" i="9"/>
  <c r="A3665" i="9"/>
  <c r="E3664" i="9"/>
  <c r="D3664" i="9"/>
  <c r="C3664" i="9"/>
  <c r="B3664" i="9"/>
  <c r="A3664" i="9"/>
  <c r="E3663" i="9"/>
  <c r="D3663" i="9"/>
  <c r="C3663" i="9"/>
  <c r="B3663" i="9"/>
  <c r="A3663" i="9"/>
  <c r="E3662" i="9"/>
  <c r="D3662" i="9"/>
  <c r="C3662" i="9"/>
  <c r="B3662" i="9"/>
  <c r="A3662" i="9"/>
  <c r="E3661" i="9"/>
  <c r="D3661" i="9"/>
  <c r="C3661" i="9"/>
  <c r="B3661" i="9"/>
  <c r="A3661" i="9"/>
  <c r="E3660" i="9"/>
  <c r="D3660" i="9"/>
  <c r="C3660" i="9"/>
  <c r="B3660" i="9"/>
  <c r="A3660" i="9"/>
  <c r="E3659" i="9"/>
  <c r="D3659" i="9"/>
  <c r="C3659" i="9"/>
  <c r="B3659" i="9"/>
  <c r="A3659" i="9"/>
  <c r="E3658" i="9"/>
  <c r="D3658" i="9"/>
  <c r="C3658" i="9"/>
  <c r="B3658" i="9"/>
  <c r="A3658" i="9"/>
  <c r="E3657" i="9"/>
  <c r="D3657" i="9"/>
  <c r="C3657" i="9"/>
  <c r="B3657" i="9"/>
  <c r="A3657" i="9"/>
  <c r="E3656" i="9"/>
  <c r="D3656" i="9"/>
  <c r="C3656" i="9"/>
  <c r="B3656" i="9"/>
  <c r="A3656" i="9"/>
  <c r="E3655" i="9"/>
  <c r="D3655" i="9"/>
  <c r="C3655" i="9"/>
  <c r="B3655" i="9"/>
  <c r="A3655" i="9"/>
  <c r="E3654" i="9"/>
  <c r="D3654" i="9"/>
  <c r="C3654" i="9"/>
  <c r="B3654" i="9"/>
  <c r="A3654" i="9"/>
  <c r="E3653" i="9"/>
  <c r="D3653" i="9"/>
  <c r="C3653" i="9"/>
  <c r="B3653" i="9"/>
  <c r="A3653" i="9"/>
  <c r="E3652" i="9"/>
  <c r="D3652" i="9"/>
  <c r="C3652" i="9"/>
  <c r="B3652" i="9"/>
  <c r="A3652" i="9"/>
  <c r="E3651" i="9"/>
  <c r="D3651" i="9"/>
  <c r="C3651" i="9"/>
  <c r="B3651" i="9"/>
  <c r="A3651" i="9"/>
  <c r="E3650" i="9"/>
  <c r="D3650" i="9"/>
  <c r="C3650" i="9"/>
  <c r="B3650" i="9"/>
  <c r="A3650" i="9"/>
  <c r="E3649" i="9"/>
  <c r="D3649" i="9"/>
  <c r="C3649" i="9"/>
  <c r="B3649" i="9"/>
  <c r="A3649" i="9"/>
  <c r="E3648" i="9"/>
  <c r="D3648" i="9"/>
  <c r="C3648" i="9"/>
  <c r="B3648" i="9"/>
  <c r="A3648" i="9"/>
  <c r="E3647" i="9"/>
  <c r="D3647" i="9"/>
  <c r="C3647" i="9"/>
  <c r="B3647" i="9"/>
  <c r="A3647" i="9"/>
  <c r="E3646" i="9"/>
  <c r="D3646" i="9"/>
  <c r="C3646" i="9"/>
  <c r="B3646" i="9"/>
  <c r="A3646" i="9"/>
  <c r="E3645" i="9"/>
  <c r="D3645" i="9"/>
  <c r="C3645" i="9"/>
  <c r="B3645" i="9"/>
  <c r="A3645" i="9"/>
  <c r="E3644" i="9"/>
  <c r="D3644" i="9"/>
  <c r="C3644" i="9"/>
  <c r="B3644" i="9"/>
  <c r="A3644" i="9"/>
  <c r="E3643" i="9"/>
  <c r="D3643" i="9"/>
  <c r="C3643" i="9"/>
  <c r="B3643" i="9"/>
  <c r="A3643" i="9"/>
  <c r="E3642" i="9"/>
  <c r="D3642" i="9"/>
  <c r="C3642" i="9"/>
  <c r="B3642" i="9"/>
  <c r="A3642" i="9"/>
  <c r="E3641" i="9"/>
  <c r="D3641" i="9"/>
  <c r="C3641" i="9"/>
  <c r="B3641" i="9"/>
  <c r="A3641" i="9"/>
  <c r="E3640" i="9"/>
  <c r="D3640" i="9"/>
  <c r="C3640" i="9"/>
  <c r="B3640" i="9"/>
  <c r="A3640" i="9"/>
  <c r="E3639" i="9"/>
  <c r="D3639" i="9"/>
  <c r="C3639" i="9"/>
  <c r="B3639" i="9"/>
  <c r="A3639" i="9"/>
  <c r="E3638" i="9"/>
  <c r="D3638" i="9"/>
  <c r="C3638" i="9"/>
  <c r="B3638" i="9"/>
  <c r="A3638" i="9"/>
  <c r="E3637" i="9"/>
  <c r="D3637" i="9"/>
  <c r="C3637" i="9"/>
  <c r="B3637" i="9"/>
  <c r="A3637" i="9"/>
  <c r="E3636" i="9"/>
  <c r="D3636" i="9"/>
  <c r="C3636" i="9"/>
  <c r="B3636" i="9"/>
  <c r="A3636" i="9"/>
  <c r="E3635" i="9"/>
  <c r="D3635" i="9"/>
  <c r="C3635" i="9"/>
  <c r="B3635" i="9"/>
  <c r="A3635" i="9"/>
  <c r="E3634" i="9"/>
  <c r="D3634" i="9"/>
  <c r="C3634" i="9"/>
  <c r="B3634" i="9"/>
  <c r="A3634" i="9"/>
  <c r="E3633" i="9"/>
  <c r="D3633" i="9"/>
  <c r="C3633" i="9"/>
  <c r="B3633" i="9"/>
  <c r="A3633" i="9"/>
  <c r="E3632" i="9"/>
  <c r="D3632" i="9"/>
  <c r="C3632" i="9"/>
  <c r="B3632" i="9"/>
  <c r="A3632" i="9"/>
  <c r="E3631" i="9"/>
  <c r="D3631" i="9"/>
  <c r="C3631" i="9"/>
  <c r="B3631" i="9"/>
  <c r="A3631" i="9"/>
  <c r="E3630" i="9"/>
  <c r="D3630" i="9"/>
  <c r="C3630" i="9"/>
  <c r="B3630" i="9"/>
  <c r="A3630" i="9"/>
  <c r="E3629" i="9"/>
  <c r="D3629" i="9"/>
  <c r="C3629" i="9"/>
  <c r="B3629" i="9"/>
  <c r="A3629" i="9"/>
  <c r="E3628" i="9"/>
  <c r="D3628" i="9"/>
  <c r="C3628" i="9"/>
  <c r="B3628" i="9"/>
  <c r="A3628" i="9"/>
  <c r="E3627" i="9"/>
  <c r="D3627" i="9"/>
  <c r="C3627" i="9"/>
  <c r="B3627" i="9"/>
  <c r="A3627" i="9"/>
  <c r="E3626" i="9"/>
  <c r="D3626" i="9"/>
  <c r="C3626" i="9"/>
  <c r="B3626" i="9"/>
  <c r="A3626" i="9"/>
  <c r="E3625" i="9"/>
  <c r="D3625" i="9"/>
  <c r="C3625" i="9"/>
  <c r="B3625" i="9"/>
  <c r="A3625" i="9"/>
  <c r="E3624" i="9"/>
  <c r="D3624" i="9"/>
  <c r="C3624" i="9"/>
  <c r="B3624" i="9"/>
  <c r="A3624" i="9"/>
  <c r="E3623" i="9"/>
  <c r="D3623" i="9"/>
  <c r="C3623" i="9"/>
  <c r="B3623" i="9"/>
  <c r="A3623" i="9"/>
  <c r="E3622" i="9"/>
  <c r="D3622" i="9"/>
  <c r="C3622" i="9"/>
  <c r="B3622" i="9"/>
  <c r="A3622" i="9"/>
  <c r="E3621" i="9"/>
  <c r="D3621" i="9"/>
  <c r="C3621" i="9"/>
  <c r="B3621" i="9"/>
  <c r="A3621" i="9"/>
  <c r="E3620" i="9"/>
  <c r="D3620" i="9"/>
  <c r="C3620" i="9"/>
  <c r="B3620" i="9"/>
  <c r="A3620" i="9"/>
  <c r="E3619" i="9"/>
  <c r="D3619" i="9"/>
  <c r="C3619" i="9"/>
  <c r="B3619" i="9"/>
  <c r="A3619" i="9"/>
  <c r="E3618" i="9"/>
  <c r="D3618" i="9"/>
  <c r="C3618" i="9"/>
  <c r="B3618" i="9"/>
  <c r="A3618" i="9"/>
  <c r="E3617" i="9"/>
  <c r="D3617" i="9"/>
  <c r="C3617" i="9"/>
  <c r="B3617" i="9"/>
  <c r="A3617" i="9"/>
  <c r="E3616" i="9"/>
  <c r="D3616" i="9"/>
  <c r="C3616" i="9"/>
  <c r="B3616" i="9"/>
  <c r="A3616" i="9"/>
  <c r="E3615" i="9"/>
  <c r="D3615" i="9"/>
  <c r="C3615" i="9"/>
  <c r="B3615" i="9"/>
  <c r="A3615" i="9"/>
  <c r="E3614" i="9"/>
  <c r="D3614" i="9"/>
  <c r="C3614" i="9"/>
  <c r="B3614" i="9"/>
  <c r="A3614" i="9"/>
  <c r="E3613" i="9"/>
  <c r="D3613" i="9"/>
  <c r="C3613" i="9"/>
  <c r="B3613" i="9"/>
  <c r="A3613" i="9"/>
  <c r="E3612" i="9"/>
  <c r="D3612" i="9"/>
  <c r="C3612" i="9"/>
  <c r="B3612" i="9"/>
  <c r="A3612" i="9"/>
  <c r="E3611" i="9"/>
  <c r="D3611" i="9"/>
  <c r="C3611" i="9"/>
  <c r="B3611" i="9"/>
  <c r="A3611" i="9"/>
  <c r="E3610" i="9"/>
  <c r="D3610" i="9"/>
  <c r="C3610" i="9"/>
  <c r="B3610" i="9"/>
  <c r="A3610" i="9"/>
  <c r="E3609" i="9"/>
  <c r="D3609" i="9"/>
  <c r="C3609" i="9"/>
  <c r="B3609" i="9"/>
  <c r="A3609" i="9"/>
  <c r="E3608" i="9"/>
  <c r="D3608" i="9"/>
  <c r="C3608" i="9"/>
  <c r="B3608" i="9"/>
  <c r="A3608" i="9"/>
  <c r="E3607" i="9"/>
  <c r="D3607" i="9"/>
  <c r="C3607" i="9"/>
  <c r="B3607" i="9"/>
  <c r="A3607" i="9"/>
  <c r="E3606" i="9"/>
  <c r="D3606" i="9"/>
  <c r="C3606" i="9"/>
  <c r="B3606" i="9"/>
  <c r="A3606" i="9"/>
  <c r="E3605" i="9"/>
  <c r="D3605" i="9"/>
  <c r="C3605" i="9"/>
  <c r="B3605" i="9"/>
  <c r="A3605" i="9"/>
  <c r="E3604" i="9"/>
  <c r="D3604" i="9"/>
  <c r="C3604" i="9"/>
  <c r="B3604" i="9"/>
  <c r="A3604" i="9"/>
  <c r="E3603" i="9"/>
  <c r="D3603" i="9"/>
  <c r="C3603" i="9"/>
  <c r="B3603" i="9"/>
  <c r="A3603" i="9"/>
  <c r="E3602" i="9"/>
  <c r="D3602" i="9"/>
  <c r="C3602" i="9"/>
  <c r="B3602" i="9"/>
  <c r="A3602" i="9"/>
  <c r="E3601" i="9"/>
  <c r="D3601" i="9"/>
  <c r="C3601" i="9"/>
  <c r="B3601" i="9"/>
  <c r="A3601" i="9"/>
  <c r="E3600" i="9"/>
  <c r="D3600" i="9"/>
  <c r="C3600" i="9"/>
  <c r="B3600" i="9"/>
  <c r="A3600" i="9"/>
  <c r="E3599" i="9"/>
  <c r="D3599" i="9"/>
  <c r="C3599" i="9"/>
  <c r="B3599" i="9"/>
  <c r="A3599" i="9"/>
  <c r="E3598" i="9"/>
  <c r="D3598" i="9"/>
  <c r="C3598" i="9"/>
  <c r="B3598" i="9"/>
  <c r="A3598" i="9"/>
  <c r="E3597" i="9"/>
  <c r="D3597" i="9"/>
  <c r="C3597" i="9"/>
  <c r="B3597" i="9"/>
  <c r="A3597" i="9"/>
  <c r="E3596" i="9"/>
  <c r="D3596" i="9"/>
  <c r="C3596" i="9"/>
  <c r="B3596" i="9"/>
  <c r="A3596" i="9"/>
  <c r="E3595" i="9"/>
  <c r="D3595" i="9"/>
  <c r="C3595" i="9"/>
  <c r="B3595" i="9"/>
  <c r="A3595" i="9"/>
  <c r="E3594" i="9"/>
  <c r="D3594" i="9"/>
  <c r="C3594" i="9"/>
  <c r="B3594" i="9"/>
  <c r="A3594" i="9"/>
  <c r="E3593" i="9"/>
  <c r="D3593" i="9"/>
  <c r="C3593" i="9"/>
  <c r="B3593" i="9"/>
  <c r="A3593" i="9"/>
  <c r="E3592" i="9"/>
  <c r="D3592" i="9"/>
  <c r="C3592" i="9"/>
  <c r="B3592" i="9"/>
  <c r="A3592" i="9"/>
  <c r="E3591" i="9"/>
  <c r="D3591" i="9"/>
  <c r="C3591" i="9"/>
  <c r="B3591" i="9"/>
  <c r="A3591" i="9"/>
  <c r="E3590" i="9"/>
  <c r="D3590" i="9"/>
  <c r="C3590" i="9"/>
  <c r="B3590" i="9"/>
  <c r="A3590" i="9"/>
  <c r="E3589" i="9"/>
  <c r="D3589" i="9"/>
  <c r="C3589" i="9"/>
  <c r="B3589" i="9"/>
  <c r="A3589" i="9"/>
  <c r="E3588" i="9"/>
  <c r="D3588" i="9"/>
  <c r="C3588" i="9"/>
  <c r="B3588" i="9"/>
  <c r="A3588" i="9"/>
  <c r="E3587" i="9"/>
  <c r="D3587" i="9"/>
  <c r="C3587" i="9"/>
  <c r="B3587" i="9"/>
  <c r="A3587" i="9"/>
  <c r="E3586" i="9"/>
  <c r="D3586" i="9"/>
  <c r="C3586" i="9"/>
  <c r="B3586" i="9"/>
  <c r="A3586" i="9"/>
  <c r="E3585" i="9"/>
  <c r="D3585" i="9"/>
  <c r="C3585" i="9"/>
  <c r="B3585" i="9"/>
  <c r="A3585" i="9"/>
  <c r="E3584" i="9"/>
  <c r="D3584" i="9"/>
  <c r="C3584" i="9"/>
  <c r="B3584" i="9"/>
  <c r="A3584" i="9"/>
  <c r="E3583" i="9"/>
  <c r="D3583" i="9"/>
  <c r="C3583" i="9"/>
  <c r="B3583" i="9"/>
  <c r="A3583" i="9"/>
  <c r="E3582" i="9"/>
  <c r="D3582" i="9"/>
  <c r="C3582" i="9"/>
  <c r="B3582" i="9"/>
  <c r="A3582" i="9"/>
  <c r="E3581" i="9"/>
  <c r="D3581" i="9"/>
  <c r="C3581" i="9"/>
  <c r="B3581" i="9"/>
  <c r="A3581" i="9"/>
  <c r="E3580" i="9"/>
  <c r="D3580" i="9"/>
  <c r="C3580" i="9"/>
  <c r="B3580" i="9"/>
  <c r="A3580" i="9"/>
  <c r="E3579" i="9"/>
  <c r="D3579" i="9"/>
  <c r="C3579" i="9"/>
  <c r="B3579" i="9"/>
  <c r="A3579" i="9"/>
  <c r="E3578" i="9"/>
  <c r="D3578" i="9"/>
  <c r="C3578" i="9"/>
  <c r="B3578" i="9"/>
  <c r="A3578" i="9"/>
  <c r="E3577" i="9"/>
  <c r="D3577" i="9"/>
  <c r="C3577" i="9"/>
  <c r="B3577" i="9"/>
  <c r="A3577" i="9"/>
  <c r="E3576" i="9"/>
  <c r="D3576" i="9"/>
  <c r="C3576" i="9"/>
  <c r="B3576" i="9"/>
  <c r="A3576" i="9"/>
  <c r="E3575" i="9"/>
  <c r="D3575" i="9"/>
  <c r="C3575" i="9"/>
  <c r="B3575" i="9"/>
  <c r="A3575" i="9"/>
  <c r="E3574" i="9"/>
  <c r="D3574" i="9"/>
  <c r="C3574" i="9"/>
  <c r="B3574" i="9"/>
  <c r="A3574" i="9"/>
  <c r="E3573" i="9"/>
  <c r="D3573" i="9"/>
  <c r="C3573" i="9"/>
  <c r="B3573" i="9"/>
  <c r="A3573" i="9"/>
  <c r="E3572" i="9"/>
  <c r="D3572" i="9"/>
  <c r="C3572" i="9"/>
  <c r="B3572" i="9"/>
  <c r="A3572" i="9"/>
  <c r="E3571" i="9"/>
  <c r="D3571" i="9"/>
  <c r="C3571" i="9"/>
  <c r="B3571" i="9"/>
  <c r="A3571" i="9"/>
  <c r="E3570" i="9"/>
  <c r="D3570" i="9"/>
  <c r="C3570" i="9"/>
  <c r="B3570" i="9"/>
  <c r="A3570" i="9"/>
  <c r="E3569" i="9"/>
  <c r="D3569" i="9"/>
  <c r="C3569" i="9"/>
  <c r="B3569" i="9"/>
  <c r="A3569" i="9"/>
  <c r="E3568" i="9"/>
  <c r="D3568" i="9"/>
  <c r="C3568" i="9"/>
  <c r="B3568" i="9"/>
  <c r="A3568" i="9"/>
  <c r="E3567" i="9"/>
  <c r="D3567" i="9"/>
  <c r="C3567" i="9"/>
  <c r="B3567" i="9"/>
  <c r="A3567" i="9"/>
  <c r="E3566" i="9"/>
  <c r="D3566" i="9"/>
  <c r="C3566" i="9"/>
  <c r="B3566" i="9"/>
  <c r="A3566" i="9"/>
  <c r="E3565" i="9"/>
  <c r="D3565" i="9"/>
  <c r="C3565" i="9"/>
  <c r="B3565" i="9"/>
  <c r="A3565" i="9"/>
  <c r="E3564" i="9"/>
  <c r="D3564" i="9"/>
  <c r="C3564" i="9"/>
  <c r="B3564" i="9"/>
  <c r="A3564" i="9"/>
  <c r="E3563" i="9"/>
  <c r="D3563" i="9"/>
  <c r="C3563" i="9"/>
  <c r="B3563" i="9"/>
  <c r="A3563" i="9"/>
  <c r="E3562" i="9"/>
  <c r="D3562" i="9"/>
  <c r="C3562" i="9"/>
  <c r="B3562" i="9"/>
  <c r="A3562" i="9"/>
  <c r="E3561" i="9"/>
  <c r="D3561" i="9"/>
  <c r="C3561" i="9"/>
  <c r="B3561" i="9"/>
  <c r="A3561" i="9"/>
  <c r="E3560" i="9"/>
  <c r="D3560" i="9"/>
  <c r="C3560" i="9"/>
  <c r="B3560" i="9"/>
  <c r="A3560" i="9"/>
  <c r="E3559" i="9"/>
  <c r="D3559" i="9"/>
  <c r="C3559" i="9"/>
  <c r="B3559" i="9"/>
  <c r="A3559" i="9"/>
  <c r="E3558" i="9"/>
  <c r="D3558" i="9"/>
  <c r="C3558" i="9"/>
  <c r="B3558" i="9"/>
  <c r="A3558" i="9"/>
  <c r="E3557" i="9"/>
  <c r="D3557" i="9"/>
  <c r="C3557" i="9"/>
  <c r="B3557" i="9"/>
  <c r="A3557" i="9"/>
  <c r="E3556" i="9"/>
  <c r="D3556" i="9"/>
  <c r="C3556" i="9"/>
  <c r="B3556" i="9"/>
  <c r="A3556" i="9"/>
  <c r="E3555" i="9"/>
  <c r="D3555" i="9"/>
  <c r="C3555" i="9"/>
  <c r="B3555" i="9"/>
  <c r="A3555" i="9"/>
  <c r="E3554" i="9"/>
  <c r="D3554" i="9"/>
  <c r="C3554" i="9"/>
  <c r="B3554" i="9"/>
  <c r="A3554" i="9"/>
  <c r="E3553" i="9"/>
  <c r="D3553" i="9"/>
  <c r="C3553" i="9"/>
  <c r="B3553" i="9"/>
  <c r="A3553" i="9"/>
  <c r="E3552" i="9"/>
  <c r="D3552" i="9"/>
  <c r="C3552" i="9"/>
  <c r="B3552" i="9"/>
  <c r="A3552" i="9"/>
  <c r="E3551" i="9"/>
  <c r="D3551" i="9"/>
  <c r="C3551" i="9"/>
  <c r="B3551" i="9"/>
  <c r="A3551" i="9"/>
  <c r="E3550" i="9"/>
  <c r="D3550" i="9"/>
  <c r="C3550" i="9"/>
  <c r="B3550" i="9"/>
  <c r="A3550" i="9"/>
  <c r="E3549" i="9"/>
  <c r="D3549" i="9"/>
  <c r="C3549" i="9"/>
  <c r="B3549" i="9"/>
  <c r="A3549" i="9"/>
  <c r="E3548" i="9"/>
  <c r="D3548" i="9"/>
  <c r="C3548" i="9"/>
  <c r="B3548" i="9"/>
  <c r="A3548" i="9"/>
  <c r="E3547" i="9"/>
  <c r="D3547" i="9"/>
  <c r="C3547" i="9"/>
  <c r="B3547" i="9"/>
  <c r="A3547" i="9"/>
  <c r="E3546" i="9"/>
  <c r="D3546" i="9"/>
  <c r="C3546" i="9"/>
  <c r="B3546" i="9"/>
  <c r="A3546" i="9"/>
  <c r="E3545" i="9"/>
  <c r="D3545" i="9"/>
  <c r="C3545" i="9"/>
  <c r="B3545" i="9"/>
  <c r="A3545" i="9"/>
  <c r="E3544" i="9"/>
  <c r="D3544" i="9"/>
  <c r="C3544" i="9"/>
  <c r="B3544" i="9"/>
  <c r="A3544" i="9"/>
  <c r="E3543" i="9"/>
  <c r="D3543" i="9"/>
  <c r="C3543" i="9"/>
  <c r="B3543" i="9"/>
  <c r="A3543" i="9"/>
  <c r="E3542" i="9"/>
  <c r="D3542" i="9"/>
  <c r="C3542" i="9"/>
  <c r="B3542" i="9"/>
  <c r="A3542" i="9"/>
  <c r="E3541" i="9"/>
  <c r="D3541" i="9"/>
  <c r="C3541" i="9"/>
  <c r="B3541" i="9"/>
  <c r="A3541" i="9"/>
  <c r="E3540" i="9"/>
  <c r="D3540" i="9"/>
  <c r="C3540" i="9"/>
  <c r="B3540" i="9"/>
  <c r="A3540" i="9"/>
  <c r="E3539" i="9"/>
  <c r="D3539" i="9"/>
  <c r="C3539" i="9"/>
  <c r="B3539" i="9"/>
  <c r="A3539" i="9"/>
  <c r="E3538" i="9"/>
  <c r="D3538" i="9"/>
  <c r="C3538" i="9"/>
  <c r="B3538" i="9"/>
  <c r="A3538" i="9"/>
  <c r="E3537" i="9"/>
  <c r="D3537" i="9"/>
  <c r="C3537" i="9"/>
  <c r="B3537" i="9"/>
  <c r="A3537" i="9"/>
  <c r="E3536" i="9"/>
  <c r="D3536" i="9"/>
  <c r="C3536" i="9"/>
  <c r="B3536" i="9"/>
  <c r="A3536" i="9"/>
  <c r="E3535" i="9"/>
  <c r="D3535" i="9"/>
  <c r="C3535" i="9"/>
  <c r="B3535" i="9"/>
  <c r="A3535" i="9"/>
  <c r="E3534" i="9"/>
  <c r="D3534" i="9"/>
  <c r="C3534" i="9"/>
  <c r="B3534" i="9"/>
  <c r="A3534" i="9"/>
  <c r="E3533" i="9"/>
  <c r="D3533" i="9"/>
  <c r="C3533" i="9"/>
  <c r="B3533" i="9"/>
  <c r="A3533" i="9"/>
  <c r="E3532" i="9"/>
  <c r="D3532" i="9"/>
  <c r="C3532" i="9"/>
  <c r="B3532" i="9"/>
  <c r="A3532" i="9"/>
  <c r="E3531" i="9"/>
  <c r="D3531" i="9"/>
  <c r="C3531" i="9"/>
  <c r="B3531" i="9"/>
  <c r="A3531" i="9"/>
  <c r="E3530" i="9"/>
  <c r="D3530" i="9"/>
  <c r="C3530" i="9"/>
  <c r="B3530" i="9"/>
  <c r="A3530" i="9"/>
  <c r="E3529" i="9"/>
  <c r="D3529" i="9"/>
  <c r="C3529" i="9"/>
  <c r="B3529" i="9"/>
  <c r="A3529" i="9"/>
  <c r="E3528" i="9"/>
  <c r="D3528" i="9"/>
  <c r="C3528" i="9"/>
  <c r="B3528" i="9"/>
  <c r="A3528" i="9"/>
  <c r="E3527" i="9"/>
  <c r="D3527" i="9"/>
  <c r="C3527" i="9"/>
  <c r="B3527" i="9"/>
  <c r="A3527" i="9"/>
  <c r="E3526" i="9"/>
  <c r="D3526" i="9"/>
  <c r="C3526" i="9"/>
  <c r="B3526" i="9"/>
  <c r="A3526" i="9"/>
  <c r="E3525" i="9"/>
  <c r="D3525" i="9"/>
  <c r="C3525" i="9"/>
  <c r="B3525" i="9"/>
  <c r="A3525" i="9"/>
  <c r="E3524" i="9"/>
  <c r="D3524" i="9"/>
  <c r="C3524" i="9"/>
  <c r="B3524" i="9"/>
  <c r="A3524" i="9"/>
  <c r="E3523" i="9"/>
  <c r="D3523" i="9"/>
  <c r="C3523" i="9"/>
  <c r="B3523" i="9"/>
  <c r="A3523" i="9"/>
  <c r="E3522" i="9"/>
  <c r="D3522" i="9"/>
  <c r="C3522" i="9"/>
  <c r="B3522" i="9"/>
  <c r="A3522" i="9"/>
  <c r="E3521" i="9"/>
  <c r="D3521" i="9"/>
  <c r="C3521" i="9"/>
  <c r="B3521" i="9"/>
  <c r="A3521" i="9"/>
  <c r="E3520" i="9"/>
  <c r="D3520" i="9"/>
  <c r="C3520" i="9"/>
  <c r="B3520" i="9"/>
  <c r="A3520" i="9"/>
  <c r="E3519" i="9"/>
  <c r="D3519" i="9"/>
  <c r="C3519" i="9"/>
  <c r="B3519" i="9"/>
  <c r="A3519" i="9"/>
  <c r="E3518" i="9"/>
  <c r="D3518" i="9"/>
  <c r="C3518" i="9"/>
  <c r="B3518" i="9"/>
  <c r="A3518" i="9"/>
  <c r="E3517" i="9"/>
  <c r="D3517" i="9"/>
  <c r="C3517" i="9"/>
  <c r="B3517" i="9"/>
  <c r="A3517" i="9"/>
  <c r="E3516" i="9"/>
  <c r="D3516" i="9"/>
  <c r="C3516" i="9"/>
  <c r="B3516" i="9"/>
  <c r="A3516" i="9"/>
  <c r="E3515" i="9"/>
  <c r="D3515" i="9"/>
  <c r="C3515" i="9"/>
  <c r="B3515" i="9"/>
  <c r="A3515" i="9"/>
  <c r="E3514" i="9"/>
  <c r="D3514" i="9"/>
  <c r="C3514" i="9"/>
  <c r="B3514" i="9"/>
  <c r="A3514" i="9"/>
  <c r="E3513" i="9"/>
  <c r="D3513" i="9"/>
  <c r="C3513" i="9"/>
  <c r="B3513" i="9"/>
  <c r="A3513" i="9"/>
  <c r="E3512" i="9"/>
  <c r="D3512" i="9"/>
  <c r="C3512" i="9"/>
  <c r="B3512" i="9"/>
  <c r="A3512" i="9"/>
  <c r="E3511" i="9"/>
  <c r="D3511" i="9"/>
  <c r="C3511" i="9"/>
  <c r="B3511" i="9"/>
  <c r="A3511" i="9"/>
  <c r="E3510" i="9"/>
  <c r="D3510" i="9"/>
  <c r="C3510" i="9"/>
  <c r="B3510" i="9"/>
  <c r="A3510" i="9"/>
  <c r="E3509" i="9"/>
  <c r="D3509" i="9"/>
  <c r="C3509" i="9"/>
  <c r="B3509" i="9"/>
  <c r="A3509" i="9"/>
  <c r="E3508" i="9"/>
  <c r="D3508" i="9"/>
  <c r="C3508" i="9"/>
  <c r="B3508" i="9"/>
  <c r="A3508" i="9"/>
  <c r="E3507" i="9"/>
  <c r="D3507" i="9"/>
  <c r="C3507" i="9"/>
  <c r="B3507" i="9"/>
  <c r="A3507" i="9"/>
  <c r="E3506" i="9"/>
  <c r="D3506" i="9"/>
  <c r="C3506" i="9"/>
  <c r="B3506" i="9"/>
  <c r="A3506" i="9"/>
  <c r="E3505" i="9"/>
  <c r="D3505" i="9"/>
  <c r="C3505" i="9"/>
  <c r="B3505" i="9"/>
  <c r="A3505" i="9"/>
  <c r="E3504" i="9"/>
  <c r="D3504" i="9"/>
  <c r="C3504" i="9"/>
  <c r="B3504" i="9"/>
  <c r="A3504" i="9"/>
  <c r="E3503" i="9"/>
  <c r="D3503" i="9"/>
  <c r="C3503" i="9"/>
  <c r="B3503" i="9"/>
  <c r="A3503" i="9"/>
  <c r="E3502" i="9"/>
  <c r="D3502" i="9"/>
  <c r="C3502" i="9"/>
  <c r="B3502" i="9"/>
  <c r="A3502" i="9"/>
  <c r="E3501" i="9"/>
  <c r="D3501" i="9"/>
  <c r="C3501" i="9"/>
  <c r="B3501" i="9"/>
  <c r="A3501" i="9"/>
  <c r="E3500" i="9"/>
  <c r="D3500" i="9"/>
  <c r="C3500" i="9"/>
  <c r="B3500" i="9"/>
  <c r="A3500" i="9"/>
  <c r="E3499" i="9"/>
  <c r="D3499" i="9"/>
  <c r="C3499" i="9"/>
  <c r="B3499" i="9"/>
  <c r="A3499" i="9"/>
  <c r="E3498" i="9"/>
  <c r="D3498" i="9"/>
  <c r="C3498" i="9"/>
  <c r="B3498" i="9"/>
  <c r="A3498" i="9"/>
  <c r="E3497" i="9"/>
  <c r="D3497" i="9"/>
  <c r="C3497" i="9"/>
  <c r="B3497" i="9"/>
  <c r="A3497" i="9"/>
  <c r="E3496" i="9"/>
  <c r="D3496" i="9"/>
  <c r="C3496" i="9"/>
  <c r="B3496" i="9"/>
  <c r="A3496" i="9"/>
  <c r="E3495" i="9"/>
  <c r="D3495" i="9"/>
  <c r="C3495" i="9"/>
  <c r="B3495" i="9"/>
  <c r="A3495" i="9"/>
  <c r="E3494" i="9"/>
  <c r="D3494" i="9"/>
  <c r="C3494" i="9"/>
  <c r="B3494" i="9"/>
  <c r="A3494" i="9"/>
  <c r="E3493" i="9"/>
  <c r="D3493" i="9"/>
  <c r="C3493" i="9"/>
  <c r="B3493" i="9"/>
  <c r="A3493" i="9"/>
  <c r="E3492" i="9"/>
  <c r="D3492" i="9"/>
  <c r="C3492" i="9"/>
  <c r="B3492" i="9"/>
  <c r="A3492" i="9"/>
  <c r="E3491" i="9"/>
  <c r="D3491" i="9"/>
  <c r="C3491" i="9"/>
  <c r="B3491" i="9"/>
  <c r="A3491" i="9"/>
  <c r="E3490" i="9"/>
  <c r="D3490" i="9"/>
  <c r="C3490" i="9"/>
  <c r="B3490" i="9"/>
  <c r="A3490" i="9"/>
  <c r="E3489" i="9"/>
  <c r="D3489" i="9"/>
  <c r="C3489" i="9"/>
  <c r="B3489" i="9"/>
  <c r="A3489" i="9"/>
  <c r="E3488" i="9"/>
  <c r="D3488" i="9"/>
  <c r="C3488" i="9"/>
  <c r="B3488" i="9"/>
  <c r="A3488" i="9"/>
  <c r="E3487" i="9"/>
  <c r="D3487" i="9"/>
  <c r="C3487" i="9"/>
  <c r="B3487" i="9"/>
  <c r="A3487" i="9"/>
  <c r="E3486" i="9"/>
  <c r="D3486" i="9"/>
  <c r="C3486" i="9"/>
  <c r="B3486" i="9"/>
  <c r="A3486" i="9"/>
  <c r="E3485" i="9"/>
  <c r="D3485" i="9"/>
  <c r="C3485" i="9"/>
  <c r="B3485" i="9"/>
  <c r="A3485" i="9"/>
  <c r="E3484" i="9"/>
  <c r="D3484" i="9"/>
  <c r="C3484" i="9"/>
  <c r="B3484" i="9"/>
  <c r="A3484" i="9"/>
  <c r="E3483" i="9"/>
  <c r="D3483" i="9"/>
  <c r="C3483" i="9"/>
  <c r="B3483" i="9"/>
  <c r="A3483" i="9"/>
  <c r="E3482" i="9"/>
  <c r="D3482" i="9"/>
  <c r="C3482" i="9"/>
  <c r="B3482" i="9"/>
  <c r="A3482" i="9"/>
  <c r="E3481" i="9"/>
  <c r="D3481" i="9"/>
  <c r="C3481" i="9"/>
  <c r="B3481" i="9"/>
  <c r="A3481" i="9"/>
  <c r="E3480" i="9"/>
  <c r="D3480" i="9"/>
  <c r="C3480" i="9"/>
  <c r="B3480" i="9"/>
  <c r="A3480" i="9"/>
  <c r="E3479" i="9"/>
  <c r="D3479" i="9"/>
  <c r="C3479" i="9"/>
  <c r="B3479" i="9"/>
  <c r="A3479" i="9"/>
  <c r="E3478" i="9"/>
  <c r="D3478" i="9"/>
  <c r="C3478" i="9"/>
  <c r="B3478" i="9"/>
  <c r="A3478" i="9"/>
  <c r="E3477" i="9"/>
  <c r="D3477" i="9"/>
  <c r="C3477" i="9"/>
  <c r="B3477" i="9"/>
  <c r="A3477" i="9"/>
  <c r="E3476" i="9"/>
  <c r="D3476" i="9"/>
  <c r="C3476" i="9"/>
  <c r="B3476" i="9"/>
  <c r="A3476" i="9"/>
  <c r="E3475" i="9"/>
  <c r="D3475" i="9"/>
  <c r="C3475" i="9"/>
  <c r="B3475" i="9"/>
  <c r="A3475" i="9"/>
  <c r="E3474" i="9"/>
  <c r="D3474" i="9"/>
  <c r="C3474" i="9"/>
  <c r="B3474" i="9"/>
  <c r="A3474" i="9"/>
  <c r="E3473" i="9"/>
  <c r="D3473" i="9"/>
  <c r="C3473" i="9"/>
  <c r="B3473" i="9"/>
  <c r="A3473" i="9"/>
  <c r="E3472" i="9"/>
  <c r="D3472" i="9"/>
  <c r="C3472" i="9"/>
  <c r="B3472" i="9"/>
  <c r="A3472" i="9"/>
  <c r="E3471" i="9"/>
  <c r="D3471" i="9"/>
  <c r="C3471" i="9"/>
  <c r="B3471" i="9"/>
  <c r="A3471" i="9"/>
  <c r="E3470" i="9"/>
  <c r="D3470" i="9"/>
  <c r="C3470" i="9"/>
  <c r="B3470" i="9"/>
  <c r="A3470" i="9"/>
  <c r="E3469" i="9"/>
  <c r="D3469" i="9"/>
  <c r="C3469" i="9"/>
  <c r="B3469" i="9"/>
  <c r="A3469" i="9"/>
  <c r="E3468" i="9"/>
  <c r="D3468" i="9"/>
  <c r="C3468" i="9"/>
  <c r="B3468" i="9"/>
  <c r="A3468" i="9"/>
  <c r="E3467" i="9"/>
  <c r="D3467" i="9"/>
  <c r="C3467" i="9"/>
  <c r="B3467" i="9"/>
  <c r="A3467" i="9"/>
  <c r="E3466" i="9"/>
  <c r="D3466" i="9"/>
  <c r="C3466" i="9"/>
  <c r="B3466" i="9"/>
  <c r="A3466" i="9"/>
  <c r="E3465" i="9"/>
  <c r="D3465" i="9"/>
  <c r="C3465" i="9"/>
  <c r="B3465" i="9"/>
  <c r="A3465" i="9"/>
  <c r="E3464" i="9"/>
  <c r="D3464" i="9"/>
  <c r="C3464" i="9"/>
  <c r="B3464" i="9"/>
  <c r="A3464" i="9"/>
  <c r="E3463" i="9"/>
  <c r="D3463" i="9"/>
  <c r="C3463" i="9"/>
  <c r="B3463" i="9"/>
  <c r="A3463" i="9"/>
  <c r="E3462" i="9"/>
  <c r="D3462" i="9"/>
  <c r="C3462" i="9"/>
  <c r="B3462" i="9"/>
  <c r="A3462" i="9"/>
  <c r="E3461" i="9"/>
  <c r="D3461" i="9"/>
  <c r="C3461" i="9"/>
  <c r="B3461" i="9"/>
  <c r="A3461" i="9"/>
  <c r="E3460" i="9"/>
  <c r="D3460" i="9"/>
  <c r="C3460" i="9"/>
  <c r="B3460" i="9"/>
  <c r="A3460" i="9"/>
  <c r="E3459" i="9"/>
  <c r="D3459" i="9"/>
  <c r="C3459" i="9"/>
  <c r="B3459" i="9"/>
  <c r="A3459" i="9"/>
  <c r="E3458" i="9"/>
  <c r="D3458" i="9"/>
  <c r="C3458" i="9"/>
  <c r="B3458" i="9"/>
  <c r="A3458" i="9"/>
  <c r="E3457" i="9"/>
  <c r="D3457" i="9"/>
  <c r="C3457" i="9"/>
  <c r="B3457" i="9"/>
  <c r="A3457" i="9"/>
  <c r="E3456" i="9"/>
  <c r="D3456" i="9"/>
  <c r="C3456" i="9"/>
  <c r="B3456" i="9"/>
  <c r="A3456" i="9"/>
  <c r="E3455" i="9"/>
  <c r="D3455" i="9"/>
  <c r="C3455" i="9"/>
  <c r="B3455" i="9"/>
  <c r="A3455" i="9"/>
  <c r="E3454" i="9"/>
  <c r="D3454" i="9"/>
  <c r="C3454" i="9"/>
  <c r="B3454" i="9"/>
  <c r="A3454" i="9"/>
  <c r="E3453" i="9"/>
  <c r="D3453" i="9"/>
  <c r="C3453" i="9"/>
  <c r="B3453" i="9"/>
  <c r="A3453" i="9"/>
  <c r="E3452" i="9"/>
  <c r="D3452" i="9"/>
  <c r="C3452" i="9"/>
  <c r="B3452" i="9"/>
  <c r="A3452" i="9"/>
  <c r="E3451" i="9"/>
  <c r="D3451" i="9"/>
  <c r="C3451" i="9"/>
  <c r="B3451" i="9"/>
  <c r="A3451" i="9"/>
  <c r="E3450" i="9"/>
  <c r="D3450" i="9"/>
  <c r="C3450" i="9"/>
  <c r="B3450" i="9"/>
  <c r="A3450" i="9"/>
  <c r="E3449" i="9"/>
  <c r="D3449" i="9"/>
  <c r="C3449" i="9"/>
  <c r="B3449" i="9"/>
  <c r="A3449" i="9"/>
  <c r="E3448" i="9"/>
  <c r="D3448" i="9"/>
  <c r="C3448" i="9"/>
  <c r="B3448" i="9"/>
  <c r="A3448" i="9"/>
  <c r="E3447" i="9"/>
  <c r="D3447" i="9"/>
  <c r="C3447" i="9"/>
  <c r="B3447" i="9"/>
  <c r="A3447" i="9"/>
  <c r="E3446" i="9"/>
  <c r="D3446" i="9"/>
  <c r="C3446" i="9"/>
  <c r="B3446" i="9"/>
  <c r="A3446" i="9"/>
  <c r="E3445" i="9"/>
  <c r="D3445" i="9"/>
  <c r="C3445" i="9"/>
  <c r="B3445" i="9"/>
  <c r="A3445" i="9"/>
  <c r="E3444" i="9"/>
  <c r="D3444" i="9"/>
  <c r="C3444" i="9"/>
  <c r="B3444" i="9"/>
  <c r="A3444" i="9"/>
  <c r="E3443" i="9"/>
  <c r="D3443" i="9"/>
  <c r="C3443" i="9"/>
  <c r="B3443" i="9"/>
  <c r="A3443" i="9"/>
  <c r="E3442" i="9"/>
  <c r="D3442" i="9"/>
  <c r="C3442" i="9"/>
  <c r="B3442" i="9"/>
  <c r="A3442" i="9"/>
  <c r="E3441" i="9"/>
  <c r="D3441" i="9"/>
  <c r="C3441" i="9"/>
  <c r="B3441" i="9"/>
  <c r="A3441" i="9"/>
  <c r="E3440" i="9"/>
  <c r="D3440" i="9"/>
  <c r="C3440" i="9"/>
  <c r="B3440" i="9"/>
  <c r="A3440" i="9"/>
  <c r="E3439" i="9"/>
  <c r="D3439" i="9"/>
  <c r="C3439" i="9"/>
  <c r="B3439" i="9"/>
  <c r="A3439" i="9"/>
  <c r="E3438" i="9"/>
  <c r="D3438" i="9"/>
  <c r="C3438" i="9"/>
  <c r="B3438" i="9"/>
  <c r="A3438" i="9"/>
  <c r="E3437" i="9"/>
  <c r="D3437" i="9"/>
  <c r="C3437" i="9"/>
  <c r="B3437" i="9"/>
  <c r="A3437" i="9"/>
  <c r="E3436" i="9"/>
  <c r="D3436" i="9"/>
  <c r="C3436" i="9"/>
  <c r="B3436" i="9"/>
  <c r="A3436" i="9"/>
  <c r="E3435" i="9"/>
  <c r="D3435" i="9"/>
  <c r="C3435" i="9"/>
  <c r="B3435" i="9"/>
  <c r="A3435" i="9"/>
  <c r="E3434" i="9"/>
  <c r="D3434" i="9"/>
  <c r="C3434" i="9"/>
  <c r="B3434" i="9"/>
  <c r="A3434" i="9"/>
  <c r="E3433" i="9"/>
  <c r="D3433" i="9"/>
  <c r="C3433" i="9"/>
  <c r="B3433" i="9"/>
  <c r="A3433" i="9"/>
  <c r="E3432" i="9"/>
  <c r="D3432" i="9"/>
  <c r="C3432" i="9"/>
  <c r="B3432" i="9"/>
  <c r="A3432" i="9"/>
  <c r="E3431" i="9"/>
  <c r="D3431" i="9"/>
  <c r="C3431" i="9"/>
  <c r="B3431" i="9"/>
  <c r="A3431" i="9"/>
  <c r="E3430" i="9"/>
  <c r="D3430" i="9"/>
  <c r="C3430" i="9"/>
  <c r="B3430" i="9"/>
  <c r="A3430" i="9"/>
  <c r="E3429" i="9"/>
  <c r="D3429" i="9"/>
  <c r="C3429" i="9"/>
  <c r="B3429" i="9"/>
  <c r="A3429" i="9"/>
  <c r="E3428" i="9"/>
  <c r="D3428" i="9"/>
  <c r="C3428" i="9"/>
  <c r="B3428" i="9"/>
  <c r="A3428" i="9"/>
  <c r="E3427" i="9"/>
  <c r="D3427" i="9"/>
  <c r="C3427" i="9"/>
  <c r="B3427" i="9"/>
  <c r="A3427" i="9"/>
  <c r="E3426" i="9"/>
  <c r="D3426" i="9"/>
  <c r="C3426" i="9"/>
  <c r="B3426" i="9"/>
  <c r="A3426" i="9"/>
  <c r="E3425" i="9"/>
  <c r="D3425" i="9"/>
  <c r="C3425" i="9"/>
  <c r="B3425" i="9"/>
  <c r="A3425" i="9"/>
  <c r="E3424" i="9"/>
  <c r="D3424" i="9"/>
  <c r="C3424" i="9"/>
  <c r="B3424" i="9"/>
  <c r="A3424" i="9"/>
  <c r="E3423" i="9"/>
  <c r="D3423" i="9"/>
  <c r="C3423" i="9"/>
  <c r="B3423" i="9"/>
  <c r="A3423" i="9"/>
  <c r="E3422" i="9"/>
  <c r="D3422" i="9"/>
  <c r="C3422" i="9"/>
  <c r="B3422" i="9"/>
  <c r="A3422" i="9"/>
  <c r="E3421" i="9"/>
  <c r="D3421" i="9"/>
  <c r="C3421" i="9"/>
  <c r="B3421" i="9"/>
  <c r="A3421" i="9"/>
  <c r="E3420" i="9"/>
  <c r="D3420" i="9"/>
  <c r="C3420" i="9"/>
  <c r="B3420" i="9"/>
  <c r="A3420" i="9"/>
  <c r="E3419" i="9"/>
  <c r="D3419" i="9"/>
  <c r="C3419" i="9"/>
  <c r="B3419" i="9"/>
  <c r="A3419" i="9"/>
  <c r="E3418" i="9"/>
  <c r="D3418" i="9"/>
  <c r="C3418" i="9"/>
  <c r="B3418" i="9"/>
  <c r="A3418" i="9"/>
  <c r="E3417" i="9"/>
  <c r="D3417" i="9"/>
  <c r="C3417" i="9"/>
  <c r="B3417" i="9"/>
  <c r="A3417" i="9"/>
  <c r="E3416" i="9"/>
  <c r="D3416" i="9"/>
  <c r="C3416" i="9"/>
  <c r="B3416" i="9"/>
  <c r="A3416" i="9"/>
  <c r="E3415" i="9"/>
  <c r="D3415" i="9"/>
  <c r="C3415" i="9"/>
  <c r="B3415" i="9"/>
  <c r="A3415" i="9"/>
  <c r="E3414" i="9"/>
  <c r="D3414" i="9"/>
  <c r="C3414" i="9"/>
  <c r="B3414" i="9"/>
  <c r="A3414" i="9"/>
  <c r="E3413" i="9"/>
  <c r="D3413" i="9"/>
  <c r="C3413" i="9"/>
  <c r="B3413" i="9"/>
  <c r="A3413" i="9"/>
  <c r="E3412" i="9"/>
  <c r="D3412" i="9"/>
  <c r="C3412" i="9"/>
  <c r="B3412" i="9"/>
  <c r="A3412" i="9"/>
  <c r="E3411" i="9"/>
  <c r="D3411" i="9"/>
  <c r="C3411" i="9"/>
  <c r="B3411" i="9"/>
  <c r="A3411" i="9"/>
  <c r="E3410" i="9"/>
  <c r="D3410" i="9"/>
  <c r="C3410" i="9"/>
  <c r="B3410" i="9"/>
  <c r="A3410" i="9"/>
  <c r="E3409" i="9"/>
  <c r="D3409" i="9"/>
  <c r="C3409" i="9"/>
  <c r="B3409" i="9"/>
  <c r="A3409" i="9"/>
  <c r="E3408" i="9"/>
  <c r="D3408" i="9"/>
  <c r="C3408" i="9"/>
  <c r="B3408" i="9"/>
  <c r="A3408" i="9"/>
  <c r="E3407" i="9"/>
  <c r="D3407" i="9"/>
  <c r="C3407" i="9"/>
  <c r="B3407" i="9"/>
  <c r="A3407" i="9"/>
  <c r="E3406" i="9"/>
  <c r="D3406" i="9"/>
  <c r="C3406" i="9"/>
  <c r="B3406" i="9"/>
  <c r="A3406" i="9"/>
  <c r="E3405" i="9"/>
  <c r="D3405" i="9"/>
  <c r="C3405" i="9"/>
  <c r="B3405" i="9"/>
  <c r="A3405" i="9"/>
  <c r="E3404" i="9"/>
  <c r="D3404" i="9"/>
  <c r="C3404" i="9"/>
  <c r="B3404" i="9"/>
  <c r="A3404" i="9"/>
  <c r="E3403" i="9"/>
  <c r="D3403" i="9"/>
  <c r="C3403" i="9"/>
  <c r="B3403" i="9"/>
  <c r="A3403" i="9"/>
  <c r="E3402" i="9"/>
  <c r="D3402" i="9"/>
  <c r="C3402" i="9"/>
  <c r="B3402" i="9"/>
  <c r="A3402" i="9"/>
  <c r="E3401" i="9"/>
  <c r="D3401" i="9"/>
  <c r="C3401" i="9"/>
  <c r="B3401" i="9"/>
  <c r="A3401" i="9"/>
  <c r="E3400" i="9"/>
  <c r="D3400" i="9"/>
  <c r="C3400" i="9"/>
  <c r="B3400" i="9"/>
  <c r="A3400" i="9"/>
  <c r="E3399" i="9"/>
  <c r="D3399" i="9"/>
  <c r="C3399" i="9"/>
  <c r="B3399" i="9"/>
  <c r="A3399" i="9"/>
  <c r="E3398" i="9"/>
  <c r="D3398" i="9"/>
  <c r="C3398" i="9"/>
  <c r="B3398" i="9"/>
  <c r="A3398" i="9"/>
  <c r="E3397" i="9"/>
  <c r="D3397" i="9"/>
  <c r="C3397" i="9"/>
  <c r="B3397" i="9"/>
  <c r="A3397" i="9"/>
  <c r="E3396" i="9"/>
  <c r="D3396" i="9"/>
  <c r="C3396" i="9"/>
  <c r="B3396" i="9"/>
  <c r="A3396" i="9"/>
  <c r="E3395" i="9"/>
  <c r="D3395" i="9"/>
  <c r="C3395" i="9"/>
  <c r="B3395" i="9"/>
  <c r="A3395" i="9"/>
  <c r="E3394" i="9"/>
  <c r="D3394" i="9"/>
  <c r="C3394" i="9"/>
  <c r="B3394" i="9"/>
  <c r="A3394" i="9"/>
  <c r="E3393" i="9"/>
  <c r="D3393" i="9"/>
  <c r="C3393" i="9"/>
  <c r="B3393" i="9"/>
  <c r="A3393" i="9"/>
  <c r="E3392" i="9"/>
  <c r="D3392" i="9"/>
  <c r="C3392" i="9"/>
  <c r="B3392" i="9"/>
  <c r="A3392" i="9"/>
  <c r="E3391" i="9"/>
  <c r="D3391" i="9"/>
  <c r="C3391" i="9"/>
  <c r="B3391" i="9"/>
  <c r="A3391" i="9"/>
  <c r="E3390" i="9"/>
  <c r="D3390" i="9"/>
  <c r="C3390" i="9"/>
  <c r="B3390" i="9"/>
  <c r="A3390" i="9"/>
  <c r="E3389" i="9"/>
  <c r="D3389" i="9"/>
  <c r="C3389" i="9"/>
  <c r="B3389" i="9"/>
  <c r="A3389" i="9"/>
  <c r="E3388" i="9"/>
  <c r="D3388" i="9"/>
  <c r="C3388" i="9"/>
  <c r="B3388" i="9"/>
  <c r="A3388" i="9"/>
  <c r="E3387" i="9"/>
  <c r="D3387" i="9"/>
  <c r="C3387" i="9"/>
  <c r="B3387" i="9"/>
  <c r="A3387" i="9"/>
  <c r="E3386" i="9"/>
  <c r="D3386" i="9"/>
  <c r="C3386" i="9"/>
  <c r="B3386" i="9"/>
  <c r="A3386" i="9"/>
  <c r="E3385" i="9"/>
  <c r="D3385" i="9"/>
  <c r="C3385" i="9"/>
  <c r="B3385" i="9"/>
  <c r="A3385" i="9"/>
  <c r="E3384" i="9"/>
  <c r="D3384" i="9"/>
  <c r="C3384" i="9"/>
  <c r="B3384" i="9"/>
  <c r="A3384" i="9"/>
  <c r="E3383" i="9"/>
  <c r="D3383" i="9"/>
  <c r="C3383" i="9"/>
  <c r="B3383" i="9"/>
  <c r="A3383" i="9"/>
  <c r="E3382" i="9"/>
  <c r="D3382" i="9"/>
  <c r="C3382" i="9"/>
  <c r="B3382" i="9"/>
  <c r="A3382" i="9"/>
  <c r="E3381" i="9"/>
  <c r="D3381" i="9"/>
  <c r="C3381" i="9"/>
  <c r="B3381" i="9"/>
  <c r="A3381" i="9"/>
  <c r="E3380" i="9"/>
  <c r="D3380" i="9"/>
  <c r="C3380" i="9"/>
  <c r="B3380" i="9"/>
  <c r="A3380" i="9"/>
  <c r="E3379" i="9"/>
  <c r="D3379" i="9"/>
  <c r="C3379" i="9"/>
  <c r="B3379" i="9"/>
  <c r="A3379" i="9"/>
  <c r="E3378" i="9"/>
  <c r="D3378" i="9"/>
  <c r="C3378" i="9"/>
  <c r="B3378" i="9"/>
  <c r="A3378" i="9"/>
  <c r="E3377" i="9"/>
  <c r="D3377" i="9"/>
  <c r="C3377" i="9"/>
  <c r="B3377" i="9"/>
  <c r="A3377" i="9"/>
  <c r="E3376" i="9"/>
  <c r="D3376" i="9"/>
  <c r="C3376" i="9"/>
  <c r="B3376" i="9"/>
  <c r="A3376" i="9"/>
  <c r="E3375" i="9"/>
  <c r="D3375" i="9"/>
  <c r="C3375" i="9"/>
  <c r="B3375" i="9"/>
  <c r="A3375" i="9"/>
  <c r="E3374" i="9"/>
  <c r="D3374" i="9"/>
  <c r="C3374" i="9"/>
  <c r="B3374" i="9"/>
  <c r="A3374" i="9"/>
  <c r="E3373" i="9"/>
  <c r="D3373" i="9"/>
  <c r="C3373" i="9"/>
  <c r="B3373" i="9"/>
  <c r="A3373" i="9"/>
  <c r="E3372" i="9"/>
  <c r="D3372" i="9"/>
  <c r="C3372" i="9"/>
  <c r="B3372" i="9"/>
  <c r="A3372" i="9"/>
  <c r="E3371" i="9"/>
  <c r="D3371" i="9"/>
  <c r="C3371" i="9"/>
  <c r="B3371" i="9"/>
  <c r="A3371" i="9"/>
  <c r="E3370" i="9"/>
  <c r="D3370" i="9"/>
  <c r="C3370" i="9"/>
  <c r="B3370" i="9"/>
  <c r="A3370" i="9"/>
  <c r="E3369" i="9"/>
  <c r="D3369" i="9"/>
  <c r="C3369" i="9"/>
  <c r="B3369" i="9"/>
  <c r="A3369" i="9"/>
  <c r="E3368" i="9"/>
  <c r="D3368" i="9"/>
  <c r="C3368" i="9"/>
  <c r="B3368" i="9"/>
  <c r="A3368" i="9"/>
  <c r="E3367" i="9"/>
  <c r="D3367" i="9"/>
  <c r="C3367" i="9"/>
  <c r="B3367" i="9"/>
  <c r="A3367" i="9"/>
  <c r="E3366" i="9"/>
  <c r="D3366" i="9"/>
  <c r="C3366" i="9"/>
  <c r="B3366" i="9"/>
  <c r="A3366" i="9"/>
  <c r="E3365" i="9"/>
  <c r="D3365" i="9"/>
  <c r="C3365" i="9"/>
  <c r="B3365" i="9"/>
  <c r="A3365" i="9"/>
  <c r="E3364" i="9"/>
  <c r="C3364" i="9"/>
  <c r="B3364" i="9"/>
  <c r="A3364" i="9"/>
  <c r="E3363" i="9"/>
  <c r="C3363" i="9"/>
  <c r="B3363" i="9"/>
  <c r="A3363" i="9"/>
  <c r="E3362" i="9"/>
  <c r="C3362" i="9"/>
  <c r="B3362" i="9"/>
  <c r="A3362" i="9"/>
  <c r="E3361" i="9"/>
  <c r="C3361" i="9"/>
  <c r="B3361" i="9"/>
  <c r="A3361" i="9"/>
  <c r="E3360" i="9"/>
  <c r="C3360" i="9"/>
  <c r="B3360" i="9"/>
  <c r="A3360" i="9"/>
  <c r="E3359" i="9"/>
  <c r="C3359" i="9"/>
  <c r="B3359" i="9"/>
  <c r="A3359" i="9"/>
  <c r="E3358" i="9"/>
  <c r="C3358" i="9"/>
  <c r="B3358" i="9"/>
  <c r="A3358" i="9"/>
  <c r="E3357" i="9"/>
  <c r="C3357" i="9"/>
  <c r="B3357" i="9"/>
  <c r="A3357" i="9"/>
  <c r="E3356" i="9"/>
  <c r="C3356" i="9"/>
  <c r="B3356" i="9"/>
  <c r="A3356" i="9"/>
  <c r="E3355" i="9"/>
  <c r="C3355" i="9"/>
  <c r="B3355" i="9"/>
  <c r="A3355" i="9"/>
  <c r="E3354" i="9"/>
  <c r="C3354" i="9"/>
  <c r="B3354" i="9"/>
  <c r="A3354" i="9"/>
  <c r="E3353" i="9"/>
  <c r="C3353" i="9"/>
  <c r="B3353" i="9"/>
  <c r="A3353" i="9"/>
  <c r="E3352" i="9"/>
  <c r="C3352" i="9"/>
  <c r="B3352" i="9"/>
  <c r="A3352" i="9"/>
  <c r="E3351" i="9"/>
  <c r="C3351" i="9"/>
  <c r="B3351" i="9"/>
  <c r="A3351" i="9"/>
  <c r="E3350" i="9"/>
  <c r="C3350" i="9"/>
  <c r="B3350" i="9"/>
  <c r="A3350" i="9"/>
  <c r="E3349" i="9"/>
  <c r="C3349" i="9"/>
  <c r="B3349" i="9"/>
  <c r="A3349" i="9"/>
  <c r="E3348" i="9"/>
  <c r="C3348" i="9"/>
  <c r="B3348" i="9"/>
  <c r="A3348" i="9"/>
  <c r="E3347" i="9"/>
  <c r="C3347" i="9"/>
  <c r="B3347" i="9"/>
  <c r="A3347" i="9"/>
  <c r="E3346" i="9"/>
  <c r="C3346" i="9"/>
  <c r="B3346" i="9"/>
  <c r="A3346" i="9"/>
  <c r="E3345" i="9"/>
  <c r="C3345" i="9"/>
  <c r="B3345" i="9"/>
  <c r="A3345" i="9"/>
  <c r="E3344" i="9"/>
  <c r="C3344" i="9"/>
  <c r="B3344" i="9"/>
  <c r="A3344" i="9"/>
  <c r="E3343" i="9"/>
  <c r="C3343" i="9"/>
  <c r="B3343" i="9"/>
  <c r="A3343" i="9"/>
  <c r="E3342" i="9"/>
  <c r="C3342" i="9"/>
  <c r="B3342" i="9"/>
  <c r="A3342" i="9"/>
  <c r="E3341" i="9"/>
  <c r="C3341" i="9"/>
  <c r="B3341" i="9"/>
  <c r="A3341" i="9"/>
  <c r="E3340" i="9"/>
  <c r="C3340" i="9"/>
  <c r="B3340" i="9"/>
  <c r="A3340" i="9"/>
  <c r="E3339" i="9"/>
  <c r="C3339" i="9"/>
  <c r="B3339" i="9"/>
  <c r="A3339" i="9"/>
  <c r="E3338" i="9"/>
  <c r="C3338" i="9"/>
  <c r="B3338" i="9"/>
  <c r="A3338" i="9"/>
  <c r="E3337" i="9"/>
  <c r="C3337" i="9"/>
  <c r="B3337" i="9"/>
  <c r="A3337" i="9"/>
  <c r="E3336" i="9"/>
  <c r="C3336" i="9"/>
  <c r="B3336" i="9"/>
  <c r="A3336" i="9"/>
  <c r="E3335" i="9"/>
  <c r="C3335" i="9"/>
  <c r="B3335" i="9"/>
  <c r="A3335" i="9"/>
  <c r="E3334" i="9"/>
  <c r="C3334" i="9"/>
  <c r="B3334" i="9"/>
  <c r="A3334" i="9"/>
  <c r="E3333" i="9"/>
  <c r="C3333" i="9"/>
  <c r="B3333" i="9"/>
  <c r="A3333" i="9"/>
  <c r="E3332" i="9"/>
  <c r="C3332" i="9"/>
  <c r="B3332" i="9"/>
  <c r="A3332" i="9"/>
  <c r="E3331" i="9"/>
  <c r="C3331" i="9"/>
  <c r="B3331" i="9"/>
  <c r="A3331" i="9"/>
  <c r="E3330" i="9"/>
  <c r="C3330" i="9"/>
  <c r="B3330" i="9"/>
  <c r="A3330" i="9"/>
  <c r="E3329" i="9"/>
  <c r="C3329" i="9"/>
  <c r="B3329" i="9"/>
  <c r="A3329" i="9"/>
  <c r="E3328" i="9"/>
  <c r="C3328" i="9"/>
  <c r="B3328" i="9"/>
  <c r="A3328" i="9"/>
  <c r="E3327" i="9"/>
  <c r="C3327" i="9"/>
  <c r="B3327" i="9"/>
  <c r="A3327" i="9"/>
  <c r="E3326" i="9"/>
  <c r="C3326" i="9"/>
  <c r="B3326" i="9"/>
  <c r="A3326" i="9"/>
  <c r="E3325" i="9"/>
  <c r="C3325" i="9"/>
  <c r="B3325" i="9"/>
  <c r="A3325" i="9"/>
  <c r="E3324" i="9"/>
  <c r="D3324" i="9"/>
  <c r="C3324" i="9"/>
  <c r="B3324" i="9"/>
  <c r="A3324" i="9"/>
  <c r="E3323" i="9"/>
  <c r="D3323" i="9"/>
  <c r="C3323" i="9"/>
  <c r="B3323" i="9"/>
  <c r="A3323" i="9"/>
  <c r="E3322" i="9"/>
  <c r="D3322" i="9"/>
  <c r="C3322" i="9"/>
  <c r="B3322" i="9"/>
  <c r="A3322" i="9"/>
  <c r="E3321" i="9"/>
  <c r="D3321" i="9"/>
  <c r="C3321" i="9"/>
  <c r="B3321" i="9"/>
  <c r="A3321" i="9"/>
  <c r="E3320" i="9"/>
  <c r="D3320" i="9"/>
  <c r="C3320" i="9"/>
  <c r="B3320" i="9"/>
  <c r="A3320" i="9"/>
  <c r="E3319" i="9"/>
  <c r="D3319" i="9"/>
  <c r="C3319" i="9"/>
  <c r="B3319" i="9"/>
  <c r="A3319" i="9"/>
  <c r="E3318" i="9"/>
  <c r="D3318" i="9"/>
  <c r="C3318" i="9"/>
  <c r="B3318" i="9"/>
  <c r="A3318" i="9"/>
  <c r="E3317" i="9"/>
  <c r="D3317" i="9"/>
  <c r="C3317" i="9"/>
  <c r="B3317" i="9"/>
  <c r="A3317" i="9"/>
  <c r="E3316" i="9"/>
  <c r="D3316" i="9"/>
  <c r="C3316" i="9"/>
  <c r="B3316" i="9"/>
  <c r="A3316" i="9"/>
  <c r="E3315" i="9"/>
  <c r="D3315" i="9"/>
  <c r="C3315" i="9"/>
  <c r="B3315" i="9"/>
  <c r="A3315" i="9"/>
  <c r="E3314" i="9"/>
  <c r="D3314" i="9"/>
  <c r="C3314" i="9"/>
  <c r="B3314" i="9"/>
  <c r="A3314" i="9"/>
  <c r="E3313" i="9"/>
  <c r="D3313" i="9"/>
  <c r="C3313" i="9"/>
  <c r="B3313" i="9"/>
  <c r="A3313" i="9"/>
  <c r="E3312" i="9"/>
  <c r="D3312" i="9"/>
  <c r="C3312" i="9"/>
  <c r="B3312" i="9"/>
  <c r="A3312" i="9"/>
  <c r="E3311" i="9"/>
  <c r="D3311" i="9"/>
  <c r="C3311" i="9"/>
  <c r="B3311" i="9"/>
  <c r="A3311" i="9"/>
  <c r="E3310" i="9"/>
  <c r="D3310" i="9"/>
  <c r="C3310" i="9"/>
  <c r="B3310" i="9"/>
  <c r="A3310" i="9"/>
  <c r="E3309" i="9"/>
  <c r="D3309" i="9"/>
  <c r="C3309" i="9"/>
  <c r="B3309" i="9"/>
  <c r="A3309" i="9"/>
  <c r="E3308" i="9"/>
  <c r="D3308" i="9"/>
  <c r="C3308" i="9"/>
  <c r="B3308" i="9"/>
  <c r="A3308" i="9"/>
  <c r="E3307" i="9"/>
  <c r="D3307" i="9"/>
  <c r="C3307" i="9"/>
  <c r="B3307" i="9"/>
  <c r="A3307" i="9"/>
  <c r="E3306" i="9"/>
  <c r="D3306" i="9"/>
  <c r="C3306" i="9"/>
  <c r="B3306" i="9"/>
  <c r="A3306" i="9"/>
  <c r="E3305" i="9"/>
  <c r="D3305" i="9"/>
  <c r="C3305" i="9"/>
  <c r="B3305" i="9"/>
  <c r="A3305" i="9"/>
  <c r="E3304" i="9"/>
  <c r="D3304" i="9"/>
  <c r="C3304" i="9"/>
  <c r="B3304" i="9"/>
  <c r="A3304" i="9"/>
  <c r="E3303" i="9"/>
  <c r="D3303" i="9"/>
  <c r="C3303" i="9"/>
  <c r="B3303" i="9"/>
  <c r="A3303" i="9"/>
  <c r="E3302" i="9"/>
  <c r="D3302" i="9"/>
  <c r="C3302" i="9"/>
  <c r="B3302" i="9"/>
  <c r="A3302" i="9"/>
  <c r="E3301" i="9"/>
  <c r="D3301" i="9"/>
  <c r="C3301" i="9"/>
  <c r="B3301" i="9"/>
  <c r="A3301" i="9"/>
  <c r="E3300" i="9"/>
  <c r="D3300" i="9"/>
  <c r="C3300" i="9"/>
  <c r="B3300" i="9"/>
  <c r="A3300" i="9"/>
  <c r="E3299" i="9"/>
  <c r="D3299" i="9"/>
  <c r="C3299" i="9"/>
  <c r="B3299" i="9"/>
  <c r="A3299" i="9"/>
  <c r="E3298" i="9"/>
  <c r="D3298" i="9"/>
  <c r="C3298" i="9"/>
  <c r="B3298" i="9"/>
  <c r="A3298" i="9"/>
  <c r="E3297" i="9"/>
  <c r="D3297" i="9"/>
  <c r="C3297" i="9"/>
  <c r="B3297" i="9"/>
  <c r="A3297" i="9"/>
  <c r="E3296" i="9"/>
  <c r="D3296" i="9"/>
  <c r="C3296" i="9"/>
  <c r="B3296" i="9"/>
  <c r="A3296" i="9"/>
  <c r="E3295" i="9"/>
  <c r="D3295" i="9"/>
  <c r="C3295" i="9"/>
  <c r="B3295" i="9"/>
  <c r="A3295" i="9"/>
  <c r="E3294" i="9"/>
  <c r="D3294" i="9"/>
  <c r="C3294" i="9"/>
  <c r="B3294" i="9"/>
  <c r="A3294" i="9"/>
  <c r="E3293" i="9"/>
  <c r="D3293" i="9"/>
  <c r="C3293" i="9"/>
  <c r="B3293" i="9"/>
  <c r="A3293" i="9"/>
  <c r="E3292" i="9"/>
  <c r="D3292" i="9"/>
  <c r="C3292" i="9"/>
  <c r="B3292" i="9"/>
  <c r="A3292" i="9"/>
  <c r="E3291" i="9"/>
  <c r="D3291" i="9"/>
  <c r="C3291" i="9"/>
  <c r="B3291" i="9"/>
  <c r="A3291" i="9"/>
  <c r="E3290" i="9"/>
  <c r="D3290" i="9"/>
  <c r="C3290" i="9"/>
  <c r="B3290" i="9"/>
  <c r="A3290" i="9"/>
  <c r="E3289" i="9"/>
  <c r="D3289" i="9"/>
  <c r="C3289" i="9"/>
  <c r="B3289" i="9"/>
  <c r="A3289" i="9"/>
  <c r="E3288" i="9"/>
  <c r="D3288" i="9"/>
  <c r="C3288" i="9"/>
  <c r="B3288" i="9"/>
  <c r="A3288" i="9"/>
  <c r="E3287" i="9"/>
  <c r="D3287" i="9"/>
  <c r="C3287" i="9"/>
  <c r="B3287" i="9"/>
  <c r="A3287" i="9"/>
  <c r="E3286" i="9"/>
  <c r="D3286" i="9"/>
  <c r="C3286" i="9"/>
  <c r="B3286" i="9"/>
  <c r="A3286" i="9"/>
  <c r="E3285" i="9"/>
  <c r="D3285" i="9"/>
  <c r="C3285" i="9"/>
  <c r="B3285" i="9"/>
  <c r="A3285" i="9"/>
  <c r="E3284" i="9"/>
  <c r="D3284" i="9"/>
  <c r="C3284" i="9"/>
  <c r="B3284" i="9"/>
  <c r="A3284" i="9"/>
  <c r="E3283" i="9"/>
  <c r="D3283" i="9"/>
  <c r="C3283" i="9"/>
  <c r="B3283" i="9"/>
  <c r="A3283" i="9"/>
  <c r="E3282" i="9"/>
  <c r="D3282" i="9"/>
  <c r="C3282" i="9"/>
  <c r="B3282" i="9"/>
  <c r="A3282" i="9"/>
  <c r="E3281" i="9"/>
  <c r="D3281" i="9"/>
  <c r="C3281" i="9"/>
  <c r="B3281" i="9"/>
  <c r="A3281" i="9"/>
  <c r="E3280" i="9"/>
  <c r="D3280" i="9"/>
  <c r="C3280" i="9"/>
  <c r="B3280" i="9"/>
  <c r="A3280" i="9"/>
  <c r="E3279" i="9"/>
  <c r="D3279" i="9"/>
  <c r="C3279" i="9"/>
  <c r="B3279" i="9"/>
  <c r="A3279" i="9"/>
  <c r="E3278" i="9"/>
  <c r="D3278" i="9"/>
  <c r="C3278" i="9"/>
  <c r="B3278" i="9"/>
  <c r="A3278" i="9"/>
  <c r="E3277" i="9"/>
  <c r="D3277" i="9"/>
  <c r="C3277" i="9"/>
  <c r="B3277" i="9"/>
  <c r="A3277" i="9"/>
  <c r="E3276" i="9"/>
  <c r="D3276" i="9"/>
  <c r="C3276" i="9"/>
  <c r="B3276" i="9"/>
  <c r="A3276" i="9"/>
  <c r="E3275" i="9"/>
  <c r="D3275" i="9"/>
  <c r="C3275" i="9"/>
  <c r="B3275" i="9"/>
  <c r="A3275" i="9"/>
  <c r="E3274" i="9"/>
  <c r="D3274" i="9"/>
  <c r="C3274" i="9"/>
  <c r="B3274" i="9"/>
  <c r="A3274" i="9"/>
  <c r="E3273" i="9"/>
  <c r="D3273" i="9"/>
  <c r="C3273" i="9"/>
  <c r="B3273" i="9"/>
  <c r="A3273" i="9"/>
  <c r="E3272" i="9"/>
  <c r="D3272" i="9"/>
  <c r="C3272" i="9"/>
  <c r="B3272" i="9"/>
  <c r="A3272" i="9"/>
  <c r="E3271" i="9"/>
  <c r="D3271" i="9"/>
  <c r="C3271" i="9"/>
  <c r="B3271" i="9"/>
  <c r="A3271" i="9"/>
  <c r="E3270" i="9"/>
  <c r="D3270" i="9"/>
  <c r="C3270" i="9"/>
  <c r="B3270" i="9"/>
  <c r="A3270" i="9"/>
  <c r="E3269" i="9"/>
  <c r="D3269" i="9"/>
  <c r="C3269" i="9"/>
  <c r="B3269" i="9"/>
  <c r="A3269" i="9"/>
  <c r="E3268" i="9"/>
  <c r="D3268" i="9"/>
  <c r="C3268" i="9"/>
  <c r="B3268" i="9"/>
  <c r="A3268" i="9"/>
  <c r="E3267" i="9"/>
  <c r="D3267" i="9"/>
  <c r="C3267" i="9"/>
  <c r="B3267" i="9"/>
  <c r="A3267" i="9"/>
  <c r="E3266" i="9"/>
  <c r="D3266" i="9"/>
  <c r="C3266" i="9"/>
  <c r="B3266" i="9"/>
  <c r="A3266" i="9"/>
  <c r="E3265" i="9"/>
  <c r="D3265" i="9"/>
  <c r="C3265" i="9"/>
  <c r="B3265" i="9"/>
  <c r="A3265" i="9"/>
  <c r="E3264" i="9"/>
  <c r="D3264" i="9"/>
  <c r="C3264" i="9"/>
  <c r="B3264" i="9"/>
  <c r="A3264" i="9"/>
  <c r="E3263" i="9"/>
  <c r="D3263" i="9"/>
  <c r="C3263" i="9"/>
  <c r="B3263" i="9"/>
  <c r="A3263" i="9"/>
  <c r="E3262" i="9"/>
  <c r="D3262" i="9"/>
  <c r="C3262" i="9"/>
  <c r="B3262" i="9"/>
  <c r="A3262" i="9"/>
  <c r="E3261" i="9"/>
  <c r="D3261" i="9"/>
  <c r="C3261" i="9"/>
  <c r="B3261" i="9"/>
  <c r="A3261" i="9"/>
  <c r="E3260" i="9"/>
  <c r="D3260" i="9"/>
  <c r="C3260" i="9"/>
  <c r="B3260" i="9"/>
  <c r="A3260" i="9"/>
  <c r="E3259" i="9"/>
  <c r="D3259" i="9"/>
  <c r="C3259" i="9"/>
  <c r="B3259" i="9"/>
  <c r="A3259" i="9"/>
  <c r="E3258" i="9"/>
  <c r="D3258" i="9"/>
  <c r="C3258" i="9"/>
  <c r="B3258" i="9"/>
  <c r="A3258" i="9"/>
  <c r="E3257" i="9"/>
  <c r="D3257" i="9"/>
  <c r="C3257" i="9"/>
  <c r="B3257" i="9"/>
  <c r="A3257" i="9"/>
  <c r="E3256" i="9"/>
  <c r="D3256" i="9"/>
  <c r="C3256" i="9"/>
  <c r="B3256" i="9"/>
  <c r="A3256" i="9"/>
  <c r="E3255" i="9"/>
  <c r="D3255" i="9"/>
  <c r="C3255" i="9"/>
  <c r="B3255" i="9"/>
  <c r="A3255" i="9"/>
  <c r="E3254" i="9"/>
  <c r="D3254" i="9"/>
  <c r="C3254" i="9"/>
  <c r="B3254" i="9"/>
  <c r="A3254" i="9"/>
  <c r="E3253" i="9"/>
  <c r="D3253" i="9"/>
  <c r="C3253" i="9"/>
  <c r="B3253" i="9"/>
  <c r="A3253" i="9"/>
  <c r="E3252" i="9"/>
  <c r="D3252" i="9"/>
  <c r="C3252" i="9"/>
  <c r="B3252" i="9"/>
  <c r="A3252" i="9"/>
  <c r="E3251" i="9"/>
  <c r="D3251" i="9"/>
  <c r="C3251" i="9"/>
  <c r="B3251" i="9"/>
  <c r="A3251" i="9"/>
  <c r="E3250" i="9"/>
  <c r="D3250" i="9"/>
  <c r="C3250" i="9"/>
  <c r="B3250" i="9"/>
  <c r="A3250" i="9"/>
  <c r="E3249" i="9"/>
  <c r="D3249" i="9"/>
  <c r="C3249" i="9"/>
  <c r="B3249" i="9"/>
  <c r="A3249" i="9"/>
  <c r="E3248" i="9"/>
  <c r="D3248" i="9"/>
  <c r="C3248" i="9"/>
  <c r="B3248" i="9"/>
  <c r="A3248" i="9"/>
  <c r="E3247" i="9"/>
  <c r="D3247" i="9"/>
  <c r="C3247" i="9"/>
  <c r="B3247" i="9"/>
  <c r="A3247" i="9"/>
  <c r="E3246" i="9"/>
  <c r="D3246" i="9"/>
  <c r="C3246" i="9"/>
  <c r="B3246" i="9"/>
  <c r="A3246" i="9"/>
  <c r="E3245" i="9"/>
  <c r="D3245" i="9"/>
  <c r="C3245" i="9"/>
  <c r="B3245" i="9"/>
  <c r="A3245" i="9"/>
  <c r="E3244" i="9"/>
  <c r="D3244" i="9"/>
  <c r="C3244" i="9"/>
  <c r="B3244" i="9"/>
  <c r="A3244" i="9"/>
  <c r="E3243" i="9"/>
  <c r="D3243" i="9"/>
  <c r="C3243" i="9"/>
  <c r="B3243" i="9"/>
  <c r="A3243" i="9"/>
  <c r="E3242" i="9"/>
  <c r="D3242" i="9"/>
  <c r="C3242" i="9"/>
  <c r="B3242" i="9"/>
  <c r="A3242" i="9"/>
  <c r="E3241" i="9"/>
  <c r="D3241" i="9"/>
  <c r="C3241" i="9"/>
  <c r="B3241" i="9"/>
  <c r="A3241" i="9"/>
  <c r="E3240" i="9"/>
  <c r="D3240" i="9"/>
  <c r="C3240" i="9"/>
  <c r="B3240" i="9"/>
  <c r="A3240" i="9"/>
  <c r="E3239" i="9"/>
  <c r="D3239" i="9"/>
  <c r="C3239" i="9"/>
  <c r="B3239" i="9"/>
  <c r="A3239" i="9"/>
  <c r="E3238" i="9"/>
  <c r="D3238" i="9"/>
  <c r="C3238" i="9"/>
  <c r="B3238" i="9"/>
  <c r="A3238" i="9"/>
  <c r="E3237" i="9"/>
  <c r="D3237" i="9"/>
  <c r="C3237" i="9"/>
  <c r="B3237" i="9"/>
  <c r="A3237" i="9"/>
  <c r="E3236" i="9"/>
  <c r="D3236" i="9"/>
  <c r="C3236" i="9"/>
  <c r="B3236" i="9"/>
  <c r="A3236" i="9"/>
  <c r="E3235" i="9"/>
  <c r="D3235" i="9"/>
  <c r="C3235" i="9"/>
  <c r="B3235" i="9"/>
  <c r="A3235" i="9"/>
  <c r="E3234" i="9"/>
  <c r="D3234" i="9"/>
  <c r="C3234" i="9"/>
  <c r="B3234" i="9"/>
  <c r="A3234" i="9"/>
  <c r="E3233" i="9"/>
  <c r="D3233" i="9"/>
  <c r="C3233" i="9"/>
  <c r="B3233" i="9"/>
  <c r="A3233" i="9"/>
  <c r="E3232" i="9"/>
  <c r="D3232" i="9"/>
  <c r="C3232" i="9"/>
  <c r="B3232" i="9"/>
  <c r="A3232" i="9"/>
  <c r="E3231" i="9"/>
  <c r="D3231" i="9"/>
  <c r="C3231" i="9"/>
  <c r="B3231" i="9"/>
  <c r="A3231" i="9"/>
  <c r="E3230" i="9"/>
  <c r="D3230" i="9"/>
  <c r="C3230" i="9"/>
  <c r="B3230" i="9"/>
  <c r="A3230" i="9"/>
  <c r="E3229" i="9"/>
  <c r="D3229" i="9"/>
  <c r="C3229" i="9"/>
  <c r="B3229" i="9"/>
  <c r="A3229" i="9"/>
  <c r="E3228" i="9"/>
  <c r="D3228" i="9"/>
  <c r="C3228" i="9"/>
  <c r="B3228" i="9"/>
  <c r="A3228" i="9"/>
  <c r="E3227" i="9"/>
  <c r="D3227" i="9"/>
  <c r="C3227" i="9"/>
  <c r="B3227" i="9"/>
  <c r="A3227" i="9"/>
  <c r="E3226" i="9"/>
  <c r="D3226" i="9"/>
  <c r="C3226" i="9"/>
  <c r="B3226" i="9"/>
  <c r="A3226" i="9"/>
  <c r="E3225" i="9"/>
  <c r="D3225" i="9"/>
  <c r="C3225" i="9"/>
  <c r="B3225" i="9"/>
  <c r="A3225" i="9"/>
  <c r="E3224" i="9"/>
  <c r="D3224" i="9"/>
  <c r="C3224" i="9"/>
  <c r="B3224" i="9"/>
  <c r="A3224" i="9"/>
  <c r="E3223" i="9"/>
  <c r="D3223" i="9"/>
  <c r="C3223" i="9"/>
  <c r="B3223" i="9"/>
  <c r="A3223" i="9"/>
  <c r="E3222" i="9"/>
  <c r="D3222" i="9"/>
  <c r="C3222" i="9"/>
  <c r="B3222" i="9"/>
  <c r="A3222" i="9"/>
  <c r="E3221" i="9"/>
  <c r="D3221" i="9"/>
  <c r="C3221" i="9"/>
  <c r="B3221" i="9"/>
  <c r="A3221" i="9"/>
  <c r="E3220" i="9"/>
  <c r="D3220" i="9"/>
  <c r="C3220" i="9"/>
  <c r="B3220" i="9"/>
  <c r="A3220" i="9"/>
  <c r="E3219" i="9"/>
  <c r="D3219" i="9"/>
  <c r="C3219" i="9"/>
  <c r="B3219" i="9"/>
  <c r="A3219" i="9"/>
  <c r="E3218" i="9"/>
  <c r="D3218" i="9"/>
  <c r="C3218" i="9"/>
  <c r="B3218" i="9"/>
  <c r="A3218" i="9"/>
  <c r="E3217" i="9"/>
  <c r="D3217" i="9"/>
  <c r="C3217" i="9"/>
  <c r="B3217" i="9"/>
  <c r="A3217" i="9"/>
  <c r="E3216" i="9"/>
  <c r="D3216" i="9"/>
  <c r="C3216" i="9"/>
  <c r="B3216" i="9"/>
  <c r="A3216" i="9"/>
  <c r="E3215" i="9"/>
  <c r="D3215" i="9"/>
  <c r="C3215" i="9"/>
  <c r="B3215" i="9"/>
  <c r="A3215" i="9"/>
  <c r="E3214" i="9"/>
  <c r="D3214" i="9"/>
  <c r="C3214" i="9"/>
  <c r="B3214" i="9"/>
  <c r="A3214" i="9"/>
  <c r="E3213" i="9"/>
  <c r="D3213" i="9"/>
  <c r="C3213" i="9"/>
  <c r="B3213" i="9"/>
  <c r="A3213" i="9"/>
  <c r="E3212" i="9"/>
  <c r="D3212" i="9"/>
  <c r="C3212" i="9"/>
  <c r="B3212" i="9"/>
  <c r="A3212" i="9"/>
  <c r="E3211" i="9"/>
  <c r="D3211" i="9"/>
  <c r="C3211" i="9"/>
  <c r="B3211" i="9"/>
  <c r="A3211" i="9"/>
  <c r="E3210" i="9"/>
  <c r="D3210" i="9"/>
  <c r="C3210" i="9"/>
  <c r="B3210" i="9"/>
  <c r="A3210" i="9"/>
  <c r="E3209" i="9"/>
  <c r="D3209" i="9"/>
  <c r="C3209" i="9"/>
  <c r="B3209" i="9"/>
  <c r="A3209" i="9"/>
  <c r="E3208" i="9"/>
  <c r="D3208" i="9"/>
  <c r="C3208" i="9"/>
  <c r="B3208" i="9"/>
  <c r="A3208" i="9"/>
  <c r="E3207" i="9"/>
  <c r="D3207" i="9"/>
  <c r="C3207" i="9"/>
  <c r="B3207" i="9"/>
  <c r="A3207" i="9"/>
  <c r="E3206" i="9"/>
  <c r="D3206" i="9"/>
  <c r="C3206" i="9"/>
  <c r="B3206" i="9"/>
  <c r="A3206" i="9"/>
  <c r="E3205" i="9"/>
  <c r="D3205" i="9"/>
  <c r="C3205" i="9"/>
  <c r="B3205" i="9"/>
  <c r="A3205" i="9"/>
  <c r="E3204" i="9"/>
  <c r="D3204" i="9"/>
  <c r="C3204" i="9"/>
  <c r="B3204" i="9"/>
  <c r="A3204" i="9"/>
  <c r="E3203" i="9"/>
  <c r="D3203" i="9"/>
  <c r="C3203" i="9"/>
  <c r="B3203" i="9"/>
  <c r="A3203" i="9"/>
  <c r="E3202" i="9"/>
  <c r="D3202" i="9"/>
  <c r="C3202" i="9"/>
  <c r="B3202" i="9"/>
  <c r="A3202" i="9"/>
  <c r="E3201" i="9"/>
  <c r="D3201" i="9"/>
  <c r="C3201" i="9"/>
  <c r="B3201" i="9"/>
  <c r="A3201" i="9"/>
  <c r="E3200" i="9"/>
  <c r="D3200" i="9"/>
  <c r="C3200" i="9"/>
  <c r="B3200" i="9"/>
  <c r="A3200" i="9"/>
  <c r="E3199" i="9"/>
  <c r="D3199" i="9"/>
  <c r="C3199" i="9"/>
  <c r="B3199" i="9"/>
  <c r="A3199" i="9"/>
  <c r="E3198" i="9"/>
  <c r="D3198" i="9"/>
  <c r="C3198" i="9"/>
  <c r="B3198" i="9"/>
  <c r="A3198" i="9"/>
  <c r="E3197" i="9"/>
  <c r="D3197" i="9"/>
  <c r="C3197" i="9"/>
  <c r="B3197" i="9"/>
  <c r="A3197" i="9"/>
  <c r="E3196" i="9"/>
  <c r="D3196" i="9"/>
  <c r="C3196" i="9"/>
  <c r="B3196" i="9"/>
  <c r="A3196" i="9"/>
  <c r="E3195" i="9"/>
  <c r="D3195" i="9"/>
  <c r="C3195" i="9"/>
  <c r="B3195" i="9"/>
  <c r="A3195" i="9"/>
  <c r="E3194" i="9"/>
  <c r="D3194" i="9"/>
  <c r="C3194" i="9"/>
  <c r="B3194" i="9"/>
  <c r="A3194" i="9"/>
  <c r="E3193" i="9"/>
  <c r="D3193" i="9"/>
  <c r="C3193" i="9"/>
  <c r="B3193" i="9"/>
  <c r="A3193" i="9"/>
  <c r="E3192" i="9"/>
  <c r="D3192" i="9"/>
  <c r="C3192" i="9"/>
  <c r="B3192" i="9"/>
  <c r="A3192" i="9"/>
  <c r="E3191" i="9"/>
  <c r="D3191" i="9"/>
  <c r="C3191" i="9"/>
  <c r="B3191" i="9"/>
  <c r="A3191" i="9"/>
  <c r="E3190" i="9"/>
  <c r="D3190" i="9"/>
  <c r="C3190" i="9"/>
  <c r="B3190" i="9"/>
  <c r="A3190" i="9"/>
  <c r="E3189" i="9"/>
  <c r="D3189" i="9"/>
  <c r="C3189" i="9"/>
  <c r="B3189" i="9"/>
  <c r="A3189" i="9"/>
  <c r="E3188" i="9"/>
  <c r="D3188" i="9"/>
  <c r="C3188" i="9"/>
  <c r="B3188" i="9"/>
  <c r="A3188" i="9"/>
  <c r="E3187" i="9"/>
  <c r="D3187" i="9"/>
  <c r="C3187" i="9"/>
  <c r="B3187" i="9"/>
  <c r="A3187" i="9"/>
  <c r="E3186" i="9"/>
  <c r="D3186" i="9"/>
  <c r="C3186" i="9"/>
  <c r="B3186" i="9"/>
  <c r="A3186" i="9"/>
  <c r="E3185" i="9"/>
  <c r="D3185" i="9"/>
  <c r="C3185" i="9"/>
  <c r="B3185" i="9"/>
  <c r="A3185" i="9"/>
  <c r="E3184" i="9"/>
  <c r="D3184" i="9"/>
  <c r="C3184" i="9"/>
  <c r="B3184" i="9"/>
  <c r="A3184" i="9"/>
  <c r="E3183" i="9"/>
  <c r="D3183" i="9"/>
  <c r="C3183" i="9"/>
  <c r="B3183" i="9"/>
  <c r="A3183" i="9"/>
  <c r="E3182" i="9"/>
  <c r="D3182" i="9"/>
  <c r="C3182" i="9"/>
  <c r="B3182" i="9"/>
  <c r="A3182" i="9"/>
  <c r="E3181" i="9"/>
  <c r="D3181" i="9"/>
  <c r="C3181" i="9"/>
  <c r="B3181" i="9"/>
  <c r="A3181" i="9"/>
  <c r="E3180" i="9"/>
  <c r="D3180" i="9"/>
  <c r="C3180" i="9"/>
  <c r="B3180" i="9"/>
  <c r="A3180" i="9"/>
  <c r="E3179" i="9"/>
  <c r="D3179" i="9"/>
  <c r="C3179" i="9"/>
  <c r="B3179" i="9"/>
  <c r="A3179" i="9"/>
  <c r="E3178" i="9"/>
  <c r="D3178" i="9"/>
  <c r="C3178" i="9"/>
  <c r="B3178" i="9"/>
  <c r="A3178" i="9"/>
  <c r="E3177" i="9"/>
  <c r="D3177" i="9"/>
  <c r="C3177" i="9"/>
  <c r="B3177" i="9"/>
  <c r="A3177" i="9"/>
  <c r="E3176" i="9"/>
  <c r="D3176" i="9"/>
  <c r="C3176" i="9"/>
  <c r="B3176" i="9"/>
  <c r="A3176" i="9"/>
  <c r="E3175" i="9"/>
  <c r="D3175" i="9"/>
  <c r="C3175" i="9"/>
  <c r="B3175" i="9"/>
  <c r="A3175" i="9"/>
  <c r="E3174" i="9"/>
  <c r="D3174" i="9"/>
  <c r="C3174" i="9"/>
  <c r="B3174" i="9"/>
  <c r="A3174" i="9"/>
  <c r="E3173" i="9"/>
  <c r="D3173" i="9"/>
  <c r="C3173" i="9"/>
  <c r="B3173" i="9"/>
  <c r="A3173" i="9"/>
  <c r="E3172" i="9"/>
  <c r="D3172" i="9"/>
  <c r="C3172" i="9"/>
  <c r="B3172" i="9"/>
  <c r="A3172" i="9"/>
  <c r="E3171" i="9"/>
  <c r="D3171" i="9"/>
  <c r="C3171" i="9"/>
  <c r="B3171" i="9"/>
  <c r="A3171" i="9"/>
  <c r="E3170" i="9"/>
  <c r="D3170" i="9"/>
  <c r="C3170" i="9"/>
  <c r="B3170" i="9"/>
  <c r="A3170" i="9"/>
  <c r="E3169" i="9"/>
  <c r="D3169" i="9"/>
  <c r="C3169" i="9"/>
  <c r="B3169" i="9"/>
  <c r="A3169" i="9"/>
  <c r="E3168" i="9"/>
  <c r="D3168" i="9"/>
  <c r="C3168" i="9"/>
  <c r="B3168" i="9"/>
  <c r="A3168" i="9"/>
  <c r="E3167" i="9"/>
  <c r="D3167" i="9"/>
  <c r="C3167" i="9"/>
  <c r="B3167" i="9"/>
  <c r="A3167" i="9"/>
  <c r="E3166" i="9"/>
  <c r="D3166" i="9"/>
  <c r="C3166" i="9"/>
  <c r="B3166" i="9"/>
  <c r="A3166" i="9"/>
  <c r="E3165" i="9"/>
  <c r="D3165" i="9"/>
  <c r="C3165" i="9"/>
  <c r="B3165" i="9"/>
  <c r="A3165" i="9"/>
  <c r="E3164" i="9"/>
  <c r="D3164" i="9"/>
  <c r="C3164" i="9"/>
  <c r="B3164" i="9"/>
  <c r="A3164" i="9"/>
  <c r="E3163" i="9"/>
  <c r="D3163" i="9"/>
  <c r="C3163" i="9"/>
  <c r="B3163" i="9"/>
  <c r="A3163" i="9"/>
  <c r="E3162" i="9"/>
  <c r="D3162" i="9"/>
  <c r="C3162" i="9"/>
  <c r="B3162" i="9"/>
  <c r="A3162" i="9"/>
  <c r="E3161" i="9"/>
  <c r="D3161" i="9"/>
  <c r="C3161" i="9"/>
  <c r="B3161" i="9"/>
  <c r="A3161" i="9"/>
  <c r="E3160" i="9"/>
  <c r="D3160" i="9"/>
  <c r="C3160" i="9"/>
  <c r="B3160" i="9"/>
  <c r="A3160" i="9"/>
  <c r="E3159" i="9"/>
  <c r="D3159" i="9"/>
  <c r="C3159" i="9"/>
  <c r="B3159" i="9"/>
  <c r="A3159" i="9"/>
  <c r="E3158" i="9"/>
  <c r="D3158" i="9"/>
  <c r="C3158" i="9"/>
  <c r="B3158" i="9"/>
  <c r="A3158" i="9"/>
  <c r="E3157" i="9"/>
  <c r="D3157" i="9"/>
  <c r="C3157" i="9"/>
  <c r="B3157" i="9"/>
  <c r="A3157" i="9"/>
  <c r="E3156" i="9"/>
  <c r="D3156" i="9"/>
  <c r="C3156" i="9"/>
  <c r="B3156" i="9"/>
  <c r="A3156" i="9"/>
  <c r="E3155" i="9"/>
  <c r="D3155" i="9"/>
  <c r="C3155" i="9"/>
  <c r="B3155" i="9"/>
  <c r="A3155" i="9"/>
  <c r="E3154" i="9"/>
  <c r="D3154" i="9"/>
  <c r="C3154" i="9"/>
  <c r="B3154" i="9"/>
  <c r="A3154" i="9"/>
  <c r="E3153" i="9"/>
  <c r="D3153" i="9"/>
  <c r="C3153" i="9"/>
  <c r="B3153" i="9"/>
  <c r="A3153" i="9"/>
  <c r="E3152" i="9"/>
  <c r="D3152" i="9"/>
  <c r="C3152" i="9"/>
  <c r="B3152" i="9"/>
  <c r="A3152" i="9"/>
  <c r="E3151" i="9"/>
  <c r="D3151" i="9"/>
  <c r="C3151" i="9"/>
  <c r="B3151" i="9"/>
  <c r="A3151" i="9"/>
  <c r="E3150" i="9"/>
  <c r="D3150" i="9"/>
  <c r="C3150" i="9"/>
  <c r="B3150" i="9"/>
  <c r="A3150" i="9"/>
  <c r="E3149" i="9"/>
  <c r="D3149" i="9"/>
  <c r="C3149" i="9"/>
  <c r="B3149" i="9"/>
  <c r="A3149" i="9"/>
  <c r="E3148" i="9"/>
  <c r="D3148" i="9"/>
  <c r="C3148" i="9"/>
  <c r="B3148" i="9"/>
  <c r="A3148" i="9"/>
  <c r="E3147" i="9"/>
  <c r="D3147" i="9"/>
  <c r="C3147" i="9"/>
  <c r="B3147" i="9"/>
  <c r="A3147" i="9"/>
  <c r="E3146" i="9"/>
  <c r="D3146" i="9"/>
  <c r="C3146" i="9"/>
  <c r="B3146" i="9"/>
  <c r="A3146" i="9"/>
  <c r="E3145" i="9"/>
  <c r="D3145" i="9"/>
  <c r="C3145" i="9"/>
  <c r="B3145" i="9"/>
  <c r="A3145" i="9"/>
  <c r="E3144" i="9"/>
  <c r="D3144" i="9"/>
  <c r="C3144" i="9"/>
  <c r="B3144" i="9"/>
  <c r="A3144" i="9"/>
  <c r="E3143" i="9"/>
  <c r="D3143" i="9"/>
  <c r="C3143" i="9"/>
  <c r="B3143" i="9"/>
  <c r="A3143" i="9"/>
  <c r="E3142" i="9"/>
  <c r="D3142" i="9"/>
  <c r="C3142" i="9"/>
  <c r="B3142" i="9"/>
  <c r="A3142" i="9"/>
  <c r="E3141" i="9"/>
  <c r="D3141" i="9"/>
  <c r="C3141" i="9"/>
  <c r="B3141" i="9"/>
  <c r="A3141" i="9"/>
  <c r="E3140" i="9"/>
  <c r="D3140" i="9"/>
  <c r="C3140" i="9"/>
  <c r="B3140" i="9"/>
  <c r="A3140" i="9"/>
  <c r="E3139" i="9"/>
  <c r="D3139" i="9"/>
  <c r="C3139" i="9"/>
  <c r="B3139" i="9"/>
  <c r="A3139" i="9"/>
  <c r="E3138" i="9"/>
  <c r="D3138" i="9"/>
  <c r="C3138" i="9"/>
  <c r="B3138" i="9"/>
  <c r="A3138" i="9"/>
  <c r="E3137" i="9"/>
  <c r="D3137" i="9"/>
  <c r="C3137" i="9"/>
  <c r="B3137" i="9"/>
  <c r="A3137" i="9"/>
  <c r="E3136" i="9"/>
  <c r="D3136" i="9"/>
  <c r="C3136" i="9"/>
  <c r="B3136" i="9"/>
  <c r="A3136" i="9"/>
  <c r="E3135" i="9"/>
  <c r="D3135" i="9"/>
  <c r="C3135" i="9"/>
  <c r="B3135" i="9"/>
  <c r="A3135" i="9"/>
  <c r="E3134" i="9"/>
  <c r="D3134" i="9"/>
  <c r="C3134" i="9"/>
  <c r="B3134" i="9"/>
  <c r="A3134" i="9"/>
  <c r="E3133" i="9"/>
  <c r="D3133" i="9"/>
  <c r="C3133" i="9"/>
  <c r="B3133" i="9"/>
  <c r="A3133" i="9"/>
  <c r="E3132" i="9"/>
  <c r="D3132" i="9"/>
  <c r="C3132" i="9"/>
  <c r="B3132" i="9"/>
  <c r="A3132" i="9"/>
  <c r="E3131" i="9"/>
  <c r="D3131" i="9"/>
  <c r="C3131" i="9"/>
  <c r="B3131" i="9"/>
  <c r="A3131" i="9"/>
  <c r="E3130" i="9"/>
  <c r="D3130" i="9"/>
  <c r="C3130" i="9"/>
  <c r="B3130" i="9"/>
  <c r="A3130" i="9"/>
  <c r="E3129" i="9"/>
  <c r="D3129" i="9"/>
  <c r="C3129" i="9"/>
  <c r="B3129" i="9"/>
  <c r="A3129" i="9"/>
  <c r="E3128" i="9"/>
  <c r="D3128" i="9"/>
  <c r="C3128" i="9"/>
  <c r="B3128" i="9"/>
  <c r="A3128" i="9"/>
  <c r="E3127" i="9"/>
  <c r="D3127" i="9"/>
  <c r="C3127" i="9"/>
  <c r="B3127" i="9"/>
  <c r="A3127" i="9"/>
  <c r="E3126" i="9"/>
  <c r="D3126" i="9"/>
  <c r="C3126" i="9"/>
  <c r="B3126" i="9"/>
  <c r="A3126" i="9"/>
  <c r="E3125" i="9"/>
  <c r="D3125" i="9"/>
  <c r="C3125" i="9"/>
  <c r="B3125" i="9"/>
  <c r="A3125" i="9"/>
  <c r="E3124" i="9"/>
  <c r="D3124" i="9"/>
  <c r="C3124" i="9"/>
  <c r="B3124" i="9"/>
  <c r="A3124" i="9"/>
  <c r="E3123" i="9"/>
  <c r="D3123" i="9"/>
  <c r="C3123" i="9"/>
  <c r="B3123" i="9"/>
  <c r="A3123" i="9"/>
  <c r="E3122" i="9"/>
  <c r="D3122" i="9"/>
  <c r="C3122" i="9"/>
  <c r="B3122" i="9"/>
  <c r="A3122" i="9"/>
  <c r="E3121" i="9"/>
  <c r="D3121" i="9"/>
  <c r="C3121" i="9"/>
  <c r="B3121" i="9"/>
  <c r="A3121" i="9"/>
  <c r="E3120" i="9"/>
  <c r="D3120" i="9"/>
  <c r="C3120" i="9"/>
  <c r="B3120" i="9"/>
  <c r="A3120" i="9"/>
  <c r="E3119" i="9"/>
  <c r="D3119" i="9"/>
  <c r="C3119" i="9"/>
  <c r="B3119" i="9"/>
  <c r="A3119" i="9"/>
  <c r="E3118" i="9"/>
  <c r="D3118" i="9"/>
  <c r="C3118" i="9"/>
  <c r="B3118" i="9"/>
  <c r="A3118" i="9"/>
  <c r="E3117" i="9"/>
  <c r="D3117" i="9"/>
  <c r="C3117" i="9"/>
  <c r="B3117" i="9"/>
  <c r="A3117" i="9"/>
  <c r="E3116" i="9"/>
  <c r="D3116" i="9"/>
  <c r="C3116" i="9"/>
  <c r="B3116" i="9"/>
  <c r="A3116" i="9"/>
  <c r="E3115" i="9"/>
  <c r="D3115" i="9"/>
  <c r="C3115" i="9"/>
  <c r="B3115" i="9"/>
  <c r="A3115" i="9"/>
  <c r="E3114" i="9"/>
  <c r="D3114" i="9"/>
  <c r="C3114" i="9"/>
  <c r="B3114" i="9"/>
  <c r="A3114" i="9"/>
  <c r="E3113" i="9"/>
  <c r="D3113" i="9"/>
  <c r="C3113" i="9"/>
  <c r="B3113" i="9"/>
  <c r="A3113" i="9"/>
  <c r="E3112" i="9"/>
  <c r="D3112" i="9"/>
  <c r="C3112" i="9"/>
  <c r="B3112" i="9"/>
  <c r="A3112" i="9"/>
  <c r="E3111" i="9"/>
  <c r="D3111" i="9"/>
  <c r="C3111" i="9"/>
  <c r="B3111" i="9"/>
  <c r="A3111" i="9"/>
  <c r="E3110" i="9"/>
  <c r="D3110" i="9"/>
  <c r="C3110" i="9"/>
  <c r="B3110" i="9"/>
  <c r="A3110" i="9"/>
  <c r="E3109" i="9"/>
  <c r="D3109" i="9"/>
  <c r="C3109" i="9"/>
  <c r="B3109" i="9"/>
  <c r="A3109" i="9"/>
  <c r="E3108" i="9"/>
  <c r="D3108" i="9"/>
  <c r="C3108" i="9"/>
  <c r="B3108" i="9"/>
  <c r="A3108" i="9"/>
  <c r="E3107" i="9"/>
  <c r="D3107" i="9"/>
  <c r="C3107" i="9"/>
  <c r="B3107" i="9"/>
  <c r="A3107" i="9"/>
  <c r="E3106" i="9"/>
  <c r="D3106" i="9"/>
  <c r="C3106" i="9"/>
  <c r="B3106" i="9"/>
  <c r="A3106" i="9"/>
  <c r="E3105" i="9"/>
  <c r="D3105" i="9"/>
  <c r="C3105" i="9"/>
  <c r="B3105" i="9"/>
  <c r="A3105" i="9"/>
  <c r="E3104" i="9"/>
  <c r="D3104" i="9"/>
  <c r="C3104" i="9"/>
  <c r="B3104" i="9"/>
  <c r="A3104" i="9"/>
  <c r="E3103" i="9"/>
  <c r="D3103" i="9"/>
  <c r="C3103" i="9"/>
  <c r="B3103" i="9"/>
  <c r="A3103" i="9"/>
  <c r="E3102" i="9"/>
  <c r="D3102" i="9"/>
  <c r="C3102" i="9"/>
  <c r="B3102" i="9"/>
  <c r="A3102" i="9"/>
  <c r="E3101" i="9"/>
  <c r="D3101" i="9"/>
  <c r="C3101" i="9"/>
  <c r="B3101" i="9"/>
  <c r="A3101" i="9"/>
  <c r="E3100" i="9"/>
  <c r="D3100" i="9"/>
  <c r="C3100" i="9"/>
  <c r="B3100" i="9"/>
  <c r="A3100" i="9"/>
  <c r="E3099" i="9"/>
  <c r="D3099" i="9"/>
  <c r="C3099" i="9"/>
  <c r="B3099" i="9"/>
  <c r="A3099" i="9"/>
  <c r="E3098" i="9"/>
  <c r="D3098" i="9"/>
  <c r="C3098" i="9"/>
  <c r="B3098" i="9"/>
  <c r="A3098" i="9"/>
  <c r="E3097" i="9"/>
  <c r="D3097" i="9"/>
  <c r="C3097" i="9"/>
  <c r="B3097" i="9"/>
  <c r="A3097" i="9"/>
  <c r="E3096" i="9"/>
  <c r="D3096" i="9"/>
  <c r="C3096" i="9"/>
  <c r="B3096" i="9"/>
  <c r="A3096" i="9"/>
  <c r="E3095" i="9"/>
  <c r="D3095" i="9"/>
  <c r="C3095" i="9"/>
  <c r="B3095" i="9"/>
  <c r="A3095" i="9"/>
  <c r="E3094" i="9"/>
  <c r="D3094" i="9"/>
  <c r="C3094" i="9"/>
  <c r="B3094" i="9"/>
  <c r="A3094" i="9"/>
  <c r="E3093" i="9"/>
  <c r="D3093" i="9"/>
  <c r="C3093" i="9"/>
  <c r="B3093" i="9"/>
  <c r="A3093" i="9"/>
  <c r="E3092" i="9"/>
  <c r="D3092" i="9"/>
  <c r="C3092" i="9"/>
  <c r="B3092" i="9"/>
  <c r="A3092" i="9"/>
  <c r="E3091" i="9"/>
  <c r="D3091" i="9"/>
  <c r="C3091" i="9"/>
  <c r="B3091" i="9"/>
  <c r="A3091" i="9"/>
  <c r="E3090" i="9"/>
  <c r="D3090" i="9"/>
  <c r="C3090" i="9"/>
  <c r="B3090" i="9"/>
  <c r="A3090" i="9"/>
  <c r="E3089" i="9"/>
  <c r="D3089" i="9"/>
  <c r="C3089" i="9"/>
  <c r="B3089" i="9"/>
  <c r="A3089" i="9"/>
  <c r="E3088" i="9"/>
  <c r="D3088" i="9"/>
  <c r="C3088" i="9"/>
  <c r="B3088" i="9"/>
  <c r="A3088" i="9"/>
  <c r="E3087" i="9"/>
  <c r="D3087" i="9"/>
  <c r="C3087" i="9"/>
  <c r="B3087" i="9"/>
  <c r="A3087" i="9"/>
  <c r="E3086" i="9"/>
  <c r="D3086" i="9"/>
  <c r="C3086" i="9"/>
  <c r="B3086" i="9"/>
  <c r="A3086" i="9"/>
  <c r="E3085" i="9"/>
  <c r="D3085" i="9"/>
  <c r="C3085" i="9"/>
  <c r="B3085" i="9"/>
  <c r="A3085" i="9"/>
  <c r="E3084" i="9"/>
  <c r="D3084" i="9"/>
  <c r="C3084" i="9"/>
  <c r="B3084" i="9"/>
  <c r="A3084" i="9"/>
  <c r="E3083" i="9"/>
  <c r="D3083" i="9"/>
  <c r="C3083" i="9"/>
  <c r="B3083" i="9"/>
  <c r="A3083" i="9"/>
  <c r="E3082" i="9"/>
  <c r="D3082" i="9"/>
  <c r="C3082" i="9"/>
  <c r="B3082" i="9"/>
  <c r="A3082" i="9"/>
  <c r="E3081" i="9"/>
  <c r="D3081" i="9"/>
  <c r="C3081" i="9"/>
  <c r="B3081" i="9"/>
  <c r="A3081" i="9"/>
  <c r="E3080" i="9"/>
  <c r="D3080" i="9"/>
  <c r="C3080" i="9"/>
  <c r="B3080" i="9"/>
  <c r="A3080" i="9"/>
  <c r="E3079" i="9"/>
  <c r="D3079" i="9"/>
  <c r="C3079" i="9"/>
  <c r="B3079" i="9"/>
  <c r="A3079" i="9"/>
  <c r="E3078" i="9"/>
  <c r="D3078" i="9"/>
  <c r="C3078" i="9"/>
  <c r="B3078" i="9"/>
  <c r="A3078" i="9"/>
  <c r="E3077" i="9"/>
  <c r="D3077" i="9"/>
  <c r="C3077" i="9"/>
  <c r="B3077" i="9"/>
  <c r="A3077" i="9"/>
  <c r="E3076" i="9"/>
  <c r="D3076" i="9"/>
  <c r="C3076" i="9"/>
  <c r="B3076" i="9"/>
  <c r="A3076" i="9"/>
  <c r="E3075" i="9"/>
  <c r="D3075" i="9"/>
  <c r="C3075" i="9"/>
  <c r="B3075" i="9"/>
  <c r="A3075" i="9"/>
  <c r="E3074" i="9"/>
  <c r="D3074" i="9"/>
  <c r="C3074" i="9"/>
  <c r="B3074" i="9"/>
  <c r="A3074" i="9"/>
  <c r="E3073" i="9"/>
  <c r="D3073" i="9"/>
  <c r="C3073" i="9"/>
  <c r="B3073" i="9"/>
  <c r="A3073" i="9"/>
  <c r="E3072" i="9"/>
  <c r="D3072" i="9"/>
  <c r="C3072" i="9"/>
  <c r="B3072" i="9"/>
  <c r="A3072" i="9"/>
  <c r="E3071" i="9"/>
  <c r="D3071" i="9"/>
  <c r="C3071" i="9"/>
  <c r="B3071" i="9"/>
  <c r="A3071" i="9"/>
  <c r="E3070" i="9"/>
  <c r="D3070" i="9"/>
  <c r="C3070" i="9"/>
  <c r="B3070" i="9"/>
  <c r="A3070" i="9"/>
  <c r="E3069" i="9"/>
  <c r="D3069" i="9"/>
  <c r="C3069" i="9"/>
  <c r="B3069" i="9"/>
  <c r="A3069" i="9"/>
  <c r="E3068" i="9"/>
  <c r="D3068" i="9"/>
  <c r="C3068" i="9"/>
  <c r="B3068" i="9"/>
  <c r="A3068" i="9"/>
  <c r="E3067" i="9"/>
  <c r="D3067" i="9"/>
  <c r="C3067" i="9"/>
  <c r="B3067" i="9"/>
  <c r="A3067" i="9"/>
  <c r="E3066" i="9"/>
  <c r="D3066" i="9"/>
  <c r="C3066" i="9"/>
  <c r="B3066" i="9"/>
  <c r="A3066" i="9"/>
  <c r="E3065" i="9"/>
  <c r="D3065" i="9"/>
  <c r="C3065" i="9"/>
  <c r="B3065" i="9"/>
  <c r="A3065" i="9"/>
  <c r="E3064" i="9"/>
  <c r="D3064" i="9"/>
  <c r="C3064" i="9"/>
  <c r="B3064" i="9"/>
  <c r="A3064" i="9"/>
  <c r="E3063" i="9"/>
  <c r="D3063" i="9"/>
  <c r="C3063" i="9"/>
  <c r="B3063" i="9"/>
  <c r="A3063" i="9"/>
  <c r="E3062" i="9"/>
  <c r="D3062" i="9"/>
  <c r="C3062" i="9"/>
  <c r="B3062" i="9"/>
  <c r="A3062" i="9"/>
  <c r="E3061" i="9"/>
  <c r="D3061" i="9"/>
  <c r="C3061" i="9"/>
  <c r="B3061" i="9"/>
  <c r="A3061" i="9"/>
  <c r="E3060" i="9"/>
  <c r="D3060" i="9"/>
  <c r="C3060" i="9"/>
  <c r="B3060" i="9"/>
  <c r="A3060" i="9"/>
  <c r="E3059" i="9"/>
  <c r="D3059" i="9"/>
  <c r="C3059" i="9"/>
  <c r="B3059" i="9"/>
  <c r="A3059" i="9"/>
  <c r="E3058" i="9"/>
  <c r="D3058" i="9"/>
  <c r="C3058" i="9"/>
  <c r="B3058" i="9"/>
  <c r="A3058" i="9"/>
  <c r="E3057" i="9"/>
  <c r="D3057" i="9"/>
  <c r="C3057" i="9"/>
  <c r="B3057" i="9"/>
  <c r="A3057" i="9"/>
  <c r="E3056" i="9"/>
  <c r="D3056" i="9"/>
  <c r="C3056" i="9"/>
  <c r="B3056" i="9"/>
  <c r="A3056" i="9"/>
  <c r="E3055" i="9"/>
  <c r="D3055" i="9"/>
  <c r="C3055" i="9"/>
  <c r="B3055" i="9"/>
  <c r="A3055" i="9"/>
  <c r="E3054" i="9"/>
  <c r="D3054" i="9"/>
  <c r="C3054" i="9"/>
  <c r="B3054" i="9"/>
  <c r="A3054" i="9"/>
  <c r="E3053" i="9"/>
  <c r="D3053" i="9"/>
  <c r="C3053" i="9"/>
  <c r="B3053" i="9"/>
  <c r="A3053" i="9"/>
  <c r="E3052" i="9"/>
  <c r="D3052" i="9"/>
  <c r="C3052" i="9"/>
  <c r="B3052" i="9"/>
  <c r="A3052" i="9"/>
  <c r="E3051" i="9"/>
  <c r="D3051" i="9"/>
  <c r="C3051" i="9"/>
  <c r="B3051" i="9"/>
  <c r="A3051" i="9"/>
  <c r="E3050" i="9"/>
  <c r="D3050" i="9"/>
  <c r="C3050" i="9"/>
  <c r="B3050" i="9"/>
  <c r="A3050" i="9"/>
  <c r="E3049" i="9"/>
  <c r="D3049" i="9"/>
  <c r="C3049" i="9"/>
  <c r="B3049" i="9"/>
  <c r="A3049" i="9"/>
  <c r="E3048" i="9"/>
  <c r="D3048" i="9"/>
  <c r="C3048" i="9"/>
  <c r="B3048" i="9"/>
  <c r="A3048" i="9"/>
  <c r="E3047" i="9"/>
  <c r="D3047" i="9"/>
  <c r="C3047" i="9"/>
  <c r="B3047" i="9"/>
  <c r="A3047" i="9"/>
  <c r="E3046" i="9"/>
  <c r="D3046" i="9"/>
  <c r="C3046" i="9"/>
  <c r="B3046" i="9"/>
  <c r="A3046" i="9"/>
  <c r="E3045" i="9"/>
  <c r="D3045" i="9"/>
  <c r="C3045" i="9"/>
  <c r="B3045" i="9"/>
  <c r="A3045" i="9"/>
  <c r="E3044" i="9"/>
  <c r="D3044" i="9"/>
  <c r="C3044" i="9"/>
  <c r="B3044" i="9"/>
  <c r="A3044" i="9"/>
  <c r="E3043" i="9"/>
  <c r="D3043" i="9"/>
  <c r="C3043" i="9"/>
  <c r="B3043" i="9"/>
  <c r="A3043" i="9"/>
  <c r="E3042" i="9"/>
  <c r="D3042" i="9"/>
  <c r="C3042" i="9"/>
  <c r="B3042" i="9"/>
  <c r="A3042" i="9"/>
  <c r="E3041" i="9"/>
  <c r="D3041" i="9"/>
  <c r="C3041" i="9"/>
  <c r="B3041" i="9"/>
  <c r="A3041" i="9"/>
  <c r="E3040" i="9"/>
  <c r="D3040" i="9"/>
  <c r="C3040" i="9"/>
  <c r="B3040" i="9"/>
  <c r="A3040" i="9"/>
  <c r="E3039" i="9"/>
  <c r="D3039" i="9"/>
  <c r="C3039" i="9"/>
  <c r="B3039" i="9"/>
  <c r="A3039" i="9"/>
  <c r="E3038" i="9"/>
  <c r="D3038" i="9"/>
  <c r="C3038" i="9"/>
  <c r="B3038" i="9"/>
  <c r="A3038" i="9"/>
  <c r="E3037" i="9"/>
  <c r="D3037" i="9"/>
  <c r="C3037" i="9"/>
  <c r="B3037" i="9"/>
  <c r="A3037" i="9"/>
  <c r="Q3036" i="9"/>
  <c r="N3036" i="9"/>
  <c r="I3036" i="9"/>
  <c r="H3036" i="9"/>
  <c r="G3036" i="9"/>
  <c r="F3036" i="9"/>
  <c r="E3036" i="9"/>
  <c r="D3036" i="9"/>
  <c r="C3036" i="9"/>
  <c r="B3036" i="9"/>
  <c r="A3036" i="9"/>
  <c r="E3035" i="9"/>
  <c r="D3035" i="9"/>
  <c r="C3035" i="9"/>
  <c r="B3035" i="9"/>
  <c r="A3035" i="9"/>
  <c r="E3034" i="9"/>
  <c r="D3034" i="9"/>
  <c r="C3034" i="9"/>
  <c r="B3034" i="9"/>
  <c r="A3034" i="9"/>
  <c r="E3033" i="9"/>
  <c r="D3033" i="9"/>
  <c r="C3033" i="9"/>
  <c r="B3033" i="9"/>
  <c r="A3033" i="9"/>
  <c r="E3032" i="9"/>
  <c r="D3032" i="9"/>
  <c r="C3032" i="9"/>
  <c r="B3032" i="9"/>
  <c r="A3032" i="9"/>
  <c r="E3031" i="9"/>
  <c r="D3031" i="9"/>
  <c r="C3031" i="9"/>
  <c r="B3031" i="9"/>
  <c r="A3031" i="9"/>
  <c r="E3030" i="9"/>
  <c r="D3030" i="9"/>
  <c r="C3030" i="9"/>
  <c r="B3030" i="9"/>
  <c r="A3030" i="9"/>
  <c r="E3029" i="9"/>
  <c r="D3029" i="9"/>
  <c r="C3029" i="9"/>
  <c r="B3029" i="9"/>
  <c r="A3029" i="9"/>
  <c r="E3028" i="9"/>
  <c r="D3028" i="9"/>
  <c r="C3028" i="9"/>
  <c r="B3028" i="9"/>
  <c r="A3028" i="9"/>
  <c r="E3027" i="9"/>
  <c r="D3027" i="9"/>
  <c r="C3027" i="9"/>
  <c r="B3027" i="9"/>
  <c r="A3027" i="9"/>
  <c r="E3026" i="9"/>
  <c r="D3026" i="9"/>
  <c r="C3026" i="9"/>
  <c r="B3026" i="9"/>
  <c r="A3026" i="9"/>
  <c r="E3025" i="9"/>
  <c r="D3025" i="9"/>
  <c r="C3025" i="9"/>
  <c r="B3025" i="9"/>
  <c r="A3025" i="9"/>
  <c r="E3024" i="9"/>
  <c r="D3024" i="9"/>
  <c r="C3024" i="9"/>
  <c r="B3024" i="9"/>
  <c r="A3024" i="9"/>
  <c r="E3023" i="9"/>
  <c r="D3023" i="9"/>
  <c r="C3023" i="9"/>
  <c r="B3023" i="9"/>
  <c r="A3023" i="9"/>
  <c r="E3022" i="9"/>
  <c r="D3022" i="9"/>
  <c r="C3022" i="9"/>
  <c r="B3022" i="9"/>
  <c r="A3022" i="9"/>
  <c r="E3021" i="9"/>
  <c r="D3021" i="9"/>
  <c r="C3021" i="9"/>
  <c r="B3021" i="9"/>
  <c r="A3021" i="9"/>
  <c r="E3020" i="9"/>
  <c r="D3020" i="9"/>
  <c r="C3020" i="9"/>
  <c r="B3020" i="9"/>
  <c r="A3020" i="9"/>
  <c r="E3019" i="9"/>
  <c r="D3019" i="9"/>
  <c r="C3019" i="9"/>
  <c r="B3019" i="9"/>
  <c r="A3019" i="9"/>
  <c r="E3018" i="9"/>
  <c r="D3018" i="9"/>
  <c r="C3018" i="9"/>
  <c r="B3018" i="9"/>
  <c r="A3018" i="9"/>
  <c r="E3017" i="9"/>
  <c r="D3017" i="9"/>
  <c r="C3017" i="9"/>
  <c r="B3017" i="9"/>
  <c r="A3017" i="9"/>
  <c r="E3016" i="9"/>
  <c r="D3016" i="9"/>
  <c r="C3016" i="9"/>
  <c r="B3016" i="9"/>
  <c r="A3016" i="9"/>
  <c r="E3015" i="9"/>
  <c r="D3015" i="9"/>
  <c r="C3015" i="9"/>
  <c r="B3015" i="9"/>
  <c r="A3015" i="9"/>
  <c r="E3014" i="9"/>
  <c r="D3014" i="9"/>
  <c r="C3014" i="9"/>
  <c r="B3014" i="9"/>
  <c r="A3014" i="9"/>
  <c r="E3013" i="9"/>
  <c r="D3013" i="9"/>
  <c r="C3013" i="9"/>
  <c r="B3013" i="9"/>
  <c r="A3013" i="9"/>
  <c r="E3012" i="9"/>
  <c r="D3012" i="9"/>
  <c r="C3012" i="9"/>
  <c r="B3012" i="9"/>
  <c r="A3012" i="9"/>
  <c r="E3011" i="9"/>
  <c r="D3011" i="9"/>
  <c r="C3011" i="9"/>
  <c r="B3011" i="9"/>
  <c r="A3011" i="9"/>
  <c r="E3010" i="9"/>
  <c r="D3010" i="9"/>
  <c r="C3010" i="9"/>
  <c r="B3010" i="9"/>
  <c r="A3010" i="9"/>
  <c r="E3009" i="9"/>
  <c r="D3009" i="9"/>
  <c r="C3009" i="9"/>
  <c r="B3009" i="9"/>
  <c r="A3009" i="9"/>
  <c r="E3008" i="9"/>
  <c r="D3008" i="9"/>
  <c r="C3008" i="9"/>
  <c r="B3008" i="9"/>
  <c r="A3008" i="9"/>
  <c r="E3007" i="9"/>
  <c r="D3007" i="9"/>
  <c r="C3007" i="9"/>
  <c r="B3007" i="9"/>
  <c r="A3007" i="9"/>
  <c r="E3006" i="9"/>
  <c r="D3006" i="9"/>
  <c r="C3006" i="9"/>
  <c r="B3006" i="9"/>
  <c r="A3006" i="9"/>
  <c r="E3005" i="9"/>
  <c r="D3005" i="9"/>
  <c r="C3005" i="9"/>
  <c r="B3005" i="9"/>
  <c r="A3005" i="9"/>
  <c r="E3004" i="9"/>
  <c r="D3004" i="9"/>
  <c r="C3004" i="9"/>
  <c r="B3004" i="9"/>
  <c r="A3004" i="9"/>
  <c r="E3003" i="9"/>
  <c r="D3003" i="9"/>
  <c r="C3003" i="9"/>
  <c r="B3003" i="9"/>
  <c r="A3003" i="9"/>
  <c r="E3002" i="9"/>
  <c r="D3002" i="9"/>
  <c r="C3002" i="9"/>
  <c r="B3002" i="9"/>
  <c r="A3002" i="9"/>
  <c r="E3001" i="9"/>
  <c r="D3001" i="9"/>
  <c r="C3001" i="9"/>
  <c r="B3001" i="9"/>
  <c r="A3001" i="9"/>
  <c r="E3000" i="9"/>
  <c r="D3000" i="9"/>
  <c r="C3000" i="9"/>
  <c r="B3000" i="9"/>
  <c r="A3000" i="9"/>
  <c r="E2999" i="9"/>
  <c r="D2999" i="9"/>
  <c r="C2999" i="9"/>
  <c r="B2999" i="9"/>
  <c r="A2999" i="9"/>
  <c r="E2998" i="9"/>
  <c r="D2998" i="9"/>
  <c r="C2998" i="9"/>
  <c r="B2998" i="9"/>
  <c r="A2998" i="9"/>
  <c r="E2997" i="9"/>
  <c r="D2997" i="9"/>
  <c r="C2997" i="9"/>
  <c r="B2997" i="9"/>
  <c r="A2997" i="9"/>
  <c r="E2996" i="9"/>
  <c r="D2996" i="9"/>
  <c r="C2996" i="9"/>
  <c r="B2996" i="9"/>
  <c r="A2996" i="9"/>
  <c r="E2995" i="9"/>
  <c r="D2995" i="9"/>
  <c r="C2995" i="9"/>
  <c r="B2995" i="9"/>
  <c r="A2995" i="9"/>
  <c r="E2994" i="9"/>
  <c r="D2994" i="9"/>
  <c r="C2994" i="9"/>
  <c r="B2994" i="9"/>
  <c r="A2994" i="9"/>
  <c r="E2993" i="9"/>
  <c r="D2993" i="9"/>
  <c r="C2993" i="9"/>
  <c r="B2993" i="9"/>
  <c r="A2993" i="9"/>
  <c r="E2992" i="9"/>
  <c r="D2992" i="9"/>
  <c r="C2992" i="9"/>
  <c r="B2992" i="9"/>
  <c r="A2992" i="9"/>
  <c r="E2991" i="9"/>
  <c r="D2991" i="9"/>
  <c r="C2991" i="9"/>
  <c r="B2991" i="9"/>
  <c r="A2991" i="9"/>
  <c r="E2990" i="9"/>
  <c r="D2990" i="9"/>
  <c r="C2990" i="9"/>
  <c r="B2990" i="9"/>
  <c r="A2990" i="9"/>
  <c r="E2989" i="9"/>
  <c r="D2989" i="9"/>
  <c r="C2989" i="9"/>
  <c r="B2989" i="9"/>
  <c r="A2989" i="9"/>
  <c r="E2988" i="9"/>
  <c r="D2988" i="9"/>
  <c r="C2988" i="9"/>
  <c r="B2988" i="9"/>
  <c r="A2988" i="9"/>
  <c r="E2987" i="9"/>
  <c r="D2987" i="9"/>
  <c r="C2987" i="9"/>
  <c r="B2987" i="9"/>
  <c r="A2987" i="9"/>
  <c r="E2986" i="9"/>
  <c r="D2986" i="9"/>
  <c r="C2986" i="9"/>
  <c r="B2986" i="9"/>
  <c r="A2986" i="9"/>
  <c r="E2985" i="9"/>
  <c r="D2985" i="9"/>
  <c r="C2985" i="9"/>
  <c r="B2985" i="9"/>
  <c r="A2985" i="9"/>
  <c r="E2984" i="9"/>
  <c r="D2984" i="9"/>
  <c r="C2984" i="9"/>
  <c r="B2984" i="9"/>
  <c r="A2984" i="9"/>
  <c r="E2983" i="9"/>
  <c r="D2983" i="9"/>
  <c r="C2983" i="9"/>
  <c r="B2983" i="9"/>
  <c r="A2983" i="9"/>
  <c r="E2982" i="9"/>
  <c r="D2982" i="9"/>
  <c r="C2982" i="9"/>
  <c r="B2982" i="9"/>
  <c r="A2982" i="9"/>
  <c r="E2981" i="9"/>
  <c r="D2981" i="9"/>
  <c r="C2981" i="9"/>
  <c r="B2981" i="9"/>
  <c r="A2981" i="9"/>
  <c r="E2980" i="9"/>
  <c r="D2980" i="9"/>
  <c r="C2980" i="9"/>
  <c r="B2980" i="9"/>
  <c r="A2980" i="9"/>
  <c r="E2979" i="9"/>
  <c r="D2979" i="9"/>
  <c r="C2979" i="9"/>
  <c r="B2979" i="9"/>
  <c r="A2979" i="9"/>
  <c r="E2978" i="9"/>
  <c r="D2978" i="9"/>
  <c r="C2978" i="9"/>
  <c r="B2978" i="9"/>
  <c r="A2978" i="9"/>
  <c r="E2977" i="9"/>
  <c r="D2977" i="9"/>
  <c r="C2977" i="9"/>
  <c r="B2977" i="9"/>
  <c r="A2977" i="9"/>
  <c r="E2976" i="9"/>
  <c r="D2976" i="9"/>
  <c r="C2976" i="9"/>
  <c r="B2976" i="9"/>
  <c r="A2976" i="9"/>
  <c r="E2975" i="9"/>
  <c r="D2975" i="9"/>
  <c r="C2975" i="9"/>
  <c r="B2975" i="9"/>
  <c r="A2975" i="9"/>
  <c r="E2974" i="9"/>
  <c r="D2974" i="9"/>
  <c r="C2974" i="9"/>
  <c r="B2974" i="9"/>
  <c r="A2974" i="9"/>
  <c r="E2973" i="9"/>
  <c r="D2973" i="9"/>
  <c r="C2973" i="9"/>
  <c r="B2973" i="9"/>
  <c r="A2973" i="9"/>
  <c r="E2972" i="9"/>
  <c r="D2972" i="9"/>
  <c r="C2972" i="9"/>
  <c r="B2972" i="9"/>
  <c r="A2972" i="9"/>
  <c r="E2971" i="9"/>
  <c r="D2971" i="9"/>
  <c r="C2971" i="9"/>
  <c r="B2971" i="9"/>
  <c r="A2971" i="9"/>
  <c r="E2970" i="9"/>
  <c r="D2970" i="9"/>
  <c r="C2970" i="9"/>
  <c r="B2970" i="9"/>
  <c r="A2970" i="9"/>
  <c r="E2969" i="9"/>
  <c r="D2969" i="9"/>
  <c r="C2969" i="9"/>
  <c r="B2969" i="9"/>
  <c r="A2969" i="9"/>
  <c r="E2968" i="9"/>
  <c r="D2968" i="9"/>
  <c r="C2968" i="9"/>
  <c r="B2968" i="9"/>
  <c r="A2968" i="9"/>
  <c r="E2967" i="9"/>
  <c r="D2967" i="9"/>
  <c r="C2967" i="9"/>
  <c r="B2967" i="9"/>
  <c r="A2967" i="9"/>
  <c r="E2966" i="9"/>
  <c r="D2966" i="9"/>
  <c r="C2966" i="9"/>
  <c r="B2966" i="9"/>
  <c r="A2966" i="9"/>
  <c r="E2965" i="9"/>
  <c r="D2965" i="9"/>
  <c r="C2965" i="9"/>
  <c r="B2965" i="9"/>
  <c r="A2965" i="9"/>
  <c r="E2964" i="9"/>
  <c r="D2964" i="9"/>
  <c r="C2964" i="9"/>
  <c r="B2964" i="9"/>
  <c r="A2964" i="9"/>
  <c r="E2963" i="9"/>
  <c r="D2963" i="9"/>
  <c r="C2963" i="9"/>
  <c r="B2963" i="9"/>
  <c r="A2963" i="9"/>
  <c r="E2962" i="9"/>
  <c r="D2962" i="9"/>
  <c r="C2962" i="9"/>
  <c r="B2962" i="9"/>
  <c r="A2962" i="9"/>
  <c r="E2961" i="9"/>
  <c r="D2961" i="9"/>
  <c r="C2961" i="9"/>
  <c r="B2961" i="9"/>
  <c r="A2961" i="9"/>
  <c r="E2960" i="9"/>
  <c r="D2960" i="9"/>
  <c r="C2960" i="9"/>
  <c r="B2960" i="9"/>
  <c r="A2960" i="9"/>
  <c r="E2959" i="9"/>
  <c r="D2959" i="9"/>
  <c r="C2959" i="9"/>
  <c r="B2959" i="9"/>
  <c r="A2959" i="9"/>
  <c r="E2958" i="9"/>
  <c r="D2958" i="9"/>
  <c r="C2958" i="9"/>
  <c r="B2958" i="9"/>
  <c r="A2958" i="9"/>
  <c r="E2957" i="9"/>
  <c r="D2957" i="9"/>
  <c r="C2957" i="9"/>
  <c r="B2957" i="9"/>
  <c r="A2957" i="9"/>
  <c r="E2956" i="9"/>
  <c r="D2956" i="9"/>
  <c r="C2956" i="9"/>
  <c r="B2956" i="9"/>
  <c r="A2956" i="9"/>
  <c r="E2955" i="9"/>
  <c r="D2955" i="9"/>
  <c r="C2955" i="9"/>
  <c r="B2955" i="9"/>
  <c r="A2955" i="9"/>
  <c r="E2954" i="9"/>
  <c r="D2954" i="9"/>
  <c r="C2954" i="9"/>
  <c r="B2954" i="9"/>
  <c r="A2954" i="9"/>
  <c r="E2953" i="9"/>
  <c r="D2953" i="9"/>
  <c r="C2953" i="9"/>
  <c r="B2953" i="9"/>
  <c r="A2953" i="9"/>
  <c r="E2952" i="9"/>
  <c r="D2952" i="9"/>
  <c r="C2952" i="9"/>
  <c r="B2952" i="9"/>
  <c r="A2952" i="9"/>
  <c r="E2951" i="9"/>
  <c r="D2951" i="9"/>
  <c r="C2951" i="9"/>
  <c r="B2951" i="9"/>
  <c r="A2951" i="9"/>
  <c r="E2950" i="9"/>
  <c r="D2950" i="9"/>
  <c r="C2950" i="9"/>
  <c r="B2950" i="9"/>
  <c r="A2950" i="9"/>
  <c r="E2949" i="9"/>
  <c r="D2949" i="9"/>
  <c r="C2949" i="9"/>
  <c r="B2949" i="9"/>
  <c r="A2949" i="9"/>
  <c r="E2948" i="9"/>
  <c r="D2948" i="9"/>
  <c r="C2948" i="9"/>
  <c r="B2948" i="9"/>
  <c r="A2948" i="9"/>
  <c r="E2947" i="9"/>
  <c r="D2947" i="9"/>
  <c r="C2947" i="9"/>
  <c r="B2947" i="9"/>
  <c r="A2947" i="9"/>
  <c r="E2946" i="9"/>
  <c r="D2946" i="9"/>
  <c r="C2946" i="9"/>
  <c r="B2946" i="9"/>
  <c r="A2946" i="9"/>
  <c r="E2945" i="9"/>
  <c r="D2945" i="9"/>
  <c r="C2945" i="9"/>
  <c r="B2945" i="9"/>
  <c r="A2945" i="9"/>
  <c r="E2944" i="9"/>
  <c r="D2944" i="9"/>
  <c r="C2944" i="9"/>
  <c r="B2944" i="9"/>
  <c r="A2944" i="9"/>
  <c r="E2943" i="9"/>
  <c r="D2943" i="9"/>
  <c r="C2943" i="9"/>
  <c r="B2943" i="9"/>
  <c r="A2943" i="9"/>
  <c r="E2942" i="9"/>
  <c r="D2942" i="9"/>
  <c r="C2942" i="9"/>
  <c r="B2942" i="9"/>
  <c r="A2942" i="9"/>
  <c r="E2941" i="9"/>
  <c r="D2941" i="9"/>
  <c r="C2941" i="9"/>
  <c r="B2941" i="9"/>
  <c r="A2941" i="9"/>
  <c r="E2940" i="9"/>
  <c r="D2940" i="9"/>
  <c r="C2940" i="9"/>
  <c r="B2940" i="9"/>
  <c r="A2940" i="9"/>
  <c r="E2939" i="9"/>
  <c r="D2939" i="9"/>
  <c r="C2939" i="9"/>
  <c r="B2939" i="9"/>
  <c r="A2939" i="9"/>
  <c r="E2938" i="9"/>
  <c r="D2938" i="9"/>
  <c r="C2938" i="9"/>
  <c r="B2938" i="9"/>
  <c r="A2938" i="9"/>
  <c r="E2937" i="9"/>
  <c r="D2937" i="9"/>
  <c r="C2937" i="9"/>
  <c r="B2937" i="9"/>
  <c r="A2937" i="9"/>
  <c r="E2936" i="9"/>
  <c r="D2936" i="9"/>
  <c r="C2936" i="9"/>
  <c r="B2936" i="9"/>
  <c r="A2936" i="9"/>
  <c r="E2935" i="9"/>
  <c r="D2935" i="9"/>
  <c r="C2935" i="9"/>
  <c r="B2935" i="9"/>
  <c r="A2935" i="9"/>
  <c r="E2934" i="9"/>
  <c r="D2934" i="9"/>
  <c r="C2934" i="9"/>
  <c r="B2934" i="9"/>
  <c r="A2934" i="9"/>
  <c r="E2933" i="9"/>
  <c r="D2933" i="9"/>
  <c r="C2933" i="9"/>
  <c r="B2933" i="9"/>
  <c r="A2933" i="9"/>
  <c r="E2932" i="9"/>
  <c r="D2932" i="9"/>
  <c r="C2932" i="9"/>
  <c r="B2932" i="9"/>
  <c r="A2932" i="9"/>
  <c r="E2931" i="9"/>
  <c r="D2931" i="9"/>
  <c r="C2931" i="9"/>
  <c r="B2931" i="9"/>
  <c r="A2931" i="9"/>
  <c r="E2930" i="9"/>
  <c r="D2930" i="9"/>
  <c r="C2930" i="9"/>
  <c r="B2930" i="9"/>
  <c r="A2930" i="9"/>
  <c r="E2929" i="9"/>
  <c r="D2929" i="9"/>
  <c r="C2929" i="9"/>
  <c r="B2929" i="9"/>
  <c r="A2929" i="9"/>
  <c r="E2928" i="9"/>
  <c r="D2928" i="9"/>
  <c r="C2928" i="9"/>
  <c r="B2928" i="9"/>
  <c r="A2928" i="9"/>
  <c r="E2927" i="9"/>
  <c r="D2927" i="9"/>
  <c r="C2927" i="9"/>
  <c r="B2927" i="9"/>
  <c r="A2927" i="9"/>
  <c r="E2926" i="9"/>
  <c r="D2926" i="9"/>
  <c r="C2926" i="9"/>
  <c r="B2926" i="9"/>
  <c r="A2926" i="9"/>
  <c r="E2925" i="9"/>
  <c r="D2925" i="9"/>
  <c r="C2925" i="9"/>
  <c r="B2925" i="9"/>
  <c r="A2925" i="9"/>
  <c r="E2924" i="9"/>
  <c r="D2924" i="9"/>
  <c r="C2924" i="9"/>
  <c r="B2924" i="9"/>
  <c r="A2924" i="9"/>
  <c r="E2923" i="9"/>
  <c r="D2923" i="9"/>
  <c r="C2923" i="9"/>
  <c r="B2923" i="9"/>
  <c r="A2923" i="9"/>
  <c r="E2922" i="9"/>
  <c r="D2922" i="9"/>
  <c r="C2922" i="9"/>
  <c r="B2922" i="9"/>
  <c r="A2922" i="9"/>
  <c r="E2921" i="9"/>
  <c r="D2921" i="9"/>
  <c r="C2921" i="9"/>
  <c r="B2921" i="9"/>
  <c r="A2921" i="9"/>
  <c r="E2920" i="9"/>
  <c r="D2920" i="9"/>
  <c r="C2920" i="9"/>
  <c r="B2920" i="9"/>
  <c r="A2920" i="9"/>
  <c r="E2919" i="9"/>
  <c r="D2919" i="9"/>
  <c r="C2919" i="9"/>
  <c r="B2919" i="9"/>
  <c r="A2919" i="9"/>
  <c r="E2918" i="9"/>
  <c r="D2918" i="9"/>
  <c r="C2918" i="9"/>
  <c r="B2918" i="9"/>
  <c r="A2918" i="9"/>
  <c r="E2917" i="9"/>
  <c r="D2917" i="9"/>
  <c r="C2917" i="9"/>
  <c r="B2917" i="9"/>
  <c r="A2917" i="9"/>
  <c r="E2916" i="9"/>
  <c r="D2916" i="9"/>
  <c r="C2916" i="9"/>
  <c r="B2916" i="9"/>
  <c r="A2916" i="9"/>
  <c r="E2915" i="9"/>
  <c r="D2915" i="9"/>
  <c r="C2915" i="9"/>
  <c r="B2915" i="9"/>
  <c r="A2915" i="9"/>
  <c r="E2914" i="9"/>
  <c r="D2914" i="9"/>
  <c r="C2914" i="9"/>
  <c r="B2914" i="9"/>
  <c r="A2914" i="9"/>
  <c r="E2913" i="9"/>
  <c r="D2913" i="9"/>
  <c r="C2913" i="9"/>
  <c r="B2913" i="9"/>
  <c r="A2913" i="9"/>
  <c r="E2912" i="9"/>
  <c r="D2912" i="9"/>
  <c r="C2912" i="9"/>
  <c r="B2912" i="9"/>
  <c r="A2912" i="9"/>
  <c r="E2911" i="9"/>
  <c r="D2911" i="9"/>
  <c r="C2911" i="9"/>
  <c r="B2911" i="9"/>
  <c r="A2911" i="9"/>
  <c r="E2910" i="9"/>
  <c r="D2910" i="9"/>
  <c r="C2910" i="9"/>
  <c r="B2910" i="9"/>
  <c r="A2910" i="9"/>
  <c r="E2909" i="9"/>
  <c r="D2909" i="9"/>
  <c r="C2909" i="9"/>
  <c r="B2909" i="9"/>
  <c r="A2909" i="9"/>
  <c r="E2908" i="9"/>
  <c r="D2908" i="9"/>
  <c r="C2908" i="9"/>
  <c r="B2908" i="9"/>
  <c r="A2908" i="9"/>
  <c r="E2907" i="9"/>
  <c r="D2907" i="9"/>
  <c r="C2907" i="9"/>
  <c r="B2907" i="9"/>
  <c r="A2907" i="9"/>
  <c r="E2906" i="9"/>
  <c r="D2906" i="9"/>
  <c r="C2906" i="9"/>
  <c r="B2906" i="9"/>
  <c r="A2906" i="9"/>
  <c r="E2905" i="9"/>
  <c r="D2905" i="9"/>
  <c r="C2905" i="9"/>
  <c r="B2905" i="9"/>
  <c r="A2905" i="9"/>
  <c r="E2904" i="9"/>
  <c r="D2904" i="9"/>
  <c r="C2904" i="9"/>
  <c r="B2904" i="9"/>
  <c r="A2904" i="9"/>
  <c r="E2903" i="9"/>
  <c r="D2903" i="9"/>
  <c r="C2903" i="9"/>
  <c r="B2903" i="9"/>
  <c r="A2903" i="9"/>
  <c r="E2902" i="9"/>
  <c r="D2902" i="9"/>
  <c r="C2902" i="9"/>
  <c r="B2902" i="9"/>
  <c r="A2902" i="9"/>
  <c r="E2901" i="9"/>
  <c r="D2901" i="9"/>
  <c r="C2901" i="9"/>
  <c r="B2901" i="9"/>
  <c r="A2901" i="9"/>
  <c r="E2900" i="9"/>
  <c r="D2900" i="9"/>
  <c r="C2900" i="9"/>
  <c r="B2900" i="9"/>
  <c r="A2900" i="9"/>
  <c r="E2899" i="9"/>
  <c r="D2899" i="9"/>
  <c r="C2899" i="9"/>
  <c r="B2899" i="9"/>
  <c r="A2899" i="9"/>
  <c r="E2898" i="9"/>
  <c r="D2898" i="9"/>
  <c r="C2898" i="9"/>
  <c r="B2898" i="9"/>
  <c r="A2898" i="9"/>
  <c r="E2897" i="9"/>
  <c r="D2897" i="9"/>
  <c r="C2897" i="9"/>
  <c r="B2897" i="9"/>
  <c r="A2897" i="9"/>
  <c r="E2896" i="9"/>
  <c r="D2896" i="9"/>
  <c r="C2896" i="9"/>
  <c r="B2896" i="9"/>
  <c r="A2896" i="9"/>
  <c r="E2895" i="9"/>
  <c r="D2895" i="9"/>
  <c r="C2895" i="9"/>
  <c r="B2895" i="9"/>
  <c r="A2895" i="9"/>
  <c r="E2894" i="9"/>
  <c r="D2894" i="9"/>
  <c r="C2894" i="9"/>
  <c r="B2894" i="9"/>
  <c r="A2894" i="9"/>
  <c r="E2893" i="9"/>
  <c r="D2893" i="9"/>
  <c r="C2893" i="9"/>
  <c r="B2893" i="9"/>
  <c r="A2893" i="9"/>
  <c r="E2892" i="9"/>
  <c r="D2892" i="9"/>
  <c r="C2892" i="9"/>
  <c r="B2892" i="9"/>
  <c r="A2892" i="9"/>
  <c r="E2891" i="9"/>
  <c r="D2891" i="9"/>
  <c r="C2891" i="9"/>
  <c r="B2891" i="9"/>
  <c r="A2891" i="9"/>
  <c r="E2890" i="9"/>
  <c r="D2890" i="9"/>
  <c r="C2890" i="9"/>
  <c r="B2890" i="9"/>
  <c r="A2890" i="9"/>
  <c r="E2889" i="9"/>
  <c r="D2889" i="9"/>
  <c r="C2889" i="9"/>
  <c r="B2889" i="9"/>
  <c r="A2889" i="9"/>
  <c r="E2888" i="9"/>
  <c r="D2888" i="9"/>
  <c r="C2888" i="9"/>
  <c r="B2888" i="9"/>
  <c r="A2888" i="9"/>
  <c r="E2887" i="9"/>
  <c r="D2887" i="9"/>
  <c r="C2887" i="9"/>
  <c r="B2887" i="9"/>
  <c r="A2887" i="9"/>
  <c r="E2886" i="9"/>
  <c r="D2886" i="9"/>
  <c r="C2886" i="9"/>
  <c r="B2886" i="9"/>
  <c r="A2886" i="9"/>
  <c r="E2885" i="9"/>
  <c r="D2885" i="9"/>
  <c r="C2885" i="9"/>
  <c r="B2885" i="9"/>
  <c r="A2885" i="9"/>
  <c r="E2884" i="9"/>
  <c r="D2884" i="9"/>
  <c r="C2884" i="9"/>
  <c r="B2884" i="9"/>
  <c r="A2884" i="9"/>
  <c r="E2883" i="9"/>
  <c r="D2883" i="9"/>
  <c r="C2883" i="9"/>
  <c r="B2883" i="9"/>
  <c r="A2883" i="9"/>
  <c r="E2882" i="9"/>
  <c r="D2882" i="9"/>
  <c r="C2882" i="9"/>
  <c r="B2882" i="9"/>
  <c r="A2882" i="9"/>
  <c r="E2881" i="9"/>
  <c r="D2881" i="9"/>
  <c r="C2881" i="9"/>
  <c r="B2881" i="9"/>
  <c r="A2881" i="9"/>
  <c r="E2880" i="9"/>
  <c r="D2880" i="9"/>
  <c r="C2880" i="9"/>
  <c r="B2880" i="9"/>
  <c r="A2880" i="9"/>
  <c r="E2879" i="9"/>
  <c r="D2879" i="9"/>
  <c r="C2879" i="9"/>
  <c r="B2879" i="9"/>
  <c r="A2879" i="9"/>
  <c r="E2878" i="9"/>
  <c r="D2878" i="9"/>
  <c r="C2878" i="9"/>
  <c r="B2878" i="9"/>
  <c r="A2878" i="9"/>
  <c r="E2877" i="9"/>
  <c r="D2877" i="9"/>
  <c r="C2877" i="9"/>
  <c r="B2877" i="9"/>
  <c r="A2877" i="9"/>
  <c r="E2876" i="9"/>
  <c r="D2876" i="9"/>
  <c r="C2876" i="9"/>
  <c r="B2876" i="9"/>
  <c r="A2876" i="9"/>
  <c r="E2875" i="9"/>
  <c r="D2875" i="9"/>
  <c r="C2875" i="9"/>
  <c r="B2875" i="9"/>
  <c r="A2875" i="9"/>
  <c r="E2874" i="9"/>
  <c r="D2874" i="9"/>
  <c r="C2874" i="9"/>
  <c r="B2874" i="9"/>
  <c r="A2874" i="9"/>
  <c r="E2873" i="9"/>
  <c r="D2873" i="9"/>
  <c r="C2873" i="9"/>
  <c r="B2873" i="9"/>
  <c r="A2873" i="9"/>
  <c r="E2872" i="9"/>
  <c r="D2872" i="9"/>
  <c r="C2872" i="9"/>
  <c r="B2872" i="9"/>
  <c r="A2872" i="9"/>
  <c r="E2871" i="9"/>
  <c r="D2871" i="9"/>
  <c r="C2871" i="9"/>
  <c r="B2871" i="9"/>
  <c r="A2871" i="9"/>
  <c r="E2870" i="9"/>
  <c r="D2870" i="9"/>
  <c r="C2870" i="9"/>
  <c r="B2870" i="9"/>
  <c r="A2870" i="9"/>
  <c r="E2869" i="9"/>
  <c r="D2869" i="9"/>
  <c r="C2869" i="9"/>
  <c r="B2869" i="9"/>
  <c r="A2869" i="9"/>
  <c r="E2868" i="9"/>
  <c r="D2868" i="9"/>
  <c r="C2868" i="9"/>
  <c r="B2868" i="9"/>
  <c r="A2868" i="9"/>
  <c r="E2867" i="9"/>
  <c r="D2867" i="9"/>
  <c r="C2867" i="9"/>
  <c r="B2867" i="9"/>
  <c r="A2867" i="9"/>
  <c r="E2866" i="9"/>
  <c r="D2866" i="9"/>
  <c r="C2866" i="9"/>
  <c r="B2866" i="9"/>
  <c r="A2866" i="9"/>
  <c r="E2865" i="9"/>
  <c r="D2865" i="9"/>
  <c r="C2865" i="9"/>
  <c r="B2865" i="9"/>
  <c r="A2865" i="9"/>
  <c r="E2864" i="9"/>
  <c r="D2864" i="9"/>
  <c r="C2864" i="9"/>
  <c r="B2864" i="9"/>
  <c r="A2864" i="9"/>
  <c r="E2863" i="9"/>
  <c r="D2863" i="9"/>
  <c r="C2863" i="9"/>
  <c r="B2863" i="9"/>
  <c r="A2863" i="9"/>
  <c r="E2862" i="9"/>
  <c r="D2862" i="9"/>
  <c r="C2862" i="9"/>
  <c r="B2862" i="9"/>
  <c r="A2862" i="9"/>
  <c r="E2861" i="9"/>
  <c r="D2861" i="9"/>
  <c r="C2861" i="9"/>
  <c r="B2861" i="9"/>
  <c r="A2861" i="9"/>
  <c r="E2860" i="9"/>
  <c r="D2860" i="9"/>
  <c r="C2860" i="9"/>
  <c r="B2860" i="9"/>
  <c r="A2860" i="9"/>
  <c r="E2859" i="9"/>
  <c r="D2859" i="9"/>
  <c r="C2859" i="9"/>
  <c r="B2859" i="9"/>
  <c r="A2859" i="9"/>
  <c r="E2858" i="9"/>
  <c r="D2858" i="9"/>
  <c r="C2858" i="9"/>
  <c r="B2858" i="9"/>
  <c r="A2858" i="9"/>
  <c r="E2857" i="9"/>
  <c r="D2857" i="9"/>
  <c r="C2857" i="9"/>
  <c r="B2857" i="9"/>
  <c r="A2857" i="9"/>
  <c r="E2856" i="9"/>
  <c r="D2856" i="9"/>
  <c r="C2856" i="9"/>
  <c r="B2856" i="9"/>
  <c r="A2856" i="9"/>
  <c r="E2855" i="9"/>
  <c r="D2855" i="9"/>
  <c r="C2855" i="9"/>
  <c r="B2855" i="9"/>
  <c r="A2855" i="9"/>
  <c r="E2854" i="9"/>
  <c r="D2854" i="9"/>
  <c r="C2854" i="9"/>
  <c r="B2854" i="9"/>
  <c r="A2854" i="9"/>
  <c r="E2853" i="9"/>
  <c r="D2853" i="9"/>
  <c r="C2853" i="9"/>
  <c r="B2853" i="9"/>
  <c r="A2853" i="9"/>
  <c r="E2852" i="9"/>
  <c r="D2852" i="9"/>
  <c r="C2852" i="9"/>
  <c r="B2852" i="9"/>
  <c r="A2852" i="9"/>
  <c r="E2851" i="9"/>
  <c r="D2851" i="9"/>
  <c r="C2851" i="9"/>
  <c r="B2851" i="9"/>
  <c r="A2851" i="9"/>
  <c r="E2850" i="9"/>
  <c r="D2850" i="9"/>
  <c r="C2850" i="9"/>
  <c r="B2850" i="9"/>
  <c r="A2850" i="9"/>
  <c r="E2849" i="9"/>
  <c r="D2849" i="9"/>
  <c r="C2849" i="9"/>
  <c r="B2849" i="9"/>
  <c r="A2849" i="9"/>
  <c r="E2848" i="9"/>
  <c r="D2848" i="9"/>
  <c r="C2848" i="9"/>
  <c r="B2848" i="9"/>
  <c r="A2848" i="9"/>
  <c r="E2847" i="9"/>
  <c r="D2847" i="9"/>
  <c r="C2847" i="9"/>
  <c r="B2847" i="9"/>
  <c r="A2847" i="9"/>
  <c r="E2846" i="9"/>
  <c r="D2846" i="9"/>
  <c r="C2846" i="9"/>
  <c r="B2846" i="9"/>
  <c r="A2846" i="9"/>
  <c r="E2845" i="9"/>
  <c r="D2845" i="9"/>
  <c r="C2845" i="9"/>
  <c r="B2845" i="9"/>
  <c r="A2845" i="9"/>
  <c r="E2844" i="9"/>
  <c r="D2844" i="9"/>
  <c r="C2844" i="9"/>
  <c r="B2844" i="9"/>
  <c r="A2844" i="9"/>
  <c r="E2843" i="9"/>
  <c r="D2843" i="9"/>
  <c r="C2843" i="9"/>
  <c r="B2843" i="9"/>
  <c r="A2843" i="9"/>
  <c r="E2842" i="9"/>
  <c r="D2842" i="9"/>
  <c r="C2842" i="9"/>
  <c r="B2842" i="9"/>
  <c r="A2842" i="9"/>
  <c r="E2841" i="9"/>
  <c r="D2841" i="9"/>
  <c r="C2841" i="9"/>
  <c r="B2841" i="9"/>
  <c r="A2841" i="9"/>
  <c r="E2840" i="9"/>
  <c r="D2840" i="9"/>
  <c r="C2840" i="9"/>
  <c r="B2840" i="9"/>
  <c r="A2840" i="9"/>
  <c r="E2839" i="9"/>
  <c r="D2839" i="9"/>
  <c r="C2839" i="9"/>
  <c r="B2839" i="9"/>
  <c r="A2839" i="9"/>
  <c r="E2838" i="9"/>
  <c r="D2838" i="9"/>
  <c r="C2838" i="9"/>
  <c r="B2838" i="9"/>
  <c r="A2838" i="9"/>
  <c r="E2837" i="9"/>
  <c r="D2837" i="9"/>
  <c r="C2837" i="9"/>
  <c r="B2837" i="9"/>
  <c r="A2837" i="9"/>
  <c r="E2836" i="9"/>
  <c r="D2836" i="9"/>
  <c r="C2836" i="9"/>
  <c r="B2836" i="9"/>
  <c r="A2836" i="9"/>
  <c r="E2835" i="9"/>
  <c r="D2835" i="9"/>
  <c r="C2835" i="9"/>
  <c r="B2835" i="9"/>
  <c r="A2835" i="9"/>
  <c r="E2834" i="9"/>
  <c r="D2834" i="9"/>
  <c r="C2834" i="9"/>
  <c r="B2834" i="9"/>
  <c r="A2834" i="9"/>
  <c r="E2833" i="9"/>
  <c r="D2833" i="9"/>
  <c r="C2833" i="9"/>
  <c r="B2833" i="9"/>
  <c r="A2833" i="9"/>
  <c r="E2832" i="9"/>
  <c r="D2832" i="9"/>
  <c r="C2832" i="9"/>
  <c r="B2832" i="9"/>
  <c r="A2832" i="9"/>
  <c r="E2831" i="9"/>
  <c r="D2831" i="9"/>
  <c r="C2831" i="9"/>
  <c r="B2831" i="9"/>
  <c r="A2831" i="9"/>
  <c r="E2830" i="9"/>
  <c r="D2830" i="9"/>
  <c r="C2830" i="9"/>
  <c r="B2830" i="9"/>
  <c r="A2830" i="9"/>
  <c r="E2829" i="9"/>
  <c r="D2829" i="9"/>
  <c r="C2829" i="9"/>
  <c r="B2829" i="9"/>
  <c r="A2829" i="9"/>
  <c r="E2828" i="9"/>
  <c r="D2828" i="9"/>
  <c r="C2828" i="9"/>
  <c r="B2828" i="9"/>
  <c r="A2828" i="9"/>
  <c r="E2827" i="9"/>
  <c r="D2827" i="9"/>
  <c r="C2827" i="9"/>
  <c r="B2827" i="9"/>
  <c r="A2827" i="9"/>
  <c r="E2826" i="9"/>
  <c r="D2826" i="9"/>
  <c r="C2826" i="9"/>
  <c r="B2826" i="9"/>
  <c r="A2826" i="9"/>
  <c r="E2825" i="9"/>
  <c r="D2825" i="9"/>
  <c r="C2825" i="9"/>
  <c r="B2825" i="9"/>
  <c r="A2825" i="9"/>
  <c r="E2824" i="9"/>
  <c r="D2824" i="9"/>
  <c r="C2824" i="9"/>
  <c r="B2824" i="9"/>
  <c r="A2824" i="9"/>
  <c r="E2823" i="9"/>
  <c r="D2823" i="9"/>
  <c r="C2823" i="9"/>
  <c r="B2823" i="9"/>
  <c r="A2823" i="9"/>
  <c r="E2822" i="9"/>
  <c r="D2822" i="9"/>
  <c r="C2822" i="9"/>
  <c r="B2822" i="9"/>
  <c r="A2822" i="9"/>
  <c r="E2821" i="9"/>
  <c r="D2821" i="9"/>
  <c r="C2821" i="9"/>
  <c r="B2821" i="9"/>
  <c r="A2821" i="9"/>
  <c r="E2820" i="9"/>
  <c r="D2820" i="9"/>
  <c r="C2820" i="9"/>
  <c r="B2820" i="9"/>
  <c r="A2820" i="9"/>
  <c r="E2819" i="9"/>
  <c r="D2819" i="9"/>
  <c r="C2819" i="9"/>
  <c r="B2819" i="9"/>
  <c r="A2819" i="9"/>
  <c r="E2818" i="9"/>
  <c r="D2818" i="9"/>
  <c r="C2818" i="9"/>
  <c r="B2818" i="9"/>
  <c r="A2818" i="9"/>
  <c r="E2817" i="9"/>
  <c r="D2817" i="9"/>
  <c r="C2817" i="9"/>
  <c r="B2817" i="9"/>
  <c r="A2817" i="9"/>
  <c r="E2816" i="9"/>
  <c r="D2816" i="9"/>
  <c r="C2816" i="9"/>
  <c r="B2816" i="9"/>
  <c r="A2816" i="9"/>
  <c r="E2815" i="9"/>
  <c r="D2815" i="9"/>
  <c r="C2815" i="9"/>
  <c r="B2815" i="9"/>
  <c r="A2815" i="9"/>
  <c r="E2814" i="9"/>
  <c r="D2814" i="9"/>
  <c r="C2814" i="9"/>
  <c r="B2814" i="9"/>
  <c r="A2814" i="9"/>
  <c r="E2813" i="9"/>
  <c r="D2813" i="9"/>
  <c r="C2813" i="9"/>
  <c r="B2813" i="9"/>
  <c r="A2813" i="9"/>
  <c r="E2812" i="9"/>
  <c r="D2812" i="9"/>
  <c r="C2812" i="9"/>
  <c r="B2812" i="9"/>
  <c r="A2812" i="9"/>
  <c r="E2811" i="9"/>
  <c r="D2811" i="9"/>
  <c r="C2811" i="9"/>
  <c r="B2811" i="9"/>
  <c r="A2811" i="9"/>
  <c r="E2810" i="9"/>
  <c r="D2810" i="9"/>
  <c r="C2810" i="9"/>
  <c r="B2810" i="9"/>
  <c r="A2810" i="9"/>
  <c r="E2809" i="9"/>
  <c r="D2809" i="9"/>
  <c r="C2809" i="9"/>
  <c r="B2809" i="9"/>
  <c r="A2809" i="9"/>
  <c r="E2808" i="9"/>
  <c r="D2808" i="9"/>
  <c r="C2808" i="9"/>
  <c r="B2808" i="9"/>
  <c r="A2808" i="9"/>
  <c r="E2807" i="9"/>
  <c r="D2807" i="9"/>
  <c r="C2807" i="9"/>
  <c r="B2807" i="9"/>
  <c r="A2807" i="9"/>
  <c r="E2806" i="9"/>
  <c r="D2806" i="9"/>
  <c r="C2806" i="9"/>
  <c r="B2806" i="9"/>
  <c r="A2806" i="9"/>
  <c r="E2805" i="9"/>
  <c r="D2805" i="9"/>
  <c r="C2805" i="9"/>
  <c r="B2805" i="9"/>
  <c r="A2805" i="9"/>
  <c r="E2804" i="9"/>
  <c r="D2804" i="9"/>
  <c r="C2804" i="9"/>
  <c r="B2804" i="9"/>
  <c r="A2804" i="9"/>
  <c r="E2803" i="9"/>
  <c r="D2803" i="9"/>
  <c r="C2803" i="9"/>
  <c r="B2803" i="9"/>
  <c r="A2803" i="9"/>
  <c r="E2802" i="9"/>
  <c r="D2802" i="9"/>
  <c r="C2802" i="9"/>
  <c r="B2802" i="9"/>
  <c r="A2802" i="9"/>
  <c r="E2801" i="9"/>
  <c r="D2801" i="9"/>
  <c r="C2801" i="9"/>
  <c r="B2801" i="9"/>
  <c r="A2801" i="9"/>
  <c r="E2800" i="9"/>
  <c r="D2800" i="9"/>
  <c r="C2800" i="9"/>
  <c r="B2800" i="9"/>
  <c r="A2800" i="9"/>
  <c r="E2799" i="9"/>
  <c r="D2799" i="9"/>
  <c r="C2799" i="9"/>
  <c r="B2799" i="9"/>
  <c r="A2799" i="9"/>
  <c r="E2798" i="9"/>
  <c r="D2798" i="9"/>
  <c r="C2798" i="9"/>
  <c r="B2798" i="9"/>
  <c r="A2798" i="9"/>
  <c r="E2797" i="9"/>
  <c r="D2797" i="9"/>
  <c r="C2797" i="9"/>
  <c r="B2797" i="9"/>
  <c r="A2797" i="9"/>
  <c r="E2796" i="9"/>
  <c r="D2796" i="9"/>
  <c r="C2796" i="9"/>
  <c r="B2796" i="9"/>
  <c r="A2796" i="9"/>
  <c r="E2795" i="9"/>
  <c r="D2795" i="9"/>
  <c r="C2795" i="9"/>
  <c r="B2795" i="9"/>
  <c r="A2795" i="9"/>
  <c r="E2794" i="9"/>
  <c r="D2794" i="9"/>
  <c r="C2794" i="9"/>
  <c r="B2794" i="9"/>
  <c r="A2794" i="9"/>
  <c r="E2793" i="9"/>
  <c r="D2793" i="9"/>
  <c r="C2793" i="9"/>
  <c r="B2793" i="9"/>
  <c r="A2793" i="9"/>
  <c r="E2792" i="9"/>
  <c r="D2792" i="9"/>
  <c r="C2792" i="9"/>
  <c r="B2792" i="9"/>
  <c r="A2792" i="9"/>
  <c r="E2791" i="9"/>
  <c r="D2791" i="9"/>
  <c r="C2791" i="9"/>
  <c r="B2791" i="9"/>
  <c r="A2791" i="9"/>
  <c r="E2790" i="9"/>
  <c r="D2790" i="9"/>
  <c r="C2790" i="9"/>
  <c r="B2790" i="9"/>
  <c r="A2790" i="9"/>
  <c r="E2789" i="9"/>
  <c r="D2789" i="9"/>
  <c r="C2789" i="9"/>
  <c r="B2789" i="9"/>
  <c r="A2789" i="9"/>
  <c r="E2788" i="9"/>
  <c r="D2788" i="9"/>
  <c r="C2788" i="9"/>
  <c r="B2788" i="9"/>
  <c r="A2788" i="9"/>
  <c r="E2787" i="9"/>
  <c r="D2787" i="9"/>
  <c r="C2787" i="9"/>
  <c r="B2787" i="9"/>
  <c r="A2787" i="9"/>
  <c r="E2786" i="9"/>
  <c r="D2786" i="9"/>
  <c r="C2786" i="9"/>
  <c r="B2786" i="9"/>
  <c r="A2786" i="9"/>
  <c r="E2785" i="9"/>
  <c r="D2785" i="9"/>
  <c r="C2785" i="9"/>
  <c r="B2785" i="9"/>
  <c r="A2785" i="9"/>
  <c r="E2784" i="9"/>
  <c r="D2784" i="9"/>
  <c r="C2784" i="9"/>
  <c r="B2784" i="9"/>
  <c r="A2784" i="9"/>
  <c r="E2783" i="9"/>
  <c r="D2783" i="9"/>
  <c r="C2783" i="9"/>
  <c r="B2783" i="9"/>
  <c r="A2783" i="9"/>
  <c r="E2782" i="9"/>
  <c r="D2782" i="9"/>
  <c r="C2782" i="9"/>
  <c r="B2782" i="9"/>
  <c r="A2782" i="9"/>
  <c r="E2781" i="9"/>
  <c r="D2781" i="9"/>
  <c r="C2781" i="9"/>
  <c r="B2781" i="9"/>
  <c r="A2781" i="9"/>
  <c r="E2780" i="9"/>
  <c r="D2780" i="9"/>
  <c r="C2780" i="9"/>
  <c r="B2780" i="9"/>
  <c r="A2780" i="9"/>
  <c r="E2779" i="9"/>
  <c r="D2779" i="9"/>
  <c r="C2779" i="9"/>
  <c r="B2779" i="9"/>
  <c r="A2779" i="9"/>
  <c r="E2778" i="9"/>
  <c r="D2778" i="9"/>
  <c r="C2778" i="9"/>
  <c r="B2778" i="9"/>
  <c r="A2778" i="9"/>
  <c r="E2777" i="9"/>
  <c r="D2777" i="9"/>
  <c r="C2777" i="9"/>
  <c r="B2777" i="9"/>
  <c r="A2777" i="9"/>
  <c r="E2776" i="9"/>
  <c r="D2776" i="9"/>
  <c r="C2776" i="9"/>
  <c r="B2776" i="9"/>
  <c r="A2776" i="9"/>
  <c r="E2775" i="9"/>
  <c r="D2775" i="9"/>
  <c r="C2775" i="9"/>
  <c r="B2775" i="9"/>
  <c r="A2775" i="9"/>
  <c r="E2774" i="9"/>
  <c r="D2774" i="9"/>
  <c r="C2774" i="9"/>
  <c r="B2774" i="9"/>
  <c r="A2774" i="9"/>
  <c r="E2773" i="9"/>
  <c r="D2773" i="9"/>
  <c r="C2773" i="9"/>
  <c r="B2773" i="9"/>
  <c r="A2773" i="9"/>
  <c r="E2772" i="9"/>
  <c r="D2772" i="9"/>
  <c r="C2772" i="9"/>
  <c r="B2772" i="9"/>
  <c r="A2772" i="9"/>
  <c r="E2771" i="9"/>
  <c r="D2771" i="9"/>
  <c r="C2771" i="9"/>
  <c r="B2771" i="9"/>
  <c r="A2771" i="9"/>
  <c r="E2770" i="9"/>
  <c r="D2770" i="9"/>
  <c r="C2770" i="9"/>
  <c r="B2770" i="9"/>
  <c r="A2770" i="9"/>
  <c r="E2769" i="9"/>
  <c r="D2769" i="9"/>
  <c r="C2769" i="9"/>
  <c r="B2769" i="9"/>
  <c r="A2769" i="9"/>
  <c r="E2768" i="9"/>
  <c r="D2768" i="9"/>
  <c r="C2768" i="9"/>
  <c r="B2768" i="9"/>
  <c r="A2768" i="9"/>
  <c r="E2767" i="9"/>
  <c r="D2767" i="9"/>
  <c r="C2767" i="9"/>
  <c r="B2767" i="9"/>
  <c r="A2767" i="9"/>
  <c r="E2766" i="9"/>
  <c r="D2766" i="9"/>
  <c r="C2766" i="9"/>
  <c r="B2766" i="9"/>
  <c r="A2766" i="9"/>
  <c r="E2765" i="9"/>
  <c r="D2765" i="9"/>
  <c r="C2765" i="9"/>
  <c r="B2765" i="9"/>
  <c r="A2765" i="9"/>
  <c r="E2764" i="9"/>
  <c r="D2764" i="9"/>
  <c r="C2764" i="9"/>
  <c r="B2764" i="9"/>
  <c r="A2764" i="9"/>
  <c r="E2763" i="9"/>
  <c r="D2763" i="9"/>
  <c r="C2763" i="9"/>
  <c r="B2763" i="9"/>
  <c r="A2763" i="9"/>
  <c r="E2762" i="9"/>
  <c r="D2762" i="9"/>
  <c r="C2762" i="9"/>
  <c r="B2762" i="9"/>
  <c r="A2762" i="9"/>
  <c r="E2761" i="9"/>
  <c r="D2761" i="9"/>
  <c r="C2761" i="9"/>
  <c r="B2761" i="9"/>
  <c r="A2761" i="9"/>
  <c r="E2760" i="9"/>
  <c r="D2760" i="9"/>
  <c r="C2760" i="9"/>
  <c r="B2760" i="9"/>
  <c r="A2760" i="9"/>
  <c r="E2759" i="9"/>
  <c r="D2759" i="9"/>
  <c r="C2759" i="9"/>
  <c r="B2759" i="9"/>
  <c r="A2759" i="9"/>
  <c r="E2758" i="9"/>
  <c r="D2758" i="9"/>
  <c r="C2758" i="9"/>
  <c r="B2758" i="9"/>
  <c r="A2758" i="9"/>
  <c r="E2757" i="9"/>
  <c r="D2757" i="9"/>
  <c r="C2757" i="9"/>
  <c r="B2757" i="9"/>
  <c r="A2757" i="9"/>
  <c r="E2756" i="9"/>
  <c r="D2756" i="9"/>
  <c r="C2756" i="9"/>
  <c r="B2756" i="9"/>
  <c r="A2756" i="9"/>
  <c r="E2755" i="9"/>
  <c r="D2755" i="9"/>
  <c r="C2755" i="9"/>
  <c r="B2755" i="9"/>
  <c r="A2755" i="9"/>
  <c r="E2754" i="9"/>
  <c r="D2754" i="9"/>
  <c r="C2754" i="9"/>
  <c r="B2754" i="9"/>
  <c r="A2754" i="9"/>
  <c r="E2753" i="9"/>
  <c r="D2753" i="9"/>
  <c r="C2753" i="9"/>
  <c r="B2753" i="9"/>
  <c r="A2753" i="9"/>
  <c r="E2752" i="9"/>
  <c r="D2752" i="9"/>
  <c r="C2752" i="9"/>
  <c r="B2752" i="9"/>
  <c r="A2752" i="9"/>
  <c r="E2751" i="9"/>
  <c r="D2751" i="9"/>
  <c r="C2751" i="9"/>
  <c r="B2751" i="9"/>
  <c r="A2751" i="9"/>
  <c r="E2750" i="9"/>
  <c r="D2750" i="9"/>
  <c r="C2750" i="9"/>
  <c r="B2750" i="9"/>
  <c r="A2750" i="9"/>
  <c r="E2749" i="9"/>
  <c r="D2749" i="9"/>
  <c r="C2749" i="9"/>
  <c r="B2749" i="9"/>
  <c r="A2749" i="9"/>
  <c r="E2748" i="9"/>
  <c r="D2748" i="9"/>
  <c r="C2748" i="9"/>
  <c r="B2748" i="9"/>
  <c r="A2748" i="9"/>
  <c r="E2747" i="9"/>
  <c r="D2747" i="9"/>
  <c r="C2747" i="9"/>
  <c r="B2747" i="9"/>
  <c r="A2747" i="9"/>
  <c r="E2746" i="9"/>
  <c r="D2746" i="9"/>
  <c r="C2746" i="9"/>
  <c r="B2746" i="9"/>
  <c r="A2746" i="9"/>
  <c r="E2745" i="9"/>
  <c r="D2745" i="9"/>
  <c r="C2745" i="9"/>
  <c r="B2745" i="9"/>
  <c r="A2745" i="9"/>
  <c r="E2744" i="9"/>
  <c r="D2744" i="9"/>
  <c r="C2744" i="9"/>
  <c r="B2744" i="9"/>
  <c r="A2744" i="9"/>
  <c r="E2743" i="9"/>
  <c r="D2743" i="9"/>
  <c r="C2743" i="9"/>
  <c r="B2743" i="9"/>
  <c r="A2743" i="9"/>
  <c r="E2742" i="9"/>
  <c r="D2742" i="9"/>
  <c r="C2742" i="9"/>
  <c r="B2742" i="9"/>
  <c r="A2742" i="9"/>
  <c r="E2741" i="9"/>
  <c r="D2741" i="9"/>
  <c r="C2741" i="9"/>
  <c r="B2741" i="9"/>
  <c r="A2741" i="9"/>
  <c r="E2740" i="9"/>
  <c r="D2740" i="9"/>
  <c r="C2740" i="9"/>
  <c r="B2740" i="9"/>
  <c r="A2740" i="9"/>
  <c r="E2739" i="9"/>
  <c r="D2739" i="9"/>
  <c r="C2739" i="9"/>
  <c r="B2739" i="9"/>
  <c r="A2739" i="9"/>
  <c r="E2738" i="9"/>
  <c r="D2738" i="9"/>
  <c r="C2738" i="9"/>
  <c r="B2738" i="9"/>
  <c r="A2738" i="9"/>
  <c r="E2737" i="9"/>
  <c r="D2737" i="9"/>
  <c r="C2737" i="9"/>
  <c r="B2737" i="9"/>
  <c r="A2737" i="9"/>
  <c r="E2736" i="9"/>
  <c r="D2736" i="9"/>
  <c r="C2736" i="9"/>
  <c r="B2736" i="9"/>
  <c r="A2736" i="9"/>
  <c r="E2735" i="9"/>
  <c r="D2735" i="9"/>
  <c r="C2735" i="9"/>
  <c r="B2735" i="9"/>
  <c r="A2735" i="9"/>
  <c r="E2734" i="9"/>
  <c r="D2734" i="9"/>
  <c r="C2734" i="9"/>
  <c r="B2734" i="9"/>
  <c r="A2734" i="9"/>
  <c r="E2733" i="9"/>
  <c r="D2733" i="9"/>
  <c r="C2733" i="9"/>
  <c r="B2733" i="9"/>
  <c r="A2733" i="9"/>
  <c r="E2732" i="9"/>
  <c r="D2732" i="9"/>
  <c r="C2732" i="9"/>
  <c r="B2732" i="9"/>
  <c r="A2732" i="9"/>
  <c r="E2731" i="9"/>
  <c r="D2731" i="9"/>
  <c r="C2731" i="9"/>
  <c r="B2731" i="9"/>
  <c r="A2731" i="9"/>
  <c r="E2730" i="9"/>
  <c r="D2730" i="9"/>
  <c r="C2730" i="9"/>
  <c r="B2730" i="9"/>
  <c r="A2730" i="9"/>
  <c r="E2729" i="9"/>
  <c r="D2729" i="9"/>
  <c r="C2729" i="9"/>
  <c r="B2729" i="9"/>
  <c r="A2729" i="9"/>
  <c r="E2728" i="9"/>
  <c r="D2728" i="9"/>
  <c r="C2728" i="9"/>
  <c r="B2728" i="9"/>
  <c r="A2728" i="9"/>
  <c r="E2727" i="9"/>
  <c r="D2727" i="9"/>
  <c r="C2727" i="9"/>
  <c r="B2727" i="9"/>
  <c r="A2727" i="9"/>
  <c r="E2726" i="9"/>
  <c r="D2726" i="9"/>
  <c r="C2726" i="9"/>
  <c r="B2726" i="9"/>
  <c r="A2726" i="9"/>
  <c r="E2725" i="9"/>
  <c r="D2725" i="9"/>
  <c r="C2725" i="9"/>
  <c r="B2725" i="9"/>
  <c r="A2725" i="9"/>
  <c r="E2724" i="9"/>
  <c r="D2724" i="9"/>
  <c r="C2724" i="9"/>
  <c r="B2724" i="9"/>
  <c r="A2724" i="9"/>
  <c r="E2723" i="9"/>
  <c r="D2723" i="9"/>
  <c r="C2723" i="9"/>
  <c r="B2723" i="9"/>
  <c r="A2723" i="9"/>
  <c r="E2722" i="9"/>
  <c r="D2722" i="9"/>
  <c r="C2722" i="9"/>
  <c r="B2722" i="9"/>
  <c r="A2722" i="9"/>
  <c r="E2721" i="9"/>
  <c r="D2721" i="9"/>
  <c r="C2721" i="9"/>
  <c r="B2721" i="9"/>
  <c r="A2721" i="9"/>
  <c r="E2720" i="9"/>
  <c r="D2720" i="9"/>
  <c r="C2720" i="9"/>
  <c r="B2720" i="9"/>
  <c r="A2720" i="9"/>
  <c r="E2719" i="9"/>
  <c r="D2719" i="9"/>
  <c r="C2719" i="9"/>
  <c r="B2719" i="9"/>
  <c r="A2719" i="9"/>
  <c r="E2718" i="9"/>
  <c r="D2718" i="9"/>
  <c r="C2718" i="9"/>
  <c r="B2718" i="9"/>
  <c r="A2718" i="9"/>
  <c r="E2717" i="9"/>
  <c r="D2717" i="9"/>
  <c r="C2717" i="9"/>
  <c r="B2717" i="9"/>
  <c r="A2717" i="9"/>
  <c r="E2716" i="9"/>
  <c r="D2716" i="9"/>
  <c r="C2716" i="9"/>
  <c r="B2716" i="9"/>
  <c r="A2716" i="9"/>
  <c r="E2715" i="9"/>
  <c r="D2715" i="9"/>
  <c r="C2715" i="9"/>
  <c r="B2715" i="9"/>
  <c r="A2715" i="9"/>
  <c r="E2714" i="9"/>
  <c r="D2714" i="9"/>
  <c r="C2714" i="9"/>
  <c r="B2714" i="9"/>
  <c r="A2714" i="9"/>
  <c r="E2713" i="9"/>
  <c r="D2713" i="9"/>
  <c r="C2713" i="9"/>
  <c r="B2713" i="9"/>
  <c r="A2713" i="9"/>
  <c r="E2712" i="9"/>
  <c r="D2712" i="9"/>
  <c r="C2712" i="9"/>
  <c r="B2712" i="9"/>
  <c r="A2712" i="9"/>
  <c r="E2711" i="9"/>
  <c r="D2711" i="9"/>
  <c r="C2711" i="9"/>
  <c r="B2711" i="9"/>
  <c r="A2711" i="9"/>
  <c r="E2710" i="9"/>
  <c r="D2710" i="9"/>
  <c r="C2710" i="9"/>
  <c r="B2710" i="9"/>
  <c r="A2710" i="9"/>
  <c r="E2709" i="9"/>
  <c r="D2709" i="9"/>
  <c r="C2709" i="9"/>
  <c r="B2709" i="9"/>
  <c r="A2709" i="9"/>
  <c r="E2708" i="9"/>
  <c r="D2708" i="9"/>
  <c r="C2708" i="9"/>
  <c r="B2708" i="9"/>
  <c r="A2708" i="9"/>
  <c r="E2707" i="9"/>
  <c r="D2707" i="9"/>
  <c r="C2707" i="9"/>
  <c r="B2707" i="9"/>
  <c r="A2707" i="9"/>
  <c r="E2706" i="9"/>
  <c r="D2706" i="9"/>
  <c r="C2706" i="9"/>
  <c r="B2706" i="9"/>
  <c r="A2706" i="9"/>
  <c r="E2705" i="9"/>
  <c r="D2705" i="9"/>
  <c r="C2705" i="9"/>
  <c r="B2705" i="9"/>
  <c r="A2705" i="9"/>
  <c r="E2704" i="9"/>
  <c r="D2704" i="9"/>
  <c r="C2704" i="9"/>
  <c r="B2704" i="9"/>
  <c r="A2704" i="9"/>
  <c r="E2703" i="9"/>
  <c r="D2703" i="9"/>
  <c r="C2703" i="9"/>
  <c r="B2703" i="9"/>
  <c r="A2703" i="9"/>
  <c r="E2702" i="9"/>
  <c r="D2702" i="9"/>
  <c r="C2702" i="9"/>
  <c r="B2702" i="9"/>
  <c r="A2702" i="9"/>
  <c r="E2701" i="9"/>
  <c r="D2701" i="9"/>
  <c r="C2701" i="9"/>
  <c r="B2701" i="9"/>
  <c r="A2701" i="9"/>
  <c r="E2700" i="9"/>
  <c r="D2700" i="9"/>
  <c r="C2700" i="9"/>
  <c r="B2700" i="9"/>
  <c r="A2700" i="9"/>
  <c r="E2699" i="9"/>
  <c r="D2699" i="9"/>
  <c r="C2699" i="9"/>
  <c r="B2699" i="9"/>
  <c r="A2699" i="9"/>
  <c r="E2698" i="9"/>
  <c r="D2698" i="9"/>
  <c r="C2698" i="9"/>
  <c r="B2698" i="9"/>
  <c r="A2698" i="9"/>
  <c r="E2697" i="9"/>
  <c r="D2697" i="9"/>
  <c r="C2697" i="9"/>
  <c r="B2697" i="9"/>
  <c r="A2697" i="9"/>
  <c r="E2696" i="9"/>
  <c r="D2696" i="9"/>
  <c r="C2696" i="9"/>
  <c r="B2696" i="9"/>
  <c r="A2696" i="9"/>
  <c r="E2695" i="9"/>
  <c r="D2695" i="9"/>
  <c r="C2695" i="9"/>
  <c r="B2695" i="9"/>
  <c r="A2695" i="9"/>
  <c r="E2694" i="9"/>
  <c r="D2694" i="9"/>
  <c r="C2694" i="9"/>
  <c r="B2694" i="9"/>
  <c r="A2694" i="9"/>
  <c r="E2693" i="9"/>
  <c r="D2693" i="9"/>
  <c r="C2693" i="9"/>
  <c r="B2693" i="9"/>
  <c r="A2693" i="9"/>
  <c r="E2692" i="9"/>
  <c r="D2692" i="9"/>
  <c r="C2692" i="9"/>
  <c r="B2692" i="9"/>
  <c r="A2692" i="9"/>
  <c r="E2691" i="9"/>
  <c r="D2691" i="9"/>
  <c r="C2691" i="9"/>
  <c r="B2691" i="9"/>
  <c r="A2691" i="9"/>
  <c r="E2690" i="9"/>
  <c r="D2690" i="9"/>
  <c r="C2690" i="9"/>
  <c r="B2690" i="9"/>
  <c r="A2690" i="9"/>
  <c r="E2689" i="9"/>
  <c r="D2689" i="9"/>
  <c r="C2689" i="9"/>
  <c r="B2689" i="9"/>
  <c r="A2689" i="9"/>
  <c r="E2688" i="9"/>
  <c r="D2688" i="9"/>
  <c r="C2688" i="9"/>
  <c r="B2688" i="9"/>
  <c r="A2688" i="9"/>
  <c r="E2687" i="9"/>
  <c r="D2687" i="9"/>
  <c r="C2687" i="9"/>
  <c r="B2687" i="9"/>
  <c r="A2687" i="9"/>
  <c r="E2686" i="9"/>
  <c r="D2686" i="9"/>
  <c r="C2686" i="9"/>
  <c r="B2686" i="9"/>
  <c r="A2686" i="9"/>
  <c r="E2685" i="9"/>
  <c r="D2685" i="9"/>
  <c r="C2685" i="9"/>
  <c r="B2685" i="9"/>
  <c r="A2685" i="9"/>
  <c r="E2684" i="9"/>
  <c r="D2684" i="9"/>
  <c r="C2684" i="9"/>
  <c r="B2684" i="9"/>
  <c r="A2684" i="9"/>
  <c r="E2683" i="9"/>
  <c r="D2683" i="9"/>
  <c r="C2683" i="9"/>
  <c r="B2683" i="9"/>
  <c r="A2683" i="9"/>
  <c r="E2682" i="9"/>
  <c r="D2682" i="9"/>
  <c r="C2682" i="9"/>
  <c r="B2682" i="9"/>
  <c r="A2682" i="9"/>
  <c r="E2681" i="9"/>
  <c r="D2681" i="9"/>
  <c r="C2681" i="9"/>
  <c r="B2681" i="9"/>
  <c r="A2681" i="9"/>
  <c r="E2680" i="9"/>
  <c r="D2680" i="9"/>
  <c r="C2680" i="9"/>
  <c r="B2680" i="9"/>
  <c r="A2680" i="9"/>
  <c r="E2679" i="9"/>
  <c r="D2679" i="9"/>
  <c r="C2679" i="9"/>
  <c r="B2679" i="9"/>
  <c r="A2679" i="9"/>
  <c r="E2678" i="9"/>
  <c r="D2678" i="9"/>
  <c r="C2678" i="9"/>
  <c r="B2678" i="9"/>
  <c r="A2678" i="9"/>
  <c r="E2677" i="9"/>
  <c r="D2677" i="9"/>
  <c r="C2677" i="9"/>
  <c r="B2677" i="9"/>
  <c r="A2677" i="9"/>
  <c r="E2676" i="9"/>
  <c r="D2676" i="9"/>
  <c r="C2676" i="9"/>
  <c r="B2676" i="9"/>
  <c r="A2676" i="9"/>
  <c r="E2675" i="9"/>
  <c r="D2675" i="9"/>
  <c r="C2675" i="9"/>
  <c r="B2675" i="9"/>
  <c r="A2675" i="9"/>
  <c r="E2674" i="9"/>
  <c r="D2674" i="9"/>
  <c r="C2674" i="9"/>
  <c r="B2674" i="9"/>
  <c r="A2674" i="9"/>
  <c r="E2673" i="9"/>
  <c r="D2673" i="9"/>
  <c r="C2673" i="9"/>
  <c r="B2673" i="9"/>
  <c r="A2673" i="9"/>
  <c r="E2672" i="9"/>
  <c r="D2672" i="9"/>
  <c r="C2672" i="9"/>
  <c r="B2672" i="9"/>
  <c r="A2672" i="9"/>
  <c r="E2671" i="9"/>
  <c r="D2671" i="9"/>
  <c r="C2671" i="9"/>
  <c r="B2671" i="9"/>
  <c r="A2671" i="9"/>
  <c r="E2670" i="9"/>
  <c r="D2670" i="9"/>
  <c r="C2670" i="9"/>
  <c r="B2670" i="9"/>
  <c r="A2670" i="9"/>
  <c r="E2669" i="9"/>
  <c r="D2669" i="9"/>
  <c r="C2669" i="9"/>
  <c r="B2669" i="9"/>
  <c r="A2669" i="9"/>
  <c r="E2668" i="9"/>
  <c r="D2668" i="9"/>
  <c r="C2668" i="9"/>
  <c r="B2668" i="9"/>
  <c r="A2668" i="9"/>
  <c r="E2667" i="9"/>
  <c r="D2667" i="9"/>
  <c r="C2667" i="9"/>
  <c r="B2667" i="9"/>
  <c r="A2667" i="9"/>
  <c r="E2666" i="9"/>
  <c r="D2666" i="9"/>
  <c r="C2666" i="9"/>
  <c r="B2666" i="9"/>
  <c r="A2666" i="9"/>
  <c r="E2665" i="9"/>
  <c r="D2665" i="9"/>
  <c r="C2665" i="9"/>
  <c r="B2665" i="9"/>
  <c r="A2665" i="9"/>
  <c r="E2664" i="9"/>
  <c r="D2664" i="9"/>
  <c r="C2664" i="9"/>
  <c r="B2664" i="9"/>
  <c r="A2664" i="9"/>
  <c r="E2663" i="9"/>
  <c r="D2663" i="9"/>
  <c r="C2663" i="9"/>
  <c r="B2663" i="9"/>
  <c r="A2663" i="9"/>
  <c r="E2662" i="9"/>
  <c r="D2662" i="9"/>
  <c r="C2662" i="9"/>
  <c r="B2662" i="9"/>
  <c r="A2662" i="9"/>
  <c r="E2661" i="9"/>
  <c r="D2661" i="9"/>
  <c r="C2661" i="9"/>
  <c r="B2661" i="9"/>
  <c r="A2661" i="9"/>
  <c r="E2660" i="9"/>
  <c r="D2660" i="9"/>
  <c r="C2660" i="9"/>
  <c r="B2660" i="9"/>
  <c r="A2660" i="9"/>
  <c r="E2659" i="9"/>
  <c r="D2659" i="9"/>
  <c r="C2659" i="9"/>
  <c r="B2659" i="9"/>
  <c r="A2659" i="9"/>
  <c r="E2658" i="9"/>
  <c r="D2658" i="9"/>
  <c r="C2658" i="9"/>
  <c r="B2658" i="9"/>
  <c r="A2658" i="9"/>
  <c r="E2657" i="9"/>
  <c r="D2657" i="9"/>
  <c r="C2657" i="9"/>
  <c r="B2657" i="9"/>
  <c r="A2657" i="9"/>
  <c r="E2656" i="9"/>
  <c r="D2656" i="9"/>
  <c r="C2656" i="9"/>
  <c r="B2656" i="9"/>
  <c r="A2656" i="9"/>
  <c r="E2655" i="9"/>
  <c r="D2655" i="9"/>
  <c r="C2655" i="9"/>
  <c r="B2655" i="9"/>
  <c r="A2655" i="9"/>
  <c r="E2654" i="9"/>
  <c r="D2654" i="9"/>
  <c r="C2654" i="9"/>
  <c r="B2654" i="9"/>
  <c r="A2654" i="9"/>
  <c r="E2653" i="9"/>
  <c r="D2653" i="9"/>
  <c r="C2653" i="9"/>
  <c r="B2653" i="9"/>
  <c r="A2653" i="9"/>
  <c r="E2652" i="9"/>
  <c r="D2652" i="9"/>
  <c r="C2652" i="9"/>
  <c r="B2652" i="9"/>
  <c r="A2652" i="9"/>
  <c r="E2651" i="9"/>
  <c r="D2651" i="9"/>
  <c r="C2651" i="9"/>
  <c r="B2651" i="9"/>
  <c r="A2651" i="9"/>
  <c r="E2650" i="9"/>
  <c r="D2650" i="9"/>
  <c r="C2650" i="9"/>
  <c r="B2650" i="9"/>
  <c r="A2650" i="9"/>
  <c r="E2649" i="9"/>
  <c r="D2649" i="9"/>
  <c r="C2649" i="9"/>
  <c r="B2649" i="9"/>
  <c r="A2649" i="9"/>
  <c r="E2648" i="9"/>
  <c r="D2648" i="9"/>
  <c r="C2648" i="9"/>
  <c r="B2648" i="9"/>
  <c r="A2648" i="9"/>
  <c r="E2647" i="9"/>
  <c r="D2647" i="9"/>
  <c r="C2647" i="9"/>
  <c r="B2647" i="9"/>
  <c r="A2647" i="9"/>
  <c r="E2646" i="9"/>
  <c r="D2646" i="9"/>
  <c r="C2646" i="9"/>
  <c r="B2646" i="9"/>
  <c r="A2646" i="9"/>
  <c r="E2645" i="9"/>
  <c r="D2645" i="9"/>
  <c r="C2645" i="9"/>
  <c r="B2645" i="9"/>
  <c r="A2645" i="9"/>
  <c r="E2644" i="9"/>
  <c r="D2644" i="9"/>
  <c r="C2644" i="9"/>
  <c r="B2644" i="9"/>
  <c r="A2644" i="9"/>
  <c r="E2643" i="9"/>
  <c r="D2643" i="9"/>
  <c r="C2643" i="9"/>
  <c r="B2643" i="9"/>
  <c r="A2643" i="9"/>
  <c r="E2642" i="9"/>
  <c r="D2642" i="9"/>
  <c r="C2642" i="9"/>
  <c r="B2642" i="9"/>
  <c r="A2642" i="9"/>
  <c r="E2641" i="9"/>
  <c r="D2641" i="9"/>
  <c r="C2641" i="9"/>
  <c r="B2641" i="9"/>
  <c r="A2641" i="9"/>
  <c r="E2640" i="9"/>
  <c r="D2640" i="9"/>
  <c r="C2640" i="9"/>
  <c r="B2640" i="9"/>
  <c r="A2640" i="9"/>
  <c r="E2639" i="9"/>
  <c r="D2639" i="9"/>
  <c r="C2639" i="9"/>
  <c r="B2639" i="9"/>
  <c r="A2639" i="9"/>
  <c r="E2638" i="9"/>
  <c r="D2638" i="9"/>
  <c r="C2638" i="9"/>
  <c r="B2638" i="9"/>
  <c r="A2638" i="9"/>
  <c r="E2637" i="9"/>
  <c r="D2637" i="9"/>
  <c r="C2637" i="9"/>
  <c r="B2637" i="9"/>
  <c r="A2637" i="9"/>
  <c r="E2636" i="9"/>
  <c r="D2636" i="9"/>
  <c r="C2636" i="9"/>
  <c r="B2636" i="9"/>
  <c r="A2636" i="9"/>
  <c r="E2635" i="9"/>
  <c r="D2635" i="9"/>
  <c r="C2635" i="9"/>
  <c r="B2635" i="9"/>
  <c r="A2635" i="9"/>
  <c r="E2634" i="9"/>
  <c r="D2634" i="9"/>
  <c r="C2634" i="9"/>
  <c r="B2634" i="9"/>
  <c r="A2634" i="9"/>
  <c r="E2633" i="9"/>
  <c r="D2633" i="9"/>
  <c r="C2633" i="9"/>
  <c r="B2633" i="9"/>
  <c r="A2633" i="9"/>
  <c r="E2632" i="9"/>
  <c r="D2632" i="9"/>
  <c r="C2632" i="9"/>
  <c r="B2632" i="9"/>
  <c r="A2632" i="9"/>
  <c r="E2631" i="9"/>
  <c r="D2631" i="9"/>
  <c r="C2631" i="9"/>
  <c r="B2631" i="9"/>
  <c r="A2631" i="9"/>
  <c r="E2630" i="9"/>
  <c r="D2630" i="9"/>
  <c r="C2630" i="9"/>
  <c r="B2630" i="9"/>
  <c r="A2630" i="9"/>
  <c r="E2629" i="9"/>
  <c r="D2629" i="9"/>
  <c r="C2629" i="9"/>
  <c r="B2629" i="9"/>
  <c r="A2629" i="9"/>
  <c r="E2628" i="9"/>
  <c r="D2628" i="9"/>
  <c r="C2628" i="9"/>
  <c r="B2628" i="9"/>
  <c r="A2628" i="9"/>
  <c r="E2627" i="9"/>
  <c r="D2627" i="9"/>
  <c r="C2627" i="9"/>
  <c r="B2627" i="9"/>
  <c r="A2627" i="9"/>
  <c r="E2626" i="9"/>
  <c r="D2626" i="9"/>
  <c r="C2626" i="9"/>
  <c r="B2626" i="9"/>
  <c r="A2626" i="9"/>
  <c r="E2625" i="9"/>
  <c r="D2625" i="9"/>
  <c r="C2625" i="9"/>
  <c r="B2625" i="9"/>
  <c r="A2625" i="9"/>
  <c r="E2624" i="9"/>
  <c r="D2624" i="9"/>
  <c r="C2624" i="9"/>
  <c r="B2624" i="9"/>
  <c r="A2624" i="9"/>
  <c r="E2623" i="9"/>
  <c r="D2623" i="9"/>
  <c r="C2623" i="9"/>
  <c r="B2623" i="9"/>
  <c r="A2623" i="9"/>
  <c r="E2622" i="9"/>
  <c r="D2622" i="9"/>
  <c r="C2622" i="9"/>
  <c r="B2622" i="9"/>
  <c r="A2622" i="9"/>
  <c r="E2621" i="9"/>
  <c r="D2621" i="9"/>
  <c r="C2621" i="9"/>
  <c r="B2621" i="9"/>
  <c r="A2621" i="9"/>
  <c r="E2620" i="9"/>
  <c r="D2620" i="9"/>
  <c r="C2620" i="9"/>
  <c r="B2620" i="9"/>
  <c r="A2620" i="9"/>
  <c r="E2619" i="9"/>
  <c r="D2619" i="9"/>
  <c r="C2619" i="9"/>
  <c r="B2619" i="9"/>
  <c r="A2619" i="9"/>
  <c r="E2618" i="9"/>
  <c r="D2618" i="9"/>
  <c r="C2618" i="9"/>
  <c r="B2618" i="9"/>
  <c r="A2618" i="9"/>
  <c r="E2617" i="9"/>
  <c r="D2617" i="9"/>
  <c r="C2617" i="9"/>
  <c r="B2617" i="9"/>
  <c r="A2617" i="9"/>
  <c r="E2616" i="9"/>
  <c r="D2616" i="9"/>
  <c r="C2616" i="9"/>
  <c r="B2616" i="9"/>
  <c r="A2616" i="9"/>
  <c r="E2615" i="9"/>
  <c r="D2615" i="9"/>
  <c r="C2615" i="9"/>
  <c r="B2615" i="9"/>
  <c r="A2615" i="9"/>
  <c r="E2614" i="9"/>
  <c r="D2614" i="9"/>
  <c r="C2614" i="9"/>
  <c r="B2614" i="9"/>
  <c r="A2614" i="9"/>
  <c r="E2613" i="9"/>
  <c r="D2613" i="9"/>
  <c r="C2613" i="9"/>
  <c r="B2613" i="9"/>
  <c r="A2613" i="9"/>
  <c r="E2612" i="9"/>
  <c r="D2612" i="9"/>
  <c r="C2612" i="9"/>
  <c r="B2612" i="9"/>
  <c r="A2612" i="9"/>
  <c r="E2611" i="9"/>
  <c r="D2611" i="9"/>
  <c r="C2611" i="9"/>
  <c r="B2611" i="9"/>
  <c r="A2611" i="9"/>
  <c r="E2610" i="9"/>
  <c r="D2610" i="9"/>
  <c r="C2610" i="9"/>
  <c r="B2610" i="9"/>
  <c r="A2610" i="9"/>
  <c r="E2609" i="9"/>
  <c r="D2609" i="9"/>
  <c r="C2609" i="9"/>
  <c r="B2609" i="9"/>
  <c r="A2609" i="9"/>
  <c r="E2608" i="9"/>
  <c r="D2608" i="9"/>
  <c r="C2608" i="9"/>
  <c r="B2608" i="9"/>
  <c r="A2608" i="9"/>
  <c r="E2607" i="9"/>
  <c r="D2607" i="9"/>
  <c r="C2607" i="9"/>
  <c r="B2607" i="9"/>
  <c r="A2607" i="9"/>
  <c r="E2606" i="9"/>
  <c r="D2606" i="9"/>
  <c r="C2606" i="9"/>
  <c r="B2606" i="9"/>
  <c r="A2606" i="9"/>
  <c r="E2605" i="9"/>
  <c r="D2605" i="9"/>
  <c r="C2605" i="9"/>
  <c r="B2605" i="9"/>
  <c r="A2605" i="9"/>
  <c r="E2604" i="9"/>
  <c r="D2604" i="9"/>
  <c r="C2604" i="9"/>
  <c r="B2604" i="9"/>
  <c r="A2604" i="9"/>
  <c r="E2603" i="9"/>
  <c r="D2603" i="9"/>
  <c r="C2603" i="9"/>
  <c r="B2603" i="9"/>
  <c r="A2603" i="9"/>
  <c r="E2602" i="9"/>
  <c r="D2602" i="9"/>
  <c r="C2602" i="9"/>
  <c r="B2602" i="9"/>
  <c r="A2602" i="9"/>
  <c r="E2601" i="9"/>
  <c r="D2601" i="9"/>
  <c r="C2601" i="9"/>
  <c r="B2601" i="9"/>
  <c r="A2601" i="9"/>
  <c r="E2600" i="9"/>
  <c r="D2600" i="9"/>
  <c r="C2600" i="9"/>
  <c r="B2600" i="9"/>
  <c r="A2600" i="9"/>
  <c r="E2599" i="9"/>
  <c r="D2599" i="9"/>
  <c r="C2599" i="9"/>
  <c r="B2599" i="9"/>
  <c r="A2599" i="9"/>
  <c r="E2598" i="9"/>
  <c r="D2598" i="9"/>
  <c r="C2598" i="9"/>
  <c r="B2598" i="9"/>
  <c r="A2598" i="9"/>
  <c r="E2597" i="9"/>
  <c r="D2597" i="9"/>
  <c r="C2597" i="9"/>
  <c r="B2597" i="9"/>
  <c r="A2597" i="9"/>
  <c r="E2596" i="9"/>
  <c r="D2596" i="9"/>
  <c r="C2596" i="9"/>
  <c r="B2596" i="9"/>
  <c r="A2596" i="9"/>
  <c r="E2595" i="9"/>
  <c r="D2595" i="9"/>
  <c r="C2595" i="9"/>
  <c r="B2595" i="9"/>
  <c r="A2595" i="9"/>
  <c r="E2594" i="9"/>
  <c r="D2594" i="9"/>
  <c r="C2594" i="9"/>
  <c r="B2594" i="9"/>
  <c r="A2594" i="9"/>
  <c r="E2593" i="9"/>
  <c r="D2593" i="9"/>
  <c r="C2593" i="9"/>
  <c r="B2593" i="9"/>
  <c r="A2593" i="9"/>
  <c r="E2592" i="9"/>
  <c r="D2592" i="9"/>
  <c r="C2592" i="9"/>
  <c r="B2592" i="9"/>
  <c r="A2592" i="9"/>
  <c r="E2591" i="9"/>
  <c r="D2591" i="9"/>
  <c r="C2591" i="9"/>
  <c r="B2591" i="9"/>
  <c r="A2591" i="9"/>
  <c r="E2590" i="9"/>
  <c r="D2590" i="9"/>
  <c r="C2590" i="9"/>
  <c r="B2590" i="9"/>
  <c r="A2590" i="9"/>
  <c r="E2589" i="9"/>
  <c r="D2589" i="9"/>
  <c r="C2589" i="9"/>
  <c r="B2589" i="9"/>
  <c r="A2589" i="9"/>
  <c r="E2588" i="9"/>
  <c r="D2588" i="9"/>
  <c r="C2588" i="9"/>
  <c r="B2588" i="9"/>
  <c r="A2588" i="9"/>
  <c r="E2587" i="9"/>
  <c r="D2587" i="9"/>
  <c r="C2587" i="9"/>
  <c r="B2587" i="9"/>
  <c r="A2587" i="9"/>
  <c r="E2586" i="9"/>
  <c r="D2586" i="9"/>
  <c r="C2586" i="9"/>
  <c r="B2586" i="9"/>
  <c r="A2586" i="9"/>
  <c r="E2585" i="9"/>
  <c r="D2585" i="9"/>
  <c r="C2585" i="9"/>
  <c r="B2585" i="9"/>
  <c r="A2585" i="9"/>
  <c r="E2584" i="9"/>
  <c r="D2584" i="9"/>
  <c r="C2584" i="9"/>
  <c r="B2584" i="9"/>
  <c r="A2584" i="9"/>
  <c r="E2583" i="9"/>
  <c r="D2583" i="9"/>
  <c r="C2583" i="9"/>
  <c r="B2583" i="9"/>
  <c r="A2583" i="9"/>
  <c r="E2582" i="9"/>
  <c r="D2582" i="9"/>
  <c r="C2582" i="9"/>
  <c r="B2582" i="9"/>
  <c r="A2582" i="9"/>
  <c r="E2581" i="9"/>
  <c r="D2581" i="9"/>
  <c r="C2581" i="9"/>
  <c r="B2581" i="9"/>
  <c r="A2581" i="9"/>
  <c r="E2580" i="9"/>
  <c r="D2580" i="9"/>
  <c r="C2580" i="9"/>
  <c r="B2580" i="9"/>
  <c r="A2580" i="9"/>
  <c r="E2579" i="9"/>
  <c r="D2579" i="9"/>
  <c r="C2579" i="9"/>
  <c r="B2579" i="9"/>
  <c r="A2579" i="9"/>
  <c r="E2578" i="9"/>
  <c r="D2578" i="9"/>
  <c r="C2578" i="9"/>
  <c r="B2578" i="9"/>
  <c r="A2578" i="9"/>
  <c r="E2577" i="9"/>
  <c r="D2577" i="9"/>
  <c r="C2577" i="9"/>
  <c r="B2577" i="9"/>
  <c r="A2577" i="9"/>
  <c r="E2576" i="9"/>
  <c r="D2576" i="9"/>
  <c r="C2576" i="9"/>
  <c r="B2576" i="9"/>
  <c r="A2576" i="9"/>
  <c r="E2575" i="9"/>
  <c r="D2575" i="9"/>
  <c r="C2575" i="9"/>
  <c r="B2575" i="9"/>
  <c r="A2575" i="9"/>
  <c r="E2574" i="9"/>
  <c r="D2574" i="9"/>
  <c r="C2574" i="9"/>
  <c r="B2574" i="9"/>
  <c r="A2574" i="9"/>
  <c r="E2573" i="9"/>
  <c r="D2573" i="9"/>
  <c r="C2573" i="9"/>
  <c r="B2573" i="9"/>
  <c r="A2573" i="9"/>
  <c r="E2572" i="9"/>
  <c r="D2572" i="9"/>
  <c r="C2572" i="9"/>
  <c r="B2572" i="9"/>
  <c r="A2572" i="9"/>
  <c r="E2571" i="9"/>
  <c r="D2571" i="9"/>
  <c r="C2571" i="9"/>
  <c r="B2571" i="9"/>
  <c r="A2571" i="9"/>
  <c r="E2570" i="9"/>
  <c r="D2570" i="9"/>
  <c r="C2570" i="9"/>
  <c r="B2570" i="9"/>
  <c r="A2570" i="9"/>
  <c r="E2569" i="9"/>
  <c r="D2569" i="9"/>
  <c r="C2569" i="9"/>
  <c r="B2569" i="9"/>
  <c r="A2569" i="9"/>
  <c r="E2568" i="9"/>
  <c r="D2568" i="9"/>
  <c r="C2568" i="9"/>
  <c r="B2568" i="9"/>
  <c r="A2568" i="9"/>
  <c r="E2567" i="9"/>
  <c r="D2567" i="9"/>
  <c r="C2567" i="9"/>
  <c r="B2567" i="9"/>
  <c r="A2567" i="9"/>
  <c r="E2566" i="9"/>
  <c r="D2566" i="9"/>
  <c r="C2566" i="9"/>
  <c r="B2566" i="9"/>
  <c r="A2566" i="9"/>
  <c r="E2565" i="9"/>
  <c r="D2565" i="9"/>
  <c r="C2565" i="9"/>
  <c r="B2565" i="9"/>
  <c r="A2565" i="9"/>
  <c r="E2564" i="9"/>
  <c r="D2564" i="9"/>
  <c r="C2564" i="9"/>
  <c r="B2564" i="9"/>
  <c r="A2564" i="9"/>
  <c r="E2563" i="9"/>
  <c r="D2563" i="9"/>
  <c r="C2563" i="9"/>
  <c r="B2563" i="9"/>
  <c r="A2563" i="9"/>
  <c r="E2562" i="9"/>
  <c r="D2562" i="9"/>
  <c r="C2562" i="9"/>
  <c r="B2562" i="9"/>
  <c r="A2562" i="9"/>
  <c r="E2561" i="9"/>
  <c r="D2561" i="9"/>
  <c r="C2561" i="9"/>
  <c r="B2561" i="9"/>
  <c r="A2561" i="9"/>
  <c r="E2560" i="9"/>
  <c r="D2560" i="9"/>
  <c r="C2560" i="9"/>
  <c r="B2560" i="9"/>
  <c r="A2560" i="9"/>
  <c r="E2559" i="9"/>
  <c r="D2559" i="9"/>
  <c r="C2559" i="9"/>
  <c r="B2559" i="9"/>
  <c r="A2559" i="9"/>
  <c r="E2558" i="9"/>
  <c r="D2558" i="9"/>
  <c r="C2558" i="9"/>
  <c r="B2558" i="9"/>
  <c r="A2558" i="9"/>
  <c r="E2557" i="9"/>
  <c r="D2557" i="9"/>
  <c r="C2557" i="9"/>
  <c r="B2557" i="9"/>
  <c r="A2557" i="9"/>
  <c r="E2556" i="9"/>
  <c r="D2556" i="9"/>
  <c r="C2556" i="9"/>
  <c r="B2556" i="9"/>
  <c r="A2556" i="9"/>
  <c r="E2555" i="9"/>
  <c r="D2555" i="9"/>
  <c r="C2555" i="9"/>
  <c r="B2555" i="9"/>
  <c r="A2555" i="9"/>
  <c r="E2554" i="9"/>
  <c r="D2554" i="9"/>
  <c r="C2554" i="9"/>
  <c r="B2554" i="9"/>
  <c r="A2554" i="9"/>
  <c r="E2553" i="9"/>
  <c r="D2553" i="9"/>
  <c r="C2553" i="9"/>
  <c r="B2553" i="9"/>
  <c r="A2553" i="9"/>
  <c r="E2552" i="9"/>
  <c r="D2552" i="9"/>
  <c r="C2552" i="9"/>
  <c r="B2552" i="9"/>
  <c r="A2552" i="9"/>
  <c r="E2551" i="9"/>
  <c r="D2551" i="9"/>
  <c r="C2551" i="9"/>
  <c r="B2551" i="9"/>
  <c r="A2551" i="9"/>
  <c r="E2550" i="9"/>
  <c r="D2550" i="9"/>
  <c r="C2550" i="9"/>
  <c r="B2550" i="9"/>
  <c r="A2550" i="9"/>
  <c r="E2549" i="9"/>
  <c r="D2549" i="9"/>
  <c r="C2549" i="9"/>
  <c r="B2549" i="9"/>
  <c r="A2549" i="9"/>
  <c r="E2548" i="9"/>
  <c r="D2548" i="9"/>
  <c r="C2548" i="9"/>
  <c r="B2548" i="9"/>
  <c r="A2548" i="9"/>
  <c r="E2547" i="9"/>
  <c r="D2547" i="9"/>
  <c r="C2547" i="9"/>
  <c r="B2547" i="9"/>
  <c r="A2547" i="9"/>
  <c r="E2546" i="9"/>
  <c r="D2546" i="9"/>
  <c r="C2546" i="9"/>
  <c r="B2546" i="9"/>
  <c r="A2546" i="9"/>
  <c r="E2545" i="9"/>
  <c r="D2545" i="9"/>
  <c r="C2545" i="9"/>
  <c r="B2545" i="9"/>
  <c r="A2545" i="9"/>
  <c r="E2544" i="9"/>
  <c r="D2544" i="9"/>
  <c r="C2544" i="9"/>
  <c r="B2544" i="9"/>
  <c r="A2544" i="9"/>
  <c r="E2543" i="9"/>
  <c r="D2543" i="9"/>
  <c r="C2543" i="9"/>
  <c r="B2543" i="9"/>
  <c r="A2543" i="9"/>
  <c r="E2542" i="9"/>
  <c r="D2542" i="9"/>
  <c r="C2542" i="9"/>
  <c r="B2542" i="9"/>
  <c r="A2542" i="9"/>
  <c r="E2541" i="9"/>
  <c r="D2541" i="9"/>
  <c r="C2541" i="9"/>
  <c r="B2541" i="9"/>
  <c r="A2541" i="9"/>
  <c r="E2540" i="9"/>
  <c r="D2540" i="9"/>
  <c r="C2540" i="9"/>
  <c r="B2540" i="9"/>
  <c r="A2540" i="9"/>
  <c r="E2539" i="9"/>
  <c r="D2539" i="9"/>
  <c r="C2539" i="9"/>
  <c r="B2539" i="9"/>
  <c r="A2539" i="9"/>
  <c r="E2538" i="9"/>
  <c r="D2538" i="9"/>
  <c r="C2538" i="9"/>
  <c r="B2538" i="9"/>
  <c r="A2538" i="9"/>
  <c r="E2537" i="9"/>
  <c r="D2537" i="9"/>
  <c r="C2537" i="9"/>
  <c r="B2537" i="9"/>
  <c r="A2537" i="9"/>
  <c r="E2536" i="9"/>
  <c r="D2536" i="9"/>
  <c r="C2536" i="9"/>
  <c r="B2536" i="9"/>
  <c r="A2536" i="9"/>
  <c r="E2535" i="9"/>
  <c r="D2535" i="9"/>
  <c r="C2535" i="9"/>
  <c r="B2535" i="9"/>
  <c r="A2535" i="9"/>
  <c r="E2534" i="9"/>
  <c r="D2534" i="9"/>
  <c r="C2534" i="9"/>
  <c r="B2534" i="9"/>
  <c r="A2534" i="9"/>
  <c r="E2533" i="9"/>
  <c r="D2533" i="9"/>
  <c r="C2533" i="9"/>
  <c r="B2533" i="9"/>
  <c r="A2533" i="9"/>
  <c r="E2532" i="9"/>
  <c r="D2532" i="9"/>
  <c r="C2532" i="9"/>
  <c r="B2532" i="9"/>
  <c r="A2532" i="9"/>
  <c r="E2531" i="9"/>
  <c r="D2531" i="9"/>
  <c r="C2531" i="9"/>
  <c r="B2531" i="9"/>
  <c r="A2531" i="9"/>
  <c r="E2530" i="9"/>
  <c r="D2530" i="9"/>
  <c r="C2530" i="9"/>
  <c r="B2530" i="9"/>
  <c r="A2530" i="9"/>
  <c r="E2529" i="9"/>
  <c r="D2529" i="9"/>
  <c r="C2529" i="9"/>
  <c r="B2529" i="9"/>
  <c r="A2529" i="9"/>
  <c r="E2528" i="9"/>
  <c r="D2528" i="9"/>
  <c r="C2528" i="9"/>
  <c r="B2528" i="9"/>
  <c r="A2528" i="9"/>
  <c r="E2527" i="9"/>
  <c r="D2527" i="9"/>
  <c r="C2527" i="9"/>
  <c r="B2527" i="9"/>
  <c r="A2527" i="9"/>
  <c r="E2526" i="9"/>
  <c r="D2526" i="9"/>
  <c r="C2526" i="9"/>
  <c r="B2526" i="9"/>
  <c r="A2526" i="9"/>
  <c r="E2525" i="9"/>
  <c r="D2525" i="9"/>
  <c r="C2525" i="9"/>
  <c r="B2525" i="9"/>
  <c r="A2525" i="9"/>
  <c r="E2524" i="9"/>
  <c r="D2524" i="9"/>
  <c r="C2524" i="9"/>
  <c r="B2524" i="9"/>
  <c r="A2524" i="9"/>
  <c r="E2523" i="9"/>
  <c r="D2523" i="9"/>
  <c r="C2523" i="9"/>
  <c r="B2523" i="9"/>
  <c r="A2523" i="9"/>
  <c r="E2522" i="9"/>
  <c r="D2522" i="9"/>
  <c r="C2522" i="9"/>
  <c r="B2522" i="9"/>
  <c r="A2522" i="9"/>
  <c r="E2521" i="9"/>
  <c r="D2521" i="9"/>
  <c r="C2521" i="9"/>
  <c r="B2521" i="9"/>
  <c r="A2521" i="9"/>
  <c r="E2520" i="9"/>
  <c r="D2520" i="9"/>
  <c r="C2520" i="9"/>
  <c r="B2520" i="9"/>
  <c r="A2520" i="9"/>
  <c r="E2519" i="9"/>
  <c r="D2519" i="9"/>
  <c r="C2519" i="9"/>
  <c r="B2519" i="9"/>
  <c r="A2519" i="9"/>
  <c r="E2518" i="9"/>
  <c r="D2518" i="9"/>
  <c r="C2518" i="9"/>
  <c r="B2518" i="9"/>
  <c r="A2518" i="9"/>
  <c r="E2517" i="9"/>
  <c r="D2517" i="9"/>
  <c r="C2517" i="9"/>
  <c r="B2517" i="9"/>
  <c r="A2517" i="9"/>
  <c r="E2516" i="9"/>
  <c r="D2516" i="9"/>
  <c r="C2516" i="9"/>
  <c r="B2516" i="9"/>
  <c r="A2516" i="9"/>
  <c r="E2515" i="9"/>
  <c r="D2515" i="9"/>
  <c r="C2515" i="9"/>
  <c r="B2515" i="9"/>
  <c r="A2515" i="9"/>
  <c r="E2514" i="9"/>
  <c r="D2514" i="9"/>
  <c r="C2514" i="9"/>
  <c r="B2514" i="9"/>
  <c r="A2514" i="9"/>
  <c r="E2513" i="9"/>
  <c r="D2513" i="9"/>
  <c r="C2513" i="9"/>
  <c r="B2513" i="9"/>
  <c r="A2513" i="9"/>
  <c r="E2512" i="9"/>
  <c r="D2512" i="9"/>
  <c r="C2512" i="9"/>
  <c r="B2512" i="9"/>
  <c r="A2512" i="9"/>
  <c r="E2511" i="9"/>
  <c r="D2511" i="9"/>
  <c r="C2511" i="9"/>
  <c r="B2511" i="9"/>
  <c r="A2511" i="9"/>
  <c r="E2510" i="9"/>
  <c r="D2510" i="9"/>
  <c r="C2510" i="9"/>
  <c r="B2510" i="9"/>
  <c r="A2510" i="9"/>
  <c r="E2509" i="9"/>
  <c r="D2509" i="9"/>
  <c r="C2509" i="9"/>
  <c r="B2509" i="9"/>
  <c r="A2509" i="9"/>
  <c r="E2508" i="9"/>
  <c r="D2508" i="9"/>
  <c r="C2508" i="9"/>
  <c r="B2508" i="9"/>
  <c r="A2508" i="9"/>
  <c r="E2507" i="9"/>
  <c r="D2507" i="9"/>
  <c r="C2507" i="9"/>
  <c r="B2507" i="9"/>
  <c r="A2507" i="9"/>
  <c r="E2506" i="9"/>
  <c r="D2506" i="9"/>
  <c r="C2506" i="9"/>
  <c r="B2506" i="9"/>
  <c r="A2506" i="9"/>
  <c r="E2505" i="9"/>
  <c r="D2505" i="9"/>
  <c r="C2505" i="9"/>
  <c r="B2505" i="9"/>
  <c r="A2505" i="9"/>
  <c r="E2504" i="9"/>
  <c r="D2504" i="9"/>
  <c r="C2504" i="9"/>
  <c r="B2504" i="9"/>
  <c r="A2504" i="9"/>
  <c r="E2503" i="9"/>
  <c r="D2503" i="9"/>
  <c r="C2503" i="9"/>
  <c r="B2503" i="9"/>
  <c r="A2503" i="9"/>
  <c r="E2502" i="9"/>
  <c r="D2502" i="9"/>
  <c r="C2502" i="9"/>
  <c r="B2502" i="9"/>
  <c r="A2502" i="9"/>
  <c r="E2501" i="9"/>
  <c r="D2501" i="9"/>
  <c r="C2501" i="9"/>
  <c r="B2501" i="9"/>
  <c r="A2501" i="9"/>
  <c r="E2500" i="9"/>
  <c r="D2500" i="9"/>
  <c r="C2500" i="9"/>
  <c r="B2500" i="9"/>
  <c r="A2500" i="9"/>
  <c r="E2499" i="9"/>
  <c r="D2499" i="9"/>
  <c r="C2499" i="9"/>
  <c r="B2499" i="9"/>
  <c r="A2499" i="9"/>
  <c r="E2498" i="9"/>
  <c r="D2498" i="9"/>
  <c r="C2498" i="9"/>
  <c r="B2498" i="9"/>
  <c r="A2498" i="9"/>
  <c r="E2497" i="9"/>
  <c r="D2497" i="9"/>
  <c r="C2497" i="9"/>
  <c r="B2497" i="9"/>
  <c r="A2497" i="9"/>
  <c r="E2496" i="9"/>
  <c r="D2496" i="9"/>
  <c r="C2496" i="9"/>
  <c r="B2496" i="9"/>
  <c r="A2496" i="9"/>
  <c r="E2495" i="9"/>
  <c r="D2495" i="9"/>
  <c r="C2495" i="9"/>
  <c r="B2495" i="9"/>
  <c r="A2495" i="9"/>
  <c r="E2494" i="9"/>
  <c r="D2494" i="9"/>
  <c r="C2494" i="9"/>
  <c r="B2494" i="9"/>
  <c r="A2494" i="9"/>
  <c r="E2493" i="9"/>
  <c r="D2493" i="9"/>
  <c r="C2493" i="9"/>
  <c r="B2493" i="9"/>
  <c r="A2493" i="9"/>
  <c r="E2492" i="9"/>
  <c r="D2492" i="9"/>
  <c r="C2492" i="9"/>
  <c r="B2492" i="9"/>
  <c r="A2492" i="9"/>
  <c r="E2491" i="9"/>
  <c r="D2491" i="9"/>
  <c r="C2491" i="9"/>
  <c r="B2491" i="9"/>
  <c r="A2491" i="9"/>
  <c r="E2490" i="9"/>
  <c r="D2490" i="9"/>
  <c r="C2490" i="9"/>
  <c r="B2490" i="9"/>
  <c r="A2490" i="9"/>
  <c r="E2489" i="9"/>
  <c r="D2489" i="9"/>
  <c r="C2489" i="9"/>
  <c r="B2489" i="9"/>
  <c r="A2489" i="9"/>
  <c r="E2488" i="9"/>
  <c r="D2488" i="9"/>
  <c r="C2488" i="9"/>
  <c r="B2488" i="9"/>
  <c r="A2488" i="9"/>
  <c r="E2487" i="9"/>
  <c r="D2487" i="9"/>
  <c r="C2487" i="9"/>
  <c r="B2487" i="9"/>
  <c r="A2487" i="9"/>
  <c r="E2486" i="9"/>
  <c r="D2486" i="9"/>
  <c r="C2486" i="9"/>
  <c r="B2486" i="9"/>
  <c r="A2486" i="9"/>
  <c r="E2485" i="9"/>
  <c r="D2485" i="9"/>
  <c r="C2485" i="9"/>
  <c r="B2485" i="9"/>
  <c r="A2485" i="9"/>
  <c r="E2484" i="9"/>
  <c r="D2484" i="9"/>
  <c r="C2484" i="9"/>
  <c r="B2484" i="9"/>
  <c r="A2484" i="9"/>
  <c r="E2483" i="9"/>
  <c r="D2483" i="9"/>
  <c r="C2483" i="9"/>
  <c r="B2483" i="9"/>
  <c r="A2483" i="9"/>
  <c r="E2482" i="9"/>
  <c r="D2482" i="9"/>
  <c r="C2482" i="9"/>
  <c r="B2482" i="9"/>
  <c r="A2482" i="9"/>
  <c r="E2481" i="9"/>
  <c r="D2481" i="9"/>
  <c r="C2481" i="9"/>
  <c r="B2481" i="9"/>
  <c r="A2481" i="9"/>
  <c r="E2480" i="9"/>
  <c r="D2480" i="9"/>
  <c r="C2480" i="9"/>
  <c r="B2480" i="9"/>
  <c r="A2480" i="9"/>
  <c r="E2479" i="9"/>
  <c r="D2479" i="9"/>
  <c r="C2479" i="9"/>
  <c r="B2479" i="9"/>
  <c r="A2479" i="9"/>
  <c r="E2478" i="9"/>
  <c r="D2478" i="9"/>
  <c r="C2478" i="9"/>
  <c r="B2478" i="9"/>
  <c r="A2478" i="9"/>
  <c r="E2477" i="9"/>
  <c r="D2477" i="9"/>
  <c r="C2477" i="9"/>
  <c r="B2477" i="9"/>
  <c r="A2477" i="9"/>
  <c r="E2476" i="9"/>
  <c r="D2476" i="9"/>
  <c r="C2476" i="9"/>
  <c r="B2476" i="9"/>
  <c r="A2476" i="9"/>
  <c r="E2475" i="9"/>
  <c r="D2475" i="9"/>
  <c r="C2475" i="9"/>
  <c r="B2475" i="9"/>
  <c r="A2475" i="9"/>
  <c r="E2474" i="9"/>
  <c r="D2474" i="9"/>
  <c r="C2474" i="9"/>
  <c r="B2474" i="9"/>
  <c r="A2474" i="9"/>
  <c r="E2473" i="9"/>
  <c r="D2473" i="9"/>
  <c r="C2473" i="9"/>
  <c r="B2473" i="9"/>
  <c r="A2473" i="9"/>
  <c r="E2472" i="9"/>
  <c r="D2472" i="9"/>
  <c r="C2472" i="9"/>
  <c r="B2472" i="9"/>
  <c r="A2472" i="9"/>
  <c r="E2471" i="9"/>
  <c r="D2471" i="9"/>
  <c r="C2471" i="9"/>
  <c r="B2471" i="9"/>
  <c r="A2471" i="9"/>
  <c r="E2470" i="9"/>
  <c r="D2470" i="9"/>
  <c r="C2470" i="9"/>
  <c r="B2470" i="9"/>
  <c r="A2470" i="9"/>
  <c r="E2469" i="9"/>
  <c r="D2469" i="9"/>
  <c r="C2469" i="9"/>
  <c r="B2469" i="9"/>
  <c r="A2469" i="9"/>
  <c r="E2468" i="9"/>
  <c r="D2468" i="9"/>
  <c r="C2468" i="9"/>
  <c r="B2468" i="9"/>
  <c r="A2468" i="9"/>
  <c r="E2467" i="9"/>
  <c r="D2467" i="9"/>
  <c r="C2467" i="9"/>
  <c r="B2467" i="9"/>
  <c r="A2467" i="9"/>
  <c r="E2466" i="9"/>
  <c r="D2466" i="9"/>
  <c r="C2466" i="9"/>
  <c r="B2466" i="9"/>
  <c r="A2466" i="9"/>
  <c r="E2465" i="9"/>
  <c r="D2465" i="9"/>
  <c r="C2465" i="9"/>
  <c r="B2465" i="9"/>
  <c r="A2465" i="9"/>
  <c r="E2464" i="9"/>
  <c r="D2464" i="9"/>
  <c r="C2464" i="9"/>
  <c r="B2464" i="9"/>
  <c r="A2464" i="9"/>
  <c r="E2463" i="9"/>
  <c r="D2463" i="9"/>
  <c r="C2463" i="9"/>
  <c r="B2463" i="9"/>
  <c r="A2463" i="9"/>
  <c r="E2462" i="9"/>
  <c r="D2462" i="9"/>
  <c r="C2462" i="9"/>
  <c r="B2462" i="9"/>
  <c r="A2462" i="9"/>
  <c r="E2461" i="9"/>
  <c r="D2461" i="9"/>
  <c r="C2461" i="9"/>
  <c r="B2461" i="9"/>
  <c r="A2461" i="9"/>
  <c r="E2460" i="9"/>
  <c r="D2460" i="9"/>
  <c r="C2460" i="9"/>
  <c r="B2460" i="9"/>
  <c r="A2460" i="9"/>
  <c r="E2459" i="9"/>
  <c r="D2459" i="9"/>
  <c r="C2459" i="9"/>
  <c r="B2459" i="9"/>
  <c r="A2459" i="9"/>
  <c r="E2458" i="9"/>
  <c r="D2458" i="9"/>
  <c r="C2458" i="9"/>
  <c r="B2458" i="9"/>
  <c r="A2458" i="9"/>
  <c r="E2457" i="9"/>
  <c r="D2457" i="9"/>
  <c r="C2457" i="9"/>
  <c r="B2457" i="9"/>
  <c r="A2457" i="9"/>
  <c r="E2456" i="9"/>
  <c r="D2456" i="9"/>
  <c r="C2456" i="9"/>
  <c r="B2456" i="9"/>
  <c r="A2456" i="9"/>
  <c r="E2455" i="9"/>
  <c r="D2455" i="9"/>
  <c r="C2455" i="9"/>
  <c r="B2455" i="9"/>
  <c r="A2455" i="9"/>
  <c r="E2454" i="9"/>
  <c r="D2454" i="9"/>
  <c r="C2454" i="9"/>
  <c r="B2454" i="9"/>
  <c r="A2454" i="9"/>
  <c r="E2453" i="9"/>
  <c r="D2453" i="9"/>
  <c r="C2453" i="9"/>
  <c r="B2453" i="9"/>
  <c r="A2453" i="9"/>
  <c r="E2452" i="9"/>
  <c r="D2452" i="9"/>
  <c r="C2452" i="9"/>
  <c r="B2452" i="9"/>
  <c r="A2452" i="9"/>
  <c r="E2451" i="9"/>
  <c r="D2451" i="9"/>
  <c r="C2451" i="9"/>
  <c r="B2451" i="9"/>
  <c r="A2451" i="9"/>
  <c r="E2450" i="9"/>
  <c r="D2450" i="9"/>
  <c r="C2450" i="9"/>
  <c r="B2450" i="9"/>
  <c r="A2450" i="9"/>
  <c r="E2449" i="9"/>
  <c r="D2449" i="9"/>
  <c r="C2449" i="9"/>
  <c r="B2449" i="9"/>
  <c r="A2449" i="9"/>
  <c r="E2448" i="9"/>
  <c r="D2448" i="9"/>
  <c r="C2448" i="9"/>
  <c r="B2448" i="9"/>
  <c r="A2448" i="9"/>
  <c r="E2447" i="9"/>
  <c r="D2447" i="9"/>
  <c r="C2447" i="9"/>
  <c r="B2447" i="9"/>
  <c r="A2447" i="9"/>
  <c r="E2446" i="9"/>
  <c r="D2446" i="9"/>
  <c r="C2446" i="9"/>
  <c r="B2446" i="9"/>
  <c r="A2446" i="9"/>
  <c r="E2445" i="9"/>
  <c r="D2445" i="9"/>
  <c r="C2445" i="9"/>
  <c r="B2445" i="9"/>
  <c r="A2445" i="9"/>
  <c r="E2444" i="9"/>
  <c r="D2444" i="9"/>
  <c r="C2444" i="9"/>
  <c r="B2444" i="9"/>
  <c r="A2444" i="9"/>
  <c r="E2443" i="9"/>
  <c r="D2443" i="9"/>
  <c r="C2443" i="9"/>
  <c r="B2443" i="9"/>
  <c r="A2443" i="9"/>
  <c r="E2442" i="9"/>
  <c r="D2442" i="9"/>
  <c r="C2442" i="9"/>
  <c r="B2442" i="9"/>
  <c r="A2442" i="9"/>
  <c r="E2441" i="9"/>
  <c r="D2441" i="9"/>
  <c r="C2441" i="9"/>
  <c r="B2441" i="9"/>
  <c r="A2441" i="9"/>
  <c r="E2440" i="9"/>
  <c r="D2440" i="9"/>
  <c r="C2440" i="9"/>
  <c r="B2440" i="9"/>
  <c r="A2440" i="9"/>
  <c r="E2439" i="9"/>
  <c r="D2439" i="9"/>
  <c r="C2439" i="9"/>
  <c r="B2439" i="9"/>
  <c r="A2439" i="9"/>
  <c r="E2438" i="9"/>
  <c r="D2438" i="9"/>
  <c r="C2438" i="9"/>
  <c r="B2438" i="9"/>
  <c r="A2438" i="9"/>
  <c r="E2437" i="9"/>
  <c r="D2437" i="9"/>
  <c r="C2437" i="9"/>
  <c r="B2437" i="9"/>
  <c r="A2437" i="9"/>
  <c r="E2436" i="9"/>
  <c r="D2436" i="9"/>
  <c r="C2436" i="9"/>
  <c r="B2436" i="9"/>
  <c r="A2436" i="9"/>
  <c r="E2435" i="9"/>
  <c r="D2435" i="9"/>
  <c r="C2435" i="9"/>
  <c r="B2435" i="9"/>
  <c r="A2435" i="9"/>
  <c r="E2434" i="9"/>
  <c r="D2434" i="9"/>
  <c r="C2434" i="9"/>
  <c r="B2434" i="9"/>
  <c r="A2434" i="9"/>
  <c r="E2433" i="9"/>
  <c r="D2433" i="9"/>
  <c r="C2433" i="9"/>
  <c r="B2433" i="9"/>
  <c r="A2433" i="9"/>
  <c r="E2432" i="9"/>
  <c r="D2432" i="9"/>
  <c r="C2432" i="9"/>
  <c r="B2432" i="9"/>
  <c r="A2432" i="9"/>
  <c r="E2431" i="9"/>
  <c r="D2431" i="9"/>
  <c r="C2431" i="9"/>
  <c r="B2431" i="9"/>
  <c r="A2431" i="9"/>
  <c r="E2430" i="9"/>
  <c r="D2430" i="9"/>
  <c r="C2430" i="9"/>
  <c r="B2430" i="9"/>
  <c r="A2430" i="9"/>
  <c r="E2429" i="9"/>
  <c r="D2429" i="9"/>
  <c r="C2429" i="9"/>
  <c r="B2429" i="9"/>
  <c r="A2429" i="9"/>
  <c r="E2428" i="9"/>
  <c r="D2428" i="9"/>
  <c r="C2428" i="9"/>
  <c r="B2428" i="9"/>
  <c r="A2428" i="9"/>
  <c r="E2427" i="9"/>
  <c r="D2427" i="9"/>
  <c r="C2427" i="9"/>
  <c r="B2427" i="9"/>
  <c r="A2427" i="9"/>
  <c r="E2426" i="9"/>
  <c r="D2426" i="9"/>
  <c r="C2426" i="9"/>
  <c r="B2426" i="9"/>
  <c r="A2426" i="9"/>
  <c r="E2425" i="9"/>
  <c r="D2425" i="9"/>
  <c r="C2425" i="9"/>
  <c r="B2425" i="9"/>
  <c r="A2425" i="9"/>
  <c r="E2424" i="9"/>
  <c r="D2424" i="9"/>
  <c r="C2424" i="9"/>
  <c r="B2424" i="9"/>
  <c r="A2424" i="9"/>
  <c r="E2423" i="9"/>
  <c r="D2423" i="9"/>
  <c r="C2423" i="9"/>
  <c r="B2423" i="9"/>
  <c r="A2423" i="9"/>
  <c r="E2422" i="9"/>
  <c r="D2422" i="9"/>
  <c r="C2422" i="9"/>
  <c r="B2422" i="9"/>
  <c r="A2422" i="9"/>
  <c r="E2421" i="9"/>
  <c r="D2421" i="9"/>
  <c r="C2421" i="9"/>
  <c r="B2421" i="9"/>
  <c r="A2421" i="9"/>
  <c r="E2420" i="9"/>
  <c r="D2420" i="9"/>
  <c r="C2420" i="9"/>
  <c r="B2420" i="9"/>
  <c r="A2420" i="9"/>
  <c r="E2419" i="9"/>
  <c r="D2419" i="9"/>
  <c r="C2419" i="9"/>
  <c r="B2419" i="9"/>
  <c r="A2419" i="9"/>
  <c r="E2418" i="9"/>
  <c r="D2418" i="9"/>
  <c r="C2418" i="9"/>
  <c r="B2418" i="9"/>
  <c r="A2418" i="9"/>
  <c r="E2417" i="9"/>
  <c r="D2417" i="9"/>
  <c r="C2417" i="9"/>
  <c r="B2417" i="9"/>
  <c r="A2417" i="9"/>
  <c r="E2416" i="9"/>
  <c r="D2416" i="9"/>
  <c r="C2416" i="9"/>
  <c r="B2416" i="9"/>
  <c r="A2416" i="9"/>
  <c r="E2415" i="9"/>
  <c r="D2415" i="9"/>
  <c r="C2415" i="9"/>
  <c r="B2415" i="9"/>
  <c r="A2415" i="9"/>
  <c r="E2414" i="9"/>
  <c r="D2414" i="9"/>
  <c r="C2414" i="9"/>
  <c r="B2414" i="9"/>
  <c r="A2414" i="9"/>
  <c r="E2413" i="9"/>
  <c r="D2413" i="9"/>
  <c r="C2413" i="9"/>
  <c r="B2413" i="9"/>
  <c r="A2413" i="9"/>
  <c r="E2412" i="9"/>
  <c r="D2412" i="9"/>
  <c r="C2412" i="9"/>
  <c r="B2412" i="9"/>
  <c r="A2412" i="9"/>
  <c r="E2411" i="9"/>
  <c r="D2411" i="9"/>
  <c r="C2411" i="9"/>
  <c r="B2411" i="9"/>
  <c r="A2411" i="9"/>
  <c r="E2410" i="9"/>
  <c r="D2410" i="9"/>
  <c r="C2410" i="9"/>
  <c r="B2410" i="9"/>
  <c r="A2410" i="9"/>
  <c r="E2409" i="9"/>
  <c r="D2409" i="9"/>
  <c r="C2409" i="9"/>
  <c r="B2409" i="9"/>
  <c r="A2409" i="9"/>
  <c r="E2408" i="9"/>
  <c r="D2408" i="9"/>
  <c r="C2408" i="9"/>
  <c r="B2408" i="9"/>
  <c r="A2408" i="9"/>
  <c r="E2407" i="9"/>
  <c r="D2407" i="9"/>
  <c r="C2407" i="9"/>
  <c r="B2407" i="9"/>
  <c r="A2407" i="9"/>
  <c r="E2406" i="9"/>
  <c r="D2406" i="9"/>
  <c r="C2406" i="9"/>
  <c r="B2406" i="9"/>
  <c r="A2406" i="9"/>
  <c r="E2405" i="9"/>
  <c r="D2405" i="9"/>
  <c r="C2405" i="9"/>
  <c r="B2405" i="9"/>
  <c r="A2405" i="9"/>
  <c r="E2404" i="9"/>
  <c r="D2404" i="9"/>
  <c r="C2404" i="9"/>
  <c r="B2404" i="9"/>
  <c r="A2404" i="9"/>
  <c r="E2403" i="9"/>
  <c r="D2403" i="9"/>
  <c r="C2403" i="9"/>
  <c r="B2403" i="9"/>
  <c r="A2403" i="9"/>
  <c r="E2402" i="9"/>
  <c r="D2402" i="9"/>
  <c r="C2402" i="9"/>
  <c r="B2402" i="9"/>
  <c r="A2402" i="9"/>
  <c r="E2401" i="9"/>
  <c r="D2401" i="9"/>
  <c r="C2401" i="9"/>
  <c r="B2401" i="9"/>
  <c r="A2401" i="9"/>
  <c r="E2400" i="9"/>
  <c r="D2400" i="9"/>
  <c r="C2400" i="9"/>
  <c r="B2400" i="9"/>
  <c r="A2400" i="9"/>
  <c r="E2399" i="9"/>
  <c r="D2399" i="9"/>
  <c r="C2399" i="9"/>
  <c r="B2399" i="9"/>
  <c r="A2399" i="9"/>
  <c r="E2398" i="9"/>
  <c r="D2398" i="9"/>
  <c r="C2398" i="9"/>
  <c r="B2398" i="9"/>
  <c r="A2398" i="9"/>
  <c r="E2397" i="9"/>
  <c r="D2397" i="9"/>
  <c r="C2397" i="9"/>
  <c r="B2397" i="9"/>
  <c r="A2397" i="9"/>
  <c r="E2396" i="9"/>
  <c r="D2396" i="9"/>
  <c r="C2396" i="9"/>
  <c r="B2396" i="9"/>
  <c r="A2396" i="9"/>
  <c r="E2395" i="9"/>
  <c r="D2395" i="9"/>
  <c r="C2395" i="9"/>
  <c r="B2395" i="9"/>
  <c r="A2395" i="9"/>
  <c r="E2394" i="9"/>
  <c r="D2394" i="9"/>
  <c r="C2394" i="9"/>
  <c r="B2394" i="9"/>
  <c r="A2394" i="9"/>
  <c r="E2393" i="9"/>
  <c r="D2393" i="9"/>
  <c r="C2393" i="9"/>
  <c r="B2393" i="9"/>
  <c r="A2393" i="9"/>
  <c r="E2392" i="9"/>
  <c r="D2392" i="9"/>
  <c r="C2392" i="9"/>
  <c r="B2392" i="9"/>
  <c r="A2392" i="9"/>
  <c r="E2391" i="9"/>
  <c r="D2391" i="9"/>
  <c r="C2391" i="9"/>
  <c r="B2391" i="9"/>
  <c r="A2391" i="9"/>
  <c r="E2390" i="9"/>
  <c r="D2390" i="9"/>
  <c r="C2390" i="9"/>
  <c r="B2390" i="9"/>
  <c r="A2390" i="9"/>
  <c r="E2389" i="9"/>
  <c r="D2389" i="9"/>
  <c r="C2389" i="9"/>
  <c r="B2389" i="9"/>
  <c r="A2389" i="9"/>
  <c r="E2388" i="9"/>
  <c r="D2388" i="9"/>
  <c r="C2388" i="9"/>
  <c r="B2388" i="9"/>
  <c r="A2388" i="9"/>
  <c r="E2387" i="9"/>
  <c r="D2387" i="9"/>
  <c r="C2387" i="9"/>
  <c r="B2387" i="9"/>
  <c r="A2387" i="9"/>
  <c r="E2386" i="9"/>
  <c r="D2386" i="9"/>
  <c r="C2386" i="9"/>
  <c r="B2386" i="9"/>
  <c r="A2386" i="9"/>
  <c r="E2385" i="9"/>
  <c r="D2385" i="9"/>
  <c r="C2385" i="9"/>
  <c r="B2385" i="9"/>
  <c r="A2385" i="9"/>
  <c r="E2384" i="9"/>
  <c r="D2384" i="9"/>
  <c r="C2384" i="9"/>
  <c r="B2384" i="9"/>
  <c r="A2384" i="9"/>
  <c r="E2383" i="9"/>
  <c r="D2383" i="9"/>
  <c r="C2383" i="9"/>
  <c r="B2383" i="9"/>
  <c r="A2383" i="9"/>
  <c r="E2382" i="9"/>
  <c r="D2382" i="9"/>
  <c r="C2382" i="9"/>
  <c r="B2382" i="9"/>
  <c r="A2382" i="9"/>
  <c r="E2381" i="9"/>
  <c r="D2381" i="9"/>
  <c r="C2381" i="9"/>
  <c r="B2381" i="9"/>
  <c r="A2381" i="9"/>
  <c r="E2380" i="9"/>
  <c r="D2380" i="9"/>
  <c r="C2380" i="9"/>
  <c r="B2380" i="9"/>
  <c r="A2380" i="9"/>
  <c r="E2379" i="9"/>
  <c r="D2379" i="9"/>
  <c r="C2379" i="9"/>
  <c r="B2379" i="9"/>
  <c r="A2379" i="9"/>
  <c r="E2378" i="9"/>
  <c r="D2378" i="9"/>
  <c r="C2378" i="9"/>
  <c r="B2378" i="9"/>
  <c r="A2378" i="9"/>
  <c r="E2377" i="9"/>
  <c r="D2377" i="9"/>
  <c r="C2377" i="9"/>
  <c r="B2377" i="9"/>
  <c r="A2377" i="9"/>
  <c r="E2376" i="9"/>
  <c r="D2376" i="9"/>
  <c r="C2376" i="9"/>
  <c r="B2376" i="9"/>
  <c r="A2376" i="9"/>
  <c r="E2375" i="9"/>
  <c r="D2375" i="9"/>
  <c r="C2375" i="9"/>
  <c r="B2375" i="9"/>
  <c r="A2375" i="9"/>
  <c r="E2374" i="9"/>
  <c r="D2374" i="9"/>
  <c r="C2374" i="9"/>
  <c r="B2374" i="9"/>
  <c r="A2374" i="9"/>
  <c r="E2373" i="9"/>
  <c r="D2373" i="9"/>
  <c r="C2373" i="9"/>
  <c r="B2373" i="9"/>
  <c r="A2373" i="9"/>
  <c r="E2372" i="9"/>
  <c r="D2372" i="9"/>
  <c r="C2372" i="9"/>
  <c r="B2372" i="9"/>
  <c r="A2372" i="9"/>
  <c r="E2371" i="9"/>
  <c r="D2371" i="9"/>
  <c r="C2371" i="9"/>
  <c r="B2371" i="9"/>
  <c r="A2371" i="9"/>
  <c r="E2370" i="9"/>
  <c r="D2370" i="9"/>
  <c r="C2370" i="9"/>
  <c r="B2370" i="9"/>
  <c r="A2370" i="9"/>
  <c r="E2369" i="9"/>
  <c r="D2369" i="9"/>
  <c r="C2369" i="9"/>
  <c r="B2369" i="9"/>
  <c r="A2369" i="9"/>
  <c r="E2368" i="9"/>
  <c r="D2368" i="9"/>
  <c r="C2368" i="9"/>
  <c r="B2368" i="9"/>
  <c r="A2368" i="9"/>
  <c r="E2367" i="9"/>
  <c r="D2367" i="9"/>
  <c r="C2367" i="9"/>
  <c r="B2367" i="9"/>
  <c r="A2367" i="9"/>
  <c r="E2366" i="9"/>
  <c r="D2366" i="9"/>
  <c r="C2366" i="9"/>
  <c r="B2366" i="9"/>
  <c r="A2366" i="9"/>
  <c r="E2365" i="9"/>
  <c r="D2365" i="9"/>
  <c r="C2365" i="9"/>
  <c r="B2365" i="9"/>
  <c r="A2365" i="9"/>
  <c r="E2364" i="9"/>
  <c r="D2364" i="9"/>
  <c r="C2364" i="9"/>
  <c r="B2364" i="9"/>
  <c r="A2364" i="9"/>
  <c r="E2363" i="9"/>
  <c r="D2363" i="9"/>
  <c r="C2363" i="9"/>
  <c r="B2363" i="9"/>
  <c r="A2363" i="9"/>
  <c r="E2362" i="9"/>
  <c r="D2362" i="9"/>
  <c r="C2362" i="9"/>
  <c r="B2362" i="9"/>
  <c r="A2362" i="9"/>
  <c r="E2361" i="9"/>
  <c r="D2361" i="9"/>
  <c r="C2361" i="9"/>
  <c r="B2361" i="9"/>
  <c r="A2361" i="9"/>
  <c r="E2360" i="9"/>
  <c r="D2360" i="9"/>
  <c r="C2360" i="9"/>
  <c r="B2360" i="9"/>
  <c r="A2360" i="9"/>
  <c r="E2359" i="9"/>
  <c r="D2359" i="9"/>
  <c r="C2359" i="9"/>
  <c r="B2359" i="9"/>
  <c r="A2359" i="9"/>
  <c r="E2358" i="9"/>
  <c r="D2358" i="9"/>
  <c r="C2358" i="9"/>
  <c r="B2358" i="9"/>
  <c r="A2358" i="9"/>
  <c r="E2357" i="9"/>
  <c r="D2357" i="9"/>
  <c r="C2357" i="9"/>
  <c r="B2357" i="9"/>
  <c r="A2357" i="9"/>
  <c r="E2356" i="9"/>
  <c r="D2356" i="9"/>
  <c r="C2356" i="9"/>
  <c r="B2356" i="9"/>
  <c r="A2356" i="9"/>
  <c r="E2355" i="9"/>
  <c r="D2355" i="9"/>
  <c r="C2355" i="9"/>
  <c r="B2355" i="9"/>
  <c r="A2355" i="9"/>
  <c r="E2354" i="9"/>
  <c r="D2354" i="9"/>
  <c r="C2354" i="9"/>
  <c r="B2354" i="9"/>
  <c r="A2354" i="9"/>
  <c r="E2353" i="9"/>
  <c r="D2353" i="9"/>
  <c r="C2353" i="9"/>
  <c r="B2353" i="9"/>
  <c r="A2353" i="9"/>
  <c r="E2352" i="9"/>
  <c r="D2352" i="9"/>
  <c r="C2352" i="9"/>
  <c r="B2352" i="9"/>
  <c r="A2352" i="9"/>
  <c r="E2351" i="9"/>
  <c r="D2351" i="9"/>
  <c r="C2351" i="9"/>
  <c r="B2351" i="9"/>
  <c r="A2351" i="9"/>
  <c r="E2350" i="9"/>
  <c r="D2350" i="9"/>
  <c r="C2350" i="9"/>
  <c r="B2350" i="9"/>
  <c r="A2350" i="9"/>
  <c r="E2349" i="9"/>
  <c r="D2349" i="9"/>
  <c r="C2349" i="9"/>
  <c r="B2349" i="9"/>
  <c r="A2349" i="9"/>
  <c r="E2348" i="9"/>
  <c r="D2348" i="9"/>
  <c r="C2348" i="9"/>
  <c r="B2348" i="9"/>
  <c r="A2348" i="9"/>
  <c r="E2347" i="9"/>
  <c r="D2347" i="9"/>
  <c r="C2347" i="9"/>
  <c r="B2347" i="9"/>
  <c r="A2347" i="9"/>
  <c r="E2346" i="9"/>
  <c r="D2346" i="9"/>
  <c r="C2346" i="9"/>
  <c r="B2346" i="9"/>
  <c r="A2346" i="9"/>
  <c r="E2345" i="9"/>
  <c r="D2345" i="9"/>
  <c r="C2345" i="9"/>
  <c r="B2345" i="9"/>
  <c r="A2345" i="9"/>
  <c r="E2344" i="9"/>
  <c r="D2344" i="9"/>
  <c r="C2344" i="9"/>
  <c r="B2344" i="9"/>
  <c r="A2344" i="9"/>
  <c r="E2343" i="9"/>
  <c r="D2343" i="9"/>
  <c r="C2343" i="9"/>
  <c r="B2343" i="9"/>
  <c r="A2343" i="9"/>
  <c r="E2342" i="9"/>
  <c r="D2342" i="9"/>
  <c r="C2342" i="9"/>
  <c r="B2342" i="9"/>
  <c r="A2342" i="9"/>
  <c r="E2341" i="9"/>
  <c r="D2341" i="9"/>
  <c r="C2341" i="9"/>
  <c r="B2341" i="9"/>
  <c r="A2341" i="9"/>
  <c r="E2340" i="9"/>
  <c r="D2340" i="9"/>
  <c r="C2340" i="9"/>
  <c r="B2340" i="9"/>
  <c r="A2340" i="9"/>
  <c r="E2339" i="9"/>
  <c r="D2339" i="9"/>
  <c r="C2339" i="9"/>
  <c r="B2339" i="9"/>
  <c r="A2339" i="9"/>
  <c r="E2338" i="9"/>
  <c r="D2338" i="9"/>
  <c r="C2338" i="9"/>
  <c r="B2338" i="9"/>
  <c r="A2338" i="9"/>
  <c r="E2337" i="9"/>
  <c r="D2337" i="9"/>
  <c r="C2337" i="9"/>
  <c r="B2337" i="9"/>
  <c r="A2337" i="9"/>
  <c r="E2336" i="9"/>
  <c r="D2336" i="9"/>
  <c r="C2336" i="9"/>
  <c r="B2336" i="9"/>
  <c r="A2336" i="9"/>
  <c r="E2335" i="9"/>
  <c r="D2335" i="9"/>
  <c r="C2335" i="9"/>
  <c r="B2335" i="9"/>
  <c r="A2335" i="9"/>
  <c r="E2334" i="9"/>
  <c r="D2334" i="9"/>
  <c r="C2334" i="9"/>
  <c r="B2334" i="9"/>
  <c r="A2334" i="9"/>
  <c r="E2333" i="9"/>
  <c r="D2333" i="9"/>
  <c r="C2333" i="9"/>
  <c r="B2333" i="9"/>
  <c r="A2333" i="9"/>
  <c r="E2332" i="9"/>
  <c r="D2332" i="9"/>
  <c r="C2332" i="9"/>
  <c r="B2332" i="9"/>
  <c r="A2332" i="9"/>
  <c r="E2331" i="9"/>
  <c r="D2331" i="9"/>
  <c r="C2331" i="9"/>
  <c r="B2331" i="9"/>
  <c r="A2331" i="9"/>
  <c r="E2330" i="9"/>
  <c r="D2330" i="9"/>
  <c r="C2330" i="9"/>
  <c r="B2330" i="9"/>
  <c r="A2330" i="9"/>
  <c r="E2329" i="9"/>
  <c r="D2329" i="9"/>
  <c r="C2329" i="9"/>
  <c r="B2329" i="9"/>
  <c r="A2329" i="9"/>
  <c r="E2328" i="9"/>
  <c r="D2328" i="9"/>
  <c r="C2328" i="9"/>
  <c r="B2328" i="9"/>
  <c r="A2328" i="9"/>
  <c r="E2327" i="9"/>
  <c r="D2327" i="9"/>
  <c r="C2327" i="9"/>
  <c r="B2327" i="9"/>
  <c r="A2327" i="9"/>
  <c r="E2326" i="9"/>
  <c r="D2326" i="9"/>
  <c r="C2326" i="9"/>
  <c r="B2326" i="9"/>
  <c r="A2326" i="9"/>
  <c r="E2325" i="9"/>
  <c r="D2325" i="9"/>
  <c r="C2325" i="9"/>
  <c r="B2325" i="9"/>
  <c r="A2325" i="9"/>
  <c r="E2324" i="9"/>
  <c r="D2324" i="9"/>
  <c r="C2324" i="9"/>
  <c r="B2324" i="9"/>
  <c r="A2324" i="9"/>
  <c r="E2323" i="9"/>
  <c r="D2323" i="9"/>
  <c r="C2323" i="9"/>
  <c r="B2323" i="9"/>
  <c r="A2323" i="9"/>
  <c r="E2322" i="9"/>
  <c r="D2322" i="9"/>
  <c r="C2322" i="9"/>
  <c r="B2322" i="9"/>
  <c r="A2322" i="9"/>
  <c r="E2321" i="9"/>
  <c r="D2321" i="9"/>
  <c r="C2321" i="9"/>
  <c r="B2321" i="9"/>
  <c r="A2321" i="9"/>
  <c r="E2320" i="9"/>
  <c r="D2320" i="9"/>
  <c r="C2320" i="9"/>
  <c r="B2320" i="9"/>
  <c r="A2320" i="9"/>
  <c r="E2319" i="9"/>
  <c r="D2319" i="9"/>
  <c r="C2319" i="9"/>
  <c r="B2319" i="9"/>
  <c r="A2319" i="9"/>
  <c r="E2318" i="9"/>
  <c r="D2318" i="9"/>
  <c r="C2318" i="9"/>
  <c r="B2318" i="9"/>
  <c r="A2318" i="9"/>
  <c r="E2317" i="9"/>
  <c r="D2317" i="9"/>
  <c r="C2317" i="9"/>
  <c r="B2317" i="9"/>
  <c r="A2317" i="9"/>
  <c r="E2316" i="9"/>
  <c r="D2316" i="9"/>
  <c r="C2316" i="9"/>
  <c r="B2316" i="9"/>
  <c r="A2316" i="9"/>
  <c r="E2315" i="9"/>
  <c r="D2315" i="9"/>
  <c r="C2315" i="9"/>
  <c r="B2315" i="9"/>
  <c r="A2315" i="9"/>
  <c r="E2314" i="9"/>
  <c r="D2314" i="9"/>
  <c r="C2314" i="9"/>
  <c r="B2314" i="9"/>
  <c r="A2314" i="9"/>
  <c r="E2313" i="9"/>
  <c r="D2313" i="9"/>
  <c r="C2313" i="9"/>
  <c r="B2313" i="9"/>
  <c r="A2313" i="9"/>
  <c r="E2312" i="9"/>
  <c r="D2312" i="9"/>
  <c r="C2312" i="9"/>
  <c r="B2312" i="9"/>
  <c r="A2312" i="9"/>
  <c r="E2311" i="9"/>
  <c r="D2311" i="9"/>
  <c r="C2311" i="9"/>
  <c r="B2311" i="9"/>
  <c r="A2311" i="9"/>
  <c r="E2310" i="9"/>
  <c r="D2310" i="9"/>
  <c r="C2310" i="9"/>
  <c r="B2310" i="9"/>
  <c r="A2310" i="9"/>
  <c r="E2309" i="9"/>
  <c r="D2309" i="9"/>
  <c r="C2309" i="9"/>
  <c r="B2309" i="9"/>
  <c r="A2309" i="9"/>
  <c r="E2308" i="9"/>
  <c r="D2308" i="9"/>
  <c r="C2308" i="9"/>
  <c r="B2308" i="9"/>
  <c r="A2308" i="9"/>
  <c r="E2307" i="9"/>
  <c r="D2307" i="9"/>
  <c r="C2307" i="9"/>
  <c r="B2307" i="9"/>
  <c r="A2307" i="9"/>
  <c r="E2306" i="9"/>
  <c r="D2306" i="9"/>
  <c r="C2306" i="9"/>
  <c r="B2306" i="9"/>
  <c r="A2306" i="9"/>
  <c r="E2305" i="9"/>
  <c r="D2305" i="9"/>
  <c r="C2305" i="9"/>
  <c r="B2305" i="9"/>
  <c r="A2305" i="9"/>
  <c r="E2304" i="9"/>
  <c r="D2304" i="9"/>
  <c r="C2304" i="9"/>
  <c r="B2304" i="9"/>
  <c r="A2304" i="9"/>
  <c r="E2303" i="9"/>
  <c r="D2303" i="9"/>
  <c r="C2303" i="9"/>
  <c r="B2303" i="9"/>
  <c r="A2303" i="9"/>
  <c r="E2302" i="9"/>
  <c r="D2302" i="9"/>
  <c r="C2302" i="9"/>
  <c r="B2302" i="9"/>
  <c r="A2302" i="9"/>
  <c r="E2301" i="9"/>
  <c r="D2301" i="9"/>
  <c r="C2301" i="9"/>
  <c r="B2301" i="9"/>
  <c r="A2301" i="9"/>
  <c r="E2300" i="9"/>
  <c r="D2300" i="9"/>
  <c r="C2300" i="9"/>
  <c r="B2300" i="9"/>
  <c r="A2300" i="9"/>
  <c r="E2299" i="9"/>
  <c r="D2299" i="9"/>
  <c r="C2299" i="9"/>
  <c r="B2299" i="9"/>
  <c r="A2299" i="9"/>
  <c r="E2298" i="9"/>
  <c r="D2298" i="9"/>
  <c r="C2298" i="9"/>
  <c r="B2298" i="9"/>
  <c r="A2298" i="9"/>
  <c r="E2297" i="9"/>
  <c r="D2297" i="9"/>
  <c r="C2297" i="9"/>
  <c r="B2297" i="9"/>
  <c r="A2297" i="9"/>
  <c r="E2296" i="9"/>
  <c r="D2296" i="9"/>
  <c r="C2296" i="9"/>
  <c r="B2296" i="9"/>
  <c r="A2296" i="9"/>
  <c r="E2295" i="9"/>
  <c r="D2295" i="9"/>
  <c r="C2295" i="9"/>
  <c r="B2295" i="9"/>
  <c r="A2295" i="9"/>
  <c r="E2294" i="9"/>
  <c r="D2294" i="9"/>
  <c r="C2294" i="9"/>
  <c r="B2294" i="9"/>
  <c r="A2294" i="9"/>
  <c r="E2293" i="9"/>
  <c r="D2293" i="9"/>
  <c r="C2293" i="9"/>
  <c r="B2293" i="9"/>
  <c r="A2293" i="9"/>
  <c r="E2292" i="9"/>
  <c r="D2292" i="9"/>
  <c r="C2292" i="9"/>
  <c r="B2292" i="9"/>
  <c r="A2292" i="9"/>
  <c r="E2291" i="9"/>
  <c r="D2291" i="9"/>
  <c r="C2291" i="9"/>
  <c r="B2291" i="9"/>
  <c r="A2291" i="9"/>
  <c r="E2290" i="9"/>
  <c r="D2290" i="9"/>
  <c r="C2290" i="9"/>
  <c r="B2290" i="9"/>
  <c r="A2290" i="9"/>
  <c r="E2289" i="9"/>
  <c r="D2289" i="9"/>
  <c r="C2289" i="9"/>
  <c r="B2289" i="9"/>
  <c r="A2289" i="9"/>
  <c r="E2288" i="9"/>
  <c r="D2288" i="9"/>
  <c r="C2288" i="9"/>
  <c r="B2288" i="9"/>
  <c r="A2288" i="9"/>
  <c r="E2287" i="9"/>
  <c r="D2287" i="9"/>
  <c r="C2287" i="9"/>
  <c r="B2287" i="9"/>
  <c r="A2287" i="9"/>
  <c r="E2286" i="9"/>
  <c r="D2286" i="9"/>
  <c r="C2286" i="9"/>
  <c r="B2286" i="9"/>
  <c r="A2286" i="9"/>
  <c r="E2285" i="9"/>
  <c r="D2285" i="9"/>
  <c r="C2285" i="9"/>
  <c r="B2285" i="9"/>
  <c r="A2285" i="9"/>
  <c r="E2284" i="9"/>
  <c r="D2284" i="9"/>
  <c r="C2284" i="9"/>
  <c r="B2284" i="9"/>
  <c r="A2284" i="9"/>
  <c r="E2283" i="9"/>
  <c r="D2283" i="9"/>
  <c r="C2283" i="9"/>
  <c r="B2283" i="9"/>
  <c r="A2283" i="9"/>
  <c r="E2282" i="9"/>
  <c r="D2282" i="9"/>
  <c r="C2282" i="9"/>
  <c r="B2282" i="9"/>
  <c r="A2282" i="9"/>
  <c r="E2281" i="9"/>
  <c r="D2281" i="9"/>
  <c r="C2281" i="9"/>
  <c r="B2281" i="9"/>
  <c r="A2281" i="9"/>
  <c r="E2280" i="9"/>
  <c r="D2280" i="9"/>
  <c r="C2280" i="9"/>
  <c r="B2280" i="9"/>
  <c r="A2280" i="9"/>
  <c r="E2279" i="9"/>
  <c r="D2279" i="9"/>
  <c r="C2279" i="9"/>
  <c r="B2279" i="9"/>
  <c r="A2279" i="9"/>
  <c r="E2278" i="9"/>
  <c r="D2278" i="9"/>
  <c r="C2278" i="9"/>
  <c r="B2278" i="9"/>
  <c r="A2278" i="9"/>
  <c r="E2277" i="9"/>
  <c r="D2277" i="9"/>
  <c r="C2277" i="9"/>
  <c r="B2277" i="9"/>
  <c r="A2277" i="9"/>
  <c r="E2276" i="9"/>
  <c r="D2276" i="9"/>
  <c r="C2276" i="9"/>
  <c r="B2276" i="9"/>
  <c r="A2276" i="9"/>
  <c r="E2275" i="9"/>
  <c r="D2275" i="9"/>
  <c r="C2275" i="9"/>
  <c r="B2275" i="9"/>
  <c r="A2275" i="9"/>
  <c r="E2274" i="9"/>
  <c r="D2274" i="9"/>
  <c r="C2274" i="9"/>
  <c r="B2274" i="9"/>
  <c r="A2274" i="9"/>
  <c r="E2273" i="9"/>
  <c r="D2273" i="9"/>
  <c r="C2273" i="9"/>
  <c r="B2273" i="9"/>
  <c r="A2273" i="9"/>
  <c r="E2272" i="9"/>
  <c r="D2272" i="9"/>
  <c r="C2272" i="9"/>
  <c r="B2272" i="9"/>
  <c r="A2272" i="9"/>
  <c r="E2271" i="9"/>
  <c r="D2271" i="9"/>
  <c r="C2271" i="9"/>
  <c r="B2271" i="9"/>
  <c r="A2271" i="9"/>
  <c r="E2270" i="9"/>
  <c r="D2270" i="9"/>
  <c r="C2270" i="9"/>
  <c r="B2270" i="9"/>
  <c r="A2270" i="9"/>
  <c r="E2269" i="9"/>
  <c r="C2269" i="9"/>
  <c r="B2269" i="9"/>
  <c r="A2269" i="9"/>
  <c r="E2268" i="9"/>
  <c r="C2268" i="9"/>
  <c r="B2268" i="9"/>
  <c r="A2268" i="9"/>
  <c r="E2267" i="9"/>
  <c r="C2267" i="9"/>
  <c r="B2267" i="9"/>
  <c r="A2267" i="9"/>
  <c r="E2266" i="9"/>
  <c r="C2266" i="9"/>
  <c r="B2266" i="9"/>
  <c r="A2266" i="9"/>
  <c r="E2265" i="9"/>
  <c r="D2265" i="9"/>
  <c r="C2265" i="9"/>
  <c r="B2265" i="9"/>
  <c r="A2265" i="9"/>
  <c r="E2264" i="9"/>
  <c r="D2264" i="9"/>
  <c r="C2264" i="9"/>
  <c r="B2264" i="9"/>
  <c r="A2264" i="9"/>
  <c r="E2263" i="9"/>
  <c r="D2263" i="9"/>
  <c r="C2263" i="9"/>
  <c r="B2263" i="9"/>
  <c r="A2263" i="9"/>
  <c r="E2262" i="9"/>
  <c r="D2262" i="9"/>
  <c r="C2262" i="9"/>
  <c r="B2262" i="9"/>
  <c r="A2262" i="9"/>
  <c r="E2261" i="9"/>
  <c r="D2261" i="9"/>
  <c r="C2261" i="9"/>
  <c r="B2261" i="9"/>
  <c r="A2261" i="9"/>
  <c r="E2260" i="9"/>
  <c r="D2260" i="9"/>
  <c r="C2260" i="9"/>
  <c r="B2260" i="9"/>
  <c r="A2260" i="9"/>
  <c r="E2259" i="9"/>
  <c r="D2259" i="9"/>
  <c r="C2259" i="9"/>
  <c r="B2259" i="9"/>
  <c r="A2259" i="9"/>
  <c r="E2258" i="9"/>
  <c r="D2258" i="9"/>
  <c r="C2258" i="9"/>
  <c r="B2258" i="9"/>
  <c r="A2258" i="9"/>
  <c r="E2257" i="9"/>
  <c r="D2257" i="9"/>
  <c r="C2257" i="9"/>
  <c r="B2257" i="9"/>
  <c r="A2257" i="9"/>
  <c r="E2256" i="9"/>
  <c r="D2256" i="9"/>
  <c r="C2256" i="9"/>
  <c r="B2256" i="9"/>
  <c r="A2256" i="9"/>
  <c r="E2255" i="9"/>
  <c r="D2255" i="9"/>
  <c r="C2255" i="9"/>
  <c r="B2255" i="9"/>
  <c r="A2255" i="9"/>
  <c r="E2254" i="9"/>
  <c r="D2254" i="9"/>
  <c r="C2254" i="9"/>
  <c r="B2254" i="9"/>
  <c r="A2254" i="9"/>
  <c r="E2253" i="9"/>
  <c r="D2253" i="9"/>
  <c r="C2253" i="9"/>
  <c r="B2253" i="9"/>
  <c r="A2253" i="9"/>
  <c r="E2252" i="9"/>
  <c r="D2252" i="9"/>
  <c r="C2252" i="9"/>
  <c r="B2252" i="9"/>
  <c r="A2252" i="9"/>
  <c r="E2251" i="9"/>
  <c r="D2251" i="9"/>
  <c r="C2251" i="9"/>
  <c r="B2251" i="9"/>
  <c r="A2251" i="9"/>
  <c r="E2250" i="9"/>
  <c r="D2250" i="9"/>
  <c r="C2250" i="9"/>
  <c r="B2250" i="9"/>
  <c r="A2250" i="9"/>
  <c r="E2249" i="9"/>
  <c r="D2249" i="9"/>
  <c r="C2249" i="9"/>
  <c r="B2249" i="9"/>
  <c r="A2249" i="9"/>
  <c r="E2248" i="9"/>
  <c r="D2248" i="9"/>
  <c r="C2248" i="9"/>
  <c r="B2248" i="9"/>
  <c r="A2248" i="9"/>
  <c r="E2247" i="9"/>
  <c r="D2247" i="9"/>
  <c r="C2247" i="9"/>
  <c r="B2247" i="9"/>
  <c r="A2247" i="9"/>
  <c r="E2246" i="9"/>
  <c r="D2246" i="9"/>
  <c r="C2246" i="9"/>
  <c r="B2246" i="9"/>
  <c r="A2246" i="9"/>
  <c r="E2245" i="9"/>
  <c r="D2245" i="9"/>
  <c r="C2245" i="9"/>
  <c r="B2245" i="9"/>
  <c r="A2245" i="9"/>
  <c r="E2244" i="9"/>
  <c r="D2244" i="9"/>
  <c r="C2244" i="9"/>
  <c r="B2244" i="9"/>
  <c r="A2244" i="9"/>
  <c r="E2243" i="9"/>
  <c r="D2243" i="9"/>
  <c r="C2243" i="9"/>
  <c r="B2243" i="9"/>
  <c r="A2243" i="9"/>
  <c r="E2242" i="9"/>
  <c r="D2242" i="9"/>
  <c r="C2242" i="9"/>
  <c r="B2242" i="9"/>
  <c r="A2242" i="9"/>
  <c r="E2241" i="9"/>
  <c r="D2241" i="9"/>
  <c r="C2241" i="9"/>
  <c r="B2241" i="9"/>
  <c r="A2241" i="9"/>
  <c r="E2240" i="9"/>
  <c r="D2240" i="9"/>
  <c r="C2240" i="9"/>
  <c r="B2240" i="9"/>
  <c r="A2240" i="9"/>
  <c r="E2239" i="9"/>
  <c r="D2239" i="9"/>
  <c r="C2239" i="9"/>
  <c r="B2239" i="9"/>
  <c r="A2239" i="9"/>
  <c r="E2238" i="9"/>
  <c r="D2238" i="9"/>
  <c r="C2238" i="9"/>
  <c r="B2238" i="9"/>
  <c r="A2238" i="9"/>
  <c r="E2237" i="9"/>
  <c r="D2237" i="9"/>
  <c r="C2237" i="9"/>
  <c r="B2237" i="9"/>
  <c r="A2237" i="9"/>
  <c r="E2236" i="9"/>
  <c r="D2236" i="9"/>
  <c r="C2236" i="9"/>
  <c r="B2236" i="9"/>
  <c r="A2236" i="9"/>
  <c r="E2235" i="9"/>
  <c r="D2235" i="9"/>
  <c r="C2235" i="9"/>
  <c r="B2235" i="9"/>
  <c r="A2235" i="9"/>
  <c r="E2234" i="9"/>
  <c r="D2234" i="9"/>
  <c r="C2234" i="9"/>
  <c r="B2234" i="9"/>
  <c r="A2234" i="9"/>
  <c r="E2233" i="9"/>
  <c r="D2233" i="9"/>
  <c r="C2233" i="9"/>
  <c r="B2233" i="9"/>
  <c r="A2233" i="9"/>
  <c r="E2232" i="9"/>
  <c r="D2232" i="9"/>
  <c r="C2232" i="9"/>
  <c r="B2232" i="9"/>
  <c r="A2232" i="9"/>
  <c r="E2231" i="9"/>
  <c r="D2231" i="9"/>
  <c r="C2231" i="9"/>
  <c r="B2231" i="9"/>
  <c r="A2231" i="9"/>
  <c r="E2230" i="9"/>
  <c r="D2230" i="9"/>
  <c r="C2230" i="9"/>
  <c r="B2230" i="9"/>
  <c r="A2230" i="9"/>
  <c r="E2229" i="9"/>
  <c r="D2229" i="9"/>
  <c r="C2229" i="9"/>
  <c r="B2229" i="9"/>
  <c r="A2229" i="9"/>
  <c r="E2228" i="9"/>
  <c r="D2228" i="9"/>
  <c r="C2228" i="9"/>
  <c r="B2228" i="9"/>
  <c r="A2228" i="9"/>
  <c r="E2227" i="9"/>
  <c r="D2227" i="9"/>
  <c r="C2227" i="9"/>
  <c r="B2227" i="9"/>
  <c r="A2227" i="9"/>
  <c r="E2226" i="9"/>
  <c r="D2226" i="9"/>
  <c r="C2226" i="9"/>
  <c r="B2226" i="9"/>
  <c r="A2226" i="9"/>
  <c r="E2225" i="9"/>
  <c r="D2225" i="9"/>
  <c r="C2225" i="9"/>
  <c r="B2225" i="9"/>
  <c r="A2225" i="9"/>
  <c r="E2224" i="9"/>
  <c r="D2224" i="9"/>
  <c r="C2224" i="9"/>
  <c r="B2224" i="9"/>
  <c r="A2224" i="9"/>
  <c r="E2223" i="9"/>
  <c r="D2223" i="9"/>
  <c r="C2223" i="9"/>
  <c r="B2223" i="9"/>
  <c r="A2223" i="9"/>
  <c r="E2222" i="9"/>
  <c r="D2222" i="9"/>
  <c r="C2222" i="9"/>
  <c r="B2222" i="9"/>
  <c r="A2222" i="9"/>
  <c r="E2221" i="9"/>
  <c r="D2221" i="9"/>
  <c r="C2221" i="9"/>
  <c r="B2221" i="9"/>
  <c r="A2221" i="9"/>
  <c r="E2220" i="9"/>
  <c r="D2220" i="9"/>
  <c r="C2220" i="9"/>
  <c r="B2220" i="9"/>
  <c r="A2220" i="9"/>
  <c r="E2219" i="9"/>
  <c r="D2219" i="9"/>
  <c r="C2219" i="9"/>
  <c r="B2219" i="9"/>
  <c r="A2219" i="9"/>
  <c r="E2218" i="9"/>
  <c r="D2218" i="9"/>
  <c r="C2218" i="9"/>
  <c r="B2218" i="9"/>
  <c r="A2218" i="9"/>
  <c r="E2217" i="9"/>
  <c r="D2217" i="9"/>
  <c r="C2217" i="9"/>
  <c r="B2217" i="9"/>
  <c r="A2217" i="9"/>
  <c r="E2216" i="9"/>
  <c r="D2216" i="9"/>
  <c r="C2216" i="9"/>
  <c r="B2216" i="9"/>
  <c r="A2216" i="9"/>
  <c r="E2215" i="9"/>
  <c r="D2215" i="9"/>
  <c r="C2215" i="9"/>
  <c r="B2215" i="9"/>
  <c r="A2215" i="9"/>
  <c r="E2214" i="9"/>
  <c r="D2214" i="9"/>
  <c r="C2214" i="9"/>
  <c r="B2214" i="9"/>
  <c r="A2214" i="9"/>
  <c r="E2213" i="9"/>
  <c r="D2213" i="9"/>
  <c r="C2213" i="9"/>
  <c r="B2213" i="9"/>
  <c r="A2213" i="9"/>
  <c r="E2212" i="9"/>
  <c r="D2212" i="9"/>
  <c r="C2212" i="9"/>
  <c r="B2212" i="9"/>
  <c r="A2212" i="9"/>
  <c r="E2211" i="9"/>
  <c r="D2211" i="9"/>
  <c r="C2211" i="9"/>
  <c r="B2211" i="9"/>
  <c r="A2211" i="9"/>
  <c r="E2210" i="9"/>
  <c r="D2210" i="9"/>
  <c r="C2210" i="9"/>
  <c r="B2210" i="9"/>
  <c r="A2210" i="9"/>
  <c r="E2209" i="9"/>
  <c r="D2209" i="9"/>
  <c r="C2209" i="9"/>
  <c r="B2209" i="9"/>
  <c r="A2209" i="9"/>
  <c r="E2208" i="9"/>
  <c r="D2208" i="9"/>
  <c r="C2208" i="9"/>
  <c r="B2208" i="9"/>
  <c r="A2208" i="9"/>
  <c r="E2207" i="9"/>
  <c r="D2207" i="9"/>
  <c r="C2207" i="9"/>
  <c r="B2207" i="9"/>
  <c r="A2207" i="9"/>
  <c r="E2206" i="9"/>
  <c r="D2206" i="9"/>
  <c r="C2206" i="9"/>
  <c r="B2206" i="9"/>
  <c r="A2206" i="9"/>
  <c r="E2205" i="9"/>
  <c r="D2205" i="9"/>
  <c r="C2205" i="9"/>
  <c r="B2205" i="9"/>
  <c r="A2205" i="9"/>
  <c r="E2204" i="9"/>
  <c r="D2204" i="9"/>
  <c r="C2204" i="9"/>
  <c r="B2204" i="9"/>
  <c r="A2204" i="9"/>
  <c r="E2203" i="9"/>
  <c r="D2203" i="9"/>
  <c r="C2203" i="9"/>
  <c r="B2203" i="9"/>
  <c r="A2203" i="9"/>
  <c r="E2202" i="9"/>
  <c r="D2202" i="9"/>
  <c r="C2202" i="9"/>
  <c r="B2202" i="9"/>
  <c r="A2202" i="9"/>
  <c r="E2201" i="9"/>
  <c r="D2201" i="9"/>
  <c r="C2201" i="9"/>
  <c r="B2201" i="9"/>
  <c r="A2201" i="9"/>
  <c r="E2200" i="9"/>
  <c r="D2200" i="9"/>
  <c r="C2200" i="9"/>
  <c r="B2200" i="9"/>
  <c r="A2200" i="9"/>
  <c r="E2199" i="9"/>
  <c r="D2199" i="9"/>
  <c r="C2199" i="9"/>
  <c r="B2199" i="9"/>
  <c r="A2199" i="9"/>
  <c r="E2198" i="9"/>
  <c r="D2198" i="9"/>
  <c r="C2198" i="9"/>
  <c r="B2198" i="9"/>
  <c r="A2198" i="9"/>
  <c r="E2197" i="9"/>
  <c r="D2197" i="9"/>
  <c r="C2197" i="9"/>
  <c r="B2197" i="9"/>
  <c r="A2197" i="9"/>
  <c r="E2196" i="9"/>
  <c r="D2196" i="9"/>
  <c r="C2196" i="9"/>
  <c r="B2196" i="9"/>
  <c r="A2196" i="9"/>
  <c r="E2195" i="9"/>
  <c r="D2195" i="9"/>
  <c r="C2195" i="9"/>
  <c r="B2195" i="9"/>
  <c r="A2195" i="9"/>
  <c r="E2194" i="9"/>
  <c r="D2194" i="9"/>
  <c r="C2194" i="9"/>
  <c r="B2194" i="9"/>
  <c r="A2194" i="9"/>
  <c r="E2193" i="9"/>
  <c r="D2193" i="9"/>
  <c r="C2193" i="9"/>
  <c r="B2193" i="9"/>
  <c r="A2193" i="9"/>
  <c r="E2192" i="9"/>
  <c r="D2192" i="9"/>
  <c r="C2192" i="9"/>
  <c r="B2192" i="9"/>
  <c r="A2192" i="9"/>
  <c r="E2191" i="9"/>
  <c r="D2191" i="9"/>
  <c r="C2191" i="9"/>
  <c r="B2191" i="9"/>
  <c r="A2191" i="9"/>
  <c r="E2190" i="9"/>
  <c r="D2190" i="9"/>
  <c r="C2190" i="9"/>
  <c r="B2190" i="9"/>
  <c r="A2190" i="9"/>
  <c r="E2189" i="9"/>
  <c r="D2189" i="9"/>
  <c r="C2189" i="9"/>
  <c r="B2189" i="9"/>
  <c r="A2189" i="9"/>
  <c r="E2188" i="9"/>
  <c r="D2188" i="9"/>
  <c r="C2188" i="9"/>
  <c r="B2188" i="9"/>
  <c r="A2188" i="9"/>
  <c r="E2187" i="9"/>
  <c r="D2187" i="9"/>
  <c r="C2187" i="9"/>
  <c r="B2187" i="9"/>
  <c r="A2187" i="9"/>
  <c r="E2186" i="9"/>
  <c r="D2186" i="9"/>
  <c r="C2186" i="9"/>
  <c r="B2186" i="9"/>
  <c r="A2186" i="9"/>
  <c r="E2185" i="9"/>
  <c r="D2185" i="9"/>
  <c r="C2185" i="9"/>
  <c r="B2185" i="9"/>
  <c r="A2185" i="9"/>
  <c r="E2184" i="9"/>
  <c r="D2184" i="9"/>
  <c r="C2184" i="9"/>
  <c r="B2184" i="9"/>
  <c r="A2184" i="9"/>
  <c r="E2183" i="9"/>
  <c r="D2183" i="9"/>
  <c r="C2183" i="9"/>
  <c r="B2183" i="9"/>
  <c r="A2183" i="9"/>
  <c r="E2182" i="9"/>
  <c r="D2182" i="9"/>
  <c r="C2182" i="9"/>
  <c r="B2182" i="9"/>
  <c r="A2182" i="9"/>
  <c r="E2181" i="9"/>
  <c r="D2181" i="9"/>
  <c r="C2181" i="9"/>
  <c r="B2181" i="9"/>
  <c r="A2181" i="9"/>
  <c r="E2180" i="9"/>
  <c r="D2180" i="9"/>
  <c r="C2180" i="9"/>
  <c r="B2180" i="9"/>
  <c r="A2180" i="9"/>
  <c r="E2179" i="9"/>
  <c r="D2179" i="9"/>
  <c r="C2179" i="9"/>
  <c r="B2179" i="9"/>
  <c r="A2179" i="9"/>
  <c r="E2178" i="9"/>
  <c r="D2178" i="9"/>
  <c r="C2178" i="9"/>
  <c r="B2178" i="9"/>
  <c r="A2178" i="9"/>
  <c r="E2177" i="9"/>
  <c r="D2177" i="9"/>
  <c r="C2177" i="9"/>
  <c r="B2177" i="9"/>
  <c r="A2177" i="9"/>
  <c r="E2176" i="9"/>
  <c r="D2176" i="9"/>
  <c r="C2176" i="9"/>
  <c r="B2176" i="9"/>
  <c r="A2176" i="9"/>
  <c r="E2175" i="9"/>
  <c r="D2175" i="9"/>
  <c r="C2175" i="9"/>
  <c r="B2175" i="9"/>
  <c r="A2175" i="9"/>
  <c r="E2174" i="9"/>
  <c r="D2174" i="9"/>
  <c r="C2174" i="9"/>
  <c r="B2174" i="9"/>
  <c r="A2174" i="9"/>
  <c r="E2173" i="9"/>
  <c r="D2173" i="9"/>
  <c r="C2173" i="9"/>
  <c r="B2173" i="9"/>
  <c r="A2173" i="9"/>
  <c r="E2172" i="9"/>
  <c r="D2172" i="9"/>
  <c r="C2172" i="9"/>
  <c r="B2172" i="9"/>
  <c r="A2172" i="9"/>
  <c r="E2171" i="9"/>
  <c r="D2171" i="9"/>
  <c r="C2171" i="9"/>
  <c r="B2171" i="9"/>
  <c r="A2171" i="9"/>
  <c r="E2170" i="9"/>
  <c r="D2170" i="9"/>
  <c r="C2170" i="9"/>
  <c r="B2170" i="9"/>
  <c r="A2170" i="9"/>
  <c r="E2169" i="9"/>
  <c r="D2169" i="9"/>
  <c r="C2169" i="9"/>
  <c r="B2169" i="9"/>
  <c r="A2169" i="9"/>
  <c r="E2168" i="9"/>
  <c r="D2168" i="9"/>
  <c r="C2168" i="9"/>
  <c r="B2168" i="9"/>
  <c r="A2168" i="9"/>
  <c r="E2167" i="9"/>
  <c r="D2167" i="9"/>
  <c r="C2167" i="9"/>
  <c r="B2167" i="9"/>
  <c r="A2167" i="9"/>
  <c r="E2166" i="9"/>
  <c r="D2166" i="9"/>
  <c r="C2166" i="9"/>
  <c r="B2166" i="9"/>
  <c r="A2166" i="9"/>
  <c r="E2165" i="9"/>
  <c r="D2165" i="9"/>
  <c r="C2165" i="9"/>
  <c r="B2165" i="9"/>
  <c r="A2165" i="9"/>
  <c r="E2164" i="9"/>
  <c r="D2164" i="9"/>
  <c r="C2164" i="9"/>
  <c r="B2164" i="9"/>
  <c r="A2164" i="9"/>
  <c r="E2163" i="9"/>
  <c r="D2163" i="9"/>
  <c r="C2163" i="9"/>
  <c r="B2163" i="9"/>
  <c r="A2163" i="9"/>
  <c r="E2162" i="9"/>
  <c r="D2162" i="9"/>
  <c r="C2162" i="9"/>
  <c r="B2162" i="9"/>
  <c r="A2162" i="9"/>
  <c r="E2161" i="9"/>
  <c r="D2161" i="9"/>
  <c r="C2161" i="9"/>
  <c r="B2161" i="9"/>
  <c r="A2161" i="9"/>
  <c r="E2160" i="9"/>
  <c r="D2160" i="9"/>
  <c r="C2160" i="9"/>
  <c r="B2160" i="9"/>
  <c r="A2160" i="9"/>
  <c r="E2159" i="9"/>
  <c r="D2159" i="9"/>
  <c r="C2159" i="9"/>
  <c r="B2159" i="9"/>
  <c r="A2159" i="9"/>
  <c r="E2158" i="9"/>
  <c r="D2158" i="9"/>
  <c r="C2158" i="9"/>
  <c r="B2158" i="9"/>
  <c r="A2158" i="9"/>
  <c r="E2157" i="9"/>
  <c r="D2157" i="9"/>
  <c r="C2157" i="9"/>
  <c r="B2157" i="9"/>
  <c r="A2157" i="9"/>
  <c r="E2156" i="9"/>
  <c r="D2156" i="9"/>
  <c r="C2156" i="9"/>
  <c r="B2156" i="9"/>
  <c r="A2156" i="9"/>
  <c r="E2155" i="9"/>
  <c r="D2155" i="9"/>
  <c r="C2155" i="9"/>
  <c r="B2155" i="9"/>
  <c r="A2155" i="9"/>
  <c r="E2154" i="9"/>
  <c r="D2154" i="9"/>
  <c r="C2154" i="9"/>
  <c r="B2154" i="9"/>
  <c r="A2154" i="9"/>
  <c r="E2153" i="9"/>
  <c r="D2153" i="9"/>
  <c r="C2153" i="9"/>
  <c r="B2153" i="9"/>
  <c r="A2153" i="9"/>
  <c r="E2152" i="9"/>
  <c r="D2152" i="9"/>
  <c r="C2152" i="9"/>
  <c r="B2152" i="9"/>
  <c r="A2152" i="9"/>
  <c r="E2151" i="9"/>
  <c r="D2151" i="9"/>
  <c r="C2151" i="9"/>
  <c r="B2151" i="9"/>
  <c r="A2151" i="9"/>
  <c r="E2150" i="9"/>
  <c r="D2150" i="9"/>
  <c r="C2150" i="9"/>
  <c r="B2150" i="9"/>
  <c r="A2150" i="9"/>
  <c r="E2149" i="9"/>
  <c r="D2149" i="9"/>
  <c r="C2149" i="9"/>
  <c r="B2149" i="9"/>
  <c r="A2149" i="9"/>
  <c r="E2148" i="9"/>
  <c r="D2148" i="9"/>
  <c r="C2148" i="9"/>
  <c r="B2148" i="9"/>
  <c r="A2148" i="9"/>
  <c r="E2147" i="9"/>
  <c r="D2147" i="9"/>
  <c r="C2147" i="9"/>
  <c r="B2147" i="9"/>
  <c r="A2147" i="9"/>
  <c r="E2146" i="9"/>
  <c r="D2146" i="9"/>
  <c r="C2146" i="9"/>
  <c r="B2146" i="9"/>
  <c r="A2146" i="9"/>
  <c r="E2145" i="9"/>
  <c r="D2145" i="9"/>
  <c r="C2145" i="9"/>
  <c r="B2145" i="9"/>
  <c r="A2145" i="9"/>
  <c r="E2144" i="9"/>
  <c r="D2144" i="9"/>
  <c r="C2144" i="9"/>
  <c r="B2144" i="9"/>
  <c r="A2144" i="9"/>
  <c r="E2143" i="9"/>
  <c r="D2143" i="9"/>
  <c r="C2143" i="9"/>
  <c r="B2143" i="9"/>
  <c r="A2143" i="9"/>
  <c r="E2142" i="9"/>
  <c r="D2142" i="9"/>
  <c r="C2142" i="9"/>
  <c r="B2142" i="9"/>
  <c r="A2142" i="9"/>
  <c r="E2141" i="9"/>
  <c r="D2141" i="9"/>
  <c r="C2141" i="9"/>
  <c r="B2141" i="9"/>
  <c r="A2141" i="9"/>
  <c r="E2140" i="9"/>
  <c r="D2140" i="9"/>
  <c r="C2140" i="9"/>
  <c r="B2140" i="9"/>
  <c r="A2140" i="9"/>
  <c r="E2139" i="9"/>
  <c r="D2139" i="9"/>
  <c r="C2139" i="9"/>
  <c r="B2139" i="9"/>
  <c r="A2139" i="9"/>
  <c r="E2138" i="9"/>
  <c r="D2138" i="9"/>
  <c r="C2138" i="9"/>
  <c r="B2138" i="9"/>
  <c r="A2138" i="9"/>
  <c r="E2137" i="9"/>
  <c r="D2137" i="9"/>
  <c r="C2137" i="9"/>
  <c r="B2137" i="9"/>
  <c r="A2137" i="9"/>
  <c r="E2136" i="9"/>
  <c r="D2136" i="9"/>
  <c r="C2136" i="9"/>
  <c r="B2136" i="9"/>
  <c r="A2136" i="9"/>
  <c r="E2135" i="9"/>
  <c r="D2135" i="9"/>
  <c r="C2135" i="9"/>
  <c r="B2135" i="9"/>
  <c r="A2135" i="9"/>
  <c r="E2134" i="9"/>
  <c r="D2134" i="9"/>
  <c r="C2134" i="9"/>
  <c r="B2134" i="9"/>
  <c r="A2134" i="9"/>
  <c r="E2133" i="9"/>
  <c r="D2133" i="9"/>
  <c r="C2133" i="9"/>
  <c r="B2133" i="9"/>
  <c r="A2133" i="9"/>
  <c r="E2132" i="9"/>
  <c r="D2132" i="9"/>
  <c r="C2132" i="9"/>
  <c r="B2132" i="9"/>
  <c r="A2132" i="9"/>
  <c r="E2131" i="9"/>
  <c r="D2131" i="9"/>
  <c r="C2131" i="9"/>
  <c r="B2131" i="9"/>
  <c r="A2131" i="9"/>
  <c r="E2130" i="9"/>
  <c r="D2130" i="9"/>
  <c r="C2130" i="9"/>
  <c r="B2130" i="9"/>
  <c r="A2130" i="9"/>
  <c r="E2129" i="9"/>
  <c r="D2129" i="9"/>
  <c r="C2129" i="9"/>
  <c r="B2129" i="9"/>
  <c r="A2129" i="9"/>
  <c r="E2128" i="9"/>
  <c r="D2128" i="9"/>
  <c r="C2128" i="9"/>
  <c r="B2128" i="9"/>
  <c r="A2128" i="9"/>
  <c r="E2127" i="9"/>
  <c r="D2127" i="9"/>
  <c r="C2127" i="9"/>
  <c r="B2127" i="9"/>
  <c r="A2127" i="9"/>
  <c r="E2126" i="9"/>
  <c r="D2126" i="9"/>
  <c r="C2126" i="9"/>
  <c r="B2126" i="9"/>
  <c r="A2126" i="9"/>
  <c r="E2125" i="9"/>
  <c r="D2125" i="9"/>
  <c r="C2125" i="9"/>
  <c r="B2125" i="9"/>
  <c r="A2125" i="9"/>
  <c r="E2124" i="9"/>
  <c r="D2124" i="9"/>
  <c r="C2124" i="9"/>
  <c r="B2124" i="9"/>
  <c r="A2124" i="9"/>
  <c r="E2123" i="9"/>
  <c r="D2123" i="9"/>
  <c r="C2123" i="9"/>
  <c r="B2123" i="9"/>
  <c r="A2123" i="9"/>
  <c r="E2122" i="9"/>
  <c r="D2122" i="9"/>
  <c r="C2122" i="9"/>
  <c r="B2122" i="9"/>
  <c r="A2122" i="9"/>
  <c r="E2121" i="9"/>
  <c r="D2121" i="9"/>
  <c r="C2121" i="9"/>
  <c r="B2121" i="9"/>
  <c r="A2121" i="9"/>
  <c r="E2120" i="9"/>
  <c r="D2120" i="9"/>
  <c r="C2120" i="9"/>
  <c r="B2120" i="9"/>
  <c r="A2120" i="9"/>
  <c r="E2119" i="9"/>
  <c r="D2119" i="9"/>
  <c r="C2119" i="9"/>
  <c r="B2119" i="9"/>
  <c r="A2119" i="9"/>
  <c r="E2118" i="9"/>
  <c r="D2118" i="9"/>
  <c r="C2118" i="9"/>
  <c r="B2118" i="9"/>
  <c r="A2118" i="9"/>
  <c r="E2117" i="9"/>
  <c r="D2117" i="9"/>
  <c r="C2117" i="9"/>
  <c r="B2117" i="9"/>
  <c r="A2117" i="9"/>
  <c r="E2116" i="9"/>
  <c r="D2116" i="9"/>
  <c r="C2116" i="9"/>
  <c r="B2116" i="9"/>
  <c r="A2116" i="9"/>
  <c r="E2115" i="9"/>
  <c r="D2115" i="9"/>
  <c r="C2115" i="9"/>
  <c r="B2115" i="9"/>
  <c r="A2115" i="9"/>
  <c r="E2114" i="9"/>
  <c r="D2114" i="9"/>
  <c r="C2114" i="9"/>
  <c r="B2114" i="9"/>
  <c r="A2114" i="9"/>
  <c r="E2113" i="9"/>
  <c r="D2113" i="9"/>
  <c r="C2113" i="9"/>
  <c r="B2113" i="9"/>
  <c r="A2113" i="9"/>
  <c r="E2112" i="9"/>
  <c r="D2112" i="9"/>
  <c r="C2112" i="9"/>
  <c r="B2112" i="9"/>
  <c r="A2112" i="9"/>
  <c r="E2111" i="9"/>
  <c r="D2111" i="9"/>
  <c r="C2111" i="9"/>
  <c r="B2111" i="9"/>
  <c r="A2111" i="9"/>
  <c r="E2110" i="9"/>
  <c r="D2110" i="9"/>
  <c r="C2110" i="9"/>
  <c r="B2110" i="9"/>
  <c r="A2110" i="9"/>
  <c r="E2109" i="9"/>
  <c r="D2109" i="9"/>
  <c r="C2109" i="9"/>
  <c r="B2109" i="9"/>
  <c r="A2109" i="9"/>
  <c r="E2108" i="9"/>
  <c r="D2108" i="9"/>
  <c r="C2108" i="9"/>
  <c r="B2108" i="9"/>
  <c r="A2108" i="9"/>
  <c r="E2107" i="9"/>
  <c r="D2107" i="9"/>
  <c r="C2107" i="9"/>
  <c r="B2107" i="9"/>
  <c r="A2107" i="9"/>
  <c r="E2106" i="9"/>
  <c r="D2106" i="9"/>
  <c r="C2106" i="9"/>
  <c r="B2106" i="9"/>
  <c r="A2106" i="9"/>
  <c r="E2105" i="9"/>
  <c r="D2105" i="9"/>
  <c r="C2105" i="9"/>
  <c r="B2105" i="9"/>
  <c r="A2105" i="9"/>
  <c r="E2104" i="9"/>
  <c r="D2104" i="9"/>
  <c r="C2104" i="9"/>
  <c r="B2104" i="9"/>
  <c r="A2104" i="9"/>
  <c r="E2103" i="9"/>
  <c r="D2103" i="9"/>
  <c r="C2103" i="9"/>
  <c r="B2103" i="9"/>
  <c r="A2103" i="9"/>
  <c r="E2102" i="9"/>
  <c r="D2102" i="9"/>
  <c r="C2102" i="9"/>
  <c r="B2102" i="9"/>
  <c r="A2102" i="9"/>
  <c r="E2101" i="9"/>
  <c r="D2101" i="9"/>
  <c r="C2101" i="9"/>
  <c r="B2101" i="9"/>
  <c r="A2101" i="9"/>
  <c r="E2100" i="9"/>
  <c r="D2100" i="9"/>
  <c r="C2100" i="9"/>
  <c r="B2100" i="9"/>
  <c r="A2100" i="9"/>
  <c r="E2099" i="9"/>
  <c r="D2099" i="9"/>
  <c r="C2099" i="9"/>
  <c r="B2099" i="9"/>
  <c r="A2099" i="9"/>
  <c r="E2098" i="9"/>
  <c r="D2098" i="9"/>
  <c r="C2098" i="9"/>
  <c r="B2098" i="9"/>
  <c r="A2098" i="9"/>
  <c r="E2097" i="9"/>
  <c r="D2097" i="9"/>
  <c r="C2097" i="9"/>
  <c r="B2097" i="9"/>
  <c r="A2097" i="9"/>
  <c r="E2096" i="9"/>
  <c r="D2096" i="9"/>
  <c r="C2096" i="9"/>
  <c r="B2096" i="9"/>
  <c r="A2096" i="9"/>
  <c r="E2095" i="9"/>
  <c r="D2095" i="9"/>
  <c r="C2095" i="9"/>
  <c r="B2095" i="9"/>
  <c r="A2095" i="9"/>
  <c r="E2094" i="9"/>
  <c r="D2094" i="9"/>
  <c r="C2094" i="9"/>
  <c r="B2094" i="9"/>
  <c r="A2094" i="9"/>
  <c r="E2093" i="9"/>
  <c r="D2093" i="9"/>
  <c r="C2093" i="9"/>
  <c r="B2093" i="9"/>
  <c r="A2093" i="9"/>
  <c r="E2092" i="9"/>
  <c r="D2092" i="9"/>
  <c r="C2092" i="9"/>
  <c r="B2092" i="9"/>
  <c r="A2092" i="9"/>
  <c r="E2091" i="9"/>
  <c r="D2091" i="9"/>
  <c r="C2091" i="9"/>
  <c r="B2091" i="9"/>
  <c r="A2091" i="9"/>
  <c r="E2090" i="9"/>
  <c r="D2090" i="9"/>
  <c r="C2090" i="9"/>
  <c r="B2090" i="9"/>
  <c r="A2090" i="9"/>
  <c r="E2089" i="9"/>
  <c r="D2089" i="9"/>
  <c r="C2089" i="9"/>
  <c r="B2089" i="9"/>
  <c r="A2089" i="9"/>
  <c r="E2088" i="9"/>
  <c r="D2088" i="9"/>
  <c r="C2088" i="9"/>
  <c r="B2088" i="9"/>
  <c r="A2088" i="9"/>
  <c r="E2087" i="9"/>
  <c r="D2087" i="9"/>
  <c r="C2087" i="9"/>
  <c r="B2087" i="9"/>
  <c r="A2087" i="9"/>
  <c r="E2086" i="9"/>
  <c r="D2086" i="9"/>
  <c r="C2086" i="9"/>
  <c r="B2086" i="9"/>
  <c r="A2086" i="9"/>
  <c r="E2085" i="9"/>
  <c r="D2085" i="9"/>
  <c r="C2085" i="9"/>
  <c r="A2085" i="9"/>
  <c r="E2084" i="9"/>
  <c r="D2084" i="9"/>
  <c r="C2084" i="9"/>
  <c r="A2084" i="9"/>
  <c r="E2083" i="9"/>
  <c r="D2083" i="9"/>
  <c r="C2083" i="9"/>
  <c r="A2083" i="9"/>
  <c r="E2082" i="9"/>
  <c r="D2082" i="9"/>
  <c r="C2082" i="9"/>
  <c r="A2082" i="9"/>
  <c r="E2081" i="9"/>
  <c r="D2081" i="9"/>
  <c r="C2081" i="9"/>
  <c r="A2081" i="9"/>
  <c r="E2080" i="9"/>
  <c r="D2080" i="9"/>
  <c r="C2080" i="9"/>
  <c r="A2080" i="9"/>
  <c r="E2079" i="9"/>
  <c r="D2079" i="9"/>
  <c r="C2079" i="9"/>
  <c r="A2079" i="9"/>
  <c r="E2078" i="9"/>
  <c r="D2078" i="9"/>
  <c r="C2078" i="9"/>
  <c r="A2078" i="9"/>
  <c r="E2077" i="9"/>
  <c r="D2077" i="9"/>
  <c r="C2077" i="9"/>
  <c r="A2077" i="9"/>
  <c r="E2076" i="9"/>
  <c r="D2076" i="9"/>
  <c r="C2076" i="9"/>
  <c r="A2076" i="9"/>
  <c r="E2075" i="9"/>
  <c r="D2075" i="9"/>
  <c r="C2075" i="9"/>
  <c r="A2075" i="9"/>
  <c r="E2074" i="9"/>
  <c r="D2074" i="9"/>
  <c r="C2074" i="9"/>
  <c r="A2074" i="9"/>
  <c r="E2073" i="9"/>
  <c r="D2073" i="9"/>
  <c r="C2073" i="9"/>
  <c r="A2073" i="9"/>
  <c r="E2072" i="9"/>
  <c r="D2072" i="9"/>
  <c r="C2072" i="9"/>
  <c r="A2072" i="9"/>
  <c r="E2071" i="9"/>
  <c r="D2071" i="9"/>
  <c r="C2071" i="9"/>
  <c r="A2071" i="9"/>
  <c r="E2070" i="9"/>
  <c r="D2070" i="9"/>
  <c r="C2070" i="9"/>
  <c r="A2070" i="9"/>
  <c r="E2069" i="9"/>
  <c r="D2069" i="9"/>
  <c r="C2069" i="9"/>
  <c r="A2069" i="9"/>
  <c r="E2068" i="9"/>
  <c r="D2068" i="9"/>
  <c r="C2068" i="9"/>
  <c r="A2068" i="9"/>
  <c r="E2067" i="9"/>
  <c r="D2067" i="9"/>
  <c r="C2067" i="9"/>
  <c r="A2067" i="9"/>
  <c r="E2066" i="9"/>
  <c r="D2066" i="9"/>
  <c r="C2066" i="9"/>
  <c r="A2066" i="9"/>
  <c r="E2065" i="9"/>
  <c r="D2065" i="9"/>
  <c r="C2065" i="9"/>
  <c r="A2065" i="9"/>
  <c r="E2064" i="9"/>
  <c r="D2064" i="9"/>
  <c r="C2064" i="9"/>
  <c r="A2064" i="9"/>
  <c r="E2063" i="9"/>
  <c r="D2063" i="9"/>
  <c r="C2063" i="9"/>
  <c r="A2063" i="9"/>
  <c r="E2062" i="9"/>
  <c r="D2062" i="9"/>
  <c r="C2062" i="9"/>
  <c r="A2062" i="9"/>
  <c r="E2061" i="9"/>
  <c r="D2061" i="9"/>
  <c r="C2061" i="9"/>
  <c r="A2061" i="9"/>
  <c r="E2060" i="9"/>
  <c r="D2060" i="9"/>
  <c r="C2060" i="9"/>
  <c r="A2060" i="9"/>
  <c r="E2059" i="9"/>
  <c r="D2059" i="9"/>
  <c r="C2059" i="9"/>
  <c r="A2059" i="9"/>
  <c r="E2058" i="9"/>
  <c r="D2058" i="9"/>
  <c r="C2058" i="9"/>
  <c r="A2058" i="9"/>
  <c r="E2057" i="9"/>
  <c r="D2057" i="9"/>
  <c r="C2057" i="9"/>
  <c r="A2057" i="9"/>
  <c r="E2056" i="9"/>
  <c r="D2056" i="9"/>
  <c r="C2056" i="9"/>
  <c r="A2056" i="9"/>
  <c r="E2055" i="9"/>
  <c r="D2055" i="9"/>
  <c r="C2055" i="9"/>
  <c r="A2055" i="9"/>
  <c r="E2054" i="9"/>
  <c r="D2054" i="9"/>
  <c r="C2054" i="9"/>
  <c r="A2054" i="9"/>
  <c r="E2053" i="9"/>
  <c r="D2053" i="9"/>
  <c r="C2053" i="9"/>
  <c r="A2053" i="9"/>
  <c r="E2052" i="9"/>
  <c r="D2052" i="9"/>
  <c r="C2052" i="9"/>
  <c r="A2052" i="9"/>
  <c r="E2051" i="9"/>
  <c r="D2051" i="9"/>
  <c r="C2051" i="9"/>
  <c r="A2051" i="9"/>
  <c r="E2050" i="9"/>
  <c r="D2050" i="9"/>
  <c r="C2050" i="9"/>
  <c r="A2050" i="9"/>
  <c r="E2049" i="9"/>
  <c r="D2049" i="9"/>
  <c r="C2049" i="9"/>
  <c r="A2049" i="9"/>
  <c r="E2048" i="9"/>
  <c r="D2048" i="9"/>
  <c r="C2048" i="9"/>
  <c r="A2048" i="9"/>
  <c r="E2047" i="9"/>
  <c r="D2047" i="9"/>
  <c r="C2047" i="9"/>
  <c r="A2047" i="9"/>
  <c r="E2046" i="9"/>
  <c r="D2046" i="9"/>
  <c r="C2046" i="9"/>
  <c r="A2046" i="9"/>
  <c r="E2045" i="9"/>
  <c r="D2045" i="9"/>
  <c r="C2045" i="9"/>
  <c r="B2045" i="9"/>
  <c r="A2045" i="9"/>
  <c r="E2044" i="9"/>
  <c r="D2044" i="9"/>
  <c r="C2044" i="9"/>
  <c r="B2044" i="9"/>
  <c r="A2044" i="9"/>
  <c r="E2043" i="9"/>
  <c r="D2043" i="9"/>
  <c r="C2043" i="9"/>
  <c r="B2043" i="9"/>
  <c r="A2043" i="9"/>
  <c r="E2042" i="9"/>
  <c r="D2042" i="9"/>
  <c r="C2042" i="9"/>
  <c r="B2042" i="9"/>
  <c r="A2042" i="9"/>
  <c r="E2041" i="9"/>
  <c r="D2041" i="9"/>
  <c r="C2041" i="9"/>
  <c r="B2041" i="9"/>
  <c r="A2041" i="9"/>
  <c r="Q2040" i="9"/>
  <c r="N2040" i="9"/>
  <c r="I2040" i="9"/>
  <c r="H2040" i="9"/>
  <c r="G2040" i="9"/>
  <c r="F2040" i="9"/>
  <c r="E2040" i="9"/>
  <c r="D2040" i="9"/>
  <c r="C2040" i="9"/>
  <c r="B2040" i="9"/>
  <c r="A2040" i="9"/>
  <c r="E2039" i="9"/>
  <c r="D2039" i="9"/>
  <c r="C2039" i="9"/>
  <c r="B2039" i="9"/>
  <c r="A2039" i="9"/>
  <c r="E2038" i="9"/>
  <c r="D2038" i="9"/>
  <c r="C2038" i="9"/>
  <c r="B2038" i="9"/>
  <c r="A2038" i="9"/>
  <c r="E2037" i="9"/>
  <c r="D2037" i="9"/>
  <c r="C2037" i="9"/>
  <c r="B2037" i="9"/>
  <c r="A2037" i="9"/>
  <c r="E2036" i="9"/>
  <c r="D2036" i="9"/>
  <c r="C2036" i="9"/>
  <c r="B2036" i="9"/>
  <c r="A2036" i="9"/>
  <c r="E2035" i="9"/>
  <c r="D2035" i="9"/>
  <c r="C2035" i="9"/>
  <c r="B2035" i="9"/>
  <c r="A2035" i="9"/>
  <c r="E2034" i="9"/>
  <c r="D2034" i="9"/>
  <c r="C2034" i="9"/>
  <c r="B2034" i="9"/>
  <c r="A2034" i="9"/>
  <c r="E2033" i="9"/>
  <c r="D2033" i="9"/>
  <c r="C2033" i="9"/>
  <c r="B2033" i="9"/>
  <c r="A2033" i="9"/>
  <c r="E2032" i="9"/>
  <c r="D2032" i="9"/>
  <c r="C2032" i="9"/>
  <c r="B2032" i="9"/>
  <c r="A2032" i="9"/>
  <c r="E2031" i="9"/>
  <c r="D2031" i="9"/>
  <c r="C2031" i="9"/>
  <c r="B2031" i="9"/>
  <c r="A2031" i="9"/>
  <c r="E2030" i="9"/>
  <c r="D2030" i="9"/>
  <c r="C2030" i="9"/>
  <c r="B2030" i="9"/>
  <c r="A2030" i="9"/>
  <c r="E2029" i="9"/>
  <c r="D2029" i="9"/>
  <c r="C2029" i="9"/>
  <c r="B2029" i="9"/>
  <c r="A2029" i="9"/>
  <c r="E2028" i="9"/>
  <c r="D2028" i="9"/>
  <c r="C2028" i="9"/>
  <c r="B2028" i="9"/>
  <c r="A2028" i="9"/>
  <c r="E2027" i="9"/>
  <c r="D2027" i="9"/>
  <c r="C2027" i="9"/>
  <c r="B2027" i="9"/>
  <c r="A2027" i="9"/>
  <c r="E2026" i="9"/>
  <c r="D2026" i="9"/>
  <c r="C2026" i="9"/>
  <c r="B2026" i="9"/>
  <c r="A2026" i="9"/>
  <c r="E2025" i="9"/>
  <c r="D2025" i="9"/>
  <c r="C2025" i="9"/>
  <c r="B2025" i="9"/>
  <c r="A2025" i="9"/>
  <c r="E2024" i="9"/>
  <c r="D2024" i="9"/>
  <c r="C2024" i="9"/>
  <c r="B2024" i="9"/>
  <c r="A2024" i="9"/>
  <c r="E2023" i="9"/>
  <c r="D2023" i="9"/>
  <c r="C2023" i="9"/>
  <c r="B2023" i="9"/>
  <c r="A2023" i="9"/>
  <c r="E2022" i="9"/>
  <c r="D2022" i="9"/>
  <c r="C2022" i="9"/>
  <c r="B2022" i="9"/>
  <c r="A2022" i="9"/>
  <c r="E2021" i="9"/>
  <c r="D2021" i="9"/>
  <c r="C2021" i="9"/>
  <c r="B2021" i="9"/>
  <c r="A2021" i="9"/>
  <c r="E2020" i="9"/>
  <c r="D2020" i="9"/>
  <c r="C2020" i="9"/>
  <c r="B2020" i="9"/>
  <c r="A2020" i="9"/>
  <c r="E2019" i="9"/>
  <c r="D2019" i="9"/>
  <c r="C2019" i="9"/>
  <c r="B2019" i="9"/>
  <c r="A2019" i="9"/>
  <c r="E2018" i="9"/>
  <c r="D2018" i="9"/>
  <c r="C2018" i="9"/>
  <c r="B2018" i="9"/>
  <c r="A2018" i="9"/>
  <c r="E2017" i="9"/>
  <c r="D2017" i="9"/>
  <c r="C2017" i="9"/>
  <c r="B2017" i="9"/>
  <c r="A2017" i="9"/>
  <c r="E2016" i="9"/>
  <c r="D2016" i="9"/>
  <c r="C2016" i="9"/>
  <c r="B2016" i="9"/>
  <c r="A2016" i="9"/>
  <c r="E2015" i="9"/>
  <c r="D2015" i="9"/>
  <c r="C2015" i="9"/>
  <c r="B2015" i="9"/>
  <c r="A2015" i="9"/>
  <c r="E2014" i="9"/>
  <c r="D2014" i="9"/>
  <c r="C2014" i="9"/>
  <c r="B2014" i="9"/>
  <c r="A2014" i="9"/>
  <c r="E2013" i="9"/>
  <c r="D2013" i="9"/>
  <c r="C2013" i="9"/>
  <c r="B2013" i="9"/>
  <c r="A2013" i="9"/>
  <c r="E2012" i="9"/>
  <c r="D2012" i="9"/>
  <c r="C2012" i="9"/>
  <c r="B2012" i="9"/>
  <c r="A2012" i="9"/>
  <c r="E2011" i="9"/>
  <c r="D2011" i="9"/>
  <c r="C2011" i="9"/>
  <c r="B2011" i="9"/>
  <c r="A2011" i="9"/>
  <c r="E2010" i="9"/>
  <c r="D2010" i="9"/>
  <c r="C2010" i="9"/>
  <c r="B2010" i="9"/>
  <c r="A2010" i="9"/>
  <c r="E2009" i="9"/>
  <c r="D2009" i="9"/>
  <c r="C2009" i="9"/>
  <c r="B2009" i="9"/>
  <c r="A2009" i="9"/>
  <c r="E2008" i="9"/>
  <c r="D2008" i="9"/>
  <c r="C2008" i="9"/>
  <c r="B2008" i="9"/>
  <c r="A2008" i="9"/>
  <c r="E2007" i="9"/>
  <c r="D2007" i="9"/>
  <c r="C2007" i="9"/>
  <c r="B2007" i="9"/>
  <c r="A2007" i="9"/>
  <c r="E2006" i="9"/>
  <c r="D2006" i="9"/>
  <c r="C2006" i="9"/>
  <c r="B2006" i="9"/>
  <c r="A2006" i="9"/>
  <c r="E2005" i="9"/>
  <c r="D2005" i="9"/>
  <c r="C2005" i="9"/>
  <c r="B2005" i="9"/>
  <c r="A2005" i="9"/>
  <c r="E2004" i="9"/>
  <c r="D2004" i="9"/>
  <c r="C2004" i="9"/>
  <c r="B2004" i="9"/>
  <c r="A2004" i="9"/>
  <c r="E2003" i="9"/>
  <c r="D2003" i="9"/>
  <c r="C2003" i="9"/>
  <c r="B2003" i="9"/>
  <c r="A2003" i="9"/>
  <c r="E2002" i="9"/>
  <c r="D2002" i="9"/>
  <c r="C2002" i="9"/>
  <c r="B2002" i="9"/>
  <c r="A2002" i="9"/>
  <c r="E2001" i="9"/>
  <c r="D2001" i="9"/>
  <c r="C2001" i="9"/>
  <c r="B2001" i="9"/>
  <c r="A2001" i="9"/>
  <c r="E2000" i="9"/>
  <c r="D2000" i="9"/>
  <c r="C2000" i="9"/>
  <c r="B2000" i="9"/>
  <c r="A2000" i="9"/>
  <c r="E1999" i="9"/>
  <c r="D1999" i="9"/>
  <c r="C1999" i="9"/>
  <c r="B1999" i="9"/>
  <c r="A1999" i="9"/>
  <c r="E1998" i="9"/>
  <c r="D1998" i="9"/>
  <c r="C1998" i="9"/>
  <c r="B1998" i="9"/>
  <c r="A1998" i="9"/>
  <c r="E1997" i="9"/>
  <c r="D1997" i="9"/>
  <c r="C1997" i="9"/>
  <c r="B1997" i="9"/>
  <c r="A1997" i="9"/>
  <c r="E1996" i="9"/>
  <c r="D1996" i="9"/>
  <c r="C1996" i="9"/>
  <c r="B1996" i="9"/>
  <c r="A1996" i="9"/>
  <c r="E1995" i="9"/>
  <c r="D1995" i="9"/>
  <c r="C1995" i="9"/>
  <c r="B1995" i="9"/>
  <c r="A1995" i="9"/>
  <c r="E1994" i="9"/>
  <c r="D1994" i="9"/>
  <c r="C1994" i="9"/>
  <c r="B1994" i="9"/>
  <c r="A1994" i="9"/>
  <c r="E1993" i="9"/>
  <c r="D1993" i="9"/>
  <c r="C1993" i="9"/>
  <c r="B1993" i="9"/>
  <c r="A1993" i="9"/>
  <c r="E1992" i="9"/>
  <c r="D1992" i="9"/>
  <c r="C1992" i="9"/>
  <c r="B1992" i="9"/>
  <c r="A1992" i="9"/>
  <c r="E1991" i="9"/>
  <c r="D1991" i="9"/>
  <c r="C1991" i="9"/>
  <c r="B1991" i="9"/>
  <c r="A1991" i="9"/>
  <c r="E1990" i="9"/>
  <c r="D1990" i="9"/>
  <c r="C1990" i="9"/>
  <c r="B1990" i="9"/>
  <c r="A1990" i="9"/>
  <c r="E1989" i="9"/>
  <c r="D1989" i="9"/>
  <c r="C1989" i="9"/>
  <c r="B1989" i="9"/>
  <c r="A1989" i="9"/>
  <c r="E1988" i="9"/>
  <c r="D1988" i="9"/>
  <c r="C1988" i="9"/>
  <c r="B1988" i="9"/>
  <c r="A1988" i="9"/>
  <c r="E1987" i="9"/>
  <c r="D1987" i="9"/>
  <c r="C1987" i="9"/>
  <c r="B1987" i="9"/>
  <c r="A1987" i="9"/>
  <c r="E1986" i="9"/>
  <c r="D1986" i="9"/>
  <c r="C1986" i="9"/>
  <c r="B1986" i="9"/>
  <c r="A1986" i="9"/>
  <c r="E1985" i="9"/>
  <c r="D1985" i="9"/>
  <c r="C1985" i="9"/>
  <c r="B1985" i="9"/>
  <c r="A1985" i="9"/>
  <c r="E1984" i="9"/>
  <c r="D1984" i="9"/>
  <c r="C1984" i="9"/>
  <c r="B1984" i="9"/>
  <c r="A1984" i="9"/>
  <c r="E1983" i="9"/>
  <c r="D1983" i="9"/>
  <c r="C1983" i="9"/>
  <c r="B1983" i="9"/>
  <c r="A1983" i="9"/>
  <c r="E1982" i="9"/>
  <c r="D1982" i="9"/>
  <c r="C1982" i="9"/>
  <c r="B1982" i="9"/>
  <c r="A1982" i="9"/>
  <c r="E1981" i="9"/>
  <c r="D1981" i="9"/>
  <c r="C1981" i="9"/>
  <c r="B1981" i="9"/>
  <c r="A1981" i="9"/>
  <c r="E1980" i="9"/>
  <c r="D1980" i="9"/>
  <c r="C1980" i="9"/>
  <c r="B1980" i="9"/>
  <c r="A1980" i="9"/>
  <c r="E1979" i="9"/>
  <c r="D1979" i="9"/>
  <c r="C1979" i="9"/>
  <c r="B1979" i="9"/>
  <c r="A1979" i="9"/>
  <c r="E1978" i="9"/>
  <c r="D1978" i="9"/>
  <c r="C1978" i="9"/>
  <c r="B1978" i="9"/>
  <c r="A1978" i="9"/>
  <c r="E1977" i="9"/>
  <c r="D1977" i="9"/>
  <c r="C1977" i="9"/>
  <c r="B1977" i="9"/>
  <c r="A1977" i="9"/>
  <c r="E1976" i="9"/>
  <c r="D1976" i="9"/>
  <c r="C1976" i="9"/>
  <c r="B1976" i="9"/>
  <c r="A1976" i="9"/>
  <c r="E1975" i="9"/>
  <c r="D1975" i="9"/>
  <c r="C1975" i="9"/>
  <c r="B1975" i="9"/>
  <c r="A1975" i="9"/>
  <c r="E1974" i="9"/>
  <c r="D1974" i="9"/>
  <c r="C1974" i="9"/>
  <c r="B1974" i="9"/>
  <c r="A1974" i="9"/>
  <c r="E1973" i="9"/>
  <c r="D1973" i="9"/>
  <c r="C1973" i="9"/>
  <c r="B1973" i="9"/>
  <c r="A1973" i="9"/>
  <c r="E1972" i="9"/>
  <c r="D1972" i="9"/>
  <c r="C1972" i="9"/>
  <c r="B1972" i="9"/>
  <c r="A1972" i="9"/>
  <c r="E1971" i="9"/>
  <c r="D1971" i="9"/>
  <c r="C1971" i="9"/>
  <c r="B1971" i="9"/>
  <c r="A1971" i="9"/>
  <c r="E1970" i="9"/>
  <c r="D1970" i="9"/>
  <c r="C1970" i="9"/>
  <c r="B1970" i="9"/>
  <c r="A1970" i="9"/>
  <c r="E1969" i="9"/>
  <c r="D1969" i="9"/>
  <c r="C1969" i="9"/>
  <c r="B1969" i="9"/>
  <c r="A1969" i="9"/>
  <c r="E1968" i="9"/>
  <c r="D1968" i="9"/>
  <c r="C1968" i="9"/>
  <c r="B1968" i="9"/>
  <c r="A1968" i="9"/>
  <c r="E1967" i="9"/>
  <c r="D1967" i="9"/>
  <c r="C1967" i="9"/>
  <c r="B1967" i="9"/>
  <c r="A1967" i="9"/>
  <c r="E1966" i="9"/>
  <c r="D1966" i="9"/>
  <c r="C1966" i="9"/>
  <c r="B1966" i="9"/>
  <c r="A1966" i="9"/>
  <c r="E1965" i="9"/>
  <c r="D1965" i="9"/>
  <c r="C1965" i="9"/>
  <c r="B1965" i="9"/>
  <c r="A1965" i="9"/>
  <c r="E1964" i="9"/>
  <c r="D1964" i="9"/>
  <c r="C1964" i="9"/>
  <c r="B1964" i="9"/>
  <c r="A1964" i="9"/>
  <c r="E1963" i="9"/>
  <c r="D1963" i="9"/>
  <c r="C1963" i="9"/>
  <c r="B1963" i="9"/>
  <c r="A1963" i="9"/>
  <c r="E1962" i="9"/>
  <c r="D1962" i="9"/>
  <c r="C1962" i="9"/>
  <c r="B1962" i="9"/>
  <c r="A1962" i="9"/>
  <c r="E1961" i="9"/>
  <c r="D1961" i="9"/>
  <c r="C1961" i="9"/>
  <c r="B1961" i="9"/>
  <c r="A1961" i="9"/>
  <c r="E1960" i="9"/>
  <c r="D1960" i="9"/>
  <c r="C1960" i="9"/>
  <c r="B1960" i="9"/>
  <c r="A1960" i="9"/>
  <c r="E1959" i="9"/>
  <c r="D1959" i="9"/>
  <c r="C1959" i="9"/>
  <c r="B1959" i="9"/>
  <c r="A1959" i="9"/>
  <c r="E1958" i="9"/>
  <c r="D1958" i="9"/>
  <c r="C1958" i="9"/>
  <c r="B1958" i="9"/>
  <c r="A1958" i="9"/>
  <c r="E1957" i="9"/>
  <c r="D1957" i="9"/>
  <c r="C1957" i="9"/>
  <c r="B1957" i="9"/>
  <c r="A1957" i="9"/>
  <c r="E1956" i="9"/>
  <c r="D1956" i="9"/>
  <c r="C1956" i="9"/>
  <c r="B1956" i="9"/>
  <c r="A1956" i="9"/>
  <c r="E1955" i="9"/>
  <c r="D1955" i="9"/>
  <c r="C1955" i="9"/>
  <c r="B1955" i="9"/>
  <c r="A1955" i="9"/>
  <c r="E1954" i="9"/>
  <c r="D1954" i="9"/>
  <c r="C1954" i="9"/>
  <c r="B1954" i="9"/>
  <c r="A1954" i="9"/>
  <c r="E1953" i="9"/>
  <c r="D1953" i="9"/>
  <c r="C1953" i="9"/>
  <c r="B1953" i="9"/>
  <c r="A1953" i="9"/>
  <c r="E1952" i="9"/>
  <c r="D1952" i="9"/>
  <c r="C1952" i="9"/>
  <c r="B1952" i="9"/>
  <c r="A1952" i="9"/>
  <c r="E1951" i="9"/>
  <c r="D1951" i="9"/>
  <c r="C1951" i="9"/>
  <c r="B1951" i="9"/>
  <c r="A1951" i="9"/>
  <c r="E1950" i="9"/>
  <c r="D1950" i="9"/>
  <c r="C1950" i="9"/>
  <c r="B1950" i="9"/>
  <c r="A1950" i="9"/>
  <c r="E1949" i="9"/>
  <c r="D1949" i="9"/>
  <c r="C1949" i="9"/>
  <c r="B1949" i="9"/>
  <c r="A1949" i="9"/>
  <c r="E1948" i="9"/>
  <c r="D1948" i="9"/>
  <c r="C1948" i="9"/>
  <c r="B1948" i="9"/>
  <c r="A1948" i="9"/>
  <c r="E1947" i="9"/>
  <c r="D1947" i="9"/>
  <c r="C1947" i="9"/>
  <c r="B1947" i="9"/>
  <c r="A1947" i="9"/>
  <c r="E1946" i="9"/>
  <c r="D1946" i="9"/>
  <c r="C1946" i="9"/>
  <c r="B1946" i="9"/>
  <c r="A1946" i="9"/>
  <c r="E1945" i="9"/>
  <c r="D1945" i="9"/>
  <c r="C1945" i="9"/>
  <c r="B1945" i="9"/>
  <c r="A1945" i="9"/>
  <c r="E1944" i="9"/>
  <c r="D1944" i="9"/>
  <c r="C1944" i="9"/>
  <c r="B1944" i="9"/>
  <c r="A1944" i="9"/>
  <c r="E1943" i="9"/>
  <c r="D1943" i="9"/>
  <c r="C1943" i="9"/>
  <c r="B1943" i="9"/>
  <c r="A1943" i="9"/>
  <c r="E1942" i="9"/>
  <c r="D1942" i="9"/>
  <c r="C1942" i="9"/>
  <c r="B1942" i="9"/>
  <c r="A1942" i="9"/>
  <c r="E1941" i="9"/>
  <c r="D1941" i="9"/>
  <c r="C1941" i="9"/>
  <c r="B1941" i="9"/>
  <c r="A1941" i="9"/>
  <c r="E1940" i="9"/>
  <c r="D1940" i="9"/>
  <c r="C1940" i="9"/>
  <c r="B1940" i="9"/>
  <c r="A1940" i="9"/>
  <c r="E1939" i="9"/>
  <c r="D1939" i="9"/>
  <c r="C1939" i="9"/>
  <c r="B1939" i="9"/>
  <c r="A1939" i="9"/>
  <c r="E1938" i="9"/>
  <c r="D1938" i="9"/>
  <c r="C1938" i="9"/>
  <c r="B1938" i="9"/>
  <c r="A1938" i="9"/>
  <c r="E1937" i="9"/>
  <c r="D1937" i="9"/>
  <c r="C1937" i="9"/>
  <c r="B1937" i="9"/>
  <c r="A1937" i="9"/>
  <c r="E1936" i="9"/>
  <c r="D1936" i="9"/>
  <c r="C1936" i="9"/>
  <c r="B1936" i="9"/>
  <c r="A1936" i="9"/>
  <c r="E1935" i="9"/>
  <c r="D1935" i="9"/>
  <c r="C1935" i="9"/>
  <c r="B1935" i="9"/>
  <c r="A1935" i="9"/>
  <c r="E1934" i="9"/>
  <c r="D1934" i="9"/>
  <c r="C1934" i="9"/>
  <c r="B1934" i="9"/>
  <c r="A1934" i="9"/>
  <c r="E1933" i="9"/>
  <c r="D1933" i="9"/>
  <c r="C1933" i="9"/>
  <c r="B1933" i="9"/>
  <c r="A1933" i="9"/>
  <c r="E1932" i="9"/>
  <c r="D1932" i="9"/>
  <c r="C1932" i="9"/>
  <c r="B1932" i="9"/>
  <c r="A1932" i="9"/>
  <c r="E1931" i="9"/>
  <c r="D1931" i="9"/>
  <c r="C1931" i="9"/>
  <c r="B1931" i="9"/>
  <c r="A1931" i="9"/>
  <c r="E1930" i="9"/>
  <c r="D1930" i="9"/>
  <c r="C1930" i="9"/>
  <c r="B1930" i="9"/>
  <c r="A1930" i="9"/>
  <c r="E1929" i="9"/>
  <c r="D1929" i="9"/>
  <c r="C1929" i="9"/>
  <c r="B1929" i="9"/>
  <c r="A1929" i="9"/>
  <c r="E1928" i="9"/>
  <c r="D1928" i="9"/>
  <c r="C1928" i="9"/>
  <c r="B1928" i="9"/>
  <c r="A1928" i="9"/>
  <c r="E1927" i="9"/>
  <c r="D1927" i="9"/>
  <c r="C1927" i="9"/>
  <c r="B1927" i="9"/>
  <c r="A1927" i="9"/>
  <c r="E1926" i="9"/>
  <c r="D1926" i="9"/>
  <c r="C1926" i="9"/>
  <c r="B1926" i="9"/>
  <c r="A1926" i="9"/>
  <c r="E1925" i="9"/>
  <c r="D1925" i="9"/>
  <c r="C1925" i="9"/>
  <c r="B1925" i="9"/>
  <c r="A1925" i="9"/>
  <c r="E1924" i="9"/>
  <c r="D1924" i="9"/>
  <c r="C1924" i="9"/>
  <c r="B1924" i="9"/>
  <c r="A1924" i="9"/>
  <c r="E1923" i="9"/>
  <c r="D1923" i="9"/>
  <c r="C1923" i="9"/>
  <c r="B1923" i="9"/>
  <c r="A1923" i="9"/>
  <c r="E1922" i="9"/>
  <c r="D1922" i="9"/>
  <c r="C1922" i="9"/>
  <c r="B1922" i="9"/>
  <c r="A1922" i="9"/>
  <c r="E1921" i="9"/>
  <c r="D1921" i="9"/>
  <c r="C1921" i="9"/>
  <c r="B1921" i="9"/>
  <c r="A1921" i="9"/>
  <c r="E1920" i="9"/>
  <c r="D1920" i="9"/>
  <c r="C1920" i="9"/>
  <c r="B1920" i="9"/>
  <c r="A1920" i="9"/>
  <c r="E1919" i="9"/>
  <c r="D1919" i="9"/>
  <c r="C1919" i="9"/>
  <c r="B1919" i="9"/>
  <c r="A1919" i="9"/>
  <c r="E1918" i="9"/>
  <c r="D1918" i="9"/>
  <c r="C1918" i="9"/>
  <c r="B1918" i="9"/>
  <c r="A1918" i="9"/>
  <c r="E1917" i="9"/>
  <c r="D1917" i="9"/>
  <c r="C1917" i="9"/>
  <c r="B1917" i="9"/>
  <c r="A1917" i="9"/>
  <c r="E1916" i="9"/>
  <c r="D1916" i="9"/>
  <c r="C1916" i="9"/>
  <c r="B1916" i="9"/>
  <c r="A1916" i="9"/>
  <c r="E1915" i="9"/>
  <c r="D1915" i="9"/>
  <c r="C1915" i="9"/>
  <c r="B1915" i="9"/>
  <c r="A1915" i="9"/>
  <c r="E1914" i="9"/>
  <c r="D1914" i="9"/>
  <c r="C1914" i="9"/>
  <c r="B1914" i="9"/>
  <c r="A1914" i="9"/>
  <c r="E1913" i="9"/>
  <c r="D1913" i="9"/>
  <c r="C1913" i="9"/>
  <c r="B1913" i="9"/>
  <c r="A1913" i="9"/>
  <c r="E1912" i="9"/>
  <c r="D1912" i="9"/>
  <c r="C1912" i="9"/>
  <c r="B1912" i="9"/>
  <c r="A1912" i="9"/>
  <c r="E1911" i="9"/>
  <c r="D1911" i="9"/>
  <c r="C1911" i="9"/>
  <c r="B1911" i="9"/>
  <c r="A1911" i="9"/>
  <c r="E1910" i="9"/>
  <c r="D1910" i="9"/>
  <c r="C1910" i="9"/>
  <c r="B1910" i="9"/>
  <c r="A1910" i="9"/>
  <c r="E1909" i="9"/>
  <c r="D1909" i="9"/>
  <c r="C1909" i="9"/>
  <c r="B1909" i="9"/>
  <c r="A1909" i="9"/>
  <c r="E1908" i="9"/>
  <c r="D1908" i="9"/>
  <c r="C1908" i="9"/>
  <c r="B1908" i="9"/>
  <c r="A1908" i="9"/>
  <c r="E1907" i="9"/>
  <c r="D1907" i="9"/>
  <c r="C1907" i="9"/>
  <c r="B1907" i="9"/>
  <c r="A1907" i="9"/>
  <c r="E1906" i="9"/>
  <c r="D1906" i="9"/>
  <c r="C1906" i="9"/>
  <c r="B1906" i="9"/>
  <c r="A1906" i="9"/>
  <c r="E1905" i="9"/>
  <c r="D1905" i="9"/>
  <c r="C1905" i="9"/>
  <c r="B1905" i="9"/>
  <c r="A1905" i="9"/>
  <c r="E1904" i="9"/>
  <c r="D1904" i="9"/>
  <c r="C1904" i="9"/>
  <c r="B1904" i="9"/>
  <c r="A1904" i="9"/>
  <c r="E1903" i="9"/>
  <c r="D1903" i="9"/>
  <c r="C1903" i="9"/>
  <c r="B1903" i="9"/>
  <c r="A1903" i="9"/>
  <c r="E1902" i="9"/>
  <c r="D1902" i="9"/>
  <c r="C1902" i="9"/>
  <c r="B1902" i="9"/>
  <c r="A1902" i="9"/>
  <c r="E1901" i="9"/>
  <c r="D1901" i="9"/>
  <c r="C1901" i="9"/>
  <c r="B1901" i="9"/>
  <c r="A1901" i="9"/>
  <c r="E1900" i="9"/>
  <c r="D1900" i="9"/>
  <c r="C1900" i="9"/>
  <c r="B1900" i="9"/>
  <c r="A1900" i="9"/>
  <c r="E1899" i="9"/>
  <c r="D1899" i="9"/>
  <c r="C1899" i="9"/>
  <c r="B1899" i="9"/>
  <c r="A1899" i="9"/>
  <c r="E1898" i="9"/>
  <c r="D1898" i="9"/>
  <c r="C1898" i="9"/>
  <c r="B1898" i="9"/>
  <c r="A1898" i="9"/>
  <c r="E1897" i="9"/>
  <c r="D1897" i="9"/>
  <c r="C1897" i="9"/>
  <c r="B1897" i="9"/>
  <c r="A1897" i="9"/>
  <c r="E1896" i="9"/>
  <c r="D1896" i="9"/>
  <c r="C1896" i="9"/>
  <c r="B1896" i="9"/>
  <c r="A1896" i="9"/>
  <c r="E1895" i="9"/>
  <c r="D1895" i="9"/>
  <c r="C1895" i="9"/>
  <c r="B1895" i="9"/>
  <c r="A1895" i="9"/>
  <c r="E1894" i="9"/>
  <c r="D1894" i="9"/>
  <c r="C1894" i="9"/>
  <c r="B1894" i="9"/>
  <c r="A1894" i="9"/>
  <c r="E1893" i="9"/>
  <c r="D1893" i="9"/>
  <c r="C1893" i="9"/>
  <c r="B1893" i="9"/>
  <c r="A1893" i="9"/>
  <c r="E1892" i="9"/>
  <c r="D1892" i="9"/>
  <c r="C1892" i="9"/>
  <c r="B1892" i="9"/>
  <c r="A1892" i="9"/>
  <c r="E1891" i="9"/>
  <c r="D1891" i="9"/>
  <c r="C1891" i="9"/>
  <c r="B1891" i="9"/>
  <c r="A1891" i="9"/>
  <c r="E1890" i="9"/>
  <c r="D1890" i="9"/>
  <c r="C1890" i="9"/>
  <c r="B1890" i="9"/>
  <c r="A1890" i="9"/>
  <c r="E1889" i="9"/>
  <c r="D1889" i="9"/>
  <c r="C1889" i="9"/>
  <c r="B1889" i="9"/>
  <c r="A1889" i="9"/>
  <c r="E1888" i="9"/>
  <c r="D1888" i="9"/>
  <c r="C1888" i="9"/>
  <c r="B1888" i="9"/>
  <c r="A1888" i="9"/>
  <c r="E1887" i="9"/>
  <c r="D1887" i="9"/>
  <c r="C1887" i="9"/>
  <c r="B1887" i="9"/>
  <c r="A1887" i="9"/>
  <c r="E1886" i="9"/>
  <c r="D1886" i="9"/>
  <c r="C1886" i="9"/>
  <c r="B1886" i="9"/>
  <c r="A1886" i="9"/>
  <c r="E1885" i="9"/>
  <c r="D1885" i="9"/>
  <c r="C1885" i="9"/>
  <c r="B1885" i="9"/>
  <c r="A1885" i="9"/>
  <c r="E1884" i="9"/>
  <c r="D1884" i="9"/>
  <c r="C1884" i="9"/>
  <c r="B1884" i="9"/>
  <c r="A1884" i="9"/>
  <c r="E1883" i="9"/>
  <c r="D1883" i="9"/>
  <c r="C1883" i="9"/>
  <c r="B1883" i="9"/>
  <c r="A1883" i="9"/>
  <c r="E1882" i="9"/>
  <c r="D1882" i="9"/>
  <c r="C1882" i="9"/>
  <c r="B1882" i="9"/>
  <c r="A1882" i="9"/>
  <c r="E1881" i="9"/>
  <c r="D1881" i="9"/>
  <c r="C1881" i="9"/>
  <c r="B1881" i="9"/>
  <c r="A1881" i="9"/>
  <c r="E1880" i="9"/>
  <c r="D1880" i="9"/>
  <c r="C1880" i="9"/>
  <c r="B1880" i="9"/>
  <c r="A1880" i="9"/>
  <c r="E1879" i="9"/>
  <c r="D1879" i="9"/>
  <c r="C1879" i="9"/>
  <c r="B1879" i="9"/>
  <c r="A1879" i="9"/>
  <c r="E1878" i="9"/>
  <c r="D1878" i="9"/>
  <c r="C1878" i="9"/>
  <c r="B1878" i="9"/>
  <c r="A1878" i="9"/>
  <c r="E1877" i="9"/>
  <c r="D1877" i="9"/>
  <c r="C1877" i="9"/>
  <c r="B1877" i="9"/>
  <c r="A1877" i="9"/>
  <c r="E1876" i="9"/>
  <c r="D1876" i="9"/>
  <c r="C1876" i="9"/>
  <c r="B1876" i="9"/>
  <c r="A1876" i="9"/>
  <c r="E1875" i="9"/>
  <c r="D1875" i="9"/>
  <c r="C1875" i="9"/>
  <c r="B1875" i="9"/>
  <c r="A1875" i="9"/>
  <c r="E1874" i="9"/>
  <c r="D1874" i="9"/>
  <c r="C1874" i="9"/>
  <c r="B1874" i="9"/>
  <c r="A1874" i="9"/>
  <c r="E1873" i="9"/>
  <c r="D1873" i="9"/>
  <c r="C1873" i="9"/>
  <c r="B1873" i="9"/>
  <c r="A1873" i="9"/>
  <c r="E1872" i="9"/>
  <c r="D1872" i="9"/>
  <c r="C1872" i="9"/>
  <c r="B1872" i="9"/>
  <c r="A1872" i="9"/>
  <c r="E1871" i="9"/>
  <c r="D1871" i="9"/>
  <c r="C1871" i="9"/>
  <c r="B1871" i="9"/>
  <c r="A1871" i="9"/>
  <c r="E1870" i="9"/>
  <c r="D1870" i="9"/>
  <c r="C1870" i="9"/>
  <c r="B1870" i="9"/>
  <c r="A1870" i="9"/>
  <c r="E1869" i="9"/>
  <c r="D1869" i="9"/>
  <c r="C1869" i="9"/>
  <c r="B1869" i="9"/>
  <c r="A1869" i="9"/>
  <c r="E1868" i="9"/>
  <c r="D1868" i="9"/>
  <c r="C1868" i="9"/>
  <c r="B1868" i="9"/>
  <c r="A1868" i="9"/>
  <c r="E1867" i="9"/>
  <c r="D1867" i="9"/>
  <c r="C1867" i="9"/>
  <c r="B1867" i="9"/>
  <c r="A1867" i="9"/>
  <c r="E1866" i="9"/>
  <c r="D1866" i="9"/>
  <c r="C1866" i="9"/>
  <c r="B1866" i="9"/>
  <c r="A1866" i="9"/>
  <c r="E1865" i="9"/>
  <c r="D1865" i="9"/>
  <c r="C1865" i="9"/>
  <c r="B1865" i="9"/>
  <c r="A1865" i="9"/>
  <c r="E1864" i="9"/>
  <c r="D1864" i="9"/>
  <c r="C1864" i="9"/>
  <c r="B1864" i="9"/>
  <c r="A1864" i="9"/>
  <c r="E1863" i="9"/>
  <c r="D1863" i="9"/>
  <c r="C1863" i="9"/>
  <c r="B1863" i="9"/>
  <c r="A1863" i="9"/>
  <c r="E1862" i="9"/>
  <c r="D1862" i="9"/>
  <c r="C1862" i="9"/>
  <c r="B1862" i="9"/>
  <c r="A1862" i="9"/>
  <c r="E1861" i="9"/>
  <c r="D1861" i="9"/>
  <c r="C1861" i="9"/>
  <c r="B1861" i="9"/>
  <c r="A1861" i="9"/>
  <c r="E1860" i="9"/>
  <c r="D1860" i="9"/>
  <c r="C1860" i="9"/>
  <c r="B1860" i="9"/>
  <c r="A1860" i="9"/>
  <c r="E1859" i="9"/>
  <c r="D1859" i="9"/>
  <c r="C1859" i="9"/>
  <c r="B1859" i="9"/>
  <c r="A1859" i="9"/>
  <c r="E1858" i="9"/>
  <c r="D1858" i="9"/>
  <c r="C1858" i="9"/>
  <c r="B1858" i="9"/>
  <c r="A1858" i="9"/>
  <c r="E1857" i="9"/>
  <c r="D1857" i="9"/>
  <c r="C1857" i="9"/>
  <c r="B1857" i="9"/>
  <c r="A1857" i="9"/>
  <c r="E1856" i="9"/>
  <c r="D1856" i="9"/>
  <c r="C1856" i="9"/>
  <c r="B1856" i="9"/>
  <c r="A1856" i="9"/>
  <c r="E1855" i="9"/>
  <c r="D1855" i="9"/>
  <c r="C1855" i="9"/>
  <c r="B1855" i="9"/>
  <c r="A1855" i="9"/>
  <c r="E1854" i="9"/>
  <c r="D1854" i="9"/>
  <c r="C1854" i="9"/>
  <c r="B1854" i="9"/>
  <c r="A1854" i="9"/>
  <c r="E1853" i="9"/>
  <c r="D1853" i="9"/>
  <c r="C1853" i="9"/>
  <c r="B1853" i="9"/>
  <c r="A1853" i="9"/>
  <c r="E1852" i="9"/>
  <c r="D1852" i="9"/>
  <c r="C1852" i="9"/>
  <c r="B1852" i="9"/>
  <c r="A1852" i="9"/>
  <c r="E1851" i="9"/>
  <c r="D1851" i="9"/>
  <c r="C1851" i="9"/>
  <c r="B1851" i="9"/>
  <c r="A1851" i="9"/>
  <c r="E1850" i="9"/>
  <c r="D1850" i="9"/>
  <c r="C1850" i="9"/>
  <c r="B1850" i="9"/>
  <c r="A1850" i="9"/>
  <c r="E1849" i="9"/>
  <c r="D1849" i="9"/>
  <c r="C1849" i="9"/>
  <c r="B1849" i="9"/>
  <c r="A1849" i="9"/>
  <c r="E1848" i="9"/>
  <c r="D1848" i="9"/>
  <c r="C1848" i="9"/>
  <c r="B1848" i="9"/>
  <c r="A1848" i="9"/>
  <c r="E1847" i="9"/>
  <c r="D1847" i="9"/>
  <c r="C1847" i="9"/>
  <c r="B1847" i="9"/>
  <c r="A1847" i="9"/>
  <c r="E1846" i="9"/>
  <c r="D1846" i="9"/>
  <c r="C1846" i="9"/>
  <c r="B1846" i="9"/>
  <c r="A1846" i="9"/>
  <c r="E1845" i="9"/>
  <c r="D1845" i="9"/>
  <c r="C1845" i="9"/>
  <c r="B1845" i="9"/>
  <c r="A1845" i="9"/>
  <c r="E1844" i="9"/>
  <c r="D1844" i="9"/>
  <c r="C1844" i="9"/>
  <c r="B1844" i="9"/>
  <c r="A1844" i="9"/>
  <c r="E1843" i="9"/>
  <c r="D1843" i="9"/>
  <c r="C1843" i="9"/>
  <c r="B1843" i="9"/>
  <c r="A1843" i="9"/>
  <c r="E1842" i="9"/>
  <c r="D1842" i="9"/>
  <c r="C1842" i="9"/>
  <c r="B1842" i="9"/>
  <c r="A1842" i="9"/>
  <c r="E1841" i="9"/>
  <c r="D1841" i="9"/>
  <c r="C1841" i="9"/>
  <c r="B1841" i="9"/>
  <c r="A1841" i="9"/>
  <c r="E1840" i="9"/>
  <c r="D1840" i="9"/>
  <c r="C1840" i="9"/>
  <c r="B1840" i="9"/>
  <c r="A1840" i="9"/>
  <c r="E1839" i="9"/>
  <c r="D1839" i="9"/>
  <c r="C1839" i="9"/>
  <c r="B1839" i="9"/>
  <c r="A1839" i="9"/>
  <c r="E1838" i="9"/>
  <c r="D1838" i="9"/>
  <c r="C1838" i="9"/>
  <c r="B1838" i="9"/>
  <c r="A1838" i="9"/>
  <c r="E1837" i="9"/>
  <c r="D1837" i="9"/>
  <c r="C1837" i="9"/>
  <c r="B1837" i="9"/>
  <c r="A1837" i="9"/>
  <c r="E1836" i="9"/>
  <c r="D1836" i="9"/>
  <c r="C1836" i="9"/>
  <c r="B1836" i="9"/>
  <c r="A1836" i="9"/>
  <c r="E1835" i="9"/>
  <c r="D1835" i="9"/>
  <c r="C1835" i="9"/>
  <c r="B1835" i="9"/>
  <c r="A1835" i="9"/>
  <c r="E1834" i="9"/>
  <c r="D1834" i="9"/>
  <c r="C1834" i="9"/>
  <c r="B1834" i="9"/>
  <c r="A1834" i="9"/>
  <c r="E1833" i="9"/>
  <c r="D1833" i="9"/>
  <c r="C1833" i="9"/>
  <c r="B1833" i="9"/>
  <c r="A1833" i="9"/>
  <c r="E1832" i="9"/>
  <c r="D1832" i="9"/>
  <c r="C1832" i="9"/>
  <c r="B1832" i="9"/>
  <c r="A1832" i="9"/>
  <c r="E1831" i="9"/>
  <c r="D1831" i="9"/>
  <c r="C1831" i="9"/>
  <c r="B1831" i="9"/>
  <c r="A1831" i="9"/>
  <c r="E1830" i="9"/>
  <c r="D1830" i="9"/>
  <c r="C1830" i="9"/>
  <c r="B1830" i="9"/>
  <c r="A1830" i="9"/>
  <c r="E1829" i="9"/>
  <c r="D1829" i="9"/>
  <c r="C1829" i="9"/>
  <c r="B1829" i="9"/>
  <c r="A1829" i="9"/>
  <c r="E1828" i="9"/>
  <c r="D1828" i="9"/>
  <c r="C1828" i="9"/>
  <c r="B1828" i="9"/>
  <c r="A1828" i="9"/>
  <c r="E1827" i="9"/>
  <c r="D1827" i="9"/>
  <c r="C1827" i="9"/>
  <c r="B1827" i="9"/>
  <c r="A1827" i="9"/>
  <c r="E1826" i="9"/>
  <c r="D1826" i="9"/>
  <c r="C1826" i="9"/>
  <c r="B1826" i="9"/>
  <c r="A1826" i="9"/>
  <c r="E1825" i="9"/>
  <c r="D1825" i="9"/>
  <c r="C1825" i="9"/>
  <c r="B1825" i="9"/>
  <c r="A1825" i="9"/>
  <c r="E1824" i="9"/>
  <c r="D1824" i="9"/>
  <c r="C1824" i="9"/>
  <c r="B1824" i="9"/>
  <c r="A1824" i="9"/>
  <c r="E1823" i="9"/>
  <c r="D1823" i="9"/>
  <c r="C1823" i="9"/>
  <c r="B1823" i="9"/>
  <c r="A1823" i="9"/>
  <c r="E1822" i="9"/>
  <c r="D1822" i="9"/>
  <c r="C1822" i="9"/>
  <c r="B1822" i="9"/>
  <c r="A1822" i="9"/>
  <c r="E1821" i="9"/>
  <c r="D1821" i="9"/>
  <c r="C1821" i="9"/>
  <c r="B1821" i="9"/>
  <c r="A1821" i="9"/>
  <c r="E1820" i="9"/>
  <c r="D1820" i="9"/>
  <c r="C1820" i="9"/>
  <c r="B1820" i="9"/>
  <c r="A1820" i="9"/>
  <c r="E1819" i="9"/>
  <c r="D1819" i="9"/>
  <c r="C1819" i="9"/>
  <c r="B1819" i="9"/>
  <c r="A1819" i="9"/>
  <c r="E1818" i="9"/>
  <c r="D1818" i="9"/>
  <c r="C1818" i="9"/>
  <c r="B1818" i="9"/>
  <c r="A1818" i="9"/>
  <c r="E1817" i="9"/>
  <c r="D1817" i="9"/>
  <c r="C1817" i="9"/>
  <c r="B1817" i="9"/>
  <c r="A1817" i="9"/>
  <c r="E1816" i="9"/>
  <c r="D1816" i="9"/>
  <c r="C1816" i="9"/>
  <c r="B1816" i="9"/>
  <c r="A1816" i="9"/>
  <c r="E1815" i="9"/>
  <c r="D1815" i="9"/>
  <c r="C1815" i="9"/>
  <c r="B1815" i="9"/>
  <c r="A1815" i="9"/>
  <c r="E1814" i="9"/>
  <c r="D1814" i="9"/>
  <c r="C1814" i="9"/>
  <c r="B1814" i="9"/>
  <c r="A1814" i="9"/>
  <c r="E1813" i="9"/>
  <c r="D1813" i="9"/>
  <c r="C1813" i="9"/>
  <c r="B1813" i="9"/>
  <c r="A1813" i="9"/>
  <c r="E1812" i="9"/>
  <c r="D1812" i="9"/>
  <c r="C1812" i="9"/>
  <c r="B1812" i="9"/>
  <c r="A1812" i="9"/>
  <c r="E1811" i="9"/>
  <c r="D1811" i="9"/>
  <c r="C1811" i="9"/>
  <c r="B1811" i="9"/>
  <c r="A1811" i="9"/>
  <c r="E1810" i="9"/>
  <c r="D1810" i="9"/>
  <c r="C1810" i="9"/>
  <c r="B1810" i="9"/>
  <c r="A1810" i="9"/>
  <c r="E1809" i="9"/>
  <c r="D1809" i="9"/>
  <c r="C1809" i="9"/>
  <c r="B1809" i="9"/>
  <c r="A1809" i="9"/>
  <c r="E1808" i="9"/>
  <c r="D1808" i="9"/>
  <c r="C1808" i="9"/>
  <c r="B1808" i="9"/>
  <c r="A1808" i="9"/>
  <c r="E1807" i="9"/>
  <c r="D1807" i="9"/>
  <c r="C1807" i="9"/>
  <c r="B1807" i="9"/>
  <c r="A1807" i="9"/>
  <c r="E1806" i="9"/>
  <c r="D1806" i="9"/>
  <c r="C1806" i="9"/>
  <c r="B1806" i="9"/>
  <c r="A1806" i="9"/>
  <c r="E1805" i="9"/>
  <c r="D1805" i="9"/>
  <c r="C1805" i="9"/>
  <c r="B1805" i="9"/>
  <c r="A1805" i="9"/>
  <c r="E1804" i="9"/>
  <c r="D1804" i="9"/>
  <c r="C1804" i="9"/>
  <c r="B1804" i="9"/>
  <c r="A1804" i="9"/>
  <c r="E1803" i="9"/>
  <c r="D1803" i="9"/>
  <c r="C1803" i="9"/>
  <c r="B1803" i="9"/>
  <c r="A1803" i="9"/>
  <c r="E1802" i="9"/>
  <c r="D1802" i="9"/>
  <c r="C1802" i="9"/>
  <c r="B1802" i="9"/>
  <c r="A1802" i="9"/>
  <c r="E1801" i="9"/>
  <c r="D1801" i="9"/>
  <c r="C1801" i="9"/>
  <c r="B1801" i="9"/>
  <c r="A1801" i="9"/>
  <c r="E1800" i="9"/>
  <c r="D1800" i="9"/>
  <c r="C1800" i="9"/>
  <c r="B1800" i="9"/>
  <c r="A1800" i="9"/>
  <c r="E1799" i="9"/>
  <c r="D1799" i="9"/>
  <c r="C1799" i="9"/>
  <c r="B1799" i="9"/>
  <c r="A1799" i="9"/>
  <c r="E1798" i="9"/>
  <c r="D1798" i="9"/>
  <c r="C1798" i="9"/>
  <c r="B1798" i="9"/>
  <c r="A1798" i="9"/>
  <c r="E1797" i="9"/>
  <c r="D1797" i="9"/>
  <c r="C1797" i="9"/>
  <c r="B1797" i="9"/>
  <c r="A1797" i="9"/>
  <c r="E1796" i="9"/>
  <c r="D1796" i="9"/>
  <c r="C1796" i="9"/>
  <c r="B1796" i="9"/>
  <c r="A1796" i="9"/>
  <c r="E1795" i="9"/>
  <c r="D1795" i="9"/>
  <c r="C1795" i="9"/>
  <c r="B1795" i="9"/>
  <c r="A1795" i="9"/>
  <c r="E1794" i="9"/>
  <c r="D1794" i="9"/>
  <c r="C1794" i="9"/>
  <c r="B1794" i="9"/>
  <c r="A1794" i="9"/>
  <c r="E1793" i="9"/>
  <c r="D1793" i="9"/>
  <c r="C1793" i="9"/>
  <c r="B1793" i="9"/>
  <c r="A1793" i="9"/>
  <c r="E1792" i="9"/>
  <c r="D1792" i="9"/>
  <c r="C1792" i="9"/>
  <c r="B1792" i="9"/>
  <c r="A1792" i="9"/>
  <c r="E1791" i="9"/>
  <c r="D1791" i="9"/>
  <c r="C1791" i="9"/>
  <c r="B1791" i="9"/>
  <c r="A1791" i="9"/>
  <c r="E1790" i="9"/>
  <c r="D1790" i="9"/>
  <c r="C1790" i="9"/>
  <c r="B1790" i="9"/>
  <c r="A1790" i="9"/>
  <c r="E1789" i="9"/>
  <c r="D1789" i="9"/>
  <c r="C1789" i="9"/>
  <c r="B1789" i="9"/>
  <c r="A1789" i="9"/>
  <c r="E1788" i="9"/>
  <c r="D1788" i="9"/>
  <c r="C1788" i="9"/>
  <c r="B1788" i="9"/>
  <c r="A1788" i="9"/>
  <c r="E1787" i="9"/>
  <c r="D1787" i="9"/>
  <c r="C1787" i="9"/>
  <c r="B1787" i="9"/>
  <c r="A1787" i="9"/>
  <c r="E1786" i="9"/>
  <c r="D1786" i="9"/>
  <c r="C1786" i="9"/>
  <c r="B1786" i="9"/>
  <c r="A1786" i="9"/>
  <c r="E1785" i="9"/>
  <c r="D1785" i="9"/>
  <c r="C1785" i="9"/>
  <c r="B1785" i="9"/>
  <c r="A1785" i="9"/>
  <c r="E1784" i="9"/>
  <c r="D1784" i="9"/>
  <c r="C1784" i="9"/>
  <c r="B1784" i="9"/>
  <c r="A1784" i="9"/>
  <c r="E1783" i="9"/>
  <c r="D1783" i="9"/>
  <c r="C1783" i="9"/>
  <c r="B1783" i="9"/>
  <c r="A1783" i="9"/>
  <c r="E1782" i="9"/>
  <c r="D1782" i="9"/>
  <c r="C1782" i="9"/>
  <c r="B1782" i="9"/>
  <c r="A1782" i="9"/>
  <c r="E1781" i="9"/>
  <c r="D1781" i="9"/>
  <c r="C1781" i="9"/>
  <c r="B1781" i="9"/>
  <c r="A1781" i="9"/>
  <c r="E1780" i="9"/>
  <c r="D1780" i="9"/>
  <c r="C1780" i="9"/>
  <c r="B1780" i="9"/>
  <c r="A1780" i="9"/>
  <c r="E1779" i="9"/>
  <c r="D1779" i="9"/>
  <c r="C1779" i="9"/>
  <c r="B1779" i="9"/>
  <c r="A1779" i="9"/>
  <c r="E1778" i="9"/>
  <c r="D1778" i="9"/>
  <c r="C1778" i="9"/>
  <c r="B1778" i="9"/>
  <c r="A1778" i="9"/>
  <c r="E1777" i="9"/>
  <c r="D1777" i="9"/>
  <c r="C1777" i="9"/>
  <c r="B1777" i="9"/>
  <c r="A1777" i="9"/>
  <c r="E1776" i="9"/>
  <c r="D1776" i="9"/>
  <c r="C1776" i="9"/>
  <c r="B1776" i="9"/>
  <c r="A1776" i="9"/>
  <c r="E1775" i="9"/>
  <c r="D1775" i="9"/>
  <c r="C1775" i="9"/>
  <c r="B1775" i="9"/>
  <c r="A1775" i="9"/>
  <c r="E1774" i="9"/>
  <c r="D1774" i="9"/>
  <c r="C1774" i="9"/>
  <c r="B1774" i="9"/>
  <c r="A1774" i="9"/>
  <c r="E1773" i="9"/>
  <c r="D1773" i="9"/>
  <c r="C1773" i="9"/>
  <c r="B1773" i="9"/>
  <c r="A1773" i="9"/>
  <c r="E1772" i="9"/>
  <c r="D1772" i="9"/>
  <c r="C1772" i="9"/>
  <c r="B1772" i="9"/>
  <c r="A1772" i="9"/>
  <c r="E1771" i="9"/>
  <c r="D1771" i="9"/>
  <c r="C1771" i="9"/>
  <c r="B1771" i="9"/>
  <c r="A1771" i="9"/>
  <c r="E1770" i="9"/>
  <c r="D1770" i="9"/>
  <c r="C1770" i="9"/>
  <c r="B1770" i="9"/>
  <c r="A1770" i="9"/>
  <c r="E1769" i="9"/>
  <c r="D1769" i="9"/>
  <c r="C1769" i="9"/>
  <c r="B1769" i="9"/>
  <c r="A1769" i="9"/>
  <c r="E1768" i="9"/>
  <c r="D1768" i="9"/>
  <c r="C1768" i="9"/>
  <c r="B1768" i="9"/>
  <c r="A1768" i="9"/>
  <c r="E1767" i="9"/>
  <c r="D1767" i="9"/>
  <c r="C1767" i="9"/>
  <c r="B1767" i="9"/>
  <c r="A1767" i="9"/>
  <c r="E1766" i="9"/>
  <c r="D1766" i="9"/>
  <c r="C1766" i="9"/>
  <c r="B1766" i="9"/>
  <c r="A1766" i="9"/>
  <c r="E1765" i="9"/>
  <c r="D1765" i="9"/>
  <c r="C1765" i="9"/>
  <c r="B1765" i="9"/>
  <c r="A1765" i="9"/>
  <c r="E1764" i="9"/>
  <c r="D1764" i="9"/>
  <c r="C1764" i="9"/>
  <c r="B1764" i="9"/>
  <c r="A1764" i="9"/>
  <c r="E1763" i="9"/>
  <c r="D1763" i="9"/>
  <c r="C1763" i="9"/>
  <c r="B1763" i="9"/>
  <c r="A1763" i="9"/>
  <c r="E1762" i="9"/>
  <c r="D1762" i="9"/>
  <c r="C1762" i="9"/>
  <c r="B1762" i="9"/>
  <c r="A1762" i="9"/>
  <c r="E1761" i="9"/>
  <c r="D1761" i="9"/>
  <c r="C1761" i="9"/>
  <c r="B1761" i="9"/>
  <c r="A1761" i="9"/>
  <c r="E1760" i="9"/>
  <c r="D1760" i="9"/>
  <c r="C1760" i="9"/>
  <c r="B1760" i="9"/>
  <c r="A1760" i="9"/>
  <c r="E1759" i="9"/>
  <c r="D1759" i="9"/>
  <c r="C1759" i="9"/>
  <c r="B1759" i="9"/>
  <c r="A1759" i="9"/>
  <c r="E1758" i="9"/>
  <c r="D1758" i="9"/>
  <c r="C1758" i="9"/>
  <c r="B1758" i="9"/>
  <c r="A1758" i="9"/>
  <c r="E1757" i="9"/>
  <c r="D1757" i="9"/>
  <c r="C1757" i="9"/>
  <c r="B1757" i="9"/>
  <c r="A1757" i="9"/>
  <c r="E1756" i="9"/>
  <c r="D1756" i="9"/>
  <c r="C1756" i="9"/>
  <c r="B1756" i="9"/>
  <c r="A1756" i="9"/>
  <c r="E1755" i="9"/>
  <c r="D1755" i="9"/>
  <c r="C1755" i="9"/>
  <c r="B1755" i="9"/>
  <c r="A1755" i="9"/>
  <c r="E1754" i="9"/>
  <c r="D1754" i="9"/>
  <c r="C1754" i="9"/>
  <c r="B1754" i="9"/>
  <c r="A1754" i="9"/>
  <c r="E1753" i="9"/>
  <c r="D1753" i="9"/>
  <c r="C1753" i="9"/>
  <c r="B1753" i="9"/>
  <c r="A1753" i="9"/>
  <c r="E1752" i="9"/>
  <c r="D1752" i="9"/>
  <c r="C1752" i="9"/>
  <c r="B1752" i="9"/>
  <c r="A1752" i="9"/>
  <c r="E1751" i="9"/>
  <c r="D1751" i="9"/>
  <c r="C1751" i="9"/>
  <c r="B1751" i="9"/>
  <c r="A1751" i="9"/>
  <c r="E1750" i="9"/>
  <c r="D1750" i="9"/>
  <c r="C1750" i="9"/>
  <c r="B1750" i="9"/>
  <c r="A1750" i="9"/>
  <c r="E1749" i="9"/>
  <c r="D1749" i="9"/>
  <c r="C1749" i="9"/>
  <c r="B1749" i="9"/>
  <c r="A1749" i="9"/>
  <c r="E1748" i="9"/>
  <c r="D1748" i="9"/>
  <c r="C1748" i="9"/>
  <c r="B1748" i="9"/>
  <c r="A1748" i="9"/>
  <c r="E1747" i="9"/>
  <c r="D1747" i="9"/>
  <c r="C1747" i="9"/>
  <c r="B1747" i="9"/>
  <c r="A1747" i="9"/>
  <c r="E1746" i="9"/>
  <c r="D1746" i="9"/>
  <c r="C1746" i="9"/>
  <c r="B1746" i="9"/>
  <c r="A1746" i="9"/>
  <c r="E1745" i="9"/>
  <c r="D1745" i="9"/>
  <c r="C1745" i="9"/>
  <c r="B1745" i="9"/>
  <c r="A1745" i="9"/>
  <c r="E1744" i="9"/>
  <c r="D1744" i="9"/>
  <c r="C1744" i="9"/>
  <c r="B1744" i="9"/>
  <c r="A1744" i="9"/>
  <c r="E1743" i="9"/>
  <c r="D1743" i="9"/>
  <c r="C1743" i="9"/>
  <c r="B1743" i="9"/>
  <c r="A1743" i="9"/>
  <c r="E1742" i="9"/>
  <c r="D1742" i="9"/>
  <c r="C1742" i="9"/>
  <c r="B1742" i="9"/>
  <c r="A1742" i="9"/>
  <c r="E1741" i="9"/>
  <c r="D1741" i="9"/>
  <c r="C1741" i="9"/>
  <c r="B1741" i="9"/>
  <c r="A1741" i="9"/>
  <c r="E1740" i="9"/>
  <c r="D1740" i="9"/>
  <c r="C1740" i="9"/>
  <c r="B1740" i="9"/>
  <c r="A1740" i="9"/>
  <c r="E1739" i="9"/>
  <c r="D1739" i="9"/>
  <c r="C1739" i="9"/>
  <c r="B1739" i="9"/>
  <c r="A1739" i="9"/>
  <c r="E1738" i="9"/>
  <c r="D1738" i="9"/>
  <c r="C1738" i="9"/>
  <c r="B1738" i="9"/>
  <c r="A1738" i="9"/>
  <c r="E1737" i="9"/>
  <c r="D1737" i="9"/>
  <c r="C1737" i="9"/>
  <c r="B1737" i="9"/>
  <c r="A1737" i="9"/>
  <c r="E1736" i="9"/>
  <c r="D1736" i="9"/>
  <c r="C1736" i="9"/>
  <c r="B1736" i="9"/>
  <c r="A1736" i="9"/>
  <c r="E1735" i="9"/>
  <c r="D1735" i="9"/>
  <c r="C1735" i="9"/>
  <c r="B1735" i="9"/>
  <c r="A1735" i="9"/>
  <c r="E1734" i="9"/>
  <c r="D1734" i="9"/>
  <c r="C1734" i="9"/>
  <c r="B1734" i="9"/>
  <c r="A1734" i="9"/>
  <c r="E1733" i="9"/>
  <c r="D1733" i="9"/>
  <c r="C1733" i="9"/>
  <c r="B1733" i="9"/>
  <c r="A1733" i="9"/>
  <c r="E1732" i="9"/>
  <c r="D1732" i="9"/>
  <c r="C1732" i="9"/>
  <c r="B1732" i="9"/>
  <c r="A1732" i="9"/>
  <c r="E1731" i="9"/>
  <c r="D1731" i="9"/>
  <c r="C1731" i="9"/>
  <c r="B1731" i="9"/>
  <c r="A1731" i="9"/>
  <c r="E1730" i="9"/>
  <c r="D1730" i="9"/>
  <c r="C1730" i="9"/>
  <c r="B1730" i="9"/>
  <c r="A1730" i="9"/>
  <c r="E1729" i="9"/>
  <c r="D1729" i="9"/>
  <c r="C1729" i="9"/>
  <c r="B1729" i="9"/>
  <c r="A1729" i="9"/>
  <c r="E1728" i="9"/>
  <c r="D1728" i="9"/>
  <c r="C1728" i="9"/>
  <c r="B1728" i="9"/>
  <c r="A1728" i="9"/>
  <c r="E1727" i="9"/>
  <c r="D1727" i="9"/>
  <c r="C1727" i="9"/>
  <c r="B1727" i="9"/>
  <c r="A1727" i="9"/>
  <c r="E1726" i="9"/>
  <c r="D1726" i="9"/>
  <c r="C1726" i="9"/>
  <c r="B1726" i="9"/>
  <c r="A1726" i="9"/>
  <c r="E1725" i="9"/>
  <c r="D1725" i="9"/>
  <c r="C1725" i="9"/>
  <c r="B1725" i="9"/>
  <c r="A1725" i="9"/>
  <c r="E1724" i="9"/>
  <c r="D1724" i="9"/>
  <c r="C1724" i="9"/>
  <c r="B1724" i="9"/>
  <c r="A1724" i="9"/>
  <c r="E1723" i="9"/>
  <c r="D1723" i="9"/>
  <c r="C1723" i="9"/>
  <c r="B1723" i="9"/>
  <c r="A1723" i="9"/>
  <c r="E1722" i="9"/>
  <c r="D1722" i="9"/>
  <c r="C1722" i="9"/>
  <c r="B1722" i="9"/>
  <c r="A1722" i="9"/>
  <c r="E1721" i="9"/>
  <c r="D1721" i="9"/>
  <c r="C1721" i="9"/>
  <c r="B1721" i="9"/>
  <c r="A1721" i="9"/>
  <c r="E1720" i="9"/>
  <c r="D1720" i="9"/>
  <c r="C1720" i="9"/>
  <c r="B1720" i="9"/>
  <c r="A1720" i="9"/>
  <c r="E1719" i="9"/>
  <c r="D1719" i="9"/>
  <c r="C1719" i="9"/>
  <c r="B1719" i="9"/>
  <c r="A1719" i="9"/>
  <c r="E1718" i="9"/>
  <c r="D1718" i="9"/>
  <c r="C1718" i="9"/>
  <c r="B1718" i="9"/>
  <c r="A1718" i="9"/>
  <c r="E1717" i="9"/>
  <c r="D1717" i="9"/>
  <c r="C1717" i="9"/>
  <c r="B1717" i="9"/>
  <c r="A1717" i="9"/>
  <c r="E1716" i="9"/>
  <c r="D1716" i="9"/>
  <c r="C1716" i="9"/>
  <c r="B1716" i="9"/>
  <c r="A1716" i="9"/>
  <c r="E1715" i="9"/>
  <c r="D1715" i="9"/>
  <c r="C1715" i="9"/>
  <c r="B1715" i="9"/>
  <c r="A1715" i="9"/>
  <c r="E1714" i="9"/>
  <c r="D1714" i="9"/>
  <c r="C1714" i="9"/>
  <c r="B1714" i="9"/>
  <c r="A1714" i="9"/>
  <c r="E1713" i="9"/>
  <c r="D1713" i="9"/>
  <c r="C1713" i="9"/>
  <c r="B1713" i="9"/>
  <c r="A1713" i="9"/>
  <c r="E1712" i="9"/>
  <c r="D1712" i="9"/>
  <c r="C1712" i="9"/>
  <c r="B1712" i="9"/>
  <c r="A1712" i="9"/>
  <c r="E1711" i="9"/>
  <c r="D1711" i="9"/>
  <c r="C1711" i="9"/>
  <c r="B1711" i="9"/>
  <c r="A1711" i="9"/>
  <c r="E1710" i="9"/>
  <c r="D1710" i="9"/>
  <c r="C1710" i="9"/>
  <c r="B1710" i="9"/>
  <c r="A1710" i="9"/>
  <c r="E1709" i="9"/>
  <c r="D1709" i="9"/>
  <c r="C1709" i="9"/>
  <c r="B1709" i="9"/>
  <c r="A1709" i="9"/>
  <c r="E1708" i="9"/>
  <c r="D1708" i="9"/>
  <c r="C1708" i="9"/>
  <c r="B1708" i="9"/>
  <c r="A1708" i="9"/>
  <c r="E1707" i="9"/>
  <c r="D1707" i="9"/>
  <c r="C1707" i="9"/>
  <c r="B1707" i="9"/>
  <c r="A1707" i="9"/>
  <c r="E1706" i="9"/>
  <c r="D1706" i="9"/>
  <c r="C1706" i="9"/>
  <c r="B1706" i="9"/>
  <c r="A1706" i="9"/>
  <c r="E1705" i="9"/>
  <c r="D1705" i="9"/>
  <c r="C1705" i="9"/>
  <c r="B1705" i="9"/>
  <c r="A1705" i="9"/>
  <c r="E1704" i="9"/>
  <c r="D1704" i="9"/>
  <c r="C1704" i="9"/>
  <c r="B1704" i="9"/>
  <c r="A1704" i="9"/>
  <c r="E1703" i="9"/>
  <c r="D1703" i="9"/>
  <c r="C1703" i="9"/>
  <c r="B1703" i="9"/>
  <c r="A1703" i="9"/>
  <c r="E1702" i="9"/>
  <c r="D1702" i="9"/>
  <c r="C1702" i="9"/>
  <c r="B1702" i="9"/>
  <c r="A1702" i="9"/>
  <c r="E1701" i="9"/>
  <c r="D1701" i="9"/>
  <c r="C1701" i="9"/>
  <c r="B1701" i="9"/>
  <c r="A1701" i="9"/>
  <c r="E1700" i="9"/>
  <c r="D1700" i="9"/>
  <c r="C1700" i="9"/>
  <c r="B1700" i="9"/>
  <c r="A1700" i="9"/>
  <c r="E1699" i="9"/>
  <c r="D1699" i="9"/>
  <c r="C1699" i="9"/>
  <c r="B1699" i="9"/>
  <c r="A1699" i="9"/>
  <c r="E1698" i="9"/>
  <c r="D1698" i="9"/>
  <c r="C1698" i="9"/>
  <c r="B1698" i="9"/>
  <c r="A1698" i="9"/>
  <c r="E1697" i="9"/>
  <c r="D1697" i="9"/>
  <c r="C1697" i="9"/>
  <c r="B1697" i="9"/>
  <c r="A1697" i="9"/>
  <c r="E1696" i="9"/>
  <c r="D1696" i="9"/>
  <c r="C1696" i="9"/>
  <c r="B1696" i="9"/>
  <c r="A1696" i="9"/>
  <c r="E1695" i="9"/>
  <c r="D1695" i="9"/>
  <c r="C1695" i="9"/>
  <c r="B1695" i="9"/>
  <c r="A1695" i="9"/>
  <c r="E1694" i="9"/>
  <c r="D1694" i="9"/>
  <c r="C1694" i="9"/>
  <c r="B1694" i="9"/>
  <c r="A1694" i="9"/>
  <c r="E1693" i="9"/>
  <c r="D1693" i="9"/>
  <c r="C1693" i="9"/>
  <c r="B1693" i="9"/>
  <c r="A1693" i="9"/>
  <c r="E1692" i="9"/>
  <c r="D1692" i="9"/>
  <c r="C1692" i="9"/>
  <c r="B1692" i="9"/>
  <c r="A1692" i="9"/>
  <c r="E1691" i="9"/>
  <c r="D1691" i="9"/>
  <c r="C1691" i="9"/>
  <c r="B1691" i="9"/>
  <c r="A1691" i="9"/>
  <c r="E1690" i="9"/>
  <c r="D1690" i="9"/>
  <c r="C1690" i="9"/>
  <c r="B1690" i="9"/>
  <c r="A1690" i="9"/>
  <c r="E1689" i="9"/>
  <c r="D1689" i="9"/>
  <c r="C1689" i="9"/>
  <c r="B1689" i="9"/>
  <c r="A1689" i="9"/>
  <c r="E1688" i="9"/>
  <c r="D1688" i="9"/>
  <c r="C1688" i="9"/>
  <c r="B1688" i="9"/>
  <c r="A1688" i="9"/>
  <c r="E1687" i="9"/>
  <c r="D1687" i="9"/>
  <c r="C1687" i="9"/>
  <c r="B1687" i="9"/>
  <c r="A1687" i="9"/>
  <c r="E1686" i="9"/>
  <c r="D1686" i="9"/>
  <c r="C1686" i="9"/>
  <c r="B1686" i="9"/>
  <c r="A1686" i="9"/>
  <c r="E1685" i="9"/>
  <c r="D1685" i="9"/>
  <c r="C1685" i="9"/>
  <c r="B1685" i="9"/>
  <c r="A1685" i="9"/>
  <c r="E1684" i="9"/>
  <c r="D1684" i="9"/>
  <c r="C1684" i="9"/>
  <c r="B1684" i="9"/>
  <c r="A1684" i="9"/>
  <c r="E1683" i="9"/>
  <c r="D1683" i="9"/>
  <c r="C1683" i="9"/>
  <c r="B1683" i="9"/>
  <c r="A1683" i="9"/>
  <c r="E1682" i="9"/>
  <c r="D1682" i="9"/>
  <c r="C1682" i="9"/>
  <c r="B1682" i="9"/>
  <c r="A1682" i="9"/>
  <c r="E1681" i="9"/>
  <c r="D1681" i="9"/>
  <c r="C1681" i="9"/>
  <c r="B1681" i="9"/>
  <c r="A1681" i="9"/>
  <c r="E1680" i="9"/>
  <c r="D1680" i="9"/>
  <c r="C1680" i="9"/>
  <c r="B1680" i="9"/>
  <c r="A1680" i="9"/>
  <c r="E1679" i="9"/>
  <c r="D1679" i="9"/>
  <c r="C1679" i="9"/>
  <c r="B1679" i="9"/>
  <c r="A1679" i="9"/>
  <c r="E1678" i="9"/>
  <c r="D1678" i="9"/>
  <c r="C1678" i="9"/>
  <c r="B1678" i="9"/>
  <c r="A1678" i="9"/>
  <c r="E1677" i="9"/>
  <c r="D1677" i="9"/>
  <c r="C1677" i="9"/>
  <c r="B1677" i="9"/>
  <c r="A1677" i="9"/>
  <c r="E1676" i="9"/>
  <c r="D1676" i="9"/>
  <c r="C1676" i="9"/>
  <c r="B1676" i="9"/>
  <c r="A1676" i="9"/>
  <c r="E1675" i="9"/>
  <c r="D1675" i="9"/>
  <c r="C1675" i="9"/>
  <c r="B1675" i="9"/>
  <c r="A1675" i="9"/>
  <c r="E1674" i="9"/>
  <c r="D1674" i="9"/>
  <c r="C1674" i="9"/>
  <c r="B1674" i="9"/>
  <c r="A1674" i="9"/>
  <c r="E1673" i="9"/>
  <c r="D1673" i="9"/>
  <c r="C1673" i="9"/>
  <c r="B1673" i="9"/>
  <c r="A1673" i="9"/>
  <c r="E1672" i="9"/>
  <c r="D1672" i="9"/>
  <c r="C1672" i="9"/>
  <c r="B1672" i="9"/>
  <c r="A1672" i="9"/>
  <c r="E1671" i="9"/>
  <c r="D1671" i="9"/>
  <c r="C1671" i="9"/>
  <c r="B1671" i="9"/>
  <c r="A1671" i="9"/>
  <c r="E1670" i="9"/>
  <c r="D1670" i="9"/>
  <c r="C1670" i="9"/>
  <c r="B1670" i="9"/>
  <c r="A1670" i="9"/>
  <c r="E1669" i="9"/>
  <c r="D1669" i="9"/>
  <c r="C1669" i="9"/>
  <c r="B1669" i="9"/>
  <c r="A1669" i="9"/>
  <c r="E1668" i="9"/>
  <c r="D1668" i="9"/>
  <c r="C1668" i="9"/>
  <c r="B1668" i="9"/>
  <c r="A1668" i="9"/>
  <c r="E1667" i="9"/>
  <c r="D1667" i="9"/>
  <c r="C1667" i="9"/>
  <c r="B1667" i="9"/>
  <c r="A1667" i="9"/>
  <c r="E1666" i="9"/>
  <c r="D1666" i="9"/>
  <c r="C1666" i="9"/>
  <c r="B1666" i="9"/>
  <c r="A1666" i="9"/>
  <c r="E1665" i="9"/>
  <c r="D1665" i="9"/>
  <c r="C1665" i="9"/>
  <c r="B1665" i="9"/>
  <c r="A1665" i="9"/>
  <c r="E1664" i="9"/>
  <c r="D1664" i="9"/>
  <c r="C1664" i="9"/>
  <c r="B1664" i="9"/>
  <c r="A1664" i="9"/>
  <c r="E1663" i="9"/>
  <c r="D1663" i="9"/>
  <c r="C1663" i="9"/>
  <c r="B1663" i="9"/>
  <c r="A1663" i="9"/>
  <c r="E1662" i="9"/>
  <c r="D1662" i="9"/>
  <c r="C1662" i="9"/>
  <c r="B1662" i="9"/>
  <c r="A1662" i="9"/>
  <c r="E1661" i="9"/>
  <c r="D1661" i="9"/>
  <c r="C1661" i="9"/>
  <c r="B1661" i="9"/>
  <c r="A1661" i="9"/>
  <c r="E1660" i="9"/>
  <c r="D1660" i="9"/>
  <c r="C1660" i="9"/>
  <c r="B1660" i="9"/>
  <c r="A1660" i="9"/>
  <c r="E1659" i="9"/>
  <c r="D1659" i="9"/>
  <c r="C1659" i="9"/>
  <c r="B1659" i="9"/>
  <c r="A1659" i="9"/>
  <c r="E1658" i="9"/>
  <c r="D1658" i="9"/>
  <c r="C1658" i="9"/>
  <c r="B1658" i="9"/>
  <c r="A1658" i="9"/>
  <c r="E1657" i="9"/>
  <c r="D1657" i="9"/>
  <c r="C1657" i="9"/>
  <c r="B1657" i="9"/>
  <c r="A1657" i="9"/>
  <c r="E1656" i="9"/>
  <c r="D1656" i="9"/>
  <c r="C1656" i="9"/>
  <c r="B1656" i="9"/>
  <c r="A1656" i="9"/>
  <c r="E1655" i="9"/>
  <c r="D1655" i="9"/>
  <c r="C1655" i="9"/>
  <c r="B1655" i="9"/>
  <c r="A1655" i="9"/>
  <c r="E1654" i="9"/>
  <c r="D1654" i="9"/>
  <c r="C1654" i="9"/>
  <c r="B1654" i="9"/>
  <c r="A1654" i="9"/>
  <c r="E1653" i="9"/>
  <c r="D1653" i="9"/>
  <c r="C1653" i="9"/>
  <c r="B1653" i="9"/>
  <c r="A1653" i="9"/>
  <c r="E1652" i="9"/>
  <c r="D1652" i="9"/>
  <c r="C1652" i="9"/>
  <c r="B1652" i="9"/>
  <c r="A1652" i="9"/>
  <c r="E1651" i="9"/>
  <c r="D1651" i="9"/>
  <c r="C1651" i="9"/>
  <c r="B1651" i="9"/>
  <c r="A1651" i="9"/>
  <c r="E1650" i="9"/>
  <c r="D1650" i="9"/>
  <c r="C1650" i="9"/>
  <c r="B1650" i="9"/>
  <c r="A1650" i="9"/>
  <c r="E1649" i="9"/>
  <c r="D1649" i="9"/>
  <c r="C1649" i="9"/>
  <c r="B1649" i="9"/>
  <c r="A1649" i="9"/>
  <c r="E1648" i="9"/>
  <c r="D1648" i="9"/>
  <c r="C1648" i="9"/>
  <c r="B1648" i="9"/>
  <c r="A1648" i="9"/>
  <c r="E1647" i="9"/>
  <c r="D1647" i="9"/>
  <c r="C1647" i="9"/>
  <c r="B1647" i="9"/>
  <c r="A1647" i="9"/>
  <c r="E1646" i="9"/>
  <c r="D1646" i="9"/>
  <c r="C1646" i="9"/>
  <c r="B1646" i="9"/>
  <c r="A1646" i="9"/>
  <c r="E1645" i="9"/>
  <c r="D1645" i="9"/>
  <c r="C1645" i="9"/>
  <c r="B1645" i="9"/>
  <c r="A1645" i="9"/>
  <c r="E1644" i="9"/>
  <c r="D1644" i="9"/>
  <c r="C1644" i="9"/>
  <c r="B1644" i="9"/>
  <c r="A1644" i="9"/>
  <c r="E1643" i="9"/>
  <c r="D1643" i="9"/>
  <c r="C1643" i="9"/>
  <c r="B1643" i="9"/>
  <c r="A1643" i="9"/>
  <c r="E1642" i="9"/>
  <c r="D1642" i="9"/>
  <c r="C1642" i="9"/>
  <c r="B1642" i="9"/>
  <c r="A1642" i="9"/>
  <c r="E1641" i="9"/>
  <c r="D1641" i="9"/>
  <c r="C1641" i="9"/>
  <c r="B1641" i="9"/>
  <c r="A1641" i="9"/>
  <c r="E1640" i="9"/>
  <c r="D1640" i="9"/>
  <c r="C1640" i="9"/>
  <c r="B1640" i="9"/>
  <c r="A1640" i="9"/>
  <c r="E1639" i="9"/>
  <c r="D1639" i="9"/>
  <c r="C1639" i="9"/>
  <c r="B1639" i="9"/>
  <c r="A1639" i="9"/>
  <c r="E1638" i="9"/>
  <c r="D1638" i="9"/>
  <c r="C1638" i="9"/>
  <c r="B1638" i="9"/>
  <c r="A1638" i="9"/>
  <c r="E1637" i="9"/>
  <c r="D1637" i="9"/>
  <c r="C1637" i="9"/>
  <c r="B1637" i="9"/>
  <c r="A1637" i="9"/>
  <c r="E1636" i="9"/>
  <c r="D1636" i="9"/>
  <c r="C1636" i="9"/>
  <c r="B1636" i="9"/>
  <c r="A1636" i="9"/>
  <c r="E1635" i="9"/>
  <c r="D1635" i="9"/>
  <c r="C1635" i="9"/>
  <c r="B1635" i="9"/>
  <c r="A1635" i="9"/>
  <c r="E1634" i="9"/>
  <c r="D1634" i="9"/>
  <c r="C1634" i="9"/>
  <c r="B1634" i="9"/>
  <c r="A1634" i="9"/>
  <c r="E1633" i="9"/>
  <c r="D1633" i="9"/>
  <c r="C1633" i="9"/>
  <c r="B1633" i="9"/>
  <c r="A1633" i="9"/>
  <c r="E1632" i="9"/>
  <c r="D1632" i="9"/>
  <c r="C1632" i="9"/>
  <c r="B1632" i="9"/>
  <c r="A1632" i="9"/>
  <c r="E1631" i="9"/>
  <c r="D1631" i="9"/>
  <c r="C1631" i="9"/>
  <c r="B1631" i="9"/>
  <c r="A1631" i="9"/>
  <c r="E1630" i="9"/>
  <c r="D1630" i="9"/>
  <c r="C1630" i="9"/>
  <c r="B1630" i="9"/>
  <c r="A1630" i="9"/>
  <c r="E1629" i="9"/>
  <c r="D1629" i="9"/>
  <c r="C1629" i="9"/>
  <c r="B1629" i="9"/>
  <c r="A1629" i="9"/>
  <c r="E1628" i="9"/>
  <c r="D1628" i="9"/>
  <c r="C1628" i="9"/>
  <c r="B1628" i="9"/>
  <c r="A1628" i="9"/>
  <c r="E1627" i="9"/>
  <c r="D1627" i="9"/>
  <c r="C1627" i="9"/>
  <c r="B1627" i="9"/>
  <c r="A1627" i="9"/>
  <c r="E1626" i="9"/>
  <c r="D1626" i="9"/>
  <c r="C1626" i="9"/>
  <c r="B1626" i="9"/>
  <c r="A1626" i="9"/>
  <c r="E1625" i="9"/>
  <c r="D1625" i="9"/>
  <c r="C1625" i="9"/>
  <c r="B1625" i="9"/>
  <c r="A1625" i="9"/>
  <c r="E1624" i="9"/>
  <c r="D1624" i="9"/>
  <c r="C1624" i="9"/>
  <c r="B1624" i="9"/>
  <c r="A1624" i="9"/>
  <c r="E1623" i="9"/>
  <c r="D1623" i="9"/>
  <c r="C1623" i="9"/>
  <c r="B1623" i="9"/>
  <c r="A1623" i="9"/>
  <c r="E1622" i="9"/>
  <c r="D1622" i="9"/>
  <c r="C1622" i="9"/>
  <c r="B1622" i="9"/>
  <c r="A1622" i="9"/>
  <c r="E1621" i="9"/>
  <c r="D1621" i="9"/>
  <c r="C1621" i="9"/>
  <c r="B1621" i="9"/>
  <c r="A1621" i="9"/>
  <c r="E1620" i="9"/>
  <c r="D1620" i="9"/>
  <c r="C1620" i="9"/>
  <c r="B1620" i="9"/>
  <c r="A1620" i="9"/>
  <c r="E1619" i="9"/>
  <c r="D1619" i="9"/>
  <c r="C1619" i="9"/>
  <c r="B1619" i="9"/>
  <c r="A1619" i="9"/>
  <c r="E1618" i="9"/>
  <c r="D1618" i="9"/>
  <c r="C1618" i="9"/>
  <c r="B1618" i="9"/>
  <c r="A1618" i="9"/>
  <c r="E1617" i="9"/>
  <c r="D1617" i="9"/>
  <c r="C1617" i="9"/>
  <c r="B1617" i="9"/>
  <c r="A1617" i="9"/>
  <c r="E1616" i="9"/>
  <c r="D1616" i="9"/>
  <c r="C1616" i="9"/>
  <c r="B1616" i="9"/>
  <c r="A1616" i="9"/>
  <c r="E1615" i="9"/>
  <c r="D1615" i="9"/>
  <c r="C1615" i="9"/>
  <c r="B1615" i="9"/>
  <c r="A1615" i="9"/>
  <c r="E1614" i="9"/>
  <c r="D1614" i="9"/>
  <c r="C1614" i="9"/>
  <c r="B1614" i="9"/>
  <c r="A1614" i="9"/>
  <c r="E1613" i="9"/>
  <c r="D1613" i="9"/>
  <c r="C1613" i="9"/>
  <c r="B1613" i="9"/>
  <c r="A1613" i="9"/>
  <c r="E1612" i="9"/>
  <c r="D1612" i="9"/>
  <c r="C1612" i="9"/>
  <c r="B1612" i="9"/>
  <c r="A1612" i="9"/>
  <c r="E1611" i="9"/>
  <c r="D1611" i="9"/>
  <c r="C1611" i="9"/>
  <c r="B1611" i="9"/>
  <c r="A1611" i="9"/>
  <c r="E1610" i="9"/>
  <c r="D1610" i="9"/>
  <c r="C1610" i="9"/>
  <c r="B1610" i="9"/>
  <c r="A1610" i="9"/>
  <c r="E1609" i="9"/>
  <c r="D1609" i="9"/>
  <c r="C1609" i="9"/>
  <c r="B1609" i="9"/>
  <c r="A1609" i="9"/>
  <c r="E1608" i="9"/>
  <c r="D1608" i="9"/>
  <c r="C1608" i="9"/>
  <c r="B1608" i="9"/>
  <c r="A1608" i="9"/>
  <c r="E1607" i="9"/>
  <c r="D1607" i="9"/>
  <c r="C1607" i="9"/>
  <c r="B1607" i="9"/>
  <c r="A1607" i="9"/>
  <c r="E1606" i="9"/>
  <c r="D1606" i="9"/>
  <c r="C1606" i="9"/>
  <c r="B1606" i="9"/>
  <c r="A1606" i="9"/>
  <c r="E1605" i="9"/>
  <c r="D1605" i="9"/>
  <c r="C1605" i="9"/>
  <c r="B1605" i="9"/>
  <c r="A1605" i="9"/>
  <c r="E1604" i="9"/>
  <c r="D1604" i="9"/>
  <c r="C1604" i="9"/>
  <c r="B1604" i="9"/>
  <c r="A1604" i="9"/>
  <c r="E1603" i="9"/>
  <c r="D1603" i="9"/>
  <c r="C1603" i="9"/>
  <c r="B1603" i="9"/>
  <c r="A1603" i="9"/>
  <c r="E1602" i="9"/>
  <c r="D1602" i="9"/>
  <c r="C1602" i="9"/>
  <c r="B1602" i="9"/>
  <c r="A1602" i="9"/>
  <c r="E1601" i="9"/>
  <c r="D1601" i="9"/>
  <c r="C1601" i="9"/>
  <c r="B1601" i="9"/>
  <c r="A1601" i="9"/>
  <c r="E1600" i="9"/>
  <c r="D1600" i="9"/>
  <c r="C1600" i="9"/>
  <c r="B1600" i="9"/>
  <c r="A1600" i="9"/>
  <c r="E1599" i="9"/>
  <c r="D1599" i="9"/>
  <c r="C1599" i="9"/>
  <c r="B1599" i="9"/>
  <c r="A1599" i="9"/>
  <c r="E1598" i="9"/>
  <c r="D1598" i="9"/>
  <c r="C1598" i="9"/>
  <c r="B1598" i="9"/>
  <c r="A1598" i="9"/>
  <c r="E1597" i="9"/>
  <c r="D1597" i="9"/>
  <c r="C1597" i="9"/>
  <c r="B1597" i="9"/>
  <c r="A1597" i="9"/>
  <c r="E1596" i="9"/>
  <c r="D1596" i="9"/>
  <c r="C1596" i="9"/>
  <c r="B1596" i="9"/>
  <c r="A1596" i="9"/>
  <c r="E1595" i="9"/>
  <c r="D1595" i="9"/>
  <c r="C1595" i="9"/>
  <c r="B1595" i="9"/>
  <c r="A1595" i="9"/>
  <c r="E1594" i="9"/>
  <c r="D1594" i="9"/>
  <c r="C1594" i="9"/>
  <c r="B1594" i="9"/>
  <c r="A1594" i="9"/>
  <c r="E1593" i="9"/>
  <c r="D1593" i="9"/>
  <c r="C1593" i="9"/>
  <c r="B1593" i="9"/>
  <c r="A1593" i="9"/>
  <c r="E1592" i="9"/>
  <c r="D1592" i="9"/>
  <c r="C1592" i="9"/>
  <c r="B1592" i="9"/>
  <c r="A1592" i="9"/>
  <c r="E1591" i="9"/>
  <c r="D1591" i="9"/>
  <c r="C1591" i="9"/>
  <c r="B1591" i="9"/>
  <c r="A1591" i="9"/>
  <c r="E1590" i="9"/>
  <c r="D1590" i="9"/>
  <c r="C1590" i="9"/>
  <c r="B1590" i="9"/>
  <c r="A1590" i="9"/>
  <c r="E1589" i="9"/>
  <c r="D1589" i="9"/>
  <c r="C1589" i="9"/>
  <c r="B1589" i="9"/>
  <c r="A1589" i="9"/>
  <c r="E1588" i="9"/>
  <c r="D1588" i="9"/>
  <c r="C1588" i="9"/>
  <c r="B1588" i="9"/>
  <c r="A1588" i="9"/>
  <c r="E1587" i="9"/>
  <c r="D1587" i="9"/>
  <c r="C1587" i="9"/>
  <c r="B1587" i="9"/>
  <c r="A1587" i="9"/>
  <c r="E1586" i="9"/>
  <c r="D1586" i="9"/>
  <c r="C1586" i="9"/>
  <c r="B1586" i="9"/>
  <c r="A1586" i="9"/>
  <c r="E1585" i="9"/>
  <c r="D1585" i="9"/>
  <c r="C1585" i="9"/>
  <c r="B1585" i="9"/>
  <c r="A1585" i="9"/>
  <c r="E1584" i="9"/>
  <c r="D1584" i="9"/>
  <c r="C1584" i="9"/>
  <c r="B1584" i="9"/>
  <c r="A1584" i="9"/>
  <c r="E1583" i="9"/>
  <c r="D1583" i="9"/>
  <c r="C1583" i="9"/>
  <c r="B1583" i="9"/>
  <c r="A1583" i="9"/>
  <c r="E1582" i="9"/>
  <c r="D1582" i="9"/>
  <c r="C1582" i="9"/>
  <c r="B1582" i="9"/>
  <c r="A1582" i="9"/>
  <c r="E1581" i="9"/>
  <c r="D1581" i="9"/>
  <c r="C1581" i="9"/>
  <c r="B1581" i="9"/>
  <c r="A1581" i="9"/>
  <c r="E1580" i="9"/>
  <c r="D1580" i="9"/>
  <c r="C1580" i="9"/>
  <c r="B1580" i="9"/>
  <c r="A1580" i="9"/>
  <c r="E1579" i="9"/>
  <c r="D1579" i="9"/>
  <c r="C1579" i="9"/>
  <c r="B1579" i="9"/>
  <c r="A1579" i="9"/>
  <c r="E1578" i="9"/>
  <c r="D1578" i="9"/>
  <c r="C1578" i="9"/>
  <c r="B1578" i="9"/>
  <c r="A1578" i="9"/>
  <c r="E1577" i="9"/>
  <c r="D1577" i="9"/>
  <c r="C1577" i="9"/>
  <c r="B1577" i="9"/>
  <c r="A1577" i="9"/>
  <c r="E1576" i="9"/>
  <c r="D1576" i="9"/>
  <c r="C1576" i="9"/>
  <c r="B1576" i="9"/>
  <c r="A1576" i="9"/>
  <c r="E1575" i="9"/>
  <c r="D1575" i="9"/>
  <c r="C1575" i="9"/>
  <c r="B1575" i="9"/>
  <c r="A1575" i="9"/>
  <c r="E1574" i="9"/>
  <c r="D1574" i="9"/>
  <c r="C1574" i="9"/>
  <c r="B1574" i="9"/>
  <c r="A1574" i="9"/>
  <c r="E1573" i="9"/>
  <c r="D1573" i="9"/>
  <c r="C1573" i="9"/>
  <c r="B1573" i="9"/>
  <c r="A1573" i="9"/>
  <c r="E1572" i="9"/>
  <c r="D1572" i="9"/>
  <c r="C1572" i="9"/>
  <c r="B1572" i="9"/>
  <c r="A1572" i="9"/>
  <c r="E1571" i="9"/>
  <c r="D1571" i="9"/>
  <c r="C1571" i="9"/>
  <c r="B1571" i="9"/>
  <c r="A1571" i="9"/>
  <c r="E1570" i="9"/>
  <c r="D1570" i="9"/>
  <c r="C1570" i="9"/>
  <c r="B1570" i="9"/>
  <c r="A1570" i="9"/>
  <c r="E1569" i="9"/>
  <c r="D1569" i="9"/>
  <c r="C1569" i="9"/>
  <c r="B1569" i="9"/>
  <c r="A1569" i="9"/>
  <c r="E1568" i="9"/>
  <c r="D1568" i="9"/>
  <c r="C1568" i="9"/>
  <c r="B1568" i="9"/>
  <c r="A1568" i="9"/>
  <c r="E1567" i="9"/>
  <c r="D1567" i="9"/>
  <c r="C1567" i="9"/>
  <c r="B1567" i="9"/>
  <c r="A1567" i="9"/>
  <c r="E1566" i="9"/>
  <c r="D1566" i="9"/>
  <c r="C1566" i="9"/>
  <c r="B1566" i="9"/>
  <c r="A1566" i="9"/>
  <c r="E1565" i="9"/>
  <c r="D1565" i="9"/>
  <c r="C1565" i="9"/>
  <c r="B1565" i="9"/>
  <c r="A1565" i="9"/>
  <c r="E1564" i="9"/>
  <c r="D1564" i="9"/>
  <c r="C1564" i="9"/>
  <c r="B1564" i="9"/>
  <c r="A1564" i="9"/>
  <c r="E1563" i="9"/>
  <c r="D1563" i="9"/>
  <c r="C1563" i="9"/>
  <c r="B1563" i="9"/>
  <c r="A1563" i="9"/>
  <c r="E1562" i="9"/>
  <c r="D1562" i="9"/>
  <c r="C1562" i="9"/>
  <c r="B1562" i="9"/>
  <c r="A1562" i="9"/>
  <c r="E1561" i="9"/>
  <c r="D1561" i="9"/>
  <c r="C1561" i="9"/>
  <c r="B1561" i="9"/>
  <c r="A1561" i="9"/>
  <c r="E1560" i="9"/>
  <c r="D1560" i="9"/>
  <c r="C1560" i="9"/>
  <c r="B1560" i="9"/>
  <c r="A1560" i="9"/>
  <c r="E1559" i="9"/>
  <c r="D1559" i="9"/>
  <c r="C1559" i="9"/>
  <c r="B1559" i="9"/>
  <c r="A1559" i="9"/>
  <c r="E1558" i="9"/>
  <c r="D1558" i="9"/>
  <c r="C1558" i="9"/>
  <c r="B1558" i="9"/>
  <c r="A1558" i="9"/>
  <c r="E1557" i="9"/>
  <c r="D1557" i="9"/>
  <c r="C1557" i="9"/>
  <c r="B1557" i="9"/>
  <c r="A1557" i="9"/>
  <c r="E1556" i="9"/>
  <c r="D1556" i="9"/>
  <c r="C1556" i="9"/>
  <c r="B1556" i="9"/>
  <c r="A1556" i="9"/>
  <c r="E1555" i="9"/>
  <c r="D1555" i="9"/>
  <c r="C1555" i="9"/>
  <c r="B1555" i="9"/>
  <c r="A1555" i="9"/>
  <c r="E1554" i="9"/>
  <c r="D1554" i="9"/>
  <c r="C1554" i="9"/>
  <c r="B1554" i="9"/>
  <c r="A1554" i="9"/>
  <c r="E1553" i="9"/>
  <c r="D1553" i="9"/>
  <c r="C1553" i="9"/>
  <c r="B1553" i="9"/>
  <c r="A1553" i="9"/>
  <c r="E1552" i="9"/>
  <c r="D1552" i="9"/>
  <c r="C1552" i="9"/>
  <c r="B1552" i="9"/>
  <c r="A1552" i="9"/>
  <c r="E1551" i="9"/>
  <c r="D1551" i="9"/>
  <c r="C1551" i="9"/>
  <c r="B1551" i="9"/>
  <c r="A1551" i="9"/>
  <c r="E1550" i="9"/>
  <c r="D1550" i="9"/>
  <c r="C1550" i="9"/>
  <c r="B1550" i="9"/>
  <c r="A1550" i="9"/>
  <c r="E1549" i="9"/>
  <c r="D1549" i="9"/>
  <c r="C1549" i="9"/>
  <c r="B1549" i="9"/>
  <c r="A1549" i="9"/>
  <c r="E1548" i="9"/>
  <c r="D1548" i="9"/>
  <c r="C1548" i="9"/>
  <c r="B1548" i="9"/>
  <c r="A1548" i="9"/>
  <c r="E1547" i="9"/>
  <c r="D1547" i="9"/>
  <c r="C1547" i="9"/>
  <c r="B1547" i="9"/>
  <c r="A1547" i="9"/>
  <c r="E1546" i="9"/>
  <c r="D1546" i="9"/>
  <c r="C1546" i="9"/>
  <c r="B1546" i="9"/>
  <c r="A1546" i="9"/>
  <c r="E1545" i="9"/>
  <c r="D1545" i="9"/>
  <c r="C1545" i="9"/>
  <c r="B1545" i="9"/>
  <c r="A1545" i="9"/>
  <c r="E1544" i="9"/>
  <c r="D1544" i="9"/>
  <c r="C1544" i="9"/>
  <c r="B1544" i="9"/>
  <c r="A1544" i="9"/>
  <c r="E1543" i="9"/>
  <c r="D1543" i="9"/>
  <c r="C1543" i="9"/>
  <c r="B1543" i="9"/>
  <c r="A1543" i="9"/>
  <c r="E1542" i="9"/>
  <c r="D1542" i="9"/>
  <c r="C1542" i="9"/>
  <c r="B1542" i="9"/>
  <c r="A1542" i="9"/>
  <c r="E1541" i="9"/>
  <c r="D1541" i="9"/>
  <c r="C1541" i="9"/>
  <c r="B1541" i="9"/>
  <c r="A1541" i="9"/>
  <c r="E1540" i="9"/>
  <c r="D1540" i="9"/>
  <c r="C1540" i="9"/>
  <c r="B1540" i="9"/>
  <c r="A1540" i="9"/>
  <c r="E1539" i="9"/>
  <c r="D1539" i="9"/>
  <c r="C1539" i="9"/>
  <c r="B1539" i="9"/>
  <c r="A1539" i="9"/>
  <c r="E1538" i="9"/>
  <c r="D1538" i="9"/>
  <c r="C1538" i="9"/>
  <c r="B1538" i="9"/>
  <c r="A1538" i="9"/>
  <c r="E1537" i="9"/>
  <c r="D1537" i="9"/>
  <c r="C1537" i="9"/>
  <c r="B1537" i="9"/>
  <c r="A1537" i="9"/>
  <c r="E1536" i="9"/>
  <c r="D1536" i="9"/>
  <c r="C1536" i="9"/>
  <c r="B1536" i="9"/>
  <c r="A1536" i="9"/>
  <c r="E1535" i="9"/>
  <c r="D1535" i="9"/>
  <c r="C1535" i="9"/>
  <c r="B1535" i="9"/>
  <c r="A1535" i="9"/>
  <c r="E1534" i="9"/>
  <c r="D1534" i="9"/>
  <c r="C1534" i="9"/>
  <c r="B1534" i="9"/>
  <c r="A1534" i="9"/>
  <c r="E1533" i="9"/>
  <c r="D1533" i="9"/>
  <c r="C1533" i="9"/>
  <c r="B1533" i="9"/>
  <c r="A1533" i="9"/>
  <c r="E1532" i="9"/>
  <c r="D1532" i="9"/>
  <c r="C1532" i="9"/>
  <c r="B1532" i="9"/>
  <c r="A1532" i="9"/>
  <c r="E1531" i="9"/>
  <c r="D1531" i="9"/>
  <c r="C1531" i="9"/>
  <c r="B1531" i="9"/>
  <c r="A1531" i="9"/>
  <c r="E1530" i="9"/>
  <c r="D1530" i="9"/>
  <c r="C1530" i="9"/>
  <c r="B1530" i="9"/>
  <c r="A1530" i="9"/>
  <c r="E1529" i="9"/>
  <c r="D1529" i="9"/>
  <c r="C1529" i="9"/>
  <c r="B1529" i="9"/>
  <c r="A1529" i="9"/>
  <c r="E1528" i="9"/>
  <c r="D1528" i="9"/>
  <c r="C1528" i="9"/>
  <c r="B1528" i="9"/>
  <c r="A1528" i="9"/>
  <c r="E1527" i="9"/>
  <c r="D1527" i="9"/>
  <c r="C1527" i="9"/>
  <c r="B1527" i="9"/>
  <c r="A1527" i="9"/>
  <c r="E1526" i="9"/>
  <c r="D1526" i="9"/>
  <c r="C1526" i="9"/>
  <c r="B1526" i="9"/>
  <c r="A1526" i="9"/>
  <c r="E1525" i="9"/>
  <c r="D1525" i="9"/>
  <c r="C1525" i="9"/>
  <c r="B1525" i="9"/>
  <c r="A1525" i="9"/>
  <c r="E1524" i="9"/>
  <c r="D1524" i="9"/>
  <c r="C1524" i="9"/>
  <c r="B1524" i="9"/>
  <c r="A1524" i="9"/>
  <c r="E1523" i="9"/>
  <c r="D1523" i="9"/>
  <c r="C1523" i="9"/>
  <c r="B1523" i="9"/>
  <c r="A1523" i="9"/>
  <c r="E1522" i="9"/>
  <c r="D1522" i="9"/>
  <c r="C1522" i="9"/>
  <c r="B1522" i="9"/>
  <c r="A1522" i="9"/>
  <c r="E1521" i="9"/>
  <c r="D1521" i="9"/>
  <c r="C1521" i="9"/>
  <c r="B1521" i="9"/>
  <c r="A1521" i="9"/>
  <c r="E1520" i="9"/>
  <c r="D1520" i="9"/>
  <c r="C1520" i="9"/>
  <c r="B1520" i="9"/>
  <c r="A1520" i="9"/>
  <c r="E1519" i="9"/>
  <c r="D1519" i="9"/>
  <c r="C1519" i="9"/>
  <c r="B1519" i="9"/>
  <c r="A1519" i="9"/>
  <c r="E1518" i="9"/>
  <c r="D1518" i="9"/>
  <c r="C1518" i="9"/>
  <c r="B1518" i="9"/>
  <c r="A1518" i="9"/>
  <c r="E1517" i="9"/>
  <c r="D1517" i="9"/>
  <c r="C1517" i="9"/>
  <c r="B1517" i="9"/>
  <c r="A1517" i="9"/>
  <c r="E1516" i="9"/>
  <c r="D1516" i="9"/>
  <c r="C1516" i="9"/>
  <c r="B1516" i="9"/>
  <c r="A1516" i="9"/>
  <c r="E1515" i="9"/>
  <c r="D1515" i="9"/>
  <c r="C1515" i="9"/>
  <c r="B1515" i="9"/>
  <c r="A1515" i="9"/>
  <c r="E1514" i="9"/>
  <c r="D1514" i="9"/>
  <c r="C1514" i="9"/>
  <c r="B1514" i="9"/>
  <c r="A1514" i="9"/>
  <c r="E1513" i="9"/>
  <c r="D1513" i="9"/>
  <c r="C1513" i="9"/>
  <c r="B1513" i="9"/>
  <c r="A1513" i="9"/>
  <c r="E1512" i="9"/>
  <c r="D1512" i="9"/>
  <c r="C1512" i="9"/>
  <c r="B1512" i="9"/>
  <c r="A1512" i="9"/>
  <c r="E1511" i="9"/>
  <c r="D1511" i="9"/>
  <c r="C1511" i="9"/>
  <c r="B1511" i="9"/>
  <c r="A1511" i="9"/>
  <c r="E1510" i="9"/>
  <c r="D1510" i="9"/>
  <c r="C1510" i="9"/>
  <c r="B1510" i="9"/>
  <c r="A1510" i="9"/>
  <c r="E1509" i="9"/>
  <c r="D1509" i="9"/>
  <c r="C1509" i="9"/>
  <c r="B1509" i="9"/>
  <c r="A1509" i="9"/>
  <c r="E1508" i="9"/>
  <c r="D1508" i="9"/>
  <c r="C1508" i="9"/>
  <c r="B1508" i="9"/>
  <c r="A1508" i="9"/>
  <c r="E1507" i="9"/>
  <c r="D1507" i="9"/>
  <c r="C1507" i="9"/>
  <c r="B1507" i="9"/>
  <c r="A1507" i="9"/>
  <c r="E1506" i="9"/>
  <c r="D1506" i="9"/>
  <c r="C1506" i="9"/>
  <c r="B1506" i="9"/>
  <c r="A1506" i="9"/>
  <c r="E1505" i="9"/>
  <c r="D1505" i="9"/>
  <c r="C1505" i="9"/>
  <c r="B1505" i="9"/>
  <c r="A1505" i="9"/>
  <c r="E1504" i="9"/>
  <c r="D1504" i="9"/>
  <c r="C1504" i="9"/>
  <c r="B1504" i="9"/>
  <c r="A1504" i="9"/>
  <c r="E1503" i="9"/>
  <c r="D1503" i="9"/>
  <c r="C1503" i="9"/>
  <c r="B1503" i="9"/>
  <c r="A1503" i="9"/>
  <c r="E1502" i="9"/>
  <c r="D1502" i="9"/>
  <c r="C1502" i="9"/>
  <c r="B1502" i="9"/>
  <c r="A1502" i="9"/>
  <c r="E1501" i="9"/>
  <c r="D1501" i="9"/>
  <c r="C1501" i="9"/>
  <c r="B1501" i="9"/>
  <c r="A1501" i="9"/>
  <c r="E1500" i="9"/>
  <c r="D1500" i="9"/>
  <c r="C1500" i="9"/>
  <c r="B1500" i="9"/>
  <c r="A1500" i="9"/>
  <c r="E1499" i="9"/>
  <c r="D1499" i="9"/>
  <c r="C1499" i="9"/>
  <c r="B1499" i="9"/>
  <c r="A1499" i="9"/>
  <c r="E1498" i="9"/>
  <c r="D1498" i="9"/>
  <c r="C1498" i="9"/>
  <c r="B1498" i="9"/>
  <c r="A1498" i="9"/>
  <c r="E1497" i="9"/>
  <c r="D1497" i="9"/>
  <c r="C1497" i="9"/>
  <c r="B1497" i="9"/>
  <c r="A1497" i="9"/>
  <c r="E1496" i="9"/>
  <c r="D1496" i="9"/>
  <c r="C1496" i="9"/>
  <c r="B1496" i="9"/>
  <c r="A1496" i="9"/>
  <c r="E1495" i="9"/>
  <c r="D1495" i="9"/>
  <c r="C1495" i="9"/>
  <c r="B1495" i="9"/>
  <c r="A1495" i="9"/>
  <c r="E1494" i="9"/>
  <c r="D1494" i="9"/>
  <c r="C1494" i="9"/>
  <c r="B1494" i="9"/>
  <c r="A1494" i="9"/>
  <c r="E1493" i="9"/>
  <c r="D1493" i="9"/>
  <c r="C1493" i="9"/>
  <c r="B1493" i="9"/>
  <c r="A1493" i="9"/>
  <c r="E1492" i="9"/>
  <c r="D1492" i="9"/>
  <c r="C1492" i="9"/>
  <c r="B1492" i="9"/>
  <c r="A1492" i="9"/>
  <c r="E1491" i="9"/>
  <c r="D1491" i="9"/>
  <c r="C1491" i="9"/>
  <c r="B1491" i="9"/>
  <c r="A1491" i="9"/>
  <c r="E1490" i="9"/>
  <c r="D1490" i="9"/>
  <c r="C1490" i="9"/>
  <c r="B1490" i="9"/>
  <c r="A1490" i="9"/>
  <c r="E1489" i="9"/>
  <c r="D1489" i="9"/>
  <c r="C1489" i="9"/>
  <c r="B1489" i="9"/>
  <c r="A1489" i="9"/>
  <c r="E1488" i="9"/>
  <c r="D1488" i="9"/>
  <c r="C1488" i="9"/>
  <c r="B1488" i="9"/>
  <c r="A1488" i="9"/>
  <c r="E1487" i="9"/>
  <c r="D1487" i="9"/>
  <c r="C1487" i="9"/>
  <c r="B1487" i="9"/>
  <c r="A1487" i="9"/>
  <c r="E1486" i="9"/>
  <c r="D1486" i="9"/>
  <c r="C1486" i="9"/>
  <c r="B1486" i="9"/>
  <c r="A1486" i="9"/>
  <c r="E1485" i="9"/>
  <c r="D1485" i="9"/>
  <c r="C1485" i="9"/>
  <c r="B1485" i="9"/>
  <c r="A1485" i="9"/>
  <c r="E1484" i="9"/>
  <c r="D1484" i="9"/>
  <c r="C1484" i="9"/>
  <c r="B1484" i="9"/>
  <c r="A1484" i="9"/>
  <c r="E1483" i="9"/>
  <c r="D1483" i="9"/>
  <c r="C1483" i="9"/>
  <c r="B1483" i="9"/>
  <c r="A1483" i="9"/>
  <c r="E1482" i="9"/>
  <c r="D1482" i="9"/>
  <c r="C1482" i="9"/>
  <c r="B1482" i="9"/>
  <c r="A1482" i="9"/>
  <c r="E1481" i="9"/>
  <c r="D1481" i="9"/>
  <c r="C1481" i="9"/>
  <c r="B1481" i="9"/>
  <c r="A1481" i="9"/>
  <c r="E1480" i="9"/>
  <c r="D1480" i="9"/>
  <c r="C1480" i="9"/>
  <c r="B1480" i="9"/>
  <c r="A1480" i="9"/>
  <c r="E1479" i="9"/>
  <c r="D1479" i="9"/>
  <c r="C1479" i="9"/>
  <c r="B1479" i="9"/>
  <c r="A1479" i="9"/>
  <c r="E1478" i="9"/>
  <c r="D1478" i="9"/>
  <c r="C1478" i="9"/>
  <c r="B1478" i="9"/>
  <c r="A1478" i="9"/>
  <c r="E1477" i="9"/>
  <c r="D1477" i="9"/>
  <c r="C1477" i="9"/>
  <c r="B1477" i="9"/>
  <c r="A1477" i="9"/>
  <c r="E1476" i="9"/>
  <c r="D1476" i="9"/>
  <c r="C1476" i="9"/>
  <c r="B1476" i="9"/>
  <c r="A1476" i="9"/>
  <c r="E1475" i="9"/>
  <c r="D1475" i="9"/>
  <c r="C1475" i="9"/>
  <c r="B1475" i="9"/>
  <c r="A1475" i="9"/>
  <c r="E1474" i="9"/>
  <c r="D1474" i="9"/>
  <c r="C1474" i="9"/>
  <c r="B1474" i="9"/>
  <c r="A1474" i="9"/>
  <c r="E1473" i="9"/>
  <c r="D1473" i="9"/>
  <c r="C1473" i="9"/>
  <c r="B1473" i="9"/>
  <c r="A1473" i="9"/>
  <c r="E1472" i="9"/>
  <c r="D1472" i="9"/>
  <c r="C1472" i="9"/>
  <c r="B1472" i="9"/>
  <c r="A1472" i="9"/>
  <c r="E1471" i="9"/>
  <c r="D1471" i="9"/>
  <c r="C1471" i="9"/>
  <c r="B1471" i="9"/>
  <c r="A1471" i="9"/>
  <c r="E1470" i="9"/>
  <c r="D1470" i="9"/>
  <c r="C1470" i="9"/>
  <c r="B1470" i="9"/>
  <c r="A1470" i="9"/>
  <c r="E1469" i="9"/>
  <c r="D1469" i="9"/>
  <c r="C1469" i="9"/>
  <c r="B1469" i="9"/>
  <c r="A1469" i="9"/>
  <c r="E1468" i="9"/>
  <c r="D1468" i="9"/>
  <c r="C1468" i="9"/>
  <c r="B1468" i="9"/>
  <c r="A1468" i="9"/>
  <c r="E1467" i="9"/>
  <c r="D1467" i="9"/>
  <c r="C1467" i="9"/>
  <c r="B1467" i="9"/>
  <c r="A1467" i="9"/>
  <c r="E1466" i="9"/>
  <c r="D1466" i="9"/>
  <c r="C1466" i="9"/>
  <c r="B1466" i="9"/>
  <c r="A1466" i="9"/>
  <c r="E1465" i="9"/>
  <c r="D1465" i="9"/>
  <c r="C1465" i="9"/>
  <c r="B1465" i="9"/>
  <c r="A1465" i="9"/>
  <c r="E1464" i="9"/>
  <c r="D1464" i="9"/>
  <c r="C1464" i="9"/>
  <c r="B1464" i="9"/>
  <c r="A1464" i="9"/>
  <c r="E1463" i="9"/>
  <c r="D1463" i="9"/>
  <c r="C1463" i="9"/>
  <c r="B1463" i="9"/>
  <c r="A1463" i="9"/>
  <c r="E1462" i="9"/>
  <c r="D1462" i="9"/>
  <c r="C1462" i="9"/>
  <c r="B1462" i="9"/>
  <c r="A1462" i="9"/>
  <c r="E1461" i="9"/>
  <c r="D1461" i="9"/>
  <c r="C1461" i="9"/>
  <c r="B1461" i="9"/>
  <c r="A1461" i="9"/>
  <c r="E1460" i="9"/>
  <c r="D1460" i="9"/>
  <c r="C1460" i="9"/>
  <c r="B1460" i="9"/>
  <c r="A1460" i="9"/>
  <c r="E1459" i="9"/>
  <c r="D1459" i="9"/>
  <c r="C1459" i="9"/>
  <c r="B1459" i="9"/>
  <c r="A1459" i="9"/>
  <c r="E1458" i="9"/>
  <c r="D1458" i="9"/>
  <c r="C1458" i="9"/>
  <c r="B1458" i="9"/>
  <c r="A1458" i="9"/>
  <c r="E1457" i="9"/>
  <c r="D1457" i="9"/>
  <c r="C1457" i="9"/>
  <c r="B1457" i="9"/>
  <c r="A1457" i="9"/>
  <c r="E1456" i="9"/>
  <c r="D1456" i="9"/>
  <c r="C1456" i="9"/>
  <c r="B1456" i="9"/>
  <c r="A1456" i="9"/>
  <c r="E1455" i="9"/>
  <c r="D1455" i="9"/>
  <c r="C1455" i="9"/>
  <c r="B1455" i="9"/>
  <c r="A1455" i="9"/>
  <c r="E1454" i="9"/>
  <c r="D1454" i="9"/>
  <c r="C1454" i="9"/>
  <c r="B1454" i="9"/>
  <c r="A1454" i="9"/>
  <c r="E1453" i="9"/>
  <c r="D1453" i="9"/>
  <c r="C1453" i="9"/>
  <c r="B1453" i="9"/>
  <c r="A1453" i="9"/>
  <c r="E1452" i="9"/>
  <c r="D1452" i="9"/>
  <c r="C1452" i="9"/>
  <c r="B1452" i="9"/>
  <c r="A1452" i="9"/>
  <c r="E1451" i="9"/>
  <c r="D1451" i="9"/>
  <c r="C1451" i="9"/>
  <c r="B1451" i="9"/>
  <c r="A1451" i="9"/>
  <c r="E1450" i="9"/>
  <c r="D1450" i="9"/>
  <c r="C1450" i="9"/>
  <c r="B1450" i="9"/>
  <c r="A1450" i="9"/>
  <c r="E1449" i="9"/>
  <c r="D1449" i="9"/>
  <c r="C1449" i="9"/>
  <c r="B1449" i="9"/>
  <c r="A1449" i="9"/>
  <c r="E1448" i="9"/>
  <c r="D1448" i="9"/>
  <c r="C1448" i="9"/>
  <c r="B1448" i="9"/>
  <c r="A1448" i="9"/>
  <c r="E1447" i="9"/>
  <c r="D1447" i="9"/>
  <c r="C1447" i="9"/>
  <c r="B1447" i="9"/>
  <c r="A1447" i="9"/>
  <c r="E1446" i="9"/>
  <c r="D1446" i="9"/>
  <c r="C1446" i="9"/>
  <c r="B1446" i="9"/>
  <c r="A1446" i="9"/>
  <c r="E1445" i="9"/>
  <c r="D1445" i="9"/>
  <c r="C1445" i="9"/>
  <c r="B1445" i="9"/>
  <c r="A1445" i="9"/>
  <c r="E1444" i="9"/>
  <c r="D1444" i="9"/>
  <c r="C1444" i="9"/>
  <c r="B1444" i="9"/>
  <c r="A1444" i="9"/>
  <c r="E1443" i="9"/>
  <c r="D1443" i="9"/>
  <c r="C1443" i="9"/>
  <c r="B1443" i="9"/>
  <c r="A1443" i="9"/>
  <c r="E1442" i="9"/>
  <c r="D1442" i="9"/>
  <c r="C1442" i="9"/>
  <c r="B1442" i="9"/>
  <c r="A1442" i="9"/>
  <c r="E1441" i="9"/>
  <c r="D1441" i="9"/>
  <c r="C1441" i="9"/>
  <c r="B1441" i="9"/>
  <c r="A1441" i="9"/>
  <c r="E1440" i="9"/>
  <c r="D1440" i="9"/>
  <c r="C1440" i="9"/>
  <c r="B1440" i="9"/>
  <c r="A1440" i="9"/>
  <c r="E1439" i="9"/>
  <c r="D1439" i="9"/>
  <c r="C1439" i="9"/>
  <c r="B1439" i="9"/>
  <c r="A1439" i="9"/>
  <c r="E1438" i="9"/>
  <c r="D1438" i="9"/>
  <c r="C1438" i="9"/>
  <c r="B1438" i="9"/>
  <c r="A1438" i="9"/>
  <c r="E1437" i="9"/>
  <c r="D1437" i="9"/>
  <c r="C1437" i="9"/>
  <c r="B1437" i="9"/>
  <c r="A1437" i="9"/>
  <c r="E1436" i="9"/>
  <c r="D1436" i="9"/>
  <c r="C1436" i="9"/>
  <c r="B1436" i="9"/>
  <c r="A1436" i="9"/>
  <c r="E1435" i="9"/>
  <c r="D1435" i="9"/>
  <c r="C1435" i="9"/>
  <c r="B1435" i="9"/>
  <c r="A1435" i="9"/>
  <c r="E1434" i="9"/>
  <c r="D1434" i="9"/>
  <c r="C1434" i="9"/>
  <c r="B1434" i="9"/>
  <c r="A1434" i="9"/>
  <c r="E1433" i="9"/>
  <c r="D1433" i="9"/>
  <c r="C1433" i="9"/>
  <c r="B1433" i="9"/>
  <c r="A1433" i="9"/>
  <c r="E1432" i="9"/>
  <c r="D1432" i="9"/>
  <c r="C1432" i="9"/>
  <c r="B1432" i="9"/>
  <c r="A1432" i="9"/>
  <c r="E1431" i="9"/>
  <c r="D1431" i="9"/>
  <c r="C1431" i="9"/>
  <c r="B1431" i="9"/>
  <c r="A1431" i="9"/>
  <c r="E1430" i="9"/>
  <c r="D1430" i="9"/>
  <c r="C1430" i="9"/>
  <c r="B1430" i="9"/>
  <c r="A1430" i="9"/>
  <c r="E1429" i="9"/>
  <c r="D1429" i="9"/>
  <c r="C1429" i="9"/>
  <c r="B1429" i="9"/>
  <c r="A1429" i="9"/>
  <c r="E1428" i="9"/>
  <c r="D1428" i="9"/>
  <c r="C1428" i="9"/>
  <c r="B1428" i="9"/>
  <c r="A1428" i="9"/>
  <c r="E1427" i="9"/>
  <c r="D1427" i="9"/>
  <c r="C1427" i="9"/>
  <c r="B1427" i="9"/>
  <c r="A1427" i="9"/>
  <c r="E1426" i="9"/>
  <c r="D1426" i="9"/>
  <c r="C1426" i="9"/>
  <c r="B1426" i="9"/>
  <c r="A1426" i="9"/>
  <c r="E1425" i="9"/>
  <c r="D1425" i="9"/>
  <c r="C1425" i="9"/>
  <c r="B1425" i="9"/>
  <c r="A1425" i="9"/>
  <c r="E1424" i="9"/>
  <c r="D1424" i="9"/>
  <c r="C1424" i="9"/>
  <c r="B1424" i="9"/>
  <c r="A1424" i="9"/>
  <c r="E1423" i="9"/>
  <c r="D1423" i="9"/>
  <c r="C1423" i="9"/>
  <c r="B1423" i="9"/>
  <c r="A1423" i="9"/>
  <c r="E1422" i="9"/>
  <c r="D1422" i="9"/>
  <c r="C1422" i="9"/>
  <c r="B1422" i="9"/>
  <c r="A1422" i="9"/>
  <c r="E1421" i="9"/>
  <c r="D1421" i="9"/>
  <c r="C1421" i="9"/>
  <c r="B1421" i="9"/>
  <c r="A1421" i="9"/>
  <c r="E1420" i="9"/>
  <c r="D1420" i="9"/>
  <c r="C1420" i="9"/>
  <c r="B1420" i="9"/>
  <c r="A1420" i="9"/>
  <c r="E1419" i="9"/>
  <c r="D1419" i="9"/>
  <c r="C1419" i="9"/>
  <c r="B1419" i="9"/>
  <c r="A1419" i="9"/>
  <c r="E1418" i="9"/>
  <c r="D1418" i="9"/>
  <c r="C1418" i="9"/>
  <c r="B1418" i="9"/>
  <c r="A1418" i="9"/>
  <c r="E1417" i="9"/>
  <c r="D1417" i="9"/>
  <c r="C1417" i="9"/>
  <c r="B1417" i="9"/>
  <c r="A1417" i="9"/>
  <c r="E1416" i="9"/>
  <c r="D1416" i="9"/>
  <c r="C1416" i="9"/>
  <c r="B1416" i="9"/>
  <c r="A1416" i="9"/>
  <c r="E1415" i="9"/>
  <c r="D1415" i="9"/>
  <c r="C1415" i="9"/>
  <c r="B1415" i="9"/>
  <c r="A1415" i="9"/>
  <c r="E1414" i="9"/>
  <c r="D1414" i="9"/>
  <c r="C1414" i="9"/>
  <c r="B1414" i="9"/>
  <c r="A1414" i="9"/>
  <c r="E1413" i="9"/>
  <c r="D1413" i="9"/>
  <c r="C1413" i="9"/>
  <c r="B1413" i="9"/>
  <c r="A1413" i="9"/>
  <c r="E1412" i="9"/>
  <c r="D1412" i="9"/>
  <c r="C1412" i="9"/>
  <c r="B1412" i="9"/>
  <c r="A1412" i="9"/>
  <c r="E1411" i="9"/>
  <c r="D1411" i="9"/>
  <c r="C1411" i="9"/>
  <c r="B1411" i="9"/>
  <c r="A1411" i="9"/>
  <c r="E1410" i="9"/>
  <c r="D1410" i="9"/>
  <c r="C1410" i="9"/>
  <c r="B1410" i="9"/>
  <c r="A1410" i="9"/>
  <c r="E1409" i="9"/>
  <c r="D1409" i="9"/>
  <c r="C1409" i="9"/>
  <c r="B1409" i="9"/>
  <c r="A1409" i="9"/>
  <c r="E1408" i="9"/>
  <c r="D1408" i="9"/>
  <c r="C1408" i="9"/>
  <c r="B1408" i="9"/>
  <c r="A1408" i="9"/>
  <c r="E1407" i="9"/>
  <c r="D1407" i="9"/>
  <c r="C1407" i="9"/>
  <c r="B1407" i="9"/>
  <c r="A1407" i="9"/>
  <c r="E1406" i="9"/>
  <c r="D1406" i="9"/>
  <c r="C1406" i="9"/>
  <c r="B1406" i="9"/>
  <c r="A1406" i="9"/>
  <c r="E1405" i="9"/>
  <c r="D1405" i="9"/>
  <c r="C1405" i="9"/>
  <c r="B1405" i="9"/>
  <c r="A1405" i="9"/>
  <c r="E1404" i="9"/>
  <c r="D1404" i="9"/>
  <c r="C1404" i="9"/>
  <c r="B1404" i="9"/>
  <c r="A1404" i="9"/>
  <c r="E1403" i="9"/>
  <c r="D1403" i="9"/>
  <c r="C1403" i="9"/>
  <c r="B1403" i="9"/>
  <c r="A1403" i="9"/>
  <c r="E1402" i="9"/>
  <c r="D1402" i="9"/>
  <c r="C1402" i="9"/>
  <c r="B1402" i="9"/>
  <c r="A1402" i="9"/>
  <c r="E1401" i="9"/>
  <c r="D1401" i="9"/>
  <c r="C1401" i="9"/>
  <c r="B1401" i="9"/>
  <c r="A1401" i="9"/>
  <c r="E1400" i="9"/>
  <c r="D1400" i="9"/>
  <c r="C1400" i="9"/>
  <c r="B1400" i="9"/>
  <c r="A1400" i="9"/>
  <c r="E1399" i="9"/>
  <c r="D1399" i="9"/>
  <c r="C1399" i="9"/>
  <c r="B1399" i="9"/>
  <c r="A1399" i="9"/>
  <c r="E1398" i="9"/>
  <c r="D1398" i="9"/>
  <c r="C1398" i="9"/>
  <c r="B1398" i="9"/>
  <c r="A1398" i="9"/>
  <c r="E1397" i="9"/>
  <c r="D1397" i="9"/>
  <c r="C1397" i="9"/>
  <c r="B1397" i="9"/>
  <c r="A1397" i="9"/>
  <c r="E1396" i="9"/>
  <c r="D1396" i="9"/>
  <c r="C1396" i="9"/>
  <c r="B1396" i="9"/>
  <c r="A1396" i="9"/>
  <c r="E1395" i="9"/>
  <c r="D1395" i="9"/>
  <c r="C1395" i="9"/>
  <c r="B1395" i="9"/>
  <c r="A1395" i="9"/>
  <c r="E1394" i="9"/>
  <c r="D1394" i="9"/>
  <c r="C1394" i="9"/>
  <c r="B1394" i="9"/>
  <c r="A1394" i="9"/>
  <c r="E1393" i="9"/>
  <c r="D1393" i="9"/>
  <c r="C1393" i="9"/>
  <c r="B1393" i="9"/>
  <c r="A1393" i="9"/>
  <c r="E1392" i="9"/>
  <c r="D1392" i="9"/>
  <c r="C1392" i="9"/>
  <c r="B1392" i="9"/>
  <c r="A1392" i="9"/>
  <c r="E1391" i="9"/>
  <c r="D1391" i="9"/>
  <c r="C1391" i="9"/>
  <c r="B1391" i="9"/>
  <c r="A1391" i="9"/>
  <c r="E1390" i="9"/>
  <c r="D1390" i="9"/>
  <c r="C1390" i="9"/>
  <c r="B1390" i="9"/>
  <c r="A1390" i="9"/>
  <c r="E1389" i="9"/>
  <c r="D1389" i="9"/>
  <c r="C1389" i="9"/>
  <c r="B1389" i="9"/>
  <c r="A1389" i="9"/>
  <c r="E1388" i="9"/>
  <c r="D1388" i="9"/>
  <c r="C1388" i="9"/>
  <c r="B1388" i="9"/>
  <c r="A1388" i="9"/>
  <c r="E1387" i="9"/>
  <c r="D1387" i="9"/>
  <c r="C1387" i="9"/>
  <c r="B1387" i="9"/>
  <c r="A1387" i="9"/>
  <c r="E1386" i="9"/>
  <c r="D1386" i="9"/>
  <c r="C1386" i="9"/>
  <c r="B1386" i="9"/>
  <c r="A1386" i="9"/>
  <c r="E1385" i="9"/>
  <c r="D1385" i="9"/>
  <c r="C1385" i="9"/>
  <c r="B1385" i="9"/>
  <c r="A1385" i="9"/>
  <c r="E1384" i="9"/>
  <c r="D1384" i="9"/>
  <c r="C1384" i="9"/>
  <c r="B1384" i="9"/>
  <c r="A1384" i="9"/>
  <c r="E1383" i="9"/>
  <c r="D1383" i="9"/>
  <c r="C1383" i="9"/>
  <c r="B1383" i="9"/>
  <c r="A1383" i="9"/>
  <c r="E1382" i="9"/>
  <c r="D1382" i="9"/>
  <c r="C1382" i="9"/>
  <c r="B1382" i="9"/>
  <c r="A1382" i="9"/>
  <c r="E1381" i="9"/>
  <c r="D1381" i="9"/>
  <c r="C1381" i="9"/>
  <c r="B1381" i="9"/>
  <c r="A1381" i="9"/>
  <c r="E1380" i="9"/>
  <c r="D1380" i="9"/>
  <c r="C1380" i="9"/>
  <c r="B1380" i="9"/>
  <c r="A1380" i="9"/>
  <c r="E1379" i="9"/>
  <c r="D1379" i="9"/>
  <c r="C1379" i="9"/>
  <c r="B1379" i="9"/>
  <c r="A1379" i="9"/>
  <c r="E1378" i="9"/>
  <c r="D1378" i="9"/>
  <c r="C1378" i="9"/>
  <c r="B1378" i="9"/>
  <c r="A1378" i="9"/>
  <c r="E1377" i="9"/>
  <c r="D1377" i="9"/>
  <c r="C1377" i="9"/>
  <c r="B1377" i="9"/>
  <c r="A1377" i="9"/>
  <c r="E1376" i="9"/>
  <c r="D1376" i="9"/>
  <c r="C1376" i="9"/>
  <c r="B1376" i="9"/>
  <c r="A1376" i="9"/>
  <c r="E1375" i="9"/>
  <c r="D1375" i="9"/>
  <c r="C1375" i="9"/>
  <c r="B1375" i="9"/>
  <c r="A1375" i="9"/>
  <c r="E1374" i="9"/>
  <c r="D1374" i="9"/>
  <c r="C1374" i="9"/>
  <c r="B1374" i="9"/>
  <c r="A1374" i="9"/>
  <c r="E1373" i="9"/>
  <c r="D1373" i="9"/>
  <c r="C1373" i="9"/>
  <c r="B1373" i="9"/>
  <c r="A1373" i="9"/>
  <c r="E1372" i="9"/>
  <c r="D1372" i="9"/>
  <c r="C1372" i="9"/>
  <c r="B1372" i="9"/>
  <c r="A1372" i="9"/>
  <c r="E1371" i="9"/>
  <c r="D1371" i="9"/>
  <c r="C1371" i="9"/>
  <c r="B1371" i="9"/>
  <c r="A1371" i="9"/>
  <c r="E1370" i="9"/>
  <c r="D1370" i="9"/>
  <c r="C1370" i="9"/>
  <c r="B1370" i="9"/>
  <c r="A1370" i="9"/>
  <c r="E1369" i="9"/>
  <c r="D1369" i="9"/>
  <c r="C1369" i="9"/>
  <c r="B1369" i="9"/>
  <c r="A1369" i="9"/>
  <c r="E1368" i="9"/>
  <c r="D1368" i="9"/>
  <c r="C1368" i="9"/>
  <c r="B1368" i="9"/>
  <c r="A1368" i="9"/>
  <c r="E1367" i="9"/>
  <c r="D1367" i="9"/>
  <c r="C1367" i="9"/>
  <c r="B1367" i="9"/>
  <c r="A1367" i="9"/>
  <c r="E1366" i="9"/>
  <c r="D1366" i="9"/>
  <c r="C1366" i="9"/>
  <c r="B1366" i="9"/>
  <c r="A1366" i="9"/>
  <c r="E1365" i="9"/>
  <c r="D1365" i="9"/>
  <c r="C1365" i="9"/>
  <c r="B1365" i="9"/>
  <c r="A1365" i="9"/>
  <c r="E1364" i="9"/>
  <c r="D1364" i="9"/>
  <c r="C1364" i="9"/>
  <c r="B1364" i="9"/>
  <c r="A1364" i="9"/>
  <c r="E1363" i="9"/>
  <c r="D1363" i="9"/>
  <c r="C1363" i="9"/>
  <c r="B1363" i="9"/>
  <c r="A1363" i="9"/>
  <c r="E1362" i="9"/>
  <c r="D1362" i="9"/>
  <c r="C1362" i="9"/>
  <c r="B1362" i="9"/>
  <c r="A1362" i="9"/>
  <c r="E1361" i="9"/>
  <c r="D1361" i="9"/>
  <c r="C1361" i="9"/>
  <c r="B1361" i="9"/>
  <c r="A1361" i="9"/>
  <c r="E1360" i="9"/>
  <c r="D1360" i="9"/>
  <c r="C1360" i="9"/>
  <c r="B1360" i="9"/>
  <c r="A1360" i="9"/>
  <c r="E1359" i="9"/>
  <c r="D1359" i="9"/>
  <c r="C1359" i="9"/>
  <c r="B1359" i="9"/>
  <c r="A1359" i="9"/>
  <c r="E1358" i="9"/>
  <c r="D1358" i="9"/>
  <c r="C1358" i="9"/>
  <c r="B1358" i="9"/>
  <c r="A1358" i="9"/>
  <c r="E1357" i="9"/>
  <c r="D1357" i="9"/>
  <c r="C1357" i="9"/>
  <c r="B1357" i="9"/>
  <c r="A1357" i="9"/>
  <c r="E1356" i="9"/>
  <c r="D1356" i="9"/>
  <c r="C1356" i="9"/>
  <c r="B1356" i="9"/>
  <c r="A1356" i="9"/>
  <c r="E1355" i="9"/>
  <c r="D1355" i="9"/>
  <c r="C1355" i="9"/>
  <c r="B1355" i="9"/>
  <c r="A1355" i="9"/>
  <c r="E1354" i="9"/>
  <c r="D1354" i="9"/>
  <c r="C1354" i="9"/>
  <c r="B1354" i="9"/>
  <c r="A1354" i="9"/>
  <c r="E1353" i="9"/>
  <c r="D1353" i="9"/>
  <c r="C1353" i="9"/>
  <c r="B1353" i="9"/>
  <c r="A1353" i="9"/>
  <c r="E1352" i="9"/>
  <c r="D1352" i="9"/>
  <c r="C1352" i="9"/>
  <c r="B1352" i="9"/>
  <c r="A1352" i="9"/>
  <c r="E1351" i="9"/>
  <c r="D1351" i="9"/>
  <c r="C1351" i="9"/>
  <c r="B1351" i="9"/>
  <c r="A1351" i="9"/>
  <c r="E1350" i="9"/>
  <c r="D1350" i="9"/>
  <c r="C1350" i="9"/>
  <c r="B1350" i="9"/>
  <c r="A1350" i="9"/>
  <c r="E1349" i="9"/>
  <c r="D1349" i="9"/>
  <c r="C1349" i="9"/>
  <c r="B1349" i="9"/>
  <c r="A1349" i="9"/>
  <c r="E1348" i="9"/>
  <c r="D1348" i="9"/>
  <c r="C1348" i="9"/>
  <c r="B1348" i="9"/>
  <c r="A1348" i="9"/>
  <c r="E1347" i="9"/>
  <c r="D1347" i="9"/>
  <c r="C1347" i="9"/>
  <c r="B1347" i="9"/>
  <c r="A1347" i="9"/>
  <c r="E1346" i="9"/>
  <c r="D1346" i="9"/>
  <c r="C1346" i="9"/>
  <c r="B1346" i="9"/>
  <c r="A1346" i="9"/>
  <c r="E1345" i="9"/>
  <c r="D1345" i="9"/>
  <c r="C1345" i="9"/>
  <c r="B1345" i="9"/>
  <c r="A1345" i="9"/>
  <c r="E1344" i="9"/>
  <c r="D1344" i="9"/>
  <c r="C1344" i="9"/>
  <c r="B1344" i="9"/>
  <c r="A1344" i="9"/>
  <c r="E1343" i="9"/>
  <c r="D1343" i="9"/>
  <c r="C1343" i="9"/>
  <c r="B1343" i="9"/>
  <c r="A1343" i="9"/>
  <c r="E1342" i="9"/>
  <c r="D1342" i="9"/>
  <c r="C1342" i="9"/>
  <c r="B1342" i="9"/>
  <c r="A1342" i="9"/>
  <c r="E1341" i="9"/>
  <c r="D1341" i="9"/>
  <c r="C1341" i="9"/>
  <c r="B1341" i="9"/>
  <c r="A1341" i="9"/>
  <c r="E1340" i="9"/>
  <c r="D1340" i="9"/>
  <c r="C1340" i="9"/>
  <c r="B1340" i="9"/>
  <c r="A1340" i="9"/>
  <c r="E1339" i="9"/>
  <c r="D1339" i="9"/>
  <c r="C1339" i="9"/>
  <c r="B1339" i="9"/>
  <c r="A1339" i="9"/>
  <c r="E1338" i="9"/>
  <c r="D1338" i="9"/>
  <c r="C1338" i="9"/>
  <c r="B1338" i="9"/>
  <c r="A1338" i="9"/>
  <c r="E1337" i="9"/>
  <c r="D1337" i="9"/>
  <c r="C1337" i="9"/>
  <c r="B1337" i="9"/>
  <c r="A1337" i="9"/>
  <c r="E1336" i="9"/>
  <c r="D1336" i="9"/>
  <c r="C1336" i="9"/>
  <c r="B1336" i="9"/>
  <c r="A1336" i="9"/>
  <c r="E1335" i="9"/>
  <c r="D1335" i="9"/>
  <c r="C1335" i="9"/>
  <c r="B1335" i="9"/>
  <c r="A1335" i="9"/>
  <c r="E1334" i="9"/>
  <c r="D1334" i="9"/>
  <c r="C1334" i="9"/>
  <c r="B1334" i="9"/>
  <c r="A1334" i="9"/>
  <c r="E1333" i="9"/>
  <c r="D1333" i="9"/>
  <c r="C1333" i="9"/>
  <c r="B1333" i="9"/>
  <c r="A1333" i="9"/>
  <c r="E1332" i="9"/>
  <c r="D1332" i="9"/>
  <c r="C1332" i="9"/>
  <c r="B1332" i="9"/>
  <c r="A1332" i="9"/>
  <c r="E1331" i="9"/>
  <c r="D1331" i="9"/>
  <c r="C1331" i="9"/>
  <c r="B1331" i="9"/>
  <c r="A1331" i="9"/>
  <c r="E1330" i="9"/>
  <c r="D1330" i="9"/>
  <c r="C1330" i="9"/>
  <c r="B1330" i="9"/>
  <c r="A1330" i="9"/>
  <c r="E1329" i="9"/>
  <c r="D1329" i="9"/>
  <c r="C1329" i="9"/>
  <c r="B1329" i="9"/>
  <c r="A1329" i="9"/>
  <c r="E1328" i="9"/>
  <c r="D1328" i="9"/>
  <c r="C1328" i="9"/>
  <c r="B1328" i="9"/>
  <c r="A1328" i="9"/>
  <c r="E1327" i="9"/>
  <c r="D1327" i="9"/>
  <c r="C1327" i="9"/>
  <c r="B1327" i="9"/>
  <c r="A1327" i="9"/>
  <c r="E1326" i="9"/>
  <c r="D1326" i="9"/>
  <c r="C1326" i="9"/>
  <c r="B1326" i="9"/>
  <c r="A1326" i="9"/>
  <c r="E1325" i="9"/>
  <c r="D1325" i="9"/>
  <c r="C1325" i="9"/>
  <c r="B1325" i="9"/>
  <c r="A1325" i="9"/>
  <c r="E1324" i="9"/>
  <c r="D1324" i="9"/>
  <c r="C1324" i="9"/>
  <c r="B1324" i="9"/>
  <c r="A1324" i="9"/>
  <c r="E1323" i="9"/>
  <c r="D1323" i="9"/>
  <c r="C1323" i="9"/>
  <c r="B1323" i="9"/>
  <c r="A1323" i="9"/>
  <c r="E1322" i="9"/>
  <c r="D1322" i="9"/>
  <c r="C1322" i="9"/>
  <c r="B1322" i="9"/>
  <c r="A1322" i="9"/>
  <c r="E1321" i="9"/>
  <c r="D1321" i="9"/>
  <c r="C1321" i="9"/>
  <c r="B1321" i="9"/>
  <c r="A1321" i="9"/>
  <c r="E1320" i="9"/>
  <c r="D1320" i="9"/>
  <c r="C1320" i="9"/>
  <c r="B1320" i="9"/>
  <c r="A1320" i="9"/>
  <c r="E1319" i="9"/>
  <c r="D1319" i="9"/>
  <c r="C1319" i="9"/>
  <c r="B1319" i="9"/>
  <c r="A1319" i="9"/>
  <c r="E1318" i="9"/>
  <c r="D1318" i="9"/>
  <c r="C1318" i="9"/>
  <c r="B1318" i="9"/>
  <c r="A1318" i="9"/>
  <c r="E1317" i="9"/>
  <c r="D1317" i="9"/>
  <c r="C1317" i="9"/>
  <c r="B1317" i="9"/>
  <c r="A1317" i="9"/>
  <c r="E1316" i="9"/>
  <c r="D1316" i="9"/>
  <c r="C1316" i="9"/>
  <c r="B1316" i="9"/>
  <c r="A1316" i="9"/>
  <c r="E1315" i="9"/>
  <c r="D1315" i="9"/>
  <c r="C1315" i="9"/>
  <c r="B1315" i="9"/>
  <c r="A1315" i="9"/>
  <c r="E1314" i="9"/>
  <c r="D1314" i="9"/>
  <c r="C1314" i="9"/>
  <c r="B1314" i="9"/>
  <c r="A1314" i="9"/>
  <c r="E1313" i="9"/>
  <c r="D1313" i="9"/>
  <c r="C1313" i="9"/>
  <c r="B1313" i="9"/>
  <c r="A1313" i="9"/>
  <c r="E1312" i="9"/>
  <c r="D1312" i="9"/>
  <c r="C1312" i="9"/>
  <c r="B1312" i="9"/>
  <c r="A1312" i="9"/>
  <c r="E1311" i="9"/>
  <c r="D1311" i="9"/>
  <c r="C1311" i="9"/>
  <c r="B1311" i="9"/>
  <c r="A1311" i="9"/>
  <c r="E1310" i="9"/>
  <c r="D1310" i="9"/>
  <c r="C1310" i="9"/>
  <c r="B1310" i="9"/>
  <c r="A1310" i="9"/>
  <c r="E1309" i="9"/>
  <c r="D1309" i="9"/>
  <c r="C1309" i="9"/>
  <c r="B1309" i="9"/>
  <c r="A1309" i="9"/>
  <c r="E1308" i="9"/>
  <c r="D1308" i="9"/>
  <c r="C1308" i="9"/>
  <c r="B1308" i="9"/>
  <c r="A1308" i="9"/>
  <c r="E1307" i="9"/>
  <c r="D1307" i="9"/>
  <c r="C1307" i="9"/>
  <c r="B1307" i="9"/>
  <c r="A1307" i="9"/>
  <c r="E1306" i="9"/>
  <c r="D1306" i="9"/>
  <c r="C1306" i="9"/>
  <c r="B1306" i="9"/>
  <c r="A1306" i="9"/>
  <c r="E1305" i="9"/>
  <c r="D1305" i="9"/>
  <c r="C1305" i="9"/>
  <c r="B1305" i="9"/>
  <c r="A1305" i="9"/>
  <c r="E1304" i="9"/>
  <c r="D1304" i="9"/>
  <c r="C1304" i="9"/>
  <c r="B1304" i="9"/>
  <c r="A1304" i="9"/>
  <c r="E1303" i="9"/>
  <c r="D1303" i="9"/>
  <c r="C1303" i="9"/>
  <c r="B1303" i="9"/>
  <c r="A1303" i="9"/>
  <c r="E1302" i="9"/>
  <c r="D1302" i="9"/>
  <c r="C1302" i="9"/>
  <c r="B1302" i="9"/>
  <c r="A1302" i="9"/>
  <c r="E1301" i="9"/>
  <c r="D1301" i="9"/>
  <c r="C1301" i="9"/>
  <c r="B1301" i="9"/>
  <c r="A1301" i="9"/>
  <c r="E1300" i="9"/>
  <c r="D1300" i="9"/>
  <c r="C1300" i="9"/>
  <c r="B1300" i="9"/>
  <c r="A1300" i="9"/>
  <c r="E1299" i="9"/>
  <c r="D1299" i="9"/>
  <c r="C1299" i="9"/>
  <c r="B1299" i="9"/>
  <c r="A1299" i="9"/>
  <c r="E1298" i="9"/>
  <c r="D1298" i="9"/>
  <c r="C1298" i="9"/>
  <c r="B1298" i="9"/>
  <c r="A1298" i="9"/>
  <c r="E1297" i="9"/>
  <c r="D1297" i="9"/>
  <c r="C1297" i="9"/>
  <c r="B1297" i="9"/>
  <c r="A1297" i="9"/>
  <c r="E1296" i="9"/>
  <c r="D1296" i="9"/>
  <c r="C1296" i="9"/>
  <c r="B1296" i="9"/>
  <c r="A1296" i="9"/>
  <c r="E1295" i="9"/>
  <c r="D1295" i="9"/>
  <c r="C1295" i="9"/>
  <c r="B1295" i="9"/>
  <c r="A1295" i="9"/>
  <c r="E1294" i="9"/>
  <c r="D1294" i="9"/>
  <c r="C1294" i="9"/>
  <c r="B1294" i="9"/>
  <c r="A1294" i="9"/>
  <c r="E1293" i="9"/>
  <c r="D1293" i="9"/>
  <c r="C1293" i="9"/>
  <c r="B1293" i="9"/>
  <c r="A1293" i="9"/>
  <c r="E1292" i="9"/>
  <c r="D1292" i="9"/>
  <c r="C1292" i="9"/>
  <c r="B1292" i="9"/>
  <c r="A1292" i="9"/>
  <c r="E1291" i="9"/>
  <c r="D1291" i="9"/>
  <c r="C1291" i="9"/>
  <c r="B1291" i="9"/>
  <c r="A1291" i="9"/>
  <c r="E1290" i="9"/>
  <c r="D1290" i="9"/>
  <c r="C1290" i="9"/>
  <c r="B1290" i="9"/>
  <c r="A1290" i="9"/>
  <c r="E1289" i="9"/>
  <c r="D1289" i="9"/>
  <c r="C1289" i="9"/>
  <c r="B1289" i="9"/>
  <c r="A1289" i="9"/>
  <c r="E1288" i="9"/>
  <c r="D1288" i="9"/>
  <c r="C1288" i="9"/>
  <c r="B1288" i="9"/>
  <c r="A1288" i="9"/>
  <c r="E1287" i="9"/>
  <c r="D1287" i="9"/>
  <c r="C1287" i="9"/>
  <c r="B1287" i="9"/>
  <c r="A1287" i="9"/>
  <c r="E1286" i="9"/>
  <c r="D1286" i="9"/>
  <c r="C1286" i="9"/>
  <c r="B1286" i="9"/>
  <c r="A1286" i="9"/>
  <c r="E1285" i="9"/>
  <c r="D1285" i="9"/>
  <c r="C1285" i="9"/>
  <c r="B1285" i="9"/>
  <c r="A1285" i="9"/>
  <c r="E1284" i="9"/>
  <c r="D1284" i="9"/>
  <c r="C1284" i="9"/>
  <c r="B1284" i="9"/>
  <c r="A1284" i="9"/>
  <c r="E1283" i="9"/>
  <c r="D1283" i="9"/>
  <c r="C1283" i="9"/>
  <c r="B1283" i="9"/>
  <c r="A1283" i="9"/>
  <c r="E1282" i="9"/>
  <c r="D1282" i="9"/>
  <c r="C1282" i="9"/>
  <c r="B1282" i="9"/>
  <c r="A1282" i="9"/>
  <c r="E1281" i="9"/>
  <c r="D1281" i="9"/>
  <c r="C1281" i="9"/>
  <c r="B1281" i="9"/>
  <c r="A1281" i="9"/>
  <c r="E1280" i="9"/>
  <c r="D1280" i="9"/>
  <c r="C1280" i="9"/>
  <c r="B1280" i="9"/>
  <c r="A1280" i="9"/>
  <c r="E1279" i="9"/>
  <c r="D1279" i="9"/>
  <c r="C1279" i="9"/>
  <c r="B1279" i="9"/>
  <c r="A1279" i="9"/>
  <c r="E1278" i="9"/>
  <c r="D1278" i="9"/>
  <c r="C1278" i="9"/>
  <c r="B1278" i="9"/>
  <c r="A1278" i="9"/>
  <c r="E1277" i="9"/>
  <c r="D1277" i="9"/>
  <c r="C1277" i="9"/>
  <c r="B1277" i="9"/>
  <c r="A1277" i="9"/>
  <c r="E1276" i="9"/>
  <c r="D1276" i="9"/>
  <c r="C1276" i="9"/>
  <c r="B1276" i="9"/>
  <c r="A1276" i="9"/>
  <c r="E1275" i="9"/>
  <c r="D1275" i="9"/>
  <c r="C1275" i="9"/>
  <c r="B1275" i="9"/>
  <c r="A1275" i="9"/>
  <c r="E1274" i="9"/>
  <c r="D1274" i="9"/>
  <c r="C1274" i="9"/>
  <c r="B1274" i="9"/>
  <c r="A1274" i="9"/>
  <c r="E1273" i="9"/>
  <c r="D1273" i="9"/>
  <c r="C1273" i="9"/>
  <c r="B1273" i="9"/>
  <c r="A1273" i="9"/>
  <c r="E1272" i="9"/>
  <c r="D1272" i="9"/>
  <c r="C1272" i="9"/>
  <c r="B1272" i="9"/>
  <c r="A1272" i="9"/>
  <c r="E1271" i="9"/>
  <c r="D1271" i="9"/>
  <c r="C1271" i="9"/>
  <c r="B1271" i="9"/>
  <c r="A1271" i="9"/>
  <c r="E1270" i="9"/>
  <c r="D1270" i="9"/>
  <c r="C1270" i="9"/>
  <c r="B1270" i="9"/>
  <c r="A1270" i="9"/>
  <c r="E1269" i="9"/>
  <c r="D1269" i="9"/>
  <c r="C1269" i="9"/>
  <c r="B1269" i="9"/>
  <c r="A1269" i="9"/>
  <c r="E1268" i="9"/>
  <c r="D1268" i="9"/>
  <c r="C1268" i="9"/>
  <c r="B1268" i="9"/>
  <c r="A1268" i="9"/>
  <c r="E1267" i="9"/>
  <c r="D1267" i="9"/>
  <c r="C1267" i="9"/>
  <c r="B1267" i="9"/>
  <c r="A1267" i="9"/>
  <c r="E1266" i="9"/>
  <c r="D1266" i="9"/>
  <c r="C1266" i="9"/>
  <c r="B1266" i="9"/>
  <c r="A1266" i="9"/>
  <c r="E1265" i="9"/>
  <c r="D1265" i="9"/>
  <c r="C1265" i="9"/>
  <c r="B1265" i="9"/>
  <c r="A1265" i="9"/>
  <c r="E1264" i="9"/>
  <c r="D1264" i="9"/>
  <c r="C1264" i="9"/>
  <c r="B1264" i="9"/>
  <c r="A1264" i="9"/>
  <c r="E1263" i="9"/>
  <c r="D1263" i="9"/>
  <c r="C1263" i="9"/>
  <c r="B1263" i="9"/>
  <c r="A1263" i="9"/>
  <c r="E1262" i="9"/>
  <c r="D1262" i="9"/>
  <c r="C1262" i="9"/>
  <c r="B1262" i="9"/>
  <c r="A1262" i="9"/>
  <c r="E1261" i="9"/>
  <c r="D1261" i="9"/>
  <c r="C1261" i="9"/>
  <c r="B1261" i="9"/>
  <c r="A1261" i="9"/>
  <c r="E1260" i="9"/>
  <c r="D1260" i="9"/>
  <c r="C1260" i="9"/>
  <c r="B1260" i="9"/>
  <c r="A1260" i="9"/>
  <c r="E1259" i="9"/>
  <c r="D1259" i="9"/>
  <c r="C1259" i="9"/>
  <c r="B1259" i="9"/>
  <c r="A1259" i="9"/>
  <c r="E1258" i="9"/>
  <c r="D1258" i="9"/>
  <c r="C1258" i="9"/>
  <c r="B1258" i="9"/>
  <c r="A1258" i="9"/>
  <c r="E1257" i="9"/>
  <c r="D1257" i="9"/>
  <c r="C1257" i="9"/>
  <c r="B1257" i="9"/>
  <c r="A1257" i="9"/>
  <c r="E1256" i="9"/>
  <c r="D1256" i="9"/>
  <c r="C1256" i="9"/>
  <c r="B1256" i="9"/>
  <c r="A1256" i="9"/>
  <c r="E1255" i="9"/>
  <c r="D1255" i="9"/>
  <c r="C1255" i="9"/>
  <c r="B1255" i="9"/>
  <c r="A1255" i="9"/>
  <c r="E1254" i="9"/>
  <c r="D1254" i="9"/>
  <c r="C1254" i="9"/>
  <c r="B1254" i="9"/>
  <c r="A1254" i="9"/>
  <c r="E1253" i="9"/>
  <c r="D1253" i="9"/>
  <c r="C1253" i="9"/>
  <c r="B1253" i="9"/>
  <c r="A1253" i="9"/>
  <c r="E1252" i="9"/>
  <c r="D1252" i="9"/>
  <c r="C1252" i="9"/>
  <c r="B1252" i="9"/>
  <c r="A1252" i="9"/>
  <c r="E1251" i="9"/>
  <c r="D1251" i="9"/>
  <c r="C1251" i="9"/>
  <c r="B1251" i="9"/>
  <c r="A1251" i="9"/>
  <c r="E1250" i="9"/>
  <c r="D1250" i="9"/>
  <c r="C1250" i="9"/>
  <c r="B1250" i="9"/>
  <c r="A1250" i="9"/>
  <c r="E1249" i="9"/>
  <c r="D1249" i="9"/>
  <c r="C1249" i="9"/>
  <c r="B1249" i="9"/>
  <c r="A1249" i="9"/>
  <c r="E1248" i="9"/>
  <c r="D1248" i="9"/>
  <c r="C1248" i="9"/>
  <c r="B1248" i="9"/>
  <c r="A1248" i="9"/>
  <c r="E1247" i="9"/>
  <c r="D1247" i="9"/>
  <c r="C1247" i="9"/>
  <c r="B1247" i="9"/>
  <c r="A1247" i="9"/>
  <c r="E1246" i="9"/>
  <c r="D1246" i="9"/>
  <c r="C1246" i="9"/>
  <c r="B1246" i="9"/>
  <c r="A1246" i="9"/>
  <c r="E1245" i="9"/>
  <c r="D1245" i="9"/>
  <c r="C1245" i="9"/>
  <c r="B1245" i="9"/>
  <c r="A1245" i="9"/>
  <c r="E1244" i="9"/>
  <c r="D1244" i="9"/>
  <c r="C1244" i="9"/>
  <c r="B1244" i="9"/>
  <c r="A1244" i="9"/>
  <c r="E1243" i="9"/>
  <c r="D1243" i="9"/>
  <c r="C1243" i="9"/>
  <c r="B1243" i="9"/>
  <c r="A1243" i="9"/>
  <c r="E1242" i="9"/>
  <c r="D1242" i="9"/>
  <c r="C1242" i="9"/>
  <c r="B1242" i="9"/>
  <c r="A1242" i="9"/>
  <c r="E1241" i="9"/>
  <c r="D1241" i="9"/>
  <c r="C1241" i="9"/>
  <c r="B1241" i="9"/>
  <c r="A1241" i="9"/>
  <c r="E1240" i="9"/>
  <c r="D1240" i="9"/>
  <c r="C1240" i="9"/>
  <c r="B1240" i="9"/>
  <c r="A1240" i="9"/>
  <c r="E1239" i="9"/>
  <c r="D1239" i="9"/>
  <c r="C1239" i="9"/>
  <c r="B1239" i="9"/>
  <c r="A1239" i="9"/>
  <c r="E1238" i="9"/>
  <c r="D1238" i="9"/>
  <c r="C1238" i="9"/>
  <c r="B1238" i="9"/>
  <c r="A1238" i="9"/>
  <c r="E1237" i="9"/>
  <c r="D1237" i="9"/>
  <c r="C1237" i="9"/>
  <c r="B1237" i="9"/>
  <c r="A1237" i="9"/>
  <c r="E1236" i="9"/>
  <c r="D1236" i="9"/>
  <c r="C1236" i="9"/>
  <c r="B1236" i="9"/>
  <c r="A1236" i="9"/>
  <c r="E1235" i="9"/>
  <c r="D1235" i="9"/>
  <c r="C1235" i="9"/>
  <c r="B1235" i="9"/>
  <c r="A1235" i="9"/>
  <c r="E1234" i="9"/>
  <c r="D1234" i="9"/>
  <c r="C1234" i="9"/>
  <c r="B1234" i="9"/>
  <c r="A1234" i="9"/>
  <c r="E1233" i="9"/>
  <c r="D1233" i="9"/>
  <c r="C1233" i="9"/>
  <c r="B1233" i="9"/>
  <c r="A1233" i="9"/>
  <c r="E1232" i="9"/>
  <c r="D1232" i="9"/>
  <c r="C1232" i="9"/>
  <c r="B1232" i="9"/>
  <c r="A1232" i="9"/>
  <c r="E1231" i="9"/>
  <c r="D1231" i="9"/>
  <c r="C1231" i="9"/>
  <c r="B1231" i="9"/>
  <c r="A1231" i="9"/>
  <c r="E1230" i="9"/>
  <c r="D1230" i="9"/>
  <c r="C1230" i="9"/>
  <c r="B1230" i="9"/>
  <c r="A1230" i="9"/>
  <c r="E1229" i="9"/>
  <c r="D1229" i="9"/>
  <c r="C1229" i="9"/>
  <c r="B1229" i="9"/>
  <c r="A1229" i="9"/>
  <c r="E1228" i="9"/>
  <c r="D1228" i="9"/>
  <c r="C1228" i="9"/>
  <c r="B1228" i="9"/>
  <c r="A1228" i="9"/>
  <c r="E1227" i="9"/>
  <c r="D1227" i="9"/>
  <c r="C1227" i="9"/>
  <c r="B1227" i="9"/>
  <c r="A1227" i="9"/>
  <c r="E1226" i="9"/>
  <c r="D1226" i="9"/>
  <c r="C1226" i="9"/>
  <c r="B1226" i="9"/>
  <c r="A1226" i="9"/>
  <c r="E1225" i="9"/>
  <c r="D1225" i="9"/>
  <c r="C1225" i="9"/>
  <c r="B1225" i="9"/>
  <c r="A1225" i="9"/>
  <c r="E1224" i="9"/>
  <c r="D1224" i="9"/>
  <c r="C1224" i="9"/>
  <c r="B1224" i="9"/>
  <c r="A1224" i="9"/>
  <c r="E1223" i="9"/>
  <c r="D1223" i="9"/>
  <c r="C1223" i="9"/>
  <c r="B1223" i="9"/>
  <c r="A1223" i="9"/>
  <c r="E1222" i="9"/>
  <c r="D1222" i="9"/>
  <c r="C1222" i="9"/>
  <c r="B1222" i="9"/>
  <c r="A1222" i="9"/>
  <c r="E1221" i="9"/>
  <c r="D1221" i="9"/>
  <c r="C1221" i="9"/>
  <c r="B1221" i="9"/>
  <c r="A1221" i="9"/>
  <c r="E1220" i="9"/>
  <c r="D1220" i="9"/>
  <c r="C1220" i="9"/>
  <c r="B1220" i="9"/>
  <c r="A1220" i="9"/>
  <c r="E1219" i="9"/>
  <c r="D1219" i="9"/>
  <c r="C1219" i="9"/>
  <c r="B1219" i="9"/>
  <c r="A1219" i="9"/>
  <c r="E1218" i="9"/>
  <c r="D1218" i="9"/>
  <c r="C1218" i="9"/>
  <c r="B1218" i="9"/>
  <c r="A1218" i="9"/>
  <c r="E1217" i="9"/>
  <c r="D1217" i="9"/>
  <c r="C1217" i="9"/>
  <c r="B1217" i="9"/>
  <c r="A1217" i="9"/>
  <c r="E1216" i="9"/>
  <c r="D1216" i="9"/>
  <c r="C1216" i="9"/>
  <c r="B1216" i="9"/>
  <c r="A1216" i="9"/>
  <c r="E1215" i="9"/>
  <c r="D1215" i="9"/>
  <c r="C1215" i="9"/>
  <c r="B1215" i="9"/>
  <c r="A1215" i="9"/>
  <c r="E1214" i="9"/>
  <c r="D1214" i="9"/>
  <c r="C1214" i="9"/>
  <c r="B1214" i="9"/>
  <c r="A1214" i="9"/>
  <c r="E1213" i="9"/>
  <c r="D1213" i="9"/>
  <c r="C1213" i="9"/>
  <c r="B1213" i="9"/>
  <c r="A1213" i="9"/>
  <c r="E1212" i="9"/>
  <c r="D1212" i="9"/>
  <c r="C1212" i="9"/>
  <c r="B1212" i="9"/>
  <c r="A1212" i="9"/>
  <c r="E1211" i="9"/>
  <c r="D1211" i="9"/>
  <c r="C1211" i="9"/>
  <c r="B1211" i="9"/>
  <c r="A1211" i="9"/>
  <c r="E1210" i="9"/>
  <c r="D1210" i="9"/>
  <c r="C1210" i="9"/>
  <c r="B1210" i="9"/>
  <c r="A1210" i="9"/>
  <c r="E1209" i="9"/>
  <c r="D1209" i="9"/>
  <c r="C1209" i="9"/>
  <c r="B1209" i="9"/>
  <c r="A1209" i="9"/>
  <c r="E1208" i="9"/>
  <c r="D1208" i="9"/>
  <c r="C1208" i="9"/>
  <c r="B1208" i="9"/>
  <c r="A1208" i="9"/>
  <c r="E1207" i="9"/>
  <c r="D1207" i="9"/>
  <c r="C1207" i="9"/>
  <c r="B1207" i="9"/>
  <c r="A1207" i="9"/>
  <c r="E1206" i="9"/>
  <c r="D1206" i="9"/>
  <c r="C1206" i="9"/>
  <c r="B1206" i="9"/>
  <c r="A1206" i="9"/>
  <c r="E1205" i="9"/>
  <c r="D1205" i="9"/>
  <c r="C1205" i="9"/>
  <c r="B1205" i="9"/>
  <c r="A1205" i="9"/>
  <c r="E1204" i="9"/>
  <c r="D1204" i="9"/>
  <c r="C1204" i="9"/>
  <c r="B1204" i="9"/>
  <c r="A1204" i="9"/>
  <c r="E1203" i="9"/>
  <c r="D1203" i="9"/>
  <c r="C1203" i="9"/>
  <c r="B1203" i="9"/>
  <c r="A1203" i="9"/>
  <c r="E1202" i="9"/>
  <c r="D1202" i="9"/>
  <c r="C1202" i="9"/>
  <c r="B1202" i="9"/>
  <c r="A1202" i="9"/>
  <c r="E1201" i="9"/>
  <c r="D1201" i="9"/>
  <c r="C1201" i="9"/>
  <c r="B1201" i="9"/>
  <c r="A1201" i="9"/>
  <c r="E1200" i="9"/>
  <c r="D1200" i="9"/>
  <c r="C1200" i="9"/>
  <c r="B1200" i="9"/>
  <c r="A1200" i="9"/>
  <c r="E1199" i="9"/>
  <c r="D1199" i="9"/>
  <c r="C1199" i="9"/>
  <c r="B1199" i="9"/>
  <c r="A1199" i="9"/>
  <c r="E1198" i="9"/>
  <c r="D1198" i="9"/>
  <c r="C1198" i="9"/>
  <c r="B1198" i="9"/>
  <c r="A1198" i="9"/>
  <c r="E1197" i="9"/>
  <c r="D1197" i="9"/>
  <c r="C1197" i="9"/>
  <c r="B1197" i="9"/>
  <c r="A1197" i="9"/>
  <c r="E1196" i="9"/>
  <c r="D1196" i="9"/>
  <c r="C1196" i="9"/>
  <c r="B1196" i="9"/>
  <c r="A1196" i="9"/>
  <c r="E1195" i="9"/>
  <c r="D1195" i="9"/>
  <c r="C1195" i="9"/>
  <c r="B1195" i="9"/>
  <c r="A1195" i="9"/>
  <c r="E1194" i="9"/>
  <c r="D1194" i="9"/>
  <c r="C1194" i="9"/>
  <c r="B1194" i="9"/>
  <c r="A1194" i="9"/>
  <c r="E1193" i="9"/>
  <c r="D1193" i="9"/>
  <c r="C1193" i="9"/>
  <c r="B1193" i="9"/>
  <c r="A1193" i="9"/>
  <c r="E1192" i="9"/>
  <c r="D1192" i="9"/>
  <c r="C1192" i="9"/>
  <c r="B1192" i="9"/>
  <c r="A1192" i="9"/>
  <c r="E1191" i="9"/>
  <c r="D1191" i="9"/>
  <c r="C1191" i="9"/>
  <c r="B1191" i="9"/>
  <c r="A1191" i="9"/>
  <c r="E1190" i="9"/>
  <c r="D1190" i="9"/>
  <c r="C1190" i="9"/>
  <c r="B1190" i="9"/>
  <c r="A1190" i="9"/>
  <c r="E1189" i="9"/>
  <c r="D1189" i="9"/>
  <c r="C1189" i="9"/>
  <c r="B1189" i="9"/>
  <c r="A1189" i="9"/>
  <c r="E1188" i="9"/>
  <c r="D1188" i="9"/>
  <c r="C1188" i="9"/>
  <c r="B1188" i="9"/>
  <c r="A1188" i="9"/>
  <c r="E1187" i="9"/>
  <c r="D1187" i="9"/>
  <c r="C1187" i="9"/>
  <c r="B1187" i="9"/>
  <c r="A1187" i="9"/>
  <c r="E1186" i="9"/>
  <c r="D1186" i="9"/>
  <c r="C1186" i="9"/>
  <c r="B1186" i="9"/>
  <c r="A1186" i="9"/>
  <c r="E1185" i="9"/>
  <c r="D1185" i="9"/>
  <c r="C1185" i="9"/>
  <c r="B1185" i="9"/>
  <c r="A1185" i="9"/>
  <c r="E1184" i="9"/>
  <c r="D1184" i="9"/>
  <c r="C1184" i="9"/>
  <c r="B1184" i="9"/>
  <c r="A1184" i="9"/>
  <c r="E1183" i="9"/>
  <c r="D1183" i="9"/>
  <c r="C1183" i="9"/>
  <c r="B1183" i="9"/>
  <c r="A1183" i="9"/>
  <c r="E1182" i="9"/>
  <c r="D1182" i="9"/>
  <c r="C1182" i="9"/>
  <c r="B1182" i="9"/>
  <c r="A1182" i="9"/>
  <c r="E1181" i="9"/>
  <c r="D1181" i="9"/>
  <c r="C1181" i="9"/>
  <c r="B1181" i="9"/>
  <c r="A1181" i="9"/>
  <c r="E1180" i="9"/>
  <c r="D1180" i="9"/>
  <c r="C1180" i="9"/>
  <c r="B1180" i="9"/>
  <c r="A1180" i="9"/>
  <c r="E1179" i="9"/>
  <c r="D1179" i="9"/>
  <c r="C1179" i="9"/>
  <c r="B1179" i="9"/>
  <c r="A1179" i="9"/>
  <c r="E1178" i="9"/>
  <c r="D1178" i="9"/>
  <c r="C1178" i="9"/>
  <c r="B1178" i="9"/>
  <c r="A1178" i="9"/>
  <c r="E1177" i="9"/>
  <c r="D1177" i="9"/>
  <c r="C1177" i="9"/>
  <c r="B1177" i="9"/>
  <c r="A1177" i="9"/>
  <c r="E1176" i="9"/>
  <c r="D1176" i="9"/>
  <c r="C1176" i="9"/>
  <c r="B1176" i="9"/>
  <c r="A1176" i="9"/>
  <c r="E1175" i="9"/>
  <c r="D1175" i="9"/>
  <c r="C1175" i="9"/>
  <c r="B1175" i="9"/>
  <c r="A1175" i="9"/>
  <c r="E1174" i="9"/>
  <c r="D1174" i="9"/>
  <c r="C1174" i="9"/>
  <c r="B1174" i="9"/>
  <c r="A1174" i="9"/>
  <c r="E1173" i="9"/>
  <c r="D1173" i="9"/>
  <c r="C1173" i="9"/>
  <c r="B1173" i="9"/>
  <c r="A1173" i="9"/>
  <c r="E1172" i="9"/>
  <c r="D1172" i="9"/>
  <c r="C1172" i="9"/>
  <c r="B1172" i="9"/>
  <c r="A1172" i="9"/>
  <c r="E1171" i="9"/>
  <c r="D1171" i="9"/>
  <c r="C1171" i="9"/>
  <c r="B1171" i="9"/>
  <c r="A1171" i="9"/>
  <c r="E1170" i="9"/>
  <c r="D1170" i="9"/>
  <c r="C1170" i="9"/>
  <c r="B1170" i="9"/>
  <c r="A1170" i="9"/>
  <c r="E1169" i="9"/>
  <c r="D1169" i="9"/>
  <c r="C1169" i="9"/>
  <c r="B1169" i="9"/>
  <c r="A1169" i="9"/>
  <c r="E1168" i="9"/>
  <c r="D1168" i="9"/>
  <c r="C1168" i="9"/>
  <c r="B1168" i="9"/>
  <c r="A1168" i="9"/>
  <c r="E1167" i="9"/>
  <c r="D1167" i="9"/>
  <c r="C1167" i="9"/>
  <c r="B1167" i="9"/>
  <c r="A1167" i="9"/>
  <c r="E1166" i="9"/>
  <c r="D1166" i="9"/>
  <c r="C1166" i="9"/>
  <c r="B1166" i="9"/>
  <c r="A1166" i="9"/>
  <c r="E1165" i="9"/>
  <c r="D1165" i="9"/>
  <c r="C1165" i="9"/>
  <c r="B1165" i="9"/>
  <c r="A1165" i="9"/>
  <c r="E1164" i="9"/>
  <c r="D1164" i="9"/>
  <c r="C1164" i="9"/>
  <c r="B1164" i="9"/>
  <c r="A1164" i="9"/>
  <c r="E1163" i="9"/>
  <c r="D1163" i="9"/>
  <c r="C1163" i="9"/>
  <c r="B1163" i="9"/>
  <c r="A1163" i="9"/>
  <c r="E1162" i="9"/>
  <c r="D1162" i="9"/>
  <c r="C1162" i="9"/>
  <c r="B1162" i="9"/>
  <c r="A1162" i="9"/>
  <c r="E1161" i="9"/>
  <c r="D1161" i="9"/>
  <c r="C1161" i="9"/>
  <c r="B1161" i="9"/>
  <c r="A1161" i="9"/>
  <c r="E1160" i="9"/>
  <c r="D1160" i="9"/>
  <c r="C1160" i="9"/>
  <c r="B1160" i="9"/>
  <c r="A1160" i="9"/>
  <c r="E1159" i="9"/>
  <c r="D1159" i="9"/>
  <c r="C1159" i="9"/>
  <c r="B1159" i="9"/>
  <c r="A1159" i="9"/>
  <c r="E1158" i="9"/>
  <c r="D1158" i="9"/>
  <c r="C1158" i="9"/>
  <c r="B1158" i="9"/>
  <c r="A1158" i="9"/>
  <c r="E1157" i="9"/>
  <c r="D1157" i="9"/>
  <c r="C1157" i="9"/>
  <c r="B1157" i="9"/>
  <c r="A1157" i="9"/>
  <c r="E1156" i="9"/>
  <c r="D1156" i="9"/>
  <c r="C1156" i="9"/>
  <c r="B1156" i="9"/>
  <c r="A1156" i="9"/>
  <c r="E1155" i="9"/>
  <c r="D1155" i="9"/>
  <c r="C1155" i="9"/>
  <c r="B1155" i="9"/>
  <c r="A1155" i="9"/>
  <c r="E1154" i="9"/>
  <c r="D1154" i="9"/>
  <c r="C1154" i="9"/>
  <c r="B1154" i="9"/>
  <c r="A1154" i="9"/>
  <c r="E1153" i="9"/>
  <c r="D1153" i="9"/>
  <c r="C1153" i="9"/>
  <c r="B1153" i="9"/>
  <c r="A1153" i="9"/>
  <c r="E1152" i="9"/>
  <c r="D1152" i="9"/>
  <c r="C1152" i="9"/>
  <c r="B1152" i="9"/>
  <c r="A1152" i="9"/>
  <c r="E1151" i="9"/>
  <c r="D1151" i="9"/>
  <c r="C1151" i="9"/>
  <c r="B1151" i="9"/>
  <c r="A1151" i="9"/>
  <c r="E1150" i="9"/>
  <c r="D1150" i="9"/>
  <c r="C1150" i="9"/>
  <c r="B1150" i="9"/>
  <c r="A1150" i="9"/>
  <c r="E1149" i="9"/>
  <c r="D1149" i="9"/>
  <c r="C1149" i="9"/>
  <c r="B1149" i="9"/>
  <c r="A1149" i="9"/>
  <c r="E1148" i="9"/>
  <c r="D1148" i="9"/>
  <c r="C1148" i="9"/>
  <c r="B1148" i="9"/>
  <c r="A1148" i="9"/>
  <c r="E1147" i="9"/>
  <c r="D1147" i="9"/>
  <c r="C1147" i="9"/>
  <c r="B1147" i="9"/>
  <c r="A1147" i="9"/>
  <c r="E1146" i="9"/>
  <c r="D1146" i="9"/>
  <c r="C1146" i="9"/>
  <c r="B1146" i="9"/>
  <c r="A1146" i="9"/>
  <c r="E1145" i="9"/>
  <c r="D1145" i="9"/>
  <c r="C1145" i="9"/>
  <c r="B1145" i="9"/>
  <c r="A1145" i="9"/>
  <c r="E1144" i="9"/>
  <c r="D1144" i="9"/>
  <c r="C1144" i="9"/>
  <c r="B1144" i="9"/>
  <c r="A1144" i="9"/>
  <c r="E1143" i="9"/>
  <c r="D1143" i="9"/>
  <c r="C1143" i="9"/>
  <c r="B1143" i="9"/>
  <c r="A1143" i="9"/>
  <c r="E1142" i="9"/>
  <c r="D1142" i="9"/>
  <c r="C1142" i="9"/>
  <c r="B1142" i="9"/>
  <c r="A1142" i="9"/>
  <c r="E1141" i="9"/>
  <c r="D1141" i="9"/>
  <c r="C1141" i="9"/>
  <c r="B1141" i="9"/>
  <c r="A1141" i="9"/>
  <c r="E1140" i="9"/>
  <c r="D1140" i="9"/>
  <c r="C1140" i="9"/>
  <c r="B1140" i="9"/>
  <c r="A1140" i="9"/>
  <c r="E1139" i="9"/>
  <c r="D1139" i="9"/>
  <c r="C1139" i="9"/>
  <c r="B1139" i="9"/>
  <c r="A1139" i="9"/>
  <c r="E1138" i="9"/>
  <c r="D1138" i="9"/>
  <c r="C1138" i="9"/>
  <c r="B1138" i="9"/>
  <c r="A1138" i="9"/>
  <c r="E1137" i="9"/>
  <c r="D1137" i="9"/>
  <c r="C1137" i="9"/>
  <c r="B1137" i="9"/>
  <c r="A1137" i="9"/>
  <c r="E1136" i="9"/>
  <c r="D1136" i="9"/>
  <c r="C1136" i="9"/>
  <c r="B1136" i="9"/>
  <c r="A1136" i="9"/>
  <c r="E1135" i="9"/>
  <c r="D1135" i="9"/>
  <c r="C1135" i="9"/>
  <c r="B1135" i="9"/>
  <c r="A1135" i="9"/>
  <c r="E1134" i="9"/>
  <c r="D1134" i="9"/>
  <c r="C1134" i="9"/>
  <c r="B1134" i="9"/>
  <c r="A1134" i="9"/>
  <c r="E1133" i="9"/>
  <c r="D1133" i="9"/>
  <c r="C1133" i="9"/>
  <c r="B1133" i="9"/>
  <c r="A1133" i="9"/>
  <c r="E1132" i="9"/>
  <c r="D1132" i="9"/>
  <c r="C1132" i="9"/>
  <c r="B1132" i="9"/>
  <c r="A1132" i="9"/>
  <c r="E1131" i="9"/>
  <c r="D1131" i="9"/>
  <c r="C1131" i="9"/>
  <c r="B1131" i="9"/>
  <c r="A1131" i="9"/>
  <c r="E1130" i="9"/>
  <c r="D1130" i="9"/>
  <c r="C1130" i="9"/>
  <c r="B1130" i="9"/>
  <c r="A1130" i="9"/>
  <c r="E1129" i="9"/>
  <c r="D1129" i="9"/>
  <c r="C1129" i="9"/>
  <c r="B1129" i="9"/>
  <c r="A1129" i="9"/>
  <c r="E1128" i="9"/>
  <c r="D1128" i="9"/>
  <c r="C1128" i="9"/>
  <c r="B1128" i="9"/>
  <c r="A1128" i="9"/>
  <c r="E1127" i="9"/>
  <c r="D1127" i="9"/>
  <c r="C1127" i="9"/>
  <c r="B1127" i="9"/>
  <c r="A1127" i="9"/>
  <c r="E1126" i="9"/>
  <c r="D1126" i="9"/>
  <c r="C1126" i="9"/>
  <c r="B1126" i="9"/>
  <c r="A1126" i="9"/>
  <c r="E1125" i="9"/>
  <c r="D1125" i="9"/>
  <c r="C1125" i="9"/>
  <c r="B1125" i="9"/>
  <c r="A1125" i="9"/>
  <c r="E1124" i="9"/>
  <c r="D1124" i="9"/>
  <c r="C1124" i="9"/>
  <c r="B1124" i="9"/>
  <c r="A1124" i="9"/>
  <c r="E1123" i="9"/>
  <c r="D1123" i="9"/>
  <c r="C1123" i="9"/>
  <c r="B1123" i="9"/>
  <c r="A1123" i="9"/>
  <c r="E1122" i="9"/>
  <c r="D1122" i="9"/>
  <c r="C1122" i="9"/>
  <c r="B1122" i="9"/>
  <c r="A1122" i="9"/>
  <c r="E1121" i="9"/>
  <c r="D1121" i="9"/>
  <c r="C1121" i="9"/>
  <c r="B1121" i="9"/>
  <c r="A1121" i="9"/>
  <c r="E1120" i="9"/>
  <c r="D1120" i="9"/>
  <c r="C1120" i="9"/>
  <c r="B1120" i="9"/>
  <c r="A1120" i="9"/>
  <c r="E1119" i="9"/>
  <c r="D1119" i="9"/>
  <c r="C1119" i="9"/>
  <c r="B1119" i="9"/>
  <c r="A1119" i="9"/>
  <c r="E1118" i="9"/>
  <c r="D1118" i="9"/>
  <c r="C1118" i="9"/>
  <c r="B1118" i="9"/>
  <c r="A1118" i="9"/>
  <c r="E1117" i="9"/>
  <c r="D1117" i="9"/>
  <c r="C1117" i="9"/>
  <c r="B1117" i="9"/>
  <c r="A1117" i="9"/>
  <c r="E1116" i="9"/>
  <c r="D1116" i="9"/>
  <c r="C1116" i="9"/>
  <c r="B1116" i="9"/>
  <c r="A1116" i="9"/>
  <c r="E1115" i="9"/>
  <c r="D1115" i="9"/>
  <c r="C1115" i="9"/>
  <c r="B1115" i="9"/>
  <c r="A1115" i="9"/>
  <c r="E1114" i="9"/>
  <c r="D1114" i="9"/>
  <c r="C1114" i="9"/>
  <c r="B1114" i="9"/>
  <c r="A1114" i="9"/>
  <c r="E1113" i="9"/>
  <c r="D1113" i="9"/>
  <c r="C1113" i="9"/>
  <c r="B1113" i="9"/>
  <c r="A1113" i="9"/>
  <c r="E1112" i="9"/>
  <c r="D1112" i="9"/>
  <c r="C1112" i="9"/>
  <c r="B1112" i="9"/>
  <c r="A1112" i="9"/>
  <c r="E1111" i="9"/>
  <c r="D1111" i="9"/>
  <c r="C1111" i="9"/>
  <c r="B1111" i="9"/>
  <c r="A1111" i="9"/>
  <c r="E1110" i="9"/>
  <c r="D1110" i="9"/>
  <c r="C1110" i="9"/>
  <c r="B1110" i="9"/>
  <c r="A1110" i="9"/>
  <c r="E1109" i="9"/>
  <c r="D1109" i="9"/>
  <c r="C1109" i="9"/>
  <c r="B1109" i="9"/>
  <c r="A1109" i="9"/>
  <c r="E1108" i="9"/>
  <c r="D1108" i="9"/>
  <c r="C1108" i="9"/>
  <c r="B1108" i="9"/>
  <c r="A1108" i="9"/>
  <c r="E1107" i="9"/>
  <c r="D1107" i="9"/>
  <c r="C1107" i="9"/>
  <c r="B1107" i="9"/>
  <c r="A1107" i="9"/>
  <c r="E1106" i="9"/>
  <c r="D1106" i="9"/>
  <c r="C1106" i="9"/>
  <c r="B1106" i="9"/>
  <c r="A1106" i="9"/>
  <c r="E1105" i="9"/>
  <c r="D1105" i="9"/>
  <c r="C1105" i="9"/>
  <c r="B1105" i="9"/>
  <c r="A1105" i="9"/>
  <c r="E1104" i="9"/>
  <c r="D1104" i="9"/>
  <c r="C1104" i="9"/>
  <c r="B1104" i="9"/>
  <c r="A1104" i="9"/>
  <c r="E1103" i="9"/>
  <c r="D1103" i="9"/>
  <c r="C1103" i="9"/>
  <c r="B1103" i="9"/>
  <c r="A1103" i="9"/>
  <c r="E1102" i="9"/>
  <c r="D1102" i="9"/>
  <c r="C1102" i="9"/>
  <c r="B1102" i="9"/>
  <c r="A1102" i="9"/>
  <c r="E1101" i="9"/>
  <c r="D1101" i="9"/>
  <c r="C1101" i="9"/>
  <c r="B1101" i="9"/>
  <c r="A1101" i="9"/>
  <c r="E1100" i="9"/>
  <c r="D1100" i="9"/>
  <c r="C1100" i="9"/>
  <c r="B1100" i="9"/>
  <c r="A1100" i="9"/>
  <c r="E1099" i="9"/>
  <c r="D1099" i="9"/>
  <c r="C1099" i="9"/>
  <c r="B1099" i="9"/>
  <c r="A1099" i="9"/>
  <c r="E1098" i="9"/>
  <c r="D1098" i="9"/>
  <c r="C1098" i="9"/>
  <c r="B1098" i="9"/>
  <c r="A1098" i="9"/>
  <c r="E1097" i="9"/>
  <c r="D1097" i="9"/>
  <c r="C1097" i="9"/>
  <c r="B1097" i="9"/>
  <c r="A1097" i="9"/>
  <c r="E1096" i="9"/>
  <c r="D1096" i="9"/>
  <c r="C1096" i="9"/>
  <c r="B1096" i="9"/>
  <c r="A1096" i="9"/>
  <c r="E1095" i="9"/>
  <c r="D1095" i="9"/>
  <c r="C1095" i="9"/>
  <c r="B1095" i="9"/>
  <c r="A1095" i="9"/>
  <c r="E1094" i="9"/>
  <c r="D1094" i="9"/>
  <c r="C1094" i="9"/>
  <c r="B1094" i="9"/>
  <c r="A1094" i="9"/>
  <c r="E1093" i="9"/>
  <c r="D1093" i="9"/>
  <c r="C1093" i="9"/>
  <c r="B1093" i="9"/>
  <c r="A1093" i="9"/>
  <c r="E1092" i="9"/>
  <c r="D1092" i="9"/>
  <c r="C1092" i="9"/>
  <c r="B1092" i="9"/>
  <c r="A1092" i="9"/>
  <c r="E1091" i="9"/>
  <c r="D1091" i="9"/>
  <c r="C1091" i="9"/>
  <c r="B1091" i="9"/>
  <c r="A1091" i="9"/>
  <c r="E1090" i="9"/>
  <c r="D1090" i="9"/>
  <c r="C1090" i="9"/>
  <c r="B1090" i="9"/>
  <c r="A1090" i="9"/>
  <c r="E1089" i="9"/>
  <c r="D1089" i="9"/>
  <c r="C1089" i="9"/>
  <c r="B1089" i="9"/>
  <c r="A1089" i="9"/>
  <c r="E1088" i="9"/>
  <c r="D1088" i="9"/>
  <c r="C1088" i="9"/>
  <c r="B1088" i="9"/>
  <c r="A1088" i="9"/>
  <c r="E1087" i="9"/>
  <c r="D1087" i="9"/>
  <c r="C1087" i="9"/>
  <c r="B1087" i="9"/>
  <c r="A1087" i="9"/>
  <c r="E1086" i="9"/>
  <c r="D1086" i="9"/>
  <c r="C1086" i="9"/>
  <c r="B1086" i="9"/>
  <c r="A1086" i="9"/>
  <c r="E1085" i="9"/>
  <c r="D1085" i="9"/>
  <c r="C1085" i="9"/>
  <c r="B1085" i="9"/>
  <c r="A1085" i="9"/>
  <c r="E1084" i="9"/>
  <c r="D1084" i="9"/>
  <c r="C1084" i="9"/>
  <c r="B1084" i="9"/>
  <c r="A1084" i="9"/>
  <c r="E1083" i="9"/>
  <c r="D1083" i="9"/>
  <c r="C1083" i="9"/>
  <c r="B1083" i="9"/>
  <c r="A1083" i="9"/>
  <c r="E1082" i="9"/>
  <c r="D1082" i="9"/>
  <c r="C1082" i="9"/>
  <c r="B1082" i="9"/>
  <c r="A1082" i="9"/>
  <c r="E1081" i="9"/>
  <c r="D1081" i="9"/>
  <c r="C1081" i="9"/>
  <c r="B1081" i="9"/>
  <c r="A1081" i="9"/>
  <c r="E1080" i="9"/>
  <c r="D1080" i="9"/>
  <c r="C1080" i="9"/>
  <c r="B1080" i="9"/>
  <c r="A1080" i="9"/>
  <c r="E1079" i="9"/>
  <c r="D1079" i="9"/>
  <c r="C1079" i="9"/>
  <c r="B1079" i="9"/>
  <c r="A1079" i="9"/>
  <c r="E1078" i="9"/>
  <c r="D1078" i="9"/>
  <c r="C1078" i="9"/>
  <c r="B1078" i="9"/>
  <c r="A1078" i="9"/>
  <c r="E1077" i="9"/>
  <c r="D1077" i="9"/>
  <c r="C1077" i="9"/>
  <c r="B1077" i="9"/>
  <c r="A1077" i="9"/>
  <c r="E1076" i="9"/>
  <c r="D1076" i="9"/>
  <c r="C1076" i="9"/>
  <c r="B1076" i="9"/>
  <c r="A1076" i="9"/>
  <c r="E1075" i="9"/>
  <c r="D1075" i="9"/>
  <c r="C1075" i="9"/>
  <c r="B1075" i="9"/>
  <c r="A1075" i="9"/>
  <c r="E1074" i="9"/>
  <c r="D1074" i="9"/>
  <c r="C1074" i="9"/>
  <c r="B1074" i="9"/>
  <c r="A1074" i="9"/>
  <c r="E1073" i="9"/>
  <c r="D1073" i="9"/>
  <c r="C1073" i="9"/>
  <c r="B1073" i="9"/>
  <c r="A1073" i="9"/>
  <c r="E1072" i="9"/>
  <c r="D1072" i="9"/>
  <c r="C1072" i="9"/>
  <c r="B1072" i="9"/>
  <c r="A1072" i="9"/>
  <c r="E1071" i="9"/>
  <c r="D1071" i="9"/>
  <c r="C1071" i="9"/>
  <c r="B1071" i="9"/>
  <c r="A1071" i="9"/>
  <c r="E1070" i="9"/>
  <c r="D1070" i="9"/>
  <c r="C1070" i="9"/>
  <c r="B1070" i="9"/>
  <c r="A1070" i="9"/>
  <c r="E1069" i="9"/>
  <c r="D1069" i="9"/>
  <c r="C1069" i="9"/>
  <c r="B1069" i="9"/>
  <c r="A1069" i="9"/>
  <c r="E1068" i="9"/>
  <c r="D1068" i="9"/>
  <c r="C1068" i="9"/>
  <c r="B1068" i="9"/>
  <c r="A1068" i="9"/>
  <c r="E1067" i="9"/>
  <c r="D1067" i="9"/>
  <c r="C1067" i="9"/>
  <c r="B1067" i="9"/>
  <c r="A1067" i="9"/>
  <c r="E1066" i="9"/>
  <c r="D1066" i="9"/>
  <c r="C1066" i="9"/>
  <c r="B1066" i="9"/>
  <c r="A1066" i="9"/>
  <c r="E1065" i="9"/>
  <c r="D1065" i="9"/>
  <c r="C1065" i="9"/>
  <c r="B1065" i="9"/>
  <c r="A1065" i="9"/>
  <c r="E1064" i="9"/>
  <c r="D1064" i="9"/>
  <c r="C1064" i="9"/>
  <c r="B1064" i="9"/>
  <c r="A1064" i="9"/>
  <c r="E1063" i="9"/>
  <c r="D1063" i="9"/>
  <c r="C1063" i="9"/>
  <c r="B1063" i="9"/>
  <c r="A1063" i="9"/>
  <c r="E1062" i="9"/>
  <c r="D1062" i="9"/>
  <c r="C1062" i="9"/>
  <c r="B1062" i="9"/>
  <c r="A1062" i="9"/>
  <c r="E1061" i="9"/>
  <c r="D1061" i="9"/>
  <c r="C1061" i="9"/>
  <c r="B1061" i="9"/>
  <c r="A1061" i="9"/>
  <c r="E1060" i="9"/>
  <c r="D1060" i="9"/>
  <c r="C1060" i="9"/>
  <c r="B1060" i="9"/>
  <c r="A1060" i="9"/>
  <c r="E1059" i="9"/>
  <c r="D1059" i="9"/>
  <c r="C1059" i="9"/>
  <c r="B1059" i="9"/>
  <c r="A1059" i="9"/>
  <c r="E1058" i="9"/>
  <c r="D1058" i="9"/>
  <c r="C1058" i="9"/>
  <c r="B1058" i="9"/>
  <c r="A1058" i="9"/>
  <c r="E1057" i="9"/>
  <c r="D1057" i="9"/>
  <c r="C1057" i="9"/>
  <c r="B1057" i="9"/>
  <c r="A1057" i="9"/>
  <c r="E1056" i="9"/>
  <c r="D1056" i="9"/>
  <c r="C1056" i="9"/>
  <c r="B1056" i="9"/>
  <c r="A1056" i="9"/>
  <c r="E1055" i="9"/>
  <c r="D1055" i="9"/>
  <c r="C1055" i="9"/>
  <c r="B1055" i="9"/>
  <c r="A1055" i="9"/>
  <c r="E1054" i="9"/>
  <c r="D1054" i="9"/>
  <c r="C1054" i="9"/>
  <c r="B1054" i="9"/>
  <c r="A1054" i="9"/>
  <c r="E1053" i="9"/>
  <c r="D1053" i="9"/>
  <c r="C1053" i="9"/>
  <c r="B1053" i="9"/>
  <c r="A1053" i="9"/>
  <c r="E1052" i="9"/>
  <c r="D1052" i="9"/>
  <c r="C1052" i="9"/>
  <c r="B1052" i="9"/>
  <c r="A1052" i="9"/>
  <c r="E1051" i="9"/>
  <c r="D1051" i="9"/>
  <c r="C1051" i="9"/>
  <c r="B1051" i="9"/>
  <c r="A1051" i="9"/>
  <c r="E1050" i="9"/>
  <c r="D1050" i="9"/>
  <c r="C1050" i="9"/>
  <c r="B1050" i="9"/>
  <c r="A1050" i="9"/>
  <c r="E1049" i="9"/>
  <c r="D1049" i="9"/>
  <c r="C1049" i="9"/>
  <c r="B1049" i="9"/>
  <c r="A1049" i="9"/>
  <c r="E1048" i="9"/>
  <c r="D1048" i="9"/>
  <c r="C1048" i="9"/>
  <c r="B1048" i="9"/>
  <c r="A1048" i="9"/>
  <c r="E1047" i="9"/>
  <c r="D1047" i="9"/>
  <c r="C1047" i="9"/>
  <c r="B1047" i="9"/>
  <c r="A1047" i="9"/>
  <c r="E1046" i="9"/>
  <c r="D1046" i="9"/>
  <c r="C1046" i="9"/>
  <c r="B1046" i="9"/>
  <c r="A1046" i="9"/>
  <c r="E1045" i="9"/>
  <c r="D1045" i="9"/>
  <c r="C1045" i="9"/>
  <c r="B1045" i="9"/>
  <c r="A1045" i="9"/>
  <c r="E1044" i="9"/>
  <c r="D1044" i="9"/>
  <c r="C1044" i="9"/>
  <c r="B1044" i="9"/>
  <c r="A1044" i="9"/>
  <c r="E1043" i="9"/>
  <c r="D1043" i="9"/>
  <c r="C1043" i="9"/>
  <c r="B1043" i="9"/>
  <c r="A1043" i="9"/>
  <c r="E1042" i="9"/>
  <c r="D1042" i="9"/>
  <c r="C1042" i="9"/>
  <c r="B1042" i="9"/>
  <c r="A1042" i="9"/>
  <c r="E1041" i="9"/>
  <c r="D1041" i="9"/>
  <c r="C1041" i="9"/>
  <c r="B1041" i="9"/>
  <c r="A1041" i="9"/>
  <c r="E1040" i="9"/>
  <c r="D1040" i="9"/>
  <c r="C1040" i="9"/>
  <c r="B1040" i="9"/>
  <c r="A1040" i="9"/>
  <c r="E1039" i="9"/>
  <c r="D1039" i="9"/>
  <c r="C1039" i="9"/>
  <c r="B1039" i="9"/>
  <c r="A1039" i="9"/>
  <c r="E1038" i="9"/>
  <c r="D1038" i="9"/>
  <c r="C1038" i="9"/>
  <c r="B1038" i="9"/>
  <c r="A1038" i="9"/>
  <c r="E1037" i="9"/>
  <c r="D1037" i="9"/>
  <c r="C1037" i="9"/>
  <c r="B1037" i="9"/>
  <c r="A1037" i="9"/>
  <c r="E1036" i="9"/>
  <c r="D1036" i="9"/>
  <c r="C1036" i="9"/>
  <c r="B1036" i="9"/>
  <c r="A1036" i="9"/>
  <c r="E1035" i="9"/>
  <c r="D1035" i="9"/>
  <c r="C1035" i="9"/>
  <c r="B1035" i="9"/>
  <c r="A1035" i="9"/>
  <c r="E1034" i="9"/>
  <c r="D1034" i="9"/>
  <c r="C1034" i="9"/>
  <c r="B1034" i="9"/>
  <c r="A1034" i="9"/>
  <c r="E1033" i="9"/>
  <c r="D1033" i="9"/>
  <c r="C1033" i="9"/>
  <c r="B1033" i="9"/>
  <c r="A1033" i="9"/>
  <c r="E1032" i="9"/>
  <c r="D1032" i="9"/>
  <c r="C1032" i="9"/>
  <c r="B1032" i="9"/>
  <c r="A1032" i="9"/>
  <c r="E1031" i="9"/>
  <c r="D1031" i="9"/>
  <c r="C1031" i="9"/>
  <c r="B1031" i="9"/>
  <c r="A1031" i="9"/>
  <c r="E1030" i="9"/>
  <c r="D1030" i="9"/>
  <c r="C1030" i="9"/>
  <c r="B1030" i="9"/>
  <c r="A1030" i="9"/>
  <c r="E1029" i="9"/>
  <c r="D1029" i="9"/>
  <c r="C1029" i="9"/>
  <c r="B1029" i="9"/>
  <c r="A1029" i="9"/>
  <c r="E1028" i="9"/>
  <c r="D1028" i="9"/>
  <c r="C1028" i="9"/>
  <c r="B1028" i="9"/>
  <c r="A1028" i="9"/>
  <c r="E1027" i="9"/>
  <c r="D1027" i="9"/>
  <c r="C1027" i="9"/>
  <c r="B1027" i="9"/>
  <c r="A1027" i="9"/>
  <c r="E1026" i="9"/>
  <c r="D1026" i="9"/>
  <c r="C1026" i="9"/>
  <c r="B1026" i="9"/>
  <c r="A1026" i="9"/>
  <c r="E1025" i="9"/>
  <c r="D1025" i="9"/>
  <c r="C1025" i="9"/>
  <c r="B1025" i="9"/>
  <c r="A1025" i="9"/>
  <c r="E1024" i="9"/>
  <c r="D1024" i="9"/>
  <c r="C1024" i="9"/>
  <c r="B1024" i="9"/>
  <c r="A1024" i="9"/>
  <c r="E1023" i="9"/>
  <c r="D1023" i="9"/>
  <c r="C1023" i="9"/>
  <c r="B1023" i="9"/>
  <c r="A1023" i="9"/>
  <c r="E1022" i="9"/>
  <c r="D1022" i="9"/>
  <c r="C1022" i="9"/>
  <c r="B1022" i="9"/>
  <c r="A1022" i="9"/>
  <c r="E1021" i="9"/>
  <c r="D1021" i="9"/>
  <c r="C1021" i="9"/>
  <c r="B1021" i="9"/>
  <c r="A1021" i="9"/>
  <c r="E1020" i="9"/>
  <c r="D1020" i="9"/>
  <c r="C1020" i="9"/>
  <c r="B1020" i="9"/>
  <c r="A1020" i="9"/>
  <c r="E1019" i="9"/>
  <c r="D1019" i="9"/>
  <c r="C1019" i="9"/>
  <c r="B1019" i="9"/>
  <c r="A1019" i="9"/>
  <c r="E1018" i="9"/>
  <c r="D1018" i="9"/>
  <c r="C1018" i="9"/>
  <c r="B1018" i="9"/>
  <c r="A1018" i="9"/>
  <c r="E1017" i="9"/>
  <c r="D1017" i="9"/>
  <c r="C1017" i="9"/>
  <c r="B1017" i="9"/>
  <c r="A1017" i="9"/>
  <c r="E1016" i="9"/>
  <c r="D1016" i="9"/>
  <c r="C1016" i="9"/>
  <c r="B1016" i="9"/>
  <c r="A1016" i="9"/>
  <c r="E1015" i="9"/>
  <c r="D1015" i="9"/>
  <c r="C1015" i="9"/>
  <c r="B1015" i="9"/>
  <c r="A1015" i="9"/>
  <c r="E1014" i="9"/>
  <c r="D1014" i="9"/>
  <c r="C1014" i="9"/>
  <c r="B1014" i="9"/>
  <c r="A1014" i="9"/>
  <c r="E1013" i="9"/>
  <c r="D1013" i="9"/>
  <c r="C1013" i="9"/>
  <c r="B1013" i="9"/>
  <c r="A1013" i="9"/>
  <c r="E1012" i="9"/>
  <c r="D1012" i="9"/>
  <c r="C1012" i="9"/>
  <c r="B1012" i="9"/>
  <c r="A1012" i="9"/>
  <c r="E1011" i="9"/>
  <c r="D1011" i="9"/>
  <c r="C1011" i="9"/>
  <c r="B1011" i="9"/>
  <c r="A1011" i="9"/>
  <c r="E1010" i="9"/>
  <c r="D1010" i="9"/>
  <c r="C1010" i="9"/>
  <c r="B1010" i="9"/>
  <c r="A1010" i="9"/>
  <c r="E1009" i="9"/>
  <c r="D1009" i="9"/>
  <c r="C1009" i="9"/>
  <c r="B1009" i="9"/>
  <c r="A1009" i="9"/>
  <c r="E1008" i="9"/>
  <c r="D1008" i="9"/>
  <c r="C1008" i="9"/>
  <c r="B1008" i="9"/>
  <c r="A1008" i="9"/>
  <c r="E1007" i="9"/>
  <c r="D1007" i="9"/>
  <c r="C1007" i="9"/>
  <c r="B1007" i="9"/>
  <c r="A1007" i="9"/>
  <c r="E1006" i="9"/>
  <c r="D1006" i="9"/>
  <c r="C1006" i="9"/>
  <c r="B1006" i="9"/>
  <c r="A1006" i="9"/>
  <c r="E1005" i="9"/>
  <c r="D1005" i="9"/>
  <c r="C1005" i="9"/>
  <c r="B1005" i="9"/>
  <c r="A1005" i="9"/>
  <c r="E1004" i="9"/>
  <c r="D1004" i="9"/>
  <c r="C1004" i="9"/>
  <c r="B1004" i="9"/>
  <c r="A1004" i="9"/>
  <c r="E1003" i="9"/>
  <c r="D1003" i="9"/>
  <c r="C1003" i="9"/>
  <c r="B1003" i="9"/>
  <c r="A1003" i="9"/>
  <c r="E1002" i="9"/>
  <c r="D1002" i="9"/>
  <c r="C1002" i="9"/>
  <c r="B1002" i="9"/>
  <c r="A1002" i="9"/>
  <c r="E1001" i="9"/>
  <c r="D1001" i="9"/>
  <c r="C1001" i="9"/>
  <c r="B1001" i="9"/>
  <c r="A1001" i="9"/>
  <c r="E1000" i="9"/>
  <c r="D1000" i="9"/>
  <c r="C1000" i="9"/>
  <c r="B1000" i="9"/>
  <c r="A1000" i="9"/>
  <c r="E999" i="9"/>
  <c r="D999" i="9"/>
  <c r="C999" i="9"/>
  <c r="B999" i="9"/>
  <c r="A999" i="9"/>
  <c r="E998" i="9"/>
  <c r="D998" i="9"/>
  <c r="C998" i="9"/>
  <c r="B998" i="9"/>
  <c r="A998" i="9"/>
  <c r="E997" i="9"/>
  <c r="D997" i="9"/>
  <c r="C997" i="9"/>
  <c r="B997" i="9"/>
  <c r="A997" i="9"/>
  <c r="E996" i="9"/>
  <c r="D996" i="9"/>
  <c r="C996" i="9"/>
  <c r="B996" i="9"/>
  <c r="A996" i="9"/>
  <c r="E995" i="9"/>
  <c r="D995" i="9"/>
  <c r="C995" i="9"/>
  <c r="B995" i="9"/>
  <c r="A995" i="9"/>
  <c r="E994" i="9"/>
  <c r="D994" i="9"/>
  <c r="C994" i="9"/>
  <c r="B994" i="9"/>
  <c r="A994" i="9"/>
  <c r="E993" i="9"/>
  <c r="D993" i="9"/>
  <c r="C993" i="9"/>
  <c r="B993" i="9"/>
  <c r="A993" i="9"/>
  <c r="E992" i="9"/>
  <c r="D992" i="9"/>
  <c r="C992" i="9"/>
  <c r="B992" i="9"/>
  <c r="A992" i="9"/>
  <c r="E991" i="9"/>
  <c r="D991" i="9"/>
  <c r="C991" i="9"/>
  <c r="B991" i="9"/>
  <c r="A991" i="9"/>
  <c r="E990" i="9"/>
  <c r="D990" i="9"/>
  <c r="C990" i="9"/>
  <c r="B990" i="9"/>
  <c r="A990" i="9"/>
  <c r="E989" i="9"/>
  <c r="D989" i="9"/>
  <c r="C989" i="9"/>
  <c r="B989" i="9"/>
  <c r="A989" i="9"/>
  <c r="E988" i="9"/>
  <c r="D988" i="9"/>
  <c r="C988" i="9"/>
  <c r="B988" i="9"/>
  <c r="A988" i="9"/>
  <c r="E987" i="9"/>
  <c r="D987" i="9"/>
  <c r="C987" i="9"/>
  <c r="B987" i="9"/>
  <c r="A987" i="9"/>
  <c r="E986" i="9"/>
  <c r="D986" i="9"/>
  <c r="C986" i="9"/>
  <c r="B986" i="9"/>
  <c r="A986" i="9"/>
  <c r="E985" i="9"/>
  <c r="D985" i="9"/>
  <c r="C985" i="9"/>
  <c r="B985" i="9"/>
  <c r="A985" i="9"/>
  <c r="E984" i="9"/>
  <c r="D984" i="9"/>
  <c r="C984" i="9"/>
  <c r="B984" i="9"/>
  <c r="A984" i="9"/>
  <c r="E983" i="9"/>
  <c r="D983" i="9"/>
  <c r="C983" i="9"/>
  <c r="B983" i="9"/>
  <c r="A983" i="9"/>
  <c r="E982" i="9"/>
  <c r="D982" i="9"/>
  <c r="C982" i="9"/>
  <c r="B982" i="9"/>
  <c r="A982" i="9"/>
  <c r="E981" i="9"/>
  <c r="D981" i="9"/>
  <c r="C981" i="9"/>
  <c r="B981" i="9"/>
  <c r="A981" i="9"/>
  <c r="E980" i="9"/>
  <c r="D980" i="9"/>
  <c r="C980" i="9"/>
  <c r="B980" i="9"/>
  <c r="A980" i="9"/>
  <c r="E979" i="9"/>
  <c r="D979" i="9"/>
  <c r="C979" i="9"/>
  <c r="B979" i="9"/>
  <c r="A979" i="9"/>
  <c r="E978" i="9"/>
  <c r="D978" i="9"/>
  <c r="C978" i="9"/>
  <c r="B978" i="9"/>
  <c r="A978" i="9"/>
  <c r="E977" i="9"/>
  <c r="D977" i="9"/>
  <c r="C977" i="9"/>
  <c r="B977" i="9"/>
  <c r="A977" i="9"/>
  <c r="E976" i="9"/>
  <c r="D976" i="9"/>
  <c r="C976" i="9"/>
  <c r="B976" i="9"/>
  <c r="A976" i="9"/>
  <c r="E975" i="9"/>
  <c r="D975" i="9"/>
  <c r="C975" i="9"/>
  <c r="B975" i="9"/>
  <c r="A975" i="9"/>
  <c r="E974" i="9"/>
  <c r="D974" i="9"/>
  <c r="C974" i="9"/>
  <c r="B974" i="9"/>
  <c r="A974" i="9"/>
  <c r="E973" i="9"/>
  <c r="D973" i="9"/>
  <c r="C973" i="9"/>
  <c r="B973" i="9"/>
  <c r="A973" i="9"/>
  <c r="E972" i="9"/>
  <c r="D972" i="9"/>
  <c r="C972" i="9"/>
  <c r="B972" i="9"/>
  <c r="A972" i="9"/>
  <c r="E971" i="9"/>
  <c r="D971" i="9"/>
  <c r="C971" i="9"/>
  <c r="B971" i="9"/>
  <c r="A971" i="9"/>
  <c r="E970" i="9"/>
  <c r="D970" i="9"/>
  <c r="C970" i="9"/>
  <c r="B970" i="9"/>
  <c r="A970" i="9"/>
  <c r="E969" i="9"/>
  <c r="D969" i="9"/>
  <c r="C969" i="9"/>
  <c r="B969" i="9"/>
  <c r="A969" i="9"/>
  <c r="E968" i="9"/>
  <c r="D968" i="9"/>
  <c r="C968" i="9"/>
  <c r="B968" i="9"/>
  <c r="A968" i="9"/>
  <c r="E967" i="9"/>
  <c r="D967" i="9"/>
  <c r="C967" i="9"/>
  <c r="B967" i="9"/>
  <c r="A967" i="9"/>
  <c r="E966" i="9"/>
  <c r="D966" i="9"/>
  <c r="C966" i="9"/>
  <c r="B966" i="9"/>
  <c r="A966" i="9"/>
  <c r="E965" i="9"/>
  <c r="D965" i="9"/>
  <c r="C965" i="9"/>
  <c r="B965" i="9"/>
  <c r="A965" i="9"/>
  <c r="E964" i="9"/>
  <c r="D964" i="9"/>
  <c r="C964" i="9"/>
  <c r="B964" i="9"/>
  <c r="A964" i="9"/>
  <c r="E963" i="9"/>
  <c r="D963" i="9"/>
  <c r="C963" i="9"/>
  <c r="B963" i="9"/>
  <c r="A963" i="9"/>
  <c r="E962" i="9"/>
  <c r="D962" i="9"/>
  <c r="C962" i="9"/>
  <c r="B962" i="9"/>
  <c r="A962" i="9"/>
  <c r="E961" i="9"/>
  <c r="D961" i="9"/>
  <c r="C961" i="9"/>
  <c r="B961" i="9"/>
  <c r="A961" i="9"/>
  <c r="E960" i="9"/>
  <c r="D960" i="9"/>
  <c r="C960" i="9"/>
  <c r="B960" i="9"/>
  <c r="A960" i="9"/>
  <c r="E959" i="9"/>
  <c r="D959" i="9"/>
  <c r="C959" i="9"/>
  <c r="B959" i="9"/>
  <c r="A959" i="9"/>
  <c r="E958" i="9"/>
  <c r="D958" i="9"/>
  <c r="C958" i="9"/>
  <c r="B958" i="9"/>
  <c r="A958" i="9"/>
  <c r="E957" i="9"/>
  <c r="D957" i="9"/>
  <c r="C957" i="9"/>
  <c r="B957" i="9"/>
  <c r="A957" i="9"/>
  <c r="E956" i="9"/>
  <c r="D956" i="9"/>
  <c r="C956" i="9"/>
  <c r="B956" i="9"/>
  <c r="A956" i="9"/>
  <c r="E955" i="9"/>
  <c r="D955" i="9"/>
  <c r="C955" i="9"/>
  <c r="B955" i="9"/>
  <c r="A955" i="9"/>
  <c r="E954" i="9"/>
  <c r="D954" i="9"/>
  <c r="C954" i="9"/>
  <c r="B954" i="9"/>
  <c r="A954" i="9"/>
  <c r="E953" i="9"/>
  <c r="D953" i="9"/>
  <c r="C953" i="9"/>
  <c r="B953" i="9"/>
  <c r="A953" i="9"/>
  <c r="E952" i="9"/>
  <c r="D952" i="9"/>
  <c r="C952" i="9"/>
  <c r="B952" i="9"/>
  <c r="A952" i="9"/>
  <c r="E951" i="9"/>
  <c r="D951" i="9"/>
  <c r="C951" i="9"/>
  <c r="B951" i="9"/>
  <c r="A951" i="9"/>
  <c r="E950" i="9"/>
  <c r="D950" i="9"/>
  <c r="C950" i="9"/>
  <c r="B950" i="9"/>
  <c r="A950" i="9"/>
  <c r="E949" i="9"/>
  <c r="D949" i="9"/>
  <c r="C949" i="9"/>
  <c r="B949" i="9"/>
  <c r="A949" i="9"/>
  <c r="E948" i="9"/>
  <c r="D948" i="9"/>
  <c r="C948" i="9"/>
  <c r="B948" i="9"/>
  <c r="A948" i="9"/>
  <c r="E947" i="9"/>
  <c r="D947" i="9"/>
  <c r="C947" i="9"/>
  <c r="B947" i="9"/>
  <c r="A947" i="9"/>
  <c r="E946" i="9"/>
  <c r="D946" i="9"/>
  <c r="C946" i="9"/>
  <c r="B946" i="9"/>
  <c r="A946" i="9"/>
  <c r="E945" i="9"/>
  <c r="D945" i="9"/>
  <c r="C945" i="9"/>
  <c r="B945" i="9"/>
  <c r="A945" i="9"/>
  <c r="E944" i="9"/>
  <c r="D944" i="9"/>
  <c r="C944" i="9"/>
  <c r="B944" i="9"/>
  <c r="A944" i="9"/>
  <c r="E943" i="9"/>
  <c r="D943" i="9"/>
  <c r="C943" i="9"/>
  <c r="B943" i="9"/>
  <c r="A943" i="9"/>
  <c r="E942" i="9"/>
  <c r="D942" i="9"/>
  <c r="C942" i="9"/>
  <c r="B942" i="9"/>
  <c r="A942" i="9"/>
  <c r="E941" i="9"/>
  <c r="D941" i="9"/>
  <c r="C941" i="9"/>
  <c r="B941" i="9"/>
  <c r="A941" i="9"/>
  <c r="E940" i="9"/>
  <c r="D940" i="9"/>
  <c r="C940" i="9"/>
  <c r="B940" i="9"/>
  <c r="A940" i="9"/>
  <c r="E939" i="9"/>
  <c r="D939" i="9"/>
  <c r="C939" i="9"/>
  <c r="B939" i="9"/>
  <c r="A939" i="9"/>
  <c r="E938" i="9"/>
  <c r="D938" i="9"/>
  <c r="C938" i="9"/>
  <c r="B938" i="9"/>
  <c r="A938" i="9"/>
  <c r="E937" i="9"/>
  <c r="D937" i="9"/>
  <c r="C937" i="9"/>
  <c r="B937" i="9"/>
  <c r="A937" i="9"/>
  <c r="E936" i="9"/>
  <c r="D936" i="9"/>
  <c r="C936" i="9"/>
  <c r="B936" i="9"/>
  <c r="A936" i="9"/>
  <c r="E935" i="9"/>
  <c r="D935" i="9"/>
  <c r="C935" i="9"/>
  <c r="B935" i="9"/>
  <c r="A935" i="9"/>
  <c r="E934" i="9"/>
  <c r="D934" i="9"/>
  <c r="C934" i="9"/>
  <c r="B934" i="9"/>
  <c r="A934" i="9"/>
  <c r="E933" i="9"/>
  <c r="D933" i="9"/>
  <c r="C933" i="9"/>
  <c r="B933" i="9"/>
  <c r="A933" i="9"/>
  <c r="E932" i="9"/>
  <c r="D932" i="9"/>
  <c r="C932" i="9"/>
  <c r="B932" i="9"/>
  <c r="A932" i="9"/>
  <c r="E931" i="9"/>
  <c r="D931" i="9"/>
  <c r="C931" i="9"/>
  <c r="B931" i="9"/>
  <c r="A931" i="9"/>
  <c r="E930" i="9"/>
  <c r="D930" i="9"/>
  <c r="C930" i="9"/>
  <c r="B930" i="9"/>
  <c r="A930" i="9"/>
  <c r="E929" i="9"/>
  <c r="D929" i="9"/>
  <c r="C929" i="9"/>
  <c r="B929" i="9"/>
  <c r="A929" i="9"/>
  <c r="E928" i="9"/>
  <c r="D928" i="9"/>
  <c r="C928" i="9"/>
  <c r="B928" i="9"/>
  <c r="A928" i="9"/>
  <c r="E927" i="9"/>
  <c r="D927" i="9"/>
  <c r="C927" i="9"/>
  <c r="B927" i="9"/>
  <c r="A927" i="9"/>
  <c r="E926" i="9"/>
  <c r="D926" i="9"/>
  <c r="C926" i="9"/>
  <c r="B926" i="9"/>
  <c r="A926" i="9"/>
  <c r="E925" i="9"/>
  <c r="D925" i="9"/>
  <c r="C925" i="9"/>
  <c r="B925" i="9"/>
  <c r="A925" i="9"/>
  <c r="E924" i="9"/>
  <c r="D924" i="9"/>
  <c r="C924" i="9"/>
  <c r="B924" i="9"/>
  <c r="A924" i="9"/>
  <c r="E923" i="9"/>
  <c r="D923" i="9"/>
  <c r="C923" i="9"/>
  <c r="B923" i="9"/>
  <c r="A923" i="9"/>
  <c r="E922" i="9"/>
  <c r="D922" i="9"/>
  <c r="C922" i="9"/>
  <c r="B922" i="9"/>
  <c r="A922" i="9"/>
  <c r="E921" i="9"/>
  <c r="D921" i="9"/>
  <c r="C921" i="9"/>
  <c r="B921" i="9"/>
  <c r="A921" i="9"/>
  <c r="E920" i="9"/>
  <c r="D920" i="9"/>
  <c r="C920" i="9"/>
  <c r="B920" i="9"/>
  <c r="A920" i="9"/>
  <c r="E919" i="9"/>
  <c r="D919" i="9"/>
  <c r="C919" i="9"/>
  <c r="B919" i="9"/>
  <c r="A919" i="9"/>
  <c r="E918" i="9"/>
  <c r="D918" i="9"/>
  <c r="C918" i="9"/>
  <c r="B918" i="9"/>
  <c r="A918" i="9"/>
  <c r="E917" i="9"/>
  <c r="D917" i="9"/>
  <c r="C917" i="9"/>
  <c r="B917" i="9"/>
  <c r="A917" i="9"/>
  <c r="E916" i="9"/>
  <c r="D916" i="9"/>
  <c r="C916" i="9"/>
  <c r="B916" i="9"/>
  <c r="A916" i="9"/>
  <c r="E915" i="9"/>
  <c r="D915" i="9"/>
  <c r="C915" i="9"/>
  <c r="B915" i="9"/>
  <c r="A915" i="9"/>
  <c r="E914" i="9"/>
  <c r="D914" i="9"/>
  <c r="C914" i="9"/>
  <c r="B914" i="9"/>
  <c r="A914" i="9"/>
  <c r="E913" i="9"/>
  <c r="D913" i="9"/>
  <c r="C913" i="9"/>
  <c r="B913" i="9"/>
  <c r="A913" i="9"/>
  <c r="E912" i="9"/>
  <c r="D912" i="9"/>
  <c r="C912" i="9"/>
  <c r="B912" i="9"/>
  <c r="A912" i="9"/>
  <c r="E911" i="9"/>
  <c r="D911" i="9"/>
  <c r="C911" i="9"/>
  <c r="B911" i="9"/>
  <c r="A911" i="9"/>
  <c r="E910" i="9"/>
  <c r="D910" i="9"/>
  <c r="C910" i="9"/>
  <c r="B910" i="9"/>
  <c r="A910" i="9"/>
  <c r="E909" i="9"/>
  <c r="D909" i="9"/>
  <c r="C909" i="9"/>
  <c r="B909" i="9"/>
  <c r="A909" i="9"/>
  <c r="E908" i="9"/>
  <c r="D908" i="9"/>
  <c r="C908" i="9"/>
  <c r="B908" i="9"/>
  <c r="A908" i="9"/>
  <c r="E907" i="9"/>
  <c r="D907" i="9"/>
  <c r="C907" i="9"/>
  <c r="B907" i="9"/>
  <c r="A907" i="9"/>
  <c r="E906" i="9"/>
  <c r="D906" i="9"/>
  <c r="C906" i="9"/>
  <c r="B906" i="9"/>
  <c r="A906" i="9"/>
  <c r="E905" i="9"/>
  <c r="D905" i="9"/>
  <c r="C905" i="9"/>
  <c r="B905" i="9"/>
  <c r="A905" i="9"/>
  <c r="E904" i="9"/>
  <c r="D904" i="9"/>
  <c r="C904" i="9"/>
  <c r="B904" i="9"/>
  <c r="A904" i="9"/>
  <c r="E903" i="9"/>
  <c r="D903" i="9"/>
  <c r="C903" i="9"/>
  <c r="B903" i="9"/>
  <c r="A903" i="9"/>
  <c r="E902" i="9"/>
  <c r="D902" i="9"/>
  <c r="C902" i="9"/>
  <c r="B902" i="9"/>
  <c r="A902" i="9"/>
  <c r="E901" i="9"/>
  <c r="D901" i="9"/>
  <c r="C901" i="9"/>
  <c r="B901" i="9"/>
  <c r="A901" i="9"/>
  <c r="E900" i="9"/>
  <c r="D900" i="9"/>
  <c r="C900" i="9"/>
  <c r="B900" i="9"/>
  <c r="A900" i="9"/>
  <c r="E899" i="9"/>
  <c r="D899" i="9"/>
  <c r="C899" i="9"/>
  <c r="B899" i="9"/>
  <c r="A899" i="9"/>
  <c r="E898" i="9"/>
  <c r="D898" i="9"/>
  <c r="C898" i="9"/>
  <c r="B898" i="9"/>
  <c r="A898" i="9"/>
  <c r="E897" i="9"/>
  <c r="D897" i="9"/>
  <c r="C897" i="9"/>
  <c r="B897" i="9"/>
  <c r="A897" i="9"/>
  <c r="E896" i="9"/>
  <c r="D896" i="9"/>
  <c r="C896" i="9"/>
  <c r="B896" i="9"/>
  <c r="A896" i="9"/>
  <c r="E895" i="9"/>
  <c r="D895" i="9"/>
  <c r="C895" i="9"/>
  <c r="B895" i="9"/>
  <c r="A895" i="9"/>
  <c r="E894" i="9"/>
  <c r="D894" i="9"/>
  <c r="C894" i="9"/>
  <c r="B894" i="9"/>
  <c r="A894" i="9"/>
  <c r="E893" i="9"/>
  <c r="D893" i="9"/>
  <c r="C893" i="9"/>
  <c r="B893" i="9"/>
  <c r="A893" i="9"/>
  <c r="E892" i="9"/>
  <c r="D892" i="9"/>
  <c r="C892" i="9"/>
  <c r="B892" i="9"/>
  <c r="A892" i="9"/>
  <c r="E891" i="9"/>
  <c r="D891" i="9"/>
  <c r="C891" i="9"/>
  <c r="B891" i="9"/>
  <c r="A891" i="9"/>
  <c r="E890" i="9"/>
  <c r="D890" i="9"/>
  <c r="C890" i="9"/>
  <c r="B890" i="9"/>
  <c r="A890" i="9"/>
  <c r="E889" i="9"/>
  <c r="D889" i="9"/>
  <c r="C889" i="9"/>
  <c r="B889" i="9"/>
  <c r="A889" i="9"/>
  <c r="E888" i="9"/>
  <c r="D888" i="9"/>
  <c r="C888" i="9"/>
  <c r="B888" i="9"/>
  <c r="A888" i="9"/>
  <c r="E887" i="9"/>
  <c r="D887" i="9"/>
  <c r="C887" i="9"/>
  <c r="B887" i="9"/>
  <c r="A887" i="9"/>
  <c r="E886" i="9"/>
  <c r="D886" i="9"/>
  <c r="C886" i="9"/>
  <c r="B886" i="9"/>
  <c r="A886" i="9"/>
  <c r="E885" i="9"/>
  <c r="D885" i="9"/>
  <c r="C885" i="9"/>
  <c r="B885" i="9"/>
  <c r="A885" i="9"/>
  <c r="E884" i="9"/>
  <c r="D884" i="9"/>
  <c r="C884" i="9"/>
  <c r="B884" i="9"/>
  <c r="A884" i="9"/>
  <c r="E883" i="9"/>
  <c r="D883" i="9"/>
  <c r="C883" i="9"/>
  <c r="B883" i="9"/>
  <c r="A883" i="9"/>
  <c r="E882" i="9"/>
  <c r="D882" i="9"/>
  <c r="C882" i="9"/>
  <c r="B882" i="9"/>
  <c r="A882" i="9"/>
  <c r="E881" i="9"/>
  <c r="D881" i="9"/>
  <c r="C881" i="9"/>
  <c r="B881" i="9"/>
  <c r="A881" i="9"/>
  <c r="E880" i="9"/>
  <c r="D880" i="9"/>
  <c r="C880" i="9"/>
  <c r="B880" i="9"/>
  <c r="A880" i="9"/>
  <c r="E879" i="9"/>
  <c r="D879" i="9"/>
  <c r="C879" i="9"/>
  <c r="B879" i="9"/>
  <c r="A879" i="9"/>
  <c r="E878" i="9"/>
  <c r="D878" i="9"/>
  <c r="C878" i="9"/>
  <c r="B878" i="9"/>
  <c r="A878" i="9"/>
  <c r="E877" i="9"/>
  <c r="D877" i="9"/>
  <c r="C877" i="9"/>
  <c r="B877" i="9"/>
  <c r="A877" i="9"/>
  <c r="E876" i="9"/>
  <c r="D876" i="9"/>
  <c r="C876" i="9"/>
  <c r="B876" i="9"/>
  <c r="A876" i="9"/>
  <c r="E875" i="9"/>
  <c r="D875" i="9"/>
  <c r="C875" i="9"/>
  <c r="B875" i="9"/>
  <c r="A875" i="9"/>
  <c r="E874" i="9"/>
  <c r="D874" i="9"/>
  <c r="C874" i="9"/>
  <c r="B874" i="9"/>
  <c r="A874" i="9"/>
  <c r="E873" i="9"/>
  <c r="D873" i="9"/>
  <c r="C873" i="9"/>
  <c r="B873" i="9"/>
  <c r="A873" i="9"/>
  <c r="E872" i="9"/>
  <c r="D872" i="9"/>
  <c r="C872" i="9"/>
  <c r="B872" i="9"/>
  <c r="A872" i="9"/>
  <c r="E871" i="9"/>
  <c r="D871" i="9"/>
  <c r="C871" i="9"/>
  <c r="B871" i="9"/>
  <c r="A871" i="9"/>
  <c r="E870" i="9"/>
  <c r="D870" i="9"/>
  <c r="C870" i="9"/>
  <c r="B870" i="9"/>
  <c r="A870" i="9"/>
  <c r="E869" i="9"/>
  <c r="D869" i="9"/>
  <c r="C869" i="9"/>
  <c r="B869" i="9"/>
  <c r="A869" i="9"/>
  <c r="E868" i="9"/>
  <c r="D868" i="9"/>
  <c r="C868" i="9"/>
  <c r="B868" i="9"/>
  <c r="A868" i="9"/>
  <c r="E867" i="9"/>
  <c r="D867" i="9"/>
  <c r="C867" i="9"/>
  <c r="B867" i="9"/>
  <c r="A867" i="9"/>
  <c r="E866" i="9"/>
  <c r="D866" i="9"/>
  <c r="C866" i="9"/>
  <c r="B866" i="9"/>
  <c r="A866" i="9"/>
  <c r="E865" i="9"/>
  <c r="D865" i="9"/>
  <c r="C865" i="9"/>
  <c r="B865" i="9"/>
  <c r="A865" i="9"/>
  <c r="E864" i="9"/>
  <c r="D864" i="9"/>
  <c r="C864" i="9"/>
  <c r="B864" i="9"/>
  <c r="A864" i="9"/>
  <c r="E863" i="9"/>
  <c r="D863" i="9"/>
  <c r="C863" i="9"/>
  <c r="B863" i="9"/>
  <c r="A863" i="9"/>
  <c r="E862" i="9"/>
  <c r="D862" i="9"/>
  <c r="C862" i="9"/>
  <c r="B862" i="9"/>
  <c r="A862" i="9"/>
  <c r="E861" i="9"/>
  <c r="D861" i="9"/>
  <c r="C861" i="9"/>
  <c r="B861" i="9"/>
  <c r="A861" i="9"/>
  <c r="E860" i="9"/>
  <c r="D860" i="9"/>
  <c r="C860" i="9"/>
  <c r="B860" i="9"/>
  <c r="A860" i="9"/>
  <c r="E859" i="9"/>
  <c r="D859" i="9"/>
  <c r="C859" i="9"/>
  <c r="B859" i="9"/>
  <c r="A859" i="9"/>
  <c r="E858" i="9"/>
  <c r="D858" i="9"/>
  <c r="C858" i="9"/>
  <c r="B858" i="9"/>
  <c r="A858" i="9"/>
  <c r="E857" i="9"/>
  <c r="D857" i="9"/>
  <c r="C857" i="9"/>
  <c r="B857" i="9"/>
  <c r="A857" i="9"/>
  <c r="E856" i="9"/>
  <c r="D856" i="9"/>
  <c r="C856" i="9"/>
  <c r="B856" i="9"/>
  <c r="A856" i="9"/>
  <c r="E855" i="9"/>
  <c r="D855" i="9"/>
  <c r="C855" i="9"/>
  <c r="B855" i="9"/>
  <c r="A855" i="9"/>
  <c r="E854" i="9"/>
  <c r="D854" i="9"/>
  <c r="C854" i="9"/>
  <c r="B854" i="9"/>
  <c r="A854" i="9"/>
  <c r="E853" i="9"/>
  <c r="D853" i="9"/>
  <c r="C853" i="9"/>
  <c r="B853" i="9"/>
  <c r="A853" i="9"/>
  <c r="E852" i="9"/>
  <c r="D852" i="9"/>
  <c r="C852" i="9"/>
  <c r="B852" i="9"/>
  <c r="A852" i="9"/>
  <c r="E851" i="9"/>
  <c r="D851" i="9"/>
  <c r="C851" i="9"/>
  <c r="B851" i="9"/>
  <c r="A851" i="9"/>
  <c r="E850" i="9"/>
  <c r="D850" i="9"/>
  <c r="C850" i="9"/>
  <c r="B850" i="9"/>
  <c r="A850" i="9"/>
  <c r="E849" i="9"/>
  <c r="D849" i="9"/>
  <c r="C849" i="9"/>
  <c r="B849" i="9"/>
  <c r="A849" i="9"/>
  <c r="E848" i="9"/>
  <c r="D848" i="9"/>
  <c r="C848" i="9"/>
  <c r="B848" i="9"/>
  <c r="A848" i="9"/>
  <c r="E847" i="9"/>
  <c r="D847" i="9"/>
  <c r="C847" i="9"/>
  <c r="B847" i="9"/>
  <c r="A847" i="9"/>
  <c r="E846" i="9"/>
  <c r="D846" i="9"/>
  <c r="C846" i="9"/>
  <c r="B846" i="9"/>
  <c r="A846" i="9"/>
  <c r="E845" i="9"/>
  <c r="D845" i="9"/>
  <c r="C845" i="9"/>
  <c r="B845" i="9"/>
  <c r="A845" i="9"/>
  <c r="E844" i="9"/>
  <c r="D844" i="9"/>
  <c r="C844" i="9"/>
  <c r="B844" i="9"/>
  <c r="A844" i="9"/>
  <c r="E843" i="9"/>
  <c r="D843" i="9"/>
  <c r="C843" i="9"/>
  <c r="B843" i="9"/>
  <c r="A843" i="9"/>
  <c r="E842" i="9"/>
  <c r="D842" i="9"/>
  <c r="C842" i="9"/>
  <c r="B842" i="9"/>
  <c r="A842" i="9"/>
  <c r="E841" i="9"/>
  <c r="D841" i="9"/>
  <c r="C841" i="9"/>
  <c r="B841" i="9"/>
  <c r="A841" i="9"/>
  <c r="E840" i="9"/>
  <c r="D840" i="9"/>
  <c r="C840" i="9"/>
  <c r="B840" i="9"/>
  <c r="A840" i="9"/>
  <c r="E839" i="9"/>
  <c r="D839" i="9"/>
  <c r="C839" i="9"/>
  <c r="B839" i="9"/>
  <c r="A839" i="9"/>
  <c r="E838" i="9"/>
  <c r="D838" i="9"/>
  <c r="C838" i="9"/>
  <c r="B838" i="9"/>
  <c r="A838" i="9"/>
  <c r="E837" i="9"/>
  <c r="D837" i="9"/>
  <c r="C837" i="9"/>
  <c r="B837" i="9"/>
  <c r="A837" i="9"/>
  <c r="E836" i="9"/>
  <c r="D836" i="9"/>
  <c r="C836" i="9"/>
  <c r="B836" i="9"/>
  <c r="A836" i="9"/>
  <c r="E835" i="9"/>
  <c r="D835" i="9"/>
  <c r="C835" i="9"/>
  <c r="B835" i="9"/>
  <c r="A835" i="9"/>
  <c r="E834" i="9"/>
  <c r="D834" i="9"/>
  <c r="C834" i="9"/>
  <c r="B834" i="9"/>
  <c r="A834" i="9"/>
  <c r="E833" i="9"/>
  <c r="D833" i="9"/>
  <c r="C833" i="9"/>
  <c r="B833" i="9"/>
  <c r="A833" i="9"/>
  <c r="E832" i="9"/>
  <c r="D832" i="9"/>
  <c r="C832" i="9"/>
  <c r="B832" i="9"/>
  <c r="A832" i="9"/>
  <c r="E831" i="9"/>
  <c r="D831" i="9"/>
  <c r="C831" i="9"/>
  <c r="B831" i="9"/>
  <c r="A831" i="9"/>
  <c r="E830" i="9"/>
  <c r="D830" i="9"/>
  <c r="C830" i="9"/>
  <c r="B830" i="9"/>
  <c r="A830" i="9"/>
  <c r="E829" i="9"/>
  <c r="D829" i="9"/>
  <c r="C829" i="9"/>
  <c r="B829" i="9"/>
  <c r="A829" i="9"/>
  <c r="E828" i="9"/>
  <c r="D828" i="9"/>
  <c r="C828" i="9"/>
  <c r="B828" i="9"/>
  <c r="A828" i="9"/>
  <c r="E827" i="9"/>
  <c r="D827" i="9"/>
  <c r="C827" i="9"/>
  <c r="B827" i="9"/>
  <c r="A827" i="9"/>
  <c r="E826" i="9"/>
  <c r="D826" i="9"/>
  <c r="C826" i="9"/>
  <c r="B826" i="9"/>
  <c r="A826" i="9"/>
  <c r="E825" i="9"/>
  <c r="D825" i="9"/>
  <c r="C825" i="9"/>
  <c r="B825" i="9"/>
  <c r="A825" i="9"/>
  <c r="E824" i="9"/>
  <c r="D824" i="9"/>
  <c r="C824" i="9"/>
  <c r="B824" i="9"/>
  <c r="A824" i="9"/>
  <c r="E823" i="9"/>
  <c r="D823" i="9"/>
  <c r="C823" i="9"/>
  <c r="B823" i="9"/>
  <c r="A823" i="9"/>
  <c r="E822" i="9"/>
  <c r="D822" i="9"/>
  <c r="C822" i="9"/>
  <c r="B822" i="9"/>
  <c r="A822" i="9"/>
  <c r="E821" i="9"/>
  <c r="D821" i="9"/>
  <c r="C821" i="9"/>
  <c r="B821" i="9"/>
  <c r="A821" i="9"/>
  <c r="E820" i="9"/>
  <c r="D820" i="9"/>
  <c r="C820" i="9"/>
  <c r="B820" i="9"/>
  <c r="A820" i="9"/>
  <c r="E819" i="9"/>
  <c r="D819" i="9"/>
  <c r="C819" i="9"/>
  <c r="B819" i="9"/>
  <c r="A819" i="9"/>
  <c r="E818" i="9"/>
  <c r="D818" i="9"/>
  <c r="C818" i="9"/>
  <c r="B818" i="9"/>
  <c r="A818" i="9"/>
  <c r="E817" i="9"/>
  <c r="D817" i="9"/>
  <c r="C817" i="9"/>
  <c r="B817" i="9"/>
  <c r="A817" i="9"/>
  <c r="E816" i="9"/>
  <c r="D816" i="9"/>
  <c r="C816" i="9"/>
  <c r="B816" i="9"/>
  <c r="A816" i="9"/>
  <c r="E815" i="9"/>
  <c r="D815" i="9"/>
  <c r="C815" i="9"/>
  <c r="B815" i="9"/>
  <c r="A815" i="9"/>
  <c r="E814" i="9"/>
  <c r="D814" i="9"/>
  <c r="C814" i="9"/>
  <c r="B814" i="9"/>
  <c r="A814" i="9"/>
  <c r="E813" i="9"/>
  <c r="D813" i="9"/>
  <c r="C813" i="9"/>
  <c r="B813" i="9"/>
  <c r="A813" i="9"/>
  <c r="E812" i="9"/>
  <c r="D812" i="9"/>
  <c r="C812" i="9"/>
  <c r="B812" i="9"/>
  <c r="A812" i="9"/>
  <c r="E811" i="9"/>
  <c r="D811" i="9"/>
  <c r="C811" i="9"/>
  <c r="B811" i="9"/>
  <c r="A811" i="9"/>
  <c r="E810" i="9"/>
  <c r="D810" i="9"/>
  <c r="C810" i="9"/>
  <c r="B810" i="9"/>
  <c r="A810" i="9"/>
  <c r="E809" i="9"/>
  <c r="D809" i="9"/>
  <c r="C809" i="9"/>
  <c r="B809" i="9"/>
  <c r="A809" i="9"/>
  <c r="E808" i="9"/>
  <c r="D808" i="9"/>
  <c r="C808" i="9"/>
  <c r="B808" i="9"/>
  <c r="A808" i="9"/>
  <c r="E807" i="9"/>
  <c r="D807" i="9"/>
  <c r="C807" i="9"/>
  <c r="B807" i="9"/>
  <c r="A807" i="9"/>
  <c r="E806" i="9"/>
  <c r="D806" i="9"/>
  <c r="C806" i="9"/>
  <c r="B806" i="9"/>
  <c r="A806" i="9"/>
  <c r="E805" i="9"/>
  <c r="D805" i="9"/>
  <c r="C805" i="9"/>
  <c r="B805" i="9"/>
  <c r="A805" i="9"/>
  <c r="E804" i="9"/>
  <c r="D804" i="9"/>
  <c r="C804" i="9"/>
  <c r="B804" i="9"/>
  <c r="A804" i="9"/>
  <c r="E803" i="9"/>
  <c r="D803" i="9"/>
  <c r="C803" i="9"/>
  <c r="B803" i="9"/>
  <c r="A803" i="9"/>
  <c r="E802" i="9"/>
  <c r="D802" i="9"/>
  <c r="C802" i="9"/>
  <c r="B802" i="9"/>
  <c r="A802" i="9"/>
  <c r="E801" i="9"/>
  <c r="D801" i="9"/>
  <c r="C801" i="9"/>
  <c r="B801" i="9"/>
  <c r="A801" i="9"/>
  <c r="E800" i="9"/>
  <c r="D800" i="9"/>
  <c r="C800" i="9"/>
  <c r="B800" i="9"/>
  <c r="A800" i="9"/>
  <c r="E799" i="9"/>
  <c r="D799" i="9"/>
  <c r="C799" i="9"/>
  <c r="B799" i="9"/>
  <c r="A799" i="9"/>
  <c r="E798" i="9"/>
  <c r="D798" i="9"/>
  <c r="C798" i="9"/>
  <c r="B798" i="9"/>
  <c r="A798" i="9"/>
  <c r="E797" i="9"/>
  <c r="D797" i="9"/>
  <c r="C797" i="9"/>
  <c r="B797" i="9"/>
  <c r="A797" i="9"/>
  <c r="E796" i="9"/>
  <c r="D796" i="9"/>
  <c r="C796" i="9"/>
  <c r="B796" i="9"/>
  <c r="A796" i="9"/>
  <c r="E795" i="9"/>
  <c r="D795" i="9"/>
  <c r="C795" i="9"/>
  <c r="B795" i="9"/>
  <c r="A795" i="9"/>
  <c r="E794" i="9"/>
  <c r="D794" i="9"/>
  <c r="C794" i="9"/>
  <c r="B794" i="9"/>
  <c r="A794" i="9"/>
  <c r="E793" i="9"/>
  <c r="D793" i="9"/>
  <c r="C793" i="9"/>
  <c r="B793" i="9"/>
  <c r="A793" i="9"/>
  <c r="E792" i="9"/>
  <c r="D792" i="9"/>
  <c r="C792" i="9"/>
  <c r="B792" i="9"/>
  <c r="A792" i="9"/>
  <c r="E791" i="9"/>
  <c r="D791" i="9"/>
  <c r="C791" i="9"/>
  <c r="B791" i="9"/>
  <c r="A791" i="9"/>
  <c r="E790" i="9"/>
  <c r="D790" i="9"/>
  <c r="C790" i="9"/>
  <c r="B790" i="9"/>
  <c r="A790" i="9"/>
  <c r="E789" i="9"/>
  <c r="D789" i="9"/>
  <c r="C789" i="9"/>
  <c r="B789" i="9"/>
  <c r="A789" i="9"/>
  <c r="E788" i="9"/>
  <c r="D788" i="9"/>
  <c r="C788" i="9"/>
  <c r="B788" i="9"/>
  <c r="A788" i="9"/>
  <c r="E787" i="9"/>
  <c r="D787" i="9"/>
  <c r="C787" i="9"/>
  <c r="B787" i="9"/>
  <c r="A787" i="9"/>
  <c r="E786" i="9"/>
  <c r="D786" i="9"/>
  <c r="C786" i="9"/>
  <c r="B786" i="9"/>
  <c r="A786" i="9"/>
  <c r="E785" i="9"/>
  <c r="D785" i="9"/>
  <c r="C785" i="9"/>
  <c r="B785" i="9"/>
  <c r="A785" i="9"/>
  <c r="E784" i="9"/>
  <c r="D784" i="9"/>
  <c r="C784" i="9"/>
  <c r="B784" i="9"/>
  <c r="A784" i="9"/>
  <c r="E783" i="9"/>
  <c r="D783" i="9"/>
  <c r="C783" i="9"/>
  <c r="B783" i="9"/>
  <c r="A783" i="9"/>
  <c r="E782" i="9"/>
  <c r="D782" i="9"/>
  <c r="C782" i="9"/>
  <c r="B782" i="9"/>
  <c r="A782" i="9"/>
  <c r="E781" i="9"/>
  <c r="D781" i="9"/>
  <c r="C781" i="9"/>
  <c r="B781" i="9"/>
  <c r="A781" i="9"/>
  <c r="E780" i="9"/>
  <c r="D780" i="9"/>
  <c r="C780" i="9"/>
  <c r="B780" i="9"/>
  <c r="A780" i="9"/>
  <c r="E779" i="9"/>
  <c r="D779" i="9"/>
  <c r="C779" i="9"/>
  <c r="B779" i="9"/>
  <c r="A779" i="9"/>
  <c r="E778" i="9"/>
  <c r="D778" i="9"/>
  <c r="C778" i="9"/>
  <c r="B778" i="9"/>
  <c r="A778" i="9"/>
  <c r="E777" i="9"/>
  <c r="D777" i="9"/>
  <c r="C777" i="9"/>
  <c r="B777" i="9"/>
  <c r="A777" i="9"/>
  <c r="E776" i="9"/>
  <c r="D776" i="9"/>
  <c r="C776" i="9"/>
  <c r="B776" i="9"/>
  <c r="A776" i="9"/>
  <c r="E775" i="9"/>
  <c r="D775" i="9"/>
  <c r="C775" i="9"/>
  <c r="B775" i="9"/>
  <c r="A775" i="9"/>
  <c r="E774" i="9"/>
  <c r="D774" i="9"/>
  <c r="C774" i="9"/>
  <c r="B774" i="9"/>
  <c r="A774" i="9"/>
  <c r="E773" i="9"/>
  <c r="D773" i="9"/>
  <c r="C773" i="9"/>
  <c r="B773" i="9"/>
  <c r="A773" i="9"/>
  <c r="E772" i="9"/>
  <c r="D772" i="9"/>
  <c r="C772" i="9"/>
  <c r="B772" i="9"/>
  <c r="A772" i="9"/>
  <c r="E771" i="9"/>
  <c r="D771" i="9"/>
  <c r="C771" i="9"/>
  <c r="B771" i="9"/>
  <c r="A771" i="9"/>
  <c r="E770" i="9"/>
  <c r="D770" i="9"/>
  <c r="C770" i="9"/>
  <c r="B770" i="9"/>
  <c r="A770" i="9"/>
  <c r="E769" i="9"/>
  <c r="D769" i="9"/>
  <c r="C769" i="9"/>
  <c r="B769" i="9"/>
  <c r="A769" i="9"/>
  <c r="E768" i="9"/>
  <c r="D768" i="9"/>
  <c r="C768" i="9"/>
  <c r="B768" i="9"/>
  <c r="A768" i="9"/>
  <c r="E767" i="9"/>
  <c r="D767" i="9"/>
  <c r="C767" i="9"/>
  <c r="B767" i="9"/>
  <c r="A767" i="9"/>
  <c r="E766" i="9"/>
  <c r="D766" i="9"/>
  <c r="C766" i="9"/>
  <c r="B766" i="9"/>
  <c r="A766" i="9"/>
  <c r="E765" i="9"/>
  <c r="D765" i="9"/>
  <c r="C765" i="9"/>
  <c r="B765" i="9"/>
  <c r="A765" i="9"/>
  <c r="E764" i="9"/>
  <c r="D764" i="9"/>
  <c r="C764" i="9"/>
  <c r="B764" i="9"/>
  <c r="A764" i="9"/>
  <c r="E763" i="9"/>
  <c r="D763" i="9"/>
  <c r="C763" i="9"/>
  <c r="B763" i="9"/>
  <c r="A763" i="9"/>
  <c r="E762" i="9"/>
  <c r="D762" i="9"/>
  <c r="C762" i="9"/>
  <c r="B762" i="9"/>
  <c r="A762" i="9"/>
  <c r="E761" i="9"/>
  <c r="D761" i="9"/>
  <c r="C761" i="9"/>
  <c r="B761" i="9"/>
  <c r="A761" i="9"/>
  <c r="E760" i="9"/>
  <c r="D760" i="9"/>
  <c r="C760" i="9"/>
  <c r="B760" i="9"/>
  <c r="A760" i="9"/>
  <c r="E759" i="9"/>
  <c r="D759" i="9"/>
  <c r="C759" i="9"/>
  <c r="B759" i="9"/>
  <c r="A759" i="9"/>
  <c r="E758" i="9"/>
  <c r="D758" i="9"/>
  <c r="C758" i="9"/>
  <c r="B758" i="9"/>
  <c r="A758" i="9"/>
  <c r="E757" i="9"/>
  <c r="D757" i="9"/>
  <c r="C757" i="9"/>
  <c r="B757" i="9"/>
  <c r="A757" i="9"/>
  <c r="E756" i="9"/>
  <c r="D756" i="9"/>
  <c r="C756" i="9"/>
  <c r="B756" i="9"/>
  <c r="A756" i="9"/>
  <c r="E755" i="9"/>
  <c r="D755" i="9"/>
  <c r="C755" i="9"/>
  <c r="B755" i="9"/>
  <c r="A755" i="9"/>
  <c r="E754" i="9"/>
  <c r="D754" i="9"/>
  <c r="C754" i="9"/>
  <c r="B754" i="9"/>
  <c r="A754" i="9"/>
  <c r="E753" i="9"/>
  <c r="D753" i="9"/>
  <c r="C753" i="9"/>
  <c r="B753" i="9"/>
  <c r="A753" i="9"/>
  <c r="E752" i="9"/>
  <c r="D752" i="9"/>
  <c r="C752" i="9"/>
  <c r="B752" i="9"/>
  <c r="A752" i="9"/>
  <c r="E751" i="9"/>
  <c r="D751" i="9"/>
  <c r="C751" i="9"/>
  <c r="B751" i="9"/>
  <c r="A751" i="9"/>
  <c r="E750" i="9"/>
  <c r="D750" i="9"/>
  <c r="C750" i="9"/>
  <c r="B750" i="9"/>
  <c r="A750" i="9"/>
  <c r="E749" i="9"/>
  <c r="D749" i="9"/>
  <c r="C749" i="9"/>
  <c r="B749" i="9"/>
  <c r="A749" i="9"/>
  <c r="E748" i="9"/>
  <c r="D748" i="9"/>
  <c r="C748" i="9"/>
  <c r="B748" i="9"/>
  <c r="A748" i="9"/>
  <c r="E747" i="9"/>
  <c r="D747" i="9"/>
  <c r="C747" i="9"/>
  <c r="B747" i="9"/>
  <c r="A747" i="9"/>
  <c r="E746" i="9"/>
  <c r="D746" i="9"/>
  <c r="C746" i="9"/>
  <c r="B746" i="9"/>
  <c r="A746" i="9"/>
  <c r="E745" i="9"/>
  <c r="D745" i="9"/>
  <c r="C745" i="9"/>
  <c r="B745" i="9"/>
  <c r="A745" i="9"/>
  <c r="E744" i="9"/>
  <c r="D744" i="9"/>
  <c r="C744" i="9"/>
  <c r="B744" i="9"/>
  <c r="A744" i="9"/>
  <c r="E743" i="9"/>
  <c r="D743" i="9"/>
  <c r="C743" i="9"/>
  <c r="B743" i="9"/>
  <c r="A743" i="9"/>
  <c r="E742" i="9"/>
  <c r="D742" i="9"/>
  <c r="C742" i="9"/>
  <c r="B742" i="9"/>
  <c r="A742" i="9"/>
  <c r="E741" i="9"/>
  <c r="D741" i="9"/>
  <c r="C741" i="9"/>
  <c r="B741" i="9"/>
  <c r="A741" i="9"/>
  <c r="E740" i="9"/>
  <c r="D740" i="9"/>
  <c r="C740" i="9"/>
  <c r="B740" i="9"/>
  <c r="A740" i="9"/>
  <c r="E739" i="9"/>
  <c r="D739" i="9"/>
  <c r="C739" i="9"/>
  <c r="B739" i="9"/>
  <c r="A739" i="9"/>
  <c r="E738" i="9"/>
  <c r="D738" i="9"/>
  <c r="C738" i="9"/>
  <c r="B738" i="9"/>
  <c r="A738" i="9"/>
  <c r="E737" i="9"/>
  <c r="D737" i="9"/>
  <c r="C737" i="9"/>
  <c r="B737" i="9"/>
  <c r="A737" i="9"/>
  <c r="E736" i="9"/>
  <c r="D736" i="9"/>
  <c r="C736" i="9"/>
  <c r="B736" i="9"/>
  <c r="A736" i="9"/>
  <c r="E735" i="9"/>
  <c r="D735" i="9"/>
  <c r="C735" i="9"/>
  <c r="B735" i="9"/>
  <c r="A735" i="9"/>
  <c r="E734" i="9"/>
  <c r="D734" i="9"/>
  <c r="C734" i="9"/>
  <c r="B734" i="9"/>
  <c r="A734" i="9"/>
  <c r="E733" i="9"/>
  <c r="D733" i="9"/>
  <c r="C733" i="9"/>
  <c r="B733" i="9"/>
  <c r="A733" i="9"/>
  <c r="E732" i="9"/>
  <c r="D732" i="9"/>
  <c r="C732" i="9"/>
  <c r="B732" i="9"/>
  <c r="A732" i="9"/>
  <c r="E731" i="9"/>
  <c r="D731" i="9"/>
  <c r="C731" i="9"/>
  <c r="B731" i="9"/>
  <c r="A731" i="9"/>
  <c r="E730" i="9"/>
  <c r="D730" i="9"/>
  <c r="C730" i="9"/>
  <c r="B730" i="9"/>
  <c r="A730" i="9"/>
  <c r="E729" i="9"/>
  <c r="D729" i="9"/>
  <c r="C729" i="9"/>
  <c r="B729" i="9"/>
  <c r="A729" i="9"/>
  <c r="E728" i="9"/>
  <c r="D728" i="9"/>
  <c r="C728" i="9"/>
  <c r="B728" i="9"/>
  <c r="A728" i="9"/>
  <c r="E727" i="9"/>
  <c r="D727" i="9"/>
  <c r="C727" i="9"/>
  <c r="B727" i="9"/>
  <c r="A727" i="9"/>
  <c r="E726" i="9"/>
  <c r="D726" i="9"/>
  <c r="C726" i="9"/>
  <c r="B726" i="9"/>
  <c r="A726" i="9"/>
  <c r="E725" i="9"/>
  <c r="D725" i="9"/>
  <c r="C725" i="9"/>
  <c r="B725" i="9"/>
  <c r="A725" i="9"/>
  <c r="E724" i="9"/>
  <c r="D724" i="9"/>
  <c r="C724" i="9"/>
  <c r="B724" i="9"/>
  <c r="A724" i="9"/>
  <c r="E723" i="9"/>
  <c r="D723" i="9"/>
  <c r="C723" i="9"/>
  <c r="B723" i="9"/>
  <c r="A723" i="9"/>
  <c r="E722" i="9"/>
  <c r="D722" i="9"/>
  <c r="C722" i="9"/>
  <c r="B722" i="9"/>
  <c r="A722" i="9"/>
  <c r="E721" i="9"/>
  <c r="D721" i="9"/>
  <c r="C721" i="9"/>
  <c r="B721" i="9"/>
  <c r="A721" i="9"/>
  <c r="E720" i="9"/>
  <c r="D720" i="9"/>
  <c r="C720" i="9"/>
  <c r="B720" i="9"/>
  <c r="A720" i="9"/>
  <c r="E719" i="9"/>
  <c r="D719" i="9"/>
  <c r="C719" i="9"/>
  <c r="B719" i="9"/>
  <c r="A719" i="9"/>
  <c r="E718" i="9"/>
  <c r="D718" i="9"/>
  <c r="C718" i="9"/>
  <c r="B718" i="9"/>
  <c r="A718" i="9"/>
  <c r="E717" i="9"/>
  <c r="D717" i="9"/>
  <c r="C717" i="9"/>
  <c r="B717" i="9"/>
  <c r="A717" i="9"/>
  <c r="E716" i="9"/>
  <c r="D716" i="9"/>
  <c r="C716" i="9"/>
  <c r="B716" i="9"/>
  <c r="A716" i="9"/>
  <c r="E715" i="9"/>
  <c r="D715" i="9"/>
  <c r="C715" i="9"/>
  <c r="B715" i="9"/>
  <c r="A715" i="9"/>
  <c r="E714" i="9"/>
  <c r="D714" i="9"/>
  <c r="C714" i="9"/>
  <c r="B714" i="9"/>
  <c r="A714" i="9"/>
  <c r="E713" i="9"/>
  <c r="D713" i="9"/>
  <c r="C713" i="9"/>
  <c r="B713" i="9"/>
  <c r="A713" i="9"/>
  <c r="E712" i="9"/>
  <c r="D712" i="9"/>
  <c r="C712" i="9"/>
  <c r="B712" i="9"/>
  <c r="A712" i="9"/>
  <c r="E711" i="9"/>
  <c r="D711" i="9"/>
  <c r="C711" i="9"/>
  <c r="B711" i="9"/>
  <c r="A711" i="9"/>
  <c r="E710" i="9"/>
  <c r="D710" i="9"/>
  <c r="C710" i="9"/>
  <c r="B710" i="9"/>
  <c r="A710" i="9"/>
  <c r="E709" i="9"/>
  <c r="D709" i="9"/>
  <c r="C709" i="9"/>
  <c r="B709" i="9"/>
  <c r="A709" i="9"/>
  <c r="E708" i="9"/>
  <c r="D708" i="9"/>
  <c r="C708" i="9"/>
  <c r="B708" i="9"/>
  <c r="A708" i="9"/>
  <c r="E707" i="9"/>
  <c r="D707" i="9"/>
  <c r="C707" i="9"/>
  <c r="B707" i="9"/>
  <c r="A707" i="9"/>
  <c r="E706" i="9"/>
  <c r="D706" i="9"/>
  <c r="C706" i="9"/>
  <c r="B706" i="9"/>
  <c r="A706" i="9"/>
  <c r="E705" i="9"/>
  <c r="D705" i="9"/>
  <c r="C705" i="9"/>
  <c r="B705" i="9"/>
  <c r="A705" i="9"/>
  <c r="E704" i="9"/>
  <c r="D704" i="9"/>
  <c r="C704" i="9"/>
  <c r="B704" i="9"/>
  <c r="A704" i="9"/>
  <c r="E703" i="9"/>
  <c r="D703" i="9"/>
  <c r="C703" i="9"/>
  <c r="B703" i="9"/>
  <c r="A703" i="9"/>
  <c r="E702" i="9"/>
  <c r="D702" i="9"/>
  <c r="C702" i="9"/>
  <c r="B702" i="9"/>
  <c r="A702" i="9"/>
  <c r="E701" i="9"/>
  <c r="D701" i="9"/>
  <c r="C701" i="9"/>
  <c r="B701" i="9"/>
  <c r="A701" i="9"/>
  <c r="E700" i="9"/>
  <c r="D700" i="9"/>
  <c r="C700" i="9"/>
  <c r="B700" i="9"/>
  <c r="A700" i="9"/>
  <c r="E699" i="9"/>
  <c r="D699" i="9"/>
  <c r="C699" i="9"/>
  <c r="B699" i="9"/>
  <c r="A699" i="9"/>
  <c r="E698" i="9"/>
  <c r="D698" i="9"/>
  <c r="C698" i="9"/>
  <c r="B698" i="9"/>
  <c r="A698" i="9"/>
  <c r="E697" i="9"/>
  <c r="D697" i="9"/>
  <c r="C697" i="9"/>
  <c r="B697" i="9"/>
  <c r="A697" i="9"/>
  <c r="E696" i="9"/>
  <c r="D696" i="9"/>
  <c r="C696" i="9"/>
  <c r="B696" i="9"/>
  <c r="A696" i="9"/>
  <c r="E695" i="9"/>
  <c r="D695" i="9"/>
  <c r="C695" i="9"/>
  <c r="B695" i="9"/>
  <c r="A695" i="9"/>
  <c r="E694" i="9"/>
  <c r="D694" i="9"/>
  <c r="C694" i="9"/>
  <c r="B694" i="9"/>
  <c r="A694" i="9"/>
  <c r="E693" i="9"/>
  <c r="D693" i="9"/>
  <c r="C693" i="9"/>
  <c r="B693" i="9"/>
  <c r="A693" i="9"/>
  <c r="E692" i="9"/>
  <c r="D692" i="9"/>
  <c r="C692" i="9"/>
  <c r="B692" i="9"/>
  <c r="A692" i="9"/>
  <c r="E691" i="9"/>
  <c r="D691" i="9"/>
  <c r="C691" i="9"/>
  <c r="B691" i="9"/>
  <c r="A691" i="9"/>
  <c r="E690" i="9"/>
  <c r="D690" i="9"/>
  <c r="C690" i="9"/>
  <c r="B690" i="9"/>
  <c r="A690" i="9"/>
  <c r="E689" i="9"/>
  <c r="D689" i="9"/>
  <c r="C689" i="9"/>
  <c r="B689" i="9"/>
  <c r="A689" i="9"/>
  <c r="E688" i="9"/>
  <c r="D688" i="9"/>
  <c r="C688" i="9"/>
  <c r="B688" i="9"/>
  <c r="A688" i="9"/>
  <c r="E687" i="9"/>
  <c r="D687" i="9"/>
  <c r="C687" i="9"/>
  <c r="B687" i="9"/>
  <c r="A687" i="9"/>
  <c r="E686" i="9"/>
  <c r="D686" i="9"/>
  <c r="C686" i="9"/>
  <c r="B686" i="9"/>
  <c r="A686" i="9"/>
  <c r="E685" i="9"/>
  <c r="D685" i="9"/>
  <c r="C685" i="9"/>
  <c r="B685" i="9"/>
  <c r="A685" i="9"/>
  <c r="E684" i="9"/>
  <c r="D684" i="9"/>
  <c r="C684" i="9"/>
  <c r="B684" i="9"/>
  <c r="A684" i="9"/>
  <c r="E683" i="9"/>
  <c r="D683" i="9"/>
  <c r="C683" i="9"/>
  <c r="B683" i="9"/>
  <c r="A683" i="9"/>
  <c r="E682" i="9"/>
  <c r="D682" i="9"/>
  <c r="C682" i="9"/>
  <c r="B682" i="9"/>
  <c r="A682" i="9"/>
  <c r="E681" i="9"/>
  <c r="D681" i="9"/>
  <c r="C681" i="9"/>
  <c r="B681" i="9"/>
  <c r="A681" i="9"/>
  <c r="E680" i="9"/>
  <c r="D680" i="9"/>
  <c r="C680" i="9"/>
  <c r="B680" i="9"/>
  <c r="A680" i="9"/>
  <c r="E679" i="9"/>
  <c r="D679" i="9"/>
  <c r="C679" i="9"/>
  <c r="B679" i="9"/>
  <c r="A679" i="9"/>
  <c r="E678" i="9"/>
  <c r="D678" i="9"/>
  <c r="C678" i="9"/>
  <c r="B678" i="9"/>
  <c r="A678" i="9"/>
  <c r="E677" i="9"/>
  <c r="D677" i="9"/>
  <c r="C677" i="9"/>
  <c r="B677" i="9"/>
  <c r="A677" i="9"/>
  <c r="E676" i="9"/>
  <c r="D676" i="9"/>
  <c r="C676" i="9"/>
  <c r="B676" i="9"/>
  <c r="A676" i="9"/>
  <c r="E675" i="9"/>
  <c r="D675" i="9"/>
  <c r="C675" i="9"/>
  <c r="B675" i="9"/>
  <c r="A675" i="9"/>
  <c r="E674" i="9"/>
  <c r="D674" i="9"/>
  <c r="C674" i="9"/>
  <c r="B674" i="9"/>
  <c r="A674" i="9"/>
  <c r="E673" i="9"/>
  <c r="D673" i="9"/>
  <c r="C673" i="9"/>
  <c r="B673" i="9"/>
  <c r="A673" i="9"/>
  <c r="E672" i="9"/>
  <c r="D672" i="9"/>
  <c r="C672" i="9"/>
  <c r="B672" i="9"/>
  <c r="A672" i="9"/>
  <c r="E671" i="9"/>
  <c r="D671" i="9"/>
  <c r="C671" i="9"/>
  <c r="B671" i="9"/>
  <c r="A671" i="9"/>
  <c r="E670" i="9"/>
  <c r="D670" i="9"/>
  <c r="C670" i="9"/>
  <c r="B670" i="9"/>
  <c r="A670" i="9"/>
  <c r="E669" i="9"/>
  <c r="D669" i="9"/>
  <c r="C669" i="9"/>
  <c r="B669" i="9"/>
  <c r="A669" i="9"/>
  <c r="E668" i="9"/>
  <c r="D668" i="9"/>
  <c r="C668" i="9"/>
  <c r="B668" i="9"/>
  <c r="A668" i="9"/>
  <c r="E667" i="9"/>
  <c r="D667" i="9"/>
  <c r="C667" i="9"/>
  <c r="B667" i="9"/>
  <c r="A667" i="9"/>
  <c r="E666" i="9"/>
  <c r="D666" i="9"/>
  <c r="C666" i="9"/>
  <c r="B666" i="9"/>
  <c r="A666" i="9"/>
  <c r="E665" i="9"/>
  <c r="D665" i="9"/>
  <c r="C665" i="9"/>
  <c r="B665" i="9"/>
  <c r="A665" i="9"/>
  <c r="E664" i="9"/>
  <c r="D664" i="9"/>
  <c r="C664" i="9"/>
  <c r="B664" i="9"/>
  <c r="A664" i="9"/>
  <c r="E663" i="9"/>
  <c r="D663" i="9"/>
  <c r="C663" i="9"/>
  <c r="B663" i="9"/>
  <c r="A663" i="9"/>
  <c r="E662" i="9"/>
  <c r="D662" i="9"/>
  <c r="C662" i="9"/>
  <c r="B662" i="9"/>
  <c r="A662" i="9"/>
  <c r="E661" i="9"/>
  <c r="D661" i="9"/>
  <c r="C661" i="9"/>
  <c r="B661" i="9"/>
  <c r="A661" i="9"/>
  <c r="E660" i="9"/>
  <c r="D660" i="9"/>
  <c r="C660" i="9"/>
  <c r="B660" i="9"/>
  <c r="A660" i="9"/>
  <c r="E659" i="9"/>
  <c r="D659" i="9"/>
  <c r="C659" i="9"/>
  <c r="B659" i="9"/>
  <c r="A659" i="9"/>
  <c r="E658" i="9"/>
  <c r="D658" i="9"/>
  <c r="C658" i="9"/>
  <c r="B658" i="9"/>
  <c r="A658" i="9"/>
  <c r="E657" i="9"/>
  <c r="D657" i="9"/>
  <c r="C657" i="9"/>
  <c r="B657" i="9"/>
  <c r="A657" i="9"/>
  <c r="E656" i="9"/>
  <c r="D656" i="9"/>
  <c r="C656" i="9"/>
  <c r="B656" i="9"/>
  <c r="A656" i="9"/>
  <c r="E655" i="9"/>
  <c r="D655" i="9"/>
  <c r="C655" i="9"/>
  <c r="B655" i="9"/>
  <c r="A655" i="9"/>
  <c r="E654" i="9"/>
  <c r="D654" i="9"/>
  <c r="C654" i="9"/>
  <c r="B654" i="9"/>
  <c r="A654" i="9"/>
  <c r="E653" i="9"/>
  <c r="D653" i="9"/>
  <c r="C653" i="9"/>
  <c r="B653" i="9"/>
  <c r="A653" i="9"/>
  <c r="E652" i="9"/>
  <c r="D652" i="9"/>
  <c r="C652" i="9"/>
  <c r="B652" i="9"/>
  <c r="A652" i="9"/>
  <c r="E651" i="9"/>
  <c r="D651" i="9"/>
  <c r="C651" i="9"/>
  <c r="B651" i="9"/>
  <c r="A651" i="9"/>
  <c r="E650" i="9"/>
  <c r="D650" i="9"/>
  <c r="C650" i="9"/>
  <c r="B650" i="9"/>
  <c r="A650" i="9"/>
  <c r="E649" i="9"/>
  <c r="D649" i="9"/>
  <c r="C649" i="9"/>
  <c r="B649" i="9"/>
  <c r="A649" i="9"/>
  <c r="E648" i="9"/>
  <c r="D648" i="9"/>
  <c r="C648" i="9"/>
  <c r="B648" i="9"/>
  <c r="A648" i="9"/>
  <c r="E647" i="9"/>
  <c r="D647" i="9"/>
  <c r="C647" i="9"/>
  <c r="B647" i="9"/>
  <c r="A647" i="9"/>
  <c r="E646" i="9"/>
  <c r="D646" i="9"/>
  <c r="C646" i="9"/>
  <c r="B646" i="9"/>
  <c r="A646" i="9"/>
  <c r="E645" i="9"/>
  <c r="D645" i="9"/>
  <c r="C645" i="9"/>
  <c r="B645" i="9"/>
  <c r="A645" i="9"/>
  <c r="E644" i="9"/>
  <c r="D644" i="9"/>
  <c r="C644" i="9"/>
  <c r="B644" i="9"/>
  <c r="A644" i="9"/>
  <c r="E643" i="9"/>
  <c r="D643" i="9"/>
  <c r="C643" i="9"/>
  <c r="B643" i="9"/>
  <c r="A643" i="9"/>
  <c r="E642" i="9"/>
  <c r="D642" i="9"/>
  <c r="C642" i="9"/>
  <c r="B642" i="9"/>
  <c r="A642" i="9"/>
  <c r="E641" i="9"/>
  <c r="D641" i="9"/>
  <c r="C641" i="9"/>
  <c r="B641" i="9"/>
  <c r="A641" i="9"/>
  <c r="E640" i="9"/>
  <c r="D640" i="9"/>
  <c r="C640" i="9"/>
  <c r="B640" i="9"/>
  <c r="A640" i="9"/>
  <c r="E639" i="9"/>
  <c r="D639" i="9"/>
  <c r="C639" i="9"/>
  <c r="B639" i="9"/>
  <c r="A639" i="9"/>
  <c r="E638" i="9"/>
  <c r="D638" i="9"/>
  <c r="C638" i="9"/>
  <c r="B638" i="9"/>
  <c r="A638" i="9"/>
  <c r="E637" i="9"/>
  <c r="D637" i="9"/>
  <c r="C637" i="9"/>
  <c r="B637" i="9"/>
  <c r="A637" i="9"/>
  <c r="E636" i="9"/>
  <c r="D636" i="9"/>
  <c r="C636" i="9"/>
  <c r="B636" i="9"/>
  <c r="A636" i="9"/>
  <c r="E635" i="9"/>
  <c r="D635" i="9"/>
  <c r="C635" i="9"/>
  <c r="B635" i="9"/>
  <c r="A635" i="9"/>
  <c r="E634" i="9"/>
  <c r="D634" i="9"/>
  <c r="C634" i="9"/>
  <c r="B634" i="9"/>
  <c r="A634" i="9"/>
  <c r="E633" i="9"/>
  <c r="D633" i="9"/>
  <c r="C633" i="9"/>
  <c r="B633" i="9"/>
  <c r="A633" i="9"/>
  <c r="E632" i="9"/>
  <c r="D632" i="9"/>
  <c r="C632" i="9"/>
  <c r="B632" i="9"/>
  <c r="A632" i="9"/>
  <c r="E631" i="9"/>
  <c r="D631" i="9"/>
  <c r="C631" i="9"/>
  <c r="B631" i="9"/>
  <c r="A631" i="9"/>
  <c r="E630" i="9"/>
  <c r="D630" i="9"/>
  <c r="C630" i="9"/>
  <c r="B630" i="9"/>
  <c r="A630" i="9"/>
  <c r="E629" i="9"/>
  <c r="D629" i="9"/>
  <c r="C629" i="9"/>
  <c r="B629" i="9"/>
  <c r="A629" i="9"/>
  <c r="E628" i="9"/>
  <c r="D628" i="9"/>
  <c r="C628" i="9"/>
  <c r="B628" i="9"/>
  <c r="A628" i="9"/>
  <c r="E627" i="9"/>
  <c r="D627" i="9"/>
  <c r="C627" i="9"/>
  <c r="B627" i="9"/>
  <c r="A627" i="9"/>
  <c r="E626" i="9"/>
  <c r="D626" i="9"/>
  <c r="C626" i="9"/>
  <c r="B626" i="9"/>
  <c r="A626" i="9"/>
  <c r="E625" i="9"/>
  <c r="D625" i="9"/>
  <c r="C625" i="9"/>
  <c r="B625" i="9"/>
  <c r="A625" i="9"/>
  <c r="E624" i="9"/>
  <c r="D624" i="9"/>
  <c r="C624" i="9"/>
  <c r="B624" i="9"/>
  <c r="A624" i="9"/>
  <c r="E623" i="9"/>
  <c r="D623" i="9"/>
  <c r="C623" i="9"/>
  <c r="B623" i="9"/>
  <c r="A623" i="9"/>
  <c r="E622" i="9"/>
  <c r="D622" i="9"/>
  <c r="C622" i="9"/>
  <c r="B622" i="9"/>
  <c r="A622" i="9"/>
  <c r="E621" i="9"/>
  <c r="D621" i="9"/>
  <c r="C621" i="9"/>
  <c r="B621" i="9"/>
  <c r="A621" i="9"/>
  <c r="E620" i="9"/>
  <c r="D620" i="9"/>
  <c r="C620" i="9"/>
  <c r="B620" i="9"/>
  <c r="A620" i="9"/>
  <c r="E619" i="9"/>
  <c r="D619" i="9"/>
  <c r="C619" i="9"/>
  <c r="B619" i="9"/>
  <c r="A619" i="9"/>
  <c r="E618" i="9"/>
  <c r="D618" i="9"/>
  <c r="C618" i="9"/>
  <c r="B618" i="9"/>
  <c r="A618" i="9"/>
  <c r="E617" i="9"/>
  <c r="D617" i="9"/>
  <c r="C617" i="9"/>
  <c r="B617" i="9"/>
  <c r="A617" i="9"/>
  <c r="E616" i="9"/>
  <c r="D616" i="9"/>
  <c r="C616" i="9"/>
  <c r="B616" i="9"/>
  <c r="A616" i="9"/>
  <c r="E615" i="9"/>
  <c r="D615" i="9"/>
  <c r="C615" i="9"/>
  <c r="B615" i="9"/>
  <c r="A615" i="9"/>
  <c r="E614" i="9"/>
  <c r="D614" i="9"/>
  <c r="C614" i="9"/>
  <c r="B614" i="9"/>
  <c r="A614" i="9"/>
  <c r="E613" i="9"/>
  <c r="D613" i="9"/>
  <c r="C613" i="9"/>
  <c r="B613" i="9"/>
  <c r="A613" i="9"/>
  <c r="E612" i="9"/>
  <c r="D612" i="9"/>
  <c r="C612" i="9"/>
  <c r="B612" i="9"/>
  <c r="A612" i="9"/>
  <c r="E611" i="9"/>
  <c r="D611" i="9"/>
  <c r="C611" i="9"/>
  <c r="B611" i="9"/>
  <c r="A611" i="9"/>
  <c r="E610" i="9"/>
  <c r="D610" i="9"/>
  <c r="C610" i="9"/>
  <c r="B610" i="9"/>
  <c r="A610" i="9"/>
  <c r="E609" i="9"/>
  <c r="D609" i="9"/>
  <c r="C609" i="9"/>
  <c r="B609" i="9"/>
  <c r="A609" i="9"/>
  <c r="E608" i="9"/>
  <c r="D608" i="9"/>
  <c r="C608" i="9"/>
  <c r="B608" i="9"/>
  <c r="A608" i="9"/>
  <c r="E607" i="9"/>
  <c r="D607" i="9"/>
  <c r="C607" i="9"/>
  <c r="B607" i="9"/>
  <c r="A607" i="9"/>
  <c r="E606" i="9"/>
  <c r="D606" i="9"/>
  <c r="C606" i="9"/>
  <c r="B606" i="9"/>
  <c r="A606" i="9"/>
  <c r="E605" i="9"/>
  <c r="D605" i="9"/>
  <c r="C605" i="9"/>
  <c r="B605" i="9"/>
  <c r="A605" i="9"/>
  <c r="E604" i="9"/>
  <c r="D604" i="9"/>
  <c r="C604" i="9"/>
  <c r="B604" i="9"/>
  <c r="A604" i="9"/>
  <c r="E603" i="9"/>
  <c r="D603" i="9"/>
  <c r="C603" i="9"/>
  <c r="B603" i="9"/>
  <c r="A603" i="9"/>
  <c r="E602" i="9"/>
  <c r="D602" i="9"/>
  <c r="C602" i="9"/>
  <c r="B602" i="9"/>
  <c r="A602" i="9"/>
  <c r="E601" i="9"/>
  <c r="D601" i="9"/>
  <c r="C601" i="9"/>
  <c r="B601" i="9"/>
  <c r="A601" i="9"/>
  <c r="E600" i="9"/>
  <c r="D600" i="9"/>
  <c r="C600" i="9"/>
  <c r="B600" i="9"/>
  <c r="A600" i="9"/>
  <c r="E599" i="9"/>
  <c r="D599" i="9"/>
  <c r="C599" i="9"/>
  <c r="B599" i="9"/>
  <c r="A599" i="9"/>
  <c r="E598" i="9"/>
  <c r="D598" i="9"/>
  <c r="C598" i="9"/>
  <c r="B598" i="9"/>
  <c r="A598" i="9"/>
  <c r="E597" i="9"/>
  <c r="D597" i="9"/>
  <c r="C597" i="9"/>
  <c r="B597" i="9"/>
  <c r="A597" i="9"/>
  <c r="E596" i="9"/>
  <c r="D596" i="9"/>
  <c r="C596" i="9"/>
  <c r="B596" i="9"/>
  <c r="A596" i="9"/>
  <c r="E595" i="9"/>
  <c r="D595" i="9"/>
  <c r="C595" i="9"/>
  <c r="B595" i="9"/>
  <c r="A595" i="9"/>
  <c r="E594" i="9"/>
  <c r="D594" i="9"/>
  <c r="C594" i="9"/>
  <c r="B594" i="9"/>
  <c r="A594" i="9"/>
  <c r="E593" i="9"/>
  <c r="D593" i="9"/>
  <c r="C593" i="9"/>
  <c r="B593" i="9"/>
  <c r="A593" i="9"/>
  <c r="E592" i="9"/>
  <c r="D592" i="9"/>
  <c r="C592" i="9"/>
  <c r="B592" i="9"/>
  <c r="A592" i="9"/>
  <c r="E591" i="9"/>
  <c r="D591" i="9"/>
  <c r="C591" i="9"/>
  <c r="B591" i="9"/>
  <c r="A591" i="9"/>
  <c r="E590" i="9"/>
  <c r="D590" i="9"/>
  <c r="C590" i="9"/>
  <c r="B590" i="9"/>
  <c r="A590" i="9"/>
  <c r="E589" i="9"/>
  <c r="D589" i="9"/>
  <c r="C589" i="9"/>
  <c r="B589" i="9"/>
  <c r="A589" i="9"/>
  <c r="E588" i="9"/>
  <c r="D588" i="9"/>
  <c r="C588" i="9"/>
  <c r="B588" i="9"/>
  <c r="A588" i="9"/>
  <c r="E587" i="9"/>
  <c r="D587" i="9"/>
  <c r="C587" i="9"/>
  <c r="B587" i="9"/>
  <c r="A587" i="9"/>
  <c r="E586" i="9"/>
  <c r="D586" i="9"/>
  <c r="C586" i="9"/>
  <c r="B586" i="9"/>
  <c r="A586" i="9"/>
  <c r="E585" i="9"/>
  <c r="D585" i="9"/>
  <c r="C585" i="9"/>
  <c r="B585" i="9"/>
  <c r="A585" i="9"/>
  <c r="E584" i="9"/>
  <c r="D584" i="9"/>
  <c r="C584" i="9"/>
  <c r="B584" i="9"/>
  <c r="A584" i="9"/>
  <c r="E583" i="9"/>
  <c r="D583" i="9"/>
  <c r="C583" i="9"/>
  <c r="B583" i="9"/>
  <c r="A583" i="9"/>
  <c r="E582" i="9"/>
  <c r="D582" i="9"/>
  <c r="C582" i="9"/>
  <c r="B582" i="9"/>
  <c r="A582" i="9"/>
  <c r="E581" i="9"/>
  <c r="D581" i="9"/>
  <c r="C581" i="9"/>
  <c r="B581" i="9"/>
  <c r="A581" i="9"/>
  <c r="E580" i="9"/>
  <c r="D580" i="9"/>
  <c r="C580" i="9"/>
  <c r="B580" i="9"/>
  <c r="A580" i="9"/>
  <c r="E579" i="9"/>
  <c r="D579" i="9"/>
  <c r="C579" i="9"/>
  <c r="B579" i="9"/>
  <c r="A579" i="9"/>
  <c r="E578" i="9"/>
  <c r="D578" i="9"/>
  <c r="C578" i="9"/>
  <c r="B578" i="9"/>
  <c r="A578" i="9"/>
  <c r="E577" i="9"/>
  <c r="D577" i="9"/>
  <c r="C577" i="9"/>
  <c r="B577" i="9"/>
  <c r="A577" i="9"/>
  <c r="E576" i="9"/>
  <c r="D576" i="9"/>
  <c r="C576" i="9"/>
  <c r="B576" i="9"/>
  <c r="A576" i="9"/>
  <c r="E575" i="9"/>
  <c r="D575" i="9"/>
  <c r="C575" i="9"/>
  <c r="B575" i="9"/>
  <c r="A575" i="9"/>
  <c r="E574" i="9"/>
  <c r="D574" i="9"/>
  <c r="C574" i="9"/>
  <c r="B574" i="9"/>
  <c r="A574" i="9"/>
  <c r="E573" i="9"/>
  <c r="D573" i="9"/>
  <c r="C573" i="9"/>
  <c r="B573" i="9"/>
  <c r="A573" i="9"/>
  <c r="E572" i="9"/>
  <c r="D572" i="9"/>
  <c r="C572" i="9"/>
  <c r="B572" i="9"/>
  <c r="A572" i="9"/>
  <c r="E571" i="9"/>
  <c r="D571" i="9"/>
  <c r="C571" i="9"/>
  <c r="B571" i="9"/>
  <c r="A571" i="9"/>
  <c r="E570" i="9"/>
  <c r="D570" i="9"/>
  <c r="C570" i="9"/>
  <c r="B570" i="9"/>
  <c r="A570" i="9"/>
  <c r="E569" i="9"/>
  <c r="D569" i="9"/>
  <c r="C569" i="9"/>
  <c r="B569" i="9"/>
  <c r="A569" i="9"/>
  <c r="E568" i="9"/>
  <c r="D568" i="9"/>
  <c r="C568" i="9"/>
  <c r="B568" i="9"/>
  <c r="A568" i="9"/>
  <c r="E567" i="9"/>
  <c r="D567" i="9"/>
  <c r="C567" i="9"/>
  <c r="B567" i="9"/>
  <c r="A567" i="9"/>
  <c r="E566" i="9"/>
  <c r="D566" i="9"/>
  <c r="C566" i="9"/>
  <c r="B566" i="9"/>
  <c r="A566" i="9"/>
  <c r="E565" i="9"/>
  <c r="D565" i="9"/>
  <c r="C565" i="9"/>
  <c r="B565" i="9"/>
  <c r="A565" i="9"/>
  <c r="E564" i="9"/>
  <c r="D564" i="9"/>
  <c r="C564" i="9"/>
  <c r="B564" i="9"/>
  <c r="A564" i="9"/>
  <c r="E563" i="9"/>
  <c r="D563" i="9"/>
  <c r="C563" i="9"/>
  <c r="B563" i="9"/>
  <c r="A563" i="9"/>
  <c r="E562" i="9"/>
  <c r="D562" i="9"/>
  <c r="C562" i="9"/>
  <c r="B562" i="9"/>
  <c r="A562" i="9"/>
  <c r="E561" i="9"/>
  <c r="D561" i="9"/>
  <c r="C561" i="9"/>
  <c r="B561" i="9"/>
  <c r="A561" i="9"/>
  <c r="E560" i="9"/>
  <c r="D560" i="9"/>
  <c r="C560" i="9"/>
  <c r="B560" i="9"/>
  <c r="A560" i="9"/>
  <c r="E559" i="9"/>
  <c r="D559" i="9"/>
  <c r="C559" i="9"/>
  <c r="B559" i="9"/>
  <c r="A559" i="9"/>
  <c r="E558" i="9"/>
  <c r="D558" i="9"/>
  <c r="C558" i="9"/>
  <c r="B558" i="9"/>
  <c r="A558" i="9"/>
  <c r="E557" i="9"/>
  <c r="D557" i="9"/>
  <c r="C557" i="9"/>
  <c r="B557" i="9"/>
  <c r="A557" i="9"/>
  <c r="E556" i="9"/>
  <c r="D556" i="9"/>
  <c r="C556" i="9"/>
  <c r="B556" i="9"/>
  <c r="A556" i="9"/>
  <c r="E555" i="9"/>
  <c r="D555" i="9"/>
  <c r="C555" i="9"/>
  <c r="B555" i="9"/>
  <c r="A555" i="9"/>
  <c r="E554" i="9"/>
  <c r="D554" i="9"/>
  <c r="C554" i="9"/>
  <c r="B554" i="9"/>
  <c r="A554" i="9"/>
  <c r="E553" i="9"/>
  <c r="D553" i="9"/>
  <c r="C553" i="9"/>
  <c r="B553" i="9"/>
  <c r="A553" i="9"/>
  <c r="E552" i="9"/>
  <c r="D552" i="9"/>
  <c r="C552" i="9"/>
  <c r="B552" i="9"/>
  <c r="A552" i="9"/>
  <c r="E551" i="9"/>
  <c r="D551" i="9"/>
  <c r="C551" i="9"/>
  <c r="B551" i="9"/>
  <c r="A551" i="9"/>
  <c r="E550" i="9"/>
  <c r="D550" i="9"/>
  <c r="C550" i="9"/>
  <c r="B550" i="9"/>
  <c r="A550" i="9"/>
  <c r="E549" i="9"/>
  <c r="D549" i="9"/>
  <c r="C549" i="9"/>
  <c r="B549" i="9"/>
  <c r="A549" i="9"/>
  <c r="E548" i="9"/>
  <c r="D548" i="9"/>
  <c r="C548" i="9"/>
  <c r="B548" i="9"/>
  <c r="A548" i="9"/>
  <c r="E547" i="9"/>
  <c r="D547" i="9"/>
  <c r="C547" i="9"/>
  <c r="B547" i="9"/>
  <c r="A547" i="9"/>
  <c r="E546" i="9"/>
  <c r="D546" i="9"/>
  <c r="C546" i="9"/>
  <c r="B546" i="9"/>
  <c r="A546" i="9"/>
  <c r="E545" i="9"/>
  <c r="D545" i="9"/>
  <c r="C545" i="9"/>
  <c r="B545" i="9"/>
  <c r="A545" i="9"/>
  <c r="E544" i="9"/>
  <c r="D544" i="9"/>
  <c r="C544" i="9"/>
  <c r="B544" i="9"/>
  <c r="A544" i="9"/>
  <c r="E543" i="9"/>
  <c r="D543" i="9"/>
  <c r="C543" i="9"/>
  <c r="B543" i="9"/>
  <c r="A543" i="9"/>
  <c r="E542" i="9"/>
  <c r="D542" i="9"/>
  <c r="C542" i="9"/>
  <c r="B542" i="9"/>
  <c r="A542" i="9"/>
  <c r="E541" i="9"/>
  <c r="D541" i="9"/>
  <c r="C541" i="9"/>
  <c r="B541" i="9"/>
  <c r="A541" i="9"/>
  <c r="E540" i="9"/>
  <c r="D540" i="9"/>
  <c r="C540" i="9"/>
  <c r="B540" i="9"/>
  <c r="A540" i="9"/>
  <c r="E539" i="9"/>
  <c r="D539" i="9"/>
  <c r="C539" i="9"/>
  <c r="B539" i="9"/>
  <c r="A539" i="9"/>
  <c r="E538" i="9"/>
  <c r="D538" i="9"/>
  <c r="C538" i="9"/>
  <c r="B538" i="9"/>
  <c r="A538" i="9"/>
  <c r="E537" i="9"/>
  <c r="D537" i="9"/>
  <c r="C537" i="9"/>
  <c r="B537" i="9"/>
  <c r="A537" i="9"/>
  <c r="E536" i="9"/>
  <c r="D536" i="9"/>
  <c r="C536" i="9"/>
  <c r="B536" i="9"/>
  <c r="A536" i="9"/>
  <c r="E535" i="9"/>
  <c r="D535" i="9"/>
  <c r="C535" i="9"/>
  <c r="B535" i="9"/>
  <c r="A535" i="9"/>
  <c r="E534" i="9"/>
  <c r="D534" i="9"/>
  <c r="C534" i="9"/>
  <c r="B534" i="9"/>
  <c r="A534" i="9"/>
  <c r="E533" i="9"/>
  <c r="D533" i="9"/>
  <c r="C533" i="9"/>
  <c r="B533" i="9"/>
  <c r="A533" i="9"/>
  <c r="E532" i="9"/>
  <c r="D532" i="9"/>
  <c r="C532" i="9"/>
  <c r="B532" i="9"/>
  <c r="A532" i="9"/>
  <c r="E531" i="9"/>
  <c r="D531" i="9"/>
  <c r="C531" i="9"/>
  <c r="B531" i="9"/>
  <c r="A531" i="9"/>
  <c r="E530" i="9"/>
  <c r="D530" i="9"/>
  <c r="C530" i="9"/>
  <c r="B530" i="9"/>
  <c r="A530" i="9"/>
  <c r="E529" i="9"/>
  <c r="D529" i="9"/>
  <c r="C529" i="9"/>
  <c r="B529" i="9"/>
  <c r="A529" i="9"/>
  <c r="E528" i="9"/>
  <c r="D528" i="9"/>
  <c r="C528" i="9"/>
  <c r="B528" i="9"/>
  <c r="A528" i="9"/>
  <c r="E527" i="9"/>
  <c r="D527" i="9"/>
  <c r="C527" i="9"/>
  <c r="B527" i="9"/>
  <c r="A527" i="9"/>
  <c r="E526" i="9"/>
  <c r="D526" i="9"/>
  <c r="C526" i="9"/>
  <c r="B526" i="9"/>
  <c r="A526" i="9"/>
  <c r="E525" i="9"/>
  <c r="D525" i="9"/>
  <c r="C525" i="9"/>
  <c r="B525" i="9"/>
  <c r="A525" i="9"/>
  <c r="E524" i="9"/>
  <c r="D524" i="9"/>
  <c r="C524" i="9"/>
  <c r="B524" i="9"/>
  <c r="A524" i="9"/>
  <c r="E523" i="9"/>
  <c r="D523" i="9"/>
  <c r="C523" i="9"/>
  <c r="B523" i="9"/>
  <c r="A523" i="9"/>
  <c r="E522" i="9"/>
  <c r="D522" i="9"/>
  <c r="C522" i="9"/>
  <c r="B522" i="9"/>
  <c r="A522" i="9"/>
  <c r="E521" i="9"/>
  <c r="D521" i="9"/>
  <c r="C521" i="9"/>
  <c r="B521" i="9"/>
  <c r="A521" i="9"/>
  <c r="E520" i="9"/>
  <c r="D520" i="9"/>
  <c r="C520" i="9"/>
  <c r="B520" i="9"/>
  <c r="A520" i="9"/>
  <c r="E519" i="9"/>
  <c r="D519" i="9"/>
  <c r="C519" i="9"/>
  <c r="B519" i="9"/>
  <c r="A519" i="9"/>
  <c r="E518" i="9"/>
  <c r="D518" i="9"/>
  <c r="C518" i="9"/>
  <c r="B518" i="9"/>
  <c r="A518" i="9"/>
  <c r="E517" i="9"/>
  <c r="D517" i="9"/>
  <c r="C517" i="9"/>
  <c r="B517" i="9"/>
  <c r="A517" i="9"/>
  <c r="E516" i="9"/>
  <c r="D516" i="9"/>
  <c r="C516" i="9"/>
  <c r="B516" i="9"/>
  <c r="A516" i="9"/>
  <c r="E515" i="9"/>
  <c r="D515" i="9"/>
  <c r="C515" i="9"/>
  <c r="B515" i="9"/>
  <c r="A515" i="9"/>
  <c r="E514" i="9"/>
  <c r="D514" i="9"/>
  <c r="C514" i="9"/>
  <c r="B514" i="9"/>
  <c r="A514" i="9"/>
  <c r="E513" i="9"/>
  <c r="D513" i="9"/>
  <c r="C513" i="9"/>
  <c r="B513" i="9"/>
  <c r="A513" i="9"/>
  <c r="E512" i="9"/>
  <c r="D512" i="9"/>
  <c r="C512" i="9"/>
  <c r="B512" i="9"/>
  <c r="A512" i="9"/>
  <c r="E511" i="9"/>
  <c r="D511" i="9"/>
  <c r="C511" i="9"/>
  <c r="B511" i="9"/>
  <c r="A511" i="9"/>
  <c r="E510" i="9"/>
  <c r="D510" i="9"/>
  <c r="C510" i="9"/>
  <c r="B510" i="9"/>
  <c r="A510" i="9"/>
  <c r="E509" i="9"/>
  <c r="D509" i="9"/>
  <c r="C509" i="9"/>
  <c r="B509" i="9"/>
  <c r="A509" i="9"/>
  <c r="E508" i="9"/>
  <c r="D508" i="9"/>
  <c r="C508" i="9"/>
  <c r="B508" i="9"/>
  <c r="A508" i="9"/>
  <c r="E507" i="9"/>
  <c r="D507" i="9"/>
  <c r="C507" i="9"/>
  <c r="B507" i="9"/>
  <c r="A507" i="9"/>
  <c r="E506" i="9"/>
  <c r="D506" i="9"/>
  <c r="C506" i="9"/>
  <c r="B506" i="9"/>
  <c r="A506" i="9"/>
  <c r="E505" i="9"/>
  <c r="D505" i="9"/>
  <c r="C505" i="9"/>
  <c r="B505" i="9"/>
  <c r="A505" i="9"/>
  <c r="E504" i="9"/>
  <c r="D504" i="9"/>
  <c r="C504" i="9"/>
  <c r="B504" i="9"/>
  <c r="A504" i="9"/>
  <c r="E503" i="9"/>
  <c r="D503" i="9"/>
  <c r="C503" i="9"/>
  <c r="B503" i="9"/>
  <c r="A503" i="9"/>
  <c r="E502" i="9"/>
  <c r="D502" i="9"/>
  <c r="C502" i="9"/>
  <c r="B502" i="9"/>
  <c r="A502" i="9"/>
  <c r="E501" i="9"/>
  <c r="D501" i="9"/>
  <c r="C501" i="9"/>
  <c r="B501" i="9"/>
  <c r="A501" i="9"/>
  <c r="E500" i="9"/>
  <c r="D500" i="9"/>
  <c r="C500" i="9"/>
  <c r="B500" i="9"/>
  <c r="A500" i="9"/>
  <c r="E499" i="9"/>
  <c r="D499" i="9"/>
  <c r="C499" i="9"/>
  <c r="B499" i="9"/>
  <c r="A499" i="9"/>
  <c r="E498" i="9"/>
  <c r="D498" i="9"/>
  <c r="C498" i="9"/>
  <c r="B498" i="9"/>
  <c r="A498" i="9"/>
  <c r="E497" i="9"/>
  <c r="D497" i="9"/>
  <c r="C497" i="9"/>
  <c r="B497" i="9"/>
  <c r="A497" i="9"/>
  <c r="E496" i="9"/>
  <c r="D496" i="9"/>
  <c r="C496" i="9"/>
  <c r="B496" i="9"/>
  <c r="A496" i="9"/>
  <c r="E495" i="9"/>
  <c r="D495" i="9"/>
  <c r="C495" i="9"/>
  <c r="B495" i="9"/>
  <c r="A495" i="9"/>
  <c r="E494" i="9"/>
  <c r="D494" i="9"/>
  <c r="C494" i="9"/>
  <c r="B494" i="9"/>
  <c r="A494" i="9"/>
  <c r="E493" i="9"/>
  <c r="D493" i="9"/>
  <c r="C493" i="9"/>
  <c r="B493" i="9"/>
  <c r="A493" i="9"/>
  <c r="E492" i="9"/>
  <c r="D492" i="9"/>
  <c r="C492" i="9"/>
  <c r="B492" i="9"/>
  <c r="A492" i="9"/>
  <c r="E491" i="9"/>
  <c r="D491" i="9"/>
  <c r="C491" i="9"/>
  <c r="B491" i="9"/>
  <c r="A491" i="9"/>
  <c r="E490" i="9"/>
  <c r="D490" i="9"/>
  <c r="C490" i="9"/>
  <c r="B490" i="9"/>
  <c r="A490" i="9"/>
  <c r="E489" i="9"/>
  <c r="D489" i="9"/>
  <c r="C489" i="9"/>
  <c r="B489" i="9"/>
  <c r="A489" i="9"/>
  <c r="E488" i="9"/>
  <c r="D488" i="9"/>
  <c r="C488" i="9"/>
  <c r="B488" i="9"/>
  <c r="A488" i="9"/>
  <c r="E487" i="9"/>
  <c r="D487" i="9"/>
  <c r="C487" i="9"/>
  <c r="B487" i="9"/>
  <c r="A487" i="9"/>
  <c r="E486" i="9"/>
  <c r="D486" i="9"/>
  <c r="C486" i="9"/>
  <c r="B486" i="9"/>
  <c r="A486" i="9"/>
  <c r="E485" i="9"/>
  <c r="D485" i="9"/>
  <c r="C485" i="9"/>
  <c r="B485" i="9"/>
  <c r="A485" i="9"/>
  <c r="E484" i="9"/>
  <c r="D484" i="9"/>
  <c r="C484" i="9"/>
  <c r="B484" i="9"/>
  <c r="A484" i="9"/>
  <c r="E483" i="9"/>
  <c r="D483" i="9"/>
  <c r="C483" i="9"/>
  <c r="B483" i="9"/>
  <c r="A483" i="9"/>
  <c r="E482" i="9"/>
  <c r="D482" i="9"/>
  <c r="C482" i="9"/>
  <c r="B482" i="9"/>
  <c r="A482" i="9"/>
  <c r="E481" i="9"/>
  <c r="D481" i="9"/>
  <c r="C481" i="9"/>
  <c r="B481" i="9"/>
  <c r="A481" i="9"/>
  <c r="E480" i="9"/>
  <c r="D480" i="9"/>
  <c r="C480" i="9"/>
  <c r="B480" i="9"/>
  <c r="A480" i="9"/>
  <c r="E479" i="9"/>
  <c r="D479" i="9"/>
  <c r="C479" i="9"/>
  <c r="B479" i="9"/>
  <c r="A479" i="9"/>
  <c r="E478" i="9"/>
  <c r="D478" i="9"/>
  <c r="C478" i="9"/>
  <c r="B478" i="9"/>
  <c r="A478" i="9"/>
  <c r="E477" i="9"/>
  <c r="D477" i="9"/>
  <c r="C477" i="9"/>
  <c r="B477" i="9"/>
  <c r="A477" i="9"/>
  <c r="E476" i="9"/>
  <c r="D476" i="9"/>
  <c r="C476" i="9"/>
  <c r="B476" i="9"/>
  <c r="A476" i="9"/>
  <c r="E475" i="9"/>
  <c r="D475" i="9"/>
  <c r="C475" i="9"/>
  <c r="B475" i="9"/>
  <c r="A475" i="9"/>
  <c r="E474" i="9"/>
  <c r="D474" i="9"/>
  <c r="C474" i="9"/>
  <c r="B474" i="9"/>
  <c r="A474" i="9"/>
  <c r="E473" i="9"/>
  <c r="D473" i="9"/>
  <c r="C473" i="9"/>
  <c r="B473" i="9"/>
  <c r="A473" i="9"/>
  <c r="E472" i="9"/>
  <c r="D472" i="9"/>
  <c r="C472" i="9"/>
  <c r="B472" i="9"/>
  <c r="A472" i="9"/>
  <c r="E471" i="9"/>
  <c r="D471" i="9"/>
  <c r="C471" i="9"/>
  <c r="B471" i="9"/>
  <c r="A471" i="9"/>
  <c r="E470" i="9"/>
  <c r="D470" i="9"/>
  <c r="C470" i="9"/>
  <c r="B470" i="9"/>
  <c r="A470" i="9"/>
  <c r="E469" i="9"/>
  <c r="D469" i="9"/>
  <c r="C469" i="9"/>
  <c r="B469" i="9"/>
  <c r="A469" i="9"/>
  <c r="E468" i="9"/>
  <c r="D468" i="9"/>
  <c r="C468" i="9"/>
  <c r="B468" i="9"/>
  <c r="A468" i="9"/>
  <c r="E467" i="9"/>
  <c r="D467" i="9"/>
  <c r="C467" i="9"/>
  <c r="B467" i="9"/>
  <c r="A467" i="9"/>
  <c r="E466" i="9"/>
  <c r="D466" i="9"/>
  <c r="C466" i="9"/>
  <c r="B466" i="9"/>
  <c r="A466" i="9"/>
  <c r="E465" i="9"/>
  <c r="D465" i="9"/>
  <c r="C465" i="9"/>
  <c r="B465" i="9"/>
  <c r="A465" i="9"/>
  <c r="E464" i="9"/>
  <c r="D464" i="9"/>
  <c r="C464" i="9"/>
  <c r="B464" i="9"/>
  <c r="A464" i="9"/>
  <c r="E463" i="9"/>
  <c r="D463" i="9"/>
  <c r="C463" i="9"/>
  <c r="B463" i="9"/>
  <c r="A463" i="9"/>
  <c r="E462" i="9"/>
  <c r="D462" i="9"/>
  <c r="C462" i="9"/>
  <c r="B462" i="9"/>
  <c r="A462" i="9"/>
  <c r="E461" i="9"/>
  <c r="D461" i="9"/>
  <c r="C461" i="9"/>
  <c r="B461" i="9"/>
  <c r="A461" i="9"/>
  <c r="E460" i="9"/>
  <c r="D460" i="9"/>
  <c r="C460" i="9"/>
  <c r="B460" i="9"/>
  <c r="A460" i="9"/>
  <c r="E459" i="9"/>
  <c r="D459" i="9"/>
  <c r="C459" i="9"/>
  <c r="B459" i="9"/>
  <c r="A459" i="9"/>
  <c r="E458" i="9"/>
  <c r="D458" i="9"/>
  <c r="C458" i="9"/>
  <c r="B458" i="9"/>
  <c r="A458" i="9"/>
  <c r="E457" i="9"/>
  <c r="D457" i="9"/>
  <c r="C457" i="9"/>
  <c r="B457" i="9"/>
  <c r="A457" i="9"/>
  <c r="E456" i="9"/>
  <c r="D456" i="9"/>
  <c r="C456" i="9"/>
  <c r="B456" i="9"/>
  <c r="A456" i="9"/>
  <c r="E455" i="9"/>
  <c r="D455" i="9"/>
  <c r="C455" i="9"/>
  <c r="B455" i="9"/>
  <c r="A455" i="9"/>
  <c r="E454" i="9"/>
  <c r="D454" i="9"/>
  <c r="C454" i="9"/>
  <c r="B454" i="9"/>
  <c r="A454" i="9"/>
  <c r="E453" i="9"/>
  <c r="D453" i="9"/>
  <c r="C453" i="9"/>
  <c r="B453" i="9"/>
  <c r="A453" i="9"/>
  <c r="E452" i="9"/>
  <c r="D452" i="9"/>
  <c r="C452" i="9"/>
  <c r="B452" i="9"/>
  <c r="A452" i="9"/>
  <c r="E451" i="9"/>
  <c r="D451" i="9"/>
  <c r="C451" i="9"/>
  <c r="B451" i="9"/>
  <c r="A451" i="9"/>
  <c r="E450" i="9"/>
  <c r="D450" i="9"/>
  <c r="C450" i="9"/>
  <c r="B450" i="9"/>
  <c r="A450" i="9"/>
  <c r="E449" i="9"/>
  <c r="D449" i="9"/>
  <c r="C449" i="9"/>
  <c r="B449" i="9"/>
  <c r="A449" i="9"/>
  <c r="E448" i="9"/>
  <c r="D448" i="9"/>
  <c r="C448" i="9"/>
  <c r="B448" i="9"/>
  <c r="A448" i="9"/>
  <c r="E447" i="9"/>
  <c r="D447" i="9"/>
  <c r="C447" i="9"/>
  <c r="B447" i="9"/>
  <c r="A447" i="9"/>
  <c r="E446" i="9"/>
  <c r="D446" i="9"/>
  <c r="C446" i="9"/>
  <c r="B446" i="9"/>
  <c r="A446" i="9"/>
  <c r="E445" i="9"/>
  <c r="D445" i="9"/>
  <c r="C445" i="9"/>
  <c r="B445" i="9"/>
  <c r="A445" i="9"/>
  <c r="E444" i="9"/>
  <c r="D444" i="9"/>
  <c r="C444" i="9"/>
  <c r="B444" i="9"/>
  <c r="A444" i="9"/>
  <c r="E443" i="9"/>
  <c r="D443" i="9"/>
  <c r="C443" i="9"/>
  <c r="B443" i="9"/>
  <c r="A443" i="9"/>
  <c r="E442" i="9"/>
  <c r="D442" i="9"/>
  <c r="C442" i="9"/>
  <c r="B442" i="9"/>
  <c r="A442" i="9"/>
  <c r="E441" i="9"/>
  <c r="D441" i="9"/>
  <c r="C441" i="9"/>
  <c r="B441" i="9"/>
  <c r="A441" i="9"/>
  <c r="E440" i="9"/>
  <c r="D440" i="9"/>
  <c r="C440" i="9"/>
  <c r="B440" i="9"/>
  <c r="A440" i="9"/>
  <c r="E439" i="9"/>
  <c r="D439" i="9"/>
  <c r="C439" i="9"/>
  <c r="B439" i="9"/>
  <c r="A439" i="9"/>
  <c r="E438" i="9"/>
  <c r="D438" i="9"/>
  <c r="C438" i="9"/>
  <c r="B438" i="9"/>
  <c r="A438" i="9"/>
  <c r="E437" i="9"/>
  <c r="D437" i="9"/>
  <c r="C437" i="9"/>
  <c r="B437" i="9"/>
  <c r="A437" i="9"/>
  <c r="E436" i="9"/>
  <c r="D436" i="9"/>
  <c r="C436" i="9"/>
  <c r="B436" i="9"/>
  <c r="A436" i="9"/>
  <c r="E435" i="9"/>
  <c r="D435" i="9"/>
  <c r="C435" i="9"/>
  <c r="B435" i="9"/>
  <c r="A435" i="9"/>
  <c r="E434" i="9"/>
  <c r="D434" i="9"/>
  <c r="C434" i="9"/>
  <c r="B434" i="9"/>
  <c r="A434" i="9"/>
  <c r="E433" i="9"/>
  <c r="D433" i="9"/>
  <c r="C433" i="9"/>
  <c r="B433" i="9"/>
  <c r="A433" i="9"/>
  <c r="E432" i="9"/>
  <c r="D432" i="9"/>
  <c r="C432" i="9"/>
  <c r="B432" i="9"/>
  <c r="A432" i="9"/>
  <c r="E431" i="9"/>
  <c r="D431" i="9"/>
  <c r="C431" i="9"/>
  <c r="B431" i="9"/>
  <c r="A431" i="9"/>
  <c r="E430" i="9"/>
  <c r="D430" i="9"/>
  <c r="C430" i="9"/>
  <c r="B430" i="9"/>
  <c r="A430" i="9"/>
  <c r="E429" i="9"/>
  <c r="D429" i="9"/>
  <c r="C429" i="9"/>
  <c r="B429" i="9"/>
  <c r="A429" i="9"/>
  <c r="E428" i="9"/>
  <c r="D428" i="9"/>
  <c r="C428" i="9"/>
  <c r="B428" i="9"/>
  <c r="A428" i="9"/>
  <c r="E427" i="9"/>
  <c r="D427" i="9"/>
  <c r="C427" i="9"/>
  <c r="B427" i="9"/>
  <c r="A427" i="9"/>
  <c r="E426" i="9"/>
  <c r="D426" i="9"/>
  <c r="C426" i="9"/>
  <c r="B426" i="9"/>
  <c r="A426" i="9"/>
  <c r="E425" i="9"/>
  <c r="D425" i="9"/>
  <c r="C425" i="9"/>
  <c r="B425" i="9"/>
  <c r="A425" i="9"/>
  <c r="E424" i="9"/>
  <c r="D424" i="9"/>
  <c r="C424" i="9"/>
  <c r="B424" i="9"/>
  <c r="A424" i="9"/>
  <c r="E423" i="9"/>
  <c r="D423" i="9"/>
  <c r="C423" i="9"/>
  <c r="B423" i="9"/>
  <c r="A423" i="9"/>
  <c r="E422" i="9"/>
  <c r="D422" i="9"/>
  <c r="C422" i="9"/>
  <c r="B422" i="9"/>
  <c r="A422" i="9"/>
  <c r="E421" i="9"/>
  <c r="D421" i="9"/>
  <c r="C421" i="9"/>
  <c r="B421" i="9"/>
  <c r="A421" i="9"/>
  <c r="E420" i="9"/>
  <c r="D420" i="9"/>
  <c r="C420" i="9"/>
  <c r="B420" i="9"/>
  <c r="A420" i="9"/>
  <c r="E419" i="9"/>
  <c r="D419" i="9"/>
  <c r="C419" i="9"/>
  <c r="B419" i="9"/>
  <c r="A419" i="9"/>
  <c r="E418" i="9"/>
  <c r="D418" i="9"/>
  <c r="C418" i="9"/>
  <c r="B418" i="9"/>
  <c r="A418" i="9"/>
  <c r="E417" i="9"/>
  <c r="D417" i="9"/>
  <c r="C417" i="9"/>
  <c r="B417" i="9"/>
  <c r="A417" i="9"/>
  <c r="E416" i="9"/>
  <c r="D416" i="9"/>
  <c r="C416" i="9"/>
  <c r="B416" i="9"/>
  <c r="A416" i="9"/>
  <c r="E415" i="9"/>
  <c r="D415" i="9"/>
  <c r="C415" i="9"/>
  <c r="B415" i="9"/>
  <c r="A415" i="9"/>
  <c r="E414" i="9"/>
  <c r="D414" i="9"/>
  <c r="C414" i="9"/>
  <c r="B414" i="9"/>
  <c r="A414" i="9"/>
  <c r="E413" i="9"/>
  <c r="D413" i="9"/>
  <c r="C413" i="9"/>
  <c r="B413" i="9"/>
  <c r="A413" i="9"/>
  <c r="E412" i="9"/>
  <c r="D412" i="9"/>
  <c r="C412" i="9"/>
  <c r="B412" i="9"/>
  <c r="A412" i="9"/>
  <c r="E411" i="9"/>
  <c r="D411" i="9"/>
  <c r="C411" i="9"/>
  <c r="B411" i="9"/>
  <c r="A411" i="9"/>
  <c r="E410" i="9"/>
  <c r="D410" i="9"/>
  <c r="C410" i="9"/>
  <c r="B410" i="9"/>
  <c r="A410" i="9"/>
  <c r="E409" i="9"/>
  <c r="D409" i="9"/>
  <c r="C409" i="9"/>
  <c r="B409" i="9"/>
  <c r="A409" i="9"/>
  <c r="E408" i="9"/>
  <c r="D408" i="9"/>
  <c r="C408" i="9"/>
  <c r="B408" i="9"/>
  <c r="A408" i="9"/>
  <c r="E407" i="9"/>
  <c r="D407" i="9"/>
  <c r="C407" i="9"/>
  <c r="B407" i="9"/>
  <c r="A407" i="9"/>
  <c r="E406" i="9"/>
  <c r="D406" i="9"/>
  <c r="C406" i="9"/>
  <c r="B406" i="9"/>
  <c r="A406" i="9"/>
  <c r="E405" i="9"/>
  <c r="D405" i="9"/>
  <c r="C405" i="9"/>
  <c r="B405" i="9"/>
  <c r="A405" i="9"/>
  <c r="E404" i="9"/>
  <c r="D404" i="9"/>
  <c r="C404" i="9"/>
  <c r="B404" i="9"/>
  <c r="A404" i="9"/>
  <c r="E403" i="9"/>
  <c r="D403" i="9"/>
  <c r="C403" i="9"/>
  <c r="B403" i="9"/>
  <c r="A403" i="9"/>
  <c r="E402" i="9"/>
  <c r="D402" i="9"/>
  <c r="C402" i="9"/>
  <c r="B402" i="9"/>
  <c r="A402" i="9"/>
  <c r="E401" i="9"/>
  <c r="D401" i="9"/>
  <c r="C401" i="9"/>
  <c r="B401" i="9"/>
  <c r="A401" i="9"/>
  <c r="E400" i="9"/>
  <c r="D400" i="9"/>
  <c r="C400" i="9"/>
  <c r="B400" i="9"/>
  <c r="A400" i="9"/>
  <c r="E399" i="9"/>
  <c r="D399" i="9"/>
  <c r="C399" i="9"/>
  <c r="B399" i="9"/>
  <c r="A399" i="9"/>
  <c r="E398" i="9"/>
  <c r="D398" i="9"/>
  <c r="C398" i="9"/>
  <c r="B398" i="9"/>
  <c r="A398" i="9"/>
  <c r="E397" i="9"/>
  <c r="D397" i="9"/>
  <c r="C397" i="9"/>
  <c r="B397" i="9"/>
  <c r="A397" i="9"/>
  <c r="E396" i="9"/>
  <c r="D396" i="9"/>
  <c r="C396" i="9"/>
  <c r="B396" i="9"/>
  <c r="A396" i="9"/>
  <c r="E395" i="9"/>
  <c r="D395" i="9"/>
  <c r="C395" i="9"/>
  <c r="B395" i="9"/>
  <c r="A395" i="9"/>
  <c r="E394" i="9"/>
  <c r="D394" i="9"/>
  <c r="C394" i="9"/>
  <c r="B394" i="9"/>
  <c r="A394" i="9"/>
  <c r="E393" i="9"/>
  <c r="D393" i="9"/>
  <c r="C393" i="9"/>
  <c r="B393" i="9"/>
  <c r="A393" i="9"/>
  <c r="E392" i="9"/>
  <c r="D392" i="9"/>
  <c r="C392" i="9"/>
  <c r="B392" i="9"/>
  <c r="A392" i="9"/>
  <c r="E391" i="9"/>
  <c r="D391" i="9"/>
  <c r="C391" i="9"/>
  <c r="B391" i="9"/>
  <c r="A391" i="9"/>
  <c r="E390" i="9"/>
  <c r="D390" i="9"/>
  <c r="C390" i="9"/>
  <c r="B390" i="9"/>
  <c r="A390" i="9"/>
  <c r="E389" i="9"/>
  <c r="D389" i="9"/>
  <c r="C389" i="9"/>
  <c r="B389" i="9"/>
  <c r="A389" i="9"/>
  <c r="E388" i="9"/>
  <c r="D388" i="9"/>
  <c r="C388" i="9"/>
  <c r="B388" i="9"/>
  <c r="A388" i="9"/>
  <c r="E387" i="9"/>
  <c r="D387" i="9"/>
  <c r="C387" i="9"/>
  <c r="B387" i="9"/>
  <c r="A387" i="9"/>
  <c r="E386" i="9"/>
  <c r="D386" i="9"/>
  <c r="C386" i="9"/>
  <c r="B386" i="9"/>
  <c r="A386" i="9"/>
  <c r="E385" i="9"/>
  <c r="D385" i="9"/>
  <c r="C385" i="9"/>
  <c r="B385" i="9"/>
  <c r="A385" i="9"/>
  <c r="E384" i="9"/>
  <c r="D384" i="9"/>
  <c r="C384" i="9"/>
  <c r="B384" i="9"/>
  <c r="A384" i="9"/>
  <c r="E383" i="9"/>
  <c r="D383" i="9"/>
  <c r="C383" i="9"/>
  <c r="B383" i="9"/>
  <c r="A383" i="9"/>
  <c r="E382" i="9"/>
  <c r="D382" i="9"/>
  <c r="C382" i="9"/>
  <c r="B382" i="9"/>
  <c r="A382" i="9"/>
  <c r="E381" i="9"/>
  <c r="D381" i="9"/>
  <c r="C381" i="9"/>
  <c r="B381" i="9"/>
  <c r="A381" i="9"/>
  <c r="E380" i="9"/>
  <c r="D380" i="9"/>
  <c r="C380" i="9"/>
  <c r="B380" i="9"/>
  <c r="A380" i="9"/>
  <c r="E379" i="9"/>
  <c r="D379" i="9"/>
  <c r="C379" i="9"/>
  <c r="B379" i="9"/>
  <c r="A379" i="9"/>
  <c r="E378" i="9"/>
  <c r="D378" i="9"/>
  <c r="C378" i="9"/>
  <c r="B378" i="9"/>
  <c r="A378" i="9"/>
  <c r="E377" i="9"/>
  <c r="D377" i="9"/>
  <c r="C377" i="9"/>
  <c r="B377" i="9"/>
  <c r="A377" i="9"/>
  <c r="E376" i="9"/>
  <c r="D376" i="9"/>
  <c r="C376" i="9"/>
  <c r="B376" i="9"/>
  <c r="A376" i="9"/>
  <c r="E375" i="9"/>
  <c r="D375" i="9"/>
  <c r="C375" i="9"/>
  <c r="B375" i="9"/>
  <c r="A375" i="9"/>
  <c r="E374" i="9"/>
  <c r="D374" i="9"/>
  <c r="C374" i="9"/>
  <c r="B374" i="9"/>
  <c r="A374" i="9"/>
  <c r="E373" i="9"/>
  <c r="D373" i="9"/>
  <c r="C373" i="9"/>
  <c r="B373" i="9"/>
  <c r="A373" i="9"/>
  <c r="E372" i="9"/>
  <c r="D372" i="9"/>
  <c r="C372" i="9"/>
  <c r="B372" i="9"/>
  <c r="A372" i="9"/>
  <c r="E371" i="9"/>
  <c r="D371" i="9"/>
  <c r="C371" i="9"/>
  <c r="B371" i="9"/>
  <c r="A371" i="9"/>
  <c r="E370" i="9"/>
  <c r="D370" i="9"/>
  <c r="C370" i="9"/>
  <c r="B370" i="9"/>
  <c r="A370" i="9"/>
  <c r="E369" i="9"/>
  <c r="D369" i="9"/>
  <c r="C369" i="9"/>
  <c r="B369" i="9"/>
  <c r="A369" i="9"/>
  <c r="E368" i="9"/>
  <c r="D368" i="9"/>
  <c r="C368" i="9"/>
  <c r="B368" i="9"/>
  <c r="A368" i="9"/>
  <c r="E367" i="9"/>
  <c r="D367" i="9"/>
  <c r="C367" i="9"/>
  <c r="B367" i="9"/>
  <c r="A367" i="9"/>
  <c r="E366" i="9"/>
  <c r="D366" i="9"/>
  <c r="C366" i="9"/>
  <c r="B366" i="9"/>
  <c r="A366" i="9"/>
  <c r="E365" i="9"/>
  <c r="D365" i="9"/>
  <c r="C365" i="9"/>
  <c r="B365" i="9"/>
  <c r="A365" i="9"/>
  <c r="E364" i="9"/>
  <c r="D364" i="9"/>
  <c r="C364" i="9"/>
  <c r="B364" i="9"/>
  <c r="A364" i="9"/>
  <c r="E363" i="9"/>
  <c r="D363" i="9"/>
  <c r="C363" i="9"/>
  <c r="B363" i="9"/>
  <c r="A363" i="9"/>
  <c r="E362" i="9"/>
  <c r="D362" i="9"/>
  <c r="C362" i="9"/>
  <c r="B362" i="9"/>
  <c r="A362" i="9"/>
  <c r="E361" i="9"/>
  <c r="D361" i="9"/>
  <c r="C361" i="9"/>
  <c r="B361" i="9"/>
  <c r="A361" i="9"/>
  <c r="E360" i="9"/>
  <c r="D360" i="9"/>
  <c r="C360" i="9"/>
  <c r="B360" i="9"/>
  <c r="A360" i="9"/>
  <c r="E359" i="9"/>
  <c r="D359" i="9"/>
  <c r="C359" i="9"/>
  <c r="B359" i="9"/>
  <c r="A359" i="9"/>
  <c r="E358" i="9"/>
  <c r="D358" i="9"/>
  <c r="C358" i="9"/>
  <c r="B358" i="9"/>
  <c r="A358" i="9"/>
  <c r="E357" i="9"/>
  <c r="D357" i="9"/>
  <c r="C357" i="9"/>
  <c r="B357" i="9"/>
  <c r="A357" i="9"/>
  <c r="E356" i="9"/>
  <c r="D356" i="9"/>
  <c r="C356" i="9"/>
  <c r="B356" i="9"/>
  <c r="A356" i="9"/>
  <c r="E355" i="9"/>
  <c r="D355" i="9"/>
  <c r="C355" i="9"/>
  <c r="B355" i="9"/>
  <c r="A355" i="9"/>
  <c r="E354" i="9"/>
  <c r="D354" i="9"/>
  <c r="C354" i="9"/>
  <c r="B354" i="9"/>
  <c r="A354" i="9"/>
  <c r="E353" i="9"/>
  <c r="D353" i="9"/>
  <c r="C353" i="9"/>
  <c r="B353" i="9"/>
  <c r="A353" i="9"/>
  <c r="E352" i="9"/>
  <c r="D352" i="9"/>
  <c r="C352" i="9"/>
  <c r="B352" i="9"/>
  <c r="A352" i="9"/>
  <c r="E351" i="9"/>
  <c r="D351" i="9"/>
  <c r="C351" i="9"/>
  <c r="B351" i="9"/>
  <c r="A351" i="9"/>
  <c r="E350" i="9"/>
  <c r="D350" i="9"/>
  <c r="C350" i="9"/>
  <c r="B350" i="9"/>
  <c r="A350" i="9"/>
  <c r="E349" i="9"/>
  <c r="D349" i="9"/>
  <c r="C349" i="9"/>
  <c r="B349" i="9"/>
  <c r="A349" i="9"/>
  <c r="E348" i="9"/>
  <c r="D348" i="9"/>
  <c r="C348" i="9"/>
  <c r="B348" i="9"/>
  <c r="A348" i="9"/>
  <c r="E347" i="9"/>
  <c r="D347" i="9"/>
  <c r="C347" i="9"/>
  <c r="B347" i="9"/>
  <c r="A347" i="9"/>
  <c r="E346" i="9"/>
  <c r="D346" i="9"/>
  <c r="C346" i="9"/>
  <c r="B346" i="9"/>
  <c r="A346" i="9"/>
  <c r="E345" i="9"/>
  <c r="D345" i="9"/>
  <c r="C345" i="9"/>
  <c r="B345" i="9"/>
  <c r="A345" i="9"/>
  <c r="E344" i="9"/>
  <c r="D344" i="9"/>
  <c r="C344" i="9"/>
  <c r="B344" i="9"/>
  <c r="A344" i="9"/>
  <c r="E343" i="9"/>
  <c r="D343" i="9"/>
  <c r="C343" i="9"/>
  <c r="B343" i="9"/>
  <c r="A343" i="9"/>
  <c r="E342" i="9"/>
  <c r="D342" i="9"/>
  <c r="C342" i="9"/>
  <c r="B342" i="9"/>
  <c r="A342" i="9"/>
  <c r="E341" i="9"/>
  <c r="D341" i="9"/>
  <c r="C341" i="9"/>
  <c r="B341" i="9"/>
  <c r="A341" i="9"/>
  <c r="E340" i="9"/>
  <c r="D340" i="9"/>
  <c r="C340" i="9"/>
  <c r="B340" i="9"/>
  <c r="A340" i="9"/>
  <c r="E339" i="9"/>
  <c r="D339" i="9"/>
  <c r="C339" i="9"/>
  <c r="B339" i="9"/>
  <c r="A339" i="9"/>
  <c r="E338" i="9"/>
  <c r="D338" i="9"/>
  <c r="C338" i="9"/>
  <c r="B338" i="9"/>
  <c r="A338" i="9"/>
  <c r="E337" i="9"/>
  <c r="D337" i="9"/>
  <c r="C337" i="9"/>
  <c r="B337" i="9"/>
  <c r="A337" i="9"/>
  <c r="E336" i="9"/>
  <c r="D336" i="9"/>
  <c r="C336" i="9"/>
  <c r="B336" i="9"/>
  <c r="A336" i="9"/>
  <c r="E335" i="9"/>
  <c r="D335" i="9"/>
  <c r="C335" i="9"/>
  <c r="B335" i="9"/>
  <c r="A335" i="9"/>
  <c r="E334" i="9"/>
  <c r="D334" i="9"/>
  <c r="C334" i="9"/>
  <c r="B334" i="9"/>
  <c r="A334" i="9"/>
  <c r="E333" i="9"/>
  <c r="D333" i="9"/>
  <c r="C333" i="9"/>
  <c r="B333" i="9"/>
  <c r="A333" i="9"/>
  <c r="E332" i="9"/>
  <c r="D332" i="9"/>
  <c r="C332" i="9"/>
  <c r="B332" i="9"/>
  <c r="A332" i="9"/>
  <c r="E331" i="9"/>
  <c r="D331" i="9"/>
  <c r="C331" i="9"/>
  <c r="B331" i="9"/>
  <c r="A331" i="9"/>
  <c r="E330" i="9"/>
  <c r="D330" i="9"/>
  <c r="C330" i="9"/>
  <c r="B330" i="9"/>
  <c r="A330" i="9"/>
  <c r="E329" i="9"/>
  <c r="D329" i="9"/>
  <c r="C329" i="9"/>
  <c r="B329" i="9"/>
  <c r="A329" i="9"/>
  <c r="E328" i="9"/>
  <c r="D328" i="9"/>
  <c r="C328" i="9"/>
  <c r="B328" i="9"/>
  <c r="A328" i="9"/>
  <c r="E327" i="9"/>
  <c r="D327" i="9"/>
  <c r="C327" i="9"/>
  <c r="B327" i="9"/>
  <c r="A327" i="9"/>
  <c r="E326" i="9"/>
  <c r="D326" i="9"/>
  <c r="C326" i="9"/>
  <c r="B326" i="9"/>
  <c r="A326" i="9"/>
  <c r="E325" i="9"/>
  <c r="D325" i="9"/>
  <c r="C325" i="9"/>
  <c r="B325" i="9"/>
  <c r="A325" i="9"/>
  <c r="E324" i="9"/>
  <c r="D324" i="9"/>
  <c r="C324" i="9"/>
  <c r="B324" i="9"/>
  <c r="A324" i="9"/>
  <c r="E323" i="9"/>
  <c r="D323" i="9"/>
  <c r="C323" i="9"/>
  <c r="B323" i="9"/>
  <c r="A323" i="9"/>
  <c r="E322" i="9"/>
  <c r="D322" i="9"/>
  <c r="C322" i="9"/>
  <c r="B322" i="9"/>
  <c r="A322" i="9"/>
  <c r="E321" i="9"/>
  <c r="D321" i="9"/>
  <c r="C321" i="9"/>
  <c r="B321" i="9"/>
  <c r="A321" i="9"/>
  <c r="E320" i="9"/>
  <c r="D320" i="9"/>
  <c r="C320" i="9"/>
  <c r="B320" i="9"/>
  <c r="A320" i="9"/>
  <c r="E319" i="9"/>
  <c r="D319" i="9"/>
  <c r="C319" i="9"/>
  <c r="B319" i="9"/>
  <c r="A319" i="9"/>
  <c r="E318" i="9"/>
  <c r="D318" i="9"/>
  <c r="C318" i="9"/>
  <c r="B318" i="9"/>
  <c r="A318" i="9"/>
  <c r="E317" i="9"/>
  <c r="D317" i="9"/>
  <c r="C317" i="9"/>
  <c r="B317" i="9"/>
  <c r="A317" i="9"/>
  <c r="E316" i="9"/>
  <c r="D316" i="9"/>
  <c r="C316" i="9"/>
  <c r="B316" i="9"/>
  <c r="A316" i="9"/>
  <c r="E315" i="9"/>
  <c r="D315" i="9"/>
  <c r="C315" i="9"/>
  <c r="B315" i="9"/>
  <c r="A315" i="9"/>
  <c r="E314" i="9"/>
  <c r="D314" i="9"/>
  <c r="C314" i="9"/>
  <c r="B314" i="9"/>
  <c r="A314" i="9"/>
  <c r="E313" i="9"/>
  <c r="D313" i="9"/>
  <c r="C313" i="9"/>
  <c r="B313" i="9"/>
  <c r="A313" i="9"/>
  <c r="E312" i="9"/>
  <c r="D312" i="9"/>
  <c r="C312" i="9"/>
  <c r="B312" i="9"/>
  <c r="A312" i="9"/>
  <c r="E311" i="9"/>
  <c r="D311" i="9"/>
  <c r="C311" i="9"/>
  <c r="B311" i="9"/>
  <c r="A311" i="9"/>
  <c r="E310" i="9"/>
  <c r="D310" i="9"/>
  <c r="C310" i="9"/>
  <c r="B310" i="9"/>
  <c r="A310" i="9"/>
  <c r="E309" i="9"/>
  <c r="D309" i="9"/>
  <c r="C309" i="9"/>
  <c r="B309" i="9"/>
  <c r="A309" i="9"/>
  <c r="E308" i="9"/>
  <c r="D308" i="9"/>
  <c r="C308" i="9"/>
  <c r="B308" i="9"/>
  <c r="A308" i="9"/>
  <c r="E307" i="9"/>
  <c r="D307" i="9"/>
  <c r="C307" i="9"/>
  <c r="B307" i="9"/>
  <c r="A307" i="9"/>
  <c r="E306" i="9"/>
  <c r="D306" i="9"/>
  <c r="C306" i="9"/>
  <c r="B306" i="9"/>
  <c r="A306" i="9"/>
  <c r="E305" i="9"/>
  <c r="D305" i="9"/>
  <c r="C305" i="9"/>
  <c r="B305" i="9"/>
  <c r="A305" i="9"/>
  <c r="E304" i="9"/>
  <c r="D304" i="9"/>
  <c r="C304" i="9"/>
  <c r="B304" i="9"/>
  <c r="A304" i="9"/>
  <c r="E303" i="9"/>
  <c r="D303" i="9"/>
  <c r="C303" i="9"/>
  <c r="B303" i="9"/>
  <c r="A303" i="9"/>
  <c r="E302" i="9"/>
  <c r="D302" i="9"/>
  <c r="C302" i="9"/>
  <c r="B302" i="9"/>
  <c r="A302" i="9"/>
  <c r="E301" i="9"/>
  <c r="D301" i="9"/>
  <c r="C301" i="9"/>
  <c r="B301" i="9"/>
  <c r="A301" i="9"/>
  <c r="E300" i="9"/>
  <c r="D300" i="9"/>
  <c r="C300" i="9"/>
  <c r="B300" i="9"/>
  <c r="A300" i="9"/>
  <c r="E299" i="9"/>
  <c r="D299" i="9"/>
  <c r="C299" i="9"/>
  <c r="B299" i="9"/>
  <c r="A299" i="9"/>
  <c r="E298" i="9"/>
  <c r="D298" i="9"/>
  <c r="C298" i="9"/>
  <c r="B298" i="9"/>
  <c r="A298" i="9"/>
  <c r="E297" i="9"/>
  <c r="D297" i="9"/>
  <c r="C297" i="9"/>
  <c r="B297" i="9"/>
  <c r="A297" i="9"/>
  <c r="E296" i="9"/>
  <c r="D296" i="9"/>
  <c r="C296" i="9"/>
  <c r="B296" i="9"/>
  <c r="A296" i="9"/>
  <c r="E295" i="9"/>
  <c r="D295" i="9"/>
  <c r="C295" i="9"/>
  <c r="B295" i="9"/>
  <c r="A295" i="9"/>
  <c r="E294" i="9"/>
  <c r="D294" i="9"/>
  <c r="C294" i="9"/>
  <c r="B294" i="9"/>
  <c r="A294" i="9"/>
  <c r="E293" i="9"/>
  <c r="D293" i="9"/>
  <c r="C293" i="9"/>
  <c r="B293" i="9"/>
  <c r="A293" i="9"/>
  <c r="E292" i="9"/>
  <c r="D292" i="9"/>
  <c r="C292" i="9"/>
  <c r="B292" i="9"/>
  <c r="A292" i="9"/>
  <c r="E291" i="9"/>
  <c r="D291" i="9"/>
  <c r="C291" i="9"/>
  <c r="B291" i="9"/>
  <c r="A291" i="9"/>
  <c r="E290" i="9"/>
  <c r="D290" i="9"/>
  <c r="C290" i="9"/>
  <c r="B290" i="9"/>
  <c r="A290" i="9"/>
  <c r="E289" i="9"/>
  <c r="D289" i="9"/>
  <c r="C289" i="9"/>
  <c r="B289" i="9"/>
  <c r="A289" i="9"/>
  <c r="E288" i="9"/>
  <c r="D288" i="9"/>
  <c r="C288" i="9"/>
  <c r="B288" i="9"/>
  <c r="A288" i="9"/>
  <c r="E287" i="9"/>
  <c r="D287" i="9"/>
  <c r="C287" i="9"/>
  <c r="B287" i="9"/>
  <c r="A287" i="9"/>
  <c r="E286" i="9"/>
  <c r="D286" i="9"/>
  <c r="C286" i="9"/>
  <c r="B286" i="9"/>
  <c r="A286" i="9"/>
  <c r="E285" i="9"/>
  <c r="D285" i="9"/>
  <c r="C285" i="9"/>
  <c r="B285" i="9"/>
  <c r="A285" i="9"/>
  <c r="E284" i="9"/>
  <c r="D284" i="9"/>
  <c r="C284" i="9"/>
  <c r="B284" i="9"/>
  <c r="A284" i="9"/>
  <c r="E283" i="9"/>
  <c r="D283" i="9"/>
  <c r="C283" i="9"/>
  <c r="B283" i="9"/>
  <c r="A283" i="9"/>
  <c r="E282" i="9"/>
  <c r="D282" i="9"/>
  <c r="C282" i="9"/>
  <c r="B282" i="9"/>
  <c r="A282" i="9"/>
  <c r="E281" i="9"/>
  <c r="D281" i="9"/>
  <c r="C281" i="9"/>
  <c r="B281" i="9"/>
  <c r="A281" i="9"/>
  <c r="E280" i="9"/>
  <c r="D280" i="9"/>
  <c r="C280" i="9"/>
  <c r="B280" i="9"/>
  <c r="A280" i="9"/>
  <c r="E279" i="9"/>
  <c r="D279" i="9"/>
  <c r="C279" i="9"/>
  <c r="B279" i="9"/>
  <c r="A279" i="9"/>
  <c r="E278" i="9"/>
  <c r="D278" i="9"/>
  <c r="C278" i="9"/>
  <c r="B278" i="9"/>
  <c r="A278" i="9"/>
  <c r="E277" i="9"/>
  <c r="D277" i="9"/>
  <c r="C277" i="9"/>
  <c r="B277" i="9"/>
  <c r="A277" i="9"/>
  <c r="E276" i="9"/>
  <c r="D276" i="9"/>
  <c r="C276" i="9"/>
  <c r="B276" i="9"/>
  <c r="A276" i="9"/>
  <c r="E275" i="9"/>
  <c r="D275" i="9"/>
  <c r="C275" i="9"/>
  <c r="B275" i="9"/>
  <c r="A275" i="9"/>
  <c r="E274" i="9"/>
  <c r="D274" i="9"/>
  <c r="C274" i="9"/>
  <c r="B274" i="9"/>
  <c r="A274" i="9"/>
  <c r="E273" i="9"/>
  <c r="D273" i="9"/>
  <c r="C273" i="9"/>
  <c r="B273" i="9"/>
  <c r="A273" i="9"/>
  <c r="E272" i="9"/>
  <c r="D272" i="9"/>
  <c r="C272" i="9"/>
  <c r="B272" i="9"/>
  <c r="A272" i="9"/>
  <c r="E271" i="9"/>
  <c r="D271" i="9"/>
  <c r="C271" i="9"/>
  <c r="B271" i="9"/>
  <c r="A271" i="9"/>
  <c r="E270" i="9"/>
  <c r="D270" i="9"/>
  <c r="C270" i="9"/>
  <c r="B270" i="9"/>
  <c r="A270" i="9"/>
  <c r="E269" i="9"/>
  <c r="D269" i="9"/>
  <c r="C269" i="9"/>
  <c r="B269" i="9"/>
  <c r="A269" i="9"/>
  <c r="E268" i="9"/>
  <c r="D268" i="9"/>
  <c r="C268" i="9"/>
  <c r="B268" i="9"/>
  <c r="A268" i="9"/>
  <c r="E267" i="9"/>
  <c r="D267" i="9"/>
  <c r="C267" i="9"/>
  <c r="B267" i="9"/>
  <c r="A267" i="9"/>
  <c r="E266" i="9"/>
  <c r="D266" i="9"/>
  <c r="C266" i="9"/>
  <c r="B266" i="9"/>
  <c r="A266" i="9"/>
  <c r="E265" i="9"/>
  <c r="D265" i="9"/>
  <c r="C265" i="9"/>
  <c r="B265" i="9"/>
  <c r="A265" i="9"/>
  <c r="E264" i="9"/>
  <c r="D264" i="9"/>
  <c r="C264" i="9"/>
  <c r="B264" i="9"/>
  <c r="A264" i="9"/>
  <c r="E263" i="9"/>
  <c r="D263" i="9"/>
  <c r="C263" i="9"/>
  <c r="B263" i="9"/>
  <c r="A263" i="9"/>
  <c r="E262" i="9"/>
  <c r="D262" i="9"/>
  <c r="C262" i="9"/>
  <c r="B262" i="9"/>
  <c r="A262" i="9"/>
  <c r="E261" i="9"/>
  <c r="D261" i="9"/>
  <c r="C261" i="9"/>
  <c r="B261" i="9"/>
  <c r="A261" i="9"/>
  <c r="E260" i="9"/>
  <c r="D260" i="9"/>
  <c r="C260" i="9"/>
  <c r="B260" i="9"/>
  <c r="A260" i="9"/>
  <c r="E259" i="9"/>
  <c r="D259" i="9"/>
  <c r="C259" i="9"/>
  <c r="B259" i="9"/>
  <c r="A259" i="9"/>
  <c r="E258" i="9"/>
  <c r="D258" i="9"/>
  <c r="C258" i="9"/>
  <c r="B258" i="9"/>
  <c r="A258" i="9"/>
  <c r="E257" i="9"/>
  <c r="D257" i="9"/>
  <c r="C257" i="9"/>
  <c r="B257" i="9"/>
  <c r="A257" i="9"/>
  <c r="E256" i="9"/>
  <c r="D256" i="9"/>
  <c r="C256" i="9"/>
  <c r="B256" i="9"/>
  <c r="A256" i="9"/>
  <c r="E255" i="9"/>
  <c r="D255" i="9"/>
  <c r="C255" i="9"/>
  <c r="B255" i="9"/>
  <c r="A255" i="9"/>
  <c r="E254" i="9"/>
  <c r="D254" i="9"/>
  <c r="C254" i="9"/>
  <c r="B254" i="9"/>
  <c r="A254" i="9"/>
  <c r="E253" i="9"/>
  <c r="D253" i="9"/>
  <c r="C253" i="9"/>
  <c r="B253" i="9"/>
  <c r="A253" i="9"/>
  <c r="E252" i="9"/>
  <c r="D252" i="9"/>
  <c r="C252" i="9"/>
  <c r="B252" i="9"/>
  <c r="A252" i="9"/>
  <c r="E251" i="9"/>
  <c r="D251" i="9"/>
  <c r="C251" i="9"/>
  <c r="B251" i="9"/>
  <c r="A251" i="9"/>
  <c r="E250" i="9"/>
  <c r="D250" i="9"/>
  <c r="C250" i="9"/>
  <c r="B250" i="9"/>
  <c r="A250" i="9"/>
  <c r="E249" i="9"/>
  <c r="D249" i="9"/>
  <c r="C249" i="9"/>
  <c r="B249" i="9"/>
  <c r="A249" i="9"/>
  <c r="E248" i="9"/>
  <c r="D248" i="9"/>
  <c r="C248" i="9"/>
  <c r="B248" i="9"/>
  <c r="A248" i="9"/>
  <c r="E247" i="9"/>
  <c r="D247" i="9"/>
  <c r="C247" i="9"/>
  <c r="B247" i="9"/>
  <c r="A247" i="9"/>
  <c r="E246" i="9"/>
  <c r="D246" i="9"/>
  <c r="C246" i="9"/>
  <c r="B246" i="9"/>
  <c r="A246" i="9"/>
  <c r="E245" i="9"/>
  <c r="D245" i="9"/>
  <c r="C245" i="9"/>
  <c r="B245" i="9"/>
  <c r="A245" i="9"/>
  <c r="E244" i="9"/>
  <c r="D244" i="9"/>
  <c r="C244" i="9"/>
  <c r="B244" i="9"/>
  <c r="A244" i="9"/>
  <c r="E243" i="9"/>
  <c r="D243" i="9"/>
  <c r="C243" i="9"/>
  <c r="B243" i="9"/>
  <c r="A243" i="9"/>
  <c r="E242" i="9"/>
  <c r="D242" i="9"/>
  <c r="C242" i="9"/>
  <c r="B242" i="9"/>
  <c r="A242" i="9"/>
  <c r="E241" i="9"/>
  <c r="D241" i="9"/>
  <c r="C241" i="9"/>
  <c r="B241" i="9"/>
  <c r="A241" i="9"/>
  <c r="E240" i="9"/>
  <c r="D240" i="9"/>
  <c r="C240" i="9"/>
  <c r="B240" i="9"/>
  <c r="A240" i="9"/>
  <c r="E239" i="9"/>
  <c r="D239" i="9"/>
  <c r="C239" i="9"/>
  <c r="B239" i="9"/>
  <c r="A239" i="9"/>
  <c r="E238" i="9"/>
  <c r="D238" i="9"/>
  <c r="C238" i="9"/>
  <c r="B238" i="9"/>
  <c r="A238" i="9"/>
  <c r="E237" i="9"/>
  <c r="D237" i="9"/>
  <c r="C237" i="9"/>
  <c r="B237" i="9"/>
  <c r="A237" i="9"/>
  <c r="E236" i="9"/>
  <c r="D236" i="9"/>
  <c r="C236" i="9"/>
  <c r="B236" i="9"/>
  <c r="A236" i="9"/>
  <c r="E235" i="9"/>
  <c r="D235" i="9"/>
  <c r="C235" i="9"/>
  <c r="B235" i="9"/>
  <c r="A235" i="9"/>
  <c r="E234" i="9"/>
  <c r="D234" i="9"/>
  <c r="C234" i="9"/>
  <c r="B234" i="9"/>
  <c r="A234" i="9"/>
  <c r="E233" i="9"/>
  <c r="D233" i="9"/>
  <c r="C233" i="9"/>
  <c r="B233" i="9"/>
  <c r="A233" i="9"/>
  <c r="E232" i="9"/>
  <c r="D232" i="9"/>
  <c r="C232" i="9"/>
  <c r="B232" i="9"/>
  <c r="A232" i="9"/>
  <c r="E231" i="9"/>
  <c r="D231" i="9"/>
  <c r="C231" i="9"/>
  <c r="B231" i="9"/>
  <c r="A231" i="9"/>
  <c r="E230" i="9"/>
  <c r="D230" i="9"/>
  <c r="C230" i="9"/>
  <c r="B230" i="9"/>
  <c r="A230" i="9"/>
  <c r="E229" i="9"/>
  <c r="D229" i="9"/>
  <c r="C229" i="9"/>
  <c r="B229" i="9"/>
  <c r="A229" i="9"/>
  <c r="E228" i="9"/>
  <c r="D228" i="9"/>
  <c r="C228" i="9"/>
  <c r="B228" i="9"/>
  <c r="A228" i="9"/>
  <c r="E227" i="9"/>
  <c r="D227" i="9"/>
  <c r="C227" i="9"/>
  <c r="B227" i="9"/>
  <c r="A227" i="9"/>
  <c r="E226" i="9"/>
  <c r="D226" i="9"/>
  <c r="C226" i="9"/>
  <c r="B226" i="9"/>
  <c r="A226" i="9"/>
  <c r="E225" i="9"/>
  <c r="D225" i="9"/>
  <c r="C225" i="9"/>
  <c r="B225" i="9"/>
  <c r="A225" i="9"/>
  <c r="E224" i="9"/>
  <c r="D224" i="9"/>
  <c r="C224" i="9"/>
  <c r="B224" i="9"/>
  <c r="A224" i="9"/>
  <c r="E223" i="9"/>
  <c r="D223" i="9"/>
  <c r="C223" i="9"/>
  <c r="B223" i="9"/>
  <c r="A223" i="9"/>
  <c r="E222" i="9"/>
  <c r="D222" i="9"/>
  <c r="C222" i="9"/>
  <c r="B222" i="9"/>
  <c r="A222" i="9"/>
  <c r="E221" i="9"/>
  <c r="D221" i="9"/>
  <c r="C221" i="9"/>
  <c r="B221" i="9"/>
  <c r="A221" i="9"/>
  <c r="E220" i="9"/>
  <c r="D220" i="9"/>
  <c r="C220" i="9"/>
  <c r="B220" i="9"/>
  <c r="A220" i="9"/>
  <c r="E219" i="9"/>
  <c r="D219" i="9"/>
  <c r="C219" i="9"/>
  <c r="B219" i="9"/>
  <c r="A219" i="9"/>
  <c r="E218" i="9"/>
  <c r="D218" i="9"/>
  <c r="C218" i="9"/>
  <c r="B218" i="9"/>
  <c r="A218" i="9"/>
  <c r="E217" i="9"/>
  <c r="D217" i="9"/>
  <c r="C217" i="9"/>
  <c r="B217" i="9"/>
  <c r="A217" i="9"/>
  <c r="E216" i="9"/>
  <c r="D216" i="9"/>
  <c r="C216" i="9"/>
  <c r="B216" i="9"/>
  <c r="A216" i="9"/>
  <c r="E215" i="9"/>
  <c r="D215" i="9"/>
  <c r="C215" i="9"/>
  <c r="B215" i="9"/>
  <c r="A215" i="9"/>
  <c r="E214" i="9"/>
  <c r="D214" i="9"/>
  <c r="C214" i="9"/>
  <c r="B214" i="9"/>
  <c r="A214" i="9"/>
  <c r="E213" i="9"/>
  <c r="D213" i="9"/>
  <c r="C213" i="9"/>
  <c r="B213" i="9"/>
  <c r="A213" i="9"/>
  <c r="E212" i="9"/>
  <c r="D212" i="9"/>
  <c r="C212" i="9"/>
  <c r="B212" i="9"/>
  <c r="A212" i="9"/>
  <c r="E211" i="9"/>
  <c r="D211" i="9"/>
  <c r="C211" i="9"/>
  <c r="B211" i="9"/>
  <c r="A211" i="9"/>
  <c r="E210" i="9"/>
  <c r="D210" i="9"/>
  <c r="C210" i="9"/>
  <c r="B210" i="9"/>
  <c r="A210" i="9"/>
  <c r="E209" i="9"/>
  <c r="D209" i="9"/>
  <c r="C209" i="9"/>
  <c r="B209" i="9"/>
  <c r="A209" i="9"/>
  <c r="E208" i="9"/>
  <c r="D208" i="9"/>
  <c r="C208" i="9"/>
  <c r="B208" i="9"/>
  <c r="A208" i="9"/>
  <c r="E207" i="9"/>
  <c r="D207" i="9"/>
  <c r="C207" i="9"/>
  <c r="B207" i="9"/>
  <c r="A207" i="9"/>
  <c r="E206" i="9"/>
  <c r="D206" i="9"/>
  <c r="C206" i="9"/>
  <c r="B206" i="9"/>
  <c r="A206" i="9"/>
  <c r="E205" i="9"/>
  <c r="D205" i="9"/>
  <c r="C205" i="9"/>
  <c r="B205" i="9"/>
  <c r="A205" i="9"/>
  <c r="E204" i="9"/>
  <c r="D204" i="9"/>
  <c r="C204" i="9"/>
  <c r="B204" i="9"/>
  <c r="A204" i="9"/>
  <c r="E203" i="9"/>
  <c r="D203" i="9"/>
  <c r="C203" i="9"/>
  <c r="B203" i="9"/>
  <c r="A203" i="9"/>
  <c r="E202" i="9"/>
  <c r="D202" i="9"/>
  <c r="C202" i="9"/>
  <c r="B202" i="9"/>
  <c r="A202" i="9"/>
  <c r="E201" i="9"/>
  <c r="D201" i="9"/>
  <c r="C201" i="9"/>
  <c r="B201" i="9"/>
  <c r="A201" i="9"/>
  <c r="E200" i="9"/>
  <c r="D200" i="9"/>
  <c r="C200" i="9"/>
  <c r="B200" i="9"/>
  <c r="A200" i="9"/>
  <c r="E199" i="9"/>
  <c r="D199" i="9"/>
  <c r="C199" i="9"/>
  <c r="B199" i="9"/>
  <c r="A199" i="9"/>
  <c r="E198" i="9"/>
  <c r="D198" i="9"/>
  <c r="C198" i="9"/>
  <c r="B198" i="9"/>
  <c r="A198" i="9"/>
  <c r="E197" i="9"/>
  <c r="D197" i="9"/>
  <c r="C197" i="9"/>
  <c r="B197" i="9"/>
  <c r="A197" i="9"/>
  <c r="E196" i="9"/>
  <c r="D196" i="9"/>
  <c r="C196" i="9"/>
  <c r="B196" i="9"/>
  <c r="A196" i="9"/>
  <c r="E195" i="9"/>
  <c r="D195" i="9"/>
  <c r="C195" i="9"/>
  <c r="B195" i="9"/>
  <c r="A195" i="9"/>
  <c r="E194" i="9"/>
  <c r="D194" i="9"/>
  <c r="C194" i="9"/>
  <c r="B194" i="9"/>
  <c r="A194" i="9"/>
  <c r="E193" i="9"/>
  <c r="D193" i="9"/>
  <c r="C193" i="9"/>
  <c r="B193" i="9"/>
  <c r="A193" i="9"/>
  <c r="E192" i="9"/>
  <c r="D192" i="9"/>
  <c r="C192" i="9"/>
  <c r="B192" i="9"/>
  <c r="A192" i="9"/>
  <c r="E191" i="9"/>
  <c r="D191" i="9"/>
  <c r="C191" i="9"/>
  <c r="B191" i="9"/>
  <c r="A191" i="9"/>
  <c r="E190" i="9"/>
  <c r="D190" i="9"/>
  <c r="C190" i="9"/>
  <c r="B190" i="9"/>
  <c r="A190" i="9"/>
  <c r="E189" i="9"/>
  <c r="D189" i="9"/>
  <c r="C189" i="9"/>
  <c r="B189" i="9"/>
  <c r="A189" i="9"/>
  <c r="E188" i="9"/>
  <c r="D188" i="9"/>
  <c r="C188" i="9"/>
  <c r="B188" i="9"/>
  <c r="A188" i="9"/>
  <c r="E187" i="9"/>
  <c r="D187" i="9"/>
  <c r="C187" i="9"/>
  <c r="B187" i="9"/>
  <c r="A187" i="9"/>
  <c r="E186" i="9"/>
  <c r="D186" i="9"/>
  <c r="C186" i="9"/>
  <c r="B186" i="9"/>
  <c r="A186" i="9"/>
  <c r="E185" i="9"/>
  <c r="D185" i="9"/>
  <c r="C185" i="9"/>
  <c r="B185" i="9"/>
  <c r="A185" i="9"/>
  <c r="E184" i="9"/>
  <c r="D184" i="9"/>
  <c r="C184" i="9"/>
  <c r="B184" i="9"/>
  <c r="A184" i="9"/>
  <c r="E183" i="9"/>
  <c r="D183" i="9"/>
  <c r="C183" i="9"/>
  <c r="B183" i="9"/>
  <c r="A183" i="9"/>
  <c r="E182" i="9"/>
  <c r="D182" i="9"/>
  <c r="C182" i="9"/>
  <c r="B182" i="9"/>
  <c r="A182" i="9"/>
  <c r="E181" i="9"/>
  <c r="D181" i="9"/>
  <c r="C181" i="9"/>
  <c r="B181" i="9"/>
  <c r="A181" i="9"/>
  <c r="E180" i="9"/>
  <c r="D180" i="9"/>
  <c r="C180" i="9"/>
  <c r="B180" i="9"/>
  <c r="A180" i="9"/>
  <c r="E179" i="9"/>
  <c r="D179" i="9"/>
  <c r="C179" i="9"/>
  <c r="B179" i="9"/>
  <c r="A179" i="9"/>
  <c r="E178" i="9"/>
  <c r="D178" i="9"/>
  <c r="C178" i="9"/>
  <c r="B178" i="9"/>
  <c r="A178" i="9"/>
  <c r="E177" i="9"/>
  <c r="D177" i="9"/>
  <c r="C177" i="9"/>
  <c r="B177" i="9"/>
  <c r="A177" i="9"/>
  <c r="E176" i="9"/>
  <c r="D176" i="9"/>
  <c r="C176" i="9"/>
  <c r="B176" i="9"/>
  <c r="A176" i="9"/>
  <c r="E175" i="9"/>
  <c r="D175" i="9"/>
  <c r="C175" i="9"/>
  <c r="B175" i="9"/>
  <c r="A175" i="9"/>
  <c r="E174" i="9"/>
  <c r="D174" i="9"/>
  <c r="C174" i="9"/>
  <c r="B174" i="9"/>
  <c r="A174" i="9"/>
  <c r="E173" i="9"/>
  <c r="D173" i="9"/>
  <c r="C173" i="9"/>
  <c r="B173" i="9"/>
  <c r="A173" i="9"/>
  <c r="E172" i="9"/>
  <c r="D172" i="9"/>
  <c r="C172" i="9"/>
  <c r="B172" i="9"/>
  <c r="A172" i="9"/>
  <c r="E171" i="9"/>
  <c r="D171" i="9"/>
  <c r="C171" i="9"/>
  <c r="B171" i="9"/>
  <c r="A171" i="9"/>
  <c r="E170" i="9"/>
  <c r="D170" i="9"/>
  <c r="C170" i="9"/>
  <c r="B170" i="9"/>
  <c r="A170" i="9"/>
  <c r="E169" i="9"/>
  <c r="D169" i="9"/>
  <c r="C169" i="9"/>
  <c r="B169" i="9"/>
  <c r="A169" i="9"/>
  <c r="E168" i="9"/>
  <c r="D168" i="9"/>
  <c r="C168" i="9"/>
  <c r="B168" i="9"/>
  <c r="A168" i="9"/>
  <c r="E167" i="9"/>
  <c r="D167" i="9"/>
  <c r="C167" i="9"/>
  <c r="B167" i="9"/>
  <c r="A167" i="9"/>
  <c r="E166" i="9"/>
  <c r="D166" i="9"/>
  <c r="C166" i="9"/>
  <c r="B166" i="9"/>
  <c r="A166" i="9"/>
  <c r="E165" i="9"/>
  <c r="D165" i="9"/>
  <c r="C165" i="9"/>
  <c r="B165" i="9"/>
  <c r="A165" i="9"/>
  <c r="E164" i="9"/>
  <c r="D164" i="9"/>
  <c r="C164" i="9"/>
  <c r="B164" i="9"/>
  <c r="A164" i="9"/>
  <c r="E163" i="9"/>
  <c r="D163" i="9"/>
  <c r="C163" i="9"/>
  <c r="B163" i="9"/>
  <c r="A163" i="9"/>
  <c r="E162" i="9"/>
  <c r="D162" i="9"/>
  <c r="C162" i="9"/>
  <c r="B162" i="9"/>
  <c r="A162" i="9"/>
  <c r="E161" i="9"/>
  <c r="D161" i="9"/>
  <c r="C161" i="9"/>
  <c r="B161" i="9"/>
  <c r="A161" i="9"/>
  <c r="E160" i="9"/>
  <c r="D160" i="9"/>
  <c r="C160" i="9"/>
  <c r="B160" i="9"/>
  <c r="A160" i="9"/>
  <c r="E159" i="9"/>
  <c r="D159" i="9"/>
  <c r="C159" i="9"/>
  <c r="B159" i="9"/>
  <c r="A159" i="9"/>
  <c r="E158" i="9"/>
  <c r="D158" i="9"/>
  <c r="C158" i="9"/>
  <c r="B158" i="9"/>
  <c r="A158" i="9"/>
  <c r="E157" i="9"/>
  <c r="D157" i="9"/>
  <c r="C157" i="9"/>
  <c r="B157" i="9"/>
  <c r="A157" i="9"/>
  <c r="E156" i="9"/>
  <c r="D156" i="9"/>
  <c r="C156" i="9"/>
  <c r="B156" i="9"/>
  <c r="A156" i="9"/>
  <c r="E155" i="9"/>
  <c r="D155" i="9"/>
  <c r="C155" i="9"/>
  <c r="B155" i="9"/>
  <c r="A155" i="9"/>
  <c r="E154" i="9"/>
  <c r="D154" i="9"/>
  <c r="C154" i="9"/>
  <c r="B154" i="9"/>
  <c r="A154" i="9"/>
  <c r="E153" i="9"/>
  <c r="D153" i="9"/>
  <c r="C153" i="9"/>
  <c r="B153" i="9"/>
  <c r="A153" i="9"/>
  <c r="E152" i="9"/>
  <c r="D152" i="9"/>
  <c r="C152" i="9"/>
  <c r="B152" i="9"/>
  <c r="A152" i="9"/>
  <c r="E151" i="9"/>
  <c r="D151" i="9"/>
  <c r="C151" i="9"/>
  <c r="B151" i="9"/>
  <c r="A151" i="9"/>
  <c r="E150" i="9"/>
  <c r="D150" i="9"/>
  <c r="C150" i="9"/>
  <c r="B150" i="9"/>
  <c r="A150" i="9"/>
  <c r="E149" i="9"/>
  <c r="D149" i="9"/>
  <c r="C149" i="9"/>
  <c r="B149" i="9"/>
  <c r="A149" i="9"/>
  <c r="E148" i="9"/>
  <c r="D148" i="9"/>
  <c r="C148" i="9"/>
  <c r="B148" i="9"/>
  <c r="A148" i="9"/>
  <c r="E147" i="9"/>
  <c r="D147" i="9"/>
  <c r="C147" i="9"/>
  <c r="B147" i="9"/>
  <c r="A147" i="9"/>
  <c r="E146" i="9"/>
  <c r="D146" i="9"/>
  <c r="C146" i="9"/>
  <c r="B146" i="9"/>
  <c r="A146" i="9"/>
  <c r="E145" i="9"/>
  <c r="D145" i="9"/>
  <c r="C145" i="9"/>
  <c r="B145" i="9"/>
  <c r="A145" i="9"/>
  <c r="E144" i="9"/>
  <c r="D144" i="9"/>
  <c r="C144" i="9"/>
  <c r="B144" i="9"/>
  <c r="A144" i="9"/>
  <c r="E143" i="9"/>
  <c r="D143" i="9"/>
  <c r="C143" i="9"/>
  <c r="B143" i="9"/>
  <c r="A143" i="9"/>
  <c r="E142" i="9"/>
  <c r="D142" i="9"/>
  <c r="C142" i="9"/>
  <c r="B142" i="9"/>
  <c r="A142" i="9"/>
  <c r="E141" i="9"/>
  <c r="D141" i="9"/>
  <c r="C141" i="9"/>
  <c r="B141" i="9"/>
  <c r="A141" i="9"/>
  <c r="E140" i="9"/>
  <c r="D140" i="9"/>
  <c r="C140" i="9"/>
  <c r="B140" i="9"/>
  <c r="A140" i="9"/>
  <c r="E139" i="9"/>
  <c r="D139" i="9"/>
  <c r="C139" i="9"/>
  <c r="B139" i="9"/>
  <c r="A139" i="9"/>
  <c r="E138" i="9"/>
  <c r="D138" i="9"/>
  <c r="C138" i="9"/>
  <c r="B138" i="9"/>
  <c r="A138" i="9"/>
  <c r="E137" i="9"/>
  <c r="D137" i="9"/>
  <c r="C137" i="9"/>
  <c r="B137" i="9"/>
  <c r="A137" i="9"/>
  <c r="E136" i="9"/>
  <c r="D136" i="9"/>
  <c r="C136" i="9"/>
  <c r="B136" i="9"/>
  <c r="A136" i="9"/>
  <c r="E135" i="9"/>
  <c r="D135" i="9"/>
  <c r="C135" i="9"/>
  <c r="B135" i="9"/>
  <c r="A135" i="9"/>
  <c r="E134" i="9"/>
  <c r="D134" i="9"/>
  <c r="C134" i="9"/>
  <c r="B134" i="9"/>
  <c r="A134" i="9"/>
  <c r="E133" i="9"/>
  <c r="D133" i="9"/>
  <c r="C133" i="9"/>
  <c r="B133" i="9"/>
  <c r="A133" i="9"/>
  <c r="E132" i="9"/>
  <c r="D132" i="9"/>
  <c r="C132" i="9"/>
  <c r="B132" i="9"/>
  <c r="A132" i="9"/>
  <c r="E131" i="9"/>
  <c r="D131" i="9"/>
  <c r="C131" i="9"/>
  <c r="B131" i="9"/>
  <c r="A131" i="9"/>
  <c r="E130" i="9"/>
  <c r="D130" i="9"/>
  <c r="C130" i="9"/>
  <c r="B130" i="9"/>
  <c r="A130" i="9"/>
  <c r="E129" i="9"/>
  <c r="D129" i="9"/>
  <c r="C129" i="9"/>
  <c r="B129" i="9"/>
  <c r="A129" i="9"/>
  <c r="E128" i="9"/>
  <c r="D128" i="9"/>
  <c r="C128" i="9"/>
  <c r="B128" i="9"/>
  <c r="A128" i="9"/>
  <c r="E127" i="9"/>
  <c r="D127" i="9"/>
  <c r="C127" i="9"/>
  <c r="B127" i="9"/>
  <c r="A127" i="9"/>
  <c r="E126" i="9"/>
  <c r="D126" i="9"/>
  <c r="C126" i="9"/>
  <c r="B126" i="9"/>
  <c r="A126" i="9"/>
  <c r="E125" i="9"/>
  <c r="D125" i="9"/>
  <c r="C125" i="9"/>
  <c r="B125" i="9"/>
  <c r="A125" i="9"/>
  <c r="E124" i="9"/>
  <c r="D124" i="9"/>
  <c r="C124" i="9"/>
  <c r="B124" i="9"/>
  <c r="A124" i="9"/>
  <c r="E123" i="9"/>
  <c r="D123" i="9"/>
  <c r="C123" i="9"/>
  <c r="B123" i="9"/>
  <c r="A123" i="9"/>
  <c r="E122" i="9"/>
  <c r="D122" i="9"/>
  <c r="C122" i="9"/>
  <c r="B122" i="9"/>
  <c r="A122" i="9"/>
  <c r="E121" i="9"/>
  <c r="D121" i="9"/>
  <c r="C121" i="9"/>
  <c r="B121" i="9"/>
  <c r="A121" i="9"/>
  <c r="E120" i="9"/>
  <c r="D120" i="9"/>
  <c r="C120" i="9"/>
  <c r="B120" i="9"/>
  <c r="A120" i="9"/>
  <c r="E119" i="9"/>
  <c r="D119" i="9"/>
  <c r="C119" i="9"/>
  <c r="B119" i="9"/>
  <c r="A119" i="9"/>
  <c r="E118" i="9"/>
  <c r="D118" i="9"/>
  <c r="C118" i="9"/>
  <c r="B118" i="9"/>
  <c r="A118" i="9"/>
  <c r="E117" i="9"/>
  <c r="D117" i="9"/>
  <c r="C117" i="9"/>
  <c r="B117" i="9"/>
  <c r="A117" i="9"/>
  <c r="E116" i="9"/>
  <c r="D116" i="9"/>
  <c r="C116" i="9"/>
  <c r="B116" i="9"/>
  <c r="A116" i="9"/>
  <c r="E115" i="9"/>
  <c r="D115" i="9"/>
  <c r="C115" i="9"/>
  <c r="B115" i="9"/>
  <c r="A115" i="9"/>
  <c r="E114" i="9"/>
  <c r="D114" i="9"/>
  <c r="C114" i="9"/>
  <c r="B114" i="9"/>
  <c r="A114" i="9"/>
  <c r="E113" i="9"/>
  <c r="D113" i="9"/>
  <c r="C113" i="9"/>
  <c r="B113" i="9"/>
  <c r="A113" i="9"/>
  <c r="E112" i="9"/>
  <c r="D112" i="9"/>
  <c r="C112" i="9"/>
  <c r="B112" i="9"/>
  <c r="A112" i="9"/>
  <c r="E111" i="9"/>
  <c r="D111" i="9"/>
  <c r="C111" i="9"/>
  <c r="B111" i="9"/>
  <c r="A111" i="9"/>
  <c r="E110" i="9"/>
  <c r="D110" i="9"/>
  <c r="C110" i="9"/>
  <c r="B110" i="9"/>
  <c r="A110" i="9"/>
  <c r="E109" i="9"/>
  <c r="D109" i="9"/>
  <c r="C109" i="9"/>
  <c r="B109" i="9"/>
  <c r="A109" i="9"/>
  <c r="E108" i="9"/>
  <c r="D108" i="9"/>
  <c r="C108" i="9"/>
  <c r="B108" i="9"/>
  <c r="A108" i="9"/>
  <c r="E107" i="9"/>
  <c r="D107" i="9"/>
  <c r="C107" i="9"/>
  <c r="B107" i="9"/>
  <c r="A107" i="9"/>
  <c r="E106" i="9"/>
  <c r="D106" i="9"/>
  <c r="C106" i="9"/>
  <c r="B106" i="9"/>
  <c r="A106" i="9"/>
  <c r="E105" i="9"/>
  <c r="D105" i="9"/>
  <c r="C105" i="9"/>
  <c r="B105" i="9"/>
  <c r="A105" i="9"/>
  <c r="E104" i="9"/>
  <c r="D104" i="9"/>
  <c r="C104" i="9"/>
  <c r="B104" i="9"/>
  <c r="A104" i="9"/>
  <c r="E103" i="9"/>
  <c r="D103" i="9"/>
  <c r="C103" i="9"/>
  <c r="B103" i="9"/>
  <c r="A103" i="9"/>
  <c r="E102" i="9"/>
  <c r="D102" i="9"/>
  <c r="C102" i="9"/>
  <c r="B102" i="9"/>
  <c r="A102" i="9"/>
  <c r="E101" i="9"/>
  <c r="D101" i="9"/>
  <c r="C101" i="9"/>
  <c r="B101" i="9"/>
  <c r="A101" i="9"/>
  <c r="E100" i="9"/>
  <c r="D100" i="9"/>
  <c r="C100" i="9"/>
  <c r="B100" i="9"/>
  <c r="A100" i="9"/>
  <c r="E99" i="9"/>
  <c r="D99" i="9"/>
  <c r="C99" i="9"/>
  <c r="B99" i="9"/>
  <c r="A99" i="9"/>
  <c r="E98" i="9"/>
  <c r="D98" i="9"/>
  <c r="C98" i="9"/>
  <c r="B98" i="9"/>
  <c r="A98" i="9"/>
  <c r="E97" i="9"/>
  <c r="D97" i="9"/>
  <c r="C97" i="9"/>
  <c r="B97" i="9"/>
  <c r="A97" i="9"/>
  <c r="E96" i="9"/>
  <c r="D96" i="9"/>
  <c r="C96" i="9"/>
  <c r="B96" i="9"/>
  <c r="A96" i="9"/>
  <c r="E95" i="9"/>
  <c r="D95" i="9"/>
  <c r="C95" i="9"/>
  <c r="B95" i="9"/>
  <c r="A95" i="9"/>
  <c r="E94" i="9"/>
  <c r="D94" i="9"/>
  <c r="C94" i="9"/>
  <c r="B94" i="9"/>
  <c r="A94" i="9"/>
  <c r="E93" i="9"/>
  <c r="D93" i="9"/>
  <c r="C93" i="9"/>
  <c r="B93" i="9"/>
  <c r="A93" i="9"/>
  <c r="E92" i="9"/>
  <c r="D92" i="9"/>
  <c r="C92" i="9"/>
  <c r="B92" i="9"/>
  <c r="A92" i="9"/>
  <c r="E91" i="9"/>
  <c r="D91" i="9"/>
  <c r="C91" i="9"/>
  <c r="B91" i="9"/>
  <c r="A91" i="9"/>
  <c r="E90" i="9"/>
  <c r="D90" i="9"/>
  <c r="C90" i="9"/>
  <c r="B90" i="9"/>
  <c r="A90" i="9"/>
  <c r="E89" i="9"/>
  <c r="D89" i="9"/>
  <c r="C89" i="9"/>
  <c r="B89" i="9"/>
  <c r="A89" i="9"/>
  <c r="E88" i="9"/>
  <c r="D88" i="9"/>
  <c r="C88" i="9"/>
  <c r="B88" i="9"/>
  <c r="A88" i="9"/>
  <c r="E87" i="9"/>
  <c r="D87" i="9"/>
  <c r="C87" i="9"/>
  <c r="B87" i="9"/>
  <c r="A87" i="9"/>
  <c r="E86" i="9"/>
  <c r="D86" i="9"/>
  <c r="C86" i="9"/>
  <c r="B86" i="9"/>
  <c r="A86" i="9"/>
  <c r="E85" i="9"/>
  <c r="D85" i="9"/>
  <c r="C85" i="9"/>
  <c r="B85" i="9"/>
  <c r="A85" i="9"/>
  <c r="E84" i="9"/>
  <c r="D84" i="9"/>
  <c r="C84" i="9"/>
  <c r="B84" i="9"/>
  <c r="A84" i="9"/>
  <c r="E83" i="9"/>
  <c r="D83" i="9"/>
  <c r="C83" i="9"/>
  <c r="B83" i="9"/>
  <c r="A83" i="9"/>
  <c r="E82" i="9"/>
  <c r="D82" i="9"/>
  <c r="C82" i="9"/>
  <c r="B82" i="9"/>
  <c r="A82" i="9"/>
  <c r="E81" i="9"/>
  <c r="D81" i="9"/>
  <c r="C81" i="9"/>
  <c r="B81" i="9"/>
  <c r="A81" i="9"/>
  <c r="E80" i="9"/>
  <c r="D80" i="9"/>
  <c r="C80" i="9"/>
  <c r="B80" i="9"/>
  <c r="A80" i="9"/>
  <c r="E79" i="9"/>
  <c r="D79" i="9"/>
  <c r="C79" i="9"/>
  <c r="B79" i="9"/>
  <c r="A79" i="9"/>
  <c r="E78" i="9"/>
  <c r="D78" i="9"/>
  <c r="C78" i="9"/>
  <c r="B78" i="9"/>
  <c r="A78" i="9"/>
  <c r="E77" i="9"/>
  <c r="D77" i="9"/>
  <c r="C77" i="9"/>
  <c r="B77" i="9"/>
  <c r="A77" i="9"/>
  <c r="E76" i="9"/>
  <c r="D76" i="9"/>
  <c r="C76" i="9"/>
  <c r="B76" i="9"/>
  <c r="A76" i="9"/>
  <c r="E75" i="9"/>
  <c r="D75" i="9"/>
  <c r="C75" i="9"/>
  <c r="B75" i="9"/>
  <c r="A75" i="9"/>
  <c r="E74" i="9"/>
  <c r="D74" i="9"/>
  <c r="C74" i="9"/>
  <c r="B74" i="9"/>
  <c r="A74" i="9"/>
  <c r="E73" i="9"/>
  <c r="D73" i="9"/>
  <c r="C73" i="9"/>
  <c r="B73" i="9"/>
  <c r="A73" i="9"/>
  <c r="E72" i="9"/>
  <c r="D72" i="9"/>
  <c r="C72" i="9"/>
  <c r="B72" i="9"/>
  <c r="A72" i="9"/>
  <c r="E71" i="9"/>
  <c r="D71" i="9"/>
  <c r="C71" i="9"/>
  <c r="B71" i="9"/>
  <c r="A71" i="9"/>
  <c r="E70" i="9"/>
  <c r="D70" i="9"/>
  <c r="C70" i="9"/>
  <c r="B70" i="9"/>
  <c r="A70" i="9"/>
  <c r="E69" i="9"/>
  <c r="D69" i="9"/>
  <c r="C69" i="9"/>
  <c r="B69" i="9"/>
  <c r="A69" i="9"/>
  <c r="E68" i="9"/>
  <c r="D68" i="9"/>
  <c r="C68" i="9"/>
  <c r="B68" i="9"/>
  <c r="A68" i="9"/>
  <c r="E67" i="9"/>
  <c r="D67" i="9"/>
  <c r="C67" i="9"/>
  <c r="B67" i="9"/>
  <c r="A67" i="9"/>
  <c r="E66" i="9"/>
  <c r="D66" i="9"/>
  <c r="C66" i="9"/>
  <c r="B66" i="9"/>
  <c r="A66" i="9"/>
  <c r="E65" i="9"/>
  <c r="D65" i="9"/>
  <c r="C65" i="9"/>
  <c r="B65" i="9"/>
  <c r="A65" i="9"/>
  <c r="E64" i="9"/>
  <c r="D64" i="9"/>
  <c r="C64" i="9"/>
  <c r="B64" i="9"/>
  <c r="A64" i="9"/>
  <c r="E63" i="9"/>
  <c r="D63" i="9"/>
  <c r="C63" i="9"/>
  <c r="B63" i="9"/>
  <c r="A63" i="9"/>
  <c r="E62" i="9"/>
  <c r="D62" i="9"/>
  <c r="C62" i="9"/>
  <c r="B62" i="9"/>
  <c r="A62" i="9"/>
  <c r="E61" i="9"/>
  <c r="D61" i="9"/>
  <c r="C61" i="9"/>
  <c r="B61" i="9"/>
  <c r="A61" i="9"/>
  <c r="E60" i="9"/>
  <c r="D60" i="9"/>
  <c r="C60" i="9"/>
  <c r="B60" i="9"/>
  <c r="A60" i="9"/>
  <c r="E59" i="9"/>
  <c r="D59" i="9"/>
  <c r="C59" i="9"/>
  <c r="B59" i="9"/>
  <c r="A59" i="9"/>
  <c r="E58" i="9"/>
  <c r="D58" i="9"/>
  <c r="C58" i="9"/>
  <c r="B58" i="9"/>
  <c r="A58" i="9"/>
  <c r="E57" i="9"/>
  <c r="D57" i="9"/>
  <c r="C57" i="9"/>
  <c r="B57" i="9"/>
  <c r="A57" i="9"/>
  <c r="E56" i="9"/>
  <c r="D56" i="9"/>
  <c r="C56" i="9"/>
  <c r="B56" i="9"/>
  <c r="A56" i="9"/>
  <c r="E55" i="9"/>
  <c r="D55" i="9"/>
  <c r="C55" i="9"/>
  <c r="B55" i="9"/>
  <c r="A55" i="9"/>
  <c r="E54" i="9"/>
  <c r="D54" i="9"/>
  <c r="C54" i="9"/>
  <c r="B54" i="9"/>
  <c r="A54" i="9"/>
  <c r="E53" i="9"/>
  <c r="D53" i="9"/>
  <c r="C53" i="9"/>
  <c r="B53" i="9"/>
  <c r="A53" i="9"/>
  <c r="E52" i="9"/>
  <c r="D52" i="9"/>
  <c r="C52" i="9"/>
  <c r="B52" i="9"/>
  <c r="A52" i="9"/>
  <c r="E51" i="9"/>
  <c r="D51" i="9"/>
  <c r="C51" i="9"/>
  <c r="B51" i="9"/>
  <c r="A51" i="9"/>
  <c r="E50" i="9"/>
  <c r="D50" i="9"/>
  <c r="C50" i="9"/>
  <c r="B50" i="9"/>
  <c r="A50" i="9"/>
  <c r="E49" i="9"/>
  <c r="D49" i="9"/>
  <c r="C49" i="9"/>
  <c r="B49" i="9"/>
  <c r="A49" i="9"/>
  <c r="E48" i="9"/>
  <c r="D48" i="9"/>
  <c r="C48" i="9"/>
  <c r="B48" i="9"/>
  <c r="A48" i="9"/>
  <c r="E47" i="9"/>
  <c r="D47" i="9"/>
  <c r="C47" i="9"/>
  <c r="B47" i="9"/>
  <c r="A47" i="9"/>
  <c r="E46" i="9"/>
  <c r="D46" i="9"/>
  <c r="C46" i="9"/>
  <c r="B46" i="9"/>
  <c r="A46" i="9"/>
  <c r="E45" i="9"/>
  <c r="D45" i="9"/>
  <c r="C45" i="9"/>
  <c r="B45" i="9"/>
  <c r="A45" i="9"/>
  <c r="E44" i="9"/>
  <c r="D44" i="9"/>
  <c r="C44" i="9"/>
  <c r="B44" i="9"/>
  <c r="A44" i="9"/>
  <c r="E43" i="9"/>
  <c r="D43" i="9"/>
  <c r="C43" i="9"/>
  <c r="B43" i="9"/>
  <c r="A43" i="9"/>
  <c r="E42" i="9"/>
  <c r="D42" i="9"/>
  <c r="C42" i="9"/>
  <c r="B42" i="9"/>
  <c r="A42" i="9"/>
  <c r="E41" i="9"/>
  <c r="D41" i="9"/>
  <c r="C41" i="9"/>
  <c r="B41" i="9"/>
  <c r="A41" i="9"/>
  <c r="E40" i="9"/>
  <c r="D40" i="9"/>
  <c r="C40" i="9"/>
  <c r="B40" i="9"/>
  <c r="A40" i="9"/>
  <c r="E39" i="9"/>
  <c r="D39" i="9"/>
  <c r="C39" i="9"/>
  <c r="B39" i="9"/>
  <c r="A39" i="9"/>
  <c r="E38" i="9"/>
  <c r="D38" i="9"/>
  <c r="C38" i="9"/>
  <c r="B38" i="9"/>
  <c r="A38" i="9"/>
  <c r="E37" i="9"/>
  <c r="D37" i="9"/>
  <c r="C37" i="9"/>
  <c r="B37" i="9"/>
  <c r="A37" i="9"/>
  <c r="E36" i="9"/>
  <c r="D36" i="9"/>
  <c r="C36" i="9"/>
  <c r="B36" i="9"/>
  <c r="A36" i="9"/>
  <c r="E35" i="9"/>
  <c r="D35" i="9"/>
  <c r="C35" i="9"/>
  <c r="B35" i="9"/>
  <c r="A35" i="9"/>
  <c r="E34" i="9"/>
  <c r="D34" i="9"/>
  <c r="C34" i="9"/>
  <c r="B34" i="9"/>
  <c r="A34" i="9"/>
  <c r="E33" i="9"/>
  <c r="D33" i="9"/>
  <c r="C33" i="9"/>
  <c r="B33" i="9"/>
  <c r="A33" i="9"/>
  <c r="E32" i="9"/>
  <c r="D32" i="9"/>
  <c r="C32" i="9"/>
  <c r="B32" i="9"/>
  <c r="A32" i="9"/>
  <c r="E31" i="9"/>
  <c r="D31" i="9"/>
  <c r="C31" i="9"/>
  <c r="B31" i="9"/>
  <c r="A31" i="9"/>
  <c r="E30" i="9"/>
  <c r="D30" i="9"/>
  <c r="C30" i="9"/>
  <c r="B30" i="9"/>
  <c r="A30" i="9"/>
  <c r="E29" i="9"/>
  <c r="D29" i="9"/>
  <c r="C29" i="9"/>
  <c r="B29" i="9"/>
  <c r="A29" i="9"/>
  <c r="E28" i="9"/>
  <c r="D28" i="9"/>
  <c r="C28" i="9"/>
  <c r="B28" i="9"/>
  <c r="A28" i="9"/>
  <c r="E27" i="9"/>
  <c r="D27" i="9"/>
  <c r="C27" i="9"/>
  <c r="B27" i="9"/>
  <c r="A27" i="9"/>
  <c r="E26" i="9"/>
  <c r="D26" i="9"/>
  <c r="C26" i="9"/>
  <c r="B26" i="9"/>
  <c r="A26" i="9"/>
  <c r="E25" i="9"/>
  <c r="D25" i="9"/>
  <c r="C25" i="9"/>
  <c r="B25" i="9"/>
  <c r="A25" i="9"/>
  <c r="E24" i="9"/>
  <c r="D24" i="9"/>
  <c r="C24" i="9"/>
  <c r="B24" i="9"/>
  <c r="A24" i="9"/>
  <c r="E23" i="9"/>
  <c r="D23" i="9"/>
  <c r="C23" i="9"/>
  <c r="B23" i="9"/>
  <c r="A23" i="9"/>
  <c r="E22" i="9"/>
  <c r="D22" i="9"/>
  <c r="C22" i="9"/>
  <c r="B22" i="9"/>
  <c r="A22" i="9"/>
  <c r="E21" i="9"/>
  <c r="D21" i="9"/>
  <c r="C21" i="9"/>
  <c r="B21" i="9"/>
  <c r="A21" i="9"/>
  <c r="E20" i="9"/>
  <c r="D20" i="9"/>
  <c r="C20" i="9"/>
  <c r="B20" i="9"/>
  <c r="A20" i="9"/>
  <c r="E19" i="9"/>
  <c r="D19" i="9"/>
  <c r="C19" i="9"/>
  <c r="B19" i="9"/>
  <c r="A19" i="9"/>
  <c r="E18" i="9"/>
  <c r="D18" i="9"/>
  <c r="C18" i="9"/>
  <c r="B18" i="9"/>
  <c r="A18" i="9"/>
  <c r="E17" i="9"/>
  <c r="D17" i="9"/>
  <c r="C17" i="9"/>
  <c r="B17" i="9"/>
  <c r="A17" i="9"/>
  <c r="E16" i="9"/>
  <c r="D16" i="9"/>
  <c r="C16" i="9"/>
  <c r="B16" i="9"/>
  <c r="A16" i="9"/>
  <c r="E15" i="9"/>
  <c r="D15" i="9"/>
  <c r="C15" i="9"/>
  <c r="B15" i="9"/>
  <c r="A15" i="9"/>
  <c r="E14" i="9"/>
  <c r="D14" i="9"/>
  <c r="C14" i="9"/>
  <c r="B14" i="9"/>
  <c r="A14" i="9"/>
  <c r="E13" i="9"/>
  <c r="D13" i="9"/>
  <c r="C13" i="9"/>
  <c r="B13" i="9"/>
  <c r="A13" i="9"/>
  <c r="E12" i="9"/>
  <c r="D12" i="9"/>
  <c r="C12" i="9"/>
  <c r="B12" i="9"/>
  <c r="A12" i="9"/>
  <c r="E11" i="9"/>
  <c r="D11" i="9"/>
  <c r="C11" i="9"/>
  <c r="B11" i="9"/>
  <c r="A11" i="9"/>
  <c r="E10" i="9"/>
  <c r="D10" i="9"/>
  <c r="C10" i="9"/>
  <c r="B10" i="9"/>
  <c r="A10" i="9"/>
  <c r="E9" i="9"/>
  <c r="D9" i="9"/>
  <c r="C9" i="9"/>
  <c r="B9" i="9"/>
  <c r="A9" i="9"/>
  <c r="E8" i="9"/>
  <c r="D8" i="9"/>
  <c r="C8" i="9"/>
  <c r="B8" i="9"/>
  <c r="A8" i="9"/>
  <c r="E7" i="9"/>
  <c r="D7" i="9"/>
  <c r="C7" i="9"/>
  <c r="B7" i="9"/>
  <c r="A7" i="9"/>
  <c r="E6" i="9"/>
  <c r="D6" i="9"/>
  <c r="C6" i="9"/>
  <c r="B6" i="9"/>
  <c r="A6" i="9"/>
  <c r="E5" i="9"/>
  <c r="D5" i="9"/>
  <c r="C5" i="9"/>
  <c r="B5" i="9"/>
  <c r="A5" i="9"/>
  <c r="E4" i="9"/>
  <c r="D4" i="9"/>
  <c r="C4" i="9"/>
  <c r="B4" i="9"/>
  <c r="A4" i="9"/>
  <c r="E3" i="9"/>
  <c r="D3" i="9"/>
  <c r="C3" i="9"/>
  <c r="B3" i="9"/>
  <c r="A3" i="9"/>
  <c r="E2" i="9"/>
  <c r="D2" i="9"/>
  <c r="C2" i="9"/>
  <c r="B2" i="9"/>
  <c r="A2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A1" i="9"/>
</calcChain>
</file>

<file path=xl/sharedStrings.xml><?xml version="1.0" encoding="utf-8"?>
<sst xmlns="http://schemas.openxmlformats.org/spreadsheetml/2006/main" count="38224" uniqueCount="1895">
  <si>
    <t>Номер пропуска</t>
  </si>
  <si>
    <t>Контрагент</t>
  </si>
  <si>
    <t>Номер СТС</t>
  </si>
  <si>
    <t>Марка, модель</t>
  </si>
  <si>
    <t>Тип ТС</t>
  </si>
  <si>
    <t>Год выпуска ТС</t>
  </si>
  <si>
    <t>Масса без нагрузки, кг</t>
  </si>
  <si>
    <t>Способ загрузки</t>
  </si>
  <si>
    <t>Объем кузова, м3</t>
  </si>
  <si>
    <t>Коэффициент сжатия</t>
  </si>
  <si>
    <t>Ленинский полигон</t>
  </si>
  <si>
    <t>Дата выдачи</t>
  </si>
  <si>
    <t>ТРАНСПОРТНАЯ НАКЛАДНАЯ</t>
  </si>
  <si>
    <t>ООО "Магнит"</t>
  </si>
  <si>
    <t>ТОНАР</t>
  </si>
  <si>
    <t>Л-ОКТ.22-1130-Т</t>
  </si>
  <si>
    <t>К721МХ186</t>
  </si>
  <si>
    <t>Окончание срока действия</t>
  </si>
  <si>
    <t>Регистрационный знак</t>
  </si>
  <si>
    <t>Разрешенная max масса, кг</t>
  </si>
  <si>
    <t>Полигон</t>
  </si>
  <si>
    <t>Дата и время заезда на полигон</t>
  </si>
  <si>
    <t>Масса БРУТТО</t>
  </si>
  <si>
    <t>Крупногабаритный груз</t>
  </si>
  <si>
    <t>Дата и время выезда с полигона</t>
  </si>
  <si>
    <t>Масса ТАРЫ</t>
  </si>
  <si>
    <t>Масса НЕТТО</t>
  </si>
  <si>
    <t>Плотность загрузки, кг/м3</t>
  </si>
  <si>
    <t>Уровень загруженности, %</t>
  </si>
  <si>
    <t>К933ЕР186</t>
  </si>
  <si>
    <t>-</t>
  </si>
  <si>
    <t>Приложение № 4</t>
  </si>
  <si>
    <t>к Правилам перевозок грузов автомобильным транспортом</t>
  </si>
  <si>
    <t>(в ред. Постановления Правительства РФ
 от 30.11.2021 № 2116)</t>
  </si>
  <si>
    <t>Транспортная накладная (форма)</t>
  </si>
  <si>
    <t>Транспортная накладная</t>
  </si>
  <si>
    <t>Заказ (заявка)</t>
  </si>
  <si>
    <t>Дата</t>
  </si>
  <si>
    <t>№</t>
  </si>
  <si>
    <t>Экземпляр №</t>
  </si>
  <si>
    <t>1. Грузоотправитель</t>
  </si>
  <si>
    <t>1а Заказчик услуг по организации</t>
  </si>
  <si>
    <t>перевозки груза (при наличии)</t>
  </si>
  <si>
    <t>является экспедитором</t>
  </si>
  <si>
    <t>ООО "Магнит"644024, Омская обл, Омск г, Декабристов ул, дом 45, корпус 1, помещение 19
 тел. 8 (3812) 35-25-25</t>
  </si>
  <si>
    <t>ООО «Экология Сибири» 644070, область Омская, город Омск, улица Лермонтова, дом 81, офис 303</t>
  </si>
  <si>
    <t>(реквизиты, позволяющие идентифицировать Грузоотправителя)</t>
  </si>
  <si>
    <t>(реквизиты, позволяющие идентифицировать Заказчика услуг
 по организации перевозки груза)</t>
  </si>
  <si>
    <t>реквизиты документа, определяющего основания осуществления расчетов по договору перевозки иным лицом, отличным от грузоотправителя (при наличии)</t>
  </si>
  <si>
    <t>(реквизиты договора на выполнение услуг по организации перевозки груза)</t>
  </si>
  <si>
    <t>2. Грузополучатель</t>
  </si>
  <si>
    <t>(реквизиты, позволяющие идентифицировать Грузополучателя)</t>
  </si>
  <si>
    <t>(адрес места доставки груза)</t>
  </si>
  <si>
    <t>3. Груз</t>
  </si>
  <si>
    <t>Остатки сортировки ТКО</t>
  </si>
  <si>
    <t>(отгрузочное наименование груза (для опасных грузов - в соответствии с ДОПОГ), его состояние и другая необходимая информация о грузе)</t>
  </si>
  <si>
    <t>(количество грузовых мест, маркировка, вид тары и способ упаковки)</t>
  </si>
  <si>
    <t>Объем груза 34 м3, вес согласно Акту взвешивания  № Л-ОКТ.22-1130-Т от 13.10.2022 г.</t>
  </si>
  <si>
    <t>(масса груза брутто в килограммах, масса груза нетто в килограммах (при возможности ее определения), размеры (высота, ширина, длина) в метрах (при перевозке крупногабаритного груза), объем груза в кубических метрах и плотность груза в соответствии с документацией на груз (при необходимости), дополнительные характеристики груза, учитывающие отраслевые особенности (при необходимости)</t>
  </si>
  <si>
    <t>(в случае перевозки опасного груза - информация по каждому опасному веществу, материалу или изделию в соответствии с пунктом 5.4.1 ДОПОГ)</t>
  </si>
  <si>
    <t>(объявленная стоимость (ценность) груза (при необходимости)</t>
  </si>
  <si>
    <t>4. Сопроводительные документы на груз (при наличии)</t>
  </si>
  <si>
    <t>(перечень прилагаемых к транспортной накладной документов, предусмотренных ДОПОГ, санитарными, таможенными (при наличии), карантинными, иными правилами в соответствии с законодательством Российской Федерации, либо регистрационные номера указанных документов, если такие документы (сведения о таких документах) содержатся в государственных информационных системах)</t>
  </si>
  <si>
    <t>(перечень прилагаемых к грузу сертификатов, паспортов качества, удостоверений и других документов, наличие которых установлено законодательством Российской Федерации, либо регистрационные номера указанных документов, если такие документы (сведения о таких документах) содержатся в государственных информационных системах)</t>
  </si>
  <si>
    <t>(реквизиты, позволяющие идентифицировать документ(-ы), подтверждающий(-ие) отгрузку товаров) (при наличии), реквизиты сопроводительной ведомости (при перевозке груженых контейнеров или порожних контейнеров)</t>
  </si>
  <si>
    <t>5. Указания грузоотправителя по особым условиям перевозки</t>
  </si>
  <si>
    <t>(маршрут перевозки, дата и время/сроки доставки груза (при необходимости)</t>
  </si>
  <si>
    <t>(контактная информация о лицах, по указанию которых может осуществляться переадресовка)</t>
  </si>
  <si>
    <t>(указания, необходимые для выполнения фитосанитарных, санитарных, карантинных, таможенных и прочих требований, установленных законодательством Российской Федерации)</t>
  </si>
  <si>
    <t>(температурный режим перевозки груза (при необходимости), сведения о запорно-пломбировочных устройствах (в случае их предоставления грузоотправителем), запрещение перегрузки груза)</t>
  </si>
  <si>
    <t>6. Перевозчик</t>
  </si>
  <si>
    <t>ООО «Промстандарт» ИНН: 9718124577 ОГРН: 1197746015774</t>
  </si>
  <si>
    <t>Морозов Сергей Александрович 89609996072</t>
  </si>
  <si>
    <t>(реквизиты, позволяющие идентифицировать Перевозчика)</t>
  </si>
  <si>
    <t>(реквизиты, позволяющие идентифицировать водителя(-ей)</t>
  </si>
  <si>
    <t>7. Транспортное средство</t>
  </si>
  <si>
    <t>SCANIA G6X400 G440A6X4NA</t>
  </si>
  <si>
    <t>(тип, марка, грузоподъемность (в тоннах), вместимость (в кубических метрах)</t>
  </si>
  <si>
    <t>(регистрационный номер транспортного средства)</t>
  </si>
  <si>
    <t>Тип владения: 1 - собственность; 2 - совместная собственность супругов; 3 - аренда; 4 - лизинг;</t>
  </si>
  <si>
    <t>5 - безвозмездное пользование</t>
  </si>
  <si>
    <t>(реквизиты документа(-ов), подтверждающего(-их) основание владения грузовым автомобилем (тягачом, а также прицепом (полуприцепом) (для типов владения 3, 4, 5)</t>
  </si>
  <si>
    <t>(номер, дата и срок действия специального разрешения, установленный маршрут движения тяжеловесного и (или) крупногабаритного транспортного средства или транспортного средства, перевозящего опасный груз) (при наличии)</t>
  </si>
  <si>
    <t>8. Прием груза</t>
  </si>
  <si>
    <t>(реквизиты лица, осуществляющего погрузку груза в транспортное средство)</t>
  </si>
  <si>
    <t>107143, город Москва, проезд Иртышский 2-й, дом 4Б, строение 5, этаж 1, комната 7.2</t>
  </si>
  <si>
    <t>(наименование (ИНН) владельца объекта инфраструктуры пункта погрузки)</t>
  </si>
  <si>
    <t>мусоросортировочный комплекс, расположенный на земельном участке с кадастровым номером 55:36:200106:224, местоположение которого установлено относительно ориентира, расположенного в границах участка. Ориентир относительно ориентира, расположенного за пределами участка, в 500 метрах юго-западнее здания с почтовым адресом: Российская Федерация, Омская область, город Омск, Ленинский АО, улица Черлакский тракт, дом 10</t>
  </si>
  <si>
    <t>(адрес места погрузки)</t>
  </si>
  <si>
    <t>(заявленные дата и время подачи транспортного средства под погрузку)</t>
  </si>
  <si>
    <t>(фактические дата и время прибытия под погрузку)</t>
  </si>
  <si>
    <t>(фактические дата и время убытия)</t>
  </si>
  <si>
    <t>(масса груза брутто в килограммах и метод ее определения (определение разницы между массой транспортного средства после погрузки и перед погрузкой по общей массе или взвешиванием поосно или расчетная масса груза)</t>
  </si>
  <si>
    <t>(количество грузовых мест)</t>
  </si>
  <si>
    <t>(тара, упаковка (при наличии)</t>
  </si>
  <si>
    <t>(оговорки и замечания перевозчика (при наличии) о дате и времени прибытия/убытия, о состоянии, креплении груза, тары, упаковки, маркировки, опломбирования, о массе груза и количестве грузовых мест, о проведении погрузочных работ)</t>
  </si>
  <si>
    <t>(подпись, расшифровка подписи лица, осуществившего погрузку груза, с указанием реквизитов документа, подтверждающего полномочия лица на погрузку груза)</t>
  </si>
  <si>
    <t>(подпись, расшифровка подписи водителя, принявшего груз для перевозки)</t>
  </si>
  <si>
    <t>9. Переадресовка (при наличии)</t>
  </si>
  <si>
    <t>(дата, вид переадресовки на бумажном носителе или в электронном виде
 (с указанием вида доставки документа)</t>
  </si>
  <si>
    <t>(адрес нового пункта выгрузки, новые дата и время подачи транспортного средства под выгрузку)</t>
  </si>
  <si>
    <t>(реквизиты лица, от которого получено указание на переадресовку)</t>
  </si>
  <si>
    <t>(при изменении получателя груза - реквизиты нового получателя)</t>
  </si>
  <si>
    <t>Продолжение приложения № 4</t>
  </si>
  <si>
    <t>Оборотная сторона</t>
  </si>
  <si>
    <t>10. Выдача груза</t>
  </si>
  <si>
    <t>Кормиловский район, на северо-запад от развязки а/д Омск - Новосибирск, Кормиловка - Победитель. 55:09:010162:12, объект размещения ТКО</t>
  </si>
  <si>
    <t>(адрес места выгрузки)</t>
  </si>
  <si>
    <t>(заявленные дата и время подачи транспортного средства под выгрузку)</t>
  </si>
  <si>
    <t>(фактические дата и время прибытия)</t>
  </si>
  <si>
    <t>(фактическое состояние груза, тары, упаковки, маркировки, опломбирования)</t>
  </si>
  <si>
    <t>(масса груза брутто в килограммах, масса груза нетто в килограммах (при возможности ее определения), плотность груза в соответствии с документацией на груз (при необходимости)</t>
  </si>
  <si>
    <t>(оговорки и замечания перевозчика (при наличии) о дате и времени прибытия/убытия, о состоянии груза, тары, упаковки, маркировки, опломбирования, о массе груза и количестве грузовых мест)</t>
  </si>
  <si>
    <t>(должность, подпись, расшифровка подписи грузополучателя или уполномоченного грузоотправителем лица)</t>
  </si>
  <si>
    <t>(подпись, расшифровка подписи водителя, сдавшего груз грузополучателю или уполномоченному грузополучателем лицу)</t>
  </si>
  <si>
    <t>11. Отметки грузоотправителей, грузополучателей, перевозчиков (при необходимости)</t>
  </si>
  <si>
    <t>(краткое описание обстоятельств, послуживших основанием для отметки, сведения о коммерческих и иных актах, в том числе
 о погрузке/выгрузке груза)</t>
  </si>
  <si>
    <t>(расчет и размер штрафа)</t>
  </si>
  <si>
    <t>(подпись, дата)</t>
  </si>
  <si>
    <t>12. Стоимость перевозки груза (установленная плата) в рублях (при необходимости)</t>
  </si>
  <si>
    <t>(стоимость перевозки без налога - всего)</t>
  </si>
  <si>
    <t>(налоговая ставка)</t>
  </si>
  <si>
    <t>(сумма налога, предъявляемая покупателю)</t>
  </si>
  <si>
    <t>(стоимость перевозки с налогом - всего)</t>
  </si>
  <si>
    <t>(порядок (механизм) расчета (исчислений) платы) (при наличии порядка (механизма)</t>
  </si>
  <si>
    <t>ООО «Промстандарт» ИНН: 9718124577 ОГРН: 1197746015774\
107143, город Москва, проезд Иртышский 2-й, дом 4Б, строение 5, этаж 1, комната 7.2</t>
  </si>
  <si>
    <t>Общество с ограниченной ответственностью "Магнит"644024, Омская обл, Омск г, Декабристов ул, дом 45, корпус 1, помещение 19 тел. 8 (3812) 35-25-25,
 ИНН/КПП 5401381810/550401001,
 р/с 40702810038320002760 в ФИЛИАЛЕ 
"ЕКАТЕРИНБУРГСКИЙ" АО "АЛЬФА-БАНК" 
г Екатеринбург, БИК 046577964, 
кор. счет 30101810100000000964 
в Уральское ГУ Банка России</t>
  </si>
  <si>
    <t>(реквизиты, позволяющие идентифицировать Экономического субъекта, составляющего первичный учетный документ о факте хозяйственной жизни со стороны Перевозчика)</t>
  </si>
  <si>
    <t>(реквизиты, позволяющие идентифицировать Экономического субъекта, составляющего первичный учетный документ о факте хозяйственной жизни со стороны Грузоотправителя)</t>
  </si>
  <si>
    <t>(основание, по которому Экономический субъект является составителем документа о факте хозяйственной жизни)</t>
  </si>
  <si>
    <t>(реквизиты, позволяющие идентифицировать лицо, от которого будут поступать денежные средства)</t>
  </si>
  <si>
    <t>(подпись, расшифровка подписи лица, ответственного за оформление факта хозяйственной жизни со стороны Перевозчика (уполномоченного лица)</t>
  </si>
  <si>
    <t>(подпись, расшифровка подписи лица, ответственного за оформление факта хозяйственной жизни со стороны Грузоотправителя (уполномоченного лица)</t>
  </si>
  <si>
    <t>(должность, основание полномочий физического лица, уполномоченного Перевозчиком (уполномоченным лицом), дата подписания)</t>
  </si>
  <si>
    <t>(должность, основание полномочий физического лица, уполномоченного Грузоотправителем (уполномоченным лицом), дата подписания)</t>
  </si>
  <si>
    <t>Период отчета:</t>
  </si>
  <si>
    <t>Полигон:</t>
  </si>
  <si>
    <t>..=QUERY('Талоны'!A:Q;"SELECT sum(N) WHERE (K&gt;=date'"&amp;YEAR(D1)&amp;"-"&amp;MONTH(D1)&amp;"-"&amp;DAY(D1)&amp;"' AND K&lt;=datetime'"&amp;YEAR(G1)&amp;"-"&amp;MONTH(G1)&amp;"-"&amp;DAY(G1)&amp;" 23:59:59' AND F = '"&amp;D2&amp;"' AND D = 'На накопление ТКО (IV-V )' AND Q = 'Мусоровоз')";0)</t>
  </si>
  <si>
    <t>Накопление ТКО (IV-V ), м3</t>
  </si>
  <si>
    <t>..=QUERY('Талоны'!A:Q;"SELECT sum(M)/1000 WHERE (K&gt;=date'"&amp;YEAR(D1)&amp;"-"&amp;MONTH(D1)&amp;"-"&amp;DAY(D1)&amp;"' AND K&lt;=datetime'"&amp;YEAR(G1)&amp;"-"&amp;MONTH(G1)&amp;"-"&amp;DAY(G1)&amp;" 23:59:59' AND F = '"&amp;D2&amp;"' AND D = 'На накопление ТКО (IV-V )' AND Q = 'Другое')";0)</t>
  </si>
  <si>
    <t>Накопление ТКО (IV-V ), тонн</t>
  </si>
  <si>
    <t>..=QUERY('Талоны'!A:Q;"SELECT sum(M)/1000 WHERE (K&gt;=date'"&amp;YEAR(D1)&amp;"-"&amp;MONTH(D1)&amp;"-"&amp;DAY(D1)&amp;"' AND K&lt;=datetime'"&amp;YEAR(G1)&amp;"-"&amp;MONTH(G1)&amp;"-"&amp;DAY(G1)&amp;" 23:59:59' AND F = '"&amp;D2&amp;"' AND D = 'На накопление строительных отходов')";0)</t>
  </si>
  <si>
    <t>Накопление строительных отходов, тонн</t>
  </si>
  <si>
    <t>..=QUERY('Талоны'!A:Q;"SELECT sum(N) WHERE (K&gt;=date'"&amp;YEAR(D1)&amp;"-"&amp;MONTH(D1)&amp;"-"&amp;DAY(D1)&amp;"' AND K&lt;=datetime'"&amp;YEAR(G1)&amp;"-"&amp;MONTH(G1)&amp;"-"&amp;DAY(G1)&amp;" 23:59:59' AND F = '"&amp;D2&amp;"' AND D = 'Прием снега')";0)</t>
  </si>
  <si>
    <t>Прием снега, м3</t>
  </si>
  <si>
    <t>Номер транспортного средства</t>
  </si>
  <si>
    <t>..=IMPORTRANGE("1ADYdAW6GQtTv525oyOLRbe_jQXb_R5HSr_5618vnMW8";"Талоны!H:H")</t>
  </si>
  <si>
    <t>м626вм</t>
  </si>
  <si>
    <t>а955хм</t>
  </si>
  <si>
    <t>р907ук</t>
  </si>
  <si>
    <t>у345ах</t>
  </si>
  <si>
    <t>т864кр</t>
  </si>
  <si>
    <t>у701уа</t>
  </si>
  <si>
    <t>о222вр</t>
  </si>
  <si>
    <t>р400тт</t>
  </si>
  <si>
    <t>к323хв</t>
  </si>
  <si>
    <t>м632ен</t>
  </si>
  <si>
    <t>е752рн</t>
  </si>
  <si>
    <t>в013ве</t>
  </si>
  <si>
    <t>р528ус</t>
  </si>
  <si>
    <t>р073тс</t>
  </si>
  <si>
    <t>н111оо</t>
  </si>
  <si>
    <t>т344оу</t>
  </si>
  <si>
    <t>т334оу</t>
  </si>
  <si>
    <t>с913кв</t>
  </si>
  <si>
    <t>т721ст</t>
  </si>
  <si>
    <t>с008хе</t>
  </si>
  <si>
    <t>у054ам</t>
  </si>
  <si>
    <t>с101тв</t>
  </si>
  <si>
    <t>с002ро</t>
  </si>
  <si>
    <t>о100ом</t>
  </si>
  <si>
    <t>н407ех</t>
  </si>
  <si>
    <t>н819хв</t>
  </si>
  <si>
    <t>с222оа</t>
  </si>
  <si>
    <t>с794ху</t>
  </si>
  <si>
    <t>т271су</t>
  </si>
  <si>
    <t>у914еа</t>
  </si>
  <si>
    <t>у057ам</t>
  </si>
  <si>
    <t>к587вм</t>
  </si>
  <si>
    <t>с001ро</t>
  </si>
  <si>
    <t>с916ро</t>
  </si>
  <si>
    <t>т614ес</t>
  </si>
  <si>
    <t>т340оу</t>
  </si>
  <si>
    <t>с900се</t>
  </si>
  <si>
    <t>т765ус</t>
  </si>
  <si>
    <t>т602ан</t>
  </si>
  <si>
    <t>о904нс</t>
  </si>
  <si>
    <t>с929ус</t>
  </si>
  <si>
    <t>р639ау</t>
  </si>
  <si>
    <t>у467ар</t>
  </si>
  <si>
    <t>т234уо</t>
  </si>
  <si>
    <t>с213ук</t>
  </si>
  <si>
    <t>н069нс</t>
  </si>
  <si>
    <t>о519ук</t>
  </si>
  <si>
    <t>с916ра</t>
  </si>
  <si>
    <t>м640ук</t>
  </si>
  <si>
    <t>н005км</t>
  </si>
  <si>
    <t>т542мр</t>
  </si>
  <si>
    <t>н725кр</t>
  </si>
  <si>
    <t>к654тм</t>
  </si>
  <si>
    <t>с753хв</t>
  </si>
  <si>
    <t>р559рн</t>
  </si>
  <si>
    <t>с199св</t>
  </si>
  <si>
    <t>т994то</t>
  </si>
  <si>
    <t>р427ст</t>
  </si>
  <si>
    <t>р413кс</t>
  </si>
  <si>
    <t>с427рт</t>
  </si>
  <si>
    <t>е120уу</t>
  </si>
  <si>
    <t>р760мк</t>
  </si>
  <si>
    <t>к331хн</t>
  </si>
  <si>
    <t>в181хк</t>
  </si>
  <si>
    <t>х418уе</t>
  </si>
  <si>
    <t>у602тн</t>
  </si>
  <si>
    <t>н272ко</t>
  </si>
  <si>
    <t>х323но</t>
  </si>
  <si>
    <t>с441уу</t>
  </si>
  <si>
    <t>н860нк</t>
  </si>
  <si>
    <t>т481ку</t>
  </si>
  <si>
    <t>6098аа</t>
  </si>
  <si>
    <t>0123оо</t>
  </si>
  <si>
    <t>т500сн</t>
  </si>
  <si>
    <t>м640ух</t>
  </si>
  <si>
    <t>8304мт</t>
  </si>
  <si>
    <t>н408ех</t>
  </si>
  <si>
    <t>с544кс</t>
  </si>
  <si>
    <t>с912кв</t>
  </si>
  <si>
    <t>с010тн</t>
  </si>
  <si>
    <t>6914оо</t>
  </si>
  <si>
    <t>т303тв</t>
  </si>
  <si>
    <t>7028ок</t>
  </si>
  <si>
    <t>5487ак</t>
  </si>
  <si>
    <t>7028ос</t>
  </si>
  <si>
    <t>е618ма</t>
  </si>
  <si>
    <t>о483ра</t>
  </si>
  <si>
    <t>м300оу</t>
  </si>
  <si>
    <t>м237оу</t>
  </si>
  <si>
    <t>н296ав</t>
  </si>
  <si>
    <t>а801нт</t>
  </si>
  <si>
    <t>к161рв</t>
  </si>
  <si>
    <t>и161рв</t>
  </si>
  <si>
    <t>о634мн</t>
  </si>
  <si>
    <t>в151рк</t>
  </si>
  <si>
    <t>н845ам</t>
  </si>
  <si>
    <t>н606мс</t>
  </si>
  <si>
    <t>в415мх</t>
  </si>
  <si>
    <t>т188ау</t>
  </si>
  <si>
    <t>к005тм</t>
  </si>
  <si>
    <t>р529ак</t>
  </si>
  <si>
    <t>м602рв</t>
  </si>
  <si>
    <t>н142нм</t>
  </si>
  <si>
    <t>р529</t>
  </si>
  <si>
    <t>с222ра</t>
  </si>
  <si>
    <t>с884ае</t>
  </si>
  <si>
    <t>с301ус</t>
  </si>
  <si>
    <t>р037ва</t>
  </si>
  <si>
    <t>м845ан</t>
  </si>
  <si>
    <t>р009ее</t>
  </si>
  <si>
    <t>р401но</t>
  </si>
  <si>
    <t>т224еу</t>
  </si>
  <si>
    <t>8434ор</t>
  </si>
  <si>
    <t>о567вв</t>
  </si>
  <si>
    <t>с003хс</t>
  </si>
  <si>
    <t>т157вк</t>
  </si>
  <si>
    <t>у748от</t>
  </si>
  <si>
    <t>с227су</t>
  </si>
  <si>
    <t>т679кв</t>
  </si>
  <si>
    <t>0986ко</t>
  </si>
  <si>
    <t>5589ак</t>
  </si>
  <si>
    <t>т102ух</t>
  </si>
  <si>
    <t>т114ух</t>
  </si>
  <si>
    <t>у361ае</t>
  </si>
  <si>
    <t>т112ух</t>
  </si>
  <si>
    <t>т124ух</t>
  </si>
  <si>
    <t>т103ух</t>
  </si>
  <si>
    <t>т804нм</t>
  </si>
  <si>
    <t xml:space="preserve">т804нм			</t>
  </si>
  <si>
    <t>8404 мт</t>
  </si>
  <si>
    <t>т807ов</t>
  </si>
  <si>
    <t>к354ку</t>
  </si>
  <si>
    <t>о376ра</t>
  </si>
  <si>
    <t>р123ук</t>
  </si>
  <si>
    <t>м870ва</t>
  </si>
  <si>
    <t>о092кр</t>
  </si>
  <si>
    <t>н729ок</t>
  </si>
  <si>
    <t>е976ку</t>
  </si>
  <si>
    <t>а055мт</t>
  </si>
  <si>
    <t>с247нм</t>
  </si>
  <si>
    <t>с595сх</t>
  </si>
  <si>
    <t>м921хв</t>
  </si>
  <si>
    <t>т393оа</t>
  </si>
  <si>
    <t>т795ву</t>
  </si>
  <si>
    <t>с093сс</t>
  </si>
  <si>
    <t>с311ее</t>
  </si>
  <si>
    <t>н486ов</t>
  </si>
  <si>
    <t>т820нр</t>
  </si>
  <si>
    <t>н813ва</t>
  </si>
  <si>
    <t>м202ме</t>
  </si>
  <si>
    <t>м261ра</t>
  </si>
  <si>
    <t>р058кх</t>
  </si>
  <si>
    <t>н485ов</t>
  </si>
  <si>
    <t>84-34ор</t>
  </si>
  <si>
    <t>с954оа</t>
  </si>
  <si>
    <t>н763ое</t>
  </si>
  <si>
    <t>р889со</t>
  </si>
  <si>
    <t>с906хв</t>
  </si>
  <si>
    <t>о610нт</t>
  </si>
  <si>
    <t>с484ко</t>
  </si>
  <si>
    <t>р794ар</t>
  </si>
  <si>
    <t>с446ен</t>
  </si>
  <si>
    <t>т276но</t>
  </si>
  <si>
    <t>т531ма</t>
  </si>
  <si>
    <t>р003ев</t>
  </si>
  <si>
    <t>о006ор</t>
  </si>
  <si>
    <t>с475сн</t>
  </si>
  <si>
    <t>8059от</t>
  </si>
  <si>
    <t>6583аа</t>
  </si>
  <si>
    <t>мт6583</t>
  </si>
  <si>
    <t>е411ну</t>
  </si>
  <si>
    <t>в039рн</t>
  </si>
  <si>
    <t>о135ув</t>
  </si>
  <si>
    <t>8283ох</t>
  </si>
  <si>
    <t>0536оо</t>
  </si>
  <si>
    <t>к238кв</t>
  </si>
  <si>
    <t>р286тх</t>
  </si>
  <si>
    <t>5715ак</t>
  </si>
  <si>
    <t>5323ак</t>
  </si>
  <si>
    <t>5583ак</t>
  </si>
  <si>
    <t>3373км</t>
  </si>
  <si>
    <t>3377км</t>
  </si>
  <si>
    <t>о986ко</t>
  </si>
  <si>
    <t>5201ак</t>
  </si>
  <si>
    <t>в784мс</t>
  </si>
  <si>
    <t>у270ее</t>
  </si>
  <si>
    <t>т729хн</t>
  </si>
  <si>
    <t>с493оа</t>
  </si>
  <si>
    <t>н961вк</t>
  </si>
  <si>
    <t>и961вк</t>
  </si>
  <si>
    <t>8729еа</t>
  </si>
  <si>
    <t>с012хо</t>
  </si>
  <si>
    <t>е752рк</t>
  </si>
  <si>
    <t>о666ха</t>
  </si>
  <si>
    <t>т584ке</t>
  </si>
  <si>
    <t>в406кт</t>
  </si>
  <si>
    <t>т740нс</t>
  </si>
  <si>
    <t>к158ву</t>
  </si>
  <si>
    <t>а284вх</t>
  </si>
  <si>
    <t>е550ох</t>
  </si>
  <si>
    <t>в974мо</t>
  </si>
  <si>
    <t>о050тх</t>
  </si>
  <si>
    <t>х752мв</t>
  </si>
  <si>
    <t>т418уе</t>
  </si>
  <si>
    <t>р610ст</t>
  </si>
  <si>
    <t>н997ра</t>
  </si>
  <si>
    <t>в114вт</t>
  </si>
  <si>
    <t>т153вр</t>
  </si>
  <si>
    <t>т215на</t>
  </si>
  <si>
    <t>т215ма</t>
  </si>
  <si>
    <t>м463ау</t>
  </si>
  <si>
    <t>р049ке</t>
  </si>
  <si>
    <t>с832ха</t>
  </si>
  <si>
    <t>у419ан</t>
  </si>
  <si>
    <t>т686ур</t>
  </si>
  <si>
    <t>р820мм</t>
  </si>
  <si>
    <t>т885кн</t>
  </si>
  <si>
    <t>х321ув</t>
  </si>
  <si>
    <t>т071рт</t>
  </si>
  <si>
    <t>е556ус</t>
  </si>
  <si>
    <t>н817хв</t>
  </si>
  <si>
    <t>с811кв</t>
  </si>
  <si>
    <t>н903са</t>
  </si>
  <si>
    <t>н903ас</t>
  </si>
  <si>
    <t>6695ор</t>
  </si>
  <si>
    <t>р611ен</t>
  </si>
  <si>
    <t>в735см</t>
  </si>
  <si>
    <t>е921нр</t>
  </si>
  <si>
    <t>с489ру</t>
  </si>
  <si>
    <t>р191нх</t>
  </si>
  <si>
    <t>н946ун</t>
  </si>
  <si>
    <t>м038ср</t>
  </si>
  <si>
    <t>с280уу</t>
  </si>
  <si>
    <t>к415хо</t>
  </si>
  <si>
    <t>е694нв</t>
  </si>
  <si>
    <t>м916мр</t>
  </si>
  <si>
    <t>в783сс</t>
  </si>
  <si>
    <t>м316рв</t>
  </si>
  <si>
    <t>т598кх</t>
  </si>
  <si>
    <t>в819сс</t>
  </si>
  <si>
    <t>м316се</t>
  </si>
  <si>
    <t>т514со</t>
  </si>
  <si>
    <t>т544со</t>
  </si>
  <si>
    <t>м477ее</t>
  </si>
  <si>
    <t>т275ер</t>
  </si>
  <si>
    <t>н745хр</t>
  </si>
  <si>
    <t>т621те</t>
  </si>
  <si>
    <t>т559вс</t>
  </si>
  <si>
    <t>у886вв</t>
  </si>
  <si>
    <t>р022ту</t>
  </si>
  <si>
    <t>р021ту</t>
  </si>
  <si>
    <t>о111хв</t>
  </si>
  <si>
    <t>н010сн</t>
  </si>
  <si>
    <t>т215ме</t>
  </si>
  <si>
    <t>м830ту</t>
  </si>
  <si>
    <t>н160ее</t>
  </si>
  <si>
    <t>в099хс</t>
  </si>
  <si>
    <t>к519ку</t>
  </si>
  <si>
    <t>т354ку</t>
  </si>
  <si>
    <t>а009рт</t>
  </si>
  <si>
    <t>в039сс</t>
  </si>
  <si>
    <t>р422ка</t>
  </si>
  <si>
    <t>р421ка</t>
  </si>
  <si>
    <t>а008ек</t>
  </si>
  <si>
    <t>н645кс</t>
  </si>
  <si>
    <t>н642см</t>
  </si>
  <si>
    <t>о444ре</t>
  </si>
  <si>
    <t>с888рв</t>
  </si>
  <si>
    <t>м595уе</t>
  </si>
  <si>
    <t>м436мв</t>
  </si>
  <si>
    <t>н381мт</t>
  </si>
  <si>
    <t>о275ер</t>
  </si>
  <si>
    <t>у039нт</t>
  </si>
  <si>
    <t>у631ку</t>
  </si>
  <si>
    <t>К839УА</t>
  </si>
  <si>
    <t>к838уа</t>
  </si>
  <si>
    <t>о500нт</t>
  </si>
  <si>
    <t>о237оу</t>
  </si>
  <si>
    <t>т563ам</t>
  </si>
  <si>
    <t>к512нт</t>
  </si>
  <si>
    <t>к512нр</t>
  </si>
  <si>
    <t>с220ср</t>
  </si>
  <si>
    <t>р220се</t>
  </si>
  <si>
    <t>в467рх</t>
  </si>
  <si>
    <t>9268ов</t>
  </si>
  <si>
    <t>а004ео</t>
  </si>
  <si>
    <t>а052ке</t>
  </si>
  <si>
    <t>в010ва</t>
  </si>
  <si>
    <t>к099ва</t>
  </si>
  <si>
    <t>е783св</t>
  </si>
  <si>
    <t>в563мк</t>
  </si>
  <si>
    <t>м593рт</t>
  </si>
  <si>
    <t>к352ку</t>
  </si>
  <si>
    <t>к906рр</t>
  </si>
  <si>
    <t>м857уе</t>
  </si>
  <si>
    <t>н407кн</t>
  </si>
  <si>
    <t>у238ву</t>
  </si>
  <si>
    <t>у943ан</t>
  </si>
  <si>
    <t>м200ро</t>
  </si>
  <si>
    <t>к215ку</t>
  </si>
  <si>
    <t>к214ку</t>
  </si>
  <si>
    <t>м579ру</t>
  </si>
  <si>
    <t>м637ро</t>
  </si>
  <si>
    <t>т161нс</t>
  </si>
  <si>
    <t>а201вх</t>
  </si>
  <si>
    <t>м048ро</t>
  </si>
  <si>
    <t>в475мн</t>
  </si>
  <si>
    <t>е464мс</t>
  </si>
  <si>
    <t>с559св</t>
  </si>
  <si>
    <t>с260мн</t>
  </si>
  <si>
    <t>р995ао</t>
  </si>
  <si>
    <t>о111ум</t>
  </si>
  <si>
    <t>у205ер</t>
  </si>
  <si>
    <t>н587ва</t>
  </si>
  <si>
    <t>т124хе</t>
  </si>
  <si>
    <t>с625ка</t>
  </si>
  <si>
    <t>к009ва</t>
  </si>
  <si>
    <t>a004eo</t>
  </si>
  <si>
    <t>а008рм</t>
  </si>
  <si>
    <t>в991мх</t>
  </si>
  <si>
    <t>р566рн</t>
  </si>
  <si>
    <t>н801нт</t>
  </si>
  <si>
    <t>с920ус</t>
  </si>
  <si>
    <t>х572хх</t>
  </si>
  <si>
    <t>р900во</t>
  </si>
  <si>
    <t>р900вк</t>
  </si>
  <si>
    <t>о504тт</t>
  </si>
  <si>
    <t>р634нн</t>
  </si>
  <si>
    <t>с201ох</t>
  </si>
  <si>
    <t>с221ох</t>
  </si>
  <si>
    <t>о002тк</t>
  </si>
  <si>
    <t>к099вл</t>
  </si>
  <si>
    <t>о003тк</t>
  </si>
  <si>
    <t>к524кк</t>
  </si>
  <si>
    <t>в558мх</t>
  </si>
  <si>
    <t>а002нк</t>
  </si>
  <si>
    <t>с262мр</t>
  </si>
  <si>
    <t>с262мо</t>
  </si>
  <si>
    <t>у255ву</t>
  </si>
  <si>
    <t>е865хо</t>
  </si>
  <si>
    <t>е352мк</t>
  </si>
  <si>
    <t>р775ау</t>
  </si>
  <si>
    <t>с954хк</t>
  </si>
  <si>
    <t>с054ов</t>
  </si>
  <si>
    <t>т337на</t>
  </si>
  <si>
    <t>н537рр</t>
  </si>
  <si>
    <t>а38му</t>
  </si>
  <si>
    <t>н970он</t>
  </si>
  <si>
    <t>е223мк</t>
  </si>
  <si>
    <t>с004вв</t>
  </si>
  <si>
    <t>с478вм</t>
  </si>
  <si>
    <t>о273рв</t>
  </si>
  <si>
    <t>в376ое</t>
  </si>
  <si>
    <t>т651ем</t>
  </si>
  <si>
    <t>с957мо</t>
  </si>
  <si>
    <t>н152ув</t>
  </si>
  <si>
    <t>о532ун</t>
  </si>
  <si>
    <t>р780ау</t>
  </si>
  <si>
    <t>о838хм</t>
  </si>
  <si>
    <t>о009ве</t>
  </si>
  <si>
    <t>р542ут</t>
  </si>
  <si>
    <t>р920ув</t>
  </si>
  <si>
    <t>н333не</t>
  </si>
  <si>
    <t>с956тт</t>
  </si>
  <si>
    <t>с401ам</t>
  </si>
  <si>
    <t>т016ко</t>
  </si>
  <si>
    <t>т788вт</t>
  </si>
  <si>
    <t>с338ес</t>
  </si>
  <si>
    <t>о995оа</t>
  </si>
  <si>
    <t>т599оу</t>
  </si>
  <si>
    <t>с894сн</t>
  </si>
  <si>
    <t>у084ам</t>
  </si>
  <si>
    <t>а423та</t>
  </si>
  <si>
    <t>р362хм</t>
  </si>
  <si>
    <t>е556уе</t>
  </si>
  <si>
    <t>р165хн</t>
  </si>
  <si>
    <t>в435тв</t>
  </si>
  <si>
    <t>т099рм</t>
  </si>
  <si>
    <t>у099рм</t>
  </si>
  <si>
    <t>т099рн</t>
  </si>
  <si>
    <t>т284ту</t>
  </si>
  <si>
    <t>к063рк</t>
  </si>
  <si>
    <t>р464ув</t>
  </si>
  <si>
    <t>р036рр</t>
  </si>
  <si>
    <t>с339ес</t>
  </si>
  <si>
    <t>р465ув</t>
  </si>
  <si>
    <t>е250ок</t>
  </si>
  <si>
    <t>в415</t>
  </si>
  <si>
    <t>м252то</t>
  </si>
  <si>
    <t>6180нв</t>
  </si>
  <si>
    <t>т807нм</t>
  </si>
  <si>
    <t>р801т х</t>
  </si>
  <si>
    <t>о040та</t>
  </si>
  <si>
    <t>к487кк</t>
  </si>
  <si>
    <t>н920ра</t>
  </si>
  <si>
    <t>е173оа</t>
  </si>
  <si>
    <t>с426ху</t>
  </si>
  <si>
    <t>к331</t>
  </si>
  <si>
    <t>с503 ру</t>
  </si>
  <si>
    <t>в797ео</t>
  </si>
  <si>
    <t>т004ск</t>
  </si>
  <si>
    <t>с686ос</t>
  </si>
  <si>
    <t>о555оу</t>
  </si>
  <si>
    <t>т947мв</t>
  </si>
  <si>
    <t>а 201вх</t>
  </si>
  <si>
    <t>к701нв</t>
  </si>
  <si>
    <t>т133нс</t>
  </si>
  <si>
    <t>н354мв</t>
  </si>
  <si>
    <t>н347ок</t>
  </si>
  <si>
    <t>с227ср</t>
  </si>
  <si>
    <t>р716ом</t>
  </si>
  <si>
    <t>т446ху</t>
  </si>
  <si>
    <t>с606хм</t>
  </si>
  <si>
    <t>с6о6хм</t>
  </si>
  <si>
    <t>м365ре</t>
  </si>
  <si>
    <t>8344ох</t>
  </si>
  <si>
    <t>с794кн</t>
  </si>
  <si>
    <t>к158ау</t>
  </si>
  <si>
    <t>с494аа</t>
  </si>
  <si>
    <t>т420ук</t>
  </si>
  <si>
    <t>р010ов</t>
  </si>
  <si>
    <t>т991ор</t>
  </si>
  <si>
    <t>о147тр</t>
  </si>
  <si>
    <t>р338му</t>
  </si>
  <si>
    <t>о094мх</t>
  </si>
  <si>
    <t>с101ро</t>
  </si>
  <si>
    <t>о387хн</t>
  </si>
  <si>
    <t>р539рт</t>
  </si>
  <si>
    <t>с919св</t>
  </si>
  <si>
    <t>м051ав</t>
  </si>
  <si>
    <t>к065рк</t>
  </si>
  <si>
    <t>о189ем</t>
  </si>
  <si>
    <t>с939ае</t>
  </si>
  <si>
    <t>р506хн</t>
  </si>
  <si>
    <t>в220ср</t>
  </si>
  <si>
    <t>в981оа</t>
  </si>
  <si>
    <t>с504се</t>
  </si>
  <si>
    <t>о975аа</t>
  </si>
  <si>
    <t>0975аа</t>
  </si>
  <si>
    <t>т037ву</t>
  </si>
  <si>
    <t>к790рс</t>
  </si>
  <si>
    <t>в008те</t>
  </si>
  <si>
    <t>в686сс</t>
  </si>
  <si>
    <t>н637рс</t>
  </si>
  <si>
    <t>н971ом</t>
  </si>
  <si>
    <t>с774тр</t>
  </si>
  <si>
    <t>3373от</t>
  </si>
  <si>
    <t>т094нк</t>
  </si>
  <si>
    <t>т472вв</t>
  </si>
  <si>
    <t>т795</t>
  </si>
  <si>
    <t>м004хх</t>
  </si>
  <si>
    <t>к484ув</t>
  </si>
  <si>
    <t>м883хх</t>
  </si>
  <si>
    <t>о187ст</t>
  </si>
  <si>
    <t>р165</t>
  </si>
  <si>
    <t>334о</t>
  </si>
  <si>
    <t>м766оо</t>
  </si>
  <si>
    <t>м916рм</t>
  </si>
  <si>
    <t>к191ех</t>
  </si>
  <si>
    <t>т903вв</t>
  </si>
  <si>
    <t>о048ом</t>
  </si>
  <si>
    <t>с913</t>
  </si>
  <si>
    <t>н941ов</t>
  </si>
  <si>
    <t>к332ку</t>
  </si>
  <si>
    <t>т162мс</t>
  </si>
  <si>
    <t>т163нс</t>
  </si>
  <si>
    <t>н888хо</t>
  </si>
  <si>
    <t>е922ср</t>
  </si>
  <si>
    <t>е060ес</t>
  </si>
  <si>
    <t>м579</t>
  </si>
  <si>
    <t>е058ех</t>
  </si>
  <si>
    <t>А384НУ</t>
  </si>
  <si>
    <t>о002тс</t>
  </si>
  <si>
    <t>т172нс</t>
  </si>
  <si>
    <t>т177нс</t>
  </si>
  <si>
    <t>А004ЕО</t>
  </si>
  <si>
    <t>А384МУ</t>
  </si>
  <si>
    <t>с586нс</t>
  </si>
  <si>
    <t>с586тс</t>
  </si>
  <si>
    <t>н333ос</t>
  </si>
  <si>
    <t>н355мв</t>
  </si>
  <si>
    <t>т504оо</t>
  </si>
  <si>
    <t>о388хн</t>
  </si>
  <si>
    <t>0387хн</t>
  </si>
  <si>
    <t>о388хч</t>
  </si>
  <si>
    <t>у493ан</t>
  </si>
  <si>
    <t>у229ву</t>
  </si>
  <si>
    <t>у230ву</t>
  </si>
  <si>
    <t>с187ун</t>
  </si>
  <si>
    <t>р036рх</t>
  </si>
  <si>
    <t>т540ср</t>
  </si>
  <si>
    <t>о101ое</t>
  </si>
  <si>
    <t>к640ва</t>
  </si>
  <si>
    <t>о005ув</t>
  </si>
  <si>
    <t>р467тв</t>
  </si>
  <si>
    <t>а380мк</t>
  </si>
  <si>
    <t>н627рв</t>
  </si>
  <si>
    <t>о676хк</t>
  </si>
  <si>
    <t>н737мс</t>
  </si>
  <si>
    <t>у852вв</t>
  </si>
  <si>
    <t>н001ку</t>
  </si>
  <si>
    <t>н237оу</t>
  </si>
  <si>
    <t>2262ое</t>
  </si>
  <si>
    <t>т547ре</t>
  </si>
  <si>
    <t>т457ре</t>
  </si>
  <si>
    <t>с586кс</t>
  </si>
  <si>
    <t>р145тв</t>
  </si>
  <si>
    <t>145тв</t>
  </si>
  <si>
    <t>с139ма</t>
  </si>
  <si>
    <t>р548тс</t>
  </si>
  <si>
    <t>а063ма</t>
  </si>
  <si>
    <t>т143нх</t>
  </si>
  <si>
    <t>с800ну</t>
  </si>
  <si>
    <t>т234оу</t>
  </si>
  <si>
    <t>р419рн</t>
  </si>
  <si>
    <t>р328ор</t>
  </si>
  <si>
    <t>р611</t>
  </si>
  <si>
    <t>р411рн</t>
  </si>
  <si>
    <t>с952ат</t>
  </si>
  <si>
    <t>о005ор</t>
  </si>
  <si>
    <t>р418рн</t>
  </si>
  <si>
    <t>p411pн</t>
  </si>
  <si>
    <t>с383тт</t>
  </si>
  <si>
    <t>с626рм</t>
  </si>
  <si>
    <t>с316ат</t>
  </si>
  <si>
    <t>с316та</t>
  </si>
  <si>
    <t>м440ок</t>
  </si>
  <si>
    <t>в937уо</t>
  </si>
  <si>
    <t>с799ус</t>
  </si>
  <si>
    <t>н003то</t>
  </si>
  <si>
    <t>о065сх</t>
  </si>
  <si>
    <t>в129кх</t>
  </si>
  <si>
    <t>0125НЕ</t>
  </si>
  <si>
    <t>С648ТХ</t>
  </si>
  <si>
    <t>с648вх</t>
  </si>
  <si>
    <t>с478тх</t>
  </si>
  <si>
    <t>н474то</t>
  </si>
  <si>
    <t>в894ак</t>
  </si>
  <si>
    <t>с931ко</t>
  </si>
  <si>
    <t>м257оу</t>
  </si>
  <si>
    <t>к466ем</t>
  </si>
  <si>
    <t>в107кх</t>
  </si>
  <si>
    <t>т855кн</t>
  </si>
  <si>
    <t>т345ое</t>
  </si>
  <si>
    <t>с649ат</t>
  </si>
  <si>
    <t>к540хх</t>
  </si>
  <si>
    <t>у361не</t>
  </si>
  <si>
    <t>с009нт</t>
  </si>
  <si>
    <t>с838ра</t>
  </si>
  <si>
    <t>к205ер</t>
  </si>
  <si>
    <t>т034ам</t>
  </si>
  <si>
    <t>е476ра</t>
  </si>
  <si>
    <t>н410ме</t>
  </si>
  <si>
    <t>с338рс</t>
  </si>
  <si>
    <t>Р220СВ</t>
  </si>
  <si>
    <t>у096вт</t>
  </si>
  <si>
    <t>8171аа</t>
  </si>
  <si>
    <t>601мт</t>
  </si>
  <si>
    <t>6001мт</t>
  </si>
  <si>
    <t>у287ву</t>
  </si>
  <si>
    <t>у073ву</t>
  </si>
  <si>
    <t>у317ве</t>
  </si>
  <si>
    <t>т376оу</t>
  </si>
  <si>
    <t>е073ре</t>
  </si>
  <si>
    <t>р900вс</t>
  </si>
  <si>
    <t>н370са</t>
  </si>
  <si>
    <t>н931уу</t>
  </si>
  <si>
    <t>о483ро</t>
  </si>
  <si>
    <t>с725ус</t>
  </si>
  <si>
    <t>т201ан</t>
  </si>
  <si>
    <t>Т045ОУ</t>
  </si>
  <si>
    <t>в249ха</t>
  </si>
  <si>
    <t>м468ос</t>
  </si>
  <si>
    <t>У934АС</t>
  </si>
  <si>
    <t>н880ма</t>
  </si>
  <si>
    <t>р717он</t>
  </si>
  <si>
    <t>о995ао</t>
  </si>
  <si>
    <t>о995ар</t>
  </si>
  <si>
    <t>Р376ОЕ</t>
  </si>
  <si>
    <t>с152на</t>
  </si>
  <si>
    <t>в740хк</t>
  </si>
  <si>
    <t>т195кк</t>
  </si>
  <si>
    <t>Н745ХР</t>
  </si>
  <si>
    <t>О857ОО</t>
  </si>
  <si>
    <t>о857оо</t>
  </si>
  <si>
    <t>н815ех</t>
  </si>
  <si>
    <t>У054АМ</t>
  </si>
  <si>
    <t>р027рм</t>
  </si>
  <si>
    <t>Р027РМ</t>
  </si>
  <si>
    <t>Н407ЕХ</t>
  </si>
  <si>
    <t>р073те</t>
  </si>
  <si>
    <t>с878ус</t>
  </si>
  <si>
    <t>о507вх</t>
  </si>
  <si>
    <t>р217ме</t>
  </si>
  <si>
    <t>н398ух</t>
  </si>
  <si>
    <t>5652мм</t>
  </si>
  <si>
    <t>4852мт</t>
  </si>
  <si>
    <t>т804тм</t>
  </si>
  <si>
    <t>с954ов</t>
  </si>
  <si>
    <t>у914ек</t>
  </si>
  <si>
    <t>т240оу</t>
  </si>
  <si>
    <t>н284вк</t>
  </si>
  <si>
    <t>а284ва</t>
  </si>
  <si>
    <t>р922рн</t>
  </si>
  <si>
    <t>с758хв</t>
  </si>
  <si>
    <t>т487оу</t>
  </si>
  <si>
    <t>с911ов</t>
  </si>
  <si>
    <t>р894хн</t>
  </si>
  <si>
    <t>с737ео</t>
  </si>
  <si>
    <t>м869рс</t>
  </si>
  <si>
    <t>м309ук</t>
  </si>
  <si>
    <t>о235су</t>
  </si>
  <si>
    <t>н265во</t>
  </si>
  <si>
    <t>т246ао</t>
  </si>
  <si>
    <t>р309ох</t>
  </si>
  <si>
    <t>с134ер</t>
  </si>
  <si>
    <t>м975ам</t>
  </si>
  <si>
    <t>Т487ОУ</t>
  </si>
  <si>
    <t>с913ов</t>
  </si>
  <si>
    <t>с235су</t>
  </si>
  <si>
    <t>о233су</t>
  </si>
  <si>
    <t>у363ав</t>
  </si>
  <si>
    <t>с086ое</t>
  </si>
  <si>
    <t>м261ро</t>
  </si>
  <si>
    <t>н272но</t>
  </si>
  <si>
    <t>о037ва</t>
  </si>
  <si>
    <t>р009ре</t>
  </si>
  <si>
    <t>с556рм</t>
  </si>
  <si>
    <t>р420рн</t>
  </si>
  <si>
    <t>р413ру</t>
  </si>
  <si>
    <t>р491рн</t>
  </si>
  <si>
    <t>р421рн</t>
  </si>
  <si>
    <t>р060ма</t>
  </si>
  <si>
    <t>Р326РО</t>
  </si>
  <si>
    <t>м404мк</t>
  </si>
  <si>
    <t>р326ор</t>
  </si>
  <si>
    <t>р917ме</t>
  </si>
  <si>
    <t>р412рн</t>
  </si>
  <si>
    <t>а955км</t>
  </si>
  <si>
    <t>е556хс</t>
  </si>
  <si>
    <t>в791уа</t>
  </si>
  <si>
    <t>у791уа</t>
  </si>
  <si>
    <t>Р411РН</t>
  </si>
  <si>
    <t>р418рм</t>
  </si>
  <si>
    <t>с338ео</t>
  </si>
  <si>
    <t>с339сс</t>
  </si>
  <si>
    <t>р464уе</t>
  </si>
  <si>
    <t>Р464УВ</t>
  </si>
  <si>
    <t>у464ув</t>
  </si>
  <si>
    <t>Р548КО</t>
  </si>
  <si>
    <t>к050хе</t>
  </si>
  <si>
    <t>Х485ЕК</t>
  </si>
  <si>
    <t>х485ек</t>
  </si>
  <si>
    <t>у485ек</t>
  </si>
  <si>
    <t>т988вт</t>
  </si>
  <si>
    <t>р036ро</t>
  </si>
  <si>
    <t>м296ав</t>
  </si>
  <si>
    <t>о361ан</t>
  </si>
  <si>
    <t>т949ен</t>
  </si>
  <si>
    <t>е294ке</t>
  </si>
  <si>
    <t>т549ен</t>
  </si>
  <si>
    <t>м932ру</t>
  </si>
  <si>
    <t>а296ав</t>
  </si>
  <si>
    <t>н296ам</t>
  </si>
  <si>
    <t>м737рк</t>
  </si>
  <si>
    <t>к054тм</t>
  </si>
  <si>
    <t>к634тм</t>
  </si>
  <si>
    <t>о200то</t>
  </si>
  <si>
    <t>а201ав</t>
  </si>
  <si>
    <t>В563МК</t>
  </si>
  <si>
    <t>о001тк</t>
  </si>
  <si>
    <t>а384му</t>
  </si>
  <si>
    <t>к916кх</t>
  </si>
  <si>
    <t>к481но</t>
  </si>
  <si>
    <t>т658ев</t>
  </si>
  <si>
    <t>Р900АА</t>
  </si>
  <si>
    <t>в322кх</t>
  </si>
  <si>
    <t>в401мх</t>
  </si>
  <si>
    <t>к915кх</t>
  </si>
  <si>
    <t>т153нс</t>
  </si>
  <si>
    <t>в708кх</t>
  </si>
  <si>
    <t>к913кх</t>
  </si>
  <si>
    <t>м661ту</t>
  </si>
  <si>
    <t>т638ев</t>
  </si>
  <si>
    <t>к418но</t>
  </si>
  <si>
    <t>в401вх</t>
  </si>
  <si>
    <t>О962ЕН</t>
  </si>
  <si>
    <t>А646ОС</t>
  </si>
  <si>
    <t>н298ат</t>
  </si>
  <si>
    <t>т664ев</t>
  </si>
  <si>
    <t>о600оу</t>
  </si>
  <si>
    <t>м261ту</t>
  </si>
  <si>
    <t>Т178НС</t>
  </si>
  <si>
    <t>т664те</t>
  </si>
  <si>
    <t>р900аа</t>
  </si>
  <si>
    <t>о962ен</t>
  </si>
  <si>
    <t>в435ав</t>
  </si>
  <si>
    <t>у267ву</t>
  </si>
  <si>
    <t>е444тм</t>
  </si>
  <si>
    <t>а373ос</t>
  </si>
  <si>
    <t>н297ам</t>
  </si>
  <si>
    <t>в552мх</t>
  </si>
  <si>
    <t>м366ре</t>
  </si>
  <si>
    <t>с437ву</t>
  </si>
  <si>
    <t>к666км</t>
  </si>
  <si>
    <t>р999ех</t>
  </si>
  <si>
    <t>т162нс</t>
  </si>
  <si>
    <t>у281ву</t>
  </si>
  <si>
    <t>н973вк</t>
  </si>
  <si>
    <t>а914ка</t>
  </si>
  <si>
    <t>с527ое</t>
  </si>
  <si>
    <t>е777тс</t>
  </si>
  <si>
    <t>т104ух</t>
  </si>
  <si>
    <t>у371ае</t>
  </si>
  <si>
    <t>т111ух</t>
  </si>
  <si>
    <t>4897оо</t>
  </si>
  <si>
    <t>т102ут</t>
  </si>
  <si>
    <t>т118ух</t>
  </si>
  <si>
    <t>х361ае</t>
  </si>
  <si>
    <t>т102уа</t>
  </si>
  <si>
    <t>т098хм</t>
  </si>
  <si>
    <t>о402уа</t>
  </si>
  <si>
    <t>с874ке</t>
  </si>
  <si>
    <t>м501ав</t>
  </si>
  <si>
    <t>м091ав</t>
  </si>
  <si>
    <t>н845нм</t>
  </si>
  <si>
    <t>н545от</t>
  </si>
  <si>
    <t>н940ма</t>
  </si>
  <si>
    <t>8304МТ</t>
  </si>
  <si>
    <t>к701мв</t>
  </si>
  <si>
    <t>с101тн</t>
  </si>
  <si>
    <t>о892хм</t>
  </si>
  <si>
    <t>т826нр</t>
  </si>
  <si>
    <t>с503ур</t>
  </si>
  <si>
    <t>к435ну</t>
  </si>
  <si>
    <t>т435ну</t>
  </si>
  <si>
    <t>е995рт</t>
  </si>
  <si>
    <t>Т446ХУ</t>
  </si>
  <si>
    <t>М621РК</t>
  </si>
  <si>
    <t>Т457ХУ</t>
  </si>
  <si>
    <t>н405уу</t>
  </si>
  <si>
    <t>е069нс</t>
  </si>
  <si>
    <t>Е069НС</t>
  </si>
  <si>
    <t>т045оу</t>
  </si>
  <si>
    <t>т519со</t>
  </si>
  <si>
    <t>т504со</t>
  </si>
  <si>
    <t>р937ан</t>
  </si>
  <si>
    <t>н722ок</t>
  </si>
  <si>
    <t>р220св</t>
  </si>
  <si>
    <t>к606кс</t>
  </si>
  <si>
    <t>в724мс</t>
  </si>
  <si>
    <t>с744тр</t>
  </si>
  <si>
    <t>т618ен</t>
  </si>
  <si>
    <t>у693кс</t>
  </si>
  <si>
    <t>т618ем</t>
  </si>
  <si>
    <t>т975во</t>
  </si>
  <si>
    <t>р457см</t>
  </si>
  <si>
    <t>с009рм</t>
  </si>
  <si>
    <t>р737нв</t>
  </si>
  <si>
    <t>с858ра</t>
  </si>
  <si>
    <t>о752ое</t>
  </si>
  <si>
    <t>р683нт</t>
  </si>
  <si>
    <t>т188нс</t>
  </si>
  <si>
    <t>т156тм</t>
  </si>
  <si>
    <t>т149тм</t>
  </si>
  <si>
    <t>т194тм</t>
  </si>
  <si>
    <t>у287оу</t>
  </si>
  <si>
    <t>у266ву</t>
  </si>
  <si>
    <t>с001тк</t>
  </si>
  <si>
    <t>т156нс</t>
  </si>
  <si>
    <t>к519ну</t>
  </si>
  <si>
    <t>о555ун</t>
  </si>
  <si>
    <t>м688уа</t>
  </si>
  <si>
    <t>М661ТУ</t>
  </si>
  <si>
    <t>Т664ЕВ</t>
  </si>
  <si>
    <t>т125ух</t>
  </si>
  <si>
    <t>с727тр</t>
  </si>
  <si>
    <t>т519ам</t>
  </si>
  <si>
    <t>Т125УХ</t>
  </si>
  <si>
    <t>с272тр</t>
  </si>
  <si>
    <t>р018ув</t>
  </si>
  <si>
    <t>с926ху</t>
  </si>
  <si>
    <t>р603са</t>
  </si>
  <si>
    <t>Р405ВУ</t>
  </si>
  <si>
    <t>р405ву</t>
  </si>
  <si>
    <t>0111ум</t>
  </si>
  <si>
    <t>о50тх</t>
  </si>
  <si>
    <t>с464кс</t>
  </si>
  <si>
    <t>с138во</t>
  </si>
  <si>
    <t>р081со</t>
  </si>
  <si>
    <t>н173ху</t>
  </si>
  <si>
    <t>С878УС</t>
  </si>
  <si>
    <t>О057ВХ</t>
  </si>
  <si>
    <t>О567ВВ</t>
  </si>
  <si>
    <t>р734аи</t>
  </si>
  <si>
    <t>к297ам</t>
  </si>
  <si>
    <t>к057ам</t>
  </si>
  <si>
    <t>с471мв</t>
  </si>
  <si>
    <t>С471МВ</t>
  </si>
  <si>
    <t>С471МЗ</t>
  </si>
  <si>
    <t>Т885КН</t>
  </si>
  <si>
    <t>с278ус</t>
  </si>
  <si>
    <t>н955ав</t>
  </si>
  <si>
    <t>Т334ОУ</t>
  </si>
  <si>
    <t>н407ек</t>
  </si>
  <si>
    <t>С199СВ</t>
  </si>
  <si>
    <t>Е976</t>
  </si>
  <si>
    <t>т305хс</t>
  </si>
  <si>
    <t>н747му</t>
  </si>
  <si>
    <t>в082вв</t>
  </si>
  <si>
    <t>в566вв</t>
  </si>
  <si>
    <t>а379ст</t>
  </si>
  <si>
    <t>н401ас</t>
  </si>
  <si>
    <t>р183еу</t>
  </si>
  <si>
    <t>о168ав</t>
  </si>
  <si>
    <t>в565ук</t>
  </si>
  <si>
    <t>а189ех</t>
  </si>
  <si>
    <t>а181ех</t>
  </si>
  <si>
    <t>6088аа</t>
  </si>
  <si>
    <t>а055ст</t>
  </si>
  <si>
    <t>н435ов</t>
  </si>
  <si>
    <t>х317ве</t>
  </si>
  <si>
    <t>е227су</t>
  </si>
  <si>
    <t>с439сс</t>
  </si>
  <si>
    <t>р038кх</t>
  </si>
  <si>
    <t>Т305ХС</t>
  </si>
  <si>
    <t>т305ус</t>
  </si>
  <si>
    <t>м962ам</t>
  </si>
  <si>
    <t>М962АМ</t>
  </si>
  <si>
    <t>В566ВВ</t>
  </si>
  <si>
    <t>т451ре</t>
  </si>
  <si>
    <t>н925ва</t>
  </si>
  <si>
    <t>м925ва</t>
  </si>
  <si>
    <t>М925ВА</t>
  </si>
  <si>
    <t>с610нт</t>
  </si>
  <si>
    <t>Р018УВ</t>
  </si>
  <si>
    <t>Р018УР</t>
  </si>
  <si>
    <t>м888рв</t>
  </si>
  <si>
    <t>с557ом</t>
  </si>
  <si>
    <t>С557ОМ</t>
  </si>
  <si>
    <t>с584ос</t>
  </si>
  <si>
    <t>6258оо</t>
  </si>
  <si>
    <t>е264мс</t>
  </si>
  <si>
    <t>н637</t>
  </si>
  <si>
    <t>Р328ОР</t>
  </si>
  <si>
    <t>р326ро</t>
  </si>
  <si>
    <t>т094рм</t>
  </si>
  <si>
    <t>с421ру</t>
  </si>
  <si>
    <t>р413рн</t>
  </si>
  <si>
    <t>Р413ЕН</t>
  </si>
  <si>
    <t>р415рн</t>
  </si>
  <si>
    <t>р413ен</t>
  </si>
  <si>
    <t>с435сн</t>
  </si>
  <si>
    <t>с765кв</t>
  </si>
  <si>
    <t>т896оу</t>
  </si>
  <si>
    <t>Т804КР</t>
  </si>
  <si>
    <t>С439СС</t>
  </si>
  <si>
    <t>с183еа</t>
  </si>
  <si>
    <t>с493сс</t>
  </si>
  <si>
    <t>с038мр</t>
  </si>
  <si>
    <t>с184еа</t>
  </si>
  <si>
    <t>р937рн</t>
  </si>
  <si>
    <t>С183ЕА</t>
  </si>
  <si>
    <t>у976ку</t>
  </si>
  <si>
    <t>т295нр</t>
  </si>
  <si>
    <t>е427рт</t>
  </si>
  <si>
    <t>с912тн</t>
  </si>
  <si>
    <t>у615ку</t>
  </si>
  <si>
    <t>н009нт</t>
  </si>
  <si>
    <t>о253су</t>
  </si>
  <si>
    <t>с671кв</t>
  </si>
  <si>
    <t>т082мв</t>
  </si>
  <si>
    <t>с124рс</t>
  </si>
  <si>
    <t>с230ку</t>
  </si>
  <si>
    <t>с669еа</t>
  </si>
  <si>
    <t>с669ев</t>
  </si>
  <si>
    <t>у931ку</t>
  </si>
  <si>
    <t>у931ук</t>
  </si>
  <si>
    <t>у618кт</t>
  </si>
  <si>
    <t>9885мт</t>
  </si>
  <si>
    <t>9887мт</t>
  </si>
  <si>
    <t>С799УС</t>
  </si>
  <si>
    <t>в453тв</t>
  </si>
  <si>
    <t>В453ТВ</t>
  </si>
  <si>
    <t>т 016ко</t>
  </si>
  <si>
    <t>н569мр</t>
  </si>
  <si>
    <t>т648нр</t>
  </si>
  <si>
    <t>Т648НР</t>
  </si>
  <si>
    <t>т099нк</t>
  </si>
  <si>
    <t>2221мт</t>
  </si>
  <si>
    <t>р006сн</t>
  </si>
  <si>
    <t>с393ок</t>
  </si>
  <si>
    <t>с939ск</t>
  </si>
  <si>
    <t>оо6258</t>
  </si>
  <si>
    <t>с431ут</t>
  </si>
  <si>
    <t>е772аа</t>
  </si>
  <si>
    <t>а532ос</t>
  </si>
  <si>
    <t>в311мн</t>
  </si>
  <si>
    <t>о166ум</t>
  </si>
  <si>
    <t>о166ун</t>
  </si>
  <si>
    <t>н593рм</t>
  </si>
  <si>
    <t>в730хк</t>
  </si>
  <si>
    <t>с139на</t>
  </si>
  <si>
    <t>о707ох</t>
  </si>
  <si>
    <t>н642ха</t>
  </si>
  <si>
    <t>в628оа</t>
  </si>
  <si>
    <t>р781мт</t>
  </si>
  <si>
    <t>м637</t>
  </si>
  <si>
    <t>У238ВУ</t>
  </si>
  <si>
    <t>К352КУ</t>
  </si>
  <si>
    <t>М593РТ</t>
  </si>
  <si>
    <t>м386ре</t>
  </si>
  <si>
    <t>у258ву</t>
  </si>
  <si>
    <t>М673РО</t>
  </si>
  <si>
    <t>о022тк</t>
  </si>
  <si>
    <t>Т172НС</t>
  </si>
  <si>
    <t>м048</t>
  </si>
  <si>
    <t>А008</t>
  </si>
  <si>
    <t>В010ВА</t>
  </si>
  <si>
    <t>р012тв</t>
  </si>
  <si>
    <t>т950вм</t>
  </si>
  <si>
    <t>н912уе</t>
  </si>
  <si>
    <t>т091мм</t>
  </si>
  <si>
    <t>о242мр</t>
  </si>
  <si>
    <t>т927са</t>
  </si>
  <si>
    <t>н867мо</t>
  </si>
  <si>
    <t>р051ус</t>
  </si>
  <si>
    <t>к618ку</t>
  </si>
  <si>
    <t>м946оу</t>
  </si>
  <si>
    <t>н610хм</t>
  </si>
  <si>
    <t>т099рл</t>
  </si>
  <si>
    <t>С008ХЕ</t>
  </si>
  <si>
    <t>о567</t>
  </si>
  <si>
    <t>С912КВ</t>
  </si>
  <si>
    <t>Т614ЕС</t>
  </si>
  <si>
    <t>Н819ХВ</t>
  </si>
  <si>
    <t>С900</t>
  </si>
  <si>
    <t>С101ТВ</t>
  </si>
  <si>
    <t>в194сс</t>
  </si>
  <si>
    <t>о057вх</t>
  </si>
  <si>
    <t>с00тс</t>
  </si>
  <si>
    <t>с001тс</t>
  </si>
  <si>
    <t>Н005КМ</t>
  </si>
  <si>
    <t>С001РО</t>
  </si>
  <si>
    <t>Н401АС</t>
  </si>
  <si>
    <t>Н747МУ</t>
  </si>
  <si>
    <t>с099нт</t>
  </si>
  <si>
    <t>с245нм</t>
  </si>
  <si>
    <t>о058кх</t>
  </si>
  <si>
    <t>В565УК</t>
  </si>
  <si>
    <t>с055ст</t>
  </si>
  <si>
    <t>т039хо</t>
  </si>
  <si>
    <t>к615ку</t>
  </si>
  <si>
    <t>а008нн</t>
  </si>
  <si>
    <t>к406ем</t>
  </si>
  <si>
    <t>а008нк</t>
  </si>
  <si>
    <t>Т296АО</t>
  </si>
  <si>
    <t>с371но</t>
  </si>
  <si>
    <t>с187ум</t>
  </si>
  <si>
    <t>р210ув</t>
  </si>
  <si>
    <t>с222оо</t>
  </si>
  <si>
    <t>н609ех</t>
  </si>
  <si>
    <t>т941ра</t>
  </si>
  <si>
    <t>с183тн</t>
  </si>
  <si>
    <t>е444ех</t>
  </si>
  <si>
    <t>т269хс</t>
  </si>
  <si>
    <t>Т436НМ</t>
  </si>
  <si>
    <t>т881оу</t>
  </si>
  <si>
    <t>Т881ОУ</t>
  </si>
  <si>
    <t>а810вм</t>
  </si>
  <si>
    <t>в686ос</t>
  </si>
  <si>
    <t>с222хв</t>
  </si>
  <si>
    <t>е694мв</t>
  </si>
  <si>
    <t>к978кк</t>
  </si>
  <si>
    <t>у988вс</t>
  </si>
  <si>
    <t>у210ву</t>
  </si>
  <si>
    <t>у591кн</t>
  </si>
  <si>
    <t>т265мм</t>
  </si>
  <si>
    <t>т009рн</t>
  </si>
  <si>
    <t>с005ра</t>
  </si>
  <si>
    <t>с312хс</t>
  </si>
  <si>
    <t>с347хс</t>
  </si>
  <si>
    <t>О222ОР</t>
  </si>
  <si>
    <t>р420рк</t>
  </si>
  <si>
    <t>Т481КУ</t>
  </si>
  <si>
    <t>т421хт</t>
  </si>
  <si>
    <t>в 566 вв</t>
  </si>
  <si>
    <t>м964ам</t>
  </si>
  <si>
    <t>о353ва</t>
  </si>
  <si>
    <t>к055ст</t>
  </si>
  <si>
    <t>у371ве</t>
  </si>
  <si>
    <t>е019ае</t>
  </si>
  <si>
    <t>а019ае</t>
  </si>
  <si>
    <t>а691кх</t>
  </si>
  <si>
    <t>у083рк</t>
  </si>
  <si>
    <t>а071ра</t>
  </si>
  <si>
    <t>у917ве</t>
  </si>
  <si>
    <t>у592кр</t>
  </si>
  <si>
    <t>а397ст</t>
  </si>
  <si>
    <t>а055ск</t>
  </si>
  <si>
    <t>е826ое</t>
  </si>
  <si>
    <t>М002АА</t>
  </si>
  <si>
    <t>м070вн</t>
  </si>
  <si>
    <t>м917тм</t>
  </si>
  <si>
    <t>М917ТМ</t>
  </si>
  <si>
    <t>р252ро</t>
  </si>
  <si>
    <t>У333КТ</t>
  </si>
  <si>
    <t>Р252РО</t>
  </si>
  <si>
    <t>Р467ТВ</t>
  </si>
  <si>
    <t>с439се</t>
  </si>
  <si>
    <t>т046ук</t>
  </si>
  <si>
    <t>н401ае</t>
  </si>
  <si>
    <t>с091ке</t>
  </si>
  <si>
    <t>с091сс</t>
  </si>
  <si>
    <t>е971ку</t>
  </si>
  <si>
    <t>к592ре</t>
  </si>
  <si>
    <t>р037рн</t>
  </si>
  <si>
    <t>с469сс</t>
  </si>
  <si>
    <t>м131ма</t>
  </si>
  <si>
    <t>н777оа</t>
  </si>
  <si>
    <t>е404ус</t>
  </si>
  <si>
    <t>м611ту</t>
  </si>
  <si>
    <t>м297ам</t>
  </si>
  <si>
    <t>е464мр</t>
  </si>
  <si>
    <t>Н777ОА</t>
  </si>
  <si>
    <t>н777ор</t>
  </si>
  <si>
    <t>а090ке</t>
  </si>
  <si>
    <t>н007ен</t>
  </si>
  <si>
    <t>м366рв</t>
  </si>
  <si>
    <t>м388рв</t>
  </si>
  <si>
    <t>т175тм</t>
  </si>
  <si>
    <t>у281вх</t>
  </si>
  <si>
    <t>к328не</t>
  </si>
  <si>
    <t>н979вк</t>
  </si>
  <si>
    <t>о111ех</t>
  </si>
  <si>
    <t>т658св</t>
  </si>
  <si>
    <t>в717ум</t>
  </si>
  <si>
    <t>с206мк</t>
  </si>
  <si>
    <t>т648нс</t>
  </si>
  <si>
    <t>с706мк</t>
  </si>
  <si>
    <t>к627вх</t>
  </si>
  <si>
    <t>т051ес</t>
  </si>
  <si>
    <t>х322ху</t>
  </si>
  <si>
    <t>с973вв</t>
  </si>
  <si>
    <t>н219нв</t>
  </si>
  <si>
    <t>о559ро</t>
  </si>
  <si>
    <t>у695ан</t>
  </si>
  <si>
    <t>р213оо</t>
  </si>
  <si>
    <t>т011ту</t>
  </si>
  <si>
    <t>с218еу</t>
  </si>
  <si>
    <t>о599ро</t>
  </si>
  <si>
    <t>о050сс</t>
  </si>
  <si>
    <t>е368мв</t>
  </si>
  <si>
    <t>к904мм</t>
  </si>
  <si>
    <t>н720ок</t>
  </si>
  <si>
    <t>р962ао</t>
  </si>
  <si>
    <t>с121ху</t>
  </si>
  <si>
    <t>с519ав</t>
  </si>
  <si>
    <t>е368ме</t>
  </si>
  <si>
    <t>в181хн</t>
  </si>
  <si>
    <t>р057ма</t>
  </si>
  <si>
    <t>т428рт</t>
  </si>
  <si>
    <t>т951нх</t>
  </si>
  <si>
    <t>т951нх,</t>
  </si>
  <si>
    <t>р411</t>
  </si>
  <si>
    <t>т429рт</t>
  </si>
  <si>
    <t>оо060р</t>
  </si>
  <si>
    <t>т951мх</t>
  </si>
  <si>
    <t>р370ен</t>
  </si>
  <si>
    <t>е809вв</t>
  </si>
  <si>
    <t>с316нт</t>
  </si>
  <si>
    <t>н229ре</t>
  </si>
  <si>
    <t>с415сн</t>
  </si>
  <si>
    <t>о100нх</t>
  </si>
  <si>
    <t>р057мв</t>
  </si>
  <si>
    <t>р194ва</t>
  </si>
  <si>
    <t>р541ек</t>
  </si>
  <si>
    <t>с807ех</t>
  </si>
  <si>
    <t>о316ан</t>
  </si>
  <si>
    <t>у054</t>
  </si>
  <si>
    <t>у911еа</t>
  </si>
  <si>
    <t>0519ук</t>
  </si>
  <si>
    <t>у914</t>
  </si>
  <si>
    <t>н965ав</t>
  </si>
  <si>
    <t>м336то</t>
  </si>
  <si>
    <t>т159кв</t>
  </si>
  <si>
    <t>м949мв</t>
  </si>
  <si>
    <t>т328уе</t>
  </si>
  <si>
    <t>с954рх</t>
  </si>
  <si>
    <t>с023ам</t>
  </si>
  <si>
    <t>р484ув</t>
  </si>
  <si>
    <t>т485ек</t>
  </si>
  <si>
    <t>т797ео</t>
  </si>
  <si>
    <t>к578су</t>
  </si>
  <si>
    <t>о005км</t>
  </si>
  <si>
    <t>о519уа</t>
  </si>
  <si>
    <t>в196сс</t>
  </si>
  <si>
    <t>р028рм</t>
  </si>
  <si>
    <t>8934ор</t>
  </si>
  <si>
    <t>о057вв</t>
  </si>
  <si>
    <t>м201ме</t>
  </si>
  <si>
    <t>и268во</t>
  </si>
  <si>
    <t>с557он</t>
  </si>
  <si>
    <t>р757нв</t>
  </si>
  <si>
    <t>к191еу</t>
  </si>
  <si>
    <t>с342св</t>
  </si>
  <si>
    <t>н991ру</t>
  </si>
  <si>
    <t>м485ов</t>
  </si>
  <si>
    <t>т765кв</t>
  </si>
  <si>
    <t>у083кр</t>
  </si>
  <si>
    <t>А055СК</t>
  </si>
  <si>
    <t>м463ок</t>
  </si>
  <si>
    <t>р849му</t>
  </si>
  <si>
    <t>р849мх</t>
  </si>
  <si>
    <t>с577ом</t>
  </si>
  <si>
    <t>р733ос</t>
  </si>
  <si>
    <t>н615ку</t>
  </si>
  <si>
    <t>р733ое</t>
  </si>
  <si>
    <t>н749хр</t>
  </si>
  <si>
    <t>н795хр</t>
  </si>
  <si>
    <t>о530ку</t>
  </si>
  <si>
    <t>р618ув</t>
  </si>
  <si>
    <t>о501рн</t>
  </si>
  <si>
    <t>о501ра</t>
  </si>
  <si>
    <t>о760хх</t>
  </si>
  <si>
    <t>у236ек</t>
  </si>
  <si>
    <t>с378ес</t>
  </si>
  <si>
    <t>с338вс</t>
  </si>
  <si>
    <t>н841ст</t>
  </si>
  <si>
    <t>Т016КО</t>
  </si>
  <si>
    <t>н888рв</t>
  </si>
  <si>
    <t>в304мт</t>
  </si>
  <si>
    <t>т004сн</t>
  </si>
  <si>
    <t>Р639АУ</t>
  </si>
  <si>
    <t>р939ау</t>
  </si>
  <si>
    <t>с463ое</t>
  </si>
  <si>
    <t>н531но</t>
  </si>
  <si>
    <t>с997вв</t>
  </si>
  <si>
    <t>т504те</t>
  </si>
  <si>
    <t>с881хи</t>
  </si>
  <si>
    <t>а871уу</t>
  </si>
  <si>
    <t>у183кр</t>
  </si>
  <si>
    <t>а071а</t>
  </si>
  <si>
    <t>у964ам</t>
  </si>
  <si>
    <t>а870уу</t>
  </si>
  <si>
    <t>а869уу</t>
  </si>
  <si>
    <t>а875уу</t>
  </si>
  <si>
    <t>к317ве</t>
  </si>
  <si>
    <t>в465ук</t>
  </si>
  <si>
    <t>м364ам</t>
  </si>
  <si>
    <t>а869ху</t>
  </si>
  <si>
    <t>а859уу</t>
  </si>
  <si>
    <t>а871ту</t>
  </si>
  <si>
    <t>м463ак</t>
  </si>
  <si>
    <t>м436ау</t>
  </si>
  <si>
    <t>а606те</t>
  </si>
  <si>
    <t>т766вр</t>
  </si>
  <si>
    <t>с313ур</t>
  </si>
  <si>
    <t>т875во</t>
  </si>
  <si>
    <t>О483РА</t>
  </si>
  <si>
    <t>с737рк</t>
  </si>
  <si>
    <t>М300ОУ</t>
  </si>
  <si>
    <t>м327оу</t>
  </si>
  <si>
    <t>о438ра</t>
  </si>
  <si>
    <t>н296ра</t>
  </si>
  <si>
    <t>м296ра</t>
  </si>
  <si>
    <t>н269ав</t>
  </si>
  <si>
    <t>т875кв</t>
  </si>
  <si>
    <t>с439со</t>
  </si>
  <si>
    <t>о295ем</t>
  </si>
  <si>
    <t>т399оу</t>
  </si>
  <si>
    <t>о295ен</t>
  </si>
  <si>
    <t>с217вс</t>
  </si>
  <si>
    <t>м347ек</t>
  </si>
  <si>
    <t>м255вт</t>
  </si>
  <si>
    <t>в470хк</t>
  </si>
  <si>
    <t>О065СХ</t>
  </si>
  <si>
    <t>в782вв</t>
  </si>
  <si>
    <t>с804кс</t>
  </si>
  <si>
    <t>ох 8283</t>
  </si>
  <si>
    <t>н737нс</t>
  </si>
  <si>
    <t>н562ут</t>
  </si>
  <si>
    <t>р558рн</t>
  </si>
  <si>
    <t>с227сс</t>
  </si>
  <si>
    <t>с221су</t>
  </si>
  <si>
    <t>т355мт</t>
  </si>
  <si>
    <t>о747сх</t>
  </si>
  <si>
    <t>р619мо</t>
  </si>
  <si>
    <t>В039РН</t>
  </si>
  <si>
    <t>c139на</t>
  </si>
  <si>
    <t>р804ух</t>
  </si>
  <si>
    <t>т303та</t>
  </si>
  <si>
    <t>с789от</t>
  </si>
  <si>
    <t>5249ак</t>
  </si>
  <si>
    <t>у094ам</t>
  </si>
  <si>
    <t>т685ур</t>
  </si>
  <si>
    <t>т775му</t>
  </si>
  <si>
    <t>с501ут</t>
  </si>
  <si>
    <t>н412ос</t>
  </si>
  <si>
    <t>х809тн</t>
  </si>
  <si>
    <t>у202вн</t>
  </si>
  <si>
    <t>у202вм</t>
  </si>
  <si>
    <t>в784ме</t>
  </si>
  <si>
    <t>р338ус</t>
  </si>
  <si>
    <t>т009нт</t>
  </si>
  <si>
    <t>с009кт</t>
  </si>
  <si>
    <t>Р733ОС</t>
  </si>
  <si>
    <t>м303ук</t>
  </si>
  <si>
    <t>М309УК</t>
  </si>
  <si>
    <t>х083кр</t>
  </si>
  <si>
    <t>у721кх</t>
  </si>
  <si>
    <t>у720кх</t>
  </si>
  <si>
    <t>у369кх</t>
  </si>
  <si>
    <t>а871ух</t>
  </si>
  <si>
    <t>а748хк</t>
  </si>
  <si>
    <t>а871хх</t>
  </si>
  <si>
    <t>а747хк</t>
  </si>
  <si>
    <t>а869ух</t>
  </si>
  <si>
    <t>р871уу</t>
  </si>
  <si>
    <t>н379ст</t>
  </si>
  <si>
    <t>А871УУ</t>
  </si>
  <si>
    <t>У083КР</t>
  </si>
  <si>
    <t>у417ас</t>
  </si>
  <si>
    <t>о208км</t>
  </si>
  <si>
    <t>р921ет</t>
  </si>
  <si>
    <t>к009кс</t>
  </si>
  <si>
    <t>а581мт</t>
  </si>
  <si>
    <t>р556ау</t>
  </si>
  <si>
    <t>т371ху</t>
  </si>
  <si>
    <t>т076ур</t>
  </si>
  <si>
    <t>т695мв</t>
  </si>
  <si>
    <t>т658ов</t>
  </si>
  <si>
    <t>м669ту</t>
  </si>
  <si>
    <t>н355нв</t>
  </si>
  <si>
    <t>32к328нс</t>
  </si>
  <si>
    <t>с709мм</t>
  </si>
  <si>
    <t>т038хм</t>
  </si>
  <si>
    <t>т264ке</t>
  </si>
  <si>
    <t>Н007ЕН</t>
  </si>
  <si>
    <t>е200кт</t>
  </si>
  <si>
    <t>т057нт</t>
  </si>
  <si>
    <t>С262МР</t>
  </si>
  <si>
    <t>н337ум</t>
  </si>
  <si>
    <t>М366РР</t>
  </si>
  <si>
    <t>т057ам</t>
  </si>
  <si>
    <t>к582вм</t>
  </si>
  <si>
    <t>т344ом</t>
  </si>
  <si>
    <t>т344он</t>
  </si>
  <si>
    <t>р027</t>
  </si>
  <si>
    <t>е142рт</t>
  </si>
  <si>
    <t>т488тс</t>
  </si>
  <si>
    <t>м971ом</t>
  </si>
  <si>
    <t>с212ро</t>
  </si>
  <si>
    <t>в164кх</t>
  </si>
  <si>
    <t>в065кх</t>
  </si>
  <si>
    <t>к846ум</t>
  </si>
  <si>
    <t>н745кр</t>
  </si>
  <si>
    <t>т574он</t>
  </si>
  <si>
    <t>т392вт</t>
  </si>
  <si>
    <t>н703ое</t>
  </si>
  <si>
    <t>н007мх</t>
  </si>
  <si>
    <t>е264мк</t>
  </si>
  <si>
    <t>т009ск</t>
  </si>
  <si>
    <t>х063рк</t>
  </si>
  <si>
    <t>р086рр</t>
  </si>
  <si>
    <t>т788мт</t>
  </si>
  <si>
    <t>С338ЕС</t>
  </si>
  <si>
    <t>р056рр</t>
  </si>
  <si>
    <t>р619но</t>
  </si>
  <si>
    <t>а716тк</t>
  </si>
  <si>
    <t>е838рв</t>
  </si>
  <si>
    <t>м596ор</t>
  </si>
  <si>
    <t>о111не</t>
  </si>
  <si>
    <t>р058ку</t>
  </si>
  <si>
    <t>р404см</t>
  </si>
  <si>
    <t>р404ем</t>
  </si>
  <si>
    <t>е003нр</t>
  </si>
  <si>
    <t>С009НТ</t>
  </si>
  <si>
    <t>р922ри</t>
  </si>
  <si>
    <t>Р922РН</t>
  </si>
  <si>
    <t>н485ам</t>
  </si>
  <si>
    <t>т539тк</t>
  </si>
  <si>
    <t>с208хк</t>
  </si>
  <si>
    <t>у935ат</t>
  </si>
  <si>
    <t>н600оо</t>
  </si>
  <si>
    <t>С527ОЕ</t>
  </si>
  <si>
    <t>т153кс</t>
  </si>
  <si>
    <t>т264нк</t>
  </si>
  <si>
    <t>м667ту</t>
  </si>
  <si>
    <t>т568ев</t>
  </si>
  <si>
    <t>т178мс</t>
  </si>
  <si>
    <t>с527</t>
  </si>
  <si>
    <t>а802хк</t>
  </si>
  <si>
    <t>в802хк</t>
  </si>
  <si>
    <t>у751кх</t>
  </si>
  <si>
    <t>а696хк</t>
  </si>
  <si>
    <t>а691хк</t>
  </si>
  <si>
    <t>м691хк</t>
  </si>
  <si>
    <t>а967хк</t>
  </si>
  <si>
    <t>а697хк</t>
  </si>
  <si>
    <t>б/н</t>
  </si>
  <si>
    <t>а739хк</t>
  </si>
  <si>
    <t>а699хк</t>
  </si>
  <si>
    <t>а699кр</t>
  </si>
  <si>
    <t>а697ук</t>
  </si>
  <si>
    <t>у318ве</t>
  </si>
  <si>
    <t>а741хк</t>
  </si>
  <si>
    <t>бн</t>
  </si>
  <si>
    <t>р14</t>
  </si>
  <si>
    <t>р14 л6</t>
  </si>
  <si>
    <t>у221ме</t>
  </si>
  <si>
    <t>у611ме</t>
  </si>
  <si>
    <t>б\н</t>
  </si>
  <si>
    <t>а699уу</t>
  </si>
  <si>
    <t>а698хк</t>
  </si>
  <si>
    <t>P14L6</t>
  </si>
  <si>
    <t>p14l6</t>
  </si>
  <si>
    <t>у729кх</t>
  </si>
  <si>
    <t>у369кк</t>
  </si>
  <si>
    <t>х721кх</t>
  </si>
  <si>
    <t>а753хк</t>
  </si>
  <si>
    <t>у592кг</t>
  </si>
  <si>
    <t>а674хк</t>
  </si>
  <si>
    <t>у731кх</t>
  </si>
  <si>
    <t>а961хк</t>
  </si>
  <si>
    <t>у941ме</t>
  </si>
  <si>
    <t>т859хх</t>
  </si>
  <si>
    <t>н985се</t>
  </si>
  <si>
    <t>х485кр</t>
  </si>
  <si>
    <t>8981оо</t>
  </si>
  <si>
    <t>у350ме</t>
  </si>
  <si>
    <t>х350не</t>
  </si>
  <si>
    <t>р487рн</t>
  </si>
  <si>
    <t>о952ат</t>
  </si>
  <si>
    <t>р057мх</t>
  </si>
  <si>
    <t>м870</t>
  </si>
  <si>
    <t>о938рк</t>
  </si>
  <si>
    <t>к680вн</t>
  </si>
  <si>
    <t>с447тм</t>
  </si>
  <si>
    <t>о316ра</t>
  </si>
  <si>
    <t>м787от</t>
  </si>
  <si>
    <t>р801тх</t>
  </si>
  <si>
    <t>н722мс</t>
  </si>
  <si>
    <t>т261те</t>
  </si>
  <si>
    <t>у283ву</t>
  </si>
  <si>
    <t>У258ВУ</t>
  </si>
  <si>
    <t>е444тн</t>
  </si>
  <si>
    <t>а464ос</t>
  </si>
  <si>
    <t>К215КУ</t>
  </si>
  <si>
    <t>К214КУ</t>
  </si>
  <si>
    <t>т163но</t>
  </si>
  <si>
    <t>У281ВУ</t>
  </si>
  <si>
    <t>х281вх</t>
  </si>
  <si>
    <t>М579РУ</t>
  </si>
  <si>
    <t>О504ТТ</t>
  </si>
  <si>
    <t>т657ст</t>
  </si>
  <si>
    <t>к666кн</t>
  </si>
  <si>
    <t>у206ву</t>
  </si>
  <si>
    <t>Т102УХ</t>
  </si>
  <si>
    <t>Т103УХ</t>
  </si>
  <si>
    <t>т 114ух</t>
  </si>
  <si>
    <t>у361ак</t>
  </si>
  <si>
    <t>т212ме</t>
  </si>
  <si>
    <t>у103ух</t>
  </si>
  <si>
    <t>у125ух</t>
  </si>
  <si>
    <t>к331хе</t>
  </si>
  <si>
    <t>к321хн</t>
  </si>
  <si>
    <t>Т112УХ</t>
  </si>
  <si>
    <t>к529ум</t>
  </si>
  <si>
    <t>т905та</t>
  </si>
  <si>
    <t>в666ра</t>
  </si>
  <si>
    <t>с995св</t>
  </si>
  <si>
    <t>с778тв</t>
  </si>
  <si>
    <t>е752ри</t>
  </si>
  <si>
    <t>н833на</t>
  </si>
  <si>
    <t>к875ке</t>
  </si>
  <si>
    <t>к831на</t>
  </si>
  <si>
    <t>м366мм</t>
  </si>
  <si>
    <t>р006нс</t>
  </si>
  <si>
    <t>м009мр</t>
  </si>
  <si>
    <t>у799кс</t>
  </si>
  <si>
    <t>р210рм</t>
  </si>
  <si>
    <t>у602кн</t>
  </si>
  <si>
    <t>с240то</t>
  </si>
  <si>
    <t>т387ум</t>
  </si>
  <si>
    <t>с836рк</t>
  </si>
  <si>
    <t>е032ус</t>
  </si>
  <si>
    <t>н008тв</t>
  </si>
  <si>
    <t>н414оа</t>
  </si>
  <si>
    <t>н229ен</t>
  </si>
  <si>
    <t>е532ау</t>
  </si>
  <si>
    <t>У270ЕЕ</t>
  </si>
  <si>
    <t>в794мс</t>
  </si>
  <si>
    <t>е005ра</t>
  </si>
  <si>
    <t>а750хк</t>
  </si>
  <si>
    <t>а752хк</t>
  </si>
  <si>
    <t>а699кх</t>
  </si>
  <si>
    <t>а876уу</t>
  </si>
  <si>
    <t>а742хк</t>
  </si>
  <si>
    <t>у794ме</t>
  </si>
  <si>
    <t>а742хв</t>
  </si>
  <si>
    <t>а699жк</t>
  </si>
  <si>
    <t>а752кх</t>
  </si>
  <si>
    <t>у720ме</t>
  </si>
  <si>
    <t>у731ме</t>
  </si>
  <si>
    <t>нет</t>
  </si>
  <si>
    <t>а870ху</t>
  </si>
  <si>
    <t>мерс</t>
  </si>
  <si>
    <t>мерседес</t>
  </si>
  <si>
    <t>у731мс</t>
  </si>
  <si>
    <t>А697ХК</t>
  </si>
  <si>
    <t>у887ме</t>
  </si>
  <si>
    <t>у881ме</t>
  </si>
  <si>
    <t>у720ку</t>
  </si>
  <si>
    <t>х881ме</t>
  </si>
  <si>
    <t>а747кх</t>
  </si>
  <si>
    <t>А747ХК</t>
  </si>
  <si>
    <t>а969хк</t>
  </si>
  <si>
    <t>У086МК</t>
  </si>
  <si>
    <t>у086мк</t>
  </si>
  <si>
    <t>у592нр</t>
  </si>
  <si>
    <t>А741ХК</t>
  </si>
  <si>
    <t>у720хк</t>
  </si>
  <si>
    <t>У369КХ</t>
  </si>
  <si>
    <t>н869уу</t>
  </si>
  <si>
    <t>А698ХК</t>
  </si>
  <si>
    <t>с771ме</t>
  </si>
  <si>
    <t>8313нт</t>
  </si>
  <si>
    <t>в815св</t>
  </si>
  <si>
    <t>р613ко</t>
  </si>
  <si>
    <t>Н955АВ</t>
  </si>
  <si>
    <t>У236ЕК</t>
  </si>
  <si>
    <t>с627тх</t>
  </si>
  <si>
    <t>с627хт</t>
  </si>
  <si>
    <t>С227СУ</t>
  </si>
  <si>
    <t>С217ВС</t>
  </si>
  <si>
    <t>Р037ВА</t>
  </si>
  <si>
    <t>Н272КО</t>
  </si>
  <si>
    <t>Р009ОЕ</t>
  </si>
  <si>
    <t>Р009ЕЕ</t>
  </si>
  <si>
    <t>С086ОЕ</t>
  </si>
  <si>
    <t>Т621ТЕ</t>
  </si>
  <si>
    <t>м309ух</t>
  </si>
  <si>
    <t>м630ок</t>
  </si>
  <si>
    <t>м845ам</t>
  </si>
  <si>
    <t>y845ам</t>
  </si>
  <si>
    <t>т593оа</t>
  </si>
  <si>
    <t>р380вт</t>
  </si>
  <si>
    <t>е402ае</t>
  </si>
  <si>
    <t>Р404СМ</t>
  </si>
  <si>
    <t>р757мв</t>
  </si>
  <si>
    <t>м216ра</t>
  </si>
  <si>
    <t>Н486ОВ</t>
  </si>
  <si>
    <t>т795вх</t>
  </si>
  <si>
    <t>С093СС</t>
  </si>
  <si>
    <t>с373ео</t>
  </si>
  <si>
    <t>т393ор</t>
  </si>
  <si>
    <t>н830ту</t>
  </si>
  <si>
    <t>о866ме</t>
  </si>
  <si>
    <t>О866МЕ</t>
  </si>
  <si>
    <t>Т804НМ</t>
  </si>
  <si>
    <t>р618тн</t>
  </si>
  <si>
    <t>т246но</t>
  </si>
  <si>
    <t>У984АН</t>
  </si>
  <si>
    <t>у894ан</t>
  </si>
  <si>
    <t>н661ту</t>
  </si>
  <si>
    <t>т658еа</t>
  </si>
  <si>
    <t>0002тк</t>
  </si>
  <si>
    <t>М048РО</t>
  </si>
  <si>
    <t>а646ос</t>
  </si>
  <si>
    <t>к915</t>
  </si>
  <si>
    <t>к215ук</t>
  </si>
  <si>
    <t>У943АН</t>
  </si>
  <si>
    <t>т143тм</t>
  </si>
  <si>
    <t>т698ст</t>
  </si>
  <si>
    <t>К099ВА</t>
  </si>
  <si>
    <t>Т156НС</t>
  </si>
  <si>
    <t>М688УА</t>
  </si>
  <si>
    <t>м688</t>
  </si>
  <si>
    <t>в770ов</t>
  </si>
  <si>
    <t>к627ву</t>
  </si>
  <si>
    <t>с383ст</t>
  </si>
  <si>
    <t>Р419</t>
  </si>
  <si>
    <t>о482нт</t>
  </si>
  <si>
    <t>т689ур</t>
  </si>
  <si>
    <t>у881не</t>
  </si>
  <si>
    <t>а674ук</t>
  </si>
  <si>
    <t>Б/Н</t>
  </si>
  <si>
    <t>ал</t>
  </si>
  <si>
    <t>маз</t>
  </si>
  <si>
    <t>без номера</t>
  </si>
  <si>
    <t>У794МЕ</t>
  </si>
  <si>
    <t>У720МЕ</t>
  </si>
  <si>
    <t>у331мк</t>
  </si>
  <si>
    <t>а628хк</t>
  </si>
  <si>
    <t>р055ст</t>
  </si>
  <si>
    <t>у237мк</t>
  </si>
  <si>
    <t>У887МЕ</t>
  </si>
  <si>
    <t>У720КХ</t>
  </si>
  <si>
    <t>а870ух</t>
  </si>
  <si>
    <t>у166мк</t>
  </si>
  <si>
    <t>У166МК</t>
  </si>
  <si>
    <t>А647ХК</t>
  </si>
  <si>
    <t>У221МЕ</t>
  </si>
  <si>
    <t>А750ХК</t>
  </si>
  <si>
    <t>у611мс</t>
  </si>
  <si>
    <t>А696ХК</t>
  </si>
  <si>
    <t>А739ХК</t>
  </si>
  <si>
    <t>У941МЕ</t>
  </si>
  <si>
    <t>А752ХК</t>
  </si>
  <si>
    <t>А748ХК</t>
  </si>
  <si>
    <t>У237МК</t>
  </si>
  <si>
    <t>У731МЕ</t>
  </si>
  <si>
    <t>У881МЕ</t>
  </si>
  <si>
    <t>а753кк</t>
  </si>
  <si>
    <t>А691ХК</t>
  </si>
  <si>
    <t>А674ХК</t>
  </si>
  <si>
    <t>А699АК</t>
  </si>
  <si>
    <t>А699ХК</t>
  </si>
  <si>
    <t>У721КХ</t>
  </si>
  <si>
    <t>А875УУ</t>
  </si>
  <si>
    <t>У592КР</t>
  </si>
  <si>
    <t>А055СТ</t>
  </si>
  <si>
    <t>у561мн</t>
  </si>
  <si>
    <t>у619мн</t>
  </si>
  <si>
    <t>а055</t>
  </si>
  <si>
    <t>т004сс</t>
  </si>
  <si>
    <t>н769ое</t>
  </si>
  <si>
    <t>8313мт</t>
  </si>
  <si>
    <t>н886еа</t>
  </si>
  <si>
    <t>с004ск</t>
  </si>
  <si>
    <t>К913КР</t>
  </si>
  <si>
    <t>к913ар</t>
  </si>
  <si>
    <t>в220рс</t>
  </si>
  <si>
    <t>е954ое</t>
  </si>
  <si>
    <t>о001ск</t>
  </si>
  <si>
    <t>м238оу</t>
  </si>
  <si>
    <t>м234оу</t>
  </si>
  <si>
    <t>с733са</t>
  </si>
  <si>
    <t>т481ху</t>
  </si>
  <si>
    <t>т393он</t>
  </si>
  <si>
    <t>у402аб</t>
  </si>
  <si>
    <t>к737нв</t>
  </si>
  <si>
    <t>р859уу</t>
  </si>
  <si>
    <t>у593кр</t>
  </si>
  <si>
    <t>в082</t>
  </si>
  <si>
    <t>у975ам</t>
  </si>
  <si>
    <t>у731уе</t>
  </si>
  <si>
    <t>т219оу</t>
  </si>
  <si>
    <t>в562тв</t>
  </si>
  <si>
    <t>р562тв</t>
  </si>
  <si>
    <t>у151кт</t>
  </si>
  <si>
    <t>т820мр</t>
  </si>
  <si>
    <t>с392мт</t>
  </si>
  <si>
    <t>н545во</t>
  </si>
  <si>
    <t>с551на</t>
  </si>
  <si>
    <t>т009рм</t>
  </si>
  <si>
    <t>с311вв</t>
  </si>
  <si>
    <t>м004хв</t>
  </si>
  <si>
    <t>и481ку</t>
  </si>
  <si>
    <t>у766мк</t>
  </si>
  <si>
    <t>у914ме</t>
  </si>
  <si>
    <t>а798хк</t>
  </si>
  <si>
    <t>у870мк</t>
  </si>
  <si>
    <t>а746хк</t>
  </si>
  <si>
    <t>а742ук</t>
  </si>
  <si>
    <t>а742хн</t>
  </si>
  <si>
    <t>у369ку</t>
  </si>
  <si>
    <t>у884мк</t>
  </si>
  <si>
    <t>у876мк</t>
  </si>
  <si>
    <t>р827ур</t>
  </si>
  <si>
    <t>у834ан</t>
  </si>
  <si>
    <t>у894аи</t>
  </si>
  <si>
    <t>н440сн</t>
  </si>
  <si>
    <t>е732ко</t>
  </si>
  <si>
    <t>м802ун</t>
  </si>
  <si>
    <t>а955ав</t>
  </si>
  <si>
    <t>р004му</t>
  </si>
  <si>
    <t>м580ев</t>
  </si>
  <si>
    <t>357kz</t>
  </si>
  <si>
    <t>в363мк</t>
  </si>
  <si>
    <t>0001тк</t>
  </si>
  <si>
    <t>х279тк</t>
  </si>
  <si>
    <t>с557вр</t>
  </si>
  <si>
    <t>е168ев</t>
  </si>
  <si>
    <t>е439вк</t>
  </si>
  <si>
    <t>в784нс</t>
  </si>
  <si>
    <t>с004ам</t>
  </si>
  <si>
    <t>в558му</t>
  </si>
  <si>
    <t>с2621мр</t>
  </si>
  <si>
    <t>н337хм</t>
  </si>
  <si>
    <t>в486ав</t>
  </si>
  <si>
    <t>с928ат</t>
  </si>
  <si>
    <t>с117ва</t>
  </si>
  <si>
    <t>у086хк</t>
  </si>
  <si>
    <t>у270хк</t>
  </si>
  <si>
    <t>а870хх</t>
  </si>
  <si>
    <t>а694хк</t>
  </si>
  <si>
    <t>р741хк</t>
  </si>
  <si>
    <t>у941мс</t>
  </si>
  <si>
    <t>у887мн</t>
  </si>
  <si>
    <t>у853мк</t>
  </si>
  <si>
    <t>у611мн</t>
  </si>
  <si>
    <t>у617мн</t>
  </si>
  <si>
    <t>у721хк</t>
  </si>
  <si>
    <t>к870нк</t>
  </si>
  <si>
    <t>о353ав</t>
  </si>
  <si>
    <t>р900вх</t>
  </si>
  <si>
    <t>т219нн</t>
  </si>
  <si>
    <t>о464вс</t>
  </si>
  <si>
    <t>о853рн</t>
  </si>
  <si>
    <t>м688уу</t>
  </si>
  <si>
    <t>т295рк</t>
  </si>
  <si>
    <t>м252тт</t>
  </si>
  <si>
    <t>м921кв</t>
  </si>
  <si>
    <t>о353оа</t>
  </si>
  <si>
    <t>у959мк</t>
  </si>
  <si>
    <t>а742ун</t>
  </si>
  <si>
    <t>а647хк</t>
  </si>
  <si>
    <t>у969мн</t>
  </si>
  <si>
    <t>т200ав</t>
  </si>
  <si>
    <t>т662хм</t>
  </si>
  <si>
    <t>о008хе</t>
  </si>
  <si>
    <t>р075тс</t>
  </si>
  <si>
    <t>о100</t>
  </si>
  <si>
    <t>т788тв</t>
  </si>
  <si>
    <t>у350мс</t>
  </si>
  <si>
    <t>о057ма</t>
  </si>
  <si>
    <t>о592хс</t>
  </si>
  <si>
    <t>с101</t>
  </si>
  <si>
    <t>о484ра</t>
  </si>
  <si>
    <t>у221мб</t>
  </si>
  <si>
    <t>а764хк</t>
  </si>
  <si>
    <t>у415мн</t>
  </si>
  <si>
    <t>у696мн</t>
  </si>
  <si>
    <t>а869хх</t>
  </si>
  <si>
    <t>у221мк</t>
  </si>
  <si>
    <t>а076ра</t>
  </si>
  <si>
    <t>а071ва</t>
  </si>
  <si>
    <t>у698мн</t>
  </si>
  <si>
    <t>у813мм</t>
  </si>
  <si>
    <t>а592ос</t>
  </si>
  <si>
    <t>т440хх</t>
  </si>
  <si>
    <t>Префикс</t>
  </si>
  <si>
    <t>Дата-код</t>
  </si>
  <si>
    <t>Номер акта</t>
  </si>
  <si>
    <t>Последний дата-код</t>
  </si>
  <si>
    <t>Л-</t>
  </si>
  <si>
    <t>ОКТ.22-</t>
  </si>
  <si>
    <t>Тест</t>
  </si>
  <si>
    <t>(форма)</t>
  </si>
  <si>
    <t>Л-ИЮЛ.22-214-Т</t>
  </si>
  <si>
    <t xml:space="preserve">
</t>
  </si>
  <si>
    <t>(фамилия, имя, отчество (при наличии), ИНН, адрес места жительства, 
номер телефона - для физического лица (уполномоченного лица)),</t>
  </si>
  <si>
    <t>(фамилия, имя, отчество (при наличии), ИНН, адрес места жительства, 
номер телефона - для физического лица (уполномоченного лица)</t>
  </si>
  <si>
    <t>ООО "Магнит"644024, Омская обл, Омск г, Декабристов ул, дом 45, корпус 1, помещение 19 тел. 8 (3812) 35-25-25</t>
  </si>
  <si>
    <t>ООО «Экосервис» 644106, область Омская, город Омск, улица Лукашевича, дом 14, офис 3/1</t>
  </si>
  <si>
    <t>(полное наименование, ИНН, адрес места нахождения,
номер телефона - для юридического лица)</t>
  </si>
  <si>
    <t>1а. Клиент (Заказчик организации перевозки) (при необходимости)</t>
  </si>
  <si>
    <t>(фамилия, имя, отчество (при наличии), ИНН, адрес места жительства, номер телефона - для физического лица (уполномоченного лица) (полное наименование, ИНН, адрес места нахождения, номер телефона - для юридического лица)</t>
  </si>
  <si>
    <t>(должность, подпись, расшифровка подписи клиента (уполномоченного лица)</t>
  </si>
  <si>
    <t>(отгрузочное наименование груза (для опасных грузов - в соответствии с Соглашением о международной дорожной перевозке опасных грузов
от 30 сентября 1957 г. (ДОПОГ), его состояние и другая необходимая информация о грузе)</t>
  </si>
  <si>
    <t>(количество грузовых мест, маркировка, вид тары и способ упаковки), реквизиты документа, подтверждающего отгрузку товаров (наименование документов
об отгрузке, номер документа об отгрузке, дата документа об отгрузке)</t>
  </si>
  <si>
    <t>Объем груза 34 м3, вес согласно Акту взвешивания  № Л-ИЮЛ.22-214-Т от 02.07.2022 г.</t>
  </si>
  <si>
    <t>(масса нетто (брутто) грузовых мест в килограммах, размеры (высота, ширина и длина) в метрах, объем грузовых мест в кубических метрах)</t>
  </si>
  <si>
    <t>(в случае перевозки опасного груза информация по каждому опасному веществу, материалу или изделию в соответствии с пунктом 5.4.1 приложения А
к Соглашению о международной дорожной перевозке опасных грузов от 30 сентября 1957 г. (ДОПОГ))</t>
  </si>
  <si>
    <t>(объявленная стоимость (ценность) груза)</t>
  </si>
  <si>
    <t>4. Сопроводительные документы на груз</t>
  </si>
  <si>
    <t>(перечень прилагаемых к транспортной накладной документов, предусмотренных Соглашением о международной дорожной перевозке опасных грузов от 30 сентября 1957 г. (ДОПОГ), санитарными, таможенными, карантинными, иными правилами в соответствии с законодательством Российской Федерации, либо регистрационные
номера указанных документов, если такие документы (сведения о таких документах) содержатся в государственных информационных системах)</t>
  </si>
  <si>
    <t>(перечень прилагаемых к грузу сертификатов, паспортов качества, удостоверений, разрешений, инструкций, товарораспорядительных и других документов, наличие
которых установлено законодательством Российской Федерации, либо регистрационные номера указанных документов, если такие документы (сведения о таких
документах) содержатся в государственных информационных системах)</t>
  </si>
  <si>
    <t>(реквизиты документа, подтверждающего об отгрузке товаров (наименование документов об отгрузке, номер документа об отгрузке,
дата документа об отгрузке, наименование и ИНН продавца и покупателя, др.)</t>
  </si>
  <si>
    <t>5. Указания грузоотправителя</t>
  </si>
  <si>
    <t>(параметры транспортного средства, необходимые для осуществления перевозки груза (тип, марка, грузоподъемность, вместимость и др.)</t>
  </si>
  <si>
    <t>(рекомендации о предельных сроках и температурном режиме перевозки, сведения о запорно-пломбировочных устройствах (в случае их предоставления грузоотправителем), объявленная стоимость (ценность) груза, запрещение перегрузки груза)</t>
  </si>
  <si>
    <t>6. Прием груза</t>
  </si>
  <si>
    <t>7. Сдача груза</t>
  </si>
  <si>
    <t>(фамилия, имя, отчество (при наличии), ИНН, адрес места жительства, номер телефона - для физического лица (уполномоченного лица), полное наименование, ИНН, адрес места нахождения, номер телефона - для юридического лица)</t>
  </si>
  <si>
    <t>Калачинский район, Куликовское сельское поселение. Кадастровый номер земельного участка 55:07:031904:97</t>
  </si>
  <si>
    <t>(дата и время подачи транспортного средства под погрузку)</t>
  </si>
  <si>
    <t>(дата и время подачи транспортного средства под выгрузку)</t>
  </si>
  <si>
    <t>(фактическое состояние груза, тары, упаковки, маркировки и опломбирования)</t>
  </si>
  <si>
    <t>(масса груза)</t>
  </si>
  <si>
    <t>(должность, подпись, расшифровка подписи лица, от которого забирается груз
(уполномоченного лица)</t>
  </si>
  <si>
    <t>(должность, подпись, расшифровка подписи грузополучателя
(уполномоченного лица)</t>
  </si>
  <si>
    <t>(должность, подпись, расшифровка подписи грузоотправителя
(уполномоченного лица) при необходимости)</t>
  </si>
  <si>
    <t>(подпись, расшифровка подписи водителя, сдавшего груз)</t>
  </si>
  <si>
    <t>(должность, подпись, расшифровка подписи Перевозчика (уполномоченного лица)
при необходимости)</t>
  </si>
  <si>
    <t>(должность, подпись, расшифровка подписи перевозчика (уполномоченного лица)
при необходимости)</t>
  </si>
  <si>
    <t>8. Условия перевозки</t>
  </si>
  <si>
    <t>(сроки, по истечении которых грузоотправитель и грузополучатель вправе считать груз утраченным, форма уведомления о проведении экспертизы для определения размера фактических недостачи, повреждения (порчи) груза)</t>
  </si>
  <si>
    <t>(размер платы и предельный срок хранения груза в терминале перевозчика, сроки погрузки (выгрузки) груза, порядок предоставления и установки приспособлений, необходимых для погрузки, выгрузки и перевозки груза)</t>
  </si>
  <si>
    <t>(порядок внесения в транспортную накладную записи о массе груза и способе ее определения, опломбирования крытых транспортных средств и контейнеров, порядок осуществления
погрузо-разгрузочных работ, выполнения работ по промывке и дезинфекции транспортных средств)</t>
  </si>
  <si>
    <t>(размер штрафа за невывоз груза по вине перевозчика, несвоевременное предоставление транспортного средства, контейнера и просрочку доставки груза,
порядок исчисления срока просрочки)</t>
  </si>
  <si>
    <t>(размер штрафа за непредъявление транспортных средств для перевозки груза, за задержку (простой) транспортных средств, поданных под погрузку, выгрузку, за простой специализированных транспортных средств и задержку (простой) контейнеров)</t>
  </si>
  <si>
    <t>9. Информация о принятии заказа (заявки) к исполнению</t>
  </si>
  <si>
    <t>(дата принятия заказа
(заявки) к исполнению)</t>
  </si>
  <si>
    <t>(фамилия, имя, отчество (при наличии), должность лица,
принявшего заказ (заявку) к исполнению)</t>
  </si>
  <si>
    <t>(подпись)</t>
  </si>
  <si>
    <t>10. Перевозчик</t>
  </si>
  <si>
    <t>(фамилия, имя, отчество (при наличии), ИНН, адрес места жительства, номер телефона - для физического лица (уполномоченного лица)</t>
  </si>
  <si>
    <t>(наименование и адрес места нахождения, ИНН, номер телефона - для юридического лица)</t>
  </si>
  <si>
    <t>Подольников Владимир Александрович 89131598507</t>
  </si>
  <si>
    <t>(фамилия, имя, отчество (при наличии), ИНН, данные о средствах связи (при их наличии) водителя (водителей)</t>
  </si>
  <si>
    <t>11. Транспортное средство</t>
  </si>
  <si>
    <t>SCANIA G440A6X4NA</t>
  </si>
  <si>
    <t>(тип, марка, грузоподъемность (в тоннах),
вместимость (в кубических метрах)</t>
  </si>
  <si>
    <t>(регистрационный номер транспортного средства/прицепа/полуприцепа),</t>
  </si>
  <si>
    <t>Тип владения:</t>
  </si>
  <si>
    <t>1 - собственность; 2 - аренда; 3 - лизинг</t>
  </si>
  <si>
    <t>12. Оговорки и замечания перевозчика</t>
  </si>
  <si>
    <t>(фактическое состояние груза, тары, упаковки, маркировки
и опломбирования при приеме груза)</t>
  </si>
  <si>
    <t>(фактическое состояние груза, тары, упаковки, маркировки
и опломбирования при сдаче груза)</t>
  </si>
  <si>
    <t>(изменение условий перевозки при движении)</t>
  </si>
  <si>
    <t>(изменение условий перевозки при выгрузке)</t>
  </si>
  <si>
    <t>13. Прочие условия</t>
  </si>
  <si>
    <t>(номер, дата и срок действия специального разрешения, установленный маршрут движения тяжеловесного и (или) крупногабаритного транспортного средства, 
транспортного средства, перевозящего опасный груз)</t>
  </si>
  <si>
    <t>(режим труда и отдыха водителя в пути следования, сведения о коммерческих и иных актах)</t>
  </si>
  <si>
    <t>14. Переадресовка</t>
  </si>
  <si>
    <t>(дата, форма переадресовки (устно или письменно)</t>
  </si>
  <si>
    <t>(адрес нового пункта выгрузки, дата и время подачи
транспортного средства под выгрузку)</t>
  </si>
  <si>
    <t>(сведения о лице, от которого получено указание
на переадресовку (наименование, фамилия, имя, отчество (при наличии) и др.)</t>
  </si>
  <si>
    <t>(при изменении получателя груза - новое наименование грузополучателя 
и место его нахождения)</t>
  </si>
  <si>
    <t>15. Подписи сторон</t>
  </si>
  <si>
    <t>(должность, подпись, расшифровка подписи грузоотправителя
(уполномоченного лица)</t>
  </si>
  <si>
    <t>(должность, подпись, расшифровка подписи перевозчика
(уполномоченного лица)</t>
  </si>
  <si>
    <t>16. Стоимость услуг перевозчика и порядок расчета провозной платы (при необходимости)</t>
  </si>
  <si>
    <t xml:space="preserve">согласно договору </t>
  </si>
  <si>
    <t>(стоимость услуги в рублях,
порядок (механизм) расчета (исчислений) платы)</t>
  </si>
  <si>
    <t>В том числе:</t>
  </si>
  <si>
    <t>1) размер провозной платы (заполняется после окончания перевозки) в рублях</t>
  </si>
  <si>
    <t>2) расходы перевозчика и предъявляемые грузоотправителю платежи за  проезд  по  платным</t>
  </si>
  <si>
    <t>автомобильным дорогам в рублях</t>
  </si>
  <si>
    <t xml:space="preserve"> (при наличии)</t>
  </si>
  <si>
    <t>3) расходы перевозчика за перевозку опасных грузов, грузов, перевозимых тяжеловесными и</t>
  </si>
  <si>
    <t>(или) крупногабаритными транспортными средствами, уплату таможенных пошлин и  сборов</t>
  </si>
  <si>
    <t>в рублях</t>
  </si>
  <si>
    <t>4) расходы на выполнение погрузо-разгрузочных  работ,   а   также   работ   по   промывке   и</t>
  </si>
  <si>
    <t>дезинфекции транспортных средств в рублях</t>
  </si>
  <si>
    <t>5) прочие расходы перевозчика в рублях</t>
  </si>
  <si>
    <t>(полное наименование организации плательщика (грузоотправителя), ИНН, адрес,
банковские реквизиты организации плательщика (грузоотправителя)</t>
  </si>
  <si>
    <t>(полное наименование  организации (перевозчика), ИНН, адрес)</t>
  </si>
  <si>
    <t>(должность, подпись, расшифровка подписи лица, ответственного за оформление
факта хозяйственной жизни со стороны грузоотправителя (уполномоченное лицо)</t>
  </si>
  <si>
    <t>(должность, подпись, расшифровка подписи лица, ответственного за оформление
факта хозяйственной жизни со стороны перевозчика (уполномоченное лицо)</t>
  </si>
  <si>
    <t>(дата)</t>
  </si>
  <si>
    <t>17. Отметки грузоотправителей, грузополучателей, перевозчиков</t>
  </si>
  <si>
    <t>Краткое описание обстоятельств, послуживших основанием для отметки</t>
  </si>
  <si>
    <t>Расчет и размер штрафа</t>
  </si>
  <si>
    <t>Подпись, дата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</si>
</sst>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yy\ h:mm:ss"/>
    <numFmt numFmtId="165" formatCode="#,##0.00[$ ₽]"/>
    <numFmt numFmtId="166" formatCode="dd\.mm\.yyyy"/>
    <numFmt numFmtId="167" formatCode="d&quot; &quot;mmmm&quot; &quot;yyyy&quot; г.&quot;"/>
  </numFmts>
  <fonts count="33">
    <font>
      <sz val="10"/>
      <color rgb="FF000000"/>
      <name val="Arial"/>
    </font>
    <font>
      <sz val="10"/>
      <name val="Arial"/>
    </font>
    <font>
      <sz val="10"/>
      <name val="Arial"/>
    </font>
    <font>
      <sz val="24"/>
      <name val="Arial"/>
    </font>
    <font>
      <sz val="24"/>
      <name val="Arial"/>
    </font>
    <font>
      <sz val="8"/>
      <name val="&quot;Times New Roman&quot;"/>
    </font>
    <font>
      <sz val="6"/>
      <name val="&quot;Times New Roman&quot;"/>
    </font>
    <font>
      <sz val="7"/>
      <name val="&quot;Times New Roman&quot;"/>
    </font>
    <font>
      <sz val="9"/>
      <name val="&quot;Times New Roman&quot;"/>
    </font>
    <font>
      <b/>
      <sz val="11"/>
      <name val="&quot;Times New Roman&quot;"/>
    </font>
    <font>
      <b/>
      <sz val="7"/>
      <name val="&quot;Times New Roman&quot;"/>
    </font>
    <font>
      <sz val="9"/>
      <name val="Times New Roman"/>
    </font>
    <font>
      <sz val="8"/>
      <name val="Times New Roman"/>
    </font>
    <font>
      <sz val="5"/>
      <name val="&quot;Times New Roman&quot;"/>
    </font>
    <font>
      <sz val="6"/>
      <name val="Times New Roman"/>
    </font>
    <font>
      <sz val="10"/>
      <name val="Times New Roman"/>
    </font>
    <font>
      <sz val="10"/>
      <name val="&quot;Times New Roman&quot;"/>
    </font>
    <font>
      <sz val="7"/>
      <name val="Times New Roman"/>
    </font>
    <font>
      <b/>
      <sz val="9"/>
      <name val="&quot;Times New Roman&quot;"/>
    </font>
    <font>
      <sz val="10"/>
      <color rgb="FFFFFFFF"/>
      <name val="Arial"/>
    </font>
    <font>
      <sz val="10"/>
      <color rgb="FFFFFFFF"/>
      <name val="Arial"/>
    </font>
    <font>
      <sz val="11"/>
      <color rgb="FFFFFFFF"/>
      <name val="Arial"/>
    </font>
    <font>
      <sz val="11"/>
      <name val="Arial"/>
    </font>
    <font>
      <sz val="20"/>
      <name val="Arial"/>
    </font>
    <font>
      <sz val="24"/>
      <name val="Helvetica"/>
    </font>
    <font>
      <sz val="36"/>
      <name val="Arial"/>
    </font>
    <font>
      <sz val="36"/>
      <name val="Arial"/>
    </font>
    <font>
      <sz val="22"/>
      <name val="Arial"/>
    </font>
    <font>
      <sz val="11"/>
      <color rgb="FF000000"/>
      <name val="Arial"/>
    </font>
    <font>
      <sz val="5"/>
      <name val="Times New Roman"/>
    </font>
    <font>
      <b/>
      <sz val="12"/>
      <name val="Times New Roman"/>
    </font>
    <font>
      <b/>
      <sz val="11"/>
      <name val="Times New Roman"/>
    </font>
    <font>
      <sz val="4"/>
      <name val="Times New Roman"/>
    </font>
  </fonts>
  <fills count="7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rgb="FFA2C4C9"/>
        <bgColor rgb="FFA2C4C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434343"/>
        <bgColor rgb="FF434343"/>
      </patternFill>
    </fill>
  </fills>
  <borders count="51">
    <border>
      <left/>
      <right/>
      <top/>
      <bottom/>
      <diagonal/>
    </border>
    <border>
      <left style="thick">
        <color rgb="FFA2C4C9"/>
      </left>
      <right/>
      <top style="thick">
        <color rgb="FFA2C4C9"/>
      </top>
      <bottom style="thick">
        <color rgb="FFA2C4C9"/>
      </bottom>
      <diagonal/>
    </border>
    <border>
      <left/>
      <right/>
      <top style="thick">
        <color rgb="FFA2C4C9"/>
      </top>
      <bottom style="thick">
        <color rgb="FFA2C4C9"/>
      </bottom>
      <diagonal/>
    </border>
    <border>
      <left/>
      <right style="thick">
        <color rgb="FFA2C4C9"/>
      </right>
      <top style="thick">
        <color rgb="FFA2C4C9"/>
      </top>
      <bottom style="thick">
        <color rgb="FFA2C4C9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D0E0E3"/>
      </right>
      <top style="thick">
        <color rgb="FFA2C4C9"/>
      </top>
      <bottom style="thick">
        <color rgb="FFA2C4C9"/>
      </bottom>
      <diagonal/>
    </border>
    <border>
      <left style="thick">
        <color rgb="FFD0E0E3"/>
      </left>
      <right style="thick">
        <color rgb="FFD0E0E3"/>
      </right>
      <top style="thick">
        <color rgb="FFA2C4C9"/>
      </top>
      <bottom style="thick">
        <color rgb="FFA2C4C9"/>
      </bottom>
      <diagonal/>
    </border>
    <border>
      <left style="thick">
        <color rgb="FFD0E0E3"/>
      </left>
      <right/>
      <top style="thick">
        <color rgb="FFA2C4C9"/>
      </top>
      <bottom style="thick">
        <color rgb="FFA2C4C9"/>
      </bottom>
      <diagonal/>
    </border>
    <border>
      <left style="thick">
        <color rgb="FFA2C4C9"/>
      </left>
      <right style="thick">
        <color rgb="FFA2C4C9"/>
      </right>
      <top style="thick">
        <color rgb="FFA2C4C9"/>
      </top>
      <bottom style="thick">
        <color rgb="FFA2C4C9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57">
    <xf numFmtId="0" fontId="0" fillId="0" borderId="0" xfId="0"/>
    <xf numFmtId="0" fontId="1" fillId="0" borderId="0" xfId="0" applyFont="1"/>
    <xf numFmtId="0" fontId="2" fillId="0" borderId="0" xfId="0" applyFont="1"/>
    <xf numFmtId="0" fontId="1" fillId="4" borderId="0" xfId="0" applyFont="1" applyFill="1" applyAlignment="1">
      <alignment horizontal="center" vertical="center" wrapText="1"/>
    </xf>
    <xf numFmtId="14" fontId="2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right" wrapText="1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right" wrapText="1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right" wrapText="1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right" wrapText="1"/>
    </xf>
    <xf numFmtId="0" fontId="9" fillId="0" borderId="0" xfId="0" applyFont="1" applyAlignment="1">
      <alignment horizontal="center" wrapText="1"/>
    </xf>
    <xf numFmtId="0" fontId="7" fillId="0" borderId="11" xfId="0" applyFont="1" applyBorder="1" applyAlignment="1">
      <alignment horizontal="left" wrapText="1"/>
    </xf>
    <xf numFmtId="0" fontId="7" fillId="0" borderId="12" xfId="0" applyFont="1" applyBorder="1" applyAlignment="1">
      <alignment horizontal="center" wrapText="1"/>
    </xf>
    <xf numFmtId="0" fontId="7" fillId="0" borderId="0" xfId="0" applyFont="1" applyAlignment="1">
      <alignment horizontal="left" wrapText="1"/>
    </xf>
    <xf numFmtId="0" fontId="7" fillId="0" borderId="6" xfId="0" applyFont="1" applyBorder="1" applyAlignment="1">
      <alignment horizontal="center" wrapText="1"/>
    </xf>
    <xf numFmtId="0" fontId="7" fillId="0" borderId="13" xfId="0" applyFont="1" applyBorder="1" applyAlignment="1">
      <alignment horizontal="left" wrapText="1"/>
    </xf>
    <xf numFmtId="49" fontId="7" fillId="0" borderId="4" xfId="0" applyNumberFormat="1" applyFont="1" applyBorder="1" applyAlignment="1">
      <alignment horizontal="center" wrapText="1"/>
    </xf>
    <xf numFmtId="49" fontId="7" fillId="0" borderId="17" xfId="0" applyNumberFormat="1" applyFont="1" applyBorder="1" applyAlignment="1">
      <alignment horizontal="left" wrapText="1"/>
    </xf>
    <xf numFmtId="0" fontId="7" fillId="0" borderId="11" xfId="0" applyFont="1" applyBorder="1" applyAlignment="1">
      <alignment horizontal="center" wrapText="1"/>
    </xf>
    <xf numFmtId="0" fontId="10" fillId="0" borderId="0" xfId="0" applyFont="1" applyAlignment="1">
      <alignment horizontal="left" wrapText="1"/>
    </xf>
    <xf numFmtId="49" fontId="10" fillId="0" borderId="0" xfId="0" applyNumberFormat="1" applyFont="1" applyAlignment="1">
      <alignment horizontal="left" wrapText="1"/>
    </xf>
    <xf numFmtId="0" fontId="10" fillId="0" borderId="16" xfId="0" applyFont="1" applyBorder="1" applyAlignment="1">
      <alignment horizontal="left" wrapText="1"/>
    </xf>
    <xf numFmtId="49" fontId="7" fillId="0" borderId="11" xfId="0" applyNumberFormat="1" applyFont="1" applyBorder="1" applyAlignment="1">
      <alignment horizontal="center" wrapText="1"/>
    </xf>
    <xf numFmtId="49" fontId="10" fillId="0" borderId="16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12" xfId="0" applyNumberFormat="1" applyFont="1" applyBorder="1" applyAlignment="1">
      <alignment horizontal="center" wrapText="1"/>
    </xf>
    <xf numFmtId="49" fontId="10" fillId="0" borderId="6" xfId="0" applyNumberFormat="1" applyFont="1" applyBorder="1" applyAlignment="1">
      <alignment horizontal="left" wrapText="1"/>
    </xf>
    <xf numFmtId="49" fontId="10" fillId="0" borderId="8" xfId="0" applyNumberFormat="1" applyFont="1" applyBorder="1" applyAlignment="1">
      <alignment horizontal="left" wrapText="1"/>
    </xf>
    <xf numFmtId="49" fontId="7" fillId="0" borderId="6" xfId="0" applyNumberFormat="1" applyFont="1" applyBorder="1" applyAlignment="1">
      <alignment horizontal="left" wrapText="1"/>
    </xf>
    <xf numFmtId="49" fontId="7" fillId="0" borderId="8" xfId="0" applyNumberFormat="1" applyFont="1" applyBorder="1" applyAlignment="1">
      <alignment horizontal="left" wrapText="1"/>
    </xf>
    <xf numFmtId="49" fontId="7" fillId="0" borderId="8" xfId="0" applyNumberFormat="1" applyFont="1" applyBorder="1" applyAlignment="1">
      <alignment horizontal="center" wrapText="1"/>
    </xf>
    <xf numFmtId="49" fontId="7" fillId="0" borderId="6" xfId="0" applyNumberFormat="1" applyFont="1" applyBorder="1" applyAlignment="1">
      <alignment horizontal="center" wrapText="1"/>
    </xf>
    <xf numFmtId="49" fontId="6" fillId="0" borderId="12" xfId="0" applyNumberFormat="1" applyFont="1" applyBorder="1" applyAlignment="1">
      <alignment horizontal="center" wrapText="1"/>
    </xf>
    <xf numFmtId="0" fontId="6" fillId="0" borderId="8" xfId="0" applyFont="1" applyBorder="1" applyAlignment="1">
      <alignment horizontal="center" vertical="top" wrapText="1"/>
    </xf>
    <xf numFmtId="0" fontId="6" fillId="0" borderId="6" xfId="0" applyFont="1" applyBorder="1" applyAlignment="1">
      <alignment horizontal="center" vertical="top" wrapText="1"/>
    </xf>
    <xf numFmtId="49" fontId="6" fillId="0" borderId="8" xfId="0" applyNumberFormat="1" applyFont="1" applyBorder="1" applyAlignment="1">
      <alignment horizontal="center" wrapText="1"/>
    </xf>
    <xf numFmtId="0" fontId="6" fillId="0" borderId="12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11" fillId="0" borderId="6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wrapText="1"/>
    </xf>
    <xf numFmtId="0" fontId="13" fillId="0" borderId="12" xfId="0" applyFont="1" applyBorder="1" applyAlignment="1">
      <alignment horizontal="center" wrapText="1"/>
    </xf>
    <xf numFmtId="0" fontId="13" fillId="0" borderId="8" xfId="0" applyFont="1" applyBorder="1" applyAlignment="1">
      <alignment horizontal="center" wrapText="1"/>
    </xf>
    <xf numFmtId="49" fontId="13" fillId="0" borderId="12" xfId="0" applyNumberFormat="1" applyFont="1" applyBorder="1" applyAlignment="1">
      <alignment horizontal="center" wrapText="1"/>
    </xf>
    <xf numFmtId="0" fontId="12" fillId="0" borderId="6" xfId="0" applyFont="1" applyBorder="1" applyAlignment="1">
      <alignment horizontal="center" vertical="top" wrapText="1"/>
    </xf>
    <xf numFmtId="49" fontId="6" fillId="0" borderId="8" xfId="0" applyNumberFormat="1" applyFont="1" applyBorder="1" applyAlignment="1">
      <alignment horizontal="center" vertical="top" wrapText="1"/>
    </xf>
    <xf numFmtId="49" fontId="6" fillId="0" borderId="6" xfId="0" applyNumberFormat="1" applyFont="1" applyBorder="1" applyAlignment="1">
      <alignment horizontal="center" vertical="top" wrapText="1"/>
    </xf>
    <xf numFmtId="0" fontId="16" fillId="0" borderId="8" xfId="0" applyFont="1" applyBorder="1" applyAlignment="1">
      <alignment horizontal="center" wrapText="1"/>
    </xf>
    <xf numFmtId="0" fontId="16" fillId="0" borderId="6" xfId="0" applyFont="1" applyBorder="1" applyAlignment="1">
      <alignment horizontal="center" wrapText="1"/>
    </xf>
    <xf numFmtId="0" fontId="7" fillId="0" borderId="16" xfId="0" applyFont="1" applyBorder="1" applyAlignment="1">
      <alignment horizontal="left" wrapText="1"/>
    </xf>
    <xf numFmtId="0" fontId="10" fillId="0" borderId="6" xfId="0" applyFont="1" applyBorder="1" applyAlignment="1">
      <alignment horizontal="left" wrapText="1"/>
    </xf>
    <xf numFmtId="0" fontId="7" fillId="0" borderId="6" xfId="0" applyFont="1" applyBorder="1" applyAlignment="1">
      <alignment horizontal="left" wrapText="1"/>
    </xf>
    <xf numFmtId="0" fontId="7" fillId="0" borderId="8" xfId="0" applyFont="1" applyBorder="1" applyAlignment="1">
      <alignment horizontal="left" wrapText="1"/>
    </xf>
    <xf numFmtId="49" fontId="13" fillId="0" borderId="8" xfId="0" applyNumberFormat="1" applyFont="1" applyBorder="1" applyAlignment="1">
      <alignment horizontal="center" wrapText="1"/>
    </xf>
    <xf numFmtId="0" fontId="14" fillId="0" borderId="6" xfId="0" applyFont="1" applyBorder="1" applyAlignment="1">
      <alignment horizontal="center" vertical="top" wrapText="1"/>
    </xf>
    <xf numFmtId="49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right"/>
    </xf>
    <xf numFmtId="49" fontId="12" fillId="0" borderId="0" xfId="0" applyNumberFormat="1" applyFont="1" applyAlignment="1">
      <alignment horizontal="center" wrapText="1"/>
    </xf>
    <xf numFmtId="49" fontId="5" fillId="0" borderId="12" xfId="0" applyNumberFormat="1" applyFont="1" applyBorder="1" applyAlignment="1">
      <alignment horizontal="center" wrapText="1"/>
    </xf>
    <xf numFmtId="49" fontId="5" fillId="0" borderId="6" xfId="0" applyNumberFormat="1" applyFont="1" applyBorder="1" applyAlignment="1">
      <alignment horizontal="center" wrapText="1"/>
    </xf>
    <xf numFmtId="49" fontId="5" fillId="0" borderId="8" xfId="0" applyNumberFormat="1" applyFont="1" applyBorder="1" applyAlignment="1">
      <alignment horizontal="center" wrapText="1"/>
    </xf>
    <xf numFmtId="49" fontId="6" fillId="0" borderId="6" xfId="0" applyNumberFormat="1" applyFont="1" applyBorder="1" applyAlignment="1">
      <alignment horizontal="center" wrapText="1"/>
    </xf>
    <xf numFmtId="0" fontId="19" fillId="6" borderId="0" xfId="0" applyFont="1" applyFill="1" applyAlignment="1">
      <alignment horizontal="center" vertical="center" wrapText="1"/>
    </xf>
    <xf numFmtId="0" fontId="20" fillId="6" borderId="0" xfId="0" applyFont="1" applyFill="1" applyAlignment="1">
      <alignment horizontal="center" vertical="center" wrapText="1"/>
    </xf>
    <xf numFmtId="1" fontId="2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164" fontId="2" fillId="0" borderId="0" xfId="0" applyNumberFormat="1" applyFont="1"/>
    <xf numFmtId="1" fontId="2" fillId="0" borderId="0" xfId="0" applyNumberFormat="1" applyFont="1"/>
    <xf numFmtId="166" fontId="2" fillId="0" borderId="0" xfId="0" applyNumberFormat="1" applyFont="1"/>
    <xf numFmtId="0" fontId="21" fillId="6" borderId="0" xfId="0" applyFont="1" applyFill="1" applyAlignment="1">
      <alignment horizontal="center" vertical="center" wrapText="1"/>
    </xf>
    <xf numFmtId="0" fontId="22" fillId="4" borderId="0" xfId="0" applyFont="1" applyFill="1" applyAlignment="1">
      <alignment horizontal="center" vertical="center" wrapText="1"/>
    </xf>
    <xf numFmtId="165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4" fillId="2" borderId="31" xfId="0" applyFont="1" applyFill="1" applyBorder="1" applyAlignment="1">
      <alignment horizontal="center"/>
    </xf>
    <xf numFmtId="165" fontId="23" fillId="0" borderId="0" xfId="0" applyNumberFormat="1" applyFont="1"/>
    <xf numFmtId="0" fontId="23" fillId="0" borderId="0" xfId="0" applyFont="1"/>
    <xf numFmtId="167" fontId="1" fillId="0" borderId="0" xfId="0" applyNumberFormat="1" applyFont="1"/>
    <xf numFmtId="0" fontId="1" fillId="3" borderId="33" xfId="0" applyFont="1" applyFill="1" applyBorder="1"/>
    <xf numFmtId="0" fontId="2" fillId="0" borderId="33" xfId="0" applyFont="1" applyBorder="1"/>
    <xf numFmtId="0" fontId="23" fillId="3" borderId="33" xfId="0" applyFont="1" applyFill="1" applyBorder="1"/>
    <xf numFmtId="0" fontId="4" fillId="3" borderId="33" xfId="0" applyFont="1" applyFill="1" applyBorder="1"/>
    <xf numFmtId="0" fontId="3" fillId="0" borderId="33" xfId="0" applyFont="1" applyBorder="1"/>
    <xf numFmtId="4" fontId="25" fillId="3" borderId="33" xfId="0" applyNumberFormat="1" applyFont="1" applyFill="1" applyBorder="1" applyAlignment="1">
      <alignment horizontal="center"/>
    </xf>
    <xf numFmtId="4" fontId="26" fillId="0" borderId="33" xfId="0" applyNumberFormat="1" applyFont="1" applyBorder="1"/>
    <xf numFmtId="4" fontId="25" fillId="3" borderId="33" xfId="0" applyNumberFormat="1" applyFont="1" applyFill="1" applyBorder="1"/>
    <xf numFmtId="0" fontId="28" fillId="5" borderId="0" xfId="0" applyFont="1" applyFill="1"/>
    <xf numFmtId="0" fontId="14" fillId="0" borderId="0" xfId="0" applyFont="1" applyAlignment="1">
      <alignment horizontal="center" vertical="top" wrapText="1"/>
    </xf>
    <xf numFmtId="0" fontId="14" fillId="0" borderId="0" xfId="0" applyFont="1" applyAlignment="1">
      <alignment horizontal="right" vertical="top" wrapText="1"/>
    </xf>
    <xf numFmtId="0" fontId="14" fillId="0" borderId="0" xfId="0" applyFont="1" applyAlignment="1">
      <alignment horizontal="righ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right" vertical="top" wrapText="1"/>
    </xf>
    <xf numFmtId="0" fontId="11" fillId="0" borderId="0" xfId="0" applyFont="1" applyAlignment="1">
      <alignment horizontal="right" vertical="top"/>
    </xf>
    <xf numFmtId="0" fontId="31" fillId="0" borderId="0" xfId="0" applyFont="1" applyAlignment="1">
      <alignment horizontal="center" vertical="top" wrapText="1"/>
    </xf>
    <xf numFmtId="49" fontId="11" fillId="0" borderId="12" xfId="0" applyNumberFormat="1" applyFont="1" applyBorder="1" applyAlignment="1">
      <alignment horizontal="center" vertical="top" wrapText="1"/>
    </xf>
    <xf numFmtId="49" fontId="11" fillId="0" borderId="6" xfId="0" applyNumberFormat="1" applyFont="1" applyBorder="1" applyAlignment="1">
      <alignment horizontal="center" vertical="top" wrapText="1"/>
    </xf>
    <xf numFmtId="49" fontId="11" fillId="0" borderId="8" xfId="0" applyNumberFormat="1" applyFont="1" applyBorder="1" applyAlignment="1">
      <alignment horizontal="center" vertical="top" wrapText="1"/>
    </xf>
    <xf numFmtId="0" fontId="12" fillId="0" borderId="39" xfId="0" applyFont="1" applyBorder="1" applyAlignment="1">
      <alignment horizontal="center" vertical="top" wrapText="1"/>
    </xf>
    <xf numFmtId="49" fontId="12" fillId="0" borderId="40" xfId="0" applyNumberFormat="1" applyFont="1" applyBorder="1" applyAlignment="1">
      <alignment horizontal="center" vertical="top" wrapText="1"/>
    </xf>
    <xf numFmtId="49" fontId="12" fillId="0" borderId="41" xfId="0" applyNumberFormat="1" applyFont="1" applyBorder="1" applyAlignment="1">
      <alignment horizontal="center" vertical="top" wrapText="1"/>
    </xf>
    <xf numFmtId="49" fontId="17" fillId="0" borderId="42" xfId="0" applyNumberFormat="1" applyFont="1" applyBorder="1" applyAlignment="1">
      <alignment horizontal="center" vertical="top" wrapText="1"/>
    </xf>
    <xf numFmtId="0" fontId="17" fillId="0" borderId="43" xfId="0" applyFont="1" applyBorder="1" applyAlignment="1">
      <alignment horizontal="center" vertical="top" wrapText="1"/>
    </xf>
    <xf numFmtId="0" fontId="17" fillId="0" borderId="44" xfId="0" applyFont="1" applyBorder="1" applyAlignment="1">
      <alignment horizontal="center" vertical="top" wrapText="1"/>
    </xf>
    <xf numFmtId="49" fontId="17" fillId="0" borderId="43" xfId="0" applyNumberFormat="1" applyFont="1" applyBorder="1" applyAlignment="1">
      <alignment horizontal="center" vertical="top" wrapText="1"/>
    </xf>
    <xf numFmtId="49" fontId="11" fillId="0" borderId="42" xfId="0" applyNumberFormat="1" applyFont="1" applyBorder="1" applyAlignment="1">
      <alignment horizontal="center" vertical="top" wrapText="1"/>
    </xf>
    <xf numFmtId="49" fontId="11" fillId="0" borderId="43" xfId="0" applyNumberFormat="1" applyFont="1" applyBorder="1" applyAlignment="1">
      <alignment horizontal="center" vertical="top" wrapText="1"/>
    </xf>
    <xf numFmtId="49" fontId="11" fillId="0" borderId="44" xfId="0" applyNumberFormat="1" applyFont="1" applyBorder="1" applyAlignment="1">
      <alignment horizontal="center" vertical="top" wrapText="1"/>
    </xf>
    <xf numFmtId="0" fontId="17" fillId="0" borderId="11" xfId="0" applyFont="1" applyBorder="1" applyAlignment="1">
      <alignment horizontal="center" vertical="top" wrapText="1"/>
    </xf>
    <xf numFmtId="0" fontId="17" fillId="0" borderId="16" xfId="0" applyFont="1" applyBorder="1" applyAlignment="1">
      <alignment horizontal="center" vertical="top" wrapText="1"/>
    </xf>
    <xf numFmtId="0" fontId="17" fillId="0" borderId="0" xfId="0" applyFont="1" applyAlignment="1">
      <alignment horizontal="center" vertical="top" wrapText="1"/>
    </xf>
    <xf numFmtId="0" fontId="11" fillId="0" borderId="11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1" fillId="0" borderId="12" xfId="0" applyFont="1" applyBorder="1" applyAlignment="1">
      <alignment horizontal="center" vertical="top" wrapText="1"/>
    </xf>
    <xf numFmtId="0" fontId="11" fillId="0" borderId="8" xfId="0" applyFont="1" applyBorder="1" applyAlignment="1">
      <alignment horizontal="center" vertical="top" wrapText="1"/>
    </xf>
    <xf numFmtId="49" fontId="12" fillId="0" borderId="13" xfId="0" applyNumberFormat="1" applyFont="1" applyBorder="1" applyAlignment="1">
      <alignment horizontal="center" vertical="top" wrapText="1"/>
    </xf>
    <xf numFmtId="49" fontId="12" fillId="0" borderId="17" xfId="0" applyNumberFormat="1" applyFont="1" applyBorder="1" applyAlignment="1">
      <alignment horizontal="center" vertical="top"/>
    </xf>
    <xf numFmtId="0" fontId="12" fillId="0" borderId="45" xfId="0" applyFont="1" applyBorder="1" applyAlignment="1">
      <alignment horizontal="center" vertical="top" wrapText="1"/>
    </xf>
    <xf numFmtId="49" fontId="12" fillId="0" borderId="0" xfId="0" applyNumberFormat="1" applyFont="1" applyAlignment="1">
      <alignment horizontal="center" vertical="top" wrapText="1"/>
    </xf>
    <xf numFmtId="0" fontId="12" fillId="0" borderId="18" xfId="0" applyFont="1" applyBorder="1" applyAlignment="1">
      <alignment horizontal="center" vertical="top" wrapText="1"/>
    </xf>
    <xf numFmtId="49" fontId="14" fillId="0" borderId="11" xfId="0" applyNumberFormat="1" applyFont="1" applyBorder="1" applyAlignment="1">
      <alignment horizontal="center" vertical="top" wrapText="1"/>
    </xf>
    <xf numFmtId="49" fontId="14" fillId="0" borderId="12" xfId="0" applyNumberFormat="1" applyFont="1" applyBorder="1" applyAlignment="1">
      <alignment horizontal="center" vertical="top" wrapText="1"/>
    </xf>
    <xf numFmtId="0" fontId="14" fillId="0" borderId="7" xfId="0" applyFont="1" applyBorder="1" applyAlignment="1">
      <alignment horizontal="center" vertical="top" wrapText="1"/>
    </xf>
    <xf numFmtId="49" fontId="14" fillId="0" borderId="0" xfId="0" applyNumberFormat="1" applyFont="1" applyAlignment="1">
      <alignment horizontal="center" vertical="top" wrapText="1"/>
    </xf>
    <xf numFmtId="0" fontId="14" fillId="0" borderId="16" xfId="0" applyFont="1" applyBorder="1" applyAlignment="1">
      <alignment horizontal="center" vertical="top" wrapText="1"/>
    </xf>
    <xf numFmtId="0" fontId="12" fillId="0" borderId="40" xfId="0" applyFont="1" applyBorder="1" applyAlignment="1">
      <alignment horizontal="center" vertical="top" wrapText="1"/>
    </xf>
    <xf numFmtId="0" fontId="12" fillId="0" borderId="11" xfId="0" applyFont="1" applyBorder="1" applyAlignment="1">
      <alignment horizontal="center" vertical="top" wrapText="1"/>
    </xf>
    <xf numFmtId="0" fontId="12" fillId="0" borderId="16" xfId="0" applyFont="1" applyBorder="1" applyAlignment="1">
      <alignment horizontal="center" vertical="top" wrapText="1"/>
    </xf>
    <xf numFmtId="0" fontId="15" fillId="0" borderId="11" xfId="0" applyFont="1" applyBorder="1" applyAlignment="1">
      <alignment horizontal="center" vertical="top" wrapText="1"/>
    </xf>
    <xf numFmtId="0" fontId="15" fillId="0" borderId="16" xfId="0" applyFont="1" applyBorder="1" applyAlignment="1">
      <alignment horizontal="center" vertical="top" wrapText="1"/>
    </xf>
    <xf numFmtId="0" fontId="17" fillId="0" borderId="12" xfId="0" applyFont="1" applyBorder="1" applyAlignment="1">
      <alignment horizontal="center" vertical="top" wrapText="1"/>
    </xf>
    <xf numFmtId="0" fontId="17" fillId="0" borderId="8" xfId="0" applyFont="1" applyBorder="1" applyAlignment="1">
      <alignment horizontal="center" vertical="top" wrapText="1"/>
    </xf>
    <xf numFmtId="0" fontId="12" fillId="0" borderId="13" xfId="0" applyFont="1" applyBorder="1" applyAlignment="1">
      <alignment horizontal="center" vertical="top" wrapText="1"/>
    </xf>
    <xf numFmtId="49" fontId="12" fillId="0" borderId="11" xfId="0" applyNumberFormat="1" applyFont="1" applyBorder="1" applyAlignment="1">
      <alignment horizontal="center" vertical="top" wrapText="1"/>
    </xf>
    <xf numFmtId="49" fontId="12" fillId="0" borderId="16" xfId="0" applyNumberFormat="1" applyFont="1" applyBorder="1" applyAlignment="1">
      <alignment horizontal="center" vertical="top" wrapText="1"/>
    </xf>
    <xf numFmtId="0" fontId="14" fillId="0" borderId="11" xfId="0" applyFont="1" applyBorder="1" applyAlignment="1">
      <alignment horizontal="center" vertical="top" wrapText="1"/>
    </xf>
    <xf numFmtId="0" fontId="11" fillId="0" borderId="39" xfId="0" applyFont="1" applyBorder="1" applyAlignment="1">
      <alignment horizontal="center" vertical="top" wrapText="1"/>
    </xf>
    <xf numFmtId="0" fontId="11" fillId="0" borderId="41" xfId="0" applyFont="1" applyBorder="1" applyAlignment="1">
      <alignment horizontal="center" vertical="top" wrapText="1"/>
    </xf>
    <xf numFmtId="0" fontId="11" fillId="0" borderId="40" xfId="0" applyFont="1" applyBorder="1" applyAlignment="1">
      <alignment horizontal="center" vertical="top" wrapText="1"/>
    </xf>
    <xf numFmtId="49" fontId="12" fillId="0" borderId="42" xfId="0" applyNumberFormat="1" applyFont="1" applyBorder="1" applyAlignment="1">
      <alignment horizontal="center" vertical="top" wrapText="1"/>
    </xf>
    <xf numFmtId="49" fontId="12" fillId="0" borderId="44" xfId="0" applyNumberFormat="1" applyFont="1" applyBorder="1" applyAlignment="1">
      <alignment horizontal="center" vertical="top" wrapText="1"/>
    </xf>
    <xf numFmtId="49" fontId="12" fillId="0" borderId="43" xfId="0" applyNumberFormat="1" applyFont="1" applyBorder="1" applyAlignment="1">
      <alignment horizontal="center" vertical="top" wrapText="1"/>
    </xf>
    <xf numFmtId="0" fontId="12" fillId="0" borderId="42" xfId="0" applyFont="1" applyBorder="1" applyAlignment="1">
      <alignment horizontal="center" vertical="top" wrapText="1"/>
    </xf>
    <xf numFmtId="0" fontId="12" fillId="0" borderId="44" xfId="0" applyFont="1" applyBorder="1" applyAlignment="1">
      <alignment horizontal="center" vertical="top" wrapText="1"/>
    </xf>
    <xf numFmtId="0" fontId="12" fillId="0" borderId="43" xfId="0" applyFont="1" applyBorder="1" applyAlignment="1">
      <alignment horizontal="center" vertical="top" wrapText="1"/>
    </xf>
    <xf numFmtId="49" fontId="14" fillId="0" borderId="44" xfId="0" applyNumberFormat="1" applyFont="1" applyBorder="1" applyAlignment="1">
      <alignment horizontal="center" vertical="top" wrapText="1"/>
    </xf>
    <xf numFmtId="49" fontId="14" fillId="0" borderId="42" xfId="0" applyNumberFormat="1" applyFont="1" applyBorder="1" applyAlignment="1">
      <alignment horizontal="center" vertical="top" wrapText="1"/>
    </xf>
    <xf numFmtId="49" fontId="14" fillId="0" borderId="16" xfId="0" applyNumberFormat="1" applyFont="1" applyBorder="1" applyAlignment="1">
      <alignment horizontal="center" vertical="top" wrapText="1"/>
    </xf>
    <xf numFmtId="0" fontId="12" fillId="0" borderId="0" xfId="0" applyFont="1" applyAlignment="1">
      <alignment horizontal="center" vertical="top" wrapText="1"/>
    </xf>
    <xf numFmtId="0" fontId="12" fillId="0" borderId="12" xfId="0" applyFont="1" applyBorder="1" applyAlignment="1">
      <alignment horizontal="center" vertical="top" wrapText="1"/>
    </xf>
    <xf numFmtId="0" fontId="12" fillId="0" borderId="8" xfId="0" applyFont="1" applyBorder="1" applyAlignment="1">
      <alignment horizontal="center" vertical="top" wrapText="1"/>
    </xf>
    <xf numFmtId="0" fontId="14" fillId="0" borderId="12" xfId="0" applyFont="1" applyBorder="1" applyAlignment="1">
      <alignment horizontal="center" vertical="top" wrapText="1"/>
    </xf>
    <xf numFmtId="0" fontId="14" fillId="0" borderId="8" xfId="0" applyFont="1" applyBorder="1" applyAlignment="1">
      <alignment horizontal="center" vertical="top" wrapText="1"/>
    </xf>
    <xf numFmtId="0" fontId="12" fillId="0" borderId="17" xfId="0" applyFont="1" applyBorder="1" applyAlignment="1">
      <alignment horizontal="center" vertical="top" wrapText="1"/>
    </xf>
    <xf numFmtId="49" fontId="12" fillId="0" borderId="18" xfId="0" applyNumberFormat="1" applyFont="1" applyBorder="1" applyAlignment="1">
      <alignment horizontal="center" vertical="top" wrapText="1"/>
    </xf>
    <xf numFmtId="49" fontId="17" fillId="0" borderId="12" xfId="0" applyNumberFormat="1" applyFont="1" applyBorder="1" applyAlignment="1">
      <alignment horizontal="center" vertical="top" wrapText="1"/>
    </xf>
    <xf numFmtId="0" fontId="17" fillId="0" borderId="6" xfId="0" applyFont="1" applyBorder="1" applyAlignment="1">
      <alignment horizontal="center" vertical="top" wrapText="1"/>
    </xf>
    <xf numFmtId="49" fontId="17" fillId="0" borderId="8" xfId="0" applyNumberFormat="1" applyFont="1" applyBorder="1" applyAlignment="1">
      <alignment horizontal="center" vertical="top" wrapText="1"/>
    </xf>
    <xf numFmtId="49" fontId="15" fillId="0" borderId="0" xfId="0" applyNumberFormat="1" applyFont="1" applyAlignment="1">
      <alignment horizontal="center" vertical="top" wrapText="1"/>
    </xf>
    <xf numFmtId="49" fontId="15" fillId="0" borderId="42" xfId="0" applyNumberFormat="1" applyFont="1" applyBorder="1" applyAlignment="1">
      <alignment horizontal="center" wrapText="1"/>
    </xf>
    <xf numFmtId="49" fontId="15" fillId="0" borderId="43" xfId="0" applyNumberFormat="1" applyFont="1" applyBorder="1" applyAlignment="1">
      <alignment horizontal="center" wrapText="1"/>
    </xf>
    <xf numFmtId="0" fontId="17" fillId="0" borderId="42" xfId="0" applyFont="1" applyBorder="1" applyAlignment="1">
      <alignment horizontal="center" wrapText="1"/>
    </xf>
    <xf numFmtId="0" fontId="17" fillId="0" borderId="43" xfId="0" applyFont="1" applyBorder="1" applyAlignment="1">
      <alignment horizontal="center" wrapText="1"/>
    </xf>
    <xf numFmtId="49" fontId="15" fillId="0" borderId="13" xfId="0" applyNumberFormat="1" applyFont="1" applyBorder="1" applyAlignment="1">
      <alignment horizontal="center" wrapText="1"/>
    </xf>
    <xf numFmtId="49" fontId="15" fillId="0" borderId="41" xfId="0" applyNumberFormat="1" applyFont="1" applyBorder="1" applyAlignment="1">
      <alignment horizontal="center" wrapText="1"/>
    </xf>
    <xf numFmtId="49" fontId="15" fillId="0" borderId="39" xfId="0" applyNumberFormat="1" applyFont="1" applyBorder="1" applyAlignment="1">
      <alignment horizontal="center" wrapText="1"/>
    </xf>
    <xf numFmtId="49" fontId="15" fillId="0" borderId="18" xfId="0" applyNumberFormat="1" applyFont="1" applyBorder="1" applyAlignment="1">
      <alignment horizontal="center" wrapText="1"/>
    </xf>
    <xf numFmtId="0" fontId="14" fillId="0" borderId="11" xfId="0" applyFont="1" applyBorder="1" applyAlignment="1">
      <alignment horizontal="center" wrapText="1"/>
    </xf>
    <xf numFmtId="0" fontId="14" fillId="0" borderId="43" xfId="0" applyFont="1" applyBorder="1" applyAlignment="1">
      <alignment horizontal="center" wrapText="1"/>
    </xf>
    <xf numFmtId="0" fontId="14" fillId="0" borderId="44" xfId="0" applyFont="1" applyBorder="1" applyAlignment="1">
      <alignment horizontal="center" wrapText="1"/>
    </xf>
    <xf numFmtId="0" fontId="14" fillId="0" borderId="16" xfId="0" applyFont="1" applyBorder="1" applyAlignment="1">
      <alignment horizontal="center" wrapText="1"/>
    </xf>
    <xf numFmtId="0" fontId="12" fillId="0" borderId="11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12" fillId="0" borderId="16" xfId="0" applyFont="1" applyBorder="1" applyAlignment="1">
      <alignment horizontal="left"/>
    </xf>
    <xf numFmtId="0" fontId="14" fillId="0" borderId="0" xfId="0" applyFont="1" applyAlignment="1">
      <alignment horizontal="left"/>
    </xf>
    <xf numFmtId="0" fontId="12" fillId="0" borderId="12" xfId="0" applyFont="1" applyBorder="1" applyAlignment="1">
      <alignment horizontal="center" wrapText="1"/>
    </xf>
    <xf numFmtId="0" fontId="12" fillId="0" borderId="6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8" xfId="0" applyFont="1" applyBorder="1" applyAlignment="1">
      <alignment horizontal="center" wrapText="1"/>
    </xf>
    <xf numFmtId="0" fontId="12" fillId="0" borderId="11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6" xfId="0" applyFont="1" applyBorder="1" applyAlignment="1">
      <alignment horizontal="center" wrapText="1"/>
    </xf>
    <xf numFmtId="0" fontId="14" fillId="0" borderId="0" xfId="0" applyFont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16" xfId="0" applyNumberFormat="1" applyFont="1" applyBorder="1" applyAlignment="1">
      <alignment horizontal="center" wrapText="1"/>
    </xf>
    <xf numFmtId="0" fontId="12" fillId="0" borderId="13" xfId="0" applyFont="1" applyBorder="1" applyAlignment="1">
      <alignment horizontal="center" wrapText="1"/>
    </xf>
    <xf numFmtId="0" fontId="12" fillId="0" borderId="17" xfId="0" applyFont="1" applyBorder="1" applyAlignment="1">
      <alignment horizontal="center"/>
    </xf>
    <xf numFmtId="0" fontId="12" fillId="0" borderId="17" xfId="0" applyFont="1" applyBorder="1" applyAlignment="1">
      <alignment horizontal="center" wrapText="1"/>
    </xf>
    <xf numFmtId="0" fontId="12" fillId="0" borderId="18" xfId="0" applyFont="1" applyBorder="1" applyAlignment="1">
      <alignment horizontal="center" wrapText="1"/>
    </xf>
    <xf numFmtId="0" fontId="14" fillId="0" borderId="12" xfId="0" applyFont="1" applyBorder="1" applyAlignment="1">
      <alignment horizontal="center" wrapText="1"/>
    </xf>
    <xf numFmtId="0" fontId="14" fillId="0" borderId="6" xfId="0" applyFont="1" applyBorder="1" applyAlignment="1">
      <alignment horizontal="center" wrapText="1"/>
    </xf>
    <xf numFmtId="0" fontId="14" fillId="0" borderId="8" xfId="0" applyFont="1" applyBorder="1" applyAlignment="1">
      <alignment horizontal="center" wrapText="1"/>
    </xf>
    <xf numFmtId="0" fontId="17" fillId="0" borderId="11" xfId="0" applyFont="1" applyBorder="1" applyAlignment="1">
      <alignment horizontal="center" wrapText="1"/>
    </xf>
    <xf numFmtId="0" fontId="17" fillId="0" borderId="0" xfId="0" applyFont="1" applyAlignment="1">
      <alignment horizontal="center" wrapText="1"/>
    </xf>
    <xf numFmtId="0" fontId="14" fillId="0" borderId="17" xfId="0" applyFont="1" applyBorder="1" applyAlignment="1">
      <alignment horizontal="left"/>
    </xf>
    <xf numFmtId="0" fontId="17" fillId="0" borderId="16" xfId="0" applyFont="1" applyBorder="1" applyAlignment="1">
      <alignment horizontal="center" wrapText="1"/>
    </xf>
    <xf numFmtId="0" fontId="14" fillId="0" borderId="16" xfId="0" applyFont="1" applyBorder="1" applyAlignment="1">
      <alignment horizontal="left"/>
    </xf>
    <xf numFmtId="0" fontId="14" fillId="0" borderId="6" xfId="0" applyFont="1" applyBorder="1" applyAlignment="1">
      <alignment horizontal="left"/>
    </xf>
    <xf numFmtId="0" fontId="14" fillId="0" borderId="8" xfId="0" applyFont="1" applyBorder="1" applyAlignment="1">
      <alignment horizontal="left"/>
    </xf>
    <xf numFmtId="49" fontId="12" fillId="0" borderId="17" xfId="0" applyNumberFormat="1" applyFont="1" applyBorder="1" applyAlignment="1">
      <alignment horizontal="center" wrapText="1"/>
    </xf>
    <xf numFmtId="49" fontId="12" fillId="0" borderId="40" xfId="0" applyNumberFormat="1" applyFont="1" applyBorder="1" applyAlignment="1">
      <alignment horizontal="center" wrapText="1"/>
    </xf>
    <xf numFmtId="49" fontId="12" fillId="0" borderId="41" xfId="0" applyNumberFormat="1" applyFont="1" applyBorder="1" applyAlignment="1">
      <alignment horizontal="center" wrapText="1"/>
    </xf>
    <xf numFmtId="49" fontId="12" fillId="0" borderId="18" xfId="0" applyNumberFormat="1" applyFont="1" applyBorder="1" applyAlignment="1">
      <alignment horizontal="center" wrapText="1"/>
    </xf>
    <xf numFmtId="49" fontId="14" fillId="0" borderId="0" xfId="0" applyNumberFormat="1" applyFont="1" applyAlignment="1">
      <alignment horizontal="center" wrapText="1"/>
    </xf>
    <xf numFmtId="49" fontId="14" fillId="0" borderId="16" xfId="0" applyNumberFormat="1" applyFont="1" applyBorder="1" applyAlignment="1">
      <alignment horizontal="center" wrapText="1"/>
    </xf>
    <xf numFmtId="49" fontId="14" fillId="0" borderId="6" xfId="0" applyNumberFormat="1" applyFont="1" applyBorder="1" applyAlignment="1">
      <alignment horizontal="center" wrapText="1"/>
    </xf>
    <xf numFmtId="49" fontId="14" fillId="0" borderId="8" xfId="0" applyNumberFormat="1" applyFont="1" applyBorder="1" applyAlignment="1">
      <alignment horizontal="center" wrapText="1"/>
    </xf>
    <xf numFmtId="49" fontId="10" fillId="0" borderId="0" xfId="0" applyNumberFormat="1" applyFont="1" applyAlignment="1">
      <alignment horizontal="left" wrapText="1"/>
    </xf>
    <xf numFmtId="0" fontId="0" fillId="0" borderId="0" xfId="0"/>
    <xf numFmtId="49" fontId="11" fillId="0" borderId="19" xfId="0" applyNumberFormat="1" applyFont="1" applyBorder="1" applyAlignment="1">
      <alignment horizontal="center" vertical="top" wrapText="1"/>
    </xf>
    <xf numFmtId="0" fontId="2" fillId="0" borderId="20" xfId="0" applyFont="1" applyBorder="1"/>
    <xf numFmtId="0" fontId="2" fillId="0" borderId="21" xfId="0" applyFont="1" applyBorder="1"/>
    <xf numFmtId="0" fontId="11" fillId="0" borderId="10" xfId="0" applyFont="1" applyBorder="1" applyAlignment="1">
      <alignment horizontal="center" vertical="top" wrapText="1"/>
    </xf>
    <xf numFmtId="0" fontId="2" fillId="0" borderId="10" xfId="0" applyFont="1" applyBorder="1"/>
    <xf numFmtId="0" fontId="2" fillId="0" borderId="5" xfId="0" applyFont="1" applyBorder="1"/>
    <xf numFmtId="0" fontId="10" fillId="0" borderId="10" xfId="0" applyFont="1" applyBorder="1" applyAlignment="1">
      <alignment horizontal="left" wrapText="1"/>
    </xf>
    <xf numFmtId="14" fontId="11" fillId="0" borderId="14" xfId="0" applyNumberFormat="1" applyFont="1" applyBorder="1" applyAlignment="1">
      <alignment horizontal="center" vertical="center" wrapText="1"/>
    </xf>
    <xf numFmtId="0" fontId="2" fillId="0" borderId="14" xfId="0" applyFont="1" applyBorder="1"/>
    <xf numFmtId="0" fontId="2" fillId="0" borderId="15" xfId="0" applyFont="1" applyBorder="1"/>
    <xf numFmtId="49" fontId="10" fillId="0" borderId="10" xfId="0" applyNumberFormat="1" applyFont="1" applyBorder="1" applyAlignment="1">
      <alignment horizontal="left" wrapText="1"/>
    </xf>
    <xf numFmtId="49" fontId="11" fillId="0" borderId="22" xfId="0" applyNumberFormat="1" applyFont="1" applyBorder="1" applyAlignment="1">
      <alignment horizontal="center" vertical="top" wrapText="1"/>
    </xf>
    <xf numFmtId="0" fontId="2" fillId="0" borderId="23" xfId="0" applyFont="1" applyBorder="1"/>
    <xf numFmtId="0" fontId="6" fillId="0" borderId="10" xfId="0" applyFont="1" applyBorder="1" applyAlignment="1">
      <alignment horizontal="center" vertical="top" wrapText="1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0" xfId="0" applyFont="1" applyBorder="1" applyAlignment="1">
      <alignment horizontal="center" wrapText="1"/>
    </xf>
    <xf numFmtId="49" fontId="11" fillId="0" borderId="0" xfId="0" applyNumberFormat="1" applyFont="1" applyAlignment="1">
      <alignment horizontal="center" vertical="center" wrapText="1"/>
    </xf>
    <xf numFmtId="0" fontId="2" fillId="0" borderId="16" xfId="0" applyFont="1" applyBorder="1"/>
    <xf numFmtId="0" fontId="7" fillId="0" borderId="17" xfId="0" applyFont="1" applyBorder="1" applyAlignment="1">
      <alignment horizontal="left" wrapText="1"/>
    </xf>
    <xf numFmtId="0" fontId="2" fillId="0" borderId="17" xfId="0" applyFont="1" applyBorder="1"/>
    <xf numFmtId="0" fontId="2" fillId="0" borderId="18" xfId="0" applyFont="1" applyBorder="1"/>
    <xf numFmtId="0" fontId="7" fillId="0" borderId="0" xfId="0" applyFont="1" applyAlignment="1">
      <alignment horizontal="left" vertical="top" wrapText="1"/>
    </xf>
    <xf numFmtId="49" fontId="12" fillId="0" borderId="10" xfId="0" applyNumberFormat="1" applyFont="1" applyBorder="1" applyAlignment="1">
      <alignment horizontal="center" vertical="top" wrapText="1"/>
    </xf>
    <xf numFmtId="49" fontId="11" fillId="0" borderId="14" xfId="0" applyNumberFormat="1" applyFont="1" applyBorder="1" applyAlignment="1">
      <alignment horizontal="center" vertical="top" wrapText="1"/>
    </xf>
    <xf numFmtId="14" fontId="11" fillId="0" borderId="10" xfId="0" applyNumberFormat="1" applyFont="1" applyBorder="1" applyAlignment="1">
      <alignment horizontal="center" vertical="top" wrapText="1"/>
    </xf>
    <xf numFmtId="0" fontId="11" fillId="0" borderId="6" xfId="0" applyFont="1" applyBorder="1" applyAlignment="1">
      <alignment horizontal="center" vertical="top" wrapText="1"/>
    </xf>
    <xf numFmtId="0" fontId="2" fillId="0" borderId="6" xfId="0" applyFont="1" applyBorder="1"/>
    <xf numFmtId="0" fontId="13" fillId="0" borderId="6" xfId="0" applyFont="1" applyBorder="1" applyAlignment="1">
      <alignment horizontal="center" vertical="top" wrapText="1"/>
    </xf>
    <xf numFmtId="0" fontId="12" fillId="0" borderId="24" xfId="0" applyFont="1" applyBorder="1" applyAlignment="1">
      <alignment horizontal="center" vertical="top"/>
    </xf>
    <xf numFmtId="0" fontId="2" fillId="0" borderId="25" xfId="0" applyFont="1" applyBorder="1"/>
    <xf numFmtId="0" fontId="12" fillId="0" borderId="10" xfId="0" applyFont="1" applyBorder="1" applyAlignment="1">
      <alignment horizontal="center" vertical="top" wrapText="1"/>
    </xf>
    <xf numFmtId="0" fontId="6" fillId="0" borderId="6" xfId="0" applyFont="1" applyBorder="1" applyAlignment="1">
      <alignment horizontal="center" vertical="top" wrapText="1"/>
    </xf>
    <xf numFmtId="0" fontId="12" fillId="0" borderId="26" xfId="0" applyFont="1" applyBorder="1" applyAlignment="1">
      <alignment horizontal="center" vertical="top" wrapText="1"/>
    </xf>
    <xf numFmtId="0" fontId="13" fillId="0" borderId="10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top" wrapText="1"/>
    </xf>
    <xf numFmtId="0" fontId="12" fillId="0" borderId="22" xfId="0" applyFont="1" applyBorder="1" applyAlignment="1">
      <alignment horizontal="center" vertical="top" wrapText="1"/>
    </xf>
    <xf numFmtId="0" fontId="14" fillId="0" borderId="10" xfId="0" applyFont="1" applyBorder="1" applyAlignment="1">
      <alignment horizontal="center" vertical="top" wrapText="1"/>
    </xf>
    <xf numFmtId="0" fontId="15" fillId="0" borderId="6" xfId="0" applyFont="1" applyBorder="1" applyAlignment="1">
      <alignment horizontal="center" vertical="top" wrapText="1"/>
    </xf>
    <xf numFmtId="0" fontId="10" fillId="0" borderId="17" xfId="0" applyFont="1" applyBorder="1" applyAlignment="1">
      <alignment horizontal="center" wrapText="1"/>
    </xf>
    <xf numFmtId="0" fontId="10" fillId="0" borderId="0" xfId="0" applyFont="1" applyAlignment="1">
      <alignment horizontal="right" wrapText="1"/>
    </xf>
    <xf numFmtId="0" fontId="12" fillId="0" borderId="19" xfId="0" applyFont="1" applyBorder="1" applyAlignment="1">
      <alignment horizontal="center" vertical="top" wrapText="1"/>
    </xf>
    <xf numFmtId="0" fontId="11" fillId="0" borderId="27" xfId="0" applyFont="1" applyBorder="1" applyAlignment="1">
      <alignment horizontal="center" vertical="top" wrapText="1"/>
    </xf>
    <xf numFmtId="0" fontId="2" fillId="0" borderId="28" xfId="0" applyFont="1" applyBorder="1"/>
    <xf numFmtId="0" fontId="2" fillId="0" borderId="29" xfId="0" applyFont="1" applyBorder="1"/>
    <xf numFmtId="0" fontId="14" fillId="0" borderId="6" xfId="0" applyFont="1" applyBorder="1" applyAlignment="1">
      <alignment horizontal="center" vertical="top" wrapText="1"/>
    </xf>
    <xf numFmtId="49" fontId="6" fillId="0" borderId="6" xfId="0" applyNumberFormat="1" applyFont="1" applyBorder="1" applyAlignment="1">
      <alignment horizontal="center" vertical="top" wrapText="1"/>
    </xf>
    <xf numFmtId="0" fontId="17" fillId="0" borderId="6" xfId="0" applyFont="1" applyBorder="1" applyAlignment="1">
      <alignment horizontal="center" vertical="top" wrapText="1"/>
    </xf>
    <xf numFmtId="49" fontId="14" fillId="0" borderId="6" xfId="0" applyNumberFormat="1" applyFont="1" applyBorder="1" applyAlignment="1">
      <alignment horizontal="center" vertical="top" wrapText="1"/>
    </xf>
    <xf numFmtId="49" fontId="12" fillId="0" borderId="6" xfId="0" applyNumberFormat="1" applyFont="1" applyBorder="1" applyAlignment="1">
      <alignment horizontal="center" wrapText="1"/>
    </xf>
    <xf numFmtId="49" fontId="12" fillId="0" borderId="0" xfId="0" applyNumberFormat="1" applyFont="1" applyAlignment="1">
      <alignment horizontal="center" wrapText="1"/>
    </xf>
    <xf numFmtId="49" fontId="18" fillId="0" borderId="4" xfId="0" applyNumberFormat="1" applyFont="1" applyBorder="1" applyAlignment="1">
      <alignment horizontal="center" wrapText="1"/>
    </xf>
    <xf numFmtId="49" fontId="15" fillId="0" borderId="6" xfId="0" applyNumberFormat="1" applyFont="1" applyBorder="1" applyAlignment="1">
      <alignment horizontal="center" vertical="center" wrapText="1"/>
    </xf>
    <xf numFmtId="49" fontId="6" fillId="0" borderId="10" xfId="0" applyNumberFormat="1" applyFont="1" applyBorder="1" applyAlignment="1">
      <alignment horizontal="center" vertical="top" wrapText="1"/>
    </xf>
    <xf numFmtId="49" fontId="12" fillId="0" borderId="6" xfId="0" applyNumberFormat="1" applyFont="1" applyBorder="1" applyAlignment="1">
      <alignment horizontal="center" vertical="center" wrapText="1"/>
    </xf>
    <xf numFmtId="49" fontId="12" fillId="0" borderId="24" xfId="0" applyNumberFormat="1" applyFont="1" applyBorder="1" applyAlignment="1">
      <alignment horizontal="center" vertical="center" wrapText="1"/>
    </xf>
    <xf numFmtId="0" fontId="2" fillId="0" borderId="8" xfId="0" applyFont="1" applyBorder="1"/>
    <xf numFmtId="0" fontId="24" fillId="2" borderId="1" xfId="0" applyFont="1" applyFill="1" applyBorder="1" applyAlignment="1">
      <alignment wrapText="1"/>
    </xf>
    <xf numFmtId="0" fontId="2" fillId="0" borderId="2" xfId="0" applyFont="1" applyBorder="1"/>
    <xf numFmtId="0" fontId="2" fillId="0" borderId="30" xfId="0" applyFont="1" applyBorder="1"/>
    <xf numFmtId="4" fontId="25" fillId="2" borderId="32" xfId="0" applyNumberFormat="1" applyFont="1" applyFill="1" applyBorder="1"/>
    <xf numFmtId="0" fontId="2" fillId="0" borderId="3" xfId="0" applyFont="1" applyBorder="1"/>
    <xf numFmtId="0" fontId="27" fillId="3" borderId="1" xfId="0" applyFont="1" applyFill="1" applyBorder="1" applyAlignment="1">
      <alignment wrapText="1"/>
    </xf>
    <xf numFmtId="4" fontId="26" fillId="3" borderId="1" xfId="0" applyNumberFormat="1" applyFont="1" applyFill="1" applyBorder="1"/>
    <xf numFmtId="0" fontId="4" fillId="2" borderId="1" xfId="0" applyFont="1" applyFill="1" applyBorder="1" applyAlignment="1">
      <alignment wrapText="1"/>
    </xf>
    <xf numFmtId="0" fontId="24" fillId="3" borderId="1" xfId="0" applyFont="1" applyFill="1" applyBorder="1" applyAlignment="1">
      <alignment wrapText="1"/>
    </xf>
    <xf numFmtId="4" fontId="25" fillId="3" borderId="1" xfId="0" applyNumberFormat="1" applyFont="1" applyFill="1" applyBorder="1"/>
    <xf numFmtId="0" fontId="23" fillId="3" borderId="1" xfId="0" applyFont="1" applyFill="1" applyBorder="1" applyAlignment="1">
      <alignment horizontal="right" vertical="center"/>
    </xf>
    <xf numFmtId="167" fontId="4" fillId="2" borderId="1" xfId="0" applyNumberFormat="1" applyFont="1" applyFill="1" applyBorder="1" applyAlignment="1">
      <alignment horizontal="center"/>
    </xf>
    <xf numFmtId="167" fontId="4" fillId="2" borderId="32" xfId="0" applyNumberFormat="1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 vertical="center"/>
    </xf>
    <xf numFmtId="0" fontId="29" fillId="0" borderId="0" xfId="0" applyFont="1" applyAlignment="1">
      <alignment horizontal="right" vertical="top"/>
    </xf>
    <xf numFmtId="0" fontId="30" fillId="0" borderId="0" xfId="0" applyFont="1" applyAlignment="1">
      <alignment horizontal="center" vertical="center" wrapText="1"/>
    </xf>
    <xf numFmtId="0" fontId="11" fillId="0" borderId="4" xfId="0" applyFont="1" applyBorder="1" applyAlignment="1">
      <alignment horizontal="center" vertical="top"/>
    </xf>
    <xf numFmtId="0" fontId="11" fillId="0" borderId="34" xfId="0" applyFont="1" applyBorder="1" applyAlignment="1">
      <alignment horizontal="center" vertical="center"/>
    </xf>
    <xf numFmtId="0" fontId="2" fillId="0" borderId="35" xfId="0" applyFont="1" applyBorder="1"/>
    <xf numFmtId="0" fontId="2" fillId="0" borderId="36" xfId="0" applyFont="1" applyBorder="1"/>
    <xf numFmtId="49" fontId="11" fillId="0" borderId="0" xfId="0" applyNumberFormat="1" applyFont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14" fontId="11" fillId="0" borderId="37" xfId="0" applyNumberFormat="1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top"/>
    </xf>
    <xf numFmtId="49" fontId="12" fillId="0" borderId="0" xfId="0" applyNumberFormat="1" applyFont="1" applyAlignment="1">
      <alignment horizontal="left" vertical="top"/>
    </xf>
    <xf numFmtId="49" fontId="11" fillId="0" borderId="4" xfId="0" applyNumberFormat="1" applyFont="1" applyBorder="1" applyAlignment="1">
      <alignment horizontal="center" vertical="top"/>
    </xf>
    <xf numFmtId="49" fontId="14" fillId="0" borderId="24" xfId="0" applyNumberFormat="1" applyFont="1" applyBorder="1" applyAlignment="1">
      <alignment horizontal="center" vertical="top" wrapText="1"/>
    </xf>
    <xf numFmtId="0" fontId="32" fillId="0" borderId="37" xfId="0" applyFont="1" applyBorder="1" applyAlignment="1">
      <alignment horizontal="center" vertical="top" wrapText="1"/>
    </xf>
    <xf numFmtId="49" fontId="11" fillId="0" borderId="37" xfId="0" applyNumberFormat="1" applyFont="1" applyBorder="1" applyAlignment="1">
      <alignment horizontal="center" vertical="center"/>
    </xf>
    <xf numFmtId="0" fontId="2" fillId="0" borderId="38" xfId="0" applyFont="1" applyBorder="1"/>
    <xf numFmtId="0" fontId="11" fillId="0" borderId="13" xfId="0" applyFont="1" applyBorder="1" applyAlignment="1">
      <alignment horizontal="left" vertical="top"/>
    </xf>
    <xf numFmtId="49" fontId="12" fillId="0" borderId="24" xfId="0" applyNumberFormat="1" applyFont="1" applyBorder="1" applyAlignment="1">
      <alignment horizontal="center" vertical="top" wrapText="1"/>
    </xf>
    <xf numFmtId="0" fontId="14" fillId="0" borderId="0" xfId="0" applyFont="1" applyAlignment="1">
      <alignment horizontal="center" vertical="top" wrapText="1"/>
    </xf>
    <xf numFmtId="0" fontId="11" fillId="0" borderId="11" xfId="0" applyFont="1" applyBorder="1" applyAlignment="1">
      <alignment horizontal="left" vertical="top" wrapText="1"/>
    </xf>
    <xf numFmtId="49" fontId="12" fillId="0" borderId="10" xfId="0" applyNumberFormat="1" applyFont="1" applyBorder="1" applyAlignment="1">
      <alignment horizontal="center" vertical="top"/>
    </xf>
    <xf numFmtId="0" fontId="12" fillId="0" borderId="10" xfId="0" applyFont="1" applyBorder="1" applyAlignment="1">
      <alignment horizontal="center" vertical="top"/>
    </xf>
    <xf numFmtId="0" fontId="11" fillId="0" borderId="11" xfId="0" applyFont="1" applyBorder="1" applyAlignment="1">
      <alignment horizontal="center" vertical="top" wrapText="1"/>
    </xf>
    <xf numFmtId="0" fontId="11" fillId="0" borderId="4" xfId="0" applyFont="1" applyBorder="1" applyAlignment="1">
      <alignment horizontal="center" vertical="top" wrapText="1"/>
    </xf>
    <xf numFmtId="0" fontId="11" fillId="0" borderId="0" xfId="0" applyFont="1" applyAlignment="1">
      <alignment horizontal="left" vertical="top"/>
    </xf>
    <xf numFmtId="0" fontId="12" fillId="0" borderId="4" xfId="0" applyFont="1" applyBorder="1" applyAlignment="1">
      <alignment horizontal="center" vertical="top" wrapText="1"/>
    </xf>
    <xf numFmtId="0" fontId="11" fillId="0" borderId="27" xfId="0" applyFont="1" applyBorder="1" applyAlignment="1">
      <alignment horizontal="center" vertical="top"/>
    </xf>
    <xf numFmtId="0" fontId="14" fillId="0" borderId="17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top"/>
    </xf>
    <xf numFmtId="49" fontId="12" fillId="0" borderId="22" xfId="0" applyNumberFormat="1" applyFont="1" applyBorder="1" applyAlignment="1">
      <alignment horizontal="center" vertical="top"/>
    </xf>
    <xf numFmtId="49" fontId="12" fillId="0" borderId="6" xfId="0" applyNumberFormat="1" applyFont="1" applyBorder="1" applyAlignment="1">
      <alignment horizontal="center" vertical="top"/>
    </xf>
    <xf numFmtId="0" fontId="11" fillId="0" borderId="13" xfId="0" applyFont="1" applyBorder="1" applyAlignment="1">
      <alignment horizontal="center" vertical="top"/>
    </xf>
    <xf numFmtId="0" fontId="11" fillId="0" borderId="24" xfId="0" applyFont="1" applyBorder="1" applyAlignment="1">
      <alignment horizontal="center" vertical="top"/>
    </xf>
    <xf numFmtId="0" fontId="12" fillId="0" borderId="0" xfId="0" applyFont="1" applyAlignment="1">
      <alignment horizontal="center" vertical="top"/>
    </xf>
    <xf numFmtId="49" fontId="14" fillId="0" borderId="22" xfId="0" applyNumberFormat="1" applyFont="1" applyBorder="1" applyAlignment="1">
      <alignment horizontal="center" vertical="top" wrapText="1"/>
    </xf>
    <xf numFmtId="49" fontId="14" fillId="0" borderId="6" xfId="0" applyNumberFormat="1" applyFont="1" applyBorder="1" applyAlignment="1">
      <alignment horizontal="center" vertical="top"/>
    </xf>
    <xf numFmtId="49" fontId="14" fillId="0" borderId="0" xfId="0" applyNumberFormat="1" applyFont="1" applyAlignment="1">
      <alignment horizontal="center" vertical="top" wrapText="1"/>
    </xf>
    <xf numFmtId="49" fontId="12" fillId="0" borderId="6" xfId="0" applyNumberFormat="1" applyFont="1" applyBorder="1" applyAlignment="1">
      <alignment horizontal="center" vertical="top" wrapText="1"/>
    </xf>
    <xf numFmtId="0" fontId="12" fillId="0" borderId="22" xfId="0" applyFont="1" applyBorder="1" applyAlignment="1">
      <alignment horizontal="center" vertical="top"/>
    </xf>
    <xf numFmtId="0" fontId="15" fillId="0" borderId="22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4" fillId="0" borderId="27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2" fillId="0" borderId="46" xfId="0" applyFont="1" applyBorder="1"/>
    <xf numFmtId="0" fontId="2" fillId="0" borderId="11" xfId="0" applyFont="1" applyBorder="1"/>
    <xf numFmtId="0" fontId="2" fillId="0" borderId="9" xfId="0" applyFont="1" applyBorder="1"/>
    <xf numFmtId="0" fontId="2" fillId="0" borderId="47" xfId="0" applyFont="1" applyBorder="1"/>
    <xf numFmtId="0" fontId="2" fillId="0" borderId="48" xfId="0" applyFont="1" applyBorder="1"/>
    <xf numFmtId="0" fontId="2" fillId="0" borderId="49" xfId="0" applyFont="1" applyBorder="1"/>
    <xf numFmtId="49" fontId="12" fillId="0" borderId="22" xfId="0" applyNumberFormat="1" applyFont="1" applyBorder="1" applyAlignment="1">
      <alignment horizontal="center" vertical="top" wrapText="1"/>
    </xf>
    <xf numFmtId="49" fontId="29" fillId="0" borderId="0" xfId="0" applyNumberFormat="1" applyFont="1" applyAlignment="1">
      <alignment horizontal="right"/>
    </xf>
    <xf numFmtId="0" fontId="11" fillId="0" borderId="4" xfId="0" applyFont="1" applyBorder="1" applyAlignment="1">
      <alignment horizontal="center" vertical="center"/>
    </xf>
    <xf numFmtId="49" fontId="15" fillId="0" borderId="22" xfId="0" applyNumberFormat="1" applyFont="1" applyBorder="1" applyAlignment="1">
      <alignment horizontal="center"/>
    </xf>
    <xf numFmtId="0" fontId="14" fillId="0" borderId="37" xfId="0" applyFont="1" applyBorder="1" applyAlignment="1">
      <alignment horizontal="center" vertical="top" wrapText="1"/>
    </xf>
    <xf numFmtId="0" fontId="12" fillId="0" borderId="4" xfId="0" applyFont="1" applyBorder="1" applyAlignment="1">
      <alignment horizontal="center"/>
    </xf>
    <xf numFmtId="49" fontId="15" fillId="0" borderId="24" xfId="0" applyNumberFormat="1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49" fontId="12" fillId="0" borderId="6" xfId="0" applyNumberFormat="1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14" fillId="0" borderId="0" xfId="0" applyFont="1" applyAlignment="1">
      <alignment horizontal="left"/>
    </xf>
    <xf numFmtId="0" fontId="14" fillId="0" borderId="6" xfId="0" applyFont="1" applyBorder="1" applyAlignment="1">
      <alignment horizontal="center" wrapText="1"/>
    </xf>
    <xf numFmtId="0" fontId="14" fillId="0" borderId="0" xfId="0" applyFont="1" applyAlignment="1">
      <alignment horizontal="center"/>
    </xf>
    <xf numFmtId="49" fontId="14" fillId="0" borderId="6" xfId="0" applyNumberFormat="1" applyFont="1" applyBorder="1" applyAlignment="1">
      <alignment horizontal="center"/>
    </xf>
    <xf numFmtId="49" fontId="12" fillId="0" borderId="45" xfId="0" applyNumberFormat="1" applyFont="1" applyBorder="1" applyAlignment="1">
      <alignment horizontal="center" wrapText="1"/>
    </xf>
    <xf numFmtId="0" fontId="2" fillId="0" borderId="50" xfId="0" applyFont="1" applyBorder="1"/>
    <xf numFmtId="0" fontId="2" fillId="0" borderId="7" xfId="0" applyFont="1" applyBorder="1"/>
    <xf numFmtId="49" fontId="12" fillId="0" borderId="27" xfId="0" applyNumberFormat="1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left" wrapText="1"/>
    </xf>
    <xf numFmtId="0" fontId="14" fillId="0" borderId="4" xfId="0" applyFont="1" applyBorder="1" applyAlignment="1">
      <alignment horizontal="center"/>
    </xf>
    <xf numFmtId="49" fontId="14" fillId="0" borderId="4" xfId="0" applyNumberFormat="1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DG1001"/>
  <sheetViews>
    <sheetView tabSelected="1" workbookViewId="0">
      <selection activeCell="BP15" sqref="BP15:DF15"/>
    </sheetView>
  </sheetViews>
  <sheetFormatPr defaultColWidth="12.5703125" defaultRowHeight="15.75" customHeight="1"/>
  <cols>
    <col min="1" max="111" width="1" customWidth="1"/>
  </cols>
  <sheetData>
    <row r="1" spans="1:111" ht="14.25" customHeight="1">
      <c r="A1" s="5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5"/>
      <c r="CD1" s="5"/>
      <c r="CE1" s="5"/>
      <c r="CF1" s="224" t="s">
        <v>31</v>
      </c>
      <c r="CG1" s="209"/>
      <c r="CH1" s="209"/>
      <c r="CI1" s="209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/>
      <c r="DG1" s="209"/>
    </row>
    <row r="2" spans="1:111" ht="26.25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5"/>
      <c r="CD2" s="5"/>
      <c r="CE2" s="5"/>
      <c r="CF2" s="225" t="s">
        <v>32</v>
      </c>
      <c r="CG2" s="209"/>
      <c r="CH2" s="209"/>
      <c r="CI2" s="209"/>
      <c r="CJ2" s="209"/>
      <c r="CK2" s="209"/>
      <c r="CL2" s="209"/>
      <c r="CM2" s="209"/>
      <c r="CN2" s="209"/>
      <c r="CO2" s="209"/>
      <c r="CP2" s="209"/>
      <c r="CQ2" s="209"/>
      <c r="CR2" s="209"/>
      <c r="CS2" s="209"/>
      <c r="CT2" s="209"/>
      <c r="CU2" s="209"/>
      <c r="CV2" s="209"/>
      <c r="CW2" s="209"/>
      <c r="CX2" s="209"/>
      <c r="CY2" s="209"/>
      <c r="CZ2" s="209"/>
      <c r="DA2" s="209"/>
      <c r="DB2" s="209"/>
      <c r="DC2" s="209"/>
      <c r="DD2" s="209"/>
      <c r="DE2" s="209"/>
      <c r="DF2" s="209"/>
      <c r="DG2" s="209"/>
    </row>
    <row r="3" spans="1:111" ht="3" customHeight="1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</row>
    <row r="4" spans="1:111" ht="18.75" customHeight="1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226" t="s">
        <v>33</v>
      </c>
      <c r="CG4" s="209"/>
      <c r="CH4" s="209"/>
      <c r="CI4" s="209"/>
      <c r="CJ4" s="209"/>
      <c r="CK4" s="209"/>
      <c r="CL4" s="209"/>
      <c r="CM4" s="209"/>
      <c r="CN4" s="209"/>
      <c r="CO4" s="209"/>
      <c r="CP4" s="209"/>
      <c r="CQ4" s="209"/>
      <c r="CR4" s="209"/>
      <c r="CS4" s="209"/>
      <c r="CT4" s="209"/>
      <c r="CU4" s="209"/>
      <c r="CV4" s="209"/>
      <c r="CW4" s="209"/>
      <c r="CX4" s="209"/>
      <c r="CY4" s="209"/>
      <c r="CZ4" s="209"/>
      <c r="DA4" s="209"/>
      <c r="DB4" s="209"/>
      <c r="DC4" s="209"/>
      <c r="DD4" s="209"/>
      <c r="DE4" s="209"/>
      <c r="DF4" s="209"/>
      <c r="DG4" s="209"/>
    </row>
    <row r="5" spans="1:111" ht="15.75" customHeight="1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</row>
    <row r="6" spans="1:111" ht="17.25" customHeight="1">
      <c r="A6" s="227" t="s">
        <v>34</v>
      </c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09"/>
      <c r="BT6" s="209"/>
      <c r="BU6" s="209"/>
      <c r="BV6" s="209"/>
      <c r="BW6" s="209"/>
      <c r="BX6" s="209"/>
      <c r="BY6" s="209"/>
      <c r="BZ6" s="209"/>
      <c r="CA6" s="209"/>
      <c r="CB6" s="209"/>
      <c r="CC6" s="209"/>
      <c r="CD6" s="209"/>
      <c r="CE6" s="209"/>
      <c r="CF6" s="209"/>
      <c r="CG6" s="209"/>
      <c r="CH6" s="209"/>
      <c r="CI6" s="209"/>
      <c r="CJ6" s="209"/>
      <c r="CK6" s="209"/>
      <c r="CL6" s="209"/>
      <c r="CM6" s="209"/>
      <c r="CN6" s="209"/>
      <c r="CO6" s="209"/>
      <c r="CP6" s="209"/>
      <c r="CQ6" s="209"/>
      <c r="CR6" s="209"/>
      <c r="CS6" s="209"/>
      <c r="CT6" s="209"/>
      <c r="CU6" s="209"/>
      <c r="CV6" s="209"/>
      <c r="CW6" s="209"/>
      <c r="CX6" s="209"/>
      <c r="CY6" s="209"/>
      <c r="CZ6" s="209"/>
      <c r="DA6" s="209"/>
      <c r="DB6" s="209"/>
      <c r="DC6" s="209"/>
      <c r="DD6" s="209"/>
      <c r="DE6" s="209"/>
      <c r="DF6" s="209"/>
      <c r="DG6" s="209"/>
    </row>
    <row r="7" spans="1:111" ht="18.75" customHeight="1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</row>
    <row r="8" spans="1:111" ht="13.5" customHeight="1">
      <c r="A8" s="228" t="s">
        <v>35</v>
      </c>
      <c r="B8" s="214"/>
      <c r="C8" s="214"/>
      <c r="D8" s="214"/>
      <c r="E8" s="214"/>
      <c r="F8" s="214"/>
      <c r="G8" s="214"/>
      <c r="H8" s="214"/>
      <c r="I8" s="214"/>
      <c r="J8" s="214"/>
      <c r="K8" s="214"/>
      <c r="L8" s="214"/>
      <c r="M8" s="214"/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4"/>
      <c r="BG8" s="214"/>
      <c r="BH8" s="214"/>
      <c r="BI8" s="214"/>
      <c r="BJ8" s="214"/>
      <c r="BK8" s="214"/>
      <c r="BL8" s="214"/>
      <c r="BM8" s="214"/>
      <c r="BN8" s="215"/>
      <c r="BO8" s="229" t="s">
        <v>36</v>
      </c>
      <c r="BP8" s="214"/>
      <c r="BQ8" s="214"/>
      <c r="BR8" s="214"/>
      <c r="BS8" s="214"/>
      <c r="BT8" s="214"/>
      <c r="BU8" s="214"/>
      <c r="BV8" s="214"/>
      <c r="BW8" s="214"/>
      <c r="BX8" s="214"/>
      <c r="BY8" s="214"/>
      <c r="BZ8" s="214"/>
      <c r="CA8" s="214"/>
      <c r="CB8" s="214"/>
      <c r="CC8" s="214"/>
      <c r="CD8" s="214"/>
      <c r="CE8" s="214"/>
      <c r="CF8" s="214"/>
      <c r="CG8" s="214"/>
      <c r="CH8" s="214"/>
      <c r="CI8" s="214"/>
      <c r="CJ8" s="214"/>
      <c r="CK8" s="214"/>
      <c r="CL8" s="214"/>
      <c r="CM8" s="214"/>
      <c r="CN8" s="214"/>
      <c r="CO8" s="214"/>
      <c r="CP8" s="214"/>
      <c r="CQ8" s="214"/>
      <c r="CR8" s="214"/>
      <c r="CS8" s="214"/>
      <c r="CT8" s="214"/>
      <c r="CU8" s="214"/>
      <c r="CV8" s="214"/>
      <c r="CW8" s="214"/>
      <c r="CX8" s="214"/>
      <c r="CY8" s="214"/>
      <c r="CZ8" s="214"/>
      <c r="DA8" s="214"/>
      <c r="DB8" s="214"/>
      <c r="DC8" s="214"/>
      <c r="DD8" s="214"/>
      <c r="DE8" s="214"/>
      <c r="DF8" s="214"/>
      <c r="DG8" s="215"/>
    </row>
    <row r="9" spans="1:111" ht="13.5" customHeight="1">
      <c r="A9" s="14"/>
      <c r="B9" s="216" t="s">
        <v>37</v>
      </c>
      <c r="C9" s="214"/>
      <c r="D9" s="214"/>
      <c r="E9" s="214"/>
      <c r="F9" s="215"/>
      <c r="G9" s="238">
        <v>44847.465887604165</v>
      </c>
      <c r="H9" s="214"/>
      <c r="I9" s="214"/>
      <c r="J9" s="214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15"/>
      <c r="X9" s="216" t="s">
        <v>38</v>
      </c>
      <c r="Y9" s="214"/>
      <c r="Z9" s="214"/>
      <c r="AA9" s="214"/>
      <c r="AB9" s="215"/>
      <c r="AC9" s="213" t="s">
        <v>15</v>
      </c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214"/>
      <c r="AW9" s="214"/>
      <c r="AX9" s="214"/>
      <c r="AY9" s="214"/>
      <c r="AZ9" s="214"/>
      <c r="BA9" s="214"/>
      <c r="BB9" s="214"/>
      <c r="BC9" s="214"/>
      <c r="BD9" s="214"/>
      <c r="BE9" s="214"/>
      <c r="BF9" s="214"/>
      <c r="BG9" s="214"/>
      <c r="BH9" s="214"/>
      <c r="BI9" s="214"/>
      <c r="BJ9" s="214"/>
      <c r="BK9" s="214"/>
      <c r="BL9" s="214"/>
      <c r="BM9" s="214"/>
      <c r="BN9" s="215"/>
      <c r="BO9" s="16"/>
      <c r="BP9" s="216" t="s">
        <v>37</v>
      </c>
      <c r="BQ9" s="214"/>
      <c r="BR9" s="214"/>
      <c r="BS9" s="214"/>
      <c r="BT9" s="215"/>
      <c r="BU9" s="213"/>
      <c r="BV9" s="214"/>
      <c r="BW9" s="214"/>
      <c r="BX9" s="214"/>
      <c r="BY9" s="214"/>
      <c r="BZ9" s="214"/>
      <c r="CA9" s="214"/>
      <c r="CB9" s="214"/>
      <c r="CC9" s="214"/>
      <c r="CD9" s="214"/>
      <c r="CE9" s="214"/>
      <c r="CF9" s="214"/>
      <c r="CG9" s="214"/>
      <c r="CH9" s="214"/>
      <c r="CI9" s="214"/>
      <c r="CJ9" s="214"/>
      <c r="CK9" s="215"/>
      <c r="CL9" s="17"/>
      <c r="CM9" s="216" t="s">
        <v>38</v>
      </c>
      <c r="CN9" s="214"/>
      <c r="CO9" s="214"/>
      <c r="CP9" s="214"/>
      <c r="CQ9" s="213"/>
      <c r="CR9" s="214"/>
      <c r="CS9" s="214"/>
      <c r="CT9" s="214"/>
      <c r="CU9" s="214"/>
      <c r="CV9" s="214"/>
      <c r="CW9" s="214"/>
      <c r="CX9" s="214"/>
      <c r="CY9" s="214"/>
      <c r="CZ9" s="214"/>
      <c r="DA9" s="214"/>
      <c r="DB9" s="214"/>
      <c r="DC9" s="214"/>
      <c r="DD9" s="214"/>
      <c r="DE9" s="214"/>
      <c r="DF9" s="214"/>
      <c r="DG9" s="215"/>
    </row>
    <row r="10" spans="1:111" ht="13.5" customHeight="1">
      <c r="A10" s="18"/>
      <c r="B10" s="216" t="s">
        <v>39</v>
      </c>
      <c r="C10" s="214"/>
      <c r="D10" s="214"/>
      <c r="E10" s="214"/>
      <c r="F10" s="214"/>
      <c r="G10" s="214"/>
      <c r="H10" s="214"/>
      <c r="I10" s="214"/>
      <c r="J10" s="214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5"/>
      <c r="W10" s="217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18"/>
      <c r="AM10" s="218"/>
      <c r="AN10" s="218"/>
      <c r="AO10" s="218"/>
      <c r="AP10" s="218"/>
      <c r="AQ10" s="218"/>
      <c r="AR10" s="218"/>
      <c r="AS10" s="218"/>
      <c r="AT10" s="218"/>
      <c r="AU10" s="218"/>
      <c r="AV10" s="218"/>
      <c r="AW10" s="218"/>
      <c r="AX10" s="218"/>
      <c r="AY10" s="218"/>
      <c r="AZ10" s="218"/>
      <c r="BA10" s="218"/>
      <c r="BB10" s="218"/>
      <c r="BC10" s="218"/>
      <c r="BD10" s="218"/>
      <c r="BE10" s="218"/>
      <c r="BF10" s="218"/>
      <c r="BG10" s="218"/>
      <c r="BH10" s="218"/>
      <c r="BI10" s="218"/>
      <c r="BJ10" s="218"/>
      <c r="BK10" s="218"/>
      <c r="BL10" s="218"/>
      <c r="BM10" s="218"/>
      <c r="BN10" s="219"/>
      <c r="BO10" s="230"/>
      <c r="BP10" s="209"/>
      <c r="BQ10" s="209"/>
      <c r="BR10" s="209"/>
      <c r="BS10" s="209"/>
      <c r="BT10" s="209"/>
      <c r="BU10" s="209"/>
      <c r="BV10" s="209"/>
      <c r="BW10" s="209"/>
      <c r="BX10" s="209"/>
      <c r="BY10" s="209"/>
      <c r="BZ10" s="209"/>
      <c r="CA10" s="209"/>
      <c r="CB10" s="209"/>
      <c r="CC10" s="209"/>
      <c r="CD10" s="209"/>
      <c r="CE10" s="209"/>
      <c r="CF10" s="209"/>
      <c r="CG10" s="209"/>
      <c r="CH10" s="209"/>
      <c r="CI10" s="209"/>
      <c r="CJ10" s="209"/>
      <c r="CK10" s="209"/>
      <c r="CL10" s="209"/>
      <c r="CM10" s="209"/>
      <c r="CN10" s="209"/>
      <c r="CO10" s="209"/>
      <c r="CP10" s="209"/>
      <c r="CQ10" s="209"/>
      <c r="CR10" s="209"/>
      <c r="CS10" s="209"/>
      <c r="CT10" s="209"/>
      <c r="CU10" s="209"/>
      <c r="CV10" s="209"/>
      <c r="CW10" s="209"/>
      <c r="CX10" s="209"/>
      <c r="CY10" s="209"/>
      <c r="CZ10" s="209"/>
      <c r="DA10" s="209"/>
      <c r="DB10" s="209"/>
      <c r="DC10" s="209"/>
      <c r="DD10" s="209"/>
      <c r="DE10" s="209"/>
      <c r="DF10" s="209"/>
      <c r="DG10" s="231"/>
    </row>
    <row r="11" spans="1:111" ht="13.5" customHeight="1">
      <c r="A11" s="19"/>
      <c r="B11" s="220" t="s">
        <v>40</v>
      </c>
      <c r="C11" s="214"/>
      <c r="D11" s="214"/>
      <c r="E11" s="214"/>
      <c r="F11" s="214"/>
      <c r="G11" s="214"/>
      <c r="H11" s="214"/>
      <c r="I11" s="214"/>
      <c r="J11" s="214"/>
      <c r="K11" s="214"/>
      <c r="L11" s="214"/>
      <c r="M11" s="214"/>
      <c r="N11" s="214"/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214"/>
      <c r="AW11" s="214"/>
      <c r="AX11" s="214"/>
      <c r="AY11" s="214"/>
      <c r="AZ11" s="214"/>
      <c r="BA11" s="214"/>
      <c r="BB11" s="214"/>
      <c r="BC11" s="214"/>
      <c r="BD11" s="214"/>
      <c r="BE11" s="214"/>
      <c r="BF11" s="214"/>
      <c r="BG11" s="214"/>
      <c r="BH11" s="214"/>
      <c r="BI11" s="214"/>
      <c r="BJ11" s="214"/>
      <c r="BK11" s="214"/>
      <c r="BL11" s="214"/>
      <c r="BM11" s="214"/>
      <c r="BN11" s="215"/>
      <c r="BO11" s="20"/>
      <c r="BP11" s="232" t="s">
        <v>41</v>
      </c>
      <c r="BQ11" s="233"/>
      <c r="BR11" s="233"/>
      <c r="BS11" s="233"/>
      <c r="BT11" s="233"/>
      <c r="BU11" s="233"/>
      <c r="BV11" s="233"/>
      <c r="BW11" s="233"/>
      <c r="BX11" s="233"/>
      <c r="BY11" s="233"/>
      <c r="BZ11" s="233"/>
      <c r="CA11" s="233"/>
      <c r="CB11" s="233"/>
      <c r="CC11" s="233"/>
      <c r="CD11" s="233"/>
      <c r="CE11" s="233"/>
      <c r="CF11" s="233"/>
      <c r="CG11" s="233"/>
      <c r="CH11" s="233"/>
      <c r="CI11" s="233"/>
      <c r="CJ11" s="233"/>
      <c r="CK11" s="233"/>
      <c r="CL11" s="233"/>
      <c r="CM11" s="233"/>
      <c r="CN11" s="233"/>
      <c r="CO11" s="233"/>
      <c r="CP11" s="233"/>
      <c r="CQ11" s="233"/>
      <c r="CR11" s="233"/>
      <c r="CS11" s="233"/>
      <c r="CT11" s="233"/>
      <c r="CU11" s="233"/>
      <c r="CV11" s="233"/>
      <c r="CW11" s="233"/>
      <c r="CX11" s="233"/>
      <c r="CY11" s="233"/>
      <c r="CZ11" s="233"/>
      <c r="DA11" s="233"/>
      <c r="DB11" s="233"/>
      <c r="DC11" s="233"/>
      <c r="DD11" s="233"/>
      <c r="DE11" s="233"/>
      <c r="DF11" s="233"/>
      <c r="DG11" s="234"/>
    </row>
    <row r="12" spans="1:111" ht="4.5" customHeight="1">
      <c r="A12" s="21"/>
      <c r="B12" s="9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4"/>
      <c r="BO12" s="16"/>
      <c r="BP12" s="235" t="s">
        <v>42</v>
      </c>
      <c r="BQ12" s="209"/>
      <c r="BR12" s="209"/>
      <c r="BS12" s="209"/>
      <c r="BT12" s="209"/>
      <c r="BU12" s="209"/>
      <c r="BV12" s="209"/>
      <c r="BW12" s="209"/>
      <c r="BX12" s="209"/>
      <c r="BY12" s="209"/>
      <c r="BZ12" s="209"/>
      <c r="CA12" s="209"/>
      <c r="CB12" s="209"/>
      <c r="CC12" s="209"/>
      <c r="CD12" s="209"/>
      <c r="CE12" s="209"/>
      <c r="CF12" s="209"/>
      <c r="CG12" s="209"/>
      <c r="CH12" s="209"/>
      <c r="CI12" s="209"/>
      <c r="CJ12" s="209"/>
      <c r="CK12" s="209"/>
      <c r="CL12" s="209"/>
      <c r="CM12" s="209"/>
      <c r="CN12" s="209"/>
      <c r="CO12" s="209"/>
      <c r="CP12" s="209"/>
      <c r="CQ12" s="209"/>
      <c r="CR12" s="209"/>
      <c r="CS12" s="209"/>
      <c r="CT12" s="209"/>
      <c r="CU12" s="209"/>
      <c r="CV12" s="209"/>
      <c r="CW12" s="209"/>
      <c r="CX12" s="209"/>
      <c r="CY12" s="209"/>
      <c r="CZ12" s="209"/>
      <c r="DA12" s="209"/>
      <c r="DB12" s="209"/>
      <c r="DC12" s="209"/>
      <c r="DD12" s="209"/>
      <c r="DE12" s="209"/>
      <c r="DF12" s="209"/>
      <c r="DG12" s="231"/>
    </row>
    <row r="13" spans="1:111" ht="12" customHeight="1">
      <c r="A13" s="25"/>
      <c r="B13" s="208" t="s">
        <v>43</v>
      </c>
      <c r="C13" s="209"/>
      <c r="D13" s="209"/>
      <c r="E13" s="209"/>
      <c r="F13" s="209"/>
      <c r="G13" s="209"/>
      <c r="H13" s="209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3"/>
      <c r="U13" s="23"/>
      <c r="V13" s="23"/>
      <c r="W13" s="210"/>
      <c r="X13" s="211"/>
      <c r="Y13" s="211"/>
      <c r="Z13" s="211"/>
      <c r="AA13" s="211"/>
      <c r="AB13" s="212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6"/>
      <c r="BO13" s="27"/>
      <c r="BP13" s="209"/>
      <c r="BQ13" s="209"/>
      <c r="BR13" s="209"/>
      <c r="BS13" s="209"/>
      <c r="BT13" s="209"/>
      <c r="BU13" s="209"/>
      <c r="BV13" s="209"/>
      <c r="BW13" s="209"/>
      <c r="BX13" s="209"/>
      <c r="BY13" s="209"/>
      <c r="BZ13" s="209"/>
      <c r="CA13" s="209"/>
      <c r="CB13" s="209"/>
      <c r="CC13" s="209"/>
      <c r="CD13" s="209"/>
      <c r="CE13" s="209"/>
      <c r="CF13" s="209"/>
      <c r="CG13" s="209"/>
      <c r="CH13" s="209"/>
      <c r="CI13" s="209"/>
      <c r="CJ13" s="209"/>
      <c r="CK13" s="209"/>
      <c r="CL13" s="209"/>
      <c r="CM13" s="209"/>
      <c r="CN13" s="209"/>
      <c r="CO13" s="209"/>
      <c r="CP13" s="209"/>
      <c r="CQ13" s="209"/>
      <c r="CR13" s="209"/>
      <c r="CS13" s="209"/>
      <c r="CT13" s="209"/>
      <c r="CU13" s="209"/>
      <c r="CV13" s="209"/>
      <c r="CW13" s="209"/>
      <c r="CX13" s="209"/>
      <c r="CY13" s="209"/>
      <c r="CZ13" s="209"/>
      <c r="DA13" s="209"/>
      <c r="DB13" s="209"/>
      <c r="DC13" s="209"/>
      <c r="DD13" s="209"/>
      <c r="DE13" s="209"/>
      <c r="DF13" s="209"/>
      <c r="DG13" s="231"/>
    </row>
    <row r="14" spans="1:111" ht="4.5" customHeight="1">
      <c r="A14" s="28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30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2"/>
    </row>
    <row r="15" spans="1:111" ht="12.75">
      <c r="A15" s="15"/>
      <c r="B15" s="221" t="s">
        <v>44</v>
      </c>
      <c r="C15" s="218"/>
      <c r="D15" s="218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18"/>
      <c r="V15" s="218"/>
      <c r="W15" s="218"/>
      <c r="X15" s="218"/>
      <c r="Y15" s="218"/>
      <c r="Z15" s="218"/>
      <c r="AA15" s="218"/>
      <c r="AB15" s="218"/>
      <c r="AC15" s="218"/>
      <c r="AD15" s="218"/>
      <c r="AE15" s="218"/>
      <c r="AF15" s="218"/>
      <c r="AG15" s="218"/>
      <c r="AH15" s="218"/>
      <c r="AI15" s="218"/>
      <c r="AJ15" s="218"/>
      <c r="AK15" s="218"/>
      <c r="AL15" s="218"/>
      <c r="AM15" s="218"/>
      <c r="AN15" s="218"/>
      <c r="AO15" s="218"/>
      <c r="AP15" s="218"/>
      <c r="AQ15" s="218"/>
      <c r="AR15" s="218"/>
      <c r="AS15" s="218"/>
      <c r="AT15" s="218"/>
      <c r="AU15" s="218"/>
      <c r="AV15" s="218"/>
      <c r="AW15" s="218"/>
      <c r="AX15" s="218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22"/>
      <c r="BN15" s="33"/>
      <c r="BO15" s="34"/>
      <c r="BP15" s="236" t="s">
        <v>45</v>
      </c>
      <c r="BQ15" s="214"/>
      <c r="BR15" s="214"/>
      <c r="BS15" s="214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4"/>
      <c r="CJ15" s="214"/>
      <c r="CK15" s="214"/>
      <c r="CL15" s="214"/>
      <c r="CM15" s="214"/>
      <c r="CN15" s="214"/>
      <c r="CO15" s="214"/>
      <c r="CP15" s="214"/>
      <c r="CQ15" s="214"/>
      <c r="CR15" s="214"/>
      <c r="CS15" s="214"/>
      <c r="CT15" s="214"/>
      <c r="CU15" s="214"/>
      <c r="CV15" s="214"/>
      <c r="CW15" s="214"/>
      <c r="CX15" s="214"/>
      <c r="CY15" s="214"/>
      <c r="CZ15" s="214"/>
      <c r="DA15" s="214"/>
      <c r="DB15" s="214"/>
      <c r="DC15" s="214"/>
      <c r="DD15" s="214"/>
      <c r="DE15" s="214"/>
      <c r="DF15" s="214"/>
      <c r="DG15" s="33"/>
    </row>
    <row r="16" spans="1:111" ht="14.25" customHeight="1">
      <c r="A16" s="35"/>
      <c r="B16" s="223" t="s">
        <v>46</v>
      </c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36"/>
      <c r="BO16" s="37"/>
      <c r="BP16" s="223" t="s">
        <v>47</v>
      </c>
      <c r="BQ16" s="214"/>
      <c r="BR16" s="214"/>
      <c r="BS16" s="214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4"/>
      <c r="CR16" s="214"/>
      <c r="CS16" s="214"/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38"/>
    </row>
    <row r="17" spans="1:111" ht="10.5" customHeight="1">
      <c r="A17" s="28"/>
      <c r="B17" s="221"/>
      <c r="C17" s="21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8"/>
      <c r="R17" s="218"/>
      <c r="S17" s="218"/>
      <c r="T17" s="218"/>
      <c r="U17" s="218"/>
      <c r="V17" s="218"/>
      <c r="W17" s="218"/>
      <c r="X17" s="218"/>
      <c r="Y17" s="218"/>
      <c r="Z17" s="218"/>
      <c r="AA17" s="218"/>
      <c r="AB17" s="218"/>
      <c r="AC17" s="218"/>
      <c r="AD17" s="218"/>
      <c r="AE17" s="218"/>
      <c r="AF17" s="218"/>
      <c r="AG17" s="218"/>
      <c r="AH17" s="218"/>
      <c r="AI17" s="218"/>
      <c r="AJ17" s="218"/>
      <c r="AK17" s="218"/>
      <c r="AL17" s="218"/>
      <c r="AM17" s="218"/>
      <c r="AN17" s="218"/>
      <c r="AO17" s="218"/>
      <c r="AP17" s="218"/>
      <c r="AQ17" s="218"/>
      <c r="AR17" s="218"/>
      <c r="AS17" s="218"/>
      <c r="AT17" s="218"/>
      <c r="AU17" s="218"/>
      <c r="AV17" s="218"/>
      <c r="AW17" s="218"/>
      <c r="AX17" s="218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33"/>
      <c r="BO17" s="34"/>
      <c r="BP17" s="237"/>
      <c r="BQ17" s="218"/>
      <c r="BR17" s="218"/>
      <c r="BS17" s="218"/>
      <c r="BT17" s="218"/>
      <c r="BU17" s="218"/>
      <c r="BV17" s="218"/>
      <c r="BW17" s="218"/>
      <c r="BX17" s="218"/>
      <c r="BY17" s="218"/>
      <c r="BZ17" s="218"/>
      <c r="CA17" s="218"/>
      <c r="CB17" s="218"/>
      <c r="CC17" s="218"/>
      <c r="CD17" s="218"/>
      <c r="CE17" s="218"/>
      <c r="CF17" s="218"/>
      <c r="CG17" s="218"/>
      <c r="CH17" s="218"/>
      <c r="CI17" s="218"/>
      <c r="CJ17" s="218"/>
      <c r="CK17" s="218"/>
      <c r="CL17" s="218"/>
      <c r="CM17" s="218"/>
      <c r="CN17" s="218"/>
      <c r="CO17" s="218"/>
      <c r="CP17" s="218"/>
      <c r="CQ17" s="218"/>
      <c r="CR17" s="218"/>
      <c r="CS17" s="218"/>
      <c r="CT17" s="218"/>
      <c r="CU17" s="218"/>
      <c r="CV17" s="218"/>
      <c r="CW17" s="218"/>
      <c r="CX17" s="218"/>
      <c r="CY17" s="218"/>
      <c r="CZ17" s="218"/>
      <c r="DA17" s="218"/>
      <c r="DB17" s="218"/>
      <c r="DC17" s="218"/>
      <c r="DD17" s="218"/>
      <c r="DE17" s="218"/>
      <c r="DF17" s="218"/>
      <c r="DG17" s="33"/>
    </row>
    <row r="18" spans="1:111" ht="18" customHeight="1">
      <c r="A18" s="39"/>
      <c r="B18" s="223" t="s">
        <v>48</v>
      </c>
      <c r="C18" s="214"/>
      <c r="D18" s="214"/>
      <c r="E18" s="214"/>
      <c r="F18" s="214"/>
      <c r="G18" s="214"/>
      <c r="H18" s="214"/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214"/>
      <c r="AG18" s="214"/>
      <c r="AH18" s="214"/>
      <c r="AI18" s="214"/>
      <c r="AJ18" s="214"/>
      <c r="AK18" s="214"/>
      <c r="AL18" s="214"/>
      <c r="AM18" s="214"/>
      <c r="AN18" s="214"/>
      <c r="AO18" s="214"/>
      <c r="AP18" s="214"/>
      <c r="AQ18" s="214"/>
      <c r="AR18" s="214"/>
      <c r="AS18" s="214"/>
      <c r="AT18" s="214"/>
      <c r="AU18" s="214"/>
      <c r="AV18" s="214"/>
      <c r="AW18" s="214"/>
      <c r="AX18" s="214"/>
      <c r="AY18" s="214"/>
      <c r="AZ18" s="214"/>
      <c r="BA18" s="214"/>
      <c r="BB18" s="214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36"/>
      <c r="BO18" s="37"/>
      <c r="BP18" s="223" t="s">
        <v>49</v>
      </c>
      <c r="BQ18" s="214"/>
      <c r="BR18" s="214"/>
      <c r="BS18" s="214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4"/>
      <c r="CJ18" s="214"/>
      <c r="CK18" s="214"/>
      <c r="CL18" s="214"/>
      <c r="CM18" s="214"/>
      <c r="CN18" s="214"/>
      <c r="CO18" s="214"/>
      <c r="CP18" s="214"/>
      <c r="CQ18" s="214"/>
      <c r="CR18" s="214"/>
      <c r="CS18" s="214"/>
      <c r="CT18" s="214"/>
      <c r="CU18" s="214"/>
      <c r="CV18" s="214"/>
      <c r="CW18" s="214"/>
      <c r="CX18" s="214"/>
      <c r="CY18" s="214"/>
      <c r="CZ18" s="214"/>
      <c r="DA18" s="214"/>
      <c r="DB18" s="214"/>
      <c r="DC18" s="214"/>
      <c r="DD18" s="214"/>
      <c r="DE18" s="214"/>
      <c r="DF18" s="214"/>
      <c r="DG18" s="40"/>
    </row>
    <row r="19" spans="1:111" ht="13.5" customHeight="1">
      <c r="A19" s="228" t="s">
        <v>50</v>
      </c>
      <c r="B19" s="214"/>
      <c r="C19" s="214"/>
      <c r="D19" s="214"/>
      <c r="E19" s="214"/>
      <c r="F19" s="214"/>
      <c r="G19" s="214"/>
      <c r="H19" s="214"/>
      <c r="I19" s="214"/>
      <c r="J19" s="214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4"/>
      <c r="AJ19" s="214"/>
      <c r="AK19" s="214"/>
      <c r="AL19" s="214"/>
      <c r="AM19" s="214"/>
      <c r="AN19" s="214"/>
      <c r="AO19" s="214"/>
      <c r="AP19" s="214"/>
      <c r="AQ19" s="214"/>
      <c r="AR19" s="214"/>
      <c r="AS19" s="214"/>
      <c r="AT19" s="214"/>
      <c r="AU19" s="214"/>
      <c r="AV19" s="214"/>
      <c r="AW19" s="214"/>
      <c r="AX19" s="214"/>
      <c r="AY19" s="214"/>
      <c r="AZ19" s="214"/>
      <c r="BA19" s="214"/>
      <c r="BB19" s="214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4"/>
      <c r="BS19" s="214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4"/>
      <c r="CJ19" s="214"/>
      <c r="CK19" s="214"/>
      <c r="CL19" s="214"/>
      <c r="CM19" s="214"/>
      <c r="CN19" s="214"/>
      <c r="CO19" s="214"/>
      <c r="CP19" s="214"/>
      <c r="CQ19" s="214"/>
      <c r="CR19" s="214"/>
      <c r="CS19" s="214"/>
      <c r="CT19" s="214"/>
      <c r="CU19" s="214"/>
      <c r="CV19" s="214"/>
      <c r="CW19" s="214"/>
      <c r="CX19" s="214"/>
      <c r="CY19" s="214"/>
      <c r="CZ19" s="214"/>
      <c r="DA19" s="214"/>
      <c r="DB19" s="214"/>
      <c r="DC19" s="214"/>
      <c r="DD19" s="214"/>
      <c r="DE19" s="214"/>
      <c r="DF19" s="214"/>
      <c r="DG19" s="215"/>
    </row>
    <row r="20" spans="1:111" ht="13.5" customHeight="1">
      <c r="A20" s="15"/>
      <c r="B20" s="239"/>
      <c r="C20" s="240"/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40"/>
      <c r="AB20" s="240"/>
      <c r="AC20" s="240"/>
      <c r="AD20" s="240"/>
      <c r="AE20" s="240"/>
      <c r="AF20" s="240"/>
      <c r="AG20" s="240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40"/>
      <c r="AZ20" s="240"/>
      <c r="BA20" s="240"/>
      <c r="BB20" s="240"/>
      <c r="BC20" s="240"/>
      <c r="BD20" s="240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240"/>
      <c r="BR20" s="240"/>
      <c r="BS20" s="240"/>
      <c r="BT20" s="240"/>
      <c r="BU20" s="240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0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C20" s="240"/>
      <c r="DD20" s="240"/>
      <c r="DE20" s="240"/>
      <c r="DF20" s="240"/>
      <c r="DG20" s="42"/>
    </row>
    <row r="21" spans="1:111" ht="13.5" customHeight="1">
      <c r="A21" s="43"/>
      <c r="B21" s="241" t="s">
        <v>51</v>
      </c>
      <c r="C21" s="240"/>
      <c r="D21" s="240"/>
      <c r="E21" s="240"/>
      <c r="F21" s="240"/>
      <c r="G21" s="240"/>
      <c r="H21" s="240"/>
      <c r="I21" s="240"/>
      <c r="J21" s="240"/>
      <c r="K21" s="240"/>
      <c r="L21" s="240"/>
      <c r="M21" s="240"/>
      <c r="N21" s="240"/>
      <c r="O21" s="240"/>
      <c r="P21" s="240"/>
      <c r="Q21" s="240"/>
      <c r="R21" s="240"/>
      <c r="S21" s="240"/>
      <c r="T21" s="240"/>
      <c r="U21" s="240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C21" s="240"/>
      <c r="DD21" s="240"/>
      <c r="DE21" s="240"/>
      <c r="DF21" s="240"/>
      <c r="DG21" s="44"/>
    </row>
    <row r="22" spans="1:111" ht="13.5" customHeight="1">
      <c r="A22" s="15"/>
      <c r="B22" s="213"/>
      <c r="C22" s="214"/>
      <c r="D22" s="214"/>
      <c r="E22" s="214"/>
      <c r="F22" s="214"/>
      <c r="G22" s="214"/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214"/>
      <c r="AL22" s="21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214"/>
      <c r="AY22" s="214"/>
      <c r="AZ22" s="214"/>
      <c r="BA22" s="214"/>
      <c r="BB22" s="214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4"/>
      <c r="BS22" s="214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4"/>
      <c r="CJ22" s="214"/>
      <c r="CK22" s="214"/>
      <c r="CL22" s="214"/>
      <c r="CM22" s="214"/>
      <c r="CN22" s="214"/>
      <c r="CO22" s="214"/>
      <c r="CP22" s="214"/>
      <c r="CQ22" s="214"/>
      <c r="CR22" s="214"/>
      <c r="CS22" s="214"/>
      <c r="CT22" s="214"/>
      <c r="CU22" s="214"/>
      <c r="CV22" s="214"/>
      <c r="CW22" s="214"/>
      <c r="CX22" s="214"/>
      <c r="CY22" s="214"/>
      <c r="CZ22" s="214"/>
      <c r="DA22" s="214"/>
      <c r="DB22" s="214"/>
      <c r="DC22" s="214"/>
      <c r="DD22" s="214"/>
      <c r="DE22" s="214"/>
      <c r="DF22" s="214"/>
      <c r="DG22" s="42"/>
    </row>
    <row r="23" spans="1:111" ht="13.5" customHeight="1">
      <c r="A23" s="45"/>
      <c r="B23" s="241" t="s">
        <v>52</v>
      </c>
      <c r="C23" s="240"/>
      <c r="D23" s="240"/>
      <c r="E23" s="240"/>
      <c r="F23" s="240"/>
      <c r="G23" s="240"/>
      <c r="H23" s="240"/>
      <c r="I23" s="240"/>
      <c r="J23" s="240"/>
      <c r="K23" s="240"/>
      <c r="L23" s="240"/>
      <c r="M23" s="240"/>
      <c r="N23" s="240"/>
      <c r="O23" s="240"/>
      <c r="P23" s="240"/>
      <c r="Q23" s="240"/>
      <c r="R23" s="240"/>
      <c r="S23" s="240"/>
      <c r="T23" s="240"/>
      <c r="U23" s="240"/>
      <c r="V23" s="240"/>
      <c r="W23" s="240"/>
      <c r="X23" s="240"/>
      <c r="Y23" s="240"/>
      <c r="Z23" s="240"/>
      <c r="AA23" s="240"/>
      <c r="AB23" s="240"/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240"/>
      <c r="AQ23" s="240"/>
      <c r="AR23" s="240"/>
      <c r="AS23" s="240"/>
      <c r="AT23" s="240"/>
      <c r="AU23" s="240"/>
      <c r="AV23" s="240"/>
      <c r="AW23" s="240"/>
      <c r="AX23" s="240"/>
      <c r="AY23" s="240"/>
      <c r="AZ23" s="240"/>
      <c r="BA23" s="240"/>
      <c r="BB23" s="240"/>
      <c r="BC23" s="240"/>
      <c r="BD23" s="240"/>
      <c r="BE23" s="240"/>
      <c r="BF23" s="240"/>
      <c r="BG23" s="240"/>
      <c r="BH23" s="240"/>
      <c r="BI23" s="240"/>
      <c r="BJ23" s="240"/>
      <c r="BK23" s="240"/>
      <c r="BL23" s="240"/>
      <c r="BM23" s="240"/>
      <c r="BN23" s="240"/>
      <c r="BO23" s="240"/>
      <c r="BP23" s="240"/>
      <c r="BQ23" s="240"/>
      <c r="BR23" s="240"/>
      <c r="BS23" s="240"/>
      <c r="BT23" s="240"/>
      <c r="BU23" s="240"/>
      <c r="BV23" s="240"/>
      <c r="BW23" s="240"/>
      <c r="BX23" s="240"/>
      <c r="BY23" s="240"/>
      <c r="BZ23" s="240"/>
      <c r="CA23" s="240"/>
      <c r="CB23" s="240"/>
      <c r="CC23" s="240"/>
      <c r="CD23" s="240"/>
      <c r="CE23" s="240"/>
      <c r="CF23" s="240"/>
      <c r="CG23" s="240"/>
      <c r="CH23" s="240"/>
      <c r="CI23" s="240"/>
      <c r="CJ23" s="240"/>
      <c r="CK23" s="240"/>
      <c r="CL23" s="240"/>
      <c r="CM23" s="240"/>
      <c r="CN23" s="240"/>
      <c r="CO23" s="240"/>
      <c r="CP23" s="240"/>
      <c r="CQ23" s="240"/>
      <c r="CR23" s="240"/>
      <c r="CS23" s="240"/>
      <c r="CT23" s="240"/>
      <c r="CU23" s="240"/>
      <c r="CV23" s="240"/>
      <c r="CW23" s="240"/>
      <c r="CX23" s="240"/>
      <c r="CY23" s="240"/>
      <c r="CZ23" s="240"/>
      <c r="DA23" s="240"/>
      <c r="DB23" s="240"/>
      <c r="DC23" s="240"/>
      <c r="DD23" s="240"/>
      <c r="DE23" s="240"/>
      <c r="DF23" s="240"/>
      <c r="DG23" s="44"/>
    </row>
    <row r="24" spans="1:111" ht="13.5" customHeight="1">
      <c r="A24" s="228" t="s">
        <v>53</v>
      </c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4"/>
      <c r="BE24" s="214"/>
      <c r="BF24" s="214"/>
      <c r="BG24" s="214"/>
      <c r="BH24" s="214"/>
      <c r="BI24" s="214"/>
      <c r="BJ24" s="214"/>
      <c r="BK24" s="214"/>
      <c r="BL24" s="214"/>
      <c r="BM24" s="214"/>
      <c r="BN24" s="214"/>
      <c r="BO24" s="214"/>
      <c r="BP24" s="214"/>
      <c r="BQ24" s="214"/>
      <c r="BR24" s="214"/>
      <c r="BS24" s="214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4"/>
      <c r="CJ24" s="214"/>
      <c r="CK24" s="214"/>
      <c r="CL24" s="214"/>
      <c r="CM24" s="214"/>
      <c r="CN24" s="214"/>
      <c r="CO24" s="214"/>
      <c r="CP24" s="214"/>
      <c r="CQ24" s="214"/>
      <c r="CR24" s="214"/>
      <c r="CS24" s="214"/>
      <c r="CT24" s="214"/>
      <c r="CU24" s="214"/>
      <c r="CV24" s="214"/>
      <c r="CW24" s="214"/>
      <c r="CX24" s="214"/>
      <c r="CY24" s="214"/>
      <c r="CZ24" s="214"/>
      <c r="DA24" s="214"/>
      <c r="DB24" s="214"/>
      <c r="DC24" s="214"/>
      <c r="DD24" s="214"/>
      <c r="DE24" s="214"/>
      <c r="DF24" s="214"/>
      <c r="DG24" s="215"/>
    </row>
    <row r="25" spans="1:111" ht="12.75">
      <c r="A25" s="15"/>
      <c r="B25" s="242" t="s">
        <v>54</v>
      </c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  <c r="AZ25" s="214"/>
      <c r="BA25" s="214"/>
      <c r="BB25" s="214"/>
      <c r="BC25" s="243"/>
      <c r="BD25" s="42"/>
      <c r="BE25" s="17"/>
      <c r="BF25" s="244"/>
      <c r="BG25" s="214"/>
      <c r="BH25" s="214"/>
      <c r="BI25" s="214"/>
      <c r="BJ25" s="214"/>
      <c r="BK25" s="214"/>
      <c r="BL25" s="214"/>
      <c r="BM25" s="214"/>
      <c r="BN25" s="214"/>
      <c r="BO25" s="214"/>
      <c r="BP25" s="214"/>
      <c r="BQ25" s="214"/>
      <c r="BR25" s="214"/>
      <c r="BS25" s="214"/>
      <c r="BT25" s="214"/>
      <c r="BU25" s="214"/>
      <c r="BV25" s="214"/>
      <c r="BW25" s="214"/>
      <c r="BX25" s="214"/>
      <c r="BY25" s="214"/>
      <c r="BZ25" s="214"/>
      <c r="CA25" s="214"/>
      <c r="CB25" s="214"/>
      <c r="CC25" s="214"/>
      <c r="CD25" s="214"/>
      <c r="CE25" s="214"/>
      <c r="CF25" s="214"/>
      <c r="CG25" s="214"/>
      <c r="CH25" s="214"/>
      <c r="CI25" s="214"/>
      <c r="CJ25" s="214"/>
      <c r="CK25" s="214"/>
      <c r="CL25" s="214"/>
      <c r="CM25" s="214"/>
      <c r="CN25" s="214"/>
      <c r="CO25" s="214"/>
      <c r="CP25" s="214"/>
      <c r="CQ25" s="214"/>
      <c r="CR25" s="214"/>
      <c r="CS25" s="214"/>
      <c r="CT25" s="214"/>
      <c r="CU25" s="214"/>
      <c r="CV25" s="214"/>
      <c r="CW25" s="214"/>
      <c r="CX25" s="214"/>
      <c r="CY25" s="214"/>
      <c r="CZ25" s="214"/>
      <c r="DA25" s="214"/>
      <c r="DB25" s="214"/>
      <c r="DC25" s="214"/>
      <c r="DD25" s="214"/>
      <c r="DE25" s="214"/>
      <c r="DF25" s="214"/>
      <c r="DG25" s="42"/>
    </row>
    <row r="26" spans="1:111" ht="19.5" customHeight="1">
      <c r="A26" s="39"/>
      <c r="B26" s="245" t="s">
        <v>55</v>
      </c>
      <c r="C26" s="240"/>
      <c r="D26" s="240"/>
      <c r="E26" s="240"/>
      <c r="F26" s="240"/>
      <c r="G26" s="240"/>
      <c r="H26" s="240"/>
      <c r="I26" s="240"/>
      <c r="J26" s="240"/>
      <c r="K26" s="240"/>
      <c r="L26" s="240"/>
      <c r="M26" s="240"/>
      <c r="N26" s="240"/>
      <c r="O26" s="240"/>
      <c r="P26" s="240"/>
      <c r="Q26" s="240"/>
      <c r="R26" s="240"/>
      <c r="S26" s="240"/>
      <c r="T26" s="240"/>
      <c r="U26" s="240"/>
      <c r="V26" s="240"/>
      <c r="W26" s="240"/>
      <c r="X26" s="240"/>
      <c r="Y26" s="240"/>
      <c r="Z26" s="240"/>
      <c r="AA26" s="240"/>
      <c r="AB26" s="240"/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36"/>
      <c r="BE26" s="37"/>
      <c r="BF26" s="245" t="s">
        <v>56</v>
      </c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40"/>
    </row>
    <row r="27" spans="1:111" ht="12.75">
      <c r="A27" s="15"/>
      <c r="B27" s="246" t="s">
        <v>57</v>
      </c>
      <c r="C27" s="240"/>
      <c r="D27" s="240"/>
      <c r="E27" s="240"/>
      <c r="F27" s="240"/>
      <c r="G27" s="240"/>
      <c r="H27" s="240"/>
      <c r="I27" s="240"/>
      <c r="J27" s="240"/>
      <c r="K27" s="240"/>
      <c r="L27" s="240"/>
      <c r="M27" s="240"/>
      <c r="N27" s="240"/>
      <c r="O27" s="240"/>
      <c r="P27" s="240"/>
      <c r="Q27" s="240"/>
      <c r="R27" s="240"/>
      <c r="S27" s="240"/>
      <c r="T27" s="240"/>
      <c r="U27" s="240"/>
      <c r="V27" s="240"/>
      <c r="W27" s="240"/>
      <c r="X27" s="240"/>
      <c r="Y27" s="240"/>
      <c r="Z27" s="240"/>
      <c r="AA27" s="240"/>
      <c r="AB27" s="240"/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42"/>
    </row>
    <row r="28" spans="1:111" ht="19.5" customHeight="1">
      <c r="A28" s="43"/>
      <c r="B28" s="247" t="s">
        <v>58</v>
      </c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4"/>
      <c r="BE28" s="214"/>
      <c r="BF28" s="214"/>
      <c r="BG28" s="214"/>
      <c r="BH28" s="214"/>
      <c r="BI28" s="214"/>
      <c r="BJ28" s="214"/>
      <c r="BK28" s="214"/>
      <c r="BL28" s="214"/>
      <c r="BM28" s="214"/>
      <c r="BN28" s="214"/>
      <c r="BO28" s="214"/>
      <c r="BP28" s="214"/>
      <c r="BQ28" s="214"/>
      <c r="BR28" s="214"/>
      <c r="BS28" s="214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4"/>
      <c r="CJ28" s="214"/>
      <c r="CK28" s="214"/>
      <c r="CL28" s="214"/>
      <c r="CM28" s="214"/>
      <c r="CN28" s="214"/>
      <c r="CO28" s="214"/>
      <c r="CP28" s="214"/>
      <c r="CQ28" s="214"/>
      <c r="CR28" s="214"/>
      <c r="CS28" s="214"/>
      <c r="CT28" s="214"/>
      <c r="CU28" s="214"/>
      <c r="CV28" s="214"/>
      <c r="CW28" s="214"/>
      <c r="CX28" s="214"/>
      <c r="CY28" s="214"/>
      <c r="CZ28" s="214"/>
      <c r="DA28" s="214"/>
      <c r="DB28" s="214"/>
      <c r="DC28" s="214"/>
      <c r="DD28" s="214"/>
      <c r="DE28" s="214"/>
      <c r="DF28" s="214"/>
      <c r="DG28" s="44"/>
    </row>
    <row r="29" spans="1:111" ht="7.5" customHeight="1">
      <c r="A29" s="15"/>
      <c r="B29" s="248"/>
      <c r="C29" s="240"/>
      <c r="D29" s="240"/>
      <c r="E29" s="240"/>
      <c r="F29" s="240"/>
      <c r="G29" s="240"/>
      <c r="H29" s="240"/>
      <c r="I29" s="240"/>
      <c r="J29" s="240"/>
      <c r="K29" s="240"/>
      <c r="L29" s="240"/>
      <c r="M29" s="240"/>
      <c r="N29" s="240"/>
      <c r="O29" s="240"/>
      <c r="P29" s="240"/>
      <c r="Q29" s="240"/>
      <c r="R29" s="240"/>
      <c r="S29" s="240"/>
      <c r="T29" s="240"/>
      <c r="U29" s="240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42"/>
      <c r="BE29" s="17"/>
      <c r="BF29" s="248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42"/>
    </row>
    <row r="30" spans="1:111" ht="19.5" customHeight="1">
      <c r="A30" s="39"/>
      <c r="B30" s="245" t="s">
        <v>59</v>
      </c>
      <c r="C30" s="240"/>
      <c r="D30" s="240"/>
      <c r="E30" s="240"/>
      <c r="F30" s="240"/>
      <c r="G30" s="240"/>
      <c r="H30" s="240"/>
      <c r="I30" s="240"/>
      <c r="J30" s="240"/>
      <c r="K30" s="240"/>
      <c r="L30" s="240"/>
      <c r="M30" s="240"/>
      <c r="N30" s="240"/>
      <c r="O30" s="240"/>
      <c r="P30" s="240"/>
      <c r="Q30" s="240"/>
      <c r="R30" s="240"/>
      <c r="S30" s="240"/>
      <c r="T30" s="240"/>
      <c r="U30" s="240"/>
      <c r="V30" s="240"/>
      <c r="W30" s="240"/>
      <c r="X30" s="240"/>
      <c r="Y30" s="240"/>
      <c r="Z30" s="240"/>
      <c r="AA30" s="240"/>
      <c r="AB30" s="240"/>
      <c r="AC30" s="240"/>
      <c r="AD30" s="240"/>
      <c r="AE30" s="240"/>
      <c r="AF30" s="240"/>
      <c r="AG30" s="240"/>
      <c r="AH30" s="240"/>
      <c r="AI30" s="240"/>
      <c r="AJ30" s="240"/>
      <c r="AK30" s="240"/>
      <c r="AL30" s="240"/>
      <c r="AM30" s="240"/>
      <c r="AN30" s="240"/>
      <c r="AO30" s="240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47"/>
      <c r="BE30" s="48"/>
      <c r="BF30" s="245" t="s">
        <v>60</v>
      </c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40"/>
    </row>
    <row r="31" spans="1:111" ht="12.75">
      <c r="A31" s="228" t="s">
        <v>61</v>
      </c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4"/>
      <c r="BS31" s="214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4"/>
      <c r="CJ31" s="214"/>
      <c r="CK31" s="214"/>
      <c r="CL31" s="214"/>
      <c r="CM31" s="214"/>
      <c r="CN31" s="214"/>
      <c r="CO31" s="214"/>
      <c r="CP31" s="214"/>
      <c r="CQ31" s="214"/>
      <c r="CR31" s="214"/>
      <c r="CS31" s="214"/>
      <c r="CT31" s="214"/>
      <c r="CU31" s="214"/>
      <c r="CV31" s="214"/>
      <c r="CW31" s="214"/>
      <c r="CX31" s="214"/>
      <c r="CY31" s="214"/>
      <c r="CZ31" s="214"/>
      <c r="DA31" s="214"/>
      <c r="DB31" s="214"/>
      <c r="DC31" s="214"/>
      <c r="DD31" s="214"/>
      <c r="DE31" s="214"/>
      <c r="DF31" s="214"/>
      <c r="DG31" s="215"/>
    </row>
    <row r="32" spans="1:111" ht="7.5" customHeight="1">
      <c r="A32" s="15"/>
      <c r="B32" s="249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8"/>
      <c r="V32" s="218"/>
      <c r="W32" s="218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8"/>
      <c r="AI32" s="218"/>
      <c r="AJ32" s="218"/>
      <c r="AK32" s="218"/>
      <c r="AL32" s="218"/>
      <c r="AM32" s="218"/>
      <c r="AN32" s="218"/>
      <c r="AO32" s="218"/>
      <c r="AP32" s="218"/>
      <c r="AQ32" s="218"/>
      <c r="AR32" s="218"/>
      <c r="AS32" s="218"/>
      <c r="AT32" s="218"/>
      <c r="AU32" s="218"/>
      <c r="AV32" s="218"/>
      <c r="AW32" s="218"/>
      <c r="AX32" s="218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8"/>
      <c r="BP32" s="218"/>
      <c r="BQ32" s="218"/>
      <c r="BR32" s="218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8"/>
      <c r="CJ32" s="218"/>
      <c r="CK32" s="218"/>
      <c r="CL32" s="218"/>
      <c r="CM32" s="218"/>
      <c r="CN32" s="218"/>
      <c r="CO32" s="218"/>
      <c r="CP32" s="218"/>
      <c r="CQ32" s="218"/>
      <c r="CR32" s="218"/>
      <c r="CS32" s="218"/>
      <c r="CT32" s="218"/>
      <c r="CU32" s="218"/>
      <c r="CV32" s="218"/>
      <c r="CW32" s="218"/>
      <c r="CX32" s="218"/>
      <c r="CY32" s="218"/>
      <c r="CZ32" s="218"/>
      <c r="DA32" s="218"/>
      <c r="DB32" s="218"/>
      <c r="DC32" s="218"/>
      <c r="DD32" s="218"/>
      <c r="DE32" s="218"/>
      <c r="DF32" s="218"/>
      <c r="DG32" s="42"/>
    </row>
    <row r="33" spans="1:111" ht="12.75">
      <c r="A33" s="43"/>
      <c r="B33" s="247" t="s">
        <v>62</v>
      </c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214"/>
      <c r="AZ33" s="214"/>
      <c r="BA33" s="214"/>
      <c r="BB33" s="214"/>
      <c r="BC33" s="214"/>
      <c r="BD33" s="214"/>
      <c r="BE33" s="214"/>
      <c r="BF33" s="214"/>
      <c r="BG33" s="214"/>
      <c r="BH33" s="214"/>
      <c r="BI33" s="214"/>
      <c r="BJ33" s="214"/>
      <c r="BK33" s="214"/>
      <c r="BL33" s="214"/>
      <c r="BM33" s="214"/>
      <c r="BN33" s="214"/>
      <c r="BO33" s="214"/>
      <c r="BP33" s="214"/>
      <c r="BQ33" s="214"/>
      <c r="BR33" s="214"/>
      <c r="BS33" s="214"/>
      <c r="BT33" s="214"/>
      <c r="BU33" s="214"/>
      <c r="BV33" s="214"/>
      <c r="BW33" s="214"/>
      <c r="BX33" s="214"/>
      <c r="BY33" s="214"/>
      <c r="BZ33" s="214"/>
      <c r="CA33" s="214"/>
      <c r="CB33" s="214"/>
      <c r="CC33" s="214"/>
      <c r="CD33" s="214"/>
      <c r="CE33" s="214"/>
      <c r="CF33" s="214"/>
      <c r="CG33" s="214"/>
      <c r="CH33" s="214"/>
      <c r="CI33" s="214"/>
      <c r="CJ33" s="214"/>
      <c r="CK33" s="214"/>
      <c r="CL33" s="214"/>
      <c r="CM33" s="214"/>
      <c r="CN33" s="214"/>
      <c r="CO33" s="214"/>
      <c r="CP33" s="214"/>
      <c r="CQ33" s="214"/>
      <c r="CR33" s="214"/>
      <c r="CS33" s="214"/>
      <c r="CT33" s="214"/>
      <c r="CU33" s="214"/>
      <c r="CV33" s="214"/>
      <c r="CW33" s="214"/>
      <c r="CX33" s="214"/>
      <c r="CY33" s="214"/>
      <c r="CZ33" s="214"/>
      <c r="DA33" s="214"/>
      <c r="DB33" s="214"/>
      <c r="DC33" s="214"/>
      <c r="DD33" s="214"/>
      <c r="DE33" s="214"/>
      <c r="DF33" s="214"/>
      <c r="DG33" s="44"/>
    </row>
    <row r="34" spans="1:111" ht="7.5" customHeight="1">
      <c r="A34" s="15"/>
      <c r="B34" s="250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214"/>
      <c r="AZ34" s="214"/>
      <c r="BA34" s="214"/>
      <c r="BB34" s="214"/>
      <c r="BC34" s="214"/>
      <c r="BD34" s="214"/>
      <c r="BE34" s="214"/>
      <c r="BF34" s="214"/>
      <c r="BG34" s="214"/>
      <c r="BH34" s="214"/>
      <c r="BI34" s="214"/>
      <c r="BJ34" s="214"/>
      <c r="BK34" s="214"/>
      <c r="BL34" s="214"/>
      <c r="BM34" s="214"/>
      <c r="BN34" s="214"/>
      <c r="BO34" s="214"/>
      <c r="BP34" s="214"/>
      <c r="BQ34" s="214"/>
      <c r="BR34" s="214"/>
      <c r="BS34" s="214"/>
      <c r="BT34" s="214"/>
      <c r="BU34" s="214"/>
      <c r="BV34" s="214"/>
      <c r="BW34" s="214"/>
      <c r="BX34" s="214"/>
      <c r="BY34" s="214"/>
      <c r="BZ34" s="214"/>
      <c r="CA34" s="214"/>
      <c r="CB34" s="214"/>
      <c r="CC34" s="214"/>
      <c r="CD34" s="214"/>
      <c r="CE34" s="214"/>
      <c r="CF34" s="214"/>
      <c r="CG34" s="214"/>
      <c r="CH34" s="214"/>
      <c r="CI34" s="214"/>
      <c r="CJ34" s="214"/>
      <c r="CK34" s="214"/>
      <c r="CL34" s="214"/>
      <c r="CM34" s="214"/>
      <c r="CN34" s="214"/>
      <c r="CO34" s="214"/>
      <c r="CP34" s="214"/>
      <c r="CQ34" s="214"/>
      <c r="CR34" s="214"/>
      <c r="CS34" s="214"/>
      <c r="CT34" s="214"/>
      <c r="CU34" s="214"/>
      <c r="CV34" s="214"/>
      <c r="CW34" s="214"/>
      <c r="CX34" s="214"/>
      <c r="CY34" s="214"/>
      <c r="CZ34" s="214"/>
      <c r="DA34" s="214"/>
      <c r="DB34" s="214"/>
      <c r="DC34" s="214"/>
      <c r="DD34" s="214"/>
      <c r="DE34" s="214"/>
      <c r="DF34" s="214"/>
      <c r="DG34" s="42"/>
    </row>
    <row r="35" spans="1:111" ht="12.75">
      <c r="A35" s="43"/>
      <c r="B35" s="247" t="s">
        <v>63</v>
      </c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214"/>
      <c r="AZ35" s="214"/>
      <c r="BA35" s="214"/>
      <c r="BB35" s="214"/>
      <c r="BC35" s="214"/>
      <c r="BD35" s="214"/>
      <c r="BE35" s="214"/>
      <c r="BF35" s="214"/>
      <c r="BG35" s="214"/>
      <c r="BH35" s="214"/>
      <c r="BI35" s="214"/>
      <c r="BJ35" s="214"/>
      <c r="BK35" s="214"/>
      <c r="BL35" s="214"/>
      <c r="BM35" s="214"/>
      <c r="BN35" s="214"/>
      <c r="BO35" s="214"/>
      <c r="BP35" s="214"/>
      <c r="BQ35" s="214"/>
      <c r="BR35" s="214"/>
      <c r="BS35" s="214"/>
      <c r="BT35" s="214"/>
      <c r="BU35" s="214"/>
      <c r="BV35" s="214"/>
      <c r="BW35" s="214"/>
      <c r="BX35" s="214"/>
      <c r="BY35" s="214"/>
      <c r="BZ35" s="214"/>
      <c r="CA35" s="214"/>
      <c r="CB35" s="214"/>
      <c r="CC35" s="214"/>
      <c r="CD35" s="214"/>
      <c r="CE35" s="214"/>
      <c r="CF35" s="214"/>
      <c r="CG35" s="214"/>
      <c r="CH35" s="214"/>
      <c r="CI35" s="214"/>
      <c r="CJ35" s="214"/>
      <c r="CK35" s="214"/>
      <c r="CL35" s="214"/>
      <c r="CM35" s="214"/>
      <c r="CN35" s="214"/>
      <c r="CO35" s="214"/>
      <c r="CP35" s="214"/>
      <c r="CQ35" s="214"/>
      <c r="CR35" s="214"/>
      <c r="CS35" s="214"/>
      <c r="CT35" s="214"/>
      <c r="CU35" s="214"/>
      <c r="CV35" s="214"/>
      <c r="CW35" s="214"/>
      <c r="CX35" s="214"/>
      <c r="CY35" s="214"/>
      <c r="CZ35" s="214"/>
      <c r="DA35" s="214"/>
      <c r="DB35" s="214"/>
      <c r="DC35" s="214"/>
      <c r="DD35" s="214"/>
      <c r="DE35" s="214"/>
      <c r="DF35" s="214"/>
      <c r="DG35" s="44"/>
    </row>
    <row r="36" spans="1:111" ht="7.5" customHeight="1">
      <c r="A36" s="15"/>
      <c r="B36" s="248"/>
      <c r="C36" s="240"/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40"/>
      <c r="AB36" s="240"/>
      <c r="AC36" s="240"/>
      <c r="AD36" s="240"/>
      <c r="AE36" s="240"/>
      <c r="AF36" s="240"/>
      <c r="AG36" s="240"/>
      <c r="AH36" s="240"/>
      <c r="AI36" s="240"/>
      <c r="AJ36" s="240"/>
      <c r="AK36" s="240"/>
      <c r="AL36" s="240"/>
      <c r="AM36" s="240"/>
      <c r="AN36" s="240"/>
      <c r="AO36" s="240"/>
      <c r="AP36" s="240"/>
      <c r="AQ36" s="240"/>
      <c r="AR36" s="240"/>
      <c r="AS36" s="240"/>
      <c r="AT36" s="240"/>
      <c r="AU36" s="240"/>
      <c r="AV36" s="240"/>
      <c r="AW36" s="240"/>
      <c r="AX36" s="240"/>
      <c r="AY36" s="240"/>
      <c r="AZ36" s="240"/>
      <c r="BA36" s="240"/>
      <c r="BB36" s="240"/>
      <c r="BC36" s="240"/>
      <c r="BD36" s="240"/>
      <c r="BE36" s="240"/>
      <c r="BF36" s="240"/>
      <c r="BG36" s="240"/>
      <c r="BH36" s="240"/>
      <c r="BI36" s="240"/>
      <c r="BJ36" s="240"/>
      <c r="BK36" s="240"/>
      <c r="BL36" s="240"/>
      <c r="BM36" s="240"/>
      <c r="BN36" s="240"/>
      <c r="BO36" s="240"/>
      <c r="BP36" s="240"/>
      <c r="BQ36" s="240"/>
      <c r="BR36" s="240"/>
      <c r="BS36" s="240"/>
      <c r="BT36" s="240"/>
      <c r="BU36" s="240"/>
      <c r="BV36" s="240"/>
      <c r="BW36" s="240"/>
      <c r="BX36" s="240"/>
      <c r="BY36" s="240"/>
      <c r="BZ36" s="240"/>
      <c r="CA36" s="240"/>
      <c r="CB36" s="240"/>
      <c r="CC36" s="240"/>
      <c r="CD36" s="240"/>
      <c r="CE36" s="240"/>
      <c r="CF36" s="240"/>
      <c r="CG36" s="240"/>
      <c r="CH36" s="240"/>
      <c r="CI36" s="240"/>
      <c r="CJ36" s="240"/>
      <c r="CK36" s="240"/>
      <c r="CL36" s="240"/>
      <c r="CM36" s="240"/>
      <c r="CN36" s="240"/>
      <c r="CO36" s="240"/>
      <c r="CP36" s="240"/>
      <c r="CQ36" s="240"/>
      <c r="CR36" s="240"/>
      <c r="CS36" s="240"/>
      <c r="CT36" s="240"/>
      <c r="CU36" s="240"/>
      <c r="CV36" s="240"/>
      <c r="CW36" s="240"/>
      <c r="CX36" s="240"/>
      <c r="CY36" s="240"/>
      <c r="CZ36" s="240"/>
      <c r="DA36" s="240"/>
      <c r="DB36" s="240"/>
      <c r="DC36" s="240"/>
      <c r="DD36" s="240"/>
      <c r="DE36" s="240"/>
      <c r="DF36" s="240"/>
      <c r="DG36" s="42"/>
    </row>
    <row r="37" spans="1:111" ht="12.75">
      <c r="A37" s="43"/>
      <c r="B37" s="247" t="s">
        <v>64</v>
      </c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214"/>
      <c r="AZ37" s="214"/>
      <c r="BA37" s="214"/>
      <c r="BB37" s="214"/>
      <c r="BC37" s="214"/>
      <c r="BD37" s="214"/>
      <c r="BE37" s="214"/>
      <c r="BF37" s="214"/>
      <c r="BG37" s="214"/>
      <c r="BH37" s="214"/>
      <c r="BI37" s="214"/>
      <c r="BJ37" s="214"/>
      <c r="BK37" s="214"/>
      <c r="BL37" s="214"/>
      <c r="BM37" s="214"/>
      <c r="BN37" s="214"/>
      <c r="BO37" s="214"/>
      <c r="BP37" s="214"/>
      <c r="BQ37" s="214"/>
      <c r="BR37" s="214"/>
      <c r="BS37" s="214"/>
      <c r="BT37" s="214"/>
      <c r="BU37" s="214"/>
      <c r="BV37" s="214"/>
      <c r="BW37" s="214"/>
      <c r="BX37" s="214"/>
      <c r="BY37" s="214"/>
      <c r="BZ37" s="214"/>
      <c r="CA37" s="214"/>
      <c r="CB37" s="214"/>
      <c r="CC37" s="214"/>
      <c r="CD37" s="214"/>
      <c r="CE37" s="214"/>
      <c r="CF37" s="214"/>
      <c r="CG37" s="214"/>
      <c r="CH37" s="214"/>
      <c r="CI37" s="214"/>
      <c r="CJ37" s="214"/>
      <c r="CK37" s="214"/>
      <c r="CL37" s="214"/>
      <c r="CM37" s="214"/>
      <c r="CN37" s="214"/>
      <c r="CO37" s="214"/>
      <c r="CP37" s="214"/>
      <c r="CQ37" s="214"/>
      <c r="CR37" s="214"/>
      <c r="CS37" s="214"/>
      <c r="CT37" s="214"/>
      <c r="CU37" s="214"/>
      <c r="CV37" s="214"/>
      <c r="CW37" s="214"/>
      <c r="CX37" s="214"/>
      <c r="CY37" s="214"/>
      <c r="CZ37" s="214"/>
      <c r="DA37" s="214"/>
      <c r="DB37" s="214"/>
      <c r="DC37" s="214"/>
      <c r="DD37" s="214"/>
      <c r="DE37" s="214"/>
      <c r="DF37" s="214"/>
      <c r="DG37" s="44"/>
    </row>
    <row r="38" spans="1:111" ht="12.75">
      <c r="A38" s="228" t="s">
        <v>65</v>
      </c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214"/>
      <c r="AZ38" s="214"/>
      <c r="BA38" s="214"/>
      <c r="BB38" s="214"/>
      <c r="BC38" s="214"/>
      <c r="BD38" s="214"/>
      <c r="BE38" s="214"/>
      <c r="BF38" s="214"/>
      <c r="BG38" s="214"/>
      <c r="BH38" s="214"/>
      <c r="BI38" s="214"/>
      <c r="BJ38" s="214"/>
      <c r="BK38" s="214"/>
      <c r="BL38" s="214"/>
      <c r="BM38" s="214"/>
      <c r="BN38" s="214"/>
      <c r="BO38" s="214"/>
      <c r="BP38" s="214"/>
      <c r="BQ38" s="214"/>
      <c r="BR38" s="214"/>
      <c r="BS38" s="214"/>
      <c r="BT38" s="214"/>
      <c r="BU38" s="214"/>
      <c r="BV38" s="214"/>
      <c r="BW38" s="214"/>
      <c r="BX38" s="214"/>
      <c r="BY38" s="214"/>
      <c r="BZ38" s="214"/>
      <c r="CA38" s="214"/>
      <c r="CB38" s="214"/>
      <c r="CC38" s="214"/>
      <c r="CD38" s="214"/>
      <c r="CE38" s="214"/>
      <c r="CF38" s="214"/>
      <c r="CG38" s="214"/>
      <c r="CH38" s="214"/>
      <c r="CI38" s="214"/>
      <c r="CJ38" s="214"/>
      <c r="CK38" s="214"/>
      <c r="CL38" s="214"/>
      <c r="CM38" s="214"/>
      <c r="CN38" s="214"/>
      <c r="CO38" s="214"/>
      <c r="CP38" s="214"/>
      <c r="CQ38" s="214"/>
      <c r="CR38" s="214"/>
      <c r="CS38" s="214"/>
      <c r="CT38" s="214"/>
      <c r="CU38" s="214"/>
      <c r="CV38" s="214"/>
      <c r="CW38" s="214"/>
      <c r="CX38" s="214"/>
      <c r="CY38" s="214"/>
      <c r="CZ38" s="214"/>
      <c r="DA38" s="214"/>
      <c r="DB38" s="214"/>
      <c r="DC38" s="214"/>
      <c r="DD38" s="214"/>
      <c r="DE38" s="214"/>
      <c r="DF38" s="214"/>
      <c r="DG38" s="215"/>
    </row>
    <row r="39" spans="1:111" ht="18" customHeight="1">
      <c r="A39" s="15"/>
      <c r="B39" s="250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214"/>
      <c r="AZ39" s="214"/>
      <c r="BA39" s="214"/>
      <c r="BB39" s="214"/>
      <c r="BC39" s="214"/>
      <c r="BD39" s="42"/>
      <c r="BE39" s="17"/>
      <c r="BF39" s="250"/>
      <c r="BG39" s="214"/>
      <c r="BH39" s="214"/>
      <c r="BI39" s="214"/>
      <c r="BJ39" s="214"/>
      <c r="BK39" s="214"/>
      <c r="BL39" s="214"/>
      <c r="BM39" s="214"/>
      <c r="BN39" s="214"/>
      <c r="BO39" s="214"/>
      <c r="BP39" s="214"/>
      <c r="BQ39" s="214"/>
      <c r="BR39" s="214"/>
      <c r="BS39" s="214"/>
      <c r="BT39" s="214"/>
      <c r="BU39" s="214"/>
      <c r="BV39" s="214"/>
      <c r="BW39" s="214"/>
      <c r="BX39" s="214"/>
      <c r="BY39" s="214"/>
      <c r="BZ39" s="214"/>
      <c r="CA39" s="214"/>
      <c r="CB39" s="214"/>
      <c r="CC39" s="214"/>
      <c r="CD39" s="214"/>
      <c r="CE39" s="214"/>
      <c r="CF39" s="214"/>
      <c r="CG39" s="214"/>
      <c r="CH39" s="214"/>
      <c r="CI39" s="214"/>
      <c r="CJ39" s="214"/>
      <c r="CK39" s="214"/>
      <c r="CL39" s="214"/>
      <c r="CM39" s="214"/>
      <c r="CN39" s="214"/>
      <c r="CO39" s="214"/>
      <c r="CP39" s="214"/>
      <c r="CQ39" s="214"/>
      <c r="CR39" s="214"/>
      <c r="CS39" s="214"/>
      <c r="CT39" s="214"/>
      <c r="CU39" s="214"/>
      <c r="CV39" s="214"/>
      <c r="CW39" s="214"/>
      <c r="CX39" s="214"/>
      <c r="CY39" s="214"/>
      <c r="CZ39" s="214"/>
      <c r="DA39" s="214"/>
      <c r="DB39" s="214"/>
      <c r="DC39" s="214"/>
      <c r="DD39" s="214"/>
      <c r="DE39" s="214"/>
      <c r="DF39" s="214"/>
      <c r="DG39" s="42"/>
    </row>
    <row r="40" spans="1:111" ht="12.75">
      <c r="A40" s="39"/>
      <c r="B40" s="245" t="s">
        <v>66</v>
      </c>
      <c r="C40" s="240"/>
      <c r="D40" s="240"/>
      <c r="E40" s="240"/>
      <c r="F40" s="240"/>
      <c r="G40" s="240"/>
      <c r="H40" s="240"/>
      <c r="I40" s="240"/>
      <c r="J40" s="240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0"/>
      <c r="AA40" s="240"/>
      <c r="AB40" s="240"/>
      <c r="AC40" s="240"/>
      <c r="AD40" s="240"/>
      <c r="AE40" s="240"/>
      <c r="AF40" s="240"/>
      <c r="AG40" s="240"/>
      <c r="AH40" s="240"/>
      <c r="AI40" s="240"/>
      <c r="AJ40" s="240"/>
      <c r="AK40" s="240"/>
      <c r="AL40" s="240"/>
      <c r="AM40" s="240"/>
      <c r="AN40" s="240"/>
      <c r="AO40" s="240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36"/>
      <c r="BE40" s="37"/>
      <c r="BF40" s="245" t="s">
        <v>67</v>
      </c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40"/>
    </row>
    <row r="41" spans="1:111" ht="18" customHeight="1">
      <c r="A41" s="15"/>
      <c r="B41" s="244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214"/>
      <c r="AZ41" s="214"/>
      <c r="BA41" s="214"/>
      <c r="BB41" s="214"/>
      <c r="BC41" s="214"/>
      <c r="BD41" s="42"/>
      <c r="BE41" s="17"/>
      <c r="BF41" s="244"/>
      <c r="BG41" s="214"/>
      <c r="BH41" s="214"/>
      <c r="BI41" s="214"/>
      <c r="BJ41" s="214"/>
      <c r="BK41" s="214"/>
      <c r="BL41" s="214"/>
      <c r="BM41" s="214"/>
      <c r="BN41" s="214"/>
      <c r="BO41" s="214"/>
      <c r="BP41" s="214"/>
      <c r="BQ41" s="214"/>
      <c r="BR41" s="214"/>
      <c r="BS41" s="214"/>
      <c r="BT41" s="214"/>
      <c r="BU41" s="214"/>
      <c r="BV41" s="214"/>
      <c r="BW41" s="214"/>
      <c r="BX41" s="214"/>
      <c r="BY41" s="214"/>
      <c r="BZ41" s="214"/>
      <c r="CA41" s="214"/>
      <c r="CB41" s="214"/>
      <c r="CC41" s="214"/>
      <c r="CD41" s="214"/>
      <c r="CE41" s="214"/>
      <c r="CF41" s="214"/>
      <c r="CG41" s="214"/>
      <c r="CH41" s="214"/>
      <c r="CI41" s="214"/>
      <c r="CJ41" s="214"/>
      <c r="CK41" s="214"/>
      <c r="CL41" s="214"/>
      <c r="CM41" s="214"/>
      <c r="CN41" s="214"/>
      <c r="CO41" s="214"/>
      <c r="CP41" s="214"/>
      <c r="CQ41" s="214"/>
      <c r="CR41" s="214"/>
      <c r="CS41" s="214"/>
      <c r="CT41" s="214"/>
      <c r="CU41" s="214"/>
      <c r="CV41" s="214"/>
      <c r="CW41" s="214"/>
      <c r="CX41" s="214"/>
      <c r="CY41" s="214"/>
      <c r="CZ41" s="214"/>
      <c r="DA41" s="214"/>
      <c r="DB41" s="214"/>
      <c r="DC41" s="214"/>
      <c r="DD41" s="214"/>
      <c r="DE41" s="214"/>
      <c r="DF41" s="214"/>
      <c r="DG41" s="42"/>
    </row>
    <row r="42" spans="1:111" ht="12.75">
      <c r="A42" s="39"/>
      <c r="B42" s="245" t="s">
        <v>68</v>
      </c>
      <c r="C42" s="240"/>
      <c r="D42" s="240"/>
      <c r="E42" s="240"/>
      <c r="F42" s="240"/>
      <c r="G42" s="240"/>
      <c r="H42" s="240"/>
      <c r="I42" s="240"/>
      <c r="J42" s="240"/>
      <c r="K42" s="240"/>
      <c r="L42" s="240"/>
      <c r="M42" s="240"/>
      <c r="N42" s="240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0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240"/>
      <c r="AO42" s="240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36"/>
      <c r="BE42" s="37"/>
      <c r="BF42" s="245" t="s">
        <v>69</v>
      </c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40"/>
    </row>
    <row r="43" spans="1:111" ht="12.75">
      <c r="A43" s="228" t="s">
        <v>70</v>
      </c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214"/>
      <c r="AZ43" s="214"/>
      <c r="BA43" s="214"/>
      <c r="BB43" s="214"/>
      <c r="BC43" s="214"/>
      <c r="BD43" s="214"/>
      <c r="BE43" s="214"/>
      <c r="BF43" s="214"/>
      <c r="BG43" s="214"/>
      <c r="BH43" s="214"/>
      <c r="BI43" s="214"/>
      <c r="BJ43" s="214"/>
      <c r="BK43" s="214"/>
      <c r="BL43" s="214"/>
      <c r="BM43" s="214"/>
      <c r="BN43" s="214"/>
      <c r="BO43" s="214"/>
      <c r="BP43" s="214"/>
      <c r="BQ43" s="214"/>
      <c r="BR43" s="214"/>
      <c r="BS43" s="214"/>
      <c r="BT43" s="214"/>
      <c r="BU43" s="214"/>
      <c r="BV43" s="214"/>
      <c r="BW43" s="214"/>
      <c r="BX43" s="214"/>
      <c r="BY43" s="214"/>
      <c r="BZ43" s="214"/>
      <c r="CA43" s="214"/>
      <c r="CB43" s="214"/>
      <c r="CC43" s="214"/>
      <c r="CD43" s="214"/>
      <c r="CE43" s="214"/>
      <c r="CF43" s="214"/>
      <c r="CG43" s="214"/>
      <c r="CH43" s="214"/>
      <c r="CI43" s="214"/>
      <c r="CJ43" s="214"/>
      <c r="CK43" s="214"/>
      <c r="CL43" s="214"/>
      <c r="CM43" s="214"/>
      <c r="CN43" s="214"/>
      <c r="CO43" s="214"/>
      <c r="CP43" s="214"/>
      <c r="CQ43" s="214"/>
      <c r="CR43" s="214"/>
      <c r="CS43" s="214"/>
      <c r="CT43" s="214"/>
      <c r="CU43" s="214"/>
      <c r="CV43" s="214"/>
      <c r="CW43" s="214"/>
      <c r="CX43" s="214"/>
      <c r="CY43" s="214"/>
      <c r="CZ43" s="214"/>
      <c r="DA43" s="214"/>
      <c r="DB43" s="214"/>
      <c r="DC43" s="214"/>
      <c r="DD43" s="214"/>
      <c r="DE43" s="214"/>
      <c r="DF43" s="214"/>
      <c r="DG43" s="215"/>
    </row>
    <row r="44" spans="1:111" ht="29.25" customHeight="1">
      <c r="A44" s="15"/>
      <c r="B44" s="248" t="s">
        <v>71</v>
      </c>
      <c r="C44" s="240"/>
      <c r="D44" s="240"/>
      <c r="E44" s="240"/>
      <c r="F44" s="240"/>
      <c r="G44" s="240"/>
      <c r="H44" s="240"/>
      <c r="I44" s="240"/>
      <c r="J44" s="240"/>
      <c r="K44" s="240"/>
      <c r="L44" s="240"/>
      <c r="M44" s="240"/>
      <c r="N44" s="240"/>
      <c r="O44" s="240"/>
      <c r="P44" s="240"/>
      <c r="Q44" s="240"/>
      <c r="R44" s="240"/>
      <c r="S44" s="240"/>
      <c r="T44" s="240"/>
      <c r="U44" s="240"/>
      <c r="V44" s="240"/>
      <c r="W44" s="240"/>
      <c r="X44" s="240"/>
      <c r="Y44" s="240"/>
      <c r="Z44" s="240"/>
      <c r="AA44" s="240"/>
      <c r="AB44" s="240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240"/>
      <c r="AO44" s="240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42"/>
      <c r="BE44" s="17"/>
      <c r="BF44" s="248" t="s">
        <v>72</v>
      </c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42"/>
    </row>
    <row r="45" spans="1:111" ht="25.5" customHeight="1">
      <c r="A45" s="39"/>
      <c r="B45" s="245" t="s">
        <v>73</v>
      </c>
      <c r="C45" s="240"/>
      <c r="D45" s="240"/>
      <c r="E45" s="240"/>
      <c r="F45" s="240"/>
      <c r="G45" s="240"/>
      <c r="H45" s="240"/>
      <c r="I45" s="240"/>
      <c r="J45" s="240"/>
      <c r="K45" s="240"/>
      <c r="L45" s="240"/>
      <c r="M45" s="240"/>
      <c r="N45" s="240"/>
      <c r="O45" s="240"/>
      <c r="P45" s="240"/>
      <c r="Q45" s="240"/>
      <c r="R45" s="240"/>
      <c r="S45" s="240"/>
      <c r="T45" s="240"/>
      <c r="U45" s="240"/>
      <c r="V45" s="240"/>
      <c r="W45" s="240"/>
      <c r="X45" s="240"/>
      <c r="Y45" s="240"/>
      <c r="Z45" s="240"/>
      <c r="AA45" s="240"/>
      <c r="AB45" s="240"/>
      <c r="AC45" s="240"/>
      <c r="AD45" s="240"/>
      <c r="AE45" s="240"/>
      <c r="AF45" s="240"/>
      <c r="AG45" s="240"/>
      <c r="AH45" s="240"/>
      <c r="AI45" s="240"/>
      <c r="AJ45" s="240"/>
      <c r="AK45" s="240"/>
      <c r="AL45" s="240"/>
      <c r="AM45" s="240"/>
      <c r="AN45" s="240"/>
      <c r="AO45" s="240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36"/>
      <c r="BE45" s="37"/>
      <c r="BF45" s="245" t="s">
        <v>74</v>
      </c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40"/>
    </row>
    <row r="46" spans="1:111" ht="12.75">
      <c r="A46" s="228" t="s">
        <v>75</v>
      </c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214"/>
      <c r="AZ46" s="214"/>
      <c r="BA46" s="214"/>
      <c r="BB46" s="214"/>
      <c r="BC46" s="214"/>
      <c r="BD46" s="214"/>
      <c r="BE46" s="214"/>
      <c r="BF46" s="214"/>
      <c r="BG46" s="214"/>
      <c r="BH46" s="214"/>
      <c r="BI46" s="214"/>
      <c r="BJ46" s="214"/>
      <c r="BK46" s="214"/>
      <c r="BL46" s="214"/>
      <c r="BM46" s="214"/>
      <c r="BN46" s="214"/>
      <c r="BO46" s="214"/>
      <c r="BP46" s="214"/>
      <c r="BQ46" s="214"/>
      <c r="BR46" s="214"/>
      <c r="BS46" s="214"/>
      <c r="BT46" s="214"/>
      <c r="BU46" s="214"/>
      <c r="BV46" s="214"/>
      <c r="BW46" s="214"/>
      <c r="BX46" s="214"/>
      <c r="BY46" s="214"/>
      <c r="BZ46" s="214"/>
      <c r="CA46" s="214"/>
      <c r="CB46" s="214"/>
      <c r="CC46" s="214"/>
      <c r="CD46" s="214"/>
      <c r="CE46" s="214"/>
      <c r="CF46" s="214"/>
      <c r="CG46" s="214"/>
      <c r="CH46" s="214"/>
      <c r="CI46" s="214"/>
      <c r="CJ46" s="214"/>
      <c r="CK46" s="214"/>
      <c r="CL46" s="214"/>
      <c r="CM46" s="214"/>
      <c r="CN46" s="214"/>
      <c r="CO46" s="214"/>
      <c r="CP46" s="214"/>
      <c r="CQ46" s="214"/>
      <c r="CR46" s="214"/>
      <c r="CS46" s="214"/>
      <c r="CT46" s="214"/>
      <c r="CU46" s="214"/>
      <c r="CV46" s="214"/>
      <c r="CW46" s="214"/>
      <c r="CX46" s="214"/>
      <c r="CY46" s="214"/>
      <c r="CZ46" s="214"/>
      <c r="DA46" s="214"/>
      <c r="DB46" s="214"/>
      <c r="DC46" s="214"/>
      <c r="DD46" s="214"/>
      <c r="DE46" s="214"/>
      <c r="DF46" s="214"/>
      <c r="DG46" s="215"/>
    </row>
    <row r="47" spans="1:111" ht="19.5" customHeight="1">
      <c r="A47" s="15"/>
      <c r="B47" s="251" t="s">
        <v>76</v>
      </c>
      <c r="C47" s="240"/>
      <c r="D47" s="240"/>
      <c r="E47" s="240"/>
      <c r="F47" s="240"/>
      <c r="G47" s="240"/>
      <c r="H47" s="240"/>
      <c r="I47" s="240"/>
      <c r="J47" s="240"/>
      <c r="K47" s="240"/>
      <c r="L47" s="240"/>
      <c r="M47" s="240"/>
      <c r="N47" s="240"/>
      <c r="O47" s="240"/>
      <c r="P47" s="240"/>
      <c r="Q47" s="240"/>
      <c r="R47" s="240"/>
      <c r="S47" s="240"/>
      <c r="T47" s="240"/>
      <c r="U47" s="240"/>
      <c r="V47" s="240"/>
      <c r="W47" s="240"/>
      <c r="X47" s="240"/>
      <c r="Y47" s="240"/>
      <c r="Z47" s="240"/>
      <c r="AA47" s="240"/>
      <c r="AB47" s="240"/>
      <c r="AC47" s="240"/>
      <c r="AD47" s="240"/>
      <c r="AE47" s="240"/>
      <c r="AF47" s="240"/>
      <c r="AG47" s="240"/>
      <c r="AH47" s="240"/>
      <c r="AI47" s="240"/>
      <c r="AJ47" s="240"/>
      <c r="AK47" s="240"/>
      <c r="AL47" s="240"/>
      <c r="AM47" s="240"/>
      <c r="AN47" s="240"/>
      <c r="AO47" s="240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49"/>
      <c r="BE47" s="50"/>
      <c r="BF47" s="251" t="s">
        <v>16</v>
      </c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42"/>
    </row>
    <row r="48" spans="1:111" ht="12.75">
      <c r="A48" s="39"/>
      <c r="B48" s="245" t="s">
        <v>77</v>
      </c>
      <c r="C48" s="240"/>
      <c r="D48" s="240"/>
      <c r="E48" s="240"/>
      <c r="F48" s="240"/>
      <c r="G48" s="240"/>
      <c r="H48" s="240"/>
      <c r="I48" s="240"/>
      <c r="J48" s="240"/>
      <c r="K48" s="240"/>
      <c r="L48" s="240"/>
      <c r="M48" s="240"/>
      <c r="N48" s="240"/>
      <c r="O48" s="240"/>
      <c r="P48" s="240"/>
      <c r="Q48" s="240"/>
      <c r="R48" s="240"/>
      <c r="S48" s="240"/>
      <c r="T48" s="240"/>
      <c r="U48" s="240"/>
      <c r="V48" s="240"/>
      <c r="W48" s="240"/>
      <c r="X48" s="240"/>
      <c r="Y48" s="240"/>
      <c r="Z48" s="240"/>
      <c r="AA48" s="240"/>
      <c r="AB48" s="240"/>
      <c r="AC48" s="240"/>
      <c r="AD48" s="240"/>
      <c r="AE48" s="240"/>
      <c r="AF48" s="240"/>
      <c r="AG48" s="240"/>
      <c r="AH48" s="240"/>
      <c r="AI48" s="240"/>
      <c r="AJ48" s="240"/>
      <c r="AK48" s="240"/>
      <c r="AL48" s="240"/>
      <c r="AM48" s="240"/>
      <c r="AN48" s="240"/>
      <c r="AO48" s="240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36"/>
      <c r="BE48" s="37"/>
      <c r="BF48" s="245" t="s">
        <v>78</v>
      </c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40"/>
    </row>
    <row r="49" spans="1:111" ht="6.75" customHeight="1">
      <c r="A49" s="15"/>
      <c r="B49" s="248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  <c r="S49" s="240"/>
      <c r="T49" s="240"/>
      <c r="U49" s="240"/>
      <c r="V49" s="240"/>
      <c r="W49" s="240"/>
      <c r="X49" s="240"/>
      <c r="Y49" s="240"/>
      <c r="Z49" s="240"/>
      <c r="AA49" s="240"/>
      <c r="AB49" s="240"/>
      <c r="AC49" s="240"/>
      <c r="AD49" s="240"/>
      <c r="AE49" s="240"/>
      <c r="AF49" s="240"/>
      <c r="AG49" s="240"/>
      <c r="AH49" s="240"/>
      <c r="AI49" s="240"/>
      <c r="AJ49" s="240"/>
      <c r="AK49" s="240"/>
      <c r="AL49" s="240"/>
      <c r="AM49" s="240"/>
      <c r="AN49" s="240"/>
      <c r="AO49" s="240"/>
      <c r="AP49" s="240"/>
      <c r="AQ49" s="240"/>
      <c r="AR49" s="240"/>
      <c r="AS49" s="240"/>
      <c r="AT49" s="240"/>
      <c r="AU49" s="240"/>
      <c r="AV49" s="240"/>
      <c r="AW49" s="240"/>
      <c r="AX49" s="240"/>
      <c r="AY49" s="240"/>
      <c r="AZ49" s="240"/>
      <c r="BA49" s="240"/>
      <c r="BB49" s="240"/>
      <c r="BC49" s="240"/>
      <c r="BD49" s="240"/>
      <c r="BE49" s="240"/>
      <c r="BF49" s="240"/>
      <c r="BG49" s="240"/>
      <c r="BH49" s="240"/>
      <c r="BI49" s="240"/>
      <c r="BJ49" s="240"/>
      <c r="BK49" s="240"/>
      <c r="BL49" s="240"/>
      <c r="BM49" s="240"/>
      <c r="BN49" s="240"/>
      <c r="BO49" s="240"/>
      <c r="BP49" s="240"/>
      <c r="BQ49" s="240"/>
      <c r="BR49" s="240"/>
      <c r="BS49" s="240"/>
      <c r="BT49" s="240"/>
      <c r="BU49" s="240"/>
      <c r="BV49" s="240"/>
      <c r="BW49" s="240"/>
      <c r="BX49" s="240"/>
      <c r="BY49" s="240"/>
      <c r="BZ49" s="240"/>
      <c r="CA49" s="240"/>
      <c r="CB49" s="240"/>
      <c r="CC49" s="240"/>
      <c r="CD49" s="240"/>
      <c r="CE49" s="240"/>
      <c r="CF49" s="240"/>
      <c r="CG49" s="240"/>
      <c r="CH49" s="240"/>
      <c r="CI49" s="240"/>
      <c r="CJ49" s="240"/>
      <c r="CK49" s="240"/>
      <c r="CL49" s="240"/>
      <c r="CM49" s="240"/>
      <c r="CN49" s="240"/>
      <c r="CO49" s="240"/>
      <c r="CP49" s="240"/>
      <c r="CQ49" s="240"/>
      <c r="CR49" s="240"/>
      <c r="CS49" s="240"/>
      <c r="CT49" s="240"/>
      <c r="CU49" s="240"/>
      <c r="CV49" s="240"/>
      <c r="CW49" s="240"/>
      <c r="CX49" s="240"/>
      <c r="CY49" s="240"/>
      <c r="CZ49" s="240"/>
      <c r="DA49" s="240"/>
      <c r="DB49" s="240"/>
      <c r="DC49" s="240"/>
      <c r="DD49" s="240"/>
      <c r="DE49" s="240"/>
      <c r="DF49" s="240"/>
      <c r="DG49" s="42"/>
    </row>
    <row r="50" spans="1:111" ht="12.75">
      <c r="A50" s="21"/>
      <c r="B50" s="252" t="s">
        <v>79</v>
      </c>
      <c r="C50" s="233"/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  <c r="P50" s="233"/>
      <c r="Q50" s="233"/>
      <c r="R50" s="233"/>
      <c r="S50" s="233"/>
      <c r="T50" s="233"/>
      <c r="U50" s="233"/>
      <c r="V50" s="233"/>
      <c r="W50" s="233"/>
      <c r="X50" s="233"/>
      <c r="Y50" s="233"/>
      <c r="Z50" s="233"/>
      <c r="AA50" s="233"/>
      <c r="AB50" s="233"/>
      <c r="AC50" s="233"/>
      <c r="AD50" s="233"/>
      <c r="AE50" s="233"/>
      <c r="AF50" s="233"/>
      <c r="AG50" s="233"/>
      <c r="AH50" s="233"/>
      <c r="AI50" s="233"/>
      <c r="AJ50" s="233"/>
      <c r="AK50" s="233"/>
      <c r="AL50" s="233"/>
      <c r="AM50" s="233"/>
      <c r="AN50" s="233"/>
      <c r="AO50" s="233"/>
      <c r="AP50" s="233"/>
      <c r="AQ50" s="233"/>
      <c r="AR50" s="233"/>
      <c r="AS50" s="233"/>
      <c r="AT50" s="233"/>
      <c r="AU50" s="233"/>
      <c r="AV50" s="233"/>
      <c r="AW50" s="233"/>
      <c r="AX50" s="233"/>
      <c r="AY50" s="233"/>
      <c r="AZ50" s="233"/>
      <c r="BA50" s="233"/>
      <c r="BB50" s="233"/>
      <c r="BC50" s="233"/>
      <c r="BD50" s="233"/>
      <c r="BE50" s="233"/>
      <c r="BF50" s="233"/>
      <c r="BG50" s="233"/>
      <c r="BH50" s="233"/>
      <c r="BI50" s="233"/>
      <c r="BJ50" s="233"/>
      <c r="BK50" s="233"/>
      <c r="BL50" s="233"/>
      <c r="BM50" s="233"/>
      <c r="BN50" s="233"/>
      <c r="BO50" s="233"/>
      <c r="BP50" s="233"/>
      <c r="BQ50" s="233"/>
      <c r="BR50" s="233"/>
      <c r="BS50" s="233"/>
      <c r="BT50" s="233"/>
      <c r="BU50" s="233"/>
      <c r="BV50" s="233"/>
      <c r="BW50" s="233"/>
      <c r="BX50" s="233"/>
      <c r="BY50" s="233"/>
      <c r="BZ50" s="233"/>
      <c r="CA50" s="233"/>
      <c r="CB50" s="233"/>
      <c r="CC50" s="233"/>
      <c r="CD50" s="233"/>
      <c r="CE50" s="233"/>
      <c r="CF50" s="233"/>
      <c r="CG50" s="233"/>
      <c r="CH50" s="233"/>
      <c r="CI50" s="233"/>
      <c r="CJ50" s="233"/>
      <c r="CK50" s="233"/>
      <c r="CL50" s="233"/>
      <c r="CM50" s="233"/>
      <c r="CN50" s="233"/>
      <c r="CO50" s="233"/>
      <c r="CP50" s="233"/>
      <c r="CQ50" s="233"/>
      <c r="CR50" s="233"/>
      <c r="CS50" s="233"/>
      <c r="CT50" s="233"/>
      <c r="CU50" s="233"/>
      <c r="CV50" s="233"/>
      <c r="CW50" s="233"/>
      <c r="CX50" s="233"/>
      <c r="CY50" s="233"/>
      <c r="CZ50" s="233"/>
      <c r="DA50" s="233"/>
      <c r="DB50" s="233"/>
      <c r="DC50" s="233"/>
      <c r="DD50" s="233"/>
      <c r="DE50" s="233"/>
      <c r="DF50" s="233"/>
      <c r="DG50" s="51"/>
    </row>
    <row r="51" spans="1:111" ht="12.75">
      <c r="A51" s="21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253" t="s">
        <v>80</v>
      </c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09"/>
      <c r="BG51" s="209"/>
      <c r="BH51" s="209"/>
      <c r="BI51" s="209"/>
      <c r="BJ51" s="209"/>
      <c r="BK51" s="209"/>
      <c r="BL51" s="209"/>
      <c r="BM51" s="209"/>
      <c r="BN51" s="22"/>
      <c r="BO51" s="254"/>
      <c r="BP51" s="211"/>
      <c r="BQ51" s="211"/>
      <c r="BR51" s="212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51"/>
    </row>
    <row r="52" spans="1:111" ht="6.75" customHeight="1">
      <c r="A52" s="15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4"/>
    </row>
    <row r="53" spans="1:111" ht="6.75" customHeight="1">
      <c r="A53" s="15"/>
      <c r="B53" s="248"/>
      <c r="C53" s="240"/>
      <c r="D53" s="240"/>
      <c r="E53" s="240"/>
      <c r="F53" s="240"/>
      <c r="G53" s="240"/>
      <c r="H53" s="240"/>
      <c r="I53" s="240"/>
      <c r="J53" s="240"/>
      <c r="K53" s="240"/>
      <c r="L53" s="240"/>
      <c r="M53" s="240"/>
      <c r="N53" s="240"/>
      <c r="O53" s="240"/>
      <c r="P53" s="240"/>
      <c r="Q53" s="240"/>
      <c r="R53" s="240"/>
      <c r="S53" s="240"/>
      <c r="T53" s="240"/>
      <c r="U53" s="240"/>
      <c r="V53" s="240"/>
      <c r="W53" s="240"/>
      <c r="X53" s="240"/>
      <c r="Y53" s="240"/>
      <c r="Z53" s="240"/>
      <c r="AA53" s="240"/>
      <c r="AB53" s="240"/>
      <c r="AC53" s="240"/>
      <c r="AD53" s="240"/>
      <c r="AE53" s="240"/>
      <c r="AF53" s="240"/>
      <c r="AG53" s="240"/>
      <c r="AH53" s="240"/>
      <c r="AI53" s="240"/>
      <c r="AJ53" s="240"/>
      <c r="AK53" s="240"/>
      <c r="AL53" s="240"/>
      <c r="AM53" s="240"/>
      <c r="AN53" s="240"/>
      <c r="AO53" s="240"/>
      <c r="AP53" s="240"/>
      <c r="AQ53" s="240"/>
      <c r="AR53" s="240"/>
      <c r="AS53" s="240"/>
      <c r="AT53" s="240"/>
      <c r="AU53" s="240"/>
      <c r="AV53" s="240"/>
      <c r="AW53" s="240"/>
      <c r="AX53" s="240"/>
      <c r="AY53" s="240"/>
      <c r="AZ53" s="240"/>
      <c r="BA53" s="240"/>
      <c r="BB53" s="240"/>
      <c r="BC53" s="240"/>
      <c r="BD53" s="42"/>
      <c r="BE53" s="17"/>
      <c r="BF53" s="248"/>
      <c r="BG53" s="240"/>
      <c r="BH53" s="240"/>
      <c r="BI53" s="240"/>
      <c r="BJ53" s="240"/>
      <c r="BK53" s="240"/>
      <c r="BL53" s="240"/>
      <c r="BM53" s="240"/>
      <c r="BN53" s="240"/>
      <c r="BO53" s="240"/>
      <c r="BP53" s="240"/>
      <c r="BQ53" s="240"/>
      <c r="BR53" s="240"/>
      <c r="BS53" s="240"/>
      <c r="BT53" s="240"/>
      <c r="BU53" s="240"/>
      <c r="BV53" s="240"/>
      <c r="BW53" s="240"/>
      <c r="BX53" s="240"/>
      <c r="BY53" s="240"/>
      <c r="BZ53" s="240"/>
      <c r="CA53" s="240"/>
      <c r="CB53" s="240"/>
      <c r="CC53" s="240"/>
      <c r="CD53" s="240"/>
      <c r="CE53" s="240"/>
      <c r="CF53" s="240"/>
      <c r="CG53" s="240"/>
      <c r="CH53" s="240"/>
      <c r="CI53" s="240"/>
      <c r="CJ53" s="240"/>
      <c r="CK53" s="240"/>
      <c r="CL53" s="240"/>
      <c r="CM53" s="240"/>
      <c r="CN53" s="240"/>
      <c r="CO53" s="240"/>
      <c r="CP53" s="240"/>
      <c r="CQ53" s="240"/>
      <c r="CR53" s="240"/>
      <c r="CS53" s="240"/>
      <c r="CT53" s="240"/>
      <c r="CU53" s="240"/>
      <c r="CV53" s="240"/>
      <c r="CW53" s="240"/>
      <c r="CX53" s="240"/>
      <c r="CY53" s="240"/>
      <c r="CZ53" s="240"/>
      <c r="DA53" s="240"/>
      <c r="DB53" s="240"/>
      <c r="DC53" s="240"/>
      <c r="DD53" s="240"/>
      <c r="DE53" s="240"/>
      <c r="DF53" s="240"/>
      <c r="DG53" s="42"/>
    </row>
    <row r="54" spans="1:111" ht="12.75">
      <c r="A54" s="39"/>
      <c r="B54" s="245" t="s">
        <v>81</v>
      </c>
      <c r="C54" s="240"/>
      <c r="D54" s="240"/>
      <c r="E54" s="240"/>
      <c r="F54" s="240"/>
      <c r="G54" s="240"/>
      <c r="H54" s="240"/>
      <c r="I54" s="240"/>
      <c r="J54" s="240"/>
      <c r="K54" s="240"/>
      <c r="L54" s="240"/>
      <c r="M54" s="240"/>
      <c r="N54" s="240"/>
      <c r="O54" s="240"/>
      <c r="P54" s="240"/>
      <c r="Q54" s="240"/>
      <c r="R54" s="240"/>
      <c r="S54" s="240"/>
      <c r="T54" s="240"/>
      <c r="U54" s="240"/>
      <c r="V54" s="240"/>
      <c r="W54" s="240"/>
      <c r="X54" s="240"/>
      <c r="Y54" s="240"/>
      <c r="Z54" s="240"/>
      <c r="AA54" s="240"/>
      <c r="AB54" s="240"/>
      <c r="AC54" s="240"/>
      <c r="AD54" s="240"/>
      <c r="AE54" s="240"/>
      <c r="AF54" s="240"/>
      <c r="AG54" s="240"/>
      <c r="AH54" s="240"/>
      <c r="AI54" s="240"/>
      <c r="AJ54" s="240"/>
      <c r="AK54" s="240"/>
      <c r="AL54" s="240"/>
      <c r="AM54" s="240"/>
      <c r="AN54" s="240"/>
      <c r="AO54" s="240"/>
      <c r="AP54" s="240"/>
      <c r="AQ54" s="240"/>
      <c r="AR54" s="240"/>
      <c r="AS54" s="240"/>
      <c r="AT54" s="240"/>
      <c r="AU54" s="240"/>
      <c r="AV54" s="240"/>
      <c r="AW54" s="240"/>
      <c r="AX54" s="240"/>
      <c r="AY54" s="240"/>
      <c r="AZ54" s="240"/>
      <c r="BA54" s="240"/>
      <c r="BB54" s="240"/>
      <c r="BC54" s="240"/>
      <c r="BD54" s="36"/>
      <c r="BE54" s="37"/>
      <c r="BF54" s="245" t="s">
        <v>82</v>
      </c>
      <c r="BG54" s="240"/>
      <c r="BH54" s="240"/>
      <c r="BI54" s="240"/>
      <c r="BJ54" s="240"/>
      <c r="BK54" s="240"/>
      <c r="BL54" s="240"/>
      <c r="BM54" s="240"/>
      <c r="BN54" s="240"/>
      <c r="BO54" s="240"/>
      <c r="BP54" s="240"/>
      <c r="BQ54" s="240"/>
      <c r="BR54" s="240"/>
      <c r="BS54" s="240"/>
      <c r="BT54" s="240"/>
      <c r="BU54" s="240"/>
      <c r="BV54" s="240"/>
      <c r="BW54" s="240"/>
      <c r="BX54" s="240"/>
      <c r="BY54" s="240"/>
      <c r="BZ54" s="240"/>
      <c r="CA54" s="240"/>
      <c r="CB54" s="240"/>
      <c r="CC54" s="240"/>
      <c r="CD54" s="240"/>
      <c r="CE54" s="240"/>
      <c r="CF54" s="240"/>
      <c r="CG54" s="240"/>
      <c r="CH54" s="240"/>
      <c r="CI54" s="240"/>
      <c r="CJ54" s="240"/>
      <c r="CK54" s="240"/>
      <c r="CL54" s="240"/>
      <c r="CM54" s="240"/>
      <c r="CN54" s="240"/>
      <c r="CO54" s="240"/>
      <c r="CP54" s="240"/>
      <c r="CQ54" s="240"/>
      <c r="CR54" s="240"/>
      <c r="CS54" s="240"/>
      <c r="CT54" s="240"/>
      <c r="CU54" s="240"/>
      <c r="CV54" s="240"/>
      <c r="CW54" s="240"/>
      <c r="CX54" s="240"/>
      <c r="CY54" s="240"/>
      <c r="CZ54" s="240"/>
      <c r="DA54" s="240"/>
      <c r="DB54" s="240"/>
      <c r="DC54" s="240"/>
      <c r="DD54" s="240"/>
      <c r="DE54" s="240"/>
      <c r="DF54" s="240"/>
      <c r="DG54" s="40"/>
    </row>
    <row r="55" spans="1:111" ht="15" customHeight="1">
      <c r="A55" s="228" t="s">
        <v>83</v>
      </c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4"/>
      <c r="BS55" s="214"/>
      <c r="BT55" s="214"/>
      <c r="BU55" s="214"/>
      <c r="BV55" s="214"/>
      <c r="BW55" s="214"/>
      <c r="BX55" s="214"/>
      <c r="BY55" s="214"/>
      <c r="BZ55" s="214"/>
      <c r="CA55" s="214"/>
      <c r="CB55" s="214"/>
      <c r="CC55" s="214"/>
      <c r="CD55" s="214"/>
      <c r="CE55" s="214"/>
      <c r="CF55" s="214"/>
      <c r="CG55" s="214"/>
      <c r="CH55" s="214"/>
      <c r="CI55" s="214"/>
      <c r="CJ55" s="214"/>
      <c r="CK55" s="214"/>
      <c r="CL55" s="214"/>
      <c r="CM55" s="214"/>
      <c r="CN55" s="214"/>
      <c r="CO55" s="214"/>
      <c r="CP55" s="214"/>
      <c r="CQ55" s="214"/>
      <c r="CR55" s="214"/>
      <c r="CS55" s="214"/>
      <c r="CT55" s="214"/>
      <c r="CU55" s="214"/>
      <c r="CV55" s="214"/>
      <c r="CW55" s="214"/>
      <c r="CX55" s="214"/>
      <c r="CY55" s="214"/>
      <c r="CZ55" s="214"/>
      <c r="DA55" s="214"/>
      <c r="DB55" s="214"/>
      <c r="DC55" s="214"/>
      <c r="DD55" s="214"/>
      <c r="DE55" s="214"/>
      <c r="DF55" s="214"/>
      <c r="DG55" s="215"/>
    </row>
    <row r="56" spans="1:111" ht="12.75">
      <c r="A56" s="15"/>
      <c r="B56" s="255" t="s">
        <v>13</v>
      </c>
      <c r="C56" s="256"/>
      <c r="D56" s="256"/>
      <c r="E56" s="256"/>
      <c r="F56" s="256"/>
      <c r="G56" s="256"/>
      <c r="H56" s="256"/>
      <c r="I56" s="256"/>
      <c r="J56" s="256"/>
      <c r="K56" s="256"/>
      <c r="L56" s="256"/>
      <c r="M56" s="256"/>
      <c r="N56" s="256"/>
      <c r="O56" s="256"/>
      <c r="P56" s="256"/>
      <c r="Q56" s="256"/>
      <c r="R56" s="256"/>
      <c r="S56" s="256"/>
      <c r="T56" s="256"/>
      <c r="U56" s="256"/>
      <c r="V56" s="256"/>
      <c r="W56" s="256"/>
      <c r="X56" s="256"/>
      <c r="Y56" s="256"/>
      <c r="Z56" s="256"/>
      <c r="AA56" s="256"/>
      <c r="AB56" s="256"/>
      <c r="AC56" s="256"/>
      <c r="AD56" s="256"/>
      <c r="AE56" s="256"/>
      <c r="AF56" s="256"/>
      <c r="AG56" s="256"/>
      <c r="AH56" s="256"/>
      <c r="AI56" s="256"/>
      <c r="AJ56" s="256"/>
      <c r="AK56" s="256"/>
      <c r="AL56" s="256"/>
      <c r="AM56" s="256"/>
      <c r="AN56" s="256"/>
      <c r="AO56" s="256"/>
      <c r="AP56" s="256"/>
      <c r="AQ56" s="256"/>
      <c r="AR56" s="256"/>
      <c r="AS56" s="256"/>
      <c r="AT56" s="256"/>
      <c r="AU56" s="256"/>
      <c r="AV56" s="256"/>
      <c r="AW56" s="256"/>
      <c r="AX56" s="256"/>
      <c r="AY56" s="256"/>
      <c r="AZ56" s="256"/>
      <c r="BA56" s="256"/>
      <c r="BB56" s="256"/>
      <c r="BC56" s="256"/>
      <c r="BD56" s="256"/>
      <c r="BE56" s="256"/>
      <c r="BF56" s="256"/>
      <c r="BG56" s="256"/>
      <c r="BH56" s="256"/>
      <c r="BI56" s="256"/>
      <c r="BJ56" s="256"/>
      <c r="BK56" s="256"/>
      <c r="BL56" s="256"/>
      <c r="BM56" s="256"/>
      <c r="BN56" s="256"/>
      <c r="BO56" s="256"/>
      <c r="BP56" s="256"/>
      <c r="BQ56" s="256"/>
      <c r="BR56" s="256"/>
      <c r="BS56" s="256"/>
      <c r="BT56" s="256"/>
      <c r="BU56" s="256"/>
      <c r="BV56" s="256"/>
      <c r="BW56" s="256"/>
      <c r="BX56" s="256"/>
      <c r="BY56" s="256"/>
      <c r="BZ56" s="256"/>
      <c r="CA56" s="256"/>
      <c r="CB56" s="256"/>
      <c r="CC56" s="256"/>
      <c r="CD56" s="256"/>
      <c r="CE56" s="256"/>
      <c r="CF56" s="256"/>
      <c r="CG56" s="256"/>
      <c r="CH56" s="256"/>
      <c r="CI56" s="256"/>
      <c r="CJ56" s="256"/>
      <c r="CK56" s="256"/>
      <c r="CL56" s="256"/>
      <c r="CM56" s="256"/>
      <c r="CN56" s="256"/>
      <c r="CO56" s="256"/>
      <c r="CP56" s="256"/>
      <c r="CQ56" s="256"/>
      <c r="CR56" s="256"/>
      <c r="CS56" s="256"/>
      <c r="CT56" s="256"/>
      <c r="CU56" s="256"/>
      <c r="CV56" s="256"/>
      <c r="CW56" s="256"/>
      <c r="CX56" s="256"/>
      <c r="CY56" s="256"/>
      <c r="CZ56" s="256"/>
      <c r="DA56" s="256"/>
      <c r="DB56" s="256"/>
      <c r="DC56" s="256"/>
      <c r="DD56" s="256"/>
      <c r="DE56" s="256"/>
      <c r="DF56" s="257"/>
      <c r="DG56" s="42"/>
    </row>
    <row r="57" spans="1:111" ht="12.75">
      <c r="A57" s="45"/>
      <c r="B57" s="247" t="s">
        <v>84</v>
      </c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4"/>
      <c r="BJ57" s="214"/>
      <c r="BK57" s="214"/>
      <c r="BL57" s="214"/>
      <c r="BM57" s="214"/>
      <c r="BN57" s="214"/>
      <c r="BO57" s="214"/>
      <c r="BP57" s="214"/>
      <c r="BQ57" s="214"/>
      <c r="BR57" s="214"/>
      <c r="BS57" s="214"/>
      <c r="BT57" s="214"/>
      <c r="BU57" s="214"/>
      <c r="BV57" s="214"/>
      <c r="BW57" s="214"/>
      <c r="BX57" s="214"/>
      <c r="BY57" s="214"/>
      <c r="BZ57" s="214"/>
      <c r="CA57" s="214"/>
      <c r="CB57" s="214"/>
      <c r="CC57" s="214"/>
      <c r="CD57" s="214"/>
      <c r="CE57" s="214"/>
      <c r="CF57" s="214"/>
      <c r="CG57" s="214"/>
      <c r="CH57" s="214"/>
      <c r="CI57" s="214"/>
      <c r="CJ57" s="214"/>
      <c r="CK57" s="214"/>
      <c r="CL57" s="214"/>
      <c r="CM57" s="214"/>
      <c r="CN57" s="214"/>
      <c r="CO57" s="214"/>
      <c r="CP57" s="214"/>
      <c r="CQ57" s="214"/>
      <c r="CR57" s="214"/>
      <c r="CS57" s="214"/>
      <c r="CT57" s="214"/>
      <c r="CU57" s="214"/>
      <c r="CV57" s="214"/>
      <c r="CW57" s="214"/>
      <c r="CX57" s="214"/>
      <c r="CY57" s="214"/>
      <c r="CZ57" s="214"/>
      <c r="DA57" s="214"/>
      <c r="DB57" s="214"/>
      <c r="DC57" s="214"/>
      <c r="DD57" s="214"/>
      <c r="DE57" s="214"/>
      <c r="DF57" s="214"/>
      <c r="DG57" s="55"/>
    </row>
    <row r="58" spans="1:111" ht="12.75">
      <c r="A58" s="15"/>
      <c r="B58" s="255" t="s">
        <v>85</v>
      </c>
      <c r="C58" s="256"/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256"/>
      <c r="O58" s="256"/>
      <c r="P58" s="256"/>
      <c r="Q58" s="256"/>
      <c r="R58" s="256"/>
      <c r="S58" s="256"/>
      <c r="T58" s="256"/>
      <c r="U58" s="256"/>
      <c r="V58" s="256"/>
      <c r="W58" s="256"/>
      <c r="X58" s="256"/>
      <c r="Y58" s="256"/>
      <c r="Z58" s="256"/>
      <c r="AA58" s="256"/>
      <c r="AB58" s="256"/>
      <c r="AC58" s="256"/>
      <c r="AD58" s="256"/>
      <c r="AE58" s="256"/>
      <c r="AF58" s="256"/>
      <c r="AG58" s="256"/>
      <c r="AH58" s="256"/>
      <c r="AI58" s="256"/>
      <c r="AJ58" s="256"/>
      <c r="AK58" s="256"/>
      <c r="AL58" s="256"/>
      <c r="AM58" s="256"/>
      <c r="AN58" s="256"/>
      <c r="AO58" s="256"/>
      <c r="AP58" s="256"/>
      <c r="AQ58" s="256"/>
      <c r="AR58" s="256"/>
      <c r="AS58" s="256"/>
      <c r="AT58" s="256"/>
      <c r="AU58" s="256"/>
      <c r="AV58" s="256"/>
      <c r="AW58" s="256"/>
      <c r="AX58" s="256"/>
      <c r="AY58" s="256"/>
      <c r="AZ58" s="256"/>
      <c r="BA58" s="256"/>
      <c r="BB58" s="256"/>
      <c r="BC58" s="256"/>
      <c r="BD58" s="256"/>
      <c r="BE58" s="256"/>
      <c r="BF58" s="256"/>
      <c r="BG58" s="256"/>
      <c r="BH58" s="256"/>
      <c r="BI58" s="256"/>
      <c r="BJ58" s="256"/>
      <c r="BK58" s="256"/>
      <c r="BL58" s="256"/>
      <c r="BM58" s="256"/>
      <c r="BN58" s="256"/>
      <c r="BO58" s="256"/>
      <c r="BP58" s="256"/>
      <c r="BQ58" s="256"/>
      <c r="BR58" s="256"/>
      <c r="BS58" s="256"/>
      <c r="BT58" s="256"/>
      <c r="BU58" s="256"/>
      <c r="BV58" s="256"/>
      <c r="BW58" s="256"/>
      <c r="BX58" s="256"/>
      <c r="BY58" s="256"/>
      <c r="BZ58" s="256"/>
      <c r="CA58" s="256"/>
      <c r="CB58" s="256"/>
      <c r="CC58" s="256"/>
      <c r="CD58" s="256"/>
      <c r="CE58" s="256"/>
      <c r="CF58" s="256"/>
      <c r="CG58" s="256"/>
      <c r="CH58" s="256"/>
      <c r="CI58" s="256"/>
      <c r="CJ58" s="256"/>
      <c r="CK58" s="256"/>
      <c r="CL58" s="256"/>
      <c r="CM58" s="256"/>
      <c r="CN58" s="256"/>
      <c r="CO58" s="256"/>
      <c r="CP58" s="256"/>
      <c r="CQ58" s="256"/>
      <c r="CR58" s="256"/>
      <c r="CS58" s="256"/>
      <c r="CT58" s="256"/>
      <c r="CU58" s="256"/>
      <c r="CV58" s="256"/>
      <c r="CW58" s="256"/>
      <c r="CX58" s="256"/>
      <c r="CY58" s="256"/>
      <c r="CZ58" s="256"/>
      <c r="DA58" s="256"/>
      <c r="DB58" s="256"/>
      <c r="DC58" s="256"/>
      <c r="DD58" s="256"/>
      <c r="DE58" s="256"/>
      <c r="DF58" s="257"/>
      <c r="DG58" s="42"/>
    </row>
    <row r="59" spans="1:111" ht="12.75">
      <c r="A59" s="45"/>
      <c r="B59" s="247" t="s">
        <v>86</v>
      </c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4"/>
      <c r="BJ59" s="214"/>
      <c r="BK59" s="214"/>
      <c r="BL59" s="214"/>
      <c r="BM59" s="214"/>
      <c r="BN59" s="214"/>
      <c r="BO59" s="214"/>
      <c r="BP59" s="214"/>
      <c r="BQ59" s="214"/>
      <c r="BR59" s="214"/>
      <c r="BS59" s="214"/>
      <c r="BT59" s="214"/>
      <c r="BU59" s="214"/>
      <c r="BV59" s="214"/>
      <c r="BW59" s="214"/>
      <c r="BX59" s="214"/>
      <c r="BY59" s="214"/>
      <c r="BZ59" s="214"/>
      <c r="CA59" s="214"/>
      <c r="CB59" s="214"/>
      <c r="CC59" s="214"/>
      <c r="CD59" s="214"/>
      <c r="CE59" s="214"/>
      <c r="CF59" s="214"/>
      <c r="CG59" s="214"/>
      <c r="CH59" s="214"/>
      <c r="CI59" s="214"/>
      <c r="CJ59" s="214"/>
      <c r="CK59" s="214"/>
      <c r="CL59" s="214"/>
      <c r="CM59" s="214"/>
      <c r="CN59" s="214"/>
      <c r="CO59" s="214"/>
      <c r="CP59" s="214"/>
      <c r="CQ59" s="214"/>
      <c r="CR59" s="214"/>
      <c r="CS59" s="214"/>
      <c r="CT59" s="214"/>
      <c r="CU59" s="214"/>
      <c r="CV59" s="214"/>
      <c r="CW59" s="214"/>
      <c r="CX59" s="214"/>
      <c r="CY59" s="214"/>
      <c r="CZ59" s="214"/>
      <c r="DA59" s="214"/>
      <c r="DB59" s="214"/>
      <c r="DC59" s="214"/>
      <c r="DD59" s="214"/>
      <c r="DE59" s="214"/>
      <c r="DF59" s="214"/>
      <c r="DG59" s="55"/>
    </row>
    <row r="60" spans="1:111" ht="61.5" customHeight="1">
      <c r="A60" s="15"/>
      <c r="B60" s="260" t="s">
        <v>87</v>
      </c>
      <c r="C60" s="240"/>
      <c r="D60" s="240"/>
      <c r="E60" s="240"/>
      <c r="F60" s="240"/>
      <c r="G60" s="240"/>
      <c r="H60" s="240"/>
      <c r="I60" s="240"/>
      <c r="J60" s="240"/>
      <c r="K60" s="240"/>
      <c r="L60" s="240"/>
      <c r="M60" s="240"/>
      <c r="N60" s="240"/>
      <c r="O60" s="240"/>
      <c r="P60" s="240"/>
      <c r="Q60" s="240"/>
      <c r="R60" s="240"/>
      <c r="S60" s="240"/>
      <c r="T60" s="240"/>
      <c r="U60" s="240"/>
      <c r="V60" s="240"/>
      <c r="W60" s="240"/>
      <c r="X60" s="240"/>
      <c r="Y60" s="240"/>
      <c r="Z60" s="240"/>
      <c r="AA60" s="240"/>
      <c r="AB60" s="240"/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240"/>
      <c r="AO60" s="240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42"/>
      <c r="BE60" s="17"/>
      <c r="BF60" s="258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42"/>
    </row>
    <row r="61" spans="1:111" ht="12.75">
      <c r="A61" s="35"/>
      <c r="B61" s="259" t="s">
        <v>88</v>
      </c>
      <c r="C61" s="240"/>
      <c r="D61" s="240"/>
      <c r="E61" s="240"/>
      <c r="F61" s="240"/>
      <c r="G61" s="240"/>
      <c r="H61" s="240"/>
      <c r="I61" s="240"/>
      <c r="J61" s="240"/>
      <c r="K61" s="240"/>
      <c r="L61" s="240"/>
      <c r="M61" s="240"/>
      <c r="N61" s="240"/>
      <c r="O61" s="240"/>
      <c r="P61" s="240"/>
      <c r="Q61" s="240"/>
      <c r="R61" s="240"/>
      <c r="S61" s="240"/>
      <c r="T61" s="240"/>
      <c r="U61" s="240"/>
      <c r="V61" s="240"/>
      <c r="W61" s="240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47"/>
      <c r="BE61" s="48"/>
      <c r="BF61" s="245" t="s">
        <v>89</v>
      </c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38"/>
    </row>
    <row r="62" spans="1:111" ht="12.75">
      <c r="A62" s="15"/>
      <c r="B62" s="258"/>
      <c r="C62" s="240"/>
      <c r="D62" s="240"/>
      <c r="E62" s="240"/>
      <c r="F62" s="240"/>
      <c r="G62" s="240"/>
      <c r="H62" s="240"/>
      <c r="I62" s="240"/>
      <c r="J62" s="240"/>
      <c r="K62" s="240"/>
      <c r="L62" s="240"/>
      <c r="M62" s="240"/>
      <c r="N62" s="240"/>
      <c r="O62" s="240"/>
      <c r="P62" s="240"/>
      <c r="Q62" s="240"/>
      <c r="R62" s="240"/>
      <c r="S62" s="240"/>
      <c r="T62" s="240"/>
      <c r="U62" s="240"/>
      <c r="V62" s="240"/>
      <c r="W62" s="240"/>
      <c r="X62" s="240"/>
      <c r="Y62" s="240"/>
      <c r="Z62" s="240"/>
      <c r="AA62" s="240"/>
      <c r="AB62" s="240"/>
      <c r="AC62" s="240"/>
      <c r="AD62" s="240"/>
      <c r="AE62" s="240"/>
      <c r="AF62" s="240"/>
      <c r="AG62" s="240"/>
      <c r="AH62" s="240"/>
      <c r="AI62" s="240"/>
      <c r="AJ62" s="240"/>
      <c r="AK62" s="240"/>
      <c r="AL62" s="240"/>
      <c r="AM62" s="240"/>
      <c r="AN62" s="240"/>
      <c r="AO62" s="240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42"/>
      <c r="BE62" s="17"/>
      <c r="BF62" s="258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42"/>
    </row>
    <row r="63" spans="1:111" ht="12.75">
      <c r="A63" s="35"/>
      <c r="B63" s="259" t="s">
        <v>90</v>
      </c>
      <c r="C63" s="240"/>
      <c r="D63" s="240"/>
      <c r="E63" s="240"/>
      <c r="F63" s="240"/>
      <c r="G63" s="240"/>
      <c r="H63" s="240"/>
      <c r="I63" s="240"/>
      <c r="J63" s="240"/>
      <c r="K63" s="240"/>
      <c r="L63" s="240"/>
      <c r="M63" s="240"/>
      <c r="N63" s="240"/>
      <c r="O63" s="240"/>
      <c r="P63" s="240"/>
      <c r="Q63" s="240"/>
      <c r="R63" s="240"/>
      <c r="S63" s="240"/>
      <c r="T63" s="240"/>
      <c r="U63" s="240"/>
      <c r="V63" s="240"/>
      <c r="W63" s="240"/>
      <c r="X63" s="240"/>
      <c r="Y63" s="240"/>
      <c r="Z63" s="240"/>
      <c r="AA63" s="240"/>
      <c r="AB63" s="240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47"/>
      <c r="BE63" s="48"/>
      <c r="BF63" s="245" t="s">
        <v>91</v>
      </c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38"/>
    </row>
    <row r="64" spans="1:111" ht="12.75">
      <c r="A64" s="28"/>
      <c r="B64" s="261"/>
      <c r="C64" s="240"/>
      <c r="D64" s="240"/>
      <c r="E64" s="240"/>
      <c r="F64" s="240"/>
      <c r="G64" s="240"/>
      <c r="H64" s="240"/>
      <c r="I64" s="240"/>
      <c r="J64" s="240"/>
      <c r="K64" s="240"/>
      <c r="L64" s="240"/>
      <c r="M64" s="240"/>
      <c r="N64" s="240"/>
      <c r="O64" s="240"/>
      <c r="P64" s="240"/>
      <c r="Q64" s="240"/>
      <c r="R64" s="240"/>
      <c r="S64" s="240"/>
      <c r="T64" s="240"/>
      <c r="U64" s="240"/>
      <c r="V64" s="240"/>
      <c r="W64" s="240"/>
      <c r="X64" s="240"/>
      <c r="Y64" s="240"/>
      <c r="Z64" s="240"/>
      <c r="AA64" s="240"/>
      <c r="AB64" s="240"/>
      <c r="AC64" s="240"/>
      <c r="AD64" s="240"/>
      <c r="AE64" s="240"/>
      <c r="AF64" s="240"/>
      <c r="AG64" s="240"/>
      <c r="AH64" s="240"/>
      <c r="AI64" s="240"/>
      <c r="AJ64" s="240"/>
      <c r="AK64" s="240"/>
      <c r="AL64" s="240"/>
      <c r="AM64" s="240"/>
      <c r="AN64" s="240"/>
      <c r="AO64" s="240"/>
      <c r="AP64" s="240"/>
      <c r="AQ64" s="240"/>
      <c r="AR64" s="240"/>
      <c r="AS64" s="240"/>
      <c r="AT64" s="240"/>
      <c r="AU64" s="240"/>
      <c r="AV64" s="240"/>
      <c r="AW64" s="240"/>
      <c r="AX64" s="240"/>
      <c r="AY64" s="240"/>
      <c r="AZ64" s="240"/>
      <c r="BA64" s="240"/>
      <c r="BB64" s="240"/>
      <c r="BC64" s="240"/>
      <c r="BD64" s="240"/>
      <c r="BE64" s="240"/>
      <c r="BF64" s="240"/>
      <c r="BG64" s="240"/>
      <c r="BH64" s="240"/>
      <c r="BI64" s="240"/>
      <c r="BJ64" s="240"/>
      <c r="BK64" s="240"/>
      <c r="BL64" s="240"/>
      <c r="BM64" s="240"/>
      <c r="BN64" s="240"/>
      <c r="BO64" s="240"/>
      <c r="BP64" s="240"/>
      <c r="BQ64" s="240"/>
      <c r="BR64" s="240"/>
      <c r="BS64" s="240"/>
      <c r="BT64" s="240"/>
      <c r="BU64" s="240"/>
      <c r="BV64" s="240"/>
      <c r="BW64" s="240"/>
      <c r="BX64" s="240"/>
      <c r="BY64" s="240"/>
      <c r="BZ64" s="240"/>
      <c r="CA64" s="240"/>
      <c r="CB64" s="240"/>
      <c r="CC64" s="240"/>
      <c r="CD64" s="240"/>
      <c r="CE64" s="240"/>
      <c r="CF64" s="240"/>
      <c r="CG64" s="240"/>
      <c r="CH64" s="240"/>
      <c r="CI64" s="240"/>
      <c r="CJ64" s="240"/>
      <c r="CK64" s="240"/>
      <c r="CL64" s="240"/>
      <c r="CM64" s="240"/>
      <c r="CN64" s="240"/>
      <c r="CO64" s="240"/>
      <c r="CP64" s="240"/>
      <c r="CQ64" s="240"/>
      <c r="CR64" s="240"/>
      <c r="CS64" s="240"/>
      <c r="CT64" s="240"/>
      <c r="CU64" s="240"/>
      <c r="CV64" s="240"/>
      <c r="CW64" s="240"/>
      <c r="CX64" s="240"/>
      <c r="CY64" s="240"/>
      <c r="CZ64" s="240"/>
      <c r="DA64" s="240"/>
      <c r="DB64" s="240"/>
      <c r="DC64" s="240"/>
      <c r="DD64" s="240"/>
      <c r="DE64" s="240"/>
      <c r="DF64" s="240"/>
      <c r="DG64" s="33"/>
    </row>
    <row r="65" spans="1:111" ht="12.75">
      <c r="A65" s="43"/>
      <c r="B65" s="247" t="s">
        <v>92</v>
      </c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14"/>
      <c r="BP65" s="214"/>
      <c r="BQ65" s="214"/>
      <c r="BR65" s="214"/>
      <c r="BS65" s="214"/>
      <c r="BT65" s="214"/>
      <c r="BU65" s="214"/>
      <c r="BV65" s="214"/>
      <c r="BW65" s="214"/>
      <c r="BX65" s="214"/>
      <c r="BY65" s="214"/>
      <c r="BZ65" s="214"/>
      <c r="CA65" s="214"/>
      <c r="CB65" s="214"/>
      <c r="CC65" s="214"/>
      <c r="CD65" s="214"/>
      <c r="CE65" s="214"/>
      <c r="CF65" s="214"/>
      <c r="CG65" s="214"/>
      <c r="CH65" s="214"/>
      <c r="CI65" s="214"/>
      <c r="CJ65" s="214"/>
      <c r="CK65" s="214"/>
      <c r="CL65" s="214"/>
      <c r="CM65" s="214"/>
      <c r="CN65" s="214"/>
      <c r="CO65" s="214"/>
      <c r="CP65" s="214"/>
      <c r="CQ65" s="214"/>
      <c r="CR65" s="214"/>
      <c r="CS65" s="214"/>
      <c r="CT65" s="214"/>
      <c r="CU65" s="214"/>
      <c r="CV65" s="214"/>
      <c r="CW65" s="214"/>
      <c r="CX65" s="214"/>
      <c r="CY65" s="214"/>
      <c r="CZ65" s="214"/>
      <c r="DA65" s="214"/>
      <c r="DB65" s="214"/>
      <c r="DC65" s="214"/>
      <c r="DD65" s="214"/>
      <c r="DE65" s="214"/>
      <c r="DF65" s="214"/>
      <c r="DG65" s="44"/>
    </row>
    <row r="66" spans="1:111" ht="12.75">
      <c r="A66" s="15"/>
      <c r="B66" s="258"/>
      <c r="C66" s="240"/>
      <c r="D66" s="240"/>
      <c r="E66" s="240"/>
      <c r="F66" s="240"/>
      <c r="G66" s="240"/>
      <c r="H66" s="240"/>
      <c r="I66" s="240"/>
      <c r="J66" s="240"/>
      <c r="K66" s="240"/>
      <c r="L66" s="240"/>
      <c r="M66" s="240"/>
      <c r="N66" s="240"/>
      <c r="O66" s="240"/>
      <c r="P66" s="240"/>
      <c r="Q66" s="240"/>
      <c r="R66" s="240"/>
      <c r="S66" s="240"/>
      <c r="T66" s="240"/>
      <c r="U66" s="240"/>
      <c r="V66" s="240"/>
      <c r="W66" s="240"/>
      <c r="X66" s="240"/>
      <c r="Y66" s="240"/>
      <c r="Z66" s="240"/>
      <c r="AA66" s="240"/>
      <c r="AB66" s="240"/>
      <c r="AC66" s="240"/>
      <c r="AD66" s="240"/>
      <c r="AE66" s="240"/>
      <c r="AF66" s="240"/>
      <c r="AG66" s="240"/>
      <c r="AH66" s="240"/>
      <c r="AI66" s="240"/>
      <c r="AJ66" s="240"/>
      <c r="AK66" s="240"/>
      <c r="AL66" s="240"/>
      <c r="AM66" s="240"/>
      <c r="AN66" s="240"/>
      <c r="AO66" s="240"/>
      <c r="AP66" s="240"/>
      <c r="AQ66" s="240"/>
      <c r="AR66" s="240"/>
      <c r="AS66" s="240"/>
      <c r="AT66" s="240"/>
      <c r="AU66" s="240"/>
      <c r="AV66" s="240"/>
      <c r="AW66" s="240"/>
      <c r="AX66" s="240"/>
      <c r="AY66" s="240"/>
      <c r="AZ66" s="240"/>
      <c r="BA66" s="240"/>
      <c r="BB66" s="240"/>
      <c r="BC66" s="240"/>
      <c r="BD66" s="42"/>
      <c r="BE66" s="17"/>
      <c r="BF66" s="258"/>
      <c r="BG66" s="240"/>
      <c r="BH66" s="240"/>
      <c r="BI66" s="240"/>
      <c r="BJ66" s="240"/>
      <c r="BK66" s="240"/>
      <c r="BL66" s="240"/>
      <c r="BM66" s="240"/>
      <c r="BN66" s="240"/>
      <c r="BO66" s="240"/>
      <c r="BP66" s="240"/>
      <c r="BQ66" s="240"/>
      <c r="BR66" s="240"/>
      <c r="BS66" s="240"/>
      <c r="BT66" s="240"/>
      <c r="BU66" s="240"/>
      <c r="BV66" s="240"/>
      <c r="BW66" s="240"/>
      <c r="BX66" s="240"/>
      <c r="BY66" s="240"/>
      <c r="BZ66" s="240"/>
      <c r="CA66" s="240"/>
      <c r="CB66" s="240"/>
      <c r="CC66" s="240"/>
      <c r="CD66" s="240"/>
      <c r="CE66" s="240"/>
      <c r="CF66" s="240"/>
      <c r="CG66" s="240"/>
      <c r="CH66" s="240"/>
      <c r="CI66" s="240"/>
      <c r="CJ66" s="240"/>
      <c r="CK66" s="240"/>
      <c r="CL66" s="240"/>
      <c r="CM66" s="240"/>
      <c r="CN66" s="240"/>
      <c r="CO66" s="240"/>
      <c r="CP66" s="240"/>
      <c r="CQ66" s="240"/>
      <c r="CR66" s="240"/>
      <c r="CS66" s="240"/>
      <c r="CT66" s="240"/>
      <c r="CU66" s="240"/>
      <c r="CV66" s="240"/>
      <c r="CW66" s="240"/>
      <c r="CX66" s="240"/>
      <c r="CY66" s="240"/>
      <c r="CZ66" s="240"/>
      <c r="DA66" s="240"/>
      <c r="DB66" s="240"/>
      <c r="DC66" s="240"/>
      <c r="DD66" s="240"/>
      <c r="DE66" s="240"/>
      <c r="DF66" s="240"/>
      <c r="DG66" s="42"/>
    </row>
    <row r="67" spans="1:111" ht="12.75">
      <c r="A67" s="39"/>
      <c r="B67" s="245" t="s">
        <v>93</v>
      </c>
      <c r="C67" s="240"/>
      <c r="D67" s="240"/>
      <c r="E67" s="240"/>
      <c r="F67" s="240"/>
      <c r="G67" s="240"/>
      <c r="H67" s="240"/>
      <c r="I67" s="240"/>
      <c r="J67" s="240"/>
      <c r="K67" s="240"/>
      <c r="L67" s="240"/>
      <c r="M67" s="240"/>
      <c r="N67" s="240"/>
      <c r="O67" s="240"/>
      <c r="P67" s="240"/>
      <c r="Q67" s="240"/>
      <c r="R67" s="240"/>
      <c r="S67" s="240"/>
      <c r="T67" s="240"/>
      <c r="U67" s="240"/>
      <c r="V67" s="240"/>
      <c r="W67" s="240"/>
      <c r="X67" s="240"/>
      <c r="Y67" s="240"/>
      <c r="Z67" s="240"/>
      <c r="AA67" s="240"/>
      <c r="AB67" s="240"/>
      <c r="AC67" s="240"/>
      <c r="AD67" s="240"/>
      <c r="AE67" s="240"/>
      <c r="AF67" s="240"/>
      <c r="AG67" s="240"/>
      <c r="AH67" s="240"/>
      <c r="AI67" s="240"/>
      <c r="AJ67" s="240"/>
      <c r="AK67" s="240"/>
      <c r="AL67" s="240"/>
      <c r="AM67" s="240"/>
      <c r="AN67" s="240"/>
      <c r="AO67" s="240"/>
      <c r="AP67" s="240"/>
      <c r="AQ67" s="240"/>
      <c r="AR67" s="240"/>
      <c r="AS67" s="240"/>
      <c r="AT67" s="240"/>
      <c r="AU67" s="240"/>
      <c r="AV67" s="240"/>
      <c r="AW67" s="240"/>
      <c r="AX67" s="240"/>
      <c r="AY67" s="240"/>
      <c r="AZ67" s="240"/>
      <c r="BA67" s="240"/>
      <c r="BB67" s="240"/>
      <c r="BC67" s="240"/>
      <c r="BD67" s="36"/>
      <c r="BE67" s="37"/>
      <c r="BF67" s="245" t="s">
        <v>94</v>
      </c>
      <c r="BG67" s="240"/>
      <c r="BH67" s="240"/>
      <c r="BI67" s="240"/>
      <c r="BJ67" s="240"/>
      <c r="BK67" s="240"/>
      <c r="BL67" s="240"/>
      <c r="BM67" s="240"/>
      <c r="BN67" s="240"/>
      <c r="BO67" s="240"/>
      <c r="BP67" s="240"/>
      <c r="BQ67" s="240"/>
      <c r="BR67" s="240"/>
      <c r="BS67" s="240"/>
      <c r="BT67" s="240"/>
      <c r="BU67" s="240"/>
      <c r="BV67" s="240"/>
      <c r="BW67" s="240"/>
      <c r="BX67" s="240"/>
      <c r="BY67" s="240"/>
      <c r="BZ67" s="240"/>
      <c r="CA67" s="240"/>
      <c r="CB67" s="240"/>
      <c r="CC67" s="240"/>
      <c r="CD67" s="240"/>
      <c r="CE67" s="240"/>
      <c r="CF67" s="240"/>
      <c r="CG67" s="240"/>
      <c r="CH67" s="240"/>
      <c r="CI67" s="240"/>
      <c r="CJ67" s="240"/>
      <c r="CK67" s="240"/>
      <c r="CL67" s="240"/>
      <c r="CM67" s="240"/>
      <c r="CN67" s="240"/>
      <c r="CO67" s="240"/>
      <c r="CP67" s="240"/>
      <c r="CQ67" s="240"/>
      <c r="CR67" s="240"/>
      <c r="CS67" s="240"/>
      <c r="CT67" s="240"/>
      <c r="CU67" s="240"/>
      <c r="CV67" s="240"/>
      <c r="CW67" s="240"/>
      <c r="CX67" s="240"/>
      <c r="CY67" s="240"/>
      <c r="CZ67" s="240"/>
      <c r="DA67" s="240"/>
      <c r="DB67" s="240"/>
      <c r="DC67" s="240"/>
      <c r="DD67" s="240"/>
      <c r="DE67" s="240"/>
      <c r="DF67" s="240"/>
      <c r="DG67" s="40"/>
    </row>
    <row r="68" spans="1:111" ht="12.75">
      <c r="A68" s="15"/>
      <c r="B68" s="258"/>
      <c r="C68" s="240"/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40"/>
      <c r="AB68" s="240"/>
      <c r="AC68" s="240"/>
      <c r="AD68" s="240"/>
      <c r="AE68" s="240"/>
      <c r="AF68" s="240"/>
      <c r="AG68" s="240"/>
      <c r="AH68" s="240"/>
      <c r="AI68" s="240"/>
      <c r="AJ68" s="240"/>
      <c r="AK68" s="240"/>
      <c r="AL68" s="240"/>
      <c r="AM68" s="240"/>
      <c r="AN68" s="240"/>
      <c r="AO68" s="240"/>
      <c r="AP68" s="240"/>
      <c r="AQ68" s="240"/>
      <c r="AR68" s="240"/>
      <c r="AS68" s="240"/>
      <c r="AT68" s="240"/>
      <c r="AU68" s="240"/>
      <c r="AV68" s="240"/>
      <c r="AW68" s="240"/>
      <c r="AX68" s="240"/>
      <c r="AY68" s="240"/>
      <c r="AZ68" s="240"/>
      <c r="BA68" s="240"/>
      <c r="BB68" s="240"/>
      <c r="BC68" s="240"/>
      <c r="BD68" s="240"/>
      <c r="BE68" s="240"/>
      <c r="BF68" s="240"/>
      <c r="BG68" s="240"/>
      <c r="BH68" s="240"/>
      <c r="BI68" s="240"/>
      <c r="BJ68" s="240"/>
      <c r="BK68" s="240"/>
      <c r="BL68" s="240"/>
      <c r="BM68" s="240"/>
      <c r="BN68" s="240"/>
      <c r="BO68" s="240"/>
      <c r="BP68" s="240"/>
      <c r="BQ68" s="240"/>
      <c r="BR68" s="240"/>
      <c r="BS68" s="240"/>
      <c r="BT68" s="240"/>
      <c r="BU68" s="240"/>
      <c r="BV68" s="240"/>
      <c r="BW68" s="240"/>
      <c r="BX68" s="240"/>
      <c r="BY68" s="240"/>
      <c r="BZ68" s="240"/>
      <c r="CA68" s="240"/>
      <c r="CB68" s="240"/>
      <c r="CC68" s="240"/>
      <c r="CD68" s="240"/>
      <c r="CE68" s="240"/>
      <c r="CF68" s="240"/>
      <c r="CG68" s="240"/>
      <c r="CH68" s="240"/>
      <c r="CI68" s="240"/>
      <c r="CJ68" s="240"/>
      <c r="CK68" s="240"/>
      <c r="CL68" s="240"/>
      <c r="CM68" s="240"/>
      <c r="CN68" s="240"/>
      <c r="CO68" s="240"/>
      <c r="CP68" s="240"/>
      <c r="CQ68" s="240"/>
      <c r="CR68" s="240"/>
      <c r="CS68" s="240"/>
      <c r="CT68" s="240"/>
      <c r="CU68" s="240"/>
      <c r="CV68" s="240"/>
      <c r="CW68" s="240"/>
      <c r="CX68" s="240"/>
      <c r="CY68" s="240"/>
      <c r="CZ68" s="240"/>
      <c r="DA68" s="240"/>
      <c r="DB68" s="240"/>
      <c r="DC68" s="240"/>
      <c r="DD68" s="240"/>
      <c r="DE68" s="240"/>
      <c r="DF68" s="240"/>
      <c r="DG68" s="42"/>
    </row>
    <row r="69" spans="1:111" ht="12.75">
      <c r="A69" s="43"/>
      <c r="B69" s="247" t="s">
        <v>95</v>
      </c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  <c r="BY69" s="214"/>
      <c r="BZ69" s="214"/>
      <c r="CA69" s="214"/>
      <c r="CB69" s="214"/>
      <c r="CC69" s="214"/>
      <c r="CD69" s="214"/>
      <c r="CE69" s="214"/>
      <c r="CF69" s="214"/>
      <c r="CG69" s="214"/>
      <c r="CH69" s="214"/>
      <c r="CI69" s="214"/>
      <c r="CJ69" s="214"/>
      <c r="CK69" s="214"/>
      <c r="CL69" s="214"/>
      <c r="CM69" s="214"/>
      <c r="CN69" s="214"/>
      <c r="CO69" s="214"/>
      <c r="CP69" s="214"/>
      <c r="CQ69" s="214"/>
      <c r="CR69" s="214"/>
      <c r="CS69" s="214"/>
      <c r="CT69" s="214"/>
      <c r="CU69" s="214"/>
      <c r="CV69" s="214"/>
      <c r="CW69" s="214"/>
      <c r="CX69" s="214"/>
      <c r="CY69" s="214"/>
      <c r="CZ69" s="214"/>
      <c r="DA69" s="214"/>
      <c r="DB69" s="214"/>
      <c r="DC69" s="214"/>
      <c r="DD69" s="214"/>
      <c r="DE69" s="214"/>
      <c r="DF69" s="214"/>
      <c r="DG69" s="44"/>
    </row>
    <row r="70" spans="1:111" ht="12.75">
      <c r="A70" s="15"/>
      <c r="B70" s="258"/>
      <c r="C70" s="240"/>
      <c r="D70" s="240"/>
      <c r="E70" s="240"/>
      <c r="F70" s="240"/>
      <c r="G70" s="240"/>
      <c r="H70" s="240"/>
      <c r="I70" s="240"/>
      <c r="J70" s="240"/>
      <c r="K70" s="240"/>
      <c r="L70" s="240"/>
      <c r="M70" s="240"/>
      <c r="N70" s="258"/>
      <c r="O70" s="240"/>
      <c r="P70" s="240"/>
      <c r="Q70" s="240"/>
      <c r="R70" s="240"/>
      <c r="S70" s="240"/>
      <c r="T70" s="240"/>
      <c r="U70" s="240"/>
      <c r="V70" s="240"/>
      <c r="W70" s="240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240"/>
      <c r="AI70" s="240"/>
      <c r="AJ70" s="240"/>
      <c r="AK70" s="240"/>
      <c r="AL70" s="240"/>
      <c r="AM70" s="240"/>
      <c r="AN70" s="240"/>
      <c r="AO70" s="240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42"/>
      <c r="BE70" s="17"/>
      <c r="BF70" s="258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58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42"/>
    </row>
    <row r="71" spans="1:111" ht="12.75">
      <c r="A71" s="39"/>
      <c r="B71" s="245" t="s">
        <v>96</v>
      </c>
      <c r="C71" s="240"/>
      <c r="D71" s="240"/>
      <c r="E71" s="240"/>
      <c r="F71" s="240"/>
      <c r="G71" s="240"/>
      <c r="H71" s="240"/>
      <c r="I71" s="240"/>
      <c r="J71" s="240"/>
      <c r="K71" s="240"/>
      <c r="L71" s="240"/>
      <c r="M71" s="240"/>
      <c r="N71" s="240"/>
      <c r="O71" s="240"/>
      <c r="P71" s="240"/>
      <c r="Q71" s="240"/>
      <c r="R71" s="240"/>
      <c r="S71" s="240"/>
      <c r="T71" s="240"/>
      <c r="U71" s="240"/>
      <c r="V71" s="240"/>
      <c r="W71" s="240"/>
      <c r="X71" s="240"/>
      <c r="Y71" s="240"/>
      <c r="Z71" s="240"/>
      <c r="AA71" s="240"/>
      <c r="AB71" s="240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240"/>
      <c r="AO71" s="240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36"/>
      <c r="BE71" s="37"/>
      <c r="BF71" s="245" t="s">
        <v>97</v>
      </c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40"/>
    </row>
    <row r="72" spans="1:111" ht="12.75">
      <c r="A72" s="15"/>
      <c r="B72" s="258"/>
      <c r="C72" s="240"/>
      <c r="D72" s="240"/>
      <c r="E72" s="240"/>
      <c r="F72" s="240"/>
      <c r="G72" s="240"/>
      <c r="H72" s="240"/>
      <c r="I72" s="240"/>
      <c r="J72" s="240"/>
      <c r="K72" s="240"/>
      <c r="L72" s="240"/>
      <c r="M72" s="240"/>
      <c r="N72" s="240"/>
      <c r="O72" s="240"/>
      <c r="P72" s="240"/>
      <c r="Q72" s="240"/>
      <c r="R72" s="240"/>
      <c r="S72" s="240"/>
      <c r="T72" s="240"/>
      <c r="U72" s="240"/>
      <c r="V72" s="240"/>
      <c r="W72" s="240"/>
      <c r="X72" s="240"/>
      <c r="Y72" s="240"/>
      <c r="Z72" s="240"/>
      <c r="AA72" s="240"/>
      <c r="AB72" s="240"/>
      <c r="AC72" s="240"/>
      <c r="AD72" s="240"/>
      <c r="AE72" s="240"/>
      <c r="AF72" s="240"/>
      <c r="AG72" s="240"/>
      <c r="AH72" s="240"/>
      <c r="AI72" s="240"/>
      <c r="AJ72" s="240"/>
      <c r="AK72" s="240"/>
      <c r="AL72" s="240"/>
      <c r="AM72" s="240"/>
      <c r="AN72" s="240"/>
      <c r="AO72" s="240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42"/>
      <c r="BE72" s="17"/>
      <c r="BF72" s="258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42"/>
    </row>
    <row r="73" spans="1:111" ht="10.5" customHeight="1">
      <c r="A73" s="228" t="s">
        <v>98</v>
      </c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4"/>
      <c r="CJ73" s="214"/>
      <c r="CK73" s="214"/>
      <c r="CL73" s="214"/>
      <c r="CM73" s="214"/>
      <c r="CN73" s="214"/>
      <c r="CO73" s="214"/>
      <c r="CP73" s="214"/>
      <c r="CQ73" s="214"/>
      <c r="CR73" s="214"/>
      <c r="CS73" s="214"/>
      <c r="CT73" s="214"/>
      <c r="CU73" s="214"/>
      <c r="CV73" s="214"/>
      <c r="CW73" s="214"/>
      <c r="CX73" s="214"/>
      <c r="CY73" s="214"/>
      <c r="CZ73" s="214"/>
      <c r="DA73" s="214"/>
      <c r="DB73" s="214"/>
      <c r="DC73" s="214"/>
      <c r="DD73" s="214"/>
      <c r="DE73" s="214"/>
      <c r="DF73" s="214"/>
      <c r="DG73" s="215"/>
    </row>
    <row r="74" spans="1:111" ht="10.5" customHeight="1">
      <c r="A74" s="15"/>
      <c r="B74" s="258"/>
      <c r="C74" s="240"/>
      <c r="D74" s="240"/>
      <c r="E74" s="240"/>
      <c r="F74" s="240"/>
      <c r="G74" s="240"/>
      <c r="H74" s="240"/>
      <c r="I74" s="240"/>
      <c r="J74" s="240"/>
      <c r="K74" s="240"/>
      <c r="L74" s="240"/>
      <c r="M74" s="240"/>
      <c r="N74" s="240"/>
      <c r="O74" s="240"/>
      <c r="P74" s="240"/>
      <c r="Q74" s="240"/>
      <c r="R74" s="240"/>
      <c r="S74" s="240"/>
      <c r="T74" s="240"/>
      <c r="U74" s="240"/>
      <c r="V74" s="240"/>
      <c r="W74" s="240"/>
      <c r="X74" s="240"/>
      <c r="Y74" s="240"/>
      <c r="Z74" s="240"/>
      <c r="AA74" s="240"/>
      <c r="AB74" s="240"/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240"/>
      <c r="AO74" s="240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42"/>
      <c r="BE74" s="17"/>
      <c r="BF74" s="258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42"/>
    </row>
    <row r="75" spans="1:111" ht="12.75">
      <c r="A75" s="39"/>
      <c r="B75" s="245" t="s">
        <v>99</v>
      </c>
      <c r="C75" s="240"/>
      <c r="D75" s="240"/>
      <c r="E75" s="240"/>
      <c r="F75" s="240"/>
      <c r="G75" s="240"/>
      <c r="H75" s="240"/>
      <c r="I75" s="240"/>
      <c r="J75" s="240"/>
      <c r="K75" s="240"/>
      <c r="L75" s="240"/>
      <c r="M75" s="240"/>
      <c r="N75" s="240"/>
      <c r="O75" s="240"/>
      <c r="P75" s="240"/>
      <c r="Q75" s="240"/>
      <c r="R75" s="240"/>
      <c r="S75" s="240"/>
      <c r="T75" s="240"/>
      <c r="U75" s="240"/>
      <c r="V75" s="240"/>
      <c r="W75" s="240"/>
      <c r="X75" s="240"/>
      <c r="Y75" s="240"/>
      <c r="Z75" s="240"/>
      <c r="AA75" s="240"/>
      <c r="AB75" s="240"/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240"/>
      <c r="AO75" s="240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36"/>
      <c r="BE75" s="37"/>
      <c r="BF75" s="245" t="s">
        <v>100</v>
      </c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40"/>
    </row>
    <row r="76" spans="1:111" ht="12.75">
      <c r="A76" s="15"/>
      <c r="B76" s="258"/>
      <c r="C76" s="240"/>
      <c r="D76" s="240"/>
      <c r="E76" s="240"/>
      <c r="F76" s="240"/>
      <c r="G76" s="240"/>
      <c r="H76" s="240"/>
      <c r="I76" s="240"/>
      <c r="J76" s="240"/>
      <c r="K76" s="240"/>
      <c r="L76" s="240"/>
      <c r="M76" s="240"/>
      <c r="N76" s="240"/>
      <c r="O76" s="240"/>
      <c r="P76" s="240"/>
      <c r="Q76" s="240"/>
      <c r="R76" s="240"/>
      <c r="S76" s="240"/>
      <c r="T76" s="240"/>
      <c r="U76" s="240"/>
      <c r="V76" s="240"/>
      <c r="W76" s="240"/>
      <c r="X76" s="240"/>
      <c r="Y76" s="240"/>
      <c r="Z76" s="240"/>
      <c r="AA76" s="240"/>
      <c r="AB76" s="240"/>
      <c r="AC76" s="240"/>
      <c r="AD76" s="240"/>
      <c r="AE76" s="240"/>
      <c r="AF76" s="240"/>
      <c r="AG76" s="240"/>
      <c r="AH76" s="240"/>
      <c r="AI76" s="240"/>
      <c r="AJ76" s="240"/>
      <c r="AK76" s="240"/>
      <c r="AL76" s="240"/>
      <c r="AM76" s="240"/>
      <c r="AN76" s="240"/>
      <c r="AO76" s="240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42"/>
      <c r="BE76" s="17"/>
      <c r="BF76" s="258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42"/>
    </row>
    <row r="77" spans="1:111" ht="12.75">
      <c r="A77" s="35"/>
      <c r="B77" s="259" t="s">
        <v>101</v>
      </c>
      <c r="C77" s="240"/>
      <c r="D77" s="240"/>
      <c r="E77" s="240"/>
      <c r="F77" s="240"/>
      <c r="G77" s="240"/>
      <c r="H77" s="240"/>
      <c r="I77" s="240"/>
      <c r="J77" s="240"/>
      <c r="K77" s="240"/>
      <c r="L77" s="240"/>
      <c r="M77" s="240"/>
      <c r="N77" s="240"/>
      <c r="O77" s="240"/>
      <c r="P77" s="240"/>
      <c r="Q77" s="240"/>
      <c r="R77" s="240"/>
      <c r="S77" s="240"/>
      <c r="T77" s="240"/>
      <c r="U77" s="240"/>
      <c r="V77" s="240"/>
      <c r="W77" s="240"/>
      <c r="X77" s="240"/>
      <c r="Y77" s="240"/>
      <c r="Z77" s="240"/>
      <c r="AA77" s="240"/>
      <c r="AB77" s="240"/>
      <c r="AC77" s="240"/>
      <c r="AD77" s="240"/>
      <c r="AE77" s="240"/>
      <c r="AF77" s="240"/>
      <c r="AG77" s="240"/>
      <c r="AH77" s="240"/>
      <c r="AI77" s="240"/>
      <c r="AJ77" s="240"/>
      <c r="AK77" s="240"/>
      <c r="AL77" s="240"/>
      <c r="AM77" s="240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47"/>
      <c r="BE77" s="48"/>
      <c r="BF77" s="245" t="s">
        <v>102</v>
      </c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38"/>
    </row>
    <row r="78" spans="1:111" ht="11.25" customHeight="1">
      <c r="A78" s="57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</row>
    <row r="79" spans="1:111" ht="12.75">
      <c r="AC79" s="224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224" t="s">
        <v>103</v>
      </c>
      <c r="CH79" s="209"/>
      <c r="CI79" s="209"/>
      <c r="CJ79" s="209"/>
      <c r="CK79" s="209"/>
      <c r="CL79" s="209"/>
      <c r="CM79" s="209"/>
      <c r="CN79" s="209"/>
      <c r="CO79" s="209"/>
      <c r="CP79" s="209"/>
      <c r="CQ79" s="209"/>
      <c r="CR79" s="209"/>
      <c r="CS79" s="209"/>
      <c r="CT79" s="209"/>
      <c r="CU79" s="209"/>
      <c r="CV79" s="209"/>
      <c r="CW79" s="209"/>
      <c r="CX79" s="209"/>
      <c r="CY79" s="209"/>
      <c r="CZ79" s="209"/>
      <c r="DA79" s="209"/>
      <c r="DB79" s="209"/>
      <c r="DC79" s="209"/>
      <c r="DD79" s="209"/>
      <c r="DE79" s="6"/>
      <c r="DF79" s="58"/>
      <c r="DG79" s="58"/>
    </row>
    <row r="80" spans="1:111" ht="12.75">
      <c r="AC80" s="224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224" t="s">
        <v>104</v>
      </c>
      <c r="CH80" s="209"/>
      <c r="CI80" s="209"/>
      <c r="CJ80" s="209"/>
      <c r="CK80" s="209"/>
      <c r="CL80" s="209"/>
      <c r="CM80" s="209"/>
      <c r="CN80" s="209"/>
      <c r="CO80" s="209"/>
      <c r="CP80" s="209"/>
      <c r="CQ80" s="209"/>
      <c r="CR80" s="209"/>
      <c r="CS80" s="209"/>
      <c r="CT80" s="209"/>
      <c r="CU80" s="209"/>
      <c r="CV80" s="209"/>
      <c r="CW80" s="209"/>
      <c r="CX80" s="209"/>
      <c r="CY80" s="209"/>
      <c r="CZ80" s="209"/>
      <c r="DA80" s="209"/>
      <c r="DB80" s="209"/>
      <c r="DC80" s="209"/>
      <c r="DD80" s="209"/>
      <c r="DE80" s="6"/>
      <c r="DF80" s="58"/>
      <c r="DG80" s="58"/>
    </row>
    <row r="81" spans="1:111" ht="11.25" customHeight="1">
      <c r="A81" s="263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09"/>
      <c r="BS81" s="209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09"/>
      <c r="CJ81" s="209"/>
      <c r="CK81" s="209"/>
      <c r="CL81" s="209"/>
      <c r="CM81" s="209"/>
      <c r="CN81" s="209"/>
      <c r="CO81" s="209"/>
      <c r="CP81" s="209"/>
      <c r="CQ81" s="209"/>
      <c r="CR81" s="209"/>
      <c r="CS81" s="209"/>
      <c r="CT81" s="209"/>
      <c r="CU81" s="209"/>
      <c r="CV81" s="209"/>
      <c r="CW81" s="209"/>
      <c r="CX81" s="209"/>
      <c r="CY81" s="209"/>
      <c r="CZ81" s="209"/>
      <c r="DA81" s="209"/>
      <c r="DB81" s="209"/>
      <c r="DC81" s="209"/>
      <c r="DD81" s="209"/>
      <c r="DE81" s="58"/>
      <c r="DF81" s="58"/>
      <c r="DG81" s="58"/>
    </row>
    <row r="82" spans="1:111" ht="21.75" customHeight="1">
      <c r="A82" s="264" t="s">
        <v>105</v>
      </c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4"/>
      <c r="CJ82" s="214"/>
      <c r="CK82" s="214"/>
      <c r="CL82" s="214"/>
      <c r="CM82" s="214"/>
      <c r="CN82" s="214"/>
      <c r="CO82" s="214"/>
      <c r="CP82" s="214"/>
      <c r="CQ82" s="214"/>
      <c r="CR82" s="214"/>
      <c r="CS82" s="214"/>
      <c r="CT82" s="214"/>
      <c r="CU82" s="214"/>
      <c r="CV82" s="214"/>
      <c r="CW82" s="214"/>
      <c r="CX82" s="214"/>
      <c r="CY82" s="214"/>
      <c r="CZ82" s="214"/>
      <c r="DA82" s="214"/>
      <c r="DB82" s="214"/>
      <c r="DC82" s="214"/>
      <c r="DD82" s="214"/>
      <c r="DE82" s="214"/>
      <c r="DF82" s="214"/>
      <c r="DG82" s="215"/>
    </row>
    <row r="83" spans="1:111" ht="67.5" customHeight="1">
      <c r="A83" s="60"/>
      <c r="B83" s="265" t="s">
        <v>106</v>
      </c>
      <c r="C83" s="240"/>
      <c r="D83" s="240"/>
      <c r="E83" s="240"/>
      <c r="F83" s="240"/>
      <c r="G83" s="240"/>
      <c r="H83" s="240"/>
      <c r="I83" s="240"/>
      <c r="J83" s="240"/>
      <c r="K83" s="240"/>
      <c r="L83" s="240"/>
      <c r="M83" s="240"/>
      <c r="N83" s="240"/>
      <c r="O83" s="240"/>
      <c r="P83" s="240"/>
      <c r="Q83" s="240"/>
      <c r="R83" s="240"/>
      <c r="S83" s="240"/>
      <c r="T83" s="240"/>
      <c r="U83" s="240"/>
      <c r="V83" s="240"/>
      <c r="W83" s="240"/>
      <c r="X83" s="240"/>
      <c r="Y83" s="240"/>
      <c r="Z83" s="240"/>
      <c r="AA83" s="240"/>
      <c r="AB83" s="240"/>
      <c r="AC83" s="240"/>
      <c r="AD83" s="240"/>
      <c r="AE83" s="240"/>
      <c r="AF83" s="240"/>
      <c r="AG83" s="240"/>
      <c r="AH83" s="240"/>
      <c r="AI83" s="240"/>
      <c r="AJ83" s="240"/>
      <c r="AK83" s="240"/>
      <c r="AL83" s="240"/>
      <c r="AM83" s="240"/>
      <c r="AN83" s="240"/>
      <c r="AO83" s="240"/>
      <c r="AP83" s="240"/>
      <c r="AQ83" s="240"/>
      <c r="AR83" s="240"/>
      <c r="AS83" s="240"/>
      <c r="AT83" s="240"/>
      <c r="AU83" s="240"/>
      <c r="AV83" s="240"/>
      <c r="AW83" s="240"/>
      <c r="AX83" s="240"/>
      <c r="AY83" s="240"/>
      <c r="AZ83" s="240"/>
      <c r="BA83" s="240"/>
      <c r="BB83" s="240"/>
      <c r="BC83" s="240"/>
      <c r="BD83" s="61"/>
      <c r="BE83" s="60"/>
      <c r="BF83" s="262"/>
      <c r="BG83" s="240"/>
      <c r="BH83" s="240"/>
      <c r="BI83" s="240"/>
      <c r="BJ83" s="240"/>
      <c r="BK83" s="240"/>
      <c r="BL83" s="240"/>
      <c r="BM83" s="240"/>
      <c r="BN83" s="240"/>
      <c r="BO83" s="240"/>
      <c r="BP83" s="240"/>
      <c r="BQ83" s="240"/>
      <c r="BR83" s="240"/>
      <c r="BS83" s="240"/>
      <c r="BT83" s="240"/>
      <c r="BU83" s="240"/>
      <c r="BV83" s="240"/>
      <c r="BW83" s="240"/>
      <c r="BX83" s="240"/>
      <c r="BY83" s="240"/>
      <c r="BZ83" s="240"/>
      <c r="CA83" s="240"/>
      <c r="CB83" s="240"/>
      <c r="CC83" s="240"/>
      <c r="CD83" s="240"/>
      <c r="CE83" s="240"/>
      <c r="CF83" s="240"/>
      <c r="CG83" s="240"/>
      <c r="CH83" s="240"/>
      <c r="CI83" s="240"/>
      <c r="CJ83" s="240"/>
      <c r="CK83" s="240"/>
      <c r="CL83" s="240"/>
      <c r="CM83" s="240"/>
      <c r="CN83" s="240"/>
      <c r="CO83" s="240"/>
      <c r="CP83" s="240"/>
      <c r="CQ83" s="240"/>
      <c r="CR83" s="240"/>
      <c r="CS83" s="240"/>
      <c r="CT83" s="240"/>
      <c r="CU83" s="240"/>
      <c r="CV83" s="240"/>
      <c r="CW83" s="240"/>
      <c r="CX83" s="240"/>
      <c r="CY83" s="240"/>
      <c r="CZ83" s="240"/>
      <c r="DA83" s="240"/>
      <c r="DB83" s="240"/>
      <c r="DC83" s="240"/>
      <c r="DD83" s="240"/>
      <c r="DE83" s="240"/>
      <c r="DF83" s="240"/>
      <c r="DG83" s="62"/>
    </row>
    <row r="84" spans="1:111" ht="21.75" customHeight="1">
      <c r="A84" s="35"/>
      <c r="B84" s="259" t="s">
        <v>107</v>
      </c>
      <c r="C84" s="240"/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40"/>
      <c r="AB84" s="240"/>
      <c r="AC84" s="240"/>
      <c r="AD84" s="240"/>
      <c r="AE84" s="240"/>
      <c r="AF84" s="240"/>
      <c r="AG84" s="240"/>
      <c r="AH84" s="240"/>
      <c r="AI84" s="240"/>
      <c r="AJ84" s="240"/>
      <c r="AK84" s="240"/>
      <c r="AL84" s="240"/>
      <c r="AM84" s="240"/>
      <c r="AN84" s="240"/>
      <c r="AO84" s="240"/>
      <c r="AP84" s="240"/>
      <c r="AQ84" s="240"/>
      <c r="AR84" s="240"/>
      <c r="AS84" s="240"/>
      <c r="AT84" s="240"/>
      <c r="AU84" s="240"/>
      <c r="AV84" s="240"/>
      <c r="AW84" s="240"/>
      <c r="AX84" s="240"/>
      <c r="AY84" s="240"/>
      <c r="AZ84" s="240"/>
      <c r="BA84" s="240"/>
      <c r="BB84" s="240"/>
      <c r="BC84" s="240"/>
      <c r="BD84" s="63"/>
      <c r="BE84" s="35"/>
      <c r="BF84" s="259" t="s">
        <v>108</v>
      </c>
      <c r="BG84" s="240"/>
      <c r="BH84" s="240"/>
      <c r="BI84" s="240"/>
      <c r="BJ84" s="240"/>
      <c r="BK84" s="240"/>
      <c r="BL84" s="240"/>
      <c r="BM84" s="240"/>
      <c r="BN84" s="240"/>
      <c r="BO84" s="240"/>
      <c r="BP84" s="240"/>
      <c r="BQ84" s="240"/>
      <c r="BR84" s="240"/>
      <c r="BS84" s="240"/>
      <c r="BT84" s="240"/>
      <c r="BU84" s="240"/>
      <c r="BV84" s="240"/>
      <c r="BW84" s="240"/>
      <c r="BX84" s="240"/>
      <c r="BY84" s="240"/>
      <c r="BZ84" s="240"/>
      <c r="CA84" s="240"/>
      <c r="CB84" s="240"/>
      <c r="CC84" s="240"/>
      <c r="CD84" s="240"/>
      <c r="CE84" s="240"/>
      <c r="CF84" s="240"/>
      <c r="CG84" s="240"/>
      <c r="CH84" s="240"/>
      <c r="CI84" s="240"/>
      <c r="CJ84" s="240"/>
      <c r="CK84" s="240"/>
      <c r="CL84" s="240"/>
      <c r="CM84" s="240"/>
      <c r="CN84" s="240"/>
      <c r="CO84" s="240"/>
      <c r="CP84" s="240"/>
      <c r="CQ84" s="240"/>
      <c r="CR84" s="240"/>
      <c r="CS84" s="240"/>
      <c r="CT84" s="240"/>
      <c r="CU84" s="240"/>
      <c r="CV84" s="240"/>
      <c r="CW84" s="240"/>
      <c r="CX84" s="240"/>
      <c r="CY84" s="240"/>
      <c r="CZ84" s="240"/>
      <c r="DA84" s="240"/>
      <c r="DB84" s="240"/>
      <c r="DC84" s="240"/>
      <c r="DD84" s="240"/>
      <c r="DE84" s="240"/>
      <c r="DF84" s="240"/>
      <c r="DG84" s="38"/>
    </row>
    <row r="85" spans="1:111" ht="21.75" customHeight="1">
      <c r="A85" s="60"/>
      <c r="B85" s="262"/>
      <c r="C85" s="240"/>
      <c r="D85" s="240"/>
      <c r="E85" s="240"/>
      <c r="F85" s="240"/>
      <c r="G85" s="240"/>
      <c r="H85" s="240"/>
      <c r="I85" s="240"/>
      <c r="J85" s="240"/>
      <c r="K85" s="240"/>
      <c r="L85" s="240"/>
      <c r="M85" s="240"/>
      <c r="N85" s="240"/>
      <c r="O85" s="240"/>
      <c r="P85" s="240"/>
      <c r="Q85" s="240"/>
      <c r="R85" s="240"/>
      <c r="S85" s="240"/>
      <c r="T85" s="240"/>
      <c r="U85" s="240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40"/>
      <c r="AQ85" s="240"/>
      <c r="AR85" s="240"/>
      <c r="AS85" s="240"/>
      <c r="AT85" s="240"/>
      <c r="AU85" s="240"/>
      <c r="AV85" s="240"/>
      <c r="AW85" s="240"/>
      <c r="AX85" s="240"/>
      <c r="AY85" s="240"/>
      <c r="AZ85" s="240"/>
      <c r="BA85" s="240"/>
      <c r="BB85" s="240"/>
      <c r="BC85" s="240"/>
      <c r="BD85" s="61"/>
      <c r="BE85" s="60"/>
      <c r="BF85" s="262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0"/>
      <c r="BW85" s="240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0"/>
      <c r="CO85" s="240"/>
      <c r="CP85" s="240"/>
      <c r="CQ85" s="240"/>
      <c r="CR85" s="240"/>
      <c r="CS85" s="240"/>
      <c r="CT85" s="240"/>
      <c r="CU85" s="240"/>
      <c r="CV85" s="240"/>
      <c r="CW85" s="240"/>
      <c r="CX85" s="240"/>
      <c r="CY85" s="240"/>
      <c r="CZ85" s="240"/>
      <c r="DA85" s="240"/>
      <c r="DB85" s="240"/>
      <c r="DC85" s="240"/>
      <c r="DD85" s="240"/>
      <c r="DE85" s="240"/>
      <c r="DF85" s="240"/>
      <c r="DG85" s="62"/>
    </row>
    <row r="86" spans="1:111" ht="21.75" customHeight="1">
      <c r="A86" s="35"/>
      <c r="B86" s="259" t="s">
        <v>109</v>
      </c>
      <c r="C86" s="240"/>
      <c r="D86" s="240"/>
      <c r="E86" s="240"/>
      <c r="F86" s="240"/>
      <c r="G86" s="240"/>
      <c r="H86" s="240"/>
      <c r="I86" s="240"/>
      <c r="J86" s="240"/>
      <c r="K86" s="240"/>
      <c r="L86" s="240"/>
      <c r="M86" s="240"/>
      <c r="N86" s="240"/>
      <c r="O86" s="240"/>
      <c r="P86" s="240"/>
      <c r="Q86" s="240"/>
      <c r="R86" s="240"/>
      <c r="S86" s="240"/>
      <c r="T86" s="240"/>
      <c r="U86" s="240"/>
      <c r="V86" s="240"/>
      <c r="W86" s="240"/>
      <c r="X86" s="240"/>
      <c r="Y86" s="240"/>
      <c r="Z86" s="240"/>
      <c r="AA86" s="240"/>
      <c r="AB86" s="240"/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40"/>
      <c r="AQ86" s="240"/>
      <c r="AR86" s="240"/>
      <c r="AS86" s="240"/>
      <c r="AT86" s="240"/>
      <c r="AU86" s="240"/>
      <c r="AV86" s="240"/>
      <c r="AW86" s="240"/>
      <c r="AX86" s="240"/>
      <c r="AY86" s="240"/>
      <c r="AZ86" s="240"/>
      <c r="BA86" s="240"/>
      <c r="BB86" s="240"/>
      <c r="BC86" s="240"/>
      <c r="BD86" s="63"/>
      <c r="BE86" s="35"/>
      <c r="BF86" s="259" t="s">
        <v>91</v>
      </c>
      <c r="BG86" s="240"/>
      <c r="BH86" s="240"/>
      <c r="BI86" s="240"/>
      <c r="BJ86" s="240"/>
      <c r="BK86" s="240"/>
      <c r="BL86" s="240"/>
      <c r="BM86" s="240"/>
      <c r="BN86" s="240"/>
      <c r="BO86" s="240"/>
      <c r="BP86" s="240"/>
      <c r="BQ86" s="240"/>
      <c r="BR86" s="240"/>
      <c r="BS86" s="240"/>
      <c r="BT86" s="240"/>
      <c r="BU86" s="240"/>
      <c r="BV86" s="240"/>
      <c r="BW86" s="240"/>
      <c r="BX86" s="240"/>
      <c r="BY86" s="240"/>
      <c r="BZ86" s="240"/>
      <c r="CA86" s="240"/>
      <c r="CB86" s="240"/>
      <c r="CC86" s="240"/>
      <c r="CD86" s="240"/>
      <c r="CE86" s="240"/>
      <c r="CF86" s="240"/>
      <c r="CG86" s="240"/>
      <c r="CH86" s="240"/>
      <c r="CI86" s="240"/>
      <c r="CJ86" s="240"/>
      <c r="CK86" s="240"/>
      <c r="CL86" s="240"/>
      <c r="CM86" s="240"/>
      <c r="CN86" s="240"/>
      <c r="CO86" s="240"/>
      <c r="CP86" s="240"/>
      <c r="CQ86" s="240"/>
      <c r="CR86" s="240"/>
      <c r="CS86" s="240"/>
      <c r="CT86" s="240"/>
      <c r="CU86" s="240"/>
      <c r="CV86" s="240"/>
      <c r="CW86" s="240"/>
      <c r="CX86" s="240"/>
      <c r="CY86" s="240"/>
      <c r="CZ86" s="240"/>
      <c r="DA86" s="240"/>
      <c r="DB86" s="240"/>
      <c r="DC86" s="240"/>
      <c r="DD86" s="240"/>
      <c r="DE86" s="240"/>
      <c r="DF86" s="240"/>
      <c r="DG86" s="38"/>
    </row>
    <row r="87" spans="1:111" ht="21.75" customHeight="1">
      <c r="A87" s="60"/>
      <c r="B87" s="262"/>
      <c r="C87" s="240"/>
      <c r="D87" s="240"/>
      <c r="E87" s="240"/>
      <c r="F87" s="240"/>
      <c r="G87" s="240"/>
      <c r="H87" s="240"/>
      <c r="I87" s="240"/>
      <c r="J87" s="240"/>
      <c r="K87" s="240"/>
      <c r="L87" s="240"/>
      <c r="M87" s="240"/>
      <c r="N87" s="240"/>
      <c r="O87" s="240"/>
      <c r="P87" s="240"/>
      <c r="Q87" s="240"/>
      <c r="R87" s="240"/>
      <c r="S87" s="240"/>
      <c r="T87" s="240"/>
      <c r="U87" s="240"/>
      <c r="V87" s="240"/>
      <c r="W87" s="24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40"/>
      <c r="AI87" s="240"/>
      <c r="AJ87" s="240"/>
      <c r="AK87" s="240"/>
      <c r="AL87" s="240"/>
      <c r="AM87" s="240"/>
      <c r="AN87" s="240"/>
      <c r="AO87" s="240"/>
      <c r="AP87" s="240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61"/>
      <c r="BE87" s="60"/>
      <c r="BF87" s="262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240"/>
      <c r="BR87" s="240"/>
      <c r="BS87" s="240"/>
      <c r="BT87" s="240"/>
      <c r="BU87" s="240"/>
      <c r="BV87" s="240"/>
      <c r="BW87" s="240"/>
      <c r="BX87" s="240"/>
      <c r="BY87" s="240"/>
      <c r="BZ87" s="240"/>
      <c r="CA87" s="240"/>
      <c r="CB87" s="240"/>
      <c r="CC87" s="240"/>
      <c r="CD87" s="240"/>
      <c r="CE87" s="240"/>
      <c r="CF87" s="240"/>
      <c r="CG87" s="240"/>
      <c r="CH87" s="240"/>
      <c r="CI87" s="240"/>
      <c r="CJ87" s="240"/>
      <c r="CK87" s="240"/>
      <c r="CL87" s="240"/>
      <c r="CM87" s="240"/>
      <c r="CN87" s="240"/>
      <c r="CO87" s="240"/>
      <c r="CP87" s="240"/>
      <c r="CQ87" s="240"/>
      <c r="CR87" s="240"/>
      <c r="CS87" s="240"/>
      <c r="CT87" s="240"/>
      <c r="CU87" s="240"/>
      <c r="CV87" s="240"/>
      <c r="CW87" s="240"/>
      <c r="CX87" s="240"/>
      <c r="CY87" s="240"/>
      <c r="CZ87" s="240"/>
      <c r="DA87" s="240"/>
      <c r="DB87" s="240"/>
      <c r="DC87" s="240"/>
      <c r="DD87" s="240"/>
      <c r="DE87" s="240"/>
      <c r="DF87" s="240"/>
      <c r="DG87" s="62"/>
    </row>
    <row r="88" spans="1:111" ht="21.75" customHeight="1">
      <c r="A88" s="35"/>
      <c r="B88" s="259" t="s">
        <v>110</v>
      </c>
      <c r="C88" s="240"/>
      <c r="D88" s="240"/>
      <c r="E88" s="240"/>
      <c r="F88" s="240"/>
      <c r="G88" s="240"/>
      <c r="H88" s="240"/>
      <c r="I88" s="240"/>
      <c r="J88" s="240"/>
      <c r="K88" s="240"/>
      <c r="L88" s="240"/>
      <c r="M88" s="240"/>
      <c r="N88" s="240"/>
      <c r="O88" s="240"/>
      <c r="P88" s="240"/>
      <c r="Q88" s="240"/>
      <c r="R88" s="240"/>
      <c r="S88" s="240"/>
      <c r="T88" s="240"/>
      <c r="U88" s="240"/>
      <c r="V88" s="240"/>
      <c r="W88" s="240"/>
      <c r="X88" s="240"/>
      <c r="Y88" s="240"/>
      <c r="Z88" s="240"/>
      <c r="AA88" s="240"/>
      <c r="AB88" s="240"/>
      <c r="AC88" s="240"/>
      <c r="AD88" s="240"/>
      <c r="AE88" s="240"/>
      <c r="AF88" s="240"/>
      <c r="AG88" s="240"/>
      <c r="AH88" s="240"/>
      <c r="AI88" s="240"/>
      <c r="AJ88" s="240"/>
      <c r="AK88" s="240"/>
      <c r="AL88" s="240"/>
      <c r="AM88" s="240"/>
      <c r="AN88" s="240"/>
      <c r="AO88" s="240"/>
      <c r="AP88" s="240"/>
      <c r="AQ88" s="240"/>
      <c r="AR88" s="240"/>
      <c r="AS88" s="240"/>
      <c r="AT88" s="240"/>
      <c r="AU88" s="240"/>
      <c r="AV88" s="240"/>
      <c r="AW88" s="240"/>
      <c r="AX88" s="240"/>
      <c r="AY88" s="240"/>
      <c r="AZ88" s="240"/>
      <c r="BA88" s="240"/>
      <c r="BB88" s="240"/>
      <c r="BC88" s="240"/>
      <c r="BD88" s="63"/>
      <c r="BE88" s="35"/>
      <c r="BF88" s="259" t="s">
        <v>93</v>
      </c>
      <c r="BG88" s="240"/>
      <c r="BH88" s="240"/>
      <c r="BI88" s="240"/>
      <c r="BJ88" s="240"/>
      <c r="BK88" s="240"/>
      <c r="BL88" s="240"/>
      <c r="BM88" s="240"/>
      <c r="BN88" s="240"/>
      <c r="BO88" s="240"/>
      <c r="BP88" s="240"/>
      <c r="BQ88" s="240"/>
      <c r="BR88" s="240"/>
      <c r="BS88" s="240"/>
      <c r="BT88" s="240"/>
      <c r="BU88" s="240"/>
      <c r="BV88" s="240"/>
      <c r="BW88" s="240"/>
      <c r="BX88" s="240"/>
      <c r="BY88" s="240"/>
      <c r="BZ88" s="240"/>
      <c r="CA88" s="240"/>
      <c r="CB88" s="240"/>
      <c r="CC88" s="240"/>
      <c r="CD88" s="240"/>
      <c r="CE88" s="240"/>
      <c r="CF88" s="240"/>
      <c r="CG88" s="240"/>
      <c r="CH88" s="240"/>
      <c r="CI88" s="240"/>
      <c r="CJ88" s="240"/>
      <c r="CK88" s="240"/>
      <c r="CL88" s="240"/>
      <c r="CM88" s="240"/>
      <c r="CN88" s="240"/>
      <c r="CO88" s="240"/>
      <c r="CP88" s="240"/>
      <c r="CQ88" s="240"/>
      <c r="CR88" s="240"/>
      <c r="CS88" s="240"/>
      <c r="CT88" s="240"/>
      <c r="CU88" s="240"/>
      <c r="CV88" s="240"/>
      <c r="CW88" s="240"/>
      <c r="CX88" s="240"/>
      <c r="CY88" s="240"/>
      <c r="CZ88" s="240"/>
      <c r="DA88" s="240"/>
      <c r="DB88" s="240"/>
      <c r="DC88" s="240"/>
      <c r="DD88" s="240"/>
      <c r="DE88" s="240"/>
      <c r="DF88" s="240"/>
      <c r="DG88" s="38"/>
    </row>
    <row r="89" spans="1:111" ht="21.75" customHeight="1">
      <c r="A89" s="60"/>
      <c r="B89" s="262"/>
      <c r="C89" s="240"/>
      <c r="D89" s="240"/>
      <c r="E89" s="240"/>
      <c r="F89" s="240"/>
      <c r="G89" s="240"/>
      <c r="H89" s="240"/>
      <c r="I89" s="240"/>
      <c r="J89" s="240"/>
      <c r="K89" s="240"/>
      <c r="L89" s="240"/>
      <c r="M89" s="240"/>
      <c r="N89" s="240"/>
      <c r="O89" s="240"/>
      <c r="P89" s="240"/>
      <c r="Q89" s="240"/>
      <c r="R89" s="240"/>
      <c r="S89" s="240"/>
      <c r="T89" s="240"/>
      <c r="U89" s="240"/>
      <c r="V89" s="240"/>
      <c r="W89" s="240"/>
      <c r="X89" s="240"/>
      <c r="Y89" s="240"/>
      <c r="Z89" s="240"/>
      <c r="AA89" s="240"/>
      <c r="AB89" s="240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240"/>
      <c r="AQ89" s="240"/>
      <c r="AR89" s="240"/>
      <c r="AS89" s="240"/>
      <c r="AT89" s="240"/>
      <c r="AU89" s="240"/>
      <c r="AV89" s="240"/>
      <c r="AW89" s="240"/>
      <c r="AX89" s="240"/>
      <c r="AY89" s="240"/>
      <c r="AZ89" s="240"/>
      <c r="BA89" s="240"/>
      <c r="BB89" s="240"/>
      <c r="BC89" s="240"/>
      <c r="BD89" s="61"/>
      <c r="BE89" s="60"/>
      <c r="BF89" s="262"/>
      <c r="BG89" s="240"/>
      <c r="BH89" s="240"/>
      <c r="BI89" s="240"/>
      <c r="BJ89" s="240"/>
      <c r="BK89" s="240"/>
      <c r="BL89" s="240"/>
      <c r="BM89" s="240"/>
      <c r="BN89" s="240"/>
      <c r="BO89" s="240"/>
      <c r="BP89" s="240"/>
      <c r="BQ89" s="240"/>
      <c r="BR89" s="240"/>
      <c r="BS89" s="240"/>
      <c r="BT89" s="240"/>
      <c r="BU89" s="240"/>
      <c r="BV89" s="240"/>
      <c r="BW89" s="240"/>
      <c r="BX89" s="240"/>
      <c r="BY89" s="240"/>
      <c r="BZ89" s="240"/>
      <c r="CA89" s="240"/>
      <c r="CB89" s="240"/>
      <c r="CC89" s="240"/>
      <c r="CD89" s="240"/>
      <c r="CE89" s="240"/>
      <c r="CF89" s="240"/>
      <c r="CG89" s="240"/>
      <c r="CH89" s="240"/>
      <c r="CI89" s="240"/>
      <c r="CJ89" s="240"/>
      <c r="CK89" s="240"/>
      <c r="CL89" s="240"/>
      <c r="CM89" s="240"/>
      <c r="CN89" s="240"/>
      <c r="CO89" s="240"/>
      <c r="CP89" s="240"/>
      <c r="CQ89" s="240"/>
      <c r="CR89" s="240"/>
      <c r="CS89" s="240"/>
      <c r="CT89" s="240"/>
      <c r="CU89" s="240"/>
      <c r="CV89" s="240"/>
      <c r="CW89" s="240"/>
      <c r="CX89" s="240"/>
      <c r="CY89" s="240"/>
      <c r="CZ89" s="240"/>
      <c r="DA89" s="240"/>
      <c r="DB89" s="240"/>
      <c r="DC89" s="240"/>
      <c r="DD89" s="240"/>
      <c r="DE89" s="240"/>
      <c r="DF89" s="240"/>
      <c r="DG89" s="62"/>
    </row>
    <row r="90" spans="1:111" ht="21.75" customHeight="1">
      <c r="A90" s="35"/>
      <c r="B90" s="259" t="s">
        <v>111</v>
      </c>
      <c r="C90" s="240"/>
      <c r="D90" s="240"/>
      <c r="E90" s="240"/>
      <c r="F90" s="240"/>
      <c r="G90" s="240"/>
      <c r="H90" s="240"/>
      <c r="I90" s="240"/>
      <c r="J90" s="240"/>
      <c r="K90" s="240"/>
      <c r="L90" s="240"/>
      <c r="M90" s="240"/>
      <c r="N90" s="240"/>
      <c r="O90" s="240"/>
      <c r="P90" s="240"/>
      <c r="Q90" s="240"/>
      <c r="R90" s="240"/>
      <c r="S90" s="240"/>
      <c r="T90" s="240"/>
      <c r="U90" s="240"/>
      <c r="V90" s="240"/>
      <c r="W90" s="240"/>
      <c r="X90" s="240"/>
      <c r="Y90" s="240"/>
      <c r="Z90" s="240"/>
      <c r="AA90" s="240"/>
      <c r="AB90" s="240"/>
      <c r="AC90" s="240"/>
      <c r="AD90" s="240"/>
      <c r="AE90" s="240"/>
      <c r="AF90" s="240"/>
      <c r="AG90" s="240"/>
      <c r="AH90" s="240"/>
      <c r="AI90" s="240"/>
      <c r="AJ90" s="240"/>
      <c r="AK90" s="240"/>
      <c r="AL90" s="240"/>
      <c r="AM90" s="240"/>
      <c r="AN90" s="240"/>
      <c r="AO90" s="240"/>
      <c r="AP90" s="240"/>
      <c r="AQ90" s="240"/>
      <c r="AR90" s="240"/>
      <c r="AS90" s="240"/>
      <c r="AT90" s="240"/>
      <c r="AU90" s="240"/>
      <c r="AV90" s="240"/>
      <c r="AW90" s="240"/>
      <c r="AX90" s="240"/>
      <c r="AY90" s="240"/>
      <c r="AZ90" s="240"/>
      <c r="BA90" s="240"/>
      <c r="BB90" s="240"/>
      <c r="BC90" s="240"/>
      <c r="BD90" s="63"/>
      <c r="BE90" s="35"/>
      <c r="BF90" s="259" t="s">
        <v>112</v>
      </c>
      <c r="BG90" s="240"/>
      <c r="BH90" s="240"/>
      <c r="BI90" s="240"/>
      <c r="BJ90" s="240"/>
      <c r="BK90" s="240"/>
      <c r="BL90" s="240"/>
      <c r="BM90" s="240"/>
      <c r="BN90" s="240"/>
      <c r="BO90" s="240"/>
      <c r="BP90" s="240"/>
      <c r="BQ90" s="240"/>
      <c r="BR90" s="240"/>
      <c r="BS90" s="240"/>
      <c r="BT90" s="240"/>
      <c r="BU90" s="240"/>
      <c r="BV90" s="240"/>
      <c r="BW90" s="240"/>
      <c r="BX90" s="240"/>
      <c r="BY90" s="240"/>
      <c r="BZ90" s="240"/>
      <c r="CA90" s="240"/>
      <c r="CB90" s="240"/>
      <c r="CC90" s="240"/>
      <c r="CD90" s="240"/>
      <c r="CE90" s="240"/>
      <c r="CF90" s="240"/>
      <c r="CG90" s="240"/>
      <c r="CH90" s="240"/>
      <c r="CI90" s="240"/>
      <c r="CJ90" s="240"/>
      <c r="CK90" s="240"/>
      <c r="CL90" s="240"/>
      <c r="CM90" s="240"/>
      <c r="CN90" s="240"/>
      <c r="CO90" s="240"/>
      <c r="CP90" s="240"/>
      <c r="CQ90" s="240"/>
      <c r="CR90" s="240"/>
      <c r="CS90" s="240"/>
      <c r="CT90" s="240"/>
      <c r="CU90" s="240"/>
      <c r="CV90" s="240"/>
      <c r="CW90" s="240"/>
      <c r="CX90" s="240"/>
      <c r="CY90" s="240"/>
      <c r="CZ90" s="240"/>
      <c r="DA90" s="240"/>
      <c r="DB90" s="240"/>
      <c r="DC90" s="240"/>
      <c r="DD90" s="240"/>
      <c r="DE90" s="240"/>
      <c r="DF90" s="240"/>
      <c r="DG90" s="38"/>
    </row>
    <row r="91" spans="1:111" ht="21.75" customHeight="1">
      <c r="A91" s="60"/>
      <c r="B91" s="262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240"/>
      <c r="S91" s="240"/>
      <c r="T91" s="240"/>
      <c r="U91" s="240"/>
      <c r="V91" s="240"/>
      <c r="W91" s="240"/>
      <c r="X91" s="262"/>
      <c r="Y91" s="240"/>
      <c r="Z91" s="240"/>
      <c r="AA91" s="240"/>
      <c r="AB91" s="240"/>
      <c r="AC91" s="240"/>
      <c r="AD91" s="240"/>
      <c r="AE91" s="240"/>
      <c r="AF91" s="240"/>
      <c r="AG91" s="240"/>
      <c r="AH91" s="262"/>
      <c r="AI91" s="240"/>
      <c r="AJ91" s="240"/>
      <c r="AK91" s="240"/>
      <c r="AL91" s="240"/>
      <c r="AM91" s="240"/>
      <c r="AN91" s="240"/>
      <c r="AO91" s="240"/>
      <c r="AP91" s="240"/>
      <c r="AQ91" s="240"/>
      <c r="AR91" s="240"/>
      <c r="AS91" s="240"/>
      <c r="AT91" s="240"/>
      <c r="AU91" s="240"/>
      <c r="AV91" s="240"/>
      <c r="AW91" s="240"/>
      <c r="AX91" s="240"/>
      <c r="AY91" s="240"/>
      <c r="AZ91" s="240"/>
      <c r="BA91" s="240"/>
      <c r="BB91" s="240"/>
      <c r="BC91" s="240"/>
      <c r="BD91" s="61"/>
      <c r="BE91" s="60"/>
      <c r="BF91" s="262"/>
      <c r="BG91" s="240"/>
      <c r="BH91" s="240"/>
      <c r="BI91" s="240"/>
      <c r="BJ91" s="240"/>
      <c r="BK91" s="240"/>
      <c r="BL91" s="240"/>
      <c r="BM91" s="240"/>
      <c r="BN91" s="240"/>
      <c r="BO91" s="240"/>
      <c r="BP91" s="240"/>
      <c r="BQ91" s="240"/>
      <c r="BR91" s="262"/>
      <c r="BS91" s="240"/>
      <c r="BT91" s="240"/>
      <c r="BU91" s="240"/>
      <c r="BV91" s="240"/>
      <c r="BW91" s="240"/>
      <c r="BX91" s="240"/>
      <c r="BY91" s="240"/>
      <c r="BZ91" s="240"/>
      <c r="CA91" s="240"/>
      <c r="CB91" s="240"/>
      <c r="CC91" s="240"/>
      <c r="CD91" s="240"/>
      <c r="CE91" s="240"/>
      <c r="CF91" s="240"/>
      <c r="CG91" s="240"/>
      <c r="CH91" s="240"/>
      <c r="CI91" s="240"/>
      <c r="CJ91" s="240"/>
      <c r="CK91" s="240"/>
      <c r="CL91" s="240"/>
      <c r="CM91" s="240"/>
      <c r="CN91" s="240"/>
      <c r="CO91" s="240"/>
      <c r="CP91" s="240"/>
      <c r="CQ91" s="240"/>
      <c r="CR91" s="240"/>
      <c r="CS91" s="240"/>
      <c r="CT91" s="240"/>
      <c r="CU91" s="240"/>
      <c r="CV91" s="240"/>
      <c r="CW91" s="240"/>
      <c r="CX91" s="240"/>
      <c r="CY91" s="240"/>
      <c r="CZ91" s="240"/>
      <c r="DA91" s="240"/>
      <c r="DB91" s="240"/>
      <c r="DC91" s="240"/>
      <c r="DD91" s="240"/>
      <c r="DE91" s="240"/>
      <c r="DF91" s="240"/>
      <c r="DG91" s="62"/>
    </row>
    <row r="92" spans="1:111" ht="21.75" customHeight="1">
      <c r="A92" s="35"/>
      <c r="B92" s="259" t="s">
        <v>113</v>
      </c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240"/>
      <c r="S92" s="240"/>
      <c r="T92" s="240"/>
      <c r="U92" s="240"/>
      <c r="V92" s="240"/>
      <c r="W92" s="240"/>
      <c r="X92" s="240"/>
      <c r="Y92" s="240"/>
      <c r="Z92" s="240"/>
      <c r="AA92" s="240"/>
      <c r="AB92" s="240"/>
      <c r="AC92" s="240"/>
      <c r="AD92" s="240"/>
      <c r="AE92" s="240"/>
      <c r="AF92" s="240"/>
      <c r="AG92" s="240"/>
      <c r="AH92" s="240"/>
      <c r="AI92" s="240"/>
      <c r="AJ92" s="240"/>
      <c r="AK92" s="240"/>
      <c r="AL92" s="240"/>
      <c r="AM92" s="240"/>
      <c r="AN92" s="240"/>
      <c r="AO92" s="240"/>
      <c r="AP92" s="240"/>
      <c r="AQ92" s="240"/>
      <c r="AR92" s="240"/>
      <c r="AS92" s="240"/>
      <c r="AT92" s="240"/>
      <c r="AU92" s="240"/>
      <c r="AV92" s="240"/>
      <c r="AW92" s="240"/>
      <c r="AX92" s="240"/>
      <c r="AY92" s="240"/>
      <c r="AZ92" s="240"/>
      <c r="BA92" s="240"/>
      <c r="BB92" s="240"/>
      <c r="BC92" s="240"/>
      <c r="BD92" s="63"/>
      <c r="BE92" s="35"/>
      <c r="BF92" s="259" t="s">
        <v>114</v>
      </c>
      <c r="BG92" s="240"/>
      <c r="BH92" s="240"/>
      <c r="BI92" s="240"/>
      <c r="BJ92" s="240"/>
      <c r="BK92" s="240"/>
      <c r="BL92" s="240"/>
      <c r="BM92" s="240"/>
      <c r="BN92" s="240"/>
      <c r="BO92" s="240"/>
      <c r="BP92" s="240"/>
      <c r="BQ92" s="240"/>
      <c r="BR92" s="240"/>
      <c r="BS92" s="240"/>
      <c r="BT92" s="240"/>
      <c r="BU92" s="240"/>
      <c r="BV92" s="240"/>
      <c r="BW92" s="240"/>
      <c r="BX92" s="240"/>
      <c r="BY92" s="240"/>
      <c r="BZ92" s="240"/>
      <c r="CA92" s="240"/>
      <c r="CB92" s="240"/>
      <c r="CC92" s="240"/>
      <c r="CD92" s="240"/>
      <c r="CE92" s="240"/>
      <c r="CF92" s="240"/>
      <c r="CG92" s="240"/>
      <c r="CH92" s="240"/>
      <c r="CI92" s="240"/>
      <c r="CJ92" s="240"/>
      <c r="CK92" s="240"/>
      <c r="CL92" s="240"/>
      <c r="CM92" s="240"/>
      <c r="CN92" s="240"/>
      <c r="CO92" s="240"/>
      <c r="CP92" s="240"/>
      <c r="CQ92" s="240"/>
      <c r="CR92" s="240"/>
      <c r="CS92" s="240"/>
      <c r="CT92" s="240"/>
      <c r="CU92" s="240"/>
      <c r="CV92" s="240"/>
      <c r="CW92" s="240"/>
      <c r="CX92" s="240"/>
      <c r="CY92" s="240"/>
      <c r="CZ92" s="240"/>
      <c r="DA92" s="240"/>
      <c r="DB92" s="240"/>
      <c r="DC92" s="240"/>
      <c r="DD92" s="240"/>
      <c r="DE92" s="240"/>
      <c r="DF92" s="240"/>
      <c r="DG92" s="38"/>
    </row>
    <row r="93" spans="1:111" ht="21.75" customHeight="1">
      <c r="A93" s="264" t="s">
        <v>115</v>
      </c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  <c r="BY93" s="214"/>
      <c r="BZ93" s="214"/>
      <c r="CA93" s="214"/>
      <c r="CB93" s="214"/>
      <c r="CC93" s="214"/>
      <c r="CD93" s="214"/>
      <c r="CE93" s="214"/>
      <c r="CF93" s="214"/>
      <c r="CG93" s="214"/>
      <c r="CH93" s="214"/>
      <c r="CI93" s="214"/>
      <c r="CJ93" s="214"/>
      <c r="CK93" s="214"/>
      <c r="CL93" s="214"/>
      <c r="CM93" s="214"/>
      <c r="CN93" s="214"/>
      <c r="CO93" s="214"/>
      <c r="CP93" s="214"/>
      <c r="CQ93" s="214"/>
      <c r="CR93" s="214"/>
      <c r="CS93" s="214"/>
      <c r="CT93" s="214"/>
      <c r="CU93" s="214"/>
      <c r="CV93" s="214"/>
      <c r="CW93" s="214"/>
      <c r="CX93" s="214"/>
      <c r="CY93" s="214"/>
      <c r="CZ93" s="214"/>
      <c r="DA93" s="214"/>
      <c r="DB93" s="214"/>
      <c r="DC93" s="214"/>
      <c r="DD93" s="214"/>
      <c r="DE93" s="214"/>
      <c r="DF93" s="214"/>
      <c r="DG93" s="215"/>
    </row>
    <row r="94" spans="1:111" ht="21.75" customHeight="1">
      <c r="A94" s="60"/>
      <c r="B94" s="262"/>
      <c r="C94" s="240"/>
      <c r="D94" s="240"/>
      <c r="E94" s="240"/>
      <c r="F94" s="240"/>
      <c r="G94" s="240"/>
      <c r="H94" s="240"/>
      <c r="I94" s="240"/>
      <c r="J94" s="240"/>
      <c r="K94" s="240"/>
      <c r="L94" s="240"/>
      <c r="M94" s="240"/>
      <c r="N94" s="240"/>
      <c r="O94" s="240"/>
      <c r="P94" s="240"/>
      <c r="Q94" s="240"/>
      <c r="R94" s="240"/>
      <c r="S94" s="240"/>
      <c r="T94" s="240"/>
      <c r="U94" s="240"/>
      <c r="V94" s="240"/>
      <c r="W94" s="240"/>
      <c r="X94" s="240"/>
      <c r="Y94" s="240"/>
      <c r="Z94" s="240"/>
      <c r="AA94" s="240"/>
      <c r="AB94" s="240"/>
      <c r="AC94" s="240"/>
      <c r="AD94" s="240"/>
      <c r="AE94" s="240"/>
      <c r="AF94" s="240"/>
      <c r="AG94" s="240"/>
      <c r="AH94" s="240"/>
      <c r="AI94" s="240"/>
      <c r="AJ94" s="240"/>
      <c r="AK94" s="240"/>
      <c r="AL94" s="240"/>
      <c r="AM94" s="240"/>
      <c r="AN94" s="240"/>
      <c r="AO94" s="240"/>
      <c r="AP94" s="240"/>
      <c r="AQ94" s="240"/>
      <c r="AR94" s="240"/>
      <c r="AS94" s="240"/>
      <c r="AT94" s="240"/>
      <c r="AU94" s="240"/>
      <c r="AV94" s="240"/>
      <c r="AW94" s="240"/>
      <c r="AX94" s="240"/>
      <c r="AY94" s="240"/>
      <c r="AZ94" s="240"/>
      <c r="BA94" s="240"/>
      <c r="BB94" s="240"/>
      <c r="BC94" s="240"/>
      <c r="BD94" s="240"/>
      <c r="BE94" s="240"/>
      <c r="BF94" s="240"/>
      <c r="BG94" s="240"/>
      <c r="BH94" s="240"/>
      <c r="BI94" s="240"/>
      <c r="BJ94" s="240"/>
      <c r="BK94" s="240"/>
      <c r="BL94" s="240"/>
      <c r="BM94" s="240"/>
      <c r="BN94" s="240"/>
      <c r="BO94" s="240"/>
      <c r="BP94" s="240"/>
      <c r="BQ94" s="240"/>
      <c r="BR94" s="240"/>
      <c r="BS94" s="240"/>
      <c r="BT94" s="240"/>
      <c r="BU94" s="240"/>
      <c r="BV94" s="240"/>
      <c r="BW94" s="240"/>
      <c r="BX94" s="269"/>
      <c r="BY94" s="262"/>
      <c r="BZ94" s="240"/>
      <c r="CA94" s="240"/>
      <c r="CB94" s="240"/>
      <c r="CC94" s="240"/>
      <c r="CD94" s="240"/>
      <c r="CE94" s="240"/>
      <c r="CF94" s="240"/>
      <c r="CG94" s="240"/>
      <c r="CH94" s="240"/>
      <c r="CI94" s="240"/>
      <c r="CJ94" s="240"/>
      <c r="CK94" s="240"/>
      <c r="CL94" s="240"/>
      <c r="CM94" s="240"/>
      <c r="CN94" s="269"/>
      <c r="CO94" s="262"/>
      <c r="CP94" s="240"/>
      <c r="CQ94" s="240"/>
      <c r="CR94" s="240"/>
      <c r="CS94" s="240"/>
      <c r="CT94" s="240"/>
      <c r="CU94" s="240"/>
      <c r="CV94" s="240"/>
      <c r="CW94" s="262"/>
      <c r="CX94" s="240"/>
      <c r="CY94" s="240"/>
      <c r="CZ94" s="240"/>
      <c r="DA94" s="240"/>
      <c r="DB94" s="240"/>
      <c r="DC94" s="240"/>
      <c r="DD94" s="240"/>
      <c r="DE94" s="240"/>
      <c r="DF94" s="240"/>
      <c r="DG94" s="62"/>
    </row>
    <row r="95" spans="1:111" ht="21.75" customHeight="1">
      <c r="A95" s="35"/>
      <c r="B95" s="266" t="s">
        <v>116</v>
      </c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5"/>
      <c r="BY95" s="266" t="s">
        <v>117</v>
      </c>
      <c r="BZ95" s="214"/>
      <c r="CA95" s="214"/>
      <c r="CB95" s="214"/>
      <c r="CC95" s="214"/>
      <c r="CD95" s="214"/>
      <c r="CE95" s="214"/>
      <c r="CF95" s="214"/>
      <c r="CG95" s="214"/>
      <c r="CH95" s="214"/>
      <c r="CI95" s="214"/>
      <c r="CJ95" s="214"/>
      <c r="CK95" s="214"/>
      <c r="CL95" s="214"/>
      <c r="CM95" s="214"/>
      <c r="CN95" s="215"/>
      <c r="CO95" s="266" t="s">
        <v>118</v>
      </c>
      <c r="CP95" s="214"/>
      <c r="CQ95" s="214"/>
      <c r="CR95" s="214"/>
      <c r="CS95" s="214"/>
      <c r="CT95" s="214"/>
      <c r="CU95" s="214"/>
      <c r="CV95" s="214"/>
      <c r="CW95" s="214"/>
      <c r="CX95" s="214"/>
      <c r="CY95" s="214"/>
      <c r="CZ95" s="214"/>
      <c r="DA95" s="214"/>
      <c r="DB95" s="214"/>
      <c r="DC95" s="214"/>
      <c r="DD95" s="214"/>
      <c r="DE95" s="214"/>
      <c r="DF95" s="214"/>
      <c r="DG95" s="38"/>
    </row>
    <row r="96" spans="1:111" ht="21.75" customHeight="1">
      <c r="A96" s="264" t="s">
        <v>119</v>
      </c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14"/>
      <c r="CE96" s="214"/>
      <c r="CF96" s="214"/>
      <c r="CG96" s="214"/>
      <c r="CH96" s="214"/>
      <c r="CI96" s="214"/>
      <c r="CJ96" s="214"/>
      <c r="CK96" s="214"/>
      <c r="CL96" s="214"/>
      <c r="CM96" s="214"/>
      <c r="CN96" s="214"/>
      <c r="CO96" s="214"/>
      <c r="CP96" s="214"/>
      <c r="CQ96" s="214"/>
      <c r="CR96" s="214"/>
      <c r="CS96" s="214"/>
      <c r="CT96" s="214"/>
      <c r="CU96" s="214"/>
      <c r="CV96" s="214"/>
      <c r="CW96" s="214"/>
      <c r="CX96" s="214"/>
      <c r="CY96" s="214"/>
      <c r="CZ96" s="214"/>
      <c r="DA96" s="214"/>
      <c r="DB96" s="214"/>
      <c r="DC96" s="214"/>
      <c r="DD96" s="214"/>
      <c r="DE96" s="214"/>
      <c r="DF96" s="214"/>
      <c r="DG96" s="215"/>
    </row>
    <row r="97" spans="1:111" ht="21.75" customHeight="1">
      <c r="A97" s="60"/>
      <c r="B97" s="262"/>
      <c r="C97" s="240"/>
      <c r="D97" s="240"/>
      <c r="E97" s="240"/>
      <c r="F97" s="240"/>
      <c r="G97" s="240"/>
      <c r="H97" s="240"/>
      <c r="I97" s="240"/>
      <c r="J97" s="240"/>
      <c r="K97" s="240"/>
      <c r="L97" s="240"/>
      <c r="M97" s="240"/>
      <c r="N97" s="240"/>
      <c r="O97" s="240"/>
      <c r="P97" s="240"/>
      <c r="Q97" s="240"/>
      <c r="R97" s="240"/>
      <c r="S97" s="240"/>
      <c r="T97" s="240"/>
      <c r="U97" s="240"/>
      <c r="V97" s="240"/>
      <c r="W97" s="240"/>
      <c r="X97" s="240"/>
      <c r="Y97" s="240"/>
      <c r="Z97" s="240"/>
      <c r="AA97" s="240"/>
      <c r="AB97" s="240"/>
      <c r="AC97" s="269"/>
      <c r="AD97" s="262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240"/>
      <c r="AQ97" s="240"/>
      <c r="AR97" s="240"/>
      <c r="AS97" s="240"/>
      <c r="AT97" s="240"/>
      <c r="AU97" s="240"/>
      <c r="AV97" s="240"/>
      <c r="AW97" s="240"/>
      <c r="AX97" s="240"/>
      <c r="AY97" s="240"/>
      <c r="AZ97" s="240"/>
      <c r="BA97" s="240"/>
      <c r="BB97" s="240"/>
      <c r="BC97" s="240"/>
      <c r="BD97" s="269"/>
      <c r="BE97" s="262"/>
      <c r="BF97" s="240"/>
      <c r="BG97" s="240"/>
      <c r="BH97" s="240"/>
      <c r="BI97" s="240"/>
      <c r="BJ97" s="240"/>
      <c r="BK97" s="240"/>
      <c r="BL97" s="240"/>
      <c r="BM97" s="240"/>
      <c r="BN97" s="240"/>
      <c r="BO97" s="240"/>
      <c r="BP97" s="240"/>
      <c r="BQ97" s="240"/>
      <c r="BR97" s="240"/>
      <c r="BS97" s="240"/>
      <c r="BT97" s="240"/>
      <c r="BU97" s="240"/>
      <c r="BV97" s="240"/>
      <c r="BW97" s="240"/>
      <c r="BX97" s="240"/>
      <c r="BY97" s="240"/>
      <c r="BZ97" s="240"/>
      <c r="CA97" s="240"/>
      <c r="CB97" s="240"/>
      <c r="CC97" s="240"/>
      <c r="CD97" s="240"/>
      <c r="CE97" s="269"/>
      <c r="CF97" s="262"/>
      <c r="CG97" s="240"/>
      <c r="CH97" s="240"/>
      <c r="CI97" s="240"/>
      <c r="CJ97" s="240"/>
      <c r="CK97" s="240"/>
      <c r="CL97" s="240"/>
      <c r="CM97" s="240"/>
      <c r="CN97" s="240"/>
      <c r="CO97" s="240"/>
      <c r="CP97" s="240"/>
      <c r="CQ97" s="240"/>
      <c r="CR97" s="240"/>
      <c r="CS97" s="240"/>
      <c r="CT97" s="240"/>
      <c r="CU97" s="240"/>
      <c r="CV97" s="240"/>
      <c r="CW97" s="240"/>
      <c r="CX97" s="240"/>
      <c r="CY97" s="240"/>
      <c r="CZ97" s="240"/>
      <c r="DA97" s="240"/>
      <c r="DB97" s="240"/>
      <c r="DC97" s="240"/>
      <c r="DD97" s="240"/>
      <c r="DE97" s="240"/>
      <c r="DF97" s="240"/>
      <c r="DG97" s="62"/>
    </row>
    <row r="98" spans="1:111" ht="12.75">
      <c r="A98" s="35"/>
      <c r="B98" s="266" t="s">
        <v>120</v>
      </c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5"/>
      <c r="AD98" s="266" t="s">
        <v>121</v>
      </c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5"/>
      <c r="BE98" s="266" t="s">
        <v>122</v>
      </c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  <c r="CA98" s="214"/>
      <c r="CB98" s="214"/>
      <c r="CC98" s="214"/>
      <c r="CD98" s="214"/>
      <c r="CE98" s="215"/>
      <c r="CF98" s="266" t="s">
        <v>123</v>
      </c>
      <c r="CG98" s="214"/>
      <c r="CH98" s="214"/>
      <c r="CI98" s="214"/>
      <c r="CJ98" s="214"/>
      <c r="CK98" s="214"/>
      <c r="CL98" s="214"/>
      <c r="CM98" s="214"/>
      <c r="CN98" s="214"/>
      <c r="CO98" s="214"/>
      <c r="CP98" s="214"/>
      <c r="CQ98" s="214"/>
      <c r="CR98" s="214"/>
      <c r="CS98" s="214"/>
      <c r="CT98" s="214"/>
      <c r="CU98" s="214"/>
      <c r="CV98" s="214"/>
      <c r="CW98" s="214"/>
      <c r="CX98" s="214"/>
      <c r="CY98" s="214"/>
      <c r="CZ98" s="214"/>
      <c r="DA98" s="214"/>
      <c r="DB98" s="214"/>
      <c r="DC98" s="214"/>
      <c r="DD98" s="214"/>
      <c r="DE98" s="214"/>
      <c r="DF98" s="214"/>
      <c r="DG98" s="38"/>
    </row>
    <row r="99" spans="1:111" ht="21.75" customHeight="1">
      <c r="A99" s="60"/>
      <c r="B99" s="262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240"/>
      <c r="S99" s="240"/>
      <c r="T99" s="240"/>
      <c r="U99" s="240"/>
      <c r="V99" s="240"/>
      <c r="W99" s="240"/>
      <c r="X99" s="240"/>
      <c r="Y99" s="240"/>
      <c r="Z99" s="240"/>
      <c r="AA99" s="240"/>
      <c r="AB99" s="240"/>
      <c r="AC99" s="240"/>
      <c r="AD99" s="240"/>
      <c r="AE99" s="240"/>
      <c r="AF99" s="240"/>
      <c r="AG99" s="240"/>
      <c r="AH99" s="240"/>
      <c r="AI99" s="240"/>
      <c r="AJ99" s="240"/>
      <c r="AK99" s="240"/>
      <c r="AL99" s="240"/>
      <c r="AM99" s="240"/>
      <c r="AN99" s="240"/>
      <c r="AO99" s="240"/>
      <c r="AP99" s="240"/>
      <c r="AQ99" s="240"/>
      <c r="AR99" s="240"/>
      <c r="AS99" s="240"/>
      <c r="AT99" s="240"/>
      <c r="AU99" s="240"/>
      <c r="AV99" s="240"/>
      <c r="AW99" s="240"/>
      <c r="AX99" s="240"/>
      <c r="AY99" s="240"/>
      <c r="AZ99" s="240"/>
      <c r="BA99" s="240"/>
      <c r="BB99" s="240"/>
      <c r="BC99" s="240"/>
      <c r="BD99" s="240"/>
      <c r="BE99" s="240"/>
      <c r="BF99" s="240"/>
      <c r="BG99" s="240"/>
      <c r="BH99" s="240"/>
      <c r="BI99" s="240"/>
      <c r="BJ99" s="240"/>
      <c r="BK99" s="240"/>
      <c r="BL99" s="240"/>
      <c r="BM99" s="240"/>
      <c r="BN99" s="240"/>
      <c r="BO99" s="240"/>
      <c r="BP99" s="240"/>
      <c r="BQ99" s="240"/>
      <c r="BR99" s="240"/>
      <c r="BS99" s="240"/>
      <c r="BT99" s="240"/>
      <c r="BU99" s="240"/>
      <c r="BV99" s="240"/>
      <c r="BW99" s="240"/>
      <c r="BX99" s="240"/>
      <c r="BY99" s="240"/>
      <c r="BZ99" s="240"/>
      <c r="CA99" s="240"/>
      <c r="CB99" s="240"/>
      <c r="CC99" s="240"/>
      <c r="CD99" s="240"/>
      <c r="CE99" s="240"/>
      <c r="CF99" s="240"/>
      <c r="CG99" s="240"/>
      <c r="CH99" s="240"/>
      <c r="CI99" s="240"/>
      <c r="CJ99" s="240"/>
      <c r="CK99" s="240"/>
      <c r="CL99" s="240"/>
      <c r="CM99" s="240"/>
      <c r="CN99" s="240"/>
      <c r="CO99" s="240"/>
      <c r="CP99" s="240"/>
      <c r="CQ99" s="240"/>
      <c r="CR99" s="240"/>
      <c r="CS99" s="240"/>
      <c r="CT99" s="240"/>
      <c r="CU99" s="240"/>
      <c r="CV99" s="240"/>
      <c r="CW99" s="240"/>
      <c r="CX99" s="240"/>
      <c r="CY99" s="240"/>
      <c r="CZ99" s="240"/>
      <c r="DA99" s="240"/>
      <c r="DB99" s="240"/>
      <c r="DC99" s="240"/>
      <c r="DD99" s="240"/>
      <c r="DE99" s="240"/>
      <c r="DF99" s="240"/>
      <c r="DG99" s="62"/>
    </row>
    <row r="100" spans="1:111" ht="21.75" customHeight="1">
      <c r="A100" s="35"/>
      <c r="B100" s="266" t="s">
        <v>124</v>
      </c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  <c r="BY100" s="214"/>
      <c r="BZ100" s="214"/>
      <c r="CA100" s="214"/>
      <c r="CB100" s="214"/>
      <c r="CC100" s="214"/>
      <c r="CD100" s="214"/>
      <c r="CE100" s="214"/>
      <c r="CF100" s="214"/>
      <c r="CG100" s="214"/>
      <c r="CH100" s="214"/>
      <c r="CI100" s="214"/>
      <c r="CJ100" s="214"/>
      <c r="CK100" s="214"/>
      <c r="CL100" s="214"/>
      <c r="CM100" s="214"/>
      <c r="CN100" s="214"/>
      <c r="CO100" s="214"/>
      <c r="CP100" s="214"/>
      <c r="CQ100" s="214"/>
      <c r="CR100" s="214"/>
      <c r="CS100" s="214"/>
      <c r="CT100" s="214"/>
      <c r="CU100" s="214"/>
      <c r="CV100" s="214"/>
      <c r="CW100" s="214"/>
      <c r="CX100" s="214"/>
      <c r="CY100" s="214"/>
      <c r="CZ100" s="214"/>
      <c r="DA100" s="214"/>
      <c r="DB100" s="214"/>
      <c r="DC100" s="214"/>
      <c r="DD100" s="214"/>
      <c r="DE100" s="214"/>
      <c r="DF100" s="214"/>
      <c r="DG100" s="38"/>
    </row>
    <row r="101" spans="1:111" ht="99" customHeight="1">
      <c r="A101" s="60"/>
      <c r="B101" s="267" t="s">
        <v>125</v>
      </c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61"/>
      <c r="BE101" s="60"/>
      <c r="BF101" s="268" t="s">
        <v>126</v>
      </c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  <c r="BY101" s="214"/>
      <c r="BZ101" s="214"/>
      <c r="CA101" s="214"/>
      <c r="CB101" s="214"/>
      <c r="CC101" s="214"/>
      <c r="CD101" s="214"/>
      <c r="CE101" s="214"/>
      <c r="CF101" s="214"/>
      <c r="CG101" s="214"/>
      <c r="CH101" s="214"/>
      <c r="CI101" s="214"/>
      <c r="CJ101" s="214"/>
      <c r="CK101" s="214"/>
      <c r="CL101" s="214"/>
      <c r="CM101" s="214"/>
      <c r="CN101" s="214"/>
      <c r="CO101" s="214"/>
      <c r="CP101" s="214"/>
      <c r="CQ101" s="214"/>
      <c r="CR101" s="214"/>
      <c r="CS101" s="214"/>
      <c r="CT101" s="214"/>
      <c r="CU101" s="214"/>
      <c r="CV101" s="214"/>
      <c r="CW101" s="214"/>
      <c r="CX101" s="214"/>
      <c r="CY101" s="214"/>
      <c r="CZ101" s="214"/>
      <c r="DA101" s="214"/>
      <c r="DB101" s="214"/>
      <c r="DC101" s="214"/>
      <c r="DD101" s="214"/>
      <c r="DE101" s="214"/>
      <c r="DF101" s="243"/>
      <c r="DG101" s="62"/>
    </row>
    <row r="102" spans="1:111" ht="21.75" customHeight="1">
      <c r="A102" s="35"/>
      <c r="B102" s="259" t="s">
        <v>127</v>
      </c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  <c r="AW102" s="240"/>
      <c r="AX102" s="240"/>
      <c r="AY102" s="240"/>
      <c r="AZ102" s="240"/>
      <c r="BA102" s="240"/>
      <c r="BB102" s="240"/>
      <c r="BC102" s="240"/>
      <c r="BD102" s="63"/>
      <c r="BE102" s="35"/>
      <c r="BF102" s="259" t="s">
        <v>128</v>
      </c>
      <c r="BG102" s="240"/>
      <c r="BH102" s="240"/>
      <c r="BI102" s="240"/>
      <c r="BJ102" s="240"/>
      <c r="BK102" s="240"/>
      <c r="BL102" s="240"/>
      <c r="BM102" s="240"/>
      <c r="BN102" s="240"/>
      <c r="BO102" s="240"/>
      <c r="BP102" s="240"/>
      <c r="BQ102" s="240"/>
      <c r="BR102" s="240"/>
      <c r="BS102" s="240"/>
      <c r="BT102" s="240"/>
      <c r="BU102" s="240"/>
      <c r="BV102" s="240"/>
      <c r="BW102" s="240"/>
      <c r="BX102" s="240"/>
      <c r="BY102" s="240"/>
      <c r="BZ102" s="240"/>
      <c r="CA102" s="240"/>
      <c r="CB102" s="240"/>
      <c r="CC102" s="240"/>
      <c r="CD102" s="240"/>
      <c r="CE102" s="240"/>
      <c r="CF102" s="240"/>
      <c r="CG102" s="240"/>
      <c r="CH102" s="240"/>
      <c r="CI102" s="240"/>
      <c r="CJ102" s="240"/>
      <c r="CK102" s="240"/>
      <c r="CL102" s="240"/>
      <c r="CM102" s="240"/>
      <c r="CN102" s="240"/>
      <c r="CO102" s="240"/>
      <c r="CP102" s="240"/>
      <c r="CQ102" s="240"/>
      <c r="CR102" s="240"/>
      <c r="CS102" s="240"/>
      <c r="CT102" s="240"/>
      <c r="CU102" s="240"/>
      <c r="CV102" s="240"/>
      <c r="CW102" s="240"/>
      <c r="CX102" s="240"/>
      <c r="CY102" s="240"/>
      <c r="CZ102" s="240"/>
      <c r="DA102" s="240"/>
      <c r="DB102" s="240"/>
      <c r="DC102" s="240"/>
      <c r="DD102" s="240"/>
      <c r="DE102" s="240"/>
      <c r="DF102" s="240"/>
      <c r="DG102" s="38"/>
    </row>
    <row r="103" spans="1:111" ht="21.75" customHeight="1">
      <c r="A103" s="60"/>
      <c r="B103" s="262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  <c r="AW103" s="240"/>
      <c r="AX103" s="240"/>
      <c r="AY103" s="240"/>
      <c r="AZ103" s="240"/>
      <c r="BA103" s="240"/>
      <c r="BB103" s="240"/>
      <c r="BC103" s="240"/>
      <c r="BD103" s="61"/>
      <c r="BE103" s="60"/>
      <c r="BF103" s="262"/>
      <c r="BG103" s="240"/>
      <c r="BH103" s="240"/>
      <c r="BI103" s="240"/>
      <c r="BJ103" s="240"/>
      <c r="BK103" s="240"/>
      <c r="BL103" s="240"/>
      <c r="BM103" s="240"/>
      <c r="BN103" s="240"/>
      <c r="BO103" s="240"/>
      <c r="BP103" s="240"/>
      <c r="BQ103" s="240"/>
      <c r="BR103" s="240"/>
      <c r="BS103" s="240"/>
      <c r="BT103" s="240"/>
      <c r="BU103" s="240"/>
      <c r="BV103" s="240"/>
      <c r="BW103" s="240"/>
      <c r="BX103" s="240"/>
      <c r="BY103" s="240"/>
      <c r="BZ103" s="240"/>
      <c r="CA103" s="240"/>
      <c r="CB103" s="240"/>
      <c r="CC103" s="240"/>
      <c r="CD103" s="240"/>
      <c r="CE103" s="240"/>
      <c r="CF103" s="240"/>
      <c r="CG103" s="240"/>
      <c r="CH103" s="240"/>
      <c r="CI103" s="240"/>
      <c r="CJ103" s="240"/>
      <c r="CK103" s="240"/>
      <c r="CL103" s="240"/>
      <c r="CM103" s="240"/>
      <c r="CN103" s="240"/>
      <c r="CO103" s="240"/>
      <c r="CP103" s="240"/>
      <c r="CQ103" s="240"/>
      <c r="CR103" s="240"/>
      <c r="CS103" s="240"/>
      <c r="CT103" s="240"/>
      <c r="CU103" s="240"/>
      <c r="CV103" s="240"/>
      <c r="CW103" s="240"/>
      <c r="CX103" s="240"/>
      <c r="CY103" s="240"/>
      <c r="CZ103" s="240"/>
      <c r="DA103" s="240"/>
      <c r="DB103" s="240"/>
      <c r="DC103" s="240"/>
      <c r="DD103" s="240"/>
      <c r="DE103" s="240"/>
      <c r="DF103" s="240"/>
      <c r="DG103" s="62"/>
    </row>
    <row r="104" spans="1:111" ht="21.75" customHeight="1">
      <c r="A104" s="35"/>
      <c r="B104" s="259" t="s">
        <v>129</v>
      </c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  <c r="AW104" s="240"/>
      <c r="AX104" s="240"/>
      <c r="AY104" s="240"/>
      <c r="AZ104" s="240"/>
      <c r="BA104" s="240"/>
      <c r="BB104" s="240"/>
      <c r="BC104" s="240"/>
      <c r="BD104" s="63"/>
      <c r="BE104" s="35"/>
      <c r="BF104" s="259" t="s">
        <v>129</v>
      </c>
      <c r="BG104" s="240"/>
      <c r="BH104" s="240"/>
      <c r="BI104" s="240"/>
      <c r="BJ104" s="240"/>
      <c r="BK104" s="240"/>
      <c r="BL104" s="240"/>
      <c r="BM104" s="240"/>
      <c r="BN104" s="240"/>
      <c r="BO104" s="240"/>
      <c r="BP104" s="240"/>
      <c r="BQ104" s="240"/>
      <c r="BR104" s="240"/>
      <c r="BS104" s="240"/>
      <c r="BT104" s="240"/>
      <c r="BU104" s="240"/>
      <c r="BV104" s="240"/>
      <c r="BW104" s="240"/>
      <c r="BX104" s="240"/>
      <c r="BY104" s="240"/>
      <c r="BZ104" s="240"/>
      <c r="CA104" s="240"/>
      <c r="CB104" s="240"/>
      <c r="CC104" s="240"/>
      <c r="CD104" s="240"/>
      <c r="CE104" s="240"/>
      <c r="CF104" s="240"/>
      <c r="CG104" s="240"/>
      <c r="CH104" s="240"/>
      <c r="CI104" s="240"/>
      <c r="CJ104" s="240"/>
      <c r="CK104" s="240"/>
      <c r="CL104" s="240"/>
      <c r="CM104" s="240"/>
      <c r="CN104" s="240"/>
      <c r="CO104" s="240"/>
      <c r="CP104" s="240"/>
      <c r="CQ104" s="240"/>
      <c r="CR104" s="240"/>
      <c r="CS104" s="240"/>
      <c r="CT104" s="240"/>
      <c r="CU104" s="240"/>
      <c r="CV104" s="240"/>
      <c r="CW104" s="240"/>
      <c r="CX104" s="240"/>
      <c r="CY104" s="240"/>
      <c r="CZ104" s="240"/>
      <c r="DA104" s="240"/>
      <c r="DB104" s="240"/>
      <c r="DC104" s="240"/>
      <c r="DD104" s="240"/>
      <c r="DE104" s="240"/>
      <c r="DF104" s="240"/>
      <c r="DG104" s="38"/>
    </row>
    <row r="105" spans="1:111" ht="21.75" customHeight="1">
      <c r="A105" s="60"/>
      <c r="B105" s="262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  <c r="AW105" s="240"/>
      <c r="AX105" s="240"/>
      <c r="AY105" s="240"/>
      <c r="AZ105" s="240"/>
      <c r="BA105" s="240"/>
      <c r="BB105" s="240"/>
      <c r="BC105" s="240"/>
      <c r="BD105" s="61"/>
      <c r="BE105" s="60"/>
      <c r="BF105" s="262"/>
      <c r="BG105" s="240"/>
      <c r="BH105" s="240"/>
      <c r="BI105" s="240"/>
      <c r="BJ105" s="240"/>
      <c r="BK105" s="240"/>
      <c r="BL105" s="240"/>
      <c r="BM105" s="240"/>
      <c r="BN105" s="240"/>
      <c r="BO105" s="240"/>
      <c r="BP105" s="240"/>
      <c r="BQ105" s="240"/>
      <c r="BR105" s="240"/>
      <c r="BS105" s="240"/>
      <c r="BT105" s="240"/>
      <c r="BU105" s="240"/>
      <c r="BV105" s="240"/>
      <c r="BW105" s="240"/>
      <c r="BX105" s="240"/>
      <c r="BY105" s="240"/>
      <c r="BZ105" s="240"/>
      <c r="CA105" s="240"/>
      <c r="CB105" s="240"/>
      <c r="CC105" s="240"/>
      <c r="CD105" s="240"/>
      <c r="CE105" s="240"/>
      <c r="CF105" s="240"/>
      <c r="CG105" s="240"/>
      <c r="CH105" s="240"/>
      <c r="CI105" s="240"/>
      <c r="CJ105" s="240"/>
      <c r="CK105" s="240"/>
      <c r="CL105" s="240"/>
      <c r="CM105" s="240"/>
      <c r="CN105" s="240"/>
      <c r="CO105" s="240"/>
      <c r="CP105" s="240"/>
      <c r="CQ105" s="240"/>
      <c r="CR105" s="240"/>
      <c r="CS105" s="240"/>
      <c r="CT105" s="240"/>
      <c r="CU105" s="240"/>
      <c r="CV105" s="240"/>
      <c r="CW105" s="240"/>
      <c r="CX105" s="240"/>
      <c r="CY105" s="240"/>
      <c r="CZ105" s="240"/>
      <c r="DA105" s="240"/>
      <c r="DB105" s="240"/>
      <c r="DC105" s="240"/>
      <c r="DD105" s="240"/>
      <c r="DE105" s="240"/>
      <c r="DF105" s="240"/>
      <c r="DG105" s="62"/>
    </row>
    <row r="106" spans="1:111" ht="21.75" customHeight="1">
      <c r="A106" s="35"/>
      <c r="B106" s="259" t="s">
        <v>30</v>
      </c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  <c r="AW106" s="240"/>
      <c r="AX106" s="240"/>
      <c r="AY106" s="240"/>
      <c r="AZ106" s="240"/>
      <c r="BA106" s="240"/>
      <c r="BB106" s="240"/>
      <c r="BC106" s="240"/>
      <c r="BD106" s="63"/>
      <c r="BE106" s="35"/>
      <c r="BF106" s="259" t="s">
        <v>130</v>
      </c>
      <c r="BG106" s="240"/>
      <c r="BH106" s="240"/>
      <c r="BI106" s="240"/>
      <c r="BJ106" s="240"/>
      <c r="BK106" s="240"/>
      <c r="BL106" s="240"/>
      <c r="BM106" s="240"/>
      <c r="BN106" s="240"/>
      <c r="BO106" s="240"/>
      <c r="BP106" s="240"/>
      <c r="BQ106" s="240"/>
      <c r="BR106" s="240"/>
      <c r="BS106" s="240"/>
      <c r="BT106" s="240"/>
      <c r="BU106" s="240"/>
      <c r="BV106" s="240"/>
      <c r="BW106" s="240"/>
      <c r="BX106" s="240"/>
      <c r="BY106" s="240"/>
      <c r="BZ106" s="240"/>
      <c r="CA106" s="240"/>
      <c r="CB106" s="240"/>
      <c r="CC106" s="240"/>
      <c r="CD106" s="240"/>
      <c r="CE106" s="240"/>
      <c r="CF106" s="240"/>
      <c r="CG106" s="240"/>
      <c r="CH106" s="240"/>
      <c r="CI106" s="240"/>
      <c r="CJ106" s="240"/>
      <c r="CK106" s="240"/>
      <c r="CL106" s="240"/>
      <c r="CM106" s="240"/>
      <c r="CN106" s="240"/>
      <c r="CO106" s="240"/>
      <c r="CP106" s="240"/>
      <c r="CQ106" s="240"/>
      <c r="CR106" s="240"/>
      <c r="CS106" s="240"/>
      <c r="CT106" s="240"/>
      <c r="CU106" s="240"/>
      <c r="CV106" s="240"/>
      <c r="CW106" s="240"/>
      <c r="CX106" s="240"/>
      <c r="CY106" s="240"/>
      <c r="CZ106" s="240"/>
      <c r="DA106" s="240"/>
      <c r="DB106" s="240"/>
      <c r="DC106" s="240"/>
      <c r="DD106" s="240"/>
      <c r="DE106" s="240"/>
      <c r="DF106" s="240"/>
      <c r="DG106" s="38"/>
    </row>
    <row r="107" spans="1:111" ht="21.75" customHeight="1">
      <c r="A107" s="60"/>
      <c r="B107" s="262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62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  <c r="AW107" s="240"/>
      <c r="AX107" s="240"/>
      <c r="AY107" s="240"/>
      <c r="AZ107" s="240"/>
      <c r="BA107" s="240"/>
      <c r="BB107" s="240"/>
      <c r="BC107" s="240"/>
      <c r="BD107" s="61"/>
      <c r="BE107" s="60"/>
      <c r="BF107" s="262"/>
      <c r="BG107" s="240"/>
      <c r="BH107" s="240"/>
      <c r="BI107" s="240"/>
      <c r="BJ107" s="240"/>
      <c r="BK107" s="240"/>
      <c r="BL107" s="240"/>
      <c r="BM107" s="240"/>
      <c r="BN107" s="240"/>
      <c r="BO107" s="240"/>
      <c r="BP107" s="240"/>
      <c r="BQ107" s="240"/>
      <c r="BR107" s="262"/>
      <c r="BS107" s="240"/>
      <c r="BT107" s="240"/>
      <c r="BU107" s="240"/>
      <c r="BV107" s="240"/>
      <c r="BW107" s="240"/>
      <c r="BX107" s="240"/>
      <c r="BY107" s="240"/>
      <c r="BZ107" s="240"/>
      <c r="CA107" s="240"/>
      <c r="CB107" s="240"/>
      <c r="CC107" s="240"/>
      <c r="CD107" s="240"/>
      <c r="CE107" s="240"/>
      <c r="CF107" s="240"/>
      <c r="CG107" s="240"/>
      <c r="CH107" s="240"/>
      <c r="CI107" s="240"/>
      <c r="CJ107" s="240"/>
      <c r="CK107" s="240"/>
      <c r="CL107" s="240"/>
      <c r="CM107" s="240"/>
      <c r="CN107" s="240"/>
      <c r="CO107" s="240"/>
      <c r="CP107" s="240"/>
      <c r="CQ107" s="240"/>
      <c r="CR107" s="240"/>
      <c r="CS107" s="240"/>
      <c r="CT107" s="240"/>
      <c r="CU107" s="240"/>
      <c r="CV107" s="240"/>
      <c r="CW107" s="240"/>
      <c r="CX107" s="240"/>
      <c r="CY107" s="240"/>
      <c r="CZ107" s="240"/>
      <c r="DA107" s="240"/>
      <c r="DB107" s="240"/>
      <c r="DC107" s="240"/>
      <c r="DD107" s="240"/>
      <c r="DE107" s="240"/>
      <c r="DF107" s="240"/>
      <c r="DG107" s="62"/>
    </row>
    <row r="108" spans="1:111" ht="21.75" customHeight="1">
      <c r="A108" s="35"/>
      <c r="B108" s="259" t="s">
        <v>131</v>
      </c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  <c r="AW108" s="240"/>
      <c r="AX108" s="240"/>
      <c r="AY108" s="240"/>
      <c r="AZ108" s="240"/>
      <c r="BA108" s="240"/>
      <c r="BB108" s="240"/>
      <c r="BC108" s="240"/>
      <c r="BD108" s="63"/>
      <c r="BE108" s="35"/>
      <c r="BF108" s="259" t="s">
        <v>132</v>
      </c>
      <c r="BG108" s="240"/>
      <c r="BH108" s="240"/>
      <c r="BI108" s="240"/>
      <c r="BJ108" s="240"/>
      <c r="BK108" s="240"/>
      <c r="BL108" s="240"/>
      <c r="BM108" s="240"/>
      <c r="BN108" s="240"/>
      <c r="BO108" s="240"/>
      <c r="BP108" s="240"/>
      <c r="BQ108" s="240"/>
      <c r="BR108" s="240"/>
      <c r="BS108" s="240"/>
      <c r="BT108" s="240"/>
      <c r="BU108" s="240"/>
      <c r="BV108" s="240"/>
      <c r="BW108" s="240"/>
      <c r="BX108" s="240"/>
      <c r="BY108" s="240"/>
      <c r="BZ108" s="240"/>
      <c r="CA108" s="240"/>
      <c r="CB108" s="240"/>
      <c r="CC108" s="240"/>
      <c r="CD108" s="240"/>
      <c r="CE108" s="240"/>
      <c r="CF108" s="240"/>
      <c r="CG108" s="240"/>
      <c r="CH108" s="240"/>
      <c r="CI108" s="240"/>
      <c r="CJ108" s="240"/>
      <c r="CK108" s="240"/>
      <c r="CL108" s="240"/>
      <c r="CM108" s="240"/>
      <c r="CN108" s="240"/>
      <c r="CO108" s="240"/>
      <c r="CP108" s="240"/>
      <c r="CQ108" s="240"/>
      <c r="CR108" s="240"/>
      <c r="CS108" s="240"/>
      <c r="CT108" s="240"/>
      <c r="CU108" s="240"/>
      <c r="CV108" s="240"/>
      <c r="CW108" s="240"/>
      <c r="CX108" s="240"/>
      <c r="CY108" s="240"/>
      <c r="CZ108" s="240"/>
      <c r="DA108" s="240"/>
      <c r="DB108" s="240"/>
      <c r="DC108" s="240"/>
      <c r="DD108" s="240"/>
      <c r="DE108" s="240"/>
      <c r="DF108" s="240"/>
      <c r="DG108" s="38"/>
    </row>
    <row r="109" spans="1:111" ht="21.75" customHeight="1">
      <c r="A109" s="60"/>
      <c r="B109" s="262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62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62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61"/>
      <c r="BE109" s="60"/>
      <c r="BF109" s="262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0"/>
      <c r="BW109" s="240"/>
      <c r="BX109" s="262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0"/>
      <c r="CO109" s="240"/>
      <c r="CP109" s="240"/>
      <c r="CQ109" s="240"/>
      <c r="CR109" s="240"/>
      <c r="CS109" s="240"/>
      <c r="CT109" s="240"/>
      <c r="CU109" s="240"/>
      <c r="CV109" s="240"/>
      <c r="CW109" s="262"/>
      <c r="CX109" s="240"/>
      <c r="CY109" s="240"/>
      <c r="CZ109" s="240"/>
      <c r="DA109" s="240"/>
      <c r="DB109" s="240"/>
      <c r="DC109" s="240"/>
      <c r="DD109" s="240"/>
      <c r="DE109" s="240"/>
      <c r="DF109" s="240"/>
      <c r="DG109" s="62"/>
    </row>
    <row r="110" spans="1:111" ht="21.75" customHeight="1">
      <c r="A110" s="35"/>
      <c r="B110" s="259" t="s">
        <v>133</v>
      </c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  <c r="AW110" s="240"/>
      <c r="AX110" s="240"/>
      <c r="AY110" s="240"/>
      <c r="AZ110" s="240"/>
      <c r="BA110" s="240"/>
      <c r="BB110" s="240"/>
      <c r="BC110" s="240"/>
      <c r="BD110" s="63"/>
      <c r="BE110" s="35"/>
      <c r="BF110" s="259" t="s">
        <v>134</v>
      </c>
      <c r="BG110" s="240"/>
      <c r="BH110" s="240"/>
      <c r="BI110" s="240"/>
      <c r="BJ110" s="240"/>
      <c r="BK110" s="240"/>
      <c r="BL110" s="240"/>
      <c r="BM110" s="240"/>
      <c r="BN110" s="240"/>
      <c r="BO110" s="240"/>
      <c r="BP110" s="240"/>
      <c r="BQ110" s="240"/>
      <c r="BR110" s="240"/>
      <c r="BS110" s="240"/>
      <c r="BT110" s="240"/>
      <c r="BU110" s="240"/>
      <c r="BV110" s="240"/>
      <c r="BW110" s="240"/>
      <c r="BX110" s="240"/>
      <c r="BY110" s="240"/>
      <c r="BZ110" s="240"/>
      <c r="CA110" s="240"/>
      <c r="CB110" s="240"/>
      <c r="CC110" s="240"/>
      <c r="CD110" s="240"/>
      <c r="CE110" s="240"/>
      <c r="CF110" s="240"/>
      <c r="CG110" s="240"/>
      <c r="CH110" s="240"/>
      <c r="CI110" s="240"/>
      <c r="CJ110" s="240"/>
      <c r="CK110" s="240"/>
      <c r="CL110" s="240"/>
      <c r="CM110" s="240"/>
      <c r="CN110" s="240"/>
      <c r="CO110" s="240"/>
      <c r="CP110" s="240"/>
      <c r="CQ110" s="240"/>
      <c r="CR110" s="240"/>
      <c r="CS110" s="240"/>
      <c r="CT110" s="240"/>
      <c r="CU110" s="240"/>
      <c r="CV110" s="240"/>
      <c r="CW110" s="240"/>
      <c r="CX110" s="240"/>
      <c r="CY110" s="240"/>
      <c r="CZ110" s="240"/>
      <c r="DA110" s="240"/>
      <c r="DB110" s="240"/>
      <c r="DC110" s="240"/>
      <c r="DD110" s="240"/>
      <c r="DE110" s="240"/>
      <c r="DF110" s="240"/>
      <c r="DG110" s="38"/>
    </row>
    <row r="111" spans="1:111" ht="11.2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</row>
    <row r="112" spans="1:111" ht="11.2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</row>
    <row r="113" spans="1:111" ht="11.2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</row>
    <row r="114" spans="1:111" ht="11.2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</row>
    <row r="115" spans="1:111" ht="11.2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</row>
    <row r="116" spans="1:111" ht="11.2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</row>
    <row r="117" spans="1:111" ht="11.2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</row>
    <row r="118" spans="1:111" ht="11.2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</row>
    <row r="119" spans="1:111" ht="11.2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</row>
    <row r="120" spans="1:111" ht="11.2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</row>
    <row r="121" spans="1:111" ht="11.2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</row>
    <row r="122" spans="1:111" ht="11.2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</row>
    <row r="123" spans="1:111" ht="11.2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</row>
    <row r="124" spans="1:111" ht="11.2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</row>
    <row r="125" spans="1:111" ht="11.2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</row>
    <row r="126" spans="1:111" ht="11.2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</row>
    <row r="127" spans="1:111" ht="11.2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59"/>
      <c r="AY127" s="59"/>
      <c r="AZ127" s="59"/>
      <c r="BA127" s="59"/>
      <c r="BB127" s="59"/>
      <c r="BC127" s="59"/>
      <c r="BD127" s="59"/>
      <c r="BE127" s="59"/>
      <c r="BF127" s="59"/>
      <c r="BG127" s="59"/>
      <c r="BH127" s="59"/>
      <c r="BI127" s="59"/>
      <c r="BJ127" s="59"/>
      <c r="BK127" s="59"/>
      <c r="BL127" s="59"/>
      <c r="BM127" s="59"/>
      <c r="BN127" s="59"/>
      <c r="BO127" s="59"/>
      <c r="BP127" s="59"/>
      <c r="BQ127" s="59"/>
      <c r="BR127" s="59"/>
      <c r="BS127" s="59"/>
      <c r="BT127" s="59"/>
      <c r="BU127" s="59"/>
      <c r="BV127" s="59"/>
      <c r="BW127" s="59"/>
      <c r="BX127" s="59"/>
      <c r="BY127" s="59"/>
      <c r="BZ127" s="59"/>
      <c r="CA127" s="59"/>
      <c r="CB127" s="59"/>
      <c r="CC127" s="59"/>
      <c r="CD127" s="59"/>
      <c r="CE127" s="59"/>
      <c r="CF127" s="59"/>
      <c r="CG127" s="59"/>
      <c r="CH127" s="59"/>
      <c r="CI127" s="59"/>
      <c r="CJ127" s="59"/>
      <c r="CK127" s="59"/>
      <c r="CL127" s="59"/>
      <c r="CM127" s="59"/>
      <c r="CN127" s="59"/>
      <c r="CO127" s="59"/>
      <c r="CP127" s="59"/>
      <c r="CQ127" s="59"/>
      <c r="CR127" s="59"/>
      <c r="CS127" s="59"/>
      <c r="CT127" s="59"/>
      <c r="CU127" s="59"/>
      <c r="CV127" s="59"/>
      <c r="CW127" s="59"/>
      <c r="CX127" s="59"/>
      <c r="CY127" s="59"/>
      <c r="CZ127" s="59"/>
      <c r="DA127" s="59"/>
      <c r="DB127" s="59"/>
      <c r="DC127" s="59"/>
      <c r="DD127" s="59"/>
      <c r="DE127" s="59"/>
      <c r="DF127" s="59"/>
      <c r="DG127" s="59"/>
    </row>
    <row r="128" spans="1:111" ht="11.2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  <c r="BH128" s="59"/>
      <c r="BI128" s="59"/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59"/>
      <c r="BX128" s="59"/>
      <c r="BY128" s="59"/>
      <c r="BZ128" s="59"/>
      <c r="CA128" s="59"/>
      <c r="CB128" s="59"/>
      <c r="CC128" s="59"/>
      <c r="CD128" s="59"/>
      <c r="CE128" s="59"/>
      <c r="CF128" s="59"/>
      <c r="CG128" s="59"/>
      <c r="CH128" s="59"/>
      <c r="CI128" s="59"/>
      <c r="CJ128" s="59"/>
      <c r="CK128" s="59"/>
      <c r="CL128" s="59"/>
      <c r="CM128" s="59"/>
      <c r="CN128" s="59"/>
      <c r="CO128" s="59"/>
      <c r="CP128" s="59"/>
      <c r="CQ128" s="59"/>
      <c r="CR128" s="59"/>
      <c r="CS128" s="59"/>
      <c r="CT128" s="59"/>
      <c r="CU128" s="59"/>
      <c r="CV128" s="59"/>
      <c r="CW128" s="59"/>
      <c r="CX128" s="59"/>
      <c r="CY128" s="59"/>
      <c r="CZ128" s="59"/>
      <c r="DA128" s="59"/>
      <c r="DB128" s="59"/>
      <c r="DC128" s="59"/>
      <c r="DD128" s="59"/>
      <c r="DE128" s="59"/>
      <c r="DF128" s="59"/>
      <c r="DG128" s="59"/>
    </row>
    <row r="129" spans="1:111" ht="11.2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  <c r="BC129" s="59"/>
      <c r="BD129" s="59"/>
      <c r="BE129" s="59"/>
      <c r="BF129" s="59"/>
      <c r="BG129" s="59"/>
      <c r="BH129" s="59"/>
      <c r="BI129" s="59"/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59"/>
      <c r="BX129" s="59"/>
      <c r="BY129" s="59"/>
      <c r="BZ129" s="59"/>
      <c r="CA129" s="59"/>
      <c r="CB129" s="59"/>
      <c r="CC129" s="59"/>
      <c r="CD129" s="59"/>
      <c r="CE129" s="59"/>
      <c r="CF129" s="59"/>
      <c r="CG129" s="59"/>
      <c r="CH129" s="59"/>
      <c r="CI129" s="59"/>
      <c r="CJ129" s="59"/>
      <c r="CK129" s="59"/>
      <c r="CL129" s="59"/>
      <c r="CM129" s="59"/>
      <c r="CN129" s="59"/>
      <c r="CO129" s="59"/>
      <c r="CP129" s="59"/>
      <c r="CQ129" s="59"/>
      <c r="CR129" s="59"/>
      <c r="CS129" s="59"/>
      <c r="CT129" s="59"/>
      <c r="CU129" s="59"/>
      <c r="CV129" s="59"/>
      <c r="CW129" s="59"/>
      <c r="CX129" s="59"/>
      <c r="CY129" s="59"/>
      <c r="CZ129" s="59"/>
      <c r="DA129" s="59"/>
      <c r="DB129" s="59"/>
      <c r="DC129" s="59"/>
      <c r="DD129" s="59"/>
      <c r="DE129" s="59"/>
      <c r="DF129" s="59"/>
      <c r="DG129" s="59"/>
    </row>
    <row r="130" spans="1:111" ht="11.2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  <c r="CC130" s="59"/>
      <c r="CD130" s="59"/>
      <c r="CE130" s="59"/>
      <c r="CF130" s="59"/>
      <c r="CG130" s="59"/>
      <c r="CH130" s="59"/>
      <c r="CI130" s="59"/>
      <c r="CJ130" s="59"/>
      <c r="CK130" s="59"/>
      <c r="CL130" s="59"/>
      <c r="CM130" s="59"/>
      <c r="CN130" s="59"/>
      <c r="CO130" s="59"/>
      <c r="CP130" s="59"/>
      <c r="CQ130" s="59"/>
      <c r="CR130" s="59"/>
      <c r="CS130" s="59"/>
      <c r="CT130" s="59"/>
      <c r="CU130" s="59"/>
      <c r="CV130" s="59"/>
      <c r="CW130" s="59"/>
      <c r="CX130" s="59"/>
      <c r="CY130" s="59"/>
      <c r="CZ130" s="59"/>
      <c r="DA130" s="59"/>
      <c r="DB130" s="59"/>
      <c r="DC130" s="59"/>
      <c r="DD130" s="59"/>
      <c r="DE130" s="59"/>
      <c r="DF130" s="59"/>
      <c r="DG130" s="59"/>
    </row>
    <row r="131" spans="1:111" ht="11.2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  <c r="BC131" s="59"/>
      <c r="BD131" s="59"/>
      <c r="BE131" s="59"/>
      <c r="BF131" s="59"/>
      <c r="BG131" s="59"/>
      <c r="BH131" s="59"/>
      <c r="BI131" s="59"/>
      <c r="BJ131" s="59"/>
      <c r="BK131" s="59"/>
      <c r="BL131" s="59"/>
      <c r="BM131" s="59"/>
      <c r="BN131" s="59"/>
      <c r="BO131" s="59"/>
      <c r="BP131" s="59"/>
      <c r="BQ131" s="59"/>
      <c r="BR131" s="59"/>
      <c r="BS131" s="59"/>
      <c r="BT131" s="59"/>
      <c r="BU131" s="59"/>
      <c r="BV131" s="59"/>
      <c r="BW131" s="59"/>
      <c r="BX131" s="59"/>
      <c r="BY131" s="59"/>
      <c r="BZ131" s="59"/>
      <c r="CA131" s="59"/>
      <c r="CB131" s="59"/>
      <c r="CC131" s="59"/>
      <c r="CD131" s="59"/>
      <c r="CE131" s="59"/>
      <c r="CF131" s="59"/>
      <c r="CG131" s="59"/>
      <c r="CH131" s="59"/>
      <c r="CI131" s="59"/>
      <c r="CJ131" s="59"/>
      <c r="CK131" s="59"/>
      <c r="CL131" s="59"/>
      <c r="CM131" s="59"/>
      <c r="CN131" s="59"/>
      <c r="CO131" s="59"/>
      <c r="CP131" s="59"/>
      <c r="CQ131" s="59"/>
      <c r="CR131" s="59"/>
      <c r="CS131" s="59"/>
      <c r="CT131" s="59"/>
      <c r="CU131" s="59"/>
      <c r="CV131" s="59"/>
      <c r="CW131" s="59"/>
      <c r="CX131" s="59"/>
      <c r="CY131" s="59"/>
      <c r="CZ131" s="59"/>
      <c r="DA131" s="59"/>
      <c r="DB131" s="59"/>
      <c r="DC131" s="59"/>
      <c r="DD131" s="59"/>
      <c r="DE131" s="59"/>
      <c r="DF131" s="59"/>
      <c r="DG131" s="59"/>
    </row>
    <row r="132" spans="1:111" ht="11.2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59"/>
      <c r="AT132" s="59"/>
      <c r="AU132" s="59"/>
      <c r="AV132" s="59"/>
      <c r="AW132" s="59"/>
      <c r="AX132" s="59"/>
      <c r="AY132" s="59"/>
      <c r="AZ132" s="59"/>
      <c r="BA132" s="59"/>
      <c r="BB132" s="59"/>
      <c r="BC132" s="59"/>
      <c r="BD132" s="59"/>
      <c r="BE132" s="59"/>
      <c r="BF132" s="59"/>
      <c r="BG132" s="59"/>
      <c r="BH132" s="59"/>
      <c r="BI132" s="59"/>
      <c r="BJ132" s="59"/>
      <c r="BK132" s="59"/>
      <c r="BL132" s="59"/>
      <c r="BM132" s="59"/>
      <c r="BN132" s="59"/>
      <c r="BO132" s="59"/>
      <c r="BP132" s="59"/>
      <c r="BQ132" s="59"/>
      <c r="BR132" s="59"/>
      <c r="BS132" s="59"/>
      <c r="BT132" s="59"/>
      <c r="BU132" s="59"/>
      <c r="BV132" s="59"/>
      <c r="BW132" s="59"/>
      <c r="BX132" s="59"/>
      <c r="BY132" s="59"/>
      <c r="BZ132" s="59"/>
      <c r="CA132" s="59"/>
      <c r="CB132" s="59"/>
      <c r="CC132" s="59"/>
      <c r="CD132" s="59"/>
      <c r="CE132" s="59"/>
      <c r="CF132" s="59"/>
      <c r="CG132" s="59"/>
      <c r="CH132" s="59"/>
      <c r="CI132" s="59"/>
      <c r="CJ132" s="59"/>
      <c r="CK132" s="59"/>
      <c r="CL132" s="59"/>
      <c r="CM132" s="59"/>
      <c r="CN132" s="59"/>
      <c r="CO132" s="59"/>
      <c r="CP132" s="59"/>
      <c r="CQ132" s="59"/>
      <c r="CR132" s="59"/>
      <c r="CS132" s="59"/>
      <c r="CT132" s="59"/>
      <c r="CU132" s="59"/>
      <c r="CV132" s="59"/>
      <c r="CW132" s="59"/>
      <c r="CX132" s="59"/>
      <c r="CY132" s="59"/>
      <c r="CZ132" s="59"/>
      <c r="DA132" s="59"/>
      <c r="DB132" s="59"/>
      <c r="DC132" s="59"/>
      <c r="DD132" s="59"/>
      <c r="DE132" s="59"/>
      <c r="DF132" s="59"/>
      <c r="DG132" s="59"/>
    </row>
    <row r="133" spans="1:111" ht="11.2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  <c r="AR133" s="59"/>
      <c r="AS133" s="59"/>
      <c r="AT133" s="59"/>
      <c r="AU133" s="59"/>
      <c r="AV133" s="59"/>
      <c r="AW133" s="59"/>
      <c r="AX133" s="59"/>
      <c r="AY133" s="59"/>
      <c r="AZ133" s="59"/>
      <c r="BA133" s="59"/>
      <c r="BB133" s="59"/>
      <c r="BC133" s="59"/>
      <c r="BD133" s="59"/>
      <c r="BE133" s="59"/>
      <c r="BF133" s="59"/>
      <c r="BG133" s="59"/>
      <c r="BH133" s="59"/>
      <c r="BI133" s="59"/>
      <c r="BJ133" s="59"/>
      <c r="BK133" s="59"/>
      <c r="BL133" s="59"/>
      <c r="BM133" s="59"/>
      <c r="BN133" s="59"/>
      <c r="BO133" s="59"/>
      <c r="BP133" s="59"/>
      <c r="BQ133" s="59"/>
      <c r="BR133" s="59"/>
      <c r="BS133" s="59"/>
      <c r="BT133" s="59"/>
      <c r="BU133" s="59"/>
      <c r="BV133" s="59"/>
      <c r="BW133" s="59"/>
      <c r="BX133" s="59"/>
      <c r="BY133" s="59"/>
      <c r="BZ133" s="59"/>
      <c r="CA133" s="59"/>
      <c r="CB133" s="59"/>
      <c r="CC133" s="59"/>
      <c r="CD133" s="59"/>
      <c r="CE133" s="59"/>
      <c r="CF133" s="59"/>
      <c r="CG133" s="59"/>
      <c r="CH133" s="59"/>
      <c r="CI133" s="59"/>
      <c r="CJ133" s="59"/>
      <c r="CK133" s="59"/>
      <c r="CL133" s="59"/>
      <c r="CM133" s="59"/>
      <c r="CN133" s="59"/>
      <c r="CO133" s="59"/>
      <c r="CP133" s="59"/>
      <c r="CQ133" s="59"/>
      <c r="CR133" s="59"/>
      <c r="CS133" s="59"/>
      <c r="CT133" s="59"/>
      <c r="CU133" s="59"/>
      <c r="CV133" s="59"/>
      <c r="CW133" s="59"/>
      <c r="CX133" s="59"/>
      <c r="CY133" s="59"/>
      <c r="CZ133" s="59"/>
      <c r="DA133" s="59"/>
      <c r="DB133" s="59"/>
      <c r="DC133" s="59"/>
      <c r="DD133" s="59"/>
      <c r="DE133" s="59"/>
      <c r="DF133" s="59"/>
      <c r="DG133" s="59"/>
    </row>
    <row r="134" spans="1:111" ht="11.2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/>
      <c r="BB134" s="59"/>
      <c r="BC134" s="59"/>
      <c r="BD134" s="59"/>
      <c r="BE134" s="59"/>
      <c r="BF134" s="59"/>
      <c r="BG134" s="59"/>
      <c r="BH134" s="59"/>
      <c r="BI134" s="59"/>
      <c r="BJ134" s="59"/>
      <c r="BK134" s="59"/>
      <c r="BL134" s="59"/>
      <c r="BM134" s="59"/>
      <c r="BN134" s="59"/>
      <c r="BO134" s="59"/>
      <c r="BP134" s="59"/>
      <c r="BQ134" s="59"/>
      <c r="BR134" s="59"/>
      <c r="BS134" s="59"/>
      <c r="BT134" s="59"/>
      <c r="BU134" s="59"/>
      <c r="BV134" s="59"/>
      <c r="BW134" s="59"/>
      <c r="BX134" s="59"/>
      <c r="BY134" s="59"/>
      <c r="BZ134" s="59"/>
      <c r="CA134" s="59"/>
      <c r="CB134" s="59"/>
      <c r="CC134" s="59"/>
      <c r="CD134" s="59"/>
      <c r="CE134" s="59"/>
      <c r="CF134" s="59"/>
      <c r="CG134" s="59"/>
      <c r="CH134" s="59"/>
      <c r="CI134" s="59"/>
      <c r="CJ134" s="59"/>
      <c r="CK134" s="59"/>
      <c r="CL134" s="59"/>
      <c r="CM134" s="59"/>
      <c r="CN134" s="59"/>
      <c r="CO134" s="59"/>
      <c r="CP134" s="59"/>
      <c r="CQ134" s="59"/>
      <c r="CR134" s="59"/>
      <c r="CS134" s="59"/>
      <c r="CT134" s="59"/>
      <c r="CU134" s="59"/>
      <c r="CV134" s="59"/>
      <c r="CW134" s="59"/>
      <c r="CX134" s="59"/>
      <c r="CY134" s="59"/>
      <c r="CZ134" s="59"/>
      <c r="DA134" s="59"/>
      <c r="DB134" s="59"/>
      <c r="DC134" s="59"/>
      <c r="DD134" s="59"/>
      <c r="DE134" s="59"/>
      <c r="DF134" s="59"/>
      <c r="DG134" s="59"/>
    </row>
    <row r="135" spans="1:111" ht="11.2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9"/>
      <c r="AU135" s="59"/>
      <c r="AV135" s="59"/>
      <c r="AW135" s="59"/>
      <c r="AX135" s="59"/>
      <c r="AY135" s="59"/>
      <c r="AZ135" s="59"/>
      <c r="BA135" s="59"/>
      <c r="BB135" s="59"/>
      <c r="BC135" s="59"/>
      <c r="BD135" s="59"/>
      <c r="BE135" s="59"/>
      <c r="BF135" s="59"/>
      <c r="BG135" s="59"/>
      <c r="BH135" s="59"/>
      <c r="BI135" s="59"/>
      <c r="BJ135" s="59"/>
      <c r="BK135" s="59"/>
      <c r="BL135" s="59"/>
      <c r="BM135" s="59"/>
      <c r="BN135" s="59"/>
      <c r="BO135" s="59"/>
      <c r="BP135" s="59"/>
      <c r="BQ135" s="59"/>
      <c r="BR135" s="59"/>
      <c r="BS135" s="59"/>
      <c r="BT135" s="59"/>
      <c r="BU135" s="59"/>
      <c r="BV135" s="59"/>
      <c r="BW135" s="59"/>
      <c r="BX135" s="59"/>
      <c r="BY135" s="59"/>
      <c r="BZ135" s="59"/>
      <c r="CA135" s="59"/>
      <c r="CB135" s="59"/>
      <c r="CC135" s="59"/>
      <c r="CD135" s="59"/>
      <c r="CE135" s="59"/>
      <c r="CF135" s="59"/>
      <c r="CG135" s="59"/>
      <c r="CH135" s="59"/>
      <c r="CI135" s="59"/>
      <c r="CJ135" s="59"/>
      <c r="CK135" s="59"/>
      <c r="CL135" s="59"/>
      <c r="CM135" s="59"/>
      <c r="CN135" s="59"/>
      <c r="CO135" s="59"/>
      <c r="CP135" s="59"/>
      <c r="CQ135" s="59"/>
      <c r="CR135" s="59"/>
      <c r="CS135" s="59"/>
      <c r="CT135" s="59"/>
      <c r="CU135" s="59"/>
      <c r="CV135" s="59"/>
      <c r="CW135" s="59"/>
      <c r="CX135" s="59"/>
      <c r="CY135" s="59"/>
      <c r="CZ135" s="59"/>
      <c r="DA135" s="59"/>
      <c r="DB135" s="59"/>
      <c r="DC135" s="59"/>
      <c r="DD135" s="59"/>
      <c r="DE135" s="59"/>
      <c r="DF135" s="59"/>
      <c r="DG135" s="59"/>
    </row>
    <row r="136" spans="1:111" ht="11.2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59"/>
      <c r="AW136" s="59"/>
      <c r="AX136" s="59"/>
      <c r="AY136" s="59"/>
      <c r="AZ136" s="59"/>
      <c r="BA136" s="59"/>
      <c r="BB136" s="59"/>
      <c r="BC136" s="59"/>
      <c r="BD136" s="59"/>
      <c r="BE136" s="59"/>
      <c r="BF136" s="59"/>
      <c r="BG136" s="59"/>
      <c r="BH136" s="59"/>
      <c r="BI136" s="59"/>
      <c r="BJ136" s="59"/>
      <c r="BK136" s="59"/>
      <c r="BL136" s="59"/>
      <c r="BM136" s="59"/>
      <c r="BN136" s="59"/>
      <c r="BO136" s="59"/>
      <c r="BP136" s="59"/>
      <c r="BQ136" s="59"/>
      <c r="BR136" s="59"/>
      <c r="BS136" s="59"/>
      <c r="BT136" s="59"/>
      <c r="BU136" s="59"/>
      <c r="BV136" s="59"/>
      <c r="BW136" s="59"/>
      <c r="BX136" s="59"/>
      <c r="BY136" s="59"/>
      <c r="BZ136" s="59"/>
      <c r="CA136" s="59"/>
      <c r="CB136" s="59"/>
      <c r="CC136" s="59"/>
      <c r="CD136" s="59"/>
      <c r="CE136" s="59"/>
      <c r="CF136" s="59"/>
      <c r="CG136" s="59"/>
      <c r="CH136" s="59"/>
      <c r="CI136" s="59"/>
      <c r="CJ136" s="59"/>
      <c r="CK136" s="59"/>
      <c r="CL136" s="59"/>
      <c r="CM136" s="59"/>
      <c r="CN136" s="59"/>
      <c r="CO136" s="59"/>
      <c r="CP136" s="59"/>
      <c r="CQ136" s="59"/>
      <c r="CR136" s="59"/>
      <c r="CS136" s="59"/>
      <c r="CT136" s="59"/>
      <c r="CU136" s="59"/>
      <c r="CV136" s="59"/>
      <c r="CW136" s="59"/>
      <c r="CX136" s="59"/>
      <c r="CY136" s="59"/>
      <c r="CZ136" s="59"/>
      <c r="DA136" s="59"/>
      <c r="DB136" s="59"/>
      <c r="DC136" s="59"/>
      <c r="DD136" s="59"/>
      <c r="DE136" s="59"/>
      <c r="DF136" s="59"/>
      <c r="DG136" s="59"/>
    </row>
    <row r="137" spans="1:111" ht="11.2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  <c r="BC137" s="59"/>
      <c r="BD137" s="59"/>
      <c r="BE137" s="59"/>
      <c r="BF137" s="59"/>
      <c r="BG137" s="59"/>
      <c r="BH137" s="59"/>
      <c r="BI137" s="59"/>
      <c r="BJ137" s="59"/>
      <c r="BK137" s="59"/>
      <c r="BL137" s="59"/>
      <c r="BM137" s="59"/>
      <c r="BN137" s="59"/>
      <c r="BO137" s="59"/>
      <c r="BP137" s="59"/>
      <c r="BQ137" s="59"/>
      <c r="BR137" s="59"/>
      <c r="BS137" s="59"/>
      <c r="BT137" s="59"/>
      <c r="BU137" s="59"/>
      <c r="BV137" s="59"/>
      <c r="BW137" s="59"/>
      <c r="BX137" s="59"/>
      <c r="BY137" s="59"/>
      <c r="BZ137" s="59"/>
      <c r="CA137" s="59"/>
      <c r="CB137" s="59"/>
      <c r="CC137" s="59"/>
      <c r="CD137" s="59"/>
      <c r="CE137" s="59"/>
      <c r="CF137" s="59"/>
      <c r="CG137" s="59"/>
      <c r="CH137" s="59"/>
      <c r="CI137" s="59"/>
      <c r="CJ137" s="59"/>
      <c r="CK137" s="59"/>
      <c r="CL137" s="59"/>
      <c r="CM137" s="59"/>
      <c r="CN137" s="59"/>
      <c r="CO137" s="59"/>
      <c r="CP137" s="59"/>
      <c r="CQ137" s="59"/>
      <c r="CR137" s="59"/>
      <c r="CS137" s="59"/>
      <c r="CT137" s="59"/>
      <c r="CU137" s="59"/>
      <c r="CV137" s="59"/>
      <c r="CW137" s="59"/>
      <c r="CX137" s="59"/>
      <c r="CY137" s="59"/>
      <c r="CZ137" s="59"/>
      <c r="DA137" s="59"/>
      <c r="DB137" s="59"/>
      <c r="DC137" s="59"/>
      <c r="DD137" s="59"/>
      <c r="DE137" s="59"/>
      <c r="DF137" s="59"/>
      <c r="DG137" s="59"/>
    </row>
    <row r="138" spans="1:111" ht="11.2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/>
      <c r="BB138" s="59"/>
      <c r="BC138" s="59"/>
      <c r="BD138" s="59"/>
      <c r="BE138" s="59"/>
      <c r="BF138" s="59"/>
      <c r="BG138" s="59"/>
      <c r="BH138" s="59"/>
      <c r="BI138" s="59"/>
      <c r="BJ138" s="59"/>
      <c r="BK138" s="59"/>
      <c r="BL138" s="59"/>
      <c r="BM138" s="59"/>
      <c r="BN138" s="59"/>
      <c r="BO138" s="59"/>
      <c r="BP138" s="59"/>
      <c r="BQ138" s="59"/>
      <c r="BR138" s="59"/>
      <c r="BS138" s="59"/>
      <c r="BT138" s="59"/>
      <c r="BU138" s="59"/>
      <c r="BV138" s="59"/>
      <c r="BW138" s="59"/>
      <c r="BX138" s="59"/>
      <c r="BY138" s="59"/>
      <c r="BZ138" s="59"/>
      <c r="CA138" s="59"/>
      <c r="CB138" s="59"/>
      <c r="CC138" s="59"/>
      <c r="CD138" s="59"/>
      <c r="CE138" s="59"/>
      <c r="CF138" s="59"/>
      <c r="CG138" s="59"/>
      <c r="CH138" s="59"/>
      <c r="CI138" s="59"/>
      <c r="CJ138" s="59"/>
      <c r="CK138" s="59"/>
      <c r="CL138" s="59"/>
      <c r="CM138" s="59"/>
      <c r="CN138" s="59"/>
      <c r="CO138" s="59"/>
      <c r="CP138" s="59"/>
      <c r="CQ138" s="59"/>
      <c r="CR138" s="59"/>
      <c r="CS138" s="59"/>
      <c r="CT138" s="59"/>
      <c r="CU138" s="59"/>
      <c r="CV138" s="59"/>
      <c r="CW138" s="59"/>
      <c r="CX138" s="59"/>
      <c r="CY138" s="59"/>
      <c r="CZ138" s="59"/>
      <c r="DA138" s="59"/>
      <c r="DB138" s="59"/>
      <c r="DC138" s="59"/>
      <c r="DD138" s="59"/>
      <c r="DE138" s="59"/>
      <c r="DF138" s="59"/>
      <c r="DG138" s="59"/>
    </row>
    <row r="139" spans="1:111" ht="11.2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59"/>
      <c r="BB139" s="59"/>
      <c r="BC139" s="59"/>
      <c r="BD139" s="59"/>
      <c r="BE139" s="59"/>
      <c r="BF139" s="59"/>
      <c r="BG139" s="59"/>
      <c r="BH139" s="59"/>
      <c r="BI139" s="59"/>
      <c r="BJ139" s="59"/>
      <c r="BK139" s="59"/>
      <c r="BL139" s="59"/>
      <c r="BM139" s="59"/>
      <c r="BN139" s="59"/>
      <c r="BO139" s="59"/>
      <c r="BP139" s="59"/>
      <c r="BQ139" s="59"/>
      <c r="BR139" s="59"/>
      <c r="BS139" s="59"/>
      <c r="BT139" s="59"/>
      <c r="BU139" s="59"/>
      <c r="BV139" s="59"/>
      <c r="BW139" s="59"/>
      <c r="BX139" s="59"/>
      <c r="BY139" s="59"/>
      <c r="BZ139" s="59"/>
      <c r="CA139" s="59"/>
      <c r="CB139" s="59"/>
      <c r="CC139" s="59"/>
      <c r="CD139" s="59"/>
      <c r="CE139" s="59"/>
      <c r="CF139" s="59"/>
      <c r="CG139" s="59"/>
      <c r="CH139" s="59"/>
      <c r="CI139" s="59"/>
      <c r="CJ139" s="59"/>
      <c r="CK139" s="59"/>
      <c r="CL139" s="59"/>
      <c r="CM139" s="59"/>
      <c r="CN139" s="59"/>
      <c r="CO139" s="59"/>
      <c r="CP139" s="59"/>
      <c r="CQ139" s="59"/>
      <c r="CR139" s="59"/>
      <c r="CS139" s="59"/>
      <c r="CT139" s="59"/>
      <c r="CU139" s="59"/>
      <c r="CV139" s="59"/>
      <c r="CW139" s="59"/>
      <c r="CX139" s="59"/>
      <c r="CY139" s="59"/>
      <c r="CZ139" s="59"/>
      <c r="DA139" s="59"/>
      <c r="DB139" s="59"/>
      <c r="DC139" s="59"/>
      <c r="DD139" s="59"/>
      <c r="DE139" s="59"/>
      <c r="DF139" s="59"/>
      <c r="DG139" s="59"/>
    </row>
    <row r="140" spans="1:111" ht="11.2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  <c r="BC140" s="59"/>
      <c r="BD140" s="59"/>
      <c r="BE140" s="59"/>
      <c r="BF140" s="59"/>
      <c r="BG140" s="59"/>
      <c r="BH140" s="59"/>
      <c r="BI140" s="59"/>
      <c r="BJ140" s="59"/>
      <c r="BK140" s="59"/>
      <c r="BL140" s="59"/>
      <c r="BM140" s="59"/>
      <c r="BN140" s="59"/>
      <c r="BO140" s="59"/>
      <c r="BP140" s="59"/>
      <c r="BQ140" s="59"/>
      <c r="BR140" s="59"/>
      <c r="BS140" s="59"/>
      <c r="BT140" s="59"/>
      <c r="BU140" s="59"/>
      <c r="BV140" s="59"/>
      <c r="BW140" s="59"/>
      <c r="BX140" s="59"/>
      <c r="BY140" s="59"/>
      <c r="BZ140" s="59"/>
      <c r="CA140" s="59"/>
      <c r="CB140" s="59"/>
      <c r="CC140" s="59"/>
      <c r="CD140" s="59"/>
      <c r="CE140" s="59"/>
      <c r="CF140" s="59"/>
      <c r="CG140" s="59"/>
      <c r="CH140" s="59"/>
      <c r="CI140" s="59"/>
      <c r="CJ140" s="59"/>
      <c r="CK140" s="59"/>
      <c r="CL140" s="59"/>
      <c r="CM140" s="59"/>
      <c r="CN140" s="59"/>
      <c r="CO140" s="59"/>
      <c r="CP140" s="59"/>
      <c r="CQ140" s="59"/>
      <c r="CR140" s="59"/>
      <c r="CS140" s="59"/>
      <c r="CT140" s="59"/>
      <c r="CU140" s="59"/>
      <c r="CV140" s="59"/>
      <c r="CW140" s="59"/>
      <c r="CX140" s="59"/>
      <c r="CY140" s="59"/>
      <c r="CZ140" s="59"/>
      <c r="DA140" s="59"/>
      <c r="DB140" s="59"/>
      <c r="DC140" s="59"/>
      <c r="DD140" s="59"/>
      <c r="DE140" s="59"/>
      <c r="DF140" s="59"/>
      <c r="DG140" s="59"/>
    </row>
    <row r="141" spans="1:111" ht="11.2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59"/>
      <c r="AW141" s="59"/>
      <c r="AX141" s="59"/>
      <c r="AY141" s="59"/>
      <c r="AZ141" s="59"/>
      <c r="BA141" s="59"/>
      <c r="BB141" s="59"/>
      <c r="BC141" s="59"/>
      <c r="BD141" s="59"/>
      <c r="BE141" s="59"/>
      <c r="BF141" s="59"/>
      <c r="BG141" s="59"/>
      <c r="BH141" s="59"/>
      <c r="BI141" s="59"/>
      <c r="BJ141" s="59"/>
      <c r="BK141" s="59"/>
      <c r="BL141" s="59"/>
      <c r="BM141" s="59"/>
      <c r="BN141" s="59"/>
      <c r="BO141" s="59"/>
      <c r="BP141" s="59"/>
      <c r="BQ141" s="59"/>
      <c r="BR141" s="59"/>
      <c r="BS141" s="59"/>
      <c r="BT141" s="59"/>
      <c r="BU141" s="59"/>
      <c r="BV141" s="59"/>
      <c r="BW141" s="59"/>
      <c r="BX141" s="59"/>
      <c r="BY141" s="59"/>
      <c r="BZ141" s="59"/>
      <c r="CA141" s="59"/>
      <c r="CB141" s="59"/>
      <c r="CC141" s="59"/>
      <c r="CD141" s="59"/>
      <c r="CE141" s="59"/>
      <c r="CF141" s="59"/>
      <c r="CG141" s="59"/>
      <c r="CH141" s="59"/>
      <c r="CI141" s="59"/>
      <c r="CJ141" s="59"/>
      <c r="CK141" s="59"/>
      <c r="CL141" s="59"/>
      <c r="CM141" s="59"/>
      <c r="CN141" s="59"/>
      <c r="CO141" s="59"/>
      <c r="CP141" s="59"/>
      <c r="CQ141" s="59"/>
      <c r="CR141" s="59"/>
      <c r="CS141" s="59"/>
      <c r="CT141" s="59"/>
      <c r="CU141" s="59"/>
      <c r="CV141" s="59"/>
      <c r="CW141" s="59"/>
      <c r="CX141" s="59"/>
      <c r="CY141" s="59"/>
      <c r="CZ141" s="59"/>
      <c r="DA141" s="59"/>
      <c r="DB141" s="59"/>
      <c r="DC141" s="59"/>
      <c r="DD141" s="59"/>
      <c r="DE141" s="59"/>
      <c r="DF141" s="59"/>
      <c r="DG141" s="59"/>
    </row>
    <row r="142" spans="1:111" ht="11.2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  <c r="BC142" s="59"/>
      <c r="BD142" s="59"/>
      <c r="BE142" s="59"/>
      <c r="BF142" s="59"/>
      <c r="BG142" s="59"/>
      <c r="BH142" s="59"/>
      <c r="BI142" s="59"/>
      <c r="BJ142" s="59"/>
      <c r="BK142" s="59"/>
      <c r="BL142" s="59"/>
      <c r="BM142" s="59"/>
      <c r="BN142" s="59"/>
      <c r="BO142" s="59"/>
      <c r="BP142" s="59"/>
      <c r="BQ142" s="59"/>
      <c r="BR142" s="59"/>
      <c r="BS142" s="59"/>
      <c r="BT142" s="59"/>
      <c r="BU142" s="59"/>
      <c r="BV142" s="59"/>
      <c r="BW142" s="59"/>
      <c r="BX142" s="59"/>
      <c r="BY142" s="59"/>
      <c r="BZ142" s="59"/>
      <c r="CA142" s="59"/>
      <c r="CB142" s="59"/>
      <c r="CC142" s="59"/>
      <c r="CD142" s="59"/>
      <c r="CE142" s="59"/>
      <c r="CF142" s="59"/>
      <c r="CG142" s="59"/>
      <c r="CH142" s="59"/>
      <c r="CI142" s="59"/>
      <c r="CJ142" s="59"/>
      <c r="CK142" s="59"/>
      <c r="CL142" s="59"/>
      <c r="CM142" s="59"/>
      <c r="CN142" s="59"/>
      <c r="CO142" s="59"/>
      <c r="CP142" s="59"/>
      <c r="CQ142" s="59"/>
      <c r="CR142" s="59"/>
      <c r="CS142" s="59"/>
      <c r="CT142" s="59"/>
      <c r="CU142" s="59"/>
      <c r="CV142" s="59"/>
      <c r="CW142" s="59"/>
      <c r="CX142" s="59"/>
      <c r="CY142" s="59"/>
      <c r="CZ142" s="59"/>
      <c r="DA142" s="59"/>
      <c r="DB142" s="59"/>
      <c r="DC142" s="59"/>
      <c r="DD142" s="59"/>
      <c r="DE142" s="59"/>
      <c r="DF142" s="59"/>
      <c r="DG142" s="59"/>
    </row>
    <row r="143" spans="1:111" ht="11.2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  <c r="BC143" s="59"/>
      <c r="BD143" s="59"/>
      <c r="BE143" s="59"/>
      <c r="BF143" s="59"/>
      <c r="BG143" s="59"/>
      <c r="BH143" s="59"/>
      <c r="BI143" s="59"/>
      <c r="BJ143" s="59"/>
      <c r="BK143" s="59"/>
      <c r="BL143" s="59"/>
      <c r="BM143" s="59"/>
      <c r="BN143" s="59"/>
      <c r="BO143" s="59"/>
      <c r="BP143" s="59"/>
      <c r="BQ143" s="59"/>
      <c r="BR143" s="59"/>
      <c r="BS143" s="59"/>
      <c r="BT143" s="59"/>
      <c r="BU143" s="59"/>
      <c r="BV143" s="59"/>
      <c r="BW143" s="59"/>
      <c r="BX143" s="59"/>
      <c r="BY143" s="59"/>
      <c r="BZ143" s="59"/>
      <c r="CA143" s="59"/>
      <c r="CB143" s="59"/>
      <c r="CC143" s="59"/>
      <c r="CD143" s="59"/>
      <c r="CE143" s="59"/>
      <c r="CF143" s="59"/>
      <c r="CG143" s="59"/>
      <c r="CH143" s="59"/>
      <c r="CI143" s="59"/>
      <c r="CJ143" s="59"/>
      <c r="CK143" s="59"/>
      <c r="CL143" s="59"/>
      <c r="CM143" s="59"/>
      <c r="CN143" s="59"/>
      <c r="CO143" s="59"/>
      <c r="CP143" s="59"/>
      <c r="CQ143" s="59"/>
      <c r="CR143" s="59"/>
      <c r="CS143" s="59"/>
      <c r="CT143" s="59"/>
      <c r="CU143" s="59"/>
      <c r="CV143" s="59"/>
      <c r="CW143" s="59"/>
      <c r="CX143" s="59"/>
      <c r="CY143" s="59"/>
      <c r="CZ143" s="59"/>
      <c r="DA143" s="59"/>
      <c r="DB143" s="59"/>
      <c r="DC143" s="59"/>
      <c r="DD143" s="59"/>
      <c r="DE143" s="59"/>
      <c r="DF143" s="59"/>
      <c r="DG143" s="59"/>
    </row>
    <row r="144" spans="1:111" ht="11.2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59"/>
      <c r="BE144" s="59"/>
      <c r="BF144" s="59"/>
      <c r="BG144" s="59"/>
      <c r="BH144" s="59"/>
      <c r="BI144" s="59"/>
      <c r="BJ144" s="59"/>
      <c r="BK144" s="59"/>
      <c r="BL144" s="59"/>
      <c r="BM144" s="59"/>
      <c r="BN144" s="59"/>
      <c r="BO144" s="59"/>
      <c r="BP144" s="59"/>
      <c r="BQ144" s="59"/>
      <c r="BR144" s="59"/>
      <c r="BS144" s="59"/>
      <c r="BT144" s="59"/>
      <c r="BU144" s="59"/>
      <c r="BV144" s="59"/>
      <c r="BW144" s="59"/>
      <c r="BX144" s="59"/>
      <c r="BY144" s="59"/>
      <c r="BZ144" s="59"/>
      <c r="CA144" s="59"/>
      <c r="CB144" s="59"/>
      <c r="CC144" s="59"/>
      <c r="CD144" s="59"/>
      <c r="CE144" s="59"/>
      <c r="CF144" s="59"/>
      <c r="CG144" s="59"/>
      <c r="CH144" s="59"/>
      <c r="CI144" s="59"/>
      <c r="CJ144" s="59"/>
      <c r="CK144" s="59"/>
      <c r="CL144" s="59"/>
      <c r="CM144" s="59"/>
      <c r="CN144" s="59"/>
      <c r="CO144" s="59"/>
      <c r="CP144" s="59"/>
      <c r="CQ144" s="59"/>
      <c r="CR144" s="59"/>
      <c r="CS144" s="59"/>
      <c r="CT144" s="59"/>
      <c r="CU144" s="59"/>
      <c r="CV144" s="59"/>
      <c r="CW144" s="59"/>
      <c r="CX144" s="59"/>
      <c r="CY144" s="59"/>
      <c r="CZ144" s="59"/>
      <c r="DA144" s="59"/>
      <c r="DB144" s="59"/>
      <c r="DC144" s="59"/>
      <c r="DD144" s="59"/>
      <c r="DE144" s="59"/>
      <c r="DF144" s="59"/>
      <c r="DG144" s="59"/>
    </row>
    <row r="145" spans="1:111" ht="11.2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  <c r="BC145" s="59"/>
      <c r="BD145" s="59"/>
      <c r="BE145" s="59"/>
      <c r="BF145" s="59"/>
      <c r="BG145" s="59"/>
      <c r="BH145" s="59"/>
      <c r="BI145" s="59"/>
      <c r="BJ145" s="59"/>
      <c r="BK145" s="59"/>
      <c r="BL145" s="59"/>
      <c r="BM145" s="59"/>
      <c r="BN145" s="59"/>
      <c r="BO145" s="59"/>
      <c r="BP145" s="59"/>
      <c r="BQ145" s="59"/>
      <c r="BR145" s="59"/>
      <c r="BS145" s="59"/>
      <c r="BT145" s="59"/>
      <c r="BU145" s="59"/>
      <c r="BV145" s="59"/>
      <c r="BW145" s="59"/>
      <c r="BX145" s="59"/>
      <c r="BY145" s="59"/>
      <c r="BZ145" s="59"/>
      <c r="CA145" s="59"/>
      <c r="CB145" s="59"/>
      <c r="CC145" s="59"/>
      <c r="CD145" s="59"/>
      <c r="CE145" s="59"/>
      <c r="CF145" s="59"/>
      <c r="CG145" s="59"/>
      <c r="CH145" s="59"/>
      <c r="CI145" s="59"/>
      <c r="CJ145" s="59"/>
      <c r="CK145" s="59"/>
      <c r="CL145" s="59"/>
      <c r="CM145" s="59"/>
      <c r="CN145" s="59"/>
      <c r="CO145" s="59"/>
      <c r="CP145" s="59"/>
      <c r="CQ145" s="59"/>
      <c r="CR145" s="59"/>
      <c r="CS145" s="59"/>
      <c r="CT145" s="59"/>
      <c r="CU145" s="59"/>
      <c r="CV145" s="59"/>
      <c r="CW145" s="59"/>
      <c r="CX145" s="59"/>
      <c r="CY145" s="59"/>
      <c r="CZ145" s="59"/>
      <c r="DA145" s="59"/>
      <c r="DB145" s="59"/>
      <c r="DC145" s="59"/>
      <c r="DD145" s="59"/>
      <c r="DE145" s="59"/>
      <c r="DF145" s="59"/>
      <c r="DG145" s="59"/>
    </row>
    <row r="146" spans="1:111" ht="11.2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  <c r="BC146" s="59"/>
      <c r="BD146" s="59"/>
      <c r="BE146" s="59"/>
      <c r="BF146" s="59"/>
      <c r="BG146" s="59"/>
      <c r="BH146" s="59"/>
      <c r="BI146" s="59"/>
      <c r="BJ146" s="59"/>
      <c r="BK146" s="59"/>
      <c r="BL146" s="59"/>
      <c r="BM146" s="59"/>
      <c r="BN146" s="59"/>
      <c r="BO146" s="59"/>
      <c r="BP146" s="59"/>
      <c r="BQ146" s="59"/>
      <c r="BR146" s="59"/>
      <c r="BS146" s="59"/>
      <c r="BT146" s="59"/>
      <c r="BU146" s="59"/>
      <c r="BV146" s="59"/>
      <c r="BW146" s="59"/>
      <c r="BX146" s="59"/>
      <c r="BY146" s="59"/>
      <c r="BZ146" s="59"/>
      <c r="CA146" s="59"/>
      <c r="CB146" s="59"/>
      <c r="CC146" s="59"/>
      <c r="CD146" s="59"/>
      <c r="CE146" s="59"/>
      <c r="CF146" s="59"/>
      <c r="CG146" s="59"/>
      <c r="CH146" s="59"/>
      <c r="CI146" s="59"/>
      <c r="CJ146" s="59"/>
      <c r="CK146" s="59"/>
      <c r="CL146" s="59"/>
      <c r="CM146" s="59"/>
      <c r="CN146" s="59"/>
      <c r="CO146" s="59"/>
      <c r="CP146" s="59"/>
      <c r="CQ146" s="59"/>
      <c r="CR146" s="59"/>
      <c r="CS146" s="59"/>
      <c r="CT146" s="59"/>
      <c r="CU146" s="59"/>
      <c r="CV146" s="59"/>
      <c r="CW146" s="59"/>
      <c r="CX146" s="59"/>
      <c r="CY146" s="59"/>
      <c r="CZ146" s="59"/>
      <c r="DA146" s="59"/>
      <c r="DB146" s="59"/>
      <c r="DC146" s="59"/>
      <c r="DD146" s="59"/>
      <c r="DE146" s="59"/>
      <c r="DF146" s="59"/>
      <c r="DG146" s="59"/>
    </row>
    <row r="147" spans="1:111" ht="11.2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/>
      <c r="BB147" s="59"/>
      <c r="BC147" s="59"/>
      <c r="BD147" s="59"/>
      <c r="BE147" s="59"/>
      <c r="BF147" s="59"/>
      <c r="BG147" s="59"/>
      <c r="BH147" s="59"/>
      <c r="BI147" s="59"/>
      <c r="BJ147" s="59"/>
      <c r="BK147" s="59"/>
      <c r="BL147" s="59"/>
      <c r="BM147" s="59"/>
      <c r="BN147" s="59"/>
      <c r="BO147" s="59"/>
      <c r="BP147" s="59"/>
      <c r="BQ147" s="59"/>
      <c r="BR147" s="59"/>
      <c r="BS147" s="59"/>
      <c r="BT147" s="59"/>
      <c r="BU147" s="59"/>
      <c r="BV147" s="59"/>
      <c r="BW147" s="59"/>
      <c r="BX147" s="59"/>
      <c r="BY147" s="59"/>
      <c r="BZ147" s="59"/>
      <c r="CA147" s="59"/>
      <c r="CB147" s="59"/>
      <c r="CC147" s="59"/>
      <c r="CD147" s="59"/>
      <c r="CE147" s="59"/>
      <c r="CF147" s="59"/>
      <c r="CG147" s="59"/>
      <c r="CH147" s="59"/>
      <c r="CI147" s="59"/>
      <c r="CJ147" s="59"/>
      <c r="CK147" s="59"/>
      <c r="CL147" s="59"/>
      <c r="CM147" s="59"/>
      <c r="CN147" s="59"/>
      <c r="CO147" s="59"/>
      <c r="CP147" s="59"/>
      <c r="CQ147" s="59"/>
      <c r="CR147" s="59"/>
      <c r="CS147" s="59"/>
      <c r="CT147" s="59"/>
      <c r="CU147" s="59"/>
      <c r="CV147" s="59"/>
      <c r="CW147" s="59"/>
      <c r="CX147" s="59"/>
      <c r="CY147" s="59"/>
      <c r="CZ147" s="59"/>
      <c r="DA147" s="59"/>
      <c r="DB147" s="59"/>
      <c r="DC147" s="59"/>
      <c r="DD147" s="59"/>
      <c r="DE147" s="59"/>
      <c r="DF147" s="59"/>
      <c r="DG147" s="59"/>
    </row>
    <row r="148" spans="1:111" ht="11.2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  <c r="BC148" s="59"/>
      <c r="BD148" s="59"/>
      <c r="BE148" s="59"/>
      <c r="BF148" s="59"/>
      <c r="BG148" s="59"/>
      <c r="BH148" s="59"/>
      <c r="BI148" s="59"/>
      <c r="BJ148" s="59"/>
      <c r="BK148" s="59"/>
      <c r="BL148" s="59"/>
      <c r="BM148" s="59"/>
      <c r="BN148" s="59"/>
      <c r="BO148" s="59"/>
      <c r="BP148" s="59"/>
      <c r="BQ148" s="59"/>
      <c r="BR148" s="59"/>
      <c r="BS148" s="59"/>
      <c r="BT148" s="59"/>
      <c r="BU148" s="59"/>
      <c r="BV148" s="59"/>
      <c r="BW148" s="59"/>
      <c r="BX148" s="59"/>
      <c r="BY148" s="59"/>
      <c r="BZ148" s="59"/>
      <c r="CA148" s="59"/>
      <c r="CB148" s="59"/>
      <c r="CC148" s="59"/>
      <c r="CD148" s="59"/>
      <c r="CE148" s="59"/>
      <c r="CF148" s="59"/>
      <c r="CG148" s="59"/>
      <c r="CH148" s="59"/>
      <c r="CI148" s="59"/>
      <c r="CJ148" s="59"/>
      <c r="CK148" s="59"/>
      <c r="CL148" s="59"/>
      <c r="CM148" s="59"/>
      <c r="CN148" s="59"/>
      <c r="CO148" s="59"/>
      <c r="CP148" s="59"/>
      <c r="CQ148" s="59"/>
      <c r="CR148" s="59"/>
      <c r="CS148" s="59"/>
      <c r="CT148" s="59"/>
      <c r="CU148" s="59"/>
      <c r="CV148" s="59"/>
      <c r="CW148" s="59"/>
      <c r="CX148" s="59"/>
      <c r="CY148" s="59"/>
      <c r="CZ148" s="59"/>
      <c r="DA148" s="59"/>
      <c r="DB148" s="59"/>
      <c r="DC148" s="59"/>
      <c r="DD148" s="59"/>
      <c r="DE148" s="59"/>
      <c r="DF148" s="59"/>
      <c r="DG148" s="59"/>
    </row>
    <row r="149" spans="1:111" ht="11.2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/>
      <c r="BB149" s="59"/>
      <c r="BC149" s="59"/>
      <c r="BD149" s="59"/>
      <c r="BE149" s="59"/>
      <c r="BF149" s="59"/>
      <c r="BG149" s="59"/>
      <c r="BH149" s="59"/>
      <c r="BI149" s="59"/>
      <c r="BJ149" s="59"/>
      <c r="BK149" s="59"/>
      <c r="BL149" s="59"/>
      <c r="BM149" s="59"/>
      <c r="BN149" s="59"/>
      <c r="BO149" s="59"/>
      <c r="BP149" s="59"/>
      <c r="BQ149" s="59"/>
      <c r="BR149" s="59"/>
      <c r="BS149" s="59"/>
      <c r="BT149" s="59"/>
      <c r="BU149" s="59"/>
      <c r="BV149" s="59"/>
      <c r="BW149" s="59"/>
      <c r="BX149" s="59"/>
      <c r="BY149" s="59"/>
      <c r="BZ149" s="59"/>
      <c r="CA149" s="59"/>
      <c r="CB149" s="59"/>
      <c r="CC149" s="59"/>
      <c r="CD149" s="59"/>
      <c r="CE149" s="59"/>
      <c r="CF149" s="59"/>
      <c r="CG149" s="59"/>
      <c r="CH149" s="59"/>
      <c r="CI149" s="59"/>
      <c r="CJ149" s="59"/>
      <c r="CK149" s="59"/>
      <c r="CL149" s="59"/>
      <c r="CM149" s="59"/>
      <c r="CN149" s="59"/>
      <c r="CO149" s="59"/>
      <c r="CP149" s="59"/>
      <c r="CQ149" s="59"/>
      <c r="CR149" s="59"/>
      <c r="CS149" s="59"/>
      <c r="CT149" s="59"/>
      <c r="CU149" s="59"/>
      <c r="CV149" s="59"/>
      <c r="CW149" s="59"/>
      <c r="CX149" s="59"/>
      <c r="CY149" s="59"/>
      <c r="CZ149" s="59"/>
      <c r="DA149" s="59"/>
      <c r="DB149" s="59"/>
      <c r="DC149" s="59"/>
      <c r="DD149" s="59"/>
      <c r="DE149" s="59"/>
      <c r="DF149" s="59"/>
      <c r="DG149" s="59"/>
    </row>
    <row r="150" spans="1:111" ht="11.2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  <c r="BC150" s="59"/>
      <c r="BD150" s="59"/>
      <c r="BE150" s="59"/>
      <c r="BF150" s="59"/>
      <c r="BG150" s="59"/>
      <c r="BH150" s="59"/>
      <c r="BI150" s="59"/>
      <c r="BJ150" s="59"/>
      <c r="BK150" s="59"/>
      <c r="BL150" s="59"/>
      <c r="BM150" s="59"/>
      <c r="BN150" s="59"/>
      <c r="BO150" s="59"/>
      <c r="BP150" s="59"/>
      <c r="BQ150" s="59"/>
      <c r="BR150" s="59"/>
      <c r="BS150" s="59"/>
      <c r="BT150" s="59"/>
      <c r="BU150" s="59"/>
      <c r="BV150" s="59"/>
      <c r="BW150" s="59"/>
      <c r="BX150" s="59"/>
      <c r="BY150" s="59"/>
      <c r="BZ150" s="59"/>
      <c r="CA150" s="59"/>
      <c r="CB150" s="59"/>
      <c r="CC150" s="59"/>
      <c r="CD150" s="59"/>
      <c r="CE150" s="59"/>
      <c r="CF150" s="59"/>
      <c r="CG150" s="59"/>
      <c r="CH150" s="59"/>
      <c r="CI150" s="59"/>
      <c r="CJ150" s="59"/>
      <c r="CK150" s="59"/>
      <c r="CL150" s="59"/>
      <c r="CM150" s="59"/>
      <c r="CN150" s="59"/>
      <c r="CO150" s="59"/>
      <c r="CP150" s="59"/>
      <c r="CQ150" s="59"/>
      <c r="CR150" s="59"/>
      <c r="CS150" s="59"/>
      <c r="CT150" s="59"/>
      <c r="CU150" s="59"/>
      <c r="CV150" s="59"/>
      <c r="CW150" s="59"/>
      <c r="CX150" s="59"/>
      <c r="CY150" s="59"/>
      <c r="CZ150" s="59"/>
      <c r="DA150" s="59"/>
      <c r="DB150" s="59"/>
      <c r="DC150" s="59"/>
      <c r="DD150" s="59"/>
      <c r="DE150" s="59"/>
      <c r="DF150" s="59"/>
      <c r="DG150" s="59"/>
    </row>
    <row r="151" spans="1:111" ht="11.2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/>
      <c r="BB151" s="59"/>
      <c r="BC151" s="59"/>
      <c r="BD151" s="59"/>
      <c r="BE151" s="59"/>
      <c r="BF151" s="59"/>
      <c r="BG151" s="59"/>
      <c r="BH151" s="59"/>
      <c r="BI151" s="59"/>
      <c r="BJ151" s="59"/>
      <c r="BK151" s="59"/>
      <c r="BL151" s="59"/>
      <c r="BM151" s="59"/>
      <c r="BN151" s="59"/>
      <c r="BO151" s="59"/>
      <c r="BP151" s="59"/>
      <c r="BQ151" s="59"/>
      <c r="BR151" s="59"/>
      <c r="BS151" s="59"/>
      <c r="BT151" s="59"/>
      <c r="BU151" s="59"/>
      <c r="BV151" s="59"/>
      <c r="BW151" s="59"/>
      <c r="BX151" s="59"/>
      <c r="BY151" s="59"/>
      <c r="BZ151" s="59"/>
      <c r="CA151" s="59"/>
      <c r="CB151" s="59"/>
      <c r="CC151" s="59"/>
      <c r="CD151" s="59"/>
      <c r="CE151" s="59"/>
      <c r="CF151" s="59"/>
      <c r="CG151" s="59"/>
      <c r="CH151" s="59"/>
      <c r="CI151" s="59"/>
      <c r="CJ151" s="59"/>
      <c r="CK151" s="59"/>
      <c r="CL151" s="59"/>
      <c r="CM151" s="59"/>
      <c r="CN151" s="59"/>
      <c r="CO151" s="59"/>
      <c r="CP151" s="59"/>
      <c r="CQ151" s="59"/>
      <c r="CR151" s="59"/>
      <c r="CS151" s="59"/>
      <c r="CT151" s="59"/>
      <c r="CU151" s="59"/>
      <c r="CV151" s="59"/>
      <c r="CW151" s="59"/>
      <c r="CX151" s="59"/>
      <c r="CY151" s="59"/>
      <c r="CZ151" s="59"/>
      <c r="DA151" s="59"/>
      <c r="DB151" s="59"/>
      <c r="DC151" s="59"/>
      <c r="DD151" s="59"/>
      <c r="DE151" s="59"/>
      <c r="DF151" s="59"/>
      <c r="DG151" s="59"/>
    </row>
    <row r="152" spans="1:111" ht="11.2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/>
      <c r="BB152" s="59"/>
      <c r="BC152" s="59"/>
      <c r="BD152" s="59"/>
      <c r="BE152" s="59"/>
      <c r="BF152" s="59"/>
      <c r="BG152" s="59"/>
      <c r="BH152" s="59"/>
      <c r="BI152" s="59"/>
      <c r="BJ152" s="59"/>
      <c r="BK152" s="59"/>
      <c r="BL152" s="59"/>
      <c r="BM152" s="59"/>
      <c r="BN152" s="59"/>
      <c r="BO152" s="59"/>
      <c r="BP152" s="59"/>
      <c r="BQ152" s="59"/>
      <c r="BR152" s="59"/>
      <c r="BS152" s="59"/>
      <c r="BT152" s="59"/>
      <c r="BU152" s="59"/>
      <c r="BV152" s="59"/>
      <c r="BW152" s="59"/>
      <c r="BX152" s="59"/>
      <c r="BY152" s="59"/>
      <c r="BZ152" s="59"/>
      <c r="CA152" s="59"/>
      <c r="CB152" s="59"/>
      <c r="CC152" s="59"/>
      <c r="CD152" s="59"/>
      <c r="CE152" s="59"/>
      <c r="CF152" s="59"/>
      <c r="CG152" s="59"/>
      <c r="CH152" s="59"/>
      <c r="CI152" s="59"/>
      <c r="CJ152" s="59"/>
      <c r="CK152" s="59"/>
      <c r="CL152" s="59"/>
      <c r="CM152" s="59"/>
      <c r="CN152" s="59"/>
      <c r="CO152" s="59"/>
      <c r="CP152" s="59"/>
      <c r="CQ152" s="59"/>
      <c r="CR152" s="59"/>
      <c r="CS152" s="59"/>
      <c r="CT152" s="59"/>
      <c r="CU152" s="59"/>
      <c r="CV152" s="59"/>
      <c r="CW152" s="59"/>
      <c r="CX152" s="59"/>
      <c r="CY152" s="59"/>
      <c r="CZ152" s="59"/>
      <c r="DA152" s="59"/>
      <c r="DB152" s="59"/>
      <c r="DC152" s="59"/>
      <c r="DD152" s="59"/>
      <c r="DE152" s="59"/>
      <c r="DF152" s="59"/>
      <c r="DG152" s="59"/>
    </row>
    <row r="153" spans="1:111" ht="11.2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59"/>
      <c r="AW153" s="59"/>
      <c r="AX153" s="59"/>
      <c r="AY153" s="59"/>
      <c r="AZ153" s="59"/>
      <c r="BA153" s="59"/>
      <c r="BB153" s="59"/>
      <c r="BC153" s="59"/>
      <c r="BD153" s="59"/>
      <c r="BE153" s="59"/>
      <c r="BF153" s="59"/>
      <c r="BG153" s="59"/>
      <c r="BH153" s="59"/>
      <c r="BI153" s="59"/>
      <c r="BJ153" s="59"/>
      <c r="BK153" s="59"/>
      <c r="BL153" s="59"/>
      <c r="BM153" s="59"/>
      <c r="BN153" s="59"/>
      <c r="BO153" s="59"/>
      <c r="BP153" s="59"/>
      <c r="BQ153" s="59"/>
      <c r="BR153" s="59"/>
      <c r="BS153" s="59"/>
      <c r="BT153" s="59"/>
      <c r="BU153" s="59"/>
      <c r="BV153" s="59"/>
      <c r="BW153" s="59"/>
      <c r="BX153" s="59"/>
      <c r="BY153" s="59"/>
      <c r="BZ153" s="59"/>
      <c r="CA153" s="59"/>
      <c r="CB153" s="59"/>
      <c r="CC153" s="59"/>
      <c r="CD153" s="59"/>
      <c r="CE153" s="59"/>
      <c r="CF153" s="59"/>
      <c r="CG153" s="59"/>
      <c r="CH153" s="59"/>
      <c r="CI153" s="59"/>
      <c r="CJ153" s="59"/>
      <c r="CK153" s="59"/>
      <c r="CL153" s="59"/>
      <c r="CM153" s="59"/>
      <c r="CN153" s="59"/>
      <c r="CO153" s="59"/>
      <c r="CP153" s="59"/>
      <c r="CQ153" s="59"/>
      <c r="CR153" s="59"/>
      <c r="CS153" s="59"/>
      <c r="CT153" s="59"/>
      <c r="CU153" s="59"/>
      <c r="CV153" s="59"/>
      <c r="CW153" s="59"/>
      <c r="CX153" s="59"/>
      <c r="CY153" s="59"/>
      <c r="CZ153" s="59"/>
      <c r="DA153" s="59"/>
      <c r="DB153" s="59"/>
      <c r="DC153" s="59"/>
      <c r="DD153" s="59"/>
      <c r="DE153" s="59"/>
      <c r="DF153" s="59"/>
      <c r="DG153" s="59"/>
    </row>
    <row r="154" spans="1:111" ht="11.2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59"/>
      <c r="AW154" s="59"/>
      <c r="AX154" s="59"/>
      <c r="AY154" s="59"/>
      <c r="AZ154" s="59"/>
      <c r="BA154" s="59"/>
      <c r="BB154" s="59"/>
      <c r="BC154" s="59"/>
      <c r="BD154" s="59"/>
      <c r="BE154" s="59"/>
      <c r="BF154" s="59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9"/>
      <c r="BR154" s="59"/>
      <c r="BS154" s="59"/>
      <c r="BT154" s="59"/>
      <c r="BU154" s="59"/>
      <c r="BV154" s="59"/>
      <c r="BW154" s="59"/>
      <c r="BX154" s="59"/>
      <c r="BY154" s="59"/>
      <c r="BZ154" s="59"/>
      <c r="CA154" s="59"/>
      <c r="CB154" s="59"/>
      <c r="CC154" s="59"/>
      <c r="CD154" s="59"/>
      <c r="CE154" s="59"/>
      <c r="CF154" s="59"/>
      <c r="CG154" s="59"/>
      <c r="CH154" s="59"/>
      <c r="CI154" s="59"/>
      <c r="CJ154" s="59"/>
      <c r="CK154" s="59"/>
      <c r="CL154" s="59"/>
      <c r="CM154" s="59"/>
      <c r="CN154" s="59"/>
      <c r="CO154" s="59"/>
      <c r="CP154" s="59"/>
      <c r="CQ154" s="59"/>
      <c r="CR154" s="59"/>
      <c r="CS154" s="59"/>
      <c r="CT154" s="59"/>
      <c r="CU154" s="59"/>
      <c r="CV154" s="59"/>
      <c r="CW154" s="59"/>
      <c r="CX154" s="59"/>
      <c r="CY154" s="59"/>
      <c r="CZ154" s="59"/>
      <c r="DA154" s="59"/>
      <c r="DB154" s="59"/>
      <c r="DC154" s="59"/>
      <c r="DD154" s="59"/>
      <c r="DE154" s="59"/>
      <c r="DF154" s="59"/>
      <c r="DG154" s="59"/>
    </row>
    <row r="155" spans="1:111" ht="11.2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59"/>
      <c r="AW155" s="59"/>
      <c r="AX155" s="59"/>
      <c r="AY155" s="59"/>
      <c r="AZ155" s="59"/>
      <c r="BA155" s="59"/>
      <c r="BB155" s="59"/>
      <c r="BC155" s="59"/>
      <c r="BD155" s="59"/>
      <c r="BE155" s="59"/>
      <c r="BF155" s="59"/>
      <c r="BG155" s="59"/>
      <c r="BH155" s="59"/>
      <c r="BI155" s="59"/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59"/>
      <c r="BV155" s="59"/>
      <c r="BW155" s="59"/>
      <c r="BX155" s="59"/>
      <c r="BY155" s="59"/>
      <c r="BZ155" s="59"/>
      <c r="CA155" s="59"/>
      <c r="CB155" s="59"/>
      <c r="CC155" s="59"/>
      <c r="CD155" s="59"/>
      <c r="CE155" s="59"/>
      <c r="CF155" s="59"/>
      <c r="CG155" s="59"/>
      <c r="CH155" s="59"/>
      <c r="CI155" s="59"/>
      <c r="CJ155" s="59"/>
      <c r="CK155" s="59"/>
      <c r="CL155" s="59"/>
      <c r="CM155" s="59"/>
      <c r="CN155" s="59"/>
      <c r="CO155" s="59"/>
      <c r="CP155" s="59"/>
      <c r="CQ155" s="59"/>
      <c r="CR155" s="59"/>
      <c r="CS155" s="59"/>
      <c r="CT155" s="59"/>
      <c r="CU155" s="59"/>
      <c r="CV155" s="59"/>
      <c r="CW155" s="59"/>
      <c r="CX155" s="59"/>
      <c r="CY155" s="59"/>
      <c r="CZ155" s="59"/>
      <c r="DA155" s="59"/>
      <c r="DB155" s="59"/>
      <c r="DC155" s="59"/>
      <c r="DD155" s="59"/>
      <c r="DE155" s="59"/>
      <c r="DF155" s="59"/>
      <c r="DG155" s="59"/>
    </row>
    <row r="156" spans="1:111" ht="11.2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9"/>
      <c r="AW156" s="59"/>
      <c r="AX156" s="59"/>
      <c r="AY156" s="59"/>
      <c r="AZ156" s="59"/>
      <c r="BA156" s="59"/>
      <c r="BB156" s="59"/>
      <c r="BC156" s="59"/>
      <c r="BD156" s="59"/>
      <c r="BE156" s="59"/>
      <c r="BF156" s="59"/>
      <c r="BG156" s="59"/>
      <c r="BH156" s="59"/>
      <c r="BI156" s="59"/>
      <c r="BJ156" s="59"/>
      <c r="BK156" s="59"/>
      <c r="BL156" s="59"/>
      <c r="BM156" s="59"/>
      <c r="BN156" s="59"/>
      <c r="BO156" s="59"/>
      <c r="BP156" s="59"/>
      <c r="BQ156" s="59"/>
      <c r="BR156" s="59"/>
      <c r="BS156" s="59"/>
      <c r="BT156" s="59"/>
      <c r="BU156" s="59"/>
      <c r="BV156" s="59"/>
      <c r="BW156" s="59"/>
      <c r="BX156" s="59"/>
      <c r="BY156" s="59"/>
      <c r="BZ156" s="59"/>
      <c r="CA156" s="59"/>
      <c r="CB156" s="59"/>
      <c r="CC156" s="59"/>
      <c r="CD156" s="59"/>
      <c r="CE156" s="59"/>
      <c r="CF156" s="59"/>
      <c r="CG156" s="59"/>
      <c r="CH156" s="59"/>
      <c r="CI156" s="59"/>
      <c r="CJ156" s="59"/>
      <c r="CK156" s="59"/>
      <c r="CL156" s="59"/>
      <c r="CM156" s="59"/>
      <c r="CN156" s="59"/>
      <c r="CO156" s="59"/>
      <c r="CP156" s="59"/>
      <c r="CQ156" s="59"/>
      <c r="CR156" s="59"/>
      <c r="CS156" s="59"/>
      <c r="CT156" s="59"/>
      <c r="CU156" s="59"/>
      <c r="CV156" s="59"/>
      <c r="CW156" s="59"/>
      <c r="CX156" s="59"/>
      <c r="CY156" s="59"/>
      <c r="CZ156" s="59"/>
      <c r="DA156" s="59"/>
      <c r="DB156" s="59"/>
      <c r="DC156" s="59"/>
      <c r="DD156" s="59"/>
      <c r="DE156" s="59"/>
      <c r="DF156" s="59"/>
      <c r="DG156" s="59"/>
    </row>
    <row r="157" spans="1:111" ht="11.2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9"/>
      <c r="AW157" s="59"/>
      <c r="AX157" s="59"/>
      <c r="AY157" s="59"/>
      <c r="AZ157" s="59"/>
      <c r="BA157" s="59"/>
      <c r="BB157" s="59"/>
      <c r="BC157" s="59"/>
      <c r="BD157" s="59"/>
      <c r="BE157" s="59"/>
      <c r="BF157" s="59"/>
      <c r="BG157" s="59"/>
      <c r="BH157" s="59"/>
      <c r="BI157" s="59"/>
      <c r="BJ157" s="59"/>
      <c r="BK157" s="59"/>
      <c r="BL157" s="59"/>
      <c r="BM157" s="59"/>
      <c r="BN157" s="59"/>
      <c r="BO157" s="59"/>
      <c r="BP157" s="59"/>
      <c r="BQ157" s="59"/>
      <c r="BR157" s="59"/>
      <c r="BS157" s="59"/>
      <c r="BT157" s="59"/>
      <c r="BU157" s="59"/>
      <c r="BV157" s="59"/>
      <c r="BW157" s="59"/>
      <c r="BX157" s="59"/>
      <c r="BY157" s="59"/>
      <c r="BZ157" s="59"/>
      <c r="CA157" s="59"/>
      <c r="CB157" s="59"/>
      <c r="CC157" s="59"/>
      <c r="CD157" s="59"/>
      <c r="CE157" s="59"/>
      <c r="CF157" s="59"/>
      <c r="CG157" s="59"/>
      <c r="CH157" s="59"/>
      <c r="CI157" s="59"/>
      <c r="CJ157" s="59"/>
      <c r="CK157" s="59"/>
      <c r="CL157" s="59"/>
      <c r="CM157" s="59"/>
      <c r="CN157" s="59"/>
      <c r="CO157" s="59"/>
      <c r="CP157" s="59"/>
      <c r="CQ157" s="59"/>
      <c r="CR157" s="59"/>
      <c r="CS157" s="59"/>
      <c r="CT157" s="59"/>
      <c r="CU157" s="59"/>
      <c r="CV157" s="59"/>
      <c r="CW157" s="59"/>
      <c r="CX157" s="59"/>
      <c r="CY157" s="59"/>
      <c r="CZ157" s="59"/>
      <c r="DA157" s="59"/>
      <c r="DB157" s="59"/>
      <c r="DC157" s="59"/>
      <c r="DD157" s="59"/>
      <c r="DE157" s="59"/>
      <c r="DF157" s="59"/>
      <c r="DG157" s="59"/>
    </row>
    <row r="158" spans="1:111" ht="11.2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  <c r="AT158" s="59"/>
      <c r="AU158" s="59"/>
      <c r="AV158" s="59"/>
      <c r="AW158" s="59"/>
      <c r="AX158" s="59"/>
      <c r="AY158" s="59"/>
      <c r="AZ158" s="59"/>
      <c r="BA158" s="59"/>
      <c r="BB158" s="59"/>
      <c r="BC158" s="59"/>
      <c r="BD158" s="59"/>
      <c r="BE158" s="59"/>
      <c r="BF158" s="59"/>
      <c r="BG158" s="59"/>
      <c r="BH158" s="59"/>
      <c r="BI158" s="59"/>
      <c r="BJ158" s="59"/>
      <c r="BK158" s="59"/>
      <c r="BL158" s="59"/>
      <c r="BM158" s="59"/>
      <c r="BN158" s="59"/>
      <c r="BO158" s="5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59"/>
      <c r="CE158" s="59"/>
      <c r="CF158" s="59"/>
      <c r="CG158" s="59"/>
      <c r="CH158" s="59"/>
      <c r="CI158" s="59"/>
      <c r="CJ158" s="59"/>
      <c r="CK158" s="59"/>
      <c r="CL158" s="59"/>
      <c r="CM158" s="59"/>
      <c r="CN158" s="59"/>
      <c r="CO158" s="59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59"/>
      <c r="DA158" s="59"/>
      <c r="DB158" s="59"/>
      <c r="DC158" s="59"/>
      <c r="DD158" s="59"/>
      <c r="DE158" s="59"/>
      <c r="DF158" s="59"/>
      <c r="DG158" s="59"/>
    </row>
    <row r="159" spans="1:111" ht="11.2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9"/>
      <c r="AW159" s="59"/>
      <c r="AX159" s="59"/>
      <c r="AY159" s="59"/>
      <c r="AZ159" s="59"/>
      <c r="BA159" s="59"/>
      <c r="BB159" s="59"/>
      <c r="BC159" s="59"/>
      <c r="BD159" s="59"/>
      <c r="BE159" s="59"/>
      <c r="BF159" s="59"/>
      <c r="BG159" s="59"/>
      <c r="BH159" s="59"/>
      <c r="BI159" s="59"/>
      <c r="BJ159" s="59"/>
      <c r="BK159" s="59"/>
      <c r="BL159" s="59"/>
      <c r="BM159" s="59"/>
      <c r="BN159" s="59"/>
      <c r="BO159" s="59"/>
      <c r="BP159" s="59"/>
      <c r="BQ159" s="59"/>
      <c r="BR159" s="59"/>
      <c r="BS159" s="59"/>
      <c r="BT159" s="59"/>
      <c r="BU159" s="59"/>
      <c r="BV159" s="59"/>
      <c r="BW159" s="59"/>
      <c r="BX159" s="59"/>
      <c r="BY159" s="59"/>
      <c r="BZ159" s="59"/>
      <c r="CA159" s="59"/>
      <c r="CB159" s="59"/>
      <c r="CC159" s="59"/>
      <c r="CD159" s="59"/>
      <c r="CE159" s="59"/>
      <c r="CF159" s="59"/>
      <c r="CG159" s="59"/>
      <c r="CH159" s="59"/>
      <c r="CI159" s="59"/>
      <c r="CJ159" s="59"/>
      <c r="CK159" s="59"/>
      <c r="CL159" s="59"/>
      <c r="CM159" s="59"/>
      <c r="CN159" s="59"/>
      <c r="CO159" s="59"/>
      <c r="CP159" s="59"/>
      <c r="CQ159" s="59"/>
      <c r="CR159" s="59"/>
      <c r="CS159" s="59"/>
      <c r="CT159" s="59"/>
      <c r="CU159" s="59"/>
      <c r="CV159" s="59"/>
      <c r="CW159" s="59"/>
      <c r="CX159" s="59"/>
      <c r="CY159" s="59"/>
      <c r="CZ159" s="59"/>
      <c r="DA159" s="59"/>
      <c r="DB159" s="59"/>
      <c r="DC159" s="59"/>
      <c r="DD159" s="59"/>
      <c r="DE159" s="59"/>
      <c r="DF159" s="59"/>
      <c r="DG159" s="59"/>
    </row>
    <row r="160" spans="1:111" ht="11.2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9"/>
      <c r="AW160" s="59"/>
      <c r="AX160" s="59"/>
      <c r="AY160" s="59"/>
      <c r="AZ160" s="59"/>
      <c r="BA160" s="59"/>
      <c r="BB160" s="59"/>
      <c r="BC160" s="59"/>
      <c r="BD160" s="59"/>
      <c r="BE160" s="59"/>
      <c r="BF160" s="59"/>
      <c r="BG160" s="59"/>
      <c r="BH160" s="59"/>
      <c r="BI160" s="59"/>
      <c r="BJ160" s="59"/>
      <c r="BK160" s="59"/>
      <c r="BL160" s="59"/>
      <c r="BM160" s="59"/>
      <c r="BN160" s="59"/>
      <c r="BO160" s="59"/>
      <c r="BP160" s="59"/>
      <c r="BQ160" s="59"/>
      <c r="BR160" s="59"/>
      <c r="BS160" s="59"/>
      <c r="BT160" s="59"/>
      <c r="BU160" s="59"/>
      <c r="BV160" s="59"/>
      <c r="BW160" s="59"/>
      <c r="BX160" s="59"/>
      <c r="BY160" s="59"/>
      <c r="BZ160" s="59"/>
      <c r="CA160" s="59"/>
      <c r="CB160" s="59"/>
      <c r="CC160" s="59"/>
      <c r="CD160" s="59"/>
      <c r="CE160" s="59"/>
      <c r="CF160" s="59"/>
      <c r="CG160" s="59"/>
      <c r="CH160" s="59"/>
      <c r="CI160" s="59"/>
      <c r="CJ160" s="59"/>
      <c r="CK160" s="59"/>
      <c r="CL160" s="59"/>
      <c r="CM160" s="59"/>
      <c r="CN160" s="59"/>
      <c r="CO160" s="59"/>
      <c r="CP160" s="59"/>
      <c r="CQ160" s="59"/>
      <c r="CR160" s="59"/>
      <c r="CS160" s="59"/>
      <c r="CT160" s="59"/>
      <c r="CU160" s="59"/>
      <c r="CV160" s="59"/>
      <c r="CW160" s="59"/>
      <c r="CX160" s="59"/>
      <c r="CY160" s="59"/>
      <c r="CZ160" s="59"/>
      <c r="DA160" s="59"/>
      <c r="DB160" s="59"/>
      <c r="DC160" s="59"/>
      <c r="DD160" s="59"/>
      <c r="DE160" s="59"/>
      <c r="DF160" s="59"/>
      <c r="DG160" s="59"/>
    </row>
    <row r="161" spans="1:111" ht="11.2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9"/>
      <c r="AW161" s="59"/>
      <c r="AX161" s="59"/>
      <c r="AY161" s="59"/>
      <c r="AZ161" s="59"/>
      <c r="BA161" s="59"/>
      <c r="BB161" s="59"/>
      <c r="BC161" s="59"/>
      <c r="BD161" s="59"/>
      <c r="BE161" s="59"/>
      <c r="BF161" s="59"/>
      <c r="BG161" s="59"/>
      <c r="BH161" s="59"/>
      <c r="BI161" s="59"/>
      <c r="BJ161" s="59"/>
      <c r="BK161" s="59"/>
      <c r="BL161" s="59"/>
      <c r="BM161" s="59"/>
      <c r="BN161" s="59"/>
      <c r="BO161" s="59"/>
      <c r="BP161" s="59"/>
      <c r="BQ161" s="59"/>
      <c r="BR161" s="59"/>
      <c r="BS161" s="59"/>
      <c r="BT161" s="59"/>
      <c r="BU161" s="59"/>
      <c r="BV161" s="59"/>
      <c r="BW161" s="59"/>
      <c r="BX161" s="59"/>
      <c r="BY161" s="59"/>
      <c r="BZ161" s="59"/>
      <c r="CA161" s="59"/>
      <c r="CB161" s="59"/>
      <c r="CC161" s="59"/>
      <c r="CD161" s="59"/>
      <c r="CE161" s="59"/>
      <c r="CF161" s="59"/>
      <c r="CG161" s="59"/>
      <c r="CH161" s="59"/>
      <c r="CI161" s="59"/>
      <c r="CJ161" s="59"/>
      <c r="CK161" s="59"/>
      <c r="CL161" s="59"/>
      <c r="CM161" s="59"/>
      <c r="CN161" s="59"/>
      <c r="CO161" s="59"/>
      <c r="CP161" s="59"/>
      <c r="CQ161" s="59"/>
      <c r="CR161" s="59"/>
      <c r="CS161" s="59"/>
      <c r="CT161" s="59"/>
      <c r="CU161" s="59"/>
      <c r="CV161" s="59"/>
      <c r="CW161" s="59"/>
      <c r="CX161" s="59"/>
      <c r="CY161" s="59"/>
      <c r="CZ161" s="59"/>
      <c r="DA161" s="59"/>
      <c r="DB161" s="59"/>
      <c r="DC161" s="59"/>
      <c r="DD161" s="59"/>
      <c r="DE161" s="59"/>
      <c r="DF161" s="59"/>
      <c r="DG161" s="59"/>
    </row>
    <row r="162" spans="1:111" ht="11.2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9"/>
      <c r="AW162" s="59"/>
      <c r="AX162" s="59"/>
      <c r="AY162" s="59"/>
      <c r="AZ162" s="59"/>
      <c r="BA162" s="59"/>
      <c r="BB162" s="59"/>
      <c r="BC162" s="59"/>
      <c r="BD162" s="59"/>
      <c r="BE162" s="59"/>
      <c r="BF162" s="59"/>
      <c r="BG162" s="59"/>
      <c r="BH162" s="59"/>
      <c r="BI162" s="59"/>
      <c r="BJ162" s="59"/>
      <c r="BK162" s="59"/>
      <c r="BL162" s="59"/>
      <c r="BM162" s="59"/>
      <c r="BN162" s="59"/>
      <c r="BO162" s="59"/>
      <c r="BP162" s="59"/>
      <c r="BQ162" s="59"/>
      <c r="BR162" s="59"/>
      <c r="BS162" s="59"/>
      <c r="BT162" s="59"/>
      <c r="BU162" s="59"/>
      <c r="BV162" s="59"/>
      <c r="BW162" s="59"/>
      <c r="BX162" s="59"/>
      <c r="BY162" s="59"/>
      <c r="BZ162" s="59"/>
      <c r="CA162" s="59"/>
      <c r="CB162" s="59"/>
      <c r="CC162" s="59"/>
      <c r="CD162" s="59"/>
      <c r="CE162" s="59"/>
      <c r="CF162" s="59"/>
      <c r="CG162" s="59"/>
      <c r="CH162" s="59"/>
      <c r="CI162" s="59"/>
      <c r="CJ162" s="59"/>
      <c r="CK162" s="59"/>
      <c r="CL162" s="59"/>
      <c r="CM162" s="59"/>
      <c r="CN162" s="59"/>
      <c r="CO162" s="59"/>
      <c r="CP162" s="59"/>
      <c r="CQ162" s="59"/>
      <c r="CR162" s="59"/>
      <c r="CS162" s="59"/>
      <c r="CT162" s="59"/>
      <c r="CU162" s="59"/>
      <c r="CV162" s="59"/>
      <c r="CW162" s="59"/>
      <c r="CX162" s="59"/>
      <c r="CY162" s="59"/>
      <c r="CZ162" s="59"/>
      <c r="DA162" s="59"/>
      <c r="DB162" s="59"/>
      <c r="DC162" s="59"/>
      <c r="DD162" s="59"/>
      <c r="DE162" s="59"/>
      <c r="DF162" s="59"/>
      <c r="DG162" s="59"/>
    </row>
    <row r="163" spans="1:111" ht="11.2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/>
      <c r="BB163" s="59"/>
      <c r="BC163" s="59"/>
      <c r="BD163" s="59"/>
      <c r="BE163" s="59"/>
      <c r="BF163" s="59"/>
      <c r="BG163" s="59"/>
      <c r="BH163" s="59"/>
      <c r="BI163" s="59"/>
      <c r="BJ163" s="59"/>
      <c r="BK163" s="5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59"/>
      <c r="CE163" s="59"/>
      <c r="CF163" s="59"/>
      <c r="CG163" s="59"/>
      <c r="CH163" s="59"/>
      <c r="CI163" s="59"/>
      <c r="CJ163" s="59"/>
      <c r="CK163" s="59"/>
      <c r="CL163" s="59"/>
      <c r="CM163" s="59"/>
      <c r="CN163" s="59"/>
      <c r="CO163" s="59"/>
      <c r="CP163" s="59"/>
      <c r="CQ163" s="59"/>
      <c r="CR163" s="59"/>
      <c r="CS163" s="59"/>
      <c r="CT163" s="59"/>
      <c r="CU163" s="59"/>
      <c r="CV163" s="59"/>
      <c r="CW163" s="59"/>
      <c r="CX163" s="59"/>
      <c r="CY163" s="59"/>
      <c r="CZ163" s="59"/>
      <c r="DA163" s="59"/>
      <c r="DB163" s="59"/>
      <c r="DC163" s="59"/>
      <c r="DD163" s="59"/>
      <c r="DE163" s="59"/>
      <c r="DF163" s="59"/>
      <c r="DG163" s="59"/>
    </row>
    <row r="164" spans="1:111" ht="11.2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/>
      <c r="BB164" s="59"/>
      <c r="BC164" s="59"/>
      <c r="BD164" s="59"/>
      <c r="BE164" s="59"/>
      <c r="BF164" s="59"/>
      <c r="BG164" s="59"/>
      <c r="BH164" s="59"/>
      <c r="BI164" s="59"/>
      <c r="BJ164" s="59"/>
      <c r="BK164" s="5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59"/>
      <c r="CE164" s="59"/>
      <c r="CF164" s="59"/>
      <c r="CG164" s="59"/>
      <c r="CH164" s="59"/>
      <c r="CI164" s="59"/>
      <c r="CJ164" s="59"/>
      <c r="CK164" s="59"/>
      <c r="CL164" s="59"/>
      <c r="CM164" s="59"/>
      <c r="CN164" s="59"/>
      <c r="CO164" s="59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59"/>
      <c r="DA164" s="59"/>
      <c r="DB164" s="59"/>
      <c r="DC164" s="59"/>
      <c r="DD164" s="59"/>
      <c r="DE164" s="59"/>
      <c r="DF164" s="59"/>
      <c r="DG164" s="59"/>
    </row>
    <row r="165" spans="1:111" ht="11.2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9"/>
      <c r="AW165" s="59"/>
      <c r="AX165" s="59"/>
      <c r="AY165" s="59"/>
      <c r="AZ165" s="59"/>
      <c r="BA165" s="59"/>
      <c r="BB165" s="59"/>
      <c r="BC165" s="59"/>
      <c r="BD165" s="59"/>
      <c r="BE165" s="59"/>
      <c r="BF165" s="59"/>
      <c r="BG165" s="59"/>
      <c r="BH165" s="59"/>
      <c r="BI165" s="59"/>
      <c r="BJ165" s="59"/>
      <c r="BK165" s="59"/>
      <c r="BL165" s="59"/>
      <c r="BM165" s="59"/>
      <c r="BN165" s="59"/>
      <c r="BO165" s="59"/>
      <c r="BP165" s="59"/>
      <c r="BQ165" s="59"/>
      <c r="BR165" s="59"/>
      <c r="BS165" s="59"/>
      <c r="BT165" s="59"/>
      <c r="BU165" s="59"/>
      <c r="BV165" s="59"/>
      <c r="BW165" s="59"/>
      <c r="BX165" s="59"/>
      <c r="BY165" s="59"/>
      <c r="BZ165" s="59"/>
      <c r="CA165" s="59"/>
      <c r="CB165" s="59"/>
      <c r="CC165" s="59"/>
      <c r="CD165" s="59"/>
      <c r="CE165" s="59"/>
      <c r="CF165" s="59"/>
      <c r="CG165" s="59"/>
      <c r="CH165" s="59"/>
      <c r="CI165" s="59"/>
      <c r="CJ165" s="59"/>
      <c r="CK165" s="59"/>
      <c r="CL165" s="59"/>
      <c r="CM165" s="59"/>
      <c r="CN165" s="59"/>
      <c r="CO165" s="59"/>
      <c r="CP165" s="59"/>
      <c r="CQ165" s="59"/>
      <c r="CR165" s="59"/>
      <c r="CS165" s="59"/>
      <c r="CT165" s="59"/>
      <c r="CU165" s="59"/>
      <c r="CV165" s="59"/>
      <c r="CW165" s="59"/>
      <c r="CX165" s="59"/>
      <c r="CY165" s="59"/>
      <c r="CZ165" s="59"/>
      <c r="DA165" s="59"/>
      <c r="DB165" s="59"/>
      <c r="DC165" s="59"/>
      <c r="DD165" s="59"/>
      <c r="DE165" s="59"/>
      <c r="DF165" s="59"/>
      <c r="DG165" s="59"/>
    </row>
    <row r="166" spans="1:111" ht="11.2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  <c r="BC166" s="59"/>
      <c r="BD166" s="59"/>
      <c r="BE166" s="59"/>
      <c r="BF166" s="59"/>
      <c r="BG166" s="59"/>
      <c r="BH166" s="59"/>
      <c r="BI166" s="59"/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  <c r="CI166" s="59"/>
      <c r="CJ166" s="59"/>
      <c r="CK166" s="59"/>
      <c r="CL166" s="59"/>
      <c r="CM166" s="59"/>
      <c r="CN166" s="59"/>
      <c r="CO166" s="59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59"/>
      <c r="DA166" s="59"/>
      <c r="DB166" s="59"/>
      <c r="DC166" s="59"/>
      <c r="DD166" s="59"/>
      <c r="DE166" s="59"/>
      <c r="DF166" s="59"/>
      <c r="DG166" s="59"/>
    </row>
    <row r="167" spans="1:111" ht="11.2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9"/>
      <c r="AW167" s="59"/>
      <c r="AX167" s="59"/>
      <c r="AY167" s="59"/>
      <c r="AZ167" s="59"/>
      <c r="BA167" s="59"/>
      <c r="BB167" s="59"/>
      <c r="BC167" s="59"/>
      <c r="BD167" s="59"/>
      <c r="BE167" s="59"/>
      <c r="BF167" s="59"/>
      <c r="BG167" s="59"/>
      <c r="BH167" s="59"/>
      <c r="BI167" s="59"/>
      <c r="BJ167" s="59"/>
      <c r="BK167" s="59"/>
      <c r="BL167" s="59"/>
      <c r="BM167" s="59"/>
      <c r="BN167" s="59"/>
      <c r="BO167" s="59"/>
      <c r="BP167" s="59"/>
      <c r="BQ167" s="59"/>
      <c r="BR167" s="59"/>
      <c r="BS167" s="59"/>
      <c r="BT167" s="59"/>
      <c r="BU167" s="59"/>
      <c r="BV167" s="59"/>
      <c r="BW167" s="59"/>
      <c r="BX167" s="59"/>
      <c r="BY167" s="59"/>
      <c r="BZ167" s="59"/>
      <c r="CA167" s="59"/>
      <c r="CB167" s="59"/>
      <c r="CC167" s="59"/>
      <c r="CD167" s="59"/>
      <c r="CE167" s="59"/>
      <c r="CF167" s="59"/>
      <c r="CG167" s="59"/>
      <c r="CH167" s="59"/>
      <c r="CI167" s="59"/>
      <c r="CJ167" s="59"/>
      <c r="CK167" s="59"/>
      <c r="CL167" s="59"/>
      <c r="CM167" s="59"/>
      <c r="CN167" s="59"/>
      <c r="CO167" s="59"/>
      <c r="CP167" s="59"/>
      <c r="CQ167" s="59"/>
      <c r="CR167" s="59"/>
      <c r="CS167" s="59"/>
      <c r="CT167" s="59"/>
      <c r="CU167" s="59"/>
      <c r="CV167" s="59"/>
      <c r="CW167" s="59"/>
      <c r="CX167" s="59"/>
      <c r="CY167" s="59"/>
      <c r="CZ167" s="59"/>
      <c r="DA167" s="59"/>
      <c r="DB167" s="59"/>
      <c r="DC167" s="59"/>
      <c r="DD167" s="59"/>
      <c r="DE167" s="59"/>
      <c r="DF167" s="59"/>
      <c r="DG167" s="59"/>
    </row>
    <row r="168" spans="1:111" ht="11.2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9"/>
      <c r="AW168" s="59"/>
      <c r="AX168" s="59"/>
      <c r="AY168" s="59"/>
      <c r="AZ168" s="59"/>
      <c r="BA168" s="59"/>
      <c r="BB168" s="59"/>
      <c r="BC168" s="59"/>
      <c r="BD168" s="59"/>
      <c r="BE168" s="59"/>
      <c r="BF168" s="59"/>
      <c r="BG168" s="59"/>
      <c r="BH168" s="59"/>
      <c r="BI168" s="59"/>
      <c r="BJ168" s="59"/>
      <c r="BK168" s="59"/>
      <c r="BL168" s="59"/>
      <c r="BM168" s="59"/>
      <c r="BN168" s="59"/>
      <c r="BO168" s="59"/>
      <c r="BP168" s="59"/>
      <c r="BQ168" s="59"/>
      <c r="BR168" s="59"/>
      <c r="BS168" s="59"/>
      <c r="BT168" s="59"/>
      <c r="BU168" s="59"/>
      <c r="BV168" s="59"/>
      <c r="BW168" s="59"/>
      <c r="BX168" s="59"/>
      <c r="BY168" s="59"/>
      <c r="BZ168" s="59"/>
      <c r="CA168" s="59"/>
      <c r="CB168" s="59"/>
      <c r="CC168" s="59"/>
      <c r="CD168" s="59"/>
      <c r="CE168" s="59"/>
      <c r="CF168" s="59"/>
      <c r="CG168" s="59"/>
      <c r="CH168" s="59"/>
      <c r="CI168" s="59"/>
      <c r="CJ168" s="59"/>
      <c r="CK168" s="59"/>
      <c r="CL168" s="59"/>
      <c r="CM168" s="59"/>
      <c r="CN168" s="59"/>
      <c r="CO168" s="59"/>
      <c r="CP168" s="59"/>
      <c r="CQ168" s="59"/>
      <c r="CR168" s="59"/>
      <c r="CS168" s="59"/>
      <c r="CT168" s="59"/>
      <c r="CU168" s="59"/>
      <c r="CV168" s="59"/>
      <c r="CW168" s="59"/>
      <c r="CX168" s="59"/>
      <c r="CY168" s="59"/>
      <c r="CZ168" s="59"/>
      <c r="DA168" s="59"/>
      <c r="DB168" s="59"/>
      <c r="DC168" s="59"/>
      <c r="DD168" s="59"/>
      <c r="DE168" s="59"/>
      <c r="DF168" s="59"/>
      <c r="DG168" s="59"/>
    </row>
    <row r="169" spans="1:111" ht="11.2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9"/>
      <c r="AW169" s="59"/>
      <c r="AX169" s="59"/>
      <c r="AY169" s="59"/>
      <c r="AZ169" s="59"/>
      <c r="BA169" s="59"/>
      <c r="BB169" s="59"/>
      <c r="BC169" s="59"/>
      <c r="BD169" s="59"/>
      <c r="BE169" s="59"/>
      <c r="BF169" s="59"/>
      <c r="BG169" s="59"/>
      <c r="BH169" s="59"/>
      <c r="BI169" s="59"/>
      <c r="BJ169" s="59"/>
      <c r="BK169" s="59"/>
      <c r="BL169" s="59"/>
      <c r="BM169" s="59"/>
      <c r="BN169" s="59"/>
      <c r="BO169" s="59"/>
      <c r="BP169" s="59"/>
      <c r="BQ169" s="59"/>
      <c r="BR169" s="59"/>
      <c r="BS169" s="59"/>
      <c r="BT169" s="59"/>
      <c r="BU169" s="59"/>
      <c r="BV169" s="59"/>
      <c r="BW169" s="59"/>
      <c r="BX169" s="59"/>
      <c r="BY169" s="59"/>
      <c r="BZ169" s="59"/>
      <c r="CA169" s="59"/>
      <c r="CB169" s="59"/>
      <c r="CC169" s="59"/>
      <c r="CD169" s="59"/>
      <c r="CE169" s="59"/>
      <c r="CF169" s="59"/>
      <c r="CG169" s="59"/>
      <c r="CH169" s="59"/>
      <c r="CI169" s="59"/>
      <c r="CJ169" s="59"/>
      <c r="CK169" s="59"/>
      <c r="CL169" s="59"/>
      <c r="CM169" s="59"/>
      <c r="CN169" s="59"/>
      <c r="CO169" s="59"/>
      <c r="CP169" s="59"/>
      <c r="CQ169" s="59"/>
      <c r="CR169" s="59"/>
      <c r="CS169" s="59"/>
      <c r="CT169" s="59"/>
      <c r="CU169" s="59"/>
      <c r="CV169" s="59"/>
      <c r="CW169" s="59"/>
      <c r="CX169" s="59"/>
      <c r="CY169" s="59"/>
      <c r="CZ169" s="59"/>
      <c r="DA169" s="59"/>
      <c r="DB169" s="59"/>
      <c r="DC169" s="59"/>
      <c r="DD169" s="59"/>
      <c r="DE169" s="59"/>
      <c r="DF169" s="59"/>
      <c r="DG169" s="59"/>
    </row>
    <row r="170" spans="1:111" ht="11.2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9"/>
      <c r="AW170" s="59"/>
      <c r="AX170" s="59"/>
      <c r="AY170" s="59"/>
      <c r="AZ170" s="59"/>
      <c r="BA170" s="59"/>
      <c r="BB170" s="59"/>
      <c r="BC170" s="59"/>
      <c r="BD170" s="59"/>
      <c r="BE170" s="59"/>
      <c r="BF170" s="59"/>
      <c r="BG170" s="59"/>
      <c r="BH170" s="59"/>
      <c r="BI170" s="59"/>
      <c r="BJ170" s="59"/>
      <c r="BK170" s="59"/>
      <c r="BL170" s="59"/>
      <c r="BM170" s="59"/>
      <c r="BN170" s="59"/>
      <c r="BO170" s="59"/>
      <c r="BP170" s="59"/>
      <c r="BQ170" s="59"/>
      <c r="BR170" s="59"/>
      <c r="BS170" s="59"/>
      <c r="BT170" s="59"/>
      <c r="BU170" s="59"/>
      <c r="BV170" s="59"/>
      <c r="BW170" s="59"/>
      <c r="BX170" s="59"/>
      <c r="BY170" s="59"/>
      <c r="BZ170" s="59"/>
      <c r="CA170" s="59"/>
      <c r="CB170" s="59"/>
      <c r="CC170" s="59"/>
      <c r="CD170" s="59"/>
      <c r="CE170" s="59"/>
      <c r="CF170" s="59"/>
      <c r="CG170" s="59"/>
      <c r="CH170" s="59"/>
      <c r="CI170" s="59"/>
      <c r="CJ170" s="59"/>
      <c r="CK170" s="59"/>
      <c r="CL170" s="59"/>
      <c r="CM170" s="59"/>
      <c r="CN170" s="59"/>
      <c r="CO170" s="59"/>
      <c r="CP170" s="59"/>
      <c r="CQ170" s="59"/>
      <c r="CR170" s="59"/>
      <c r="CS170" s="59"/>
      <c r="CT170" s="59"/>
      <c r="CU170" s="59"/>
      <c r="CV170" s="59"/>
      <c r="CW170" s="59"/>
      <c r="CX170" s="59"/>
      <c r="CY170" s="59"/>
      <c r="CZ170" s="59"/>
      <c r="DA170" s="59"/>
      <c r="DB170" s="59"/>
      <c r="DC170" s="59"/>
      <c r="DD170" s="59"/>
      <c r="DE170" s="59"/>
      <c r="DF170" s="59"/>
      <c r="DG170" s="59"/>
    </row>
    <row r="171" spans="1:111" ht="11.2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/>
      <c r="BB171" s="59"/>
      <c r="BC171" s="59"/>
      <c r="BD171" s="59"/>
      <c r="BE171" s="59"/>
      <c r="BF171" s="59"/>
      <c r="BG171" s="59"/>
      <c r="BH171" s="59"/>
      <c r="BI171" s="59"/>
      <c r="BJ171" s="59"/>
      <c r="BK171" s="5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9"/>
      <c r="CE171" s="59"/>
      <c r="CF171" s="59"/>
      <c r="CG171" s="59"/>
      <c r="CH171" s="59"/>
      <c r="CI171" s="59"/>
      <c r="CJ171" s="59"/>
      <c r="CK171" s="59"/>
      <c r="CL171" s="59"/>
      <c r="CM171" s="59"/>
      <c r="CN171" s="59"/>
      <c r="CO171" s="59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59"/>
      <c r="DA171" s="59"/>
      <c r="DB171" s="59"/>
      <c r="DC171" s="59"/>
      <c r="DD171" s="59"/>
      <c r="DE171" s="59"/>
      <c r="DF171" s="59"/>
      <c r="DG171" s="59"/>
    </row>
    <row r="172" spans="1:111" ht="11.2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9"/>
      <c r="AW172" s="59"/>
      <c r="AX172" s="59"/>
      <c r="AY172" s="59"/>
      <c r="AZ172" s="59"/>
      <c r="BA172" s="59"/>
      <c r="BB172" s="59"/>
      <c r="BC172" s="59"/>
      <c r="BD172" s="59"/>
      <c r="BE172" s="59"/>
      <c r="BF172" s="59"/>
      <c r="BG172" s="59"/>
      <c r="BH172" s="59"/>
      <c r="BI172" s="59"/>
      <c r="BJ172" s="59"/>
      <c r="BK172" s="59"/>
      <c r="BL172" s="59"/>
      <c r="BM172" s="59"/>
      <c r="BN172" s="59"/>
      <c r="BO172" s="59"/>
      <c r="BP172" s="59"/>
      <c r="BQ172" s="59"/>
      <c r="BR172" s="59"/>
      <c r="BS172" s="59"/>
      <c r="BT172" s="59"/>
      <c r="BU172" s="59"/>
      <c r="BV172" s="59"/>
      <c r="BW172" s="59"/>
      <c r="BX172" s="59"/>
      <c r="BY172" s="59"/>
      <c r="BZ172" s="59"/>
      <c r="CA172" s="59"/>
      <c r="CB172" s="59"/>
      <c r="CC172" s="59"/>
      <c r="CD172" s="59"/>
      <c r="CE172" s="59"/>
      <c r="CF172" s="59"/>
      <c r="CG172" s="59"/>
      <c r="CH172" s="59"/>
      <c r="CI172" s="59"/>
      <c r="CJ172" s="59"/>
      <c r="CK172" s="59"/>
      <c r="CL172" s="59"/>
      <c r="CM172" s="59"/>
      <c r="CN172" s="59"/>
      <c r="CO172" s="59"/>
      <c r="CP172" s="59"/>
      <c r="CQ172" s="59"/>
      <c r="CR172" s="59"/>
      <c r="CS172" s="59"/>
      <c r="CT172" s="59"/>
      <c r="CU172" s="59"/>
      <c r="CV172" s="59"/>
      <c r="CW172" s="59"/>
      <c r="CX172" s="59"/>
      <c r="CY172" s="59"/>
      <c r="CZ172" s="59"/>
      <c r="DA172" s="59"/>
      <c r="DB172" s="59"/>
      <c r="DC172" s="59"/>
      <c r="DD172" s="59"/>
      <c r="DE172" s="59"/>
      <c r="DF172" s="59"/>
      <c r="DG172" s="59"/>
    </row>
    <row r="173" spans="1:111" ht="11.2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/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59"/>
      <c r="CF173" s="59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</row>
    <row r="174" spans="1:111" ht="11.2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59"/>
      <c r="AW174" s="59"/>
      <c r="AX174" s="59"/>
      <c r="AY174" s="59"/>
      <c r="AZ174" s="59"/>
      <c r="BA174" s="59"/>
      <c r="BB174" s="59"/>
      <c r="BC174" s="59"/>
      <c r="BD174" s="59"/>
      <c r="BE174" s="59"/>
      <c r="BF174" s="59"/>
      <c r="BG174" s="59"/>
      <c r="BH174" s="59"/>
      <c r="BI174" s="59"/>
      <c r="BJ174" s="59"/>
      <c r="BK174" s="59"/>
      <c r="BL174" s="59"/>
      <c r="BM174" s="59"/>
      <c r="BN174" s="59"/>
      <c r="BO174" s="59"/>
      <c r="BP174" s="59"/>
      <c r="BQ174" s="59"/>
      <c r="BR174" s="59"/>
      <c r="BS174" s="59"/>
      <c r="BT174" s="59"/>
      <c r="BU174" s="59"/>
      <c r="BV174" s="59"/>
      <c r="BW174" s="59"/>
      <c r="BX174" s="59"/>
      <c r="BY174" s="59"/>
      <c r="BZ174" s="59"/>
      <c r="CA174" s="59"/>
      <c r="CB174" s="59"/>
      <c r="CC174" s="59"/>
      <c r="CD174" s="59"/>
      <c r="CE174" s="59"/>
      <c r="CF174" s="59"/>
      <c r="CG174" s="59"/>
      <c r="CH174" s="59"/>
      <c r="CI174" s="59"/>
      <c r="CJ174" s="59"/>
      <c r="CK174" s="59"/>
      <c r="CL174" s="59"/>
      <c r="CM174" s="59"/>
      <c r="CN174" s="59"/>
      <c r="CO174" s="59"/>
      <c r="CP174" s="59"/>
      <c r="CQ174" s="59"/>
      <c r="CR174" s="59"/>
      <c r="CS174" s="59"/>
      <c r="CT174" s="59"/>
      <c r="CU174" s="59"/>
      <c r="CV174" s="59"/>
      <c r="CW174" s="59"/>
      <c r="CX174" s="59"/>
      <c r="CY174" s="59"/>
      <c r="CZ174" s="59"/>
      <c r="DA174" s="59"/>
      <c r="DB174" s="59"/>
      <c r="DC174" s="59"/>
      <c r="DD174" s="59"/>
      <c r="DE174" s="59"/>
      <c r="DF174" s="59"/>
      <c r="DG174" s="59"/>
    </row>
    <row r="175" spans="1:111" ht="11.2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/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59"/>
      <c r="CF175" s="59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  <c r="DE175" s="59"/>
      <c r="DF175" s="59"/>
      <c r="DG175" s="59"/>
    </row>
    <row r="176" spans="1:111" ht="11.2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59"/>
      <c r="AW176" s="59"/>
      <c r="AX176" s="59"/>
      <c r="AY176" s="59"/>
      <c r="AZ176" s="59"/>
      <c r="BA176" s="59"/>
      <c r="BB176" s="59"/>
      <c r="BC176" s="59"/>
      <c r="BD176" s="59"/>
      <c r="BE176" s="59"/>
      <c r="BF176" s="59"/>
      <c r="BG176" s="59"/>
      <c r="BH176" s="59"/>
      <c r="BI176" s="59"/>
      <c r="BJ176" s="59"/>
      <c r="BK176" s="59"/>
      <c r="BL176" s="59"/>
      <c r="BM176" s="59"/>
      <c r="BN176" s="59"/>
      <c r="BO176" s="59"/>
      <c r="BP176" s="59"/>
      <c r="BQ176" s="59"/>
      <c r="BR176" s="59"/>
      <c r="BS176" s="59"/>
      <c r="BT176" s="59"/>
      <c r="BU176" s="59"/>
      <c r="BV176" s="59"/>
      <c r="BW176" s="59"/>
      <c r="BX176" s="59"/>
      <c r="BY176" s="59"/>
      <c r="BZ176" s="59"/>
      <c r="CA176" s="59"/>
      <c r="CB176" s="59"/>
      <c r="CC176" s="59"/>
      <c r="CD176" s="59"/>
      <c r="CE176" s="59"/>
      <c r="CF176" s="59"/>
      <c r="CG176" s="59"/>
      <c r="CH176" s="59"/>
      <c r="CI176" s="59"/>
      <c r="CJ176" s="59"/>
      <c r="CK176" s="59"/>
      <c r="CL176" s="59"/>
      <c r="CM176" s="59"/>
      <c r="CN176" s="59"/>
      <c r="CO176" s="59"/>
      <c r="CP176" s="59"/>
      <c r="CQ176" s="59"/>
      <c r="CR176" s="59"/>
      <c r="CS176" s="59"/>
      <c r="CT176" s="59"/>
      <c r="CU176" s="59"/>
      <c r="CV176" s="59"/>
      <c r="CW176" s="59"/>
      <c r="CX176" s="59"/>
      <c r="CY176" s="59"/>
      <c r="CZ176" s="59"/>
      <c r="DA176" s="59"/>
      <c r="DB176" s="59"/>
      <c r="DC176" s="59"/>
      <c r="DD176" s="59"/>
      <c r="DE176" s="59"/>
      <c r="DF176" s="59"/>
      <c r="DG176" s="59"/>
    </row>
    <row r="177" spans="1:111" ht="11.2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/>
      <c r="BB177" s="59"/>
      <c r="BC177" s="59"/>
      <c r="BD177" s="59"/>
      <c r="BE177" s="59"/>
      <c r="BF177" s="59"/>
      <c r="BG177" s="59"/>
      <c r="BH177" s="59"/>
      <c r="BI177" s="59"/>
      <c r="BJ177" s="59"/>
      <c r="BK177" s="59"/>
      <c r="BL177" s="59"/>
      <c r="BM177" s="59"/>
      <c r="BN177" s="59"/>
      <c r="BO177" s="59"/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59"/>
      <c r="CF177" s="59"/>
      <c r="CG177" s="59"/>
      <c r="CH177" s="59"/>
      <c r="CI177" s="59"/>
      <c r="CJ177" s="59"/>
      <c r="CK177" s="59"/>
      <c r="CL177" s="59"/>
      <c r="CM177" s="59"/>
      <c r="CN177" s="59"/>
      <c r="CO177" s="59"/>
      <c r="CP177" s="59"/>
      <c r="CQ177" s="59"/>
      <c r="CR177" s="59"/>
      <c r="CS177" s="59"/>
      <c r="CT177" s="59"/>
      <c r="CU177" s="59"/>
      <c r="CV177" s="59"/>
      <c r="CW177" s="59"/>
      <c r="CX177" s="59"/>
      <c r="CY177" s="59"/>
      <c r="CZ177" s="59"/>
      <c r="DA177" s="59"/>
      <c r="DB177" s="59"/>
      <c r="DC177" s="59"/>
      <c r="DD177" s="59"/>
      <c r="DE177" s="59"/>
      <c r="DF177" s="59"/>
      <c r="DG177" s="59"/>
    </row>
    <row r="178" spans="1:111" ht="11.2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  <c r="AT178" s="59"/>
      <c r="AU178" s="59"/>
      <c r="AV178" s="59"/>
      <c r="AW178" s="59"/>
      <c r="AX178" s="59"/>
      <c r="AY178" s="59"/>
      <c r="AZ178" s="59"/>
      <c r="BA178" s="59"/>
      <c r="BB178" s="59"/>
      <c r="BC178" s="59"/>
      <c r="BD178" s="59"/>
      <c r="BE178" s="59"/>
      <c r="BF178" s="59"/>
      <c r="BG178" s="59"/>
      <c r="BH178" s="59"/>
      <c r="BI178" s="59"/>
      <c r="BJ178" s="59"/>
      <c r="BK178" s="59"/>
      <c r="BL178" s="59"/>
      <c r="BM178" s="59"/>
      <c r="BN178" s="59"/>
      <c r="BO178" s="59"/>
      <c r="BP178" s="59"/>
      <c r="BQ178" s="59"/>
      <c r="BR178" s="59"/>
      <c r="BS178" s="59"/>
      <c r="BT178" s="59"/>
      <c r="BU178" s="59"/>
      <c r="BV178" s="59"/>
      <c r="BW178" s="59"/>
      <c r="BX178" s="59"/>
      <c r="BY178" s="59"/>
      <c r="BZ178" s="59"/>
      <c r="CA178" s="59"/>
      <c r="CB178" s="59"/>
      <c r="CC178" s="59"/>
      <c r="CD178" s="59"/>
      <c r="CE178" s="59"/>
      <c r="CF178" s="59"/>
      <c r="CG178" s="59"/>
      <c r="CH178" s="59"/>
      <c r="CI178" s="59"/>
      <c r="CJ178" s="59"/>
      <c r="CK178" s="59"/>
      <c r="CL178" s="59"/>
      <c r="CM178" s="59"/>
      <c r="CN178" s="59"/>
      <c r="CO178" s="59"/>
      <c r="CP178" s="59"/>
      <c r="CQ178" s="59"/>
      <c r="CR178" s="59"/>
      <c r="CS178" s="59"/>
      <c r="CT178" s="59"/>
      <c r="CU178" s="59"/>
      <c r="CV178" s="59"/>
      <c r="CW178" s="59"/>
      <c r="CX178" s="59"/>
      <c r="CY178" s="59"/>
      <c r="CZ178" s="59"/>
      <c r="DA178" s="59"/>
      <c r="DB178" s="59"/>
      <c r="DC178" s="59"/>
      <c r="DD178" s="59"/>
      <c r="DE178" s="59"/>
      <c r="DF178" s="59"/>
      <c r="DG178" s="59"/>
    </row>
    <row r="179" spans="1:111" ht="11.2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/>
      <c r="BB179" s="59"/>
      <c r="BC179" s="59"/>
      <c r="BD179" s="59"/>
      <c r="BE179" s="59"/>
      <c r="BF179" s="59"/>
      <c r="BG179" s="59"/>
      <c r="BH179" s="59"/>
      <c r="BI179" s="59"/>
      <c r="BJ179" s="59"/>
      <c r="BK179" s="59"/>
      <c r="BL179" s="59"/>
      <c r="BM179" s="59"/>
      <c r="BN179" s="59"/>
      <c r="BO179" s="59"/>
      <c r="BP179" s="59"/>
      <c r="BQ179" s="59"/>
      <c r="BR179" s="59"/>
      <c r="BS179" s="59"/>
      <c r="BT179" s="59"/>
      <c r="BU179" s="59"/>
      <c r="BV179" s="59"/>
      <c r="BW179" s="59"/>
      <c r="BX179" s="59"/>
      <c r="BY179" s="59"/>
      <c r="BZ179" s="59"/>
      <c r="CA179" s="59"/>
      <c r="CB179" s="59"/>
      <c r="CC179" s="59"/>
      <c r="CD179" s="59"/>
      <c r="CE179" s="59"/>
      <c r="CF179" s="59"/>
      <c r="CG179" s="59"/>
      <c r="CH179" s="59"/>
      <c r="CI179" s="59"/>
      <c r="CJ179" s="59"/>
      <c r="CK179" s="59"/>
      <c r="CL179" s="59"/>
      <c r="CM179" s="59"/>
      <c r="CN179" s="59"/>
      <c r="CO179" s="59"/>
      <c r="CP179" s="59"/>
      <c r="CQ179" s="59"/>
      <c r="CR179" s="59"/>
      <c r="CS179" s="59"/>
      <c r="CT179" s="59"/>
      <c r="CU179" s="59"/>
      <c r="CV179" s="59"/>
      <c r="CW179" s="59"/>
      <c r="CX179" s="59"/>
      <c r="CY179" s="59"/>
      <c r="CZ179" s="59"/>
      <c r="DA179" s="59"/>
      <c r="DB179" s="59"/>
      <c r="DC179" s="59"/>
      <c r="DD179" s="59"/>
      <c r="DE179" s="59"/>
      <c r="DF179" s="59"/>
      <c r="DG179" s="59"/>
    </row>
    <row r="180" spans="1:111" ht="11.2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/>
      <c r="BB180" s="59"/>
      <c r="BC180" s="59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9"/>
      <c r="BR180" s="59"/>
      <c r="BS180" s="59"/>
      <c r="BT180" s="59"/>
      <c r="BU180" s="59"/>
      <c r="BV180" s="59"/>
      <c r="BW180" s="59"/>
      <c r="BX180" s="59"/>
      <c r="BY180" s="59"/>
      <c r="BZ180" s="59"/>
      <c r="CA180" s="59"/>
      <c r="CB180" s="59"/>
      <c r="CC180" s="59"/>
      <c r="CD180" s="59"/>
      <c r="CE180" s="59"/>
      <c r="CF180" s="59"/>
      <c r="CG180" s="59"/>
      <c r="CH180" s="59"/>
      <c r="CI180" s="59"/>
      <c r="CJ180" s="59"/>
      <c r="CK180" s="59"/>
      <c r="CL180" s="59"/>
      <c r="CM180" s="59"/>
      <c r="CN180" s="59"/>
      <c r="CO180" s="59"/>
      <c r="CP180" s="59"/>
      <c r="CQ180" s="59"/>
      <c r="CR180" s="59"/>
      <c r="CS180" s="59"/>
      <c r="CT180" s="59"/>
      <c r="CU180" s="59"/>
      <c r="CV180" s="59"/>
      <c r="CW180" s="59"/>
      <c r="CX180" s="59"/>
      <c r="CY180" s="59"/>
      <c r="CZ180" s="59"/>
      <c r="DA180" s="59"/>
      <c r="DB180" s="59"/>
      <c r="DC180" s="59"/>
      <c r="DD180" s="59"/>
      <c r="DE180" s="59"/>
      <c r="DF180" s="59"/>
      <c r="DG180" s="59"/>
    </row>
    <row r="181" spans="1:111" ht="11.2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/>
      <c r="BB181" s="59"/>
      <c r="BC181" s="59"/>
      <c r="BD181" s="59"/>
      <c r="BE181" s="59"/>
      <c r="BF181" s="59"/>
      <c r="BG181" s="59"/>
      <c r="BH181" s="59"/>
      <c r="BI181" s="59"/>
      <c r="BJ181" s="59"/>
      <c r="BK181" s="59"/>
      <c r="BL181" s="59"/>
      <c r="BM181" s="59"/>
      <c r="BN181" s="59"/>
      <c r="BO181" s="59"/>
      <c r="BP181" s="59"/>
      <c r="BQ181" s="59"/>
      <c r="BR181" s="59"/>
      <c r="BS181" s="59"/>
      <c r="BT181" s="59"/>
      <c r="BU181" s="59"/>
      <c r="BV181" s="59"/>
      <c r="BW181" s="59"/>
      <c r="BX181" s="59"/>
      <c r="BY181" s="59"/>
      <c r="BZ181" s="59"/>
      <c r="CA181" s="59"/>
      <c r="CB181" s="59"/>
      <c r="CC181" s="59"/>
      <c r="CD181" s="59"/>
      <c r="CE181" s="59"/>
      <c r="CF181" s="59"/>
      <c r="CG181" s="59"/>
      <c r="CH181" s="59"/>
      <c r="CI181" s="59"/>
      <c r="CJ181" s="59"/>
      <c r="CK181" s="59"/>
      <c r="CL181" s="59"/>
      <c r="CM181" s="59"/>
      <c r="CN181" s="59"/>
      <c r="CO181" s="59"/>
      <c r="CP181" s="59"/>
      <c r="CQ181" s="59"/>
      <c r="CR181" s="59"/>
      <c r="CS181" s="59"/>
      <c r="CT181" s="59"/>
      <c r="CU181" s="59"/>
      <c r="CV181" s="59"/>
      <c r="CW181" s="59"/>
      <c r="CX181" s="59"/>
      <c r="CY181" s="59"/>
      <c r="CZ181" s="59"/>
      <c r="DA181" s="59"/>
      <c r="DB181" s="59"/>
      <c r="DC181" s="59"/>
      <c r="DD181" s="59"/>
      <c r="DE181" s="59"/>
      <c r="DF181" s="59"/>
      <c r="DG181" s="59"/>
    </row>
    <row r="182" spans="1:111" ht="11.2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/>
      <c r="BB182" s="59"/>
      <c r="BC182" s="59"/>
      <c r="BD182" s="59"/>
      <c r="BE182" s="59"/>
      <c r="BF182" s="59"/>
      <c r="BG182" s="59"/>
      <c r="BH182" s="59"/>
      <c r="BI182" s="59"/>
      <c r="BJ182" s="59"/>
      <c r="BK182" s="59"/>
      <c r="BL182" s="59"/>
      <c r="BM182" s="59"/>
      <c r="BN182" s="59"/>
      <c r="BO182" s="59"/>
      <c r="BP182" s="59"/>
      <c r="BQ182" s="59"/>
      <c r="BR182" s="59"/>
      <c r="BS182" s="59"/>
      <c r="BT182" s="59"/>
      <c r="BU182" s="59"/>
      <c r="BV182" s="59"/>
      <c r="BW182" s="59"/>
      <c r="BX182" s="59"/>
      <c r="BY182" s="59"/>
      <c r="BZ182" s="59"/>
      <c r="CA182" s="59"/>
      <c r="CB182" s="59"/>
      <c r="CC182" s="59"/>
      <c r="CD182" s="59"/>
      <c r="CE182" s="59"/>
      <c r="CF182" s="59"/>
      <c r="CG182" s="59"/>
      <c r="CH182" s="59"/>
      <c r="CI182" s="59"/>
      <c r="CJ182" s="59"/>
      <c r="CK182" s="59"/>
      <c r="CL182" s="59"/>
      <c r="CM182" s="59"/>
      <c r="CN182" s="59"/>
      <c r="CO182" s="59"/>
      <c r="CP182" s="59"/>
      <c r="CQ182" s="59"/>
      <c r="CR182" s="59"/>
      <c r="CS182" s="59"/>
      <c r="CT182" s="59"/>
      <c r="CU182" s="59"/>
      <c r="CV182" s="59"/>
      <c r="CW182" s="59"/>
      <c r="CX182" s="59"/>
      <c r="CY182" s="59"/>
      <c r="CZ182" s="59"/>
      <c r="DA182" s="59"/>
      <c r="DB182" s="59"/>
      <c r="DC182" s="59"/>
      <c r="DD182" s="59"/>
      <c r="DE182" s="59"/>
      <c r="DF182" s="59"/>
      <c r="DG182" s="59"/>
    </row>
    <row r="183" spans="1:111" ht="11.2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  <c r="BC183" s="59"/>
      <c r="BD183" s="59"/>
      <c r="BE183" s="59"/>
      <c r="BF183" s="59"/>
      <c r="BG183" s="59"/>
      <c r="BH183" s="59"/>
      <c r="BI183" s="59"/>
      <c r="BJ183" s="59"/>
      <c r="BK183" s="59"/>
      <c r="BL183" s="59"/>
      <c r="BM183" s="59"/>
      <c r="BN183" s="59"/>
      <c r="BO183" s="59"/>
      <c r="BP183" s="59"/>
      <c r="BQ183" s="59"/>
      <c r="BR183" s="59"/>
      <c r="BS183" s="59"/>
      <c r="BT183" s="59"/>
      <c r="BU183" s="59"/>
      <c r="BV183" s="59"/>
      <c r="BW183" s="59"/>
      <c r="BX183" s="59"/>
      <c r="BY183" s="59"/>
      <c r="BZ183" s="59"/>
      <c r="CA183" s="59"/>
      <c r="CB183" s="59"/>
      <c r="CC183" s="59"/>
      <c r="CD183" s="59"/>
      <c r="CE183" s="59"/>
      <c r="CF183" s="59"/>
      <c r="CG183" s="59"/>
      <c r="CH183" s="59"/>
      <c r="CI183" s="59"/>
      <c r="CJ183" s="59"/>
      <c r="CK183" s="59"/>
      <c r="CL183" s="59"/>
      <c r="CM183" s="59"/>
      <c r="CN183" s="59"/>
      <c r="CO183" s="59"/>
      <c r="CP183" s="59"/>
      <c r="CQ183" s="59"/>
      <c r="CR183" s="59"/>
      <c r="CS183" s="59"/>
      <c r="CT183" s="59"/>
      <c r="CU183" s="59"/>
      <c r="CV183" s="59"/>
      <c r="CW183" s="59"/>
      <c r="CX183" s="59"/>
      <c r="CY183" s="59"/>
      <c r="CZ183" s="59"/>
      <c r="DA183" s="59"/>
      <c r="DB183" s="59"/>
      <c r="DC183" s="59"/>
      <c r="DD183" s="59"/>
      <c r="DE183" s="59"/>
      <c r="DF183" s="59"/>
      <c r="DG183" s="59"/>
    </row>
    <row r="184" spans="1:111" ht="11.2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  <c r="AT184" s="59"/>
      <c r="AU184" s="59"/>
      <c r="AV184" s="59"/>
      <c r="AW184" s="59"/>
      <c r="AX184" s="59"/>
      <c r="AY184" s="59"/>
      <c r="AZ184" s="59"/>
      <c r="BA184" s="59"/>
      <c r="BB184" s="59"/>
      <c r="BC184" s="59"/>
      <c r="BD184" s="59"/>
      <c r="BE184" s="59"/>
      <c r="BF184" s="59"/>
      <c r="BG184" s="59"/>
      <c r="BH184" s="59"/>
      <c r="BI184" s="59"/>
      <c r="BJ184" s="59"/>
      <c r="BK184" s="59"/>
      <c r="BL184" s="59"/>
      <c r="BM184" s="59"/>
      <c r="BN184" s="59"/>
      <c r="BO184" s="59"/>
      <c r="BP184" s="59"/>
      <c r="BQ184" s="59"/>
      <c r="BR184" s="59"/>
      <c r="BS184" s="59"/>
      <c r="BT184" s="59"/>
      <c r="BU184" s="59"/>
      <c r="BV184" s="59"/>
      <c r="BW184" s="59"/>
      <c r="BX184" s="59"/>
      <c r="BY184" s="59"/>
      <c r="BZ184" s="59"/>
      <c r="CA184" s="59"/>
      <c r="CB184" s="59"/>
      <c r="CC184" s="59"/>
      <c r="CD184" s="59"/>
      <c r="CE184" s="59"/>
      <c r="CF184" s="59"/>
      <c r="CG184" s="59"/>
      <c r="CH184" s="59"/>
      <c r="CI184" s="59"/>
      <c r="CJ184" s="59"/>
      <c r="CK184" s="59"/>
      <c r="CL184" s="59"/>
      <c r="CM184" s="59"/>
      <c r="CN184" s="59"/>
      <c r="CO184" s="59"/>
      <c r="CP184" s="59"/>
      <c r="CQ184" s="59"/>
      <c r="CR184" s="59"/>
      <c r="CS184" s="59"/>
      <c r="CT184" s="59"/>
      <c r="CU184" s="59"/>
      <c r="CV184" s="59"/>
      <c r="CW184" s="59"/>
      <c r="CX184" s="59"/>
      <c r="CY184" s="59"/>
      <c r="CZ184" s="59"/>
      <c r="DA184" s="59"/>
      <c r="DB184" s="59"/>
      <c r="DC184" s="59"/>
      <c r="DD184" s="59"/>
      <c r="DE184" s="59"/>
      <c r="DF184" s="59"/>
      <c r="DG184" s="59"/>
    </row>
    <row r="185" spans="1:111" ht="11.2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/>
      <c r="BB185" s="59"/>
      <c r="BC185" s="59"/>
      <c r="BD185" s="59"/>
      <c r="BE185" s="59"/>
      <c r="BF185" s="59"/>
      <c r="BG185" s="59"/>
      <c r="BH185" s="59"/>
      <c r="BI185" s="59"/>
      <c r="BJ185" s="59"/>
      <c r="BK185" s="59"/>
      <c r="BL185" s="59"/>
      <c r="BM185" s="59"/>
      <c r="BN185" s="59"/>
      <c r="BO185" s="59"/>
      <c r="BP185" s="59"/>
      <c r="BQ185" s="59"/>
      <c r="BR185" s="59"/>
      <c r="BS185" s="59"/>
      <c r="BT185" s="59"/>
      <c r="BU185" s="59"/>
      <c r="BV185" s="59"/>
      <c r="BW185" s="59"/>
      <c r="BX185" s="59"/>
      <c r="BY185" s="59"/>
      <c r="BZ185" s="59"/>
      <c r="CA185" s="59"/>
      <c r="CB185" s="59"/>
      <c r="CC185" s="59"/>
      <c r="CD185" s="59"/>
      <c r="CE185" s="59"/>
      <c r="CF185" s="59"/>
      <c r="CG185" s="59"/>
      <c r="CH185" s="59"/>
      <c r="CI185" s="59"/>
      <c r="CJ185" s="59"/>
      <c r="CK185" s="59"/>
      <c r="CL185" s="59"/>
      <c r="CM185" s="59"/>
      <c r="CN185" s="59"/>
      <c r="CO185" s="59"/>
      <c r="CP185" s="59"/>
      <c r="CQ185" s="59"/>
      <c r="CR185" s="59"/>
      <c r="CS185" s="59"/>
      <c r="CT185" s="59"/>
      <c r="CU185" s="59"/>
      <c r="CV185" s="59"/>
      <c r="CW185" s="59"/>
      <c r="CX185" s="59"/>
      <c r="CY185" s="59"/>
      <c r="CZ185" s="59"/>
      <c r="DA185" s="59"/>
      <c r="DB185" s="59"/>
      <c r="DC185" s="59"/>
      <c r="DD185" s="59"/>
      <c r="DE185" s="59"/>
      <c r="DF185" s="59"/>
      <c r="DG185" s="59"/>
    </row>
    <row r="186" spans="1:111" ht="11.2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/>
      <c r="BB186" s="59"/>
      <c r="BC186" s="59"/>
      <c r="BD186" s="59"/>
      <c r="BE186" s="59"/>
      <c r="BF186" s="59"/>
      <c r="BG186" s="59"/>
      <c r="BH186" s="59"/>
      <c r="BI186" s="59"/>
      <c r="BJ186" s="59"/>
      <c r="BK186" s="59"/>
      <c r="BL186" s="59"/>
      <c r="BM186" s="59"/>
      <c r="BN186" s="59"/>
      <c r="BO186" s="59"/>
      <c r="BP186" s="59"/>
      <c r="BQ186" s="59"/>
      <c r="BR186" s="59"/>
      <c r="BS186" s="59"/>
      <c r="BT186" s="59"/>
      <c r="BU186" s="59"/>
      <c r="BV186" s="59"/>
      <c r="BW186" s="59"/>
      <c r="BX186" s="59"/>
      <c r="BY186" s="59"/>
      <c r="BZ186" s="59"/>
      <c r="CA186" s="59"/>
      <c r="CB186" s="59"/>
      <c r="CC186" s="59"/>
      <c r="CD186" s="59"/>
      <c r="CE186" s="59"/>
      <c r="CF186" s="59"/>
      <c r="CG186" s="59"/>
      <c r="CH186" s="59"/>
      <c r="CI186" s="59"/>
      <c r="CJ186" s="59"/>
      <c r="CK186" s="59"/>
      <c r="CL186" s="59"/>
      <c r="CM186" s="59"/>
      <c r="CN186" s="59"/>
      <c r="CO186" s="59"/>
      <c r="CP186" s="59"/>
      <c r="CQ186" s="59"/>
      <c r="CR186" s="59"/>
      <c r="CS186" s="59"/>
      <c r="CT186" s="59"/>
      <c r="CU186" s="59"/>
      <c r="CV186" s="59"/>
      <c r="CW186" s="59"/>
      <c r="CX186" s="59"/>
      <c r="CY186" s="59"/>
      <c r="CZ186" s="59"/>
      <c r="DA186" s="59"/>
      <c r="DB186" s="59"/>
      <c r="DC186" s="59"/>
      <c r="DD186" s="59"/>
      <c r="DE186" s="59"/>
      <c r="DF186" s="59"/>
      <c r="DG186" s="59"/>
    </row>
    <row r="187" spans="1:111" ht="11.2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  <c r="AV187" s="59"/>
      <c r="AW187" s="59"/>
      <c r="AX187" s="59"/>
      <c r="AY187" s="59"/>
      <c r="AZ187" s="59"/>
      <c r="BA187" s="59"/>
      <c r="BB187" s="59"/>
      <c r="BC187" s="59"/>
      <c r="BD187" s="59"/>
      <c r="BE187" s="59"/>
      <c r="BF187" s="59"/>
      <c r="BG187" s="59"/>
      <c r="BH187" s="59"/>
      <c r="BI187" s="59"/>
      <c r="BJ187" s="59"/>
      <c r="BK187" s="59"/>
      <c r="BL187" s="59"/>
      <c r="BM187" s="59"/>
      <c r="BN187" s="59"/>
      <c r="BO187" s="59"/>
      <c r="BP187" s="59"/>
      <c r="BQ187" s="59"/>
      <c r="BR187" s="59"/>
      <c r="BS187" s="59"/>
      <c r="BT187" s="59"/>
      <c r="BU187" s="59"/>
      <c r="BV187" s="59"/>
      <c r="BW187" s="59"/>
      <c r="BX187" s="59"/>
      <c r="BY187" s="59"/>
      <c r="BZ187" s="59"/>
      <c r="CA187" s="59"/>
      <c r="CB187" s="59"/>
      <c r="CC187" s="59"/>
      <c r="CD187" s="59"/>
      <c r="CE187" s="59"/>
      <c r="CF187" s="59"/>
      <c r="CG187" s="59"/>
      <c r="CH187" s="59"/>
      <c r="CI187" s="59"/>
      <c r="CJ187" s="59"/>
      <c r="CK187" s="59"/>
      <c r="CL187" s="59"/>
      <c r="CM187" s="59"/>
      <c r="CN187" s="59"/>
      <c r="CO187" s="59"/>
      <c r="CP187" s="59"/>
      <c r="CQ187" s="59"/>
      <c r="CR187" s="59"/>
      <c r="CS187" s="59"/>
      <c r="CT187" s="59"/>
      <c r="CU187" s="59"/>
      <c r="CV187" s="59"/>
      <c r="CW187" s="59"/>
      <c r="CX187" s="59"/>
      <c r="CY187" s="59"/>
      <c r="CZ187" s="59"/>
      <c r="DA187" s="59"/>
      <c r="DB187" s="59"/>
      <c r="DC187" s="59"/>
      <c r="DD187" s="59"/>
      <c r="DE187" s="59"/>
      <c r="DF187" s="59"/>
      <c r="DG187" s="59"/>
    </row>
    <row r="188" spans="1:111" ht="11.2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  <c r="AV188" s="59"/>
      <c r="AW188" s="59"/>
      <c r="AX188" s="59"/>
      <c r="AY188" s="59"/>
      <c r="AZ188" s="59"/>
      <c r="BA188" s="59"/>
      <c r="BB188" s="59"/>
      <c r="BC188" s="59"/>
      <c r="BD188" s="59"/>
      <c r="BE188" s="59"/>
      <c r="BF188" s="59"/>
      <c r="BG188" s="59"/>
      <c r="BH188" s="59"/>
      <c r="BI188" s="59"/>
      <c r="BJ188" s="59"/>
      <c r="BK188" s="59"/>
      <c r="BL188" s="59"/>
      <c r="BM188" s="59"/>
      <c r="BN188" s="59"/>
      <c r="BO188" s="59"/>
      <c r="BP188" s="59"/>
      <c r="BQ188" s="59"/>
      <c r="BR188" s="59"/>
      <c r="BS188" s="59"/>
      <c r="BT188" s="59"/>
      <c r="BU188" s="59"/>
      <c r="BV188" s="59"/>
      <c r="BW188" s="59"/>
      <c r="BX188" s="59"/>
      <c r="BY188" s="59"/>
      <c r="BZ188" s="59"/>
      <c r="CA188" s="59"/>
      <c r="CB188" s="59"/>
      <c r="CC188" s="59"/>
      <c r="CD188" s="59"/>
      <c r="CE188" s="59"/>
      <c r="CF188" s="59"/>
      <c r="CG188" s="59"/>
      <c r="CH188" s="59"/>
      <c r="CI188" s="59"/>
      <c r="CJ188" s="59"/>
      <c r="CK188" s="59"/>
      <c r="CL188" s="59"/>
      <c r="CM188" s="59"/>
      <c r="CN188" s="59"/>
      <c r="CO188" s="59"/>
      <c r="CP188" s="59"/>
      <c r="CQ188" s="59"/>
      <c r="CR188" s="59"/>
      <c r="CS188" s="59"/>
      <c r="CT188" s="59"/>
      <c r="CU188" s="59"/>
      <c r="CV188" s="59"/>
      <c r="CW188" s="59"/>
      <c r="CX188" s="59"/>
      <c r="CY188" s="59"/>
      <c r="CZ188" s="59"/>
      <c r="DA188" s="59"/>
      <c r="DB188" s="59"/>
      <c r="DC188" s="59"/>
      <c r="DD188" s="59"/>
      <c r="DE188" s="59"/>
      <c r="DF188" s="59"/>
      <c r="DG188" s="59"/>
    </row>
    <row r="189" spans="1:111" ht="11.2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  <c r="AV189" s="59"/>
      <c r="AW189" s="59"/>
      <c r="AX189" s="59"/>
      <c r="AY189" s="59"/>
      <c r="AZ189" s="59"/>
      <c r="BA189" s="59"/>
      <c r="BB189" s="59"/>
      <c r="BC189" s="59"/>
      <c r="BD189" s="59"/>
      <c r="BE189" s="59"/>
      <c r="BF189" s="59"/>
      <c r="BG189" s="59"/>
      <c r="BH189" s="59"/>
      <c r="BI189" s="59"/>
      <c r="BJ189" s="59"/>
      <c r="BK189" s="59"/>
      <c r="BL189" s="59"/>
      <c r="BM189" s="59"/>
      <c r="BN189" s="59"/>
      <c r="BO189" s="59"/>
      <c r="BP189" s="59"/>
      <c r="BQ189" s="59"/>
      <c r="BR189" s="59"/>
      <c r="BS189" s="59"/>
      <c r="BT189" s="59"/>
      <c r="BU189" s="59"/>
      <c r="BV189" s="59"/>
      <c r="BW189" s="59"/>
      <c r="BX189" s="59"/>
      <c r="BY189" s="59"/>
      <c r="BZ189" s="59"/>
      <c r="CA189" s="59"/>
      <c r="CB189" s="59"/>
      <c r="CC189" s="59"/>
      <c r="CD189" s="59"/>
      <c r="CE189" s="59"/>
      <c r="CF189" s="59"/>
      <c r="CG189" s="59"/>
      <c r="CH189" s="59"/>
      <c r="CI189" s="59"/>
      <c r="CJ189" s="59"/>
      <c r="CK189" s="59"/>
      <c r="CL189" s="59"/>
      <c r="CM189" s="59"/>
      <c r="CN189" s="59"/>
      <c r="CO189" s="59"/>
      <c r="CP189" s="59"/>
      <c r="CQ189" s="59"/>
      <c r="CR189" s="59"/>
      <c r="CS189" s="59"/>
      <c r="CT189" s="59"/>
      <c r="CU189" s="59"/>
      <c r="CV189" s="59"/>
      <c r="CW189" s="59"/>
      <c r="CX189" s="59"/>
      <c r="CY189" s="59"/>
      <c r="CZ189" s="59"/>
      <c r="DA189" s="59"/>
      <c r="DB189" s="59"/>
      <c r="DC189" s="59"/>
      <c r="DD189" s="59"/>
      <c r="DE189" s="59"/>
      <c r="DF189" s="59"/>
      <c r="DG189" s="59"/>
    </row>
    <row r="190" spans="1:111" ht="11.2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/>
      <c r="BB190" s="59"/>
      <c r="BC190" s="59"/>
      <c r="BD190" s="59"/>
      <c r="BE190" s="59"/>
      <c r="BF190" s="59"/>
      <c r="BG190" s="59"/>
      <c r="BH190" s="59"/>
      <c r="BI190" s="59"/>
      <c r="BJ190" s="59"/>
      <c r="BK190" s="59"/>
      <c r="BL190" s="59"/>
      <c r="BM190" s="59"/>
      <c r="BN190" s="59"/>
      <c r="BO190" s="59"/>
      <c r="BP190" s="59"/>
      <c r="BQ190" s="59"/>
      <c r="BR190" s="59"/>
      <c r="BS190" s="59"/>
      <c r="BT190" s="59"/>
      <c r="BU190" s="59"/>
      <c r="BV190" s="59"/>
      <c r="BW190" s="59"/>
      <c r="BX190" s="59"/>
      <c r="BY190" s="59"/>
      <c r="BZ190" s="59"/>
      <c r="CA190" s="59"/>
      <c r="CB190" s="59"/>
      <c r="CC190" s="59"/>
      <c r="CD190" s="59"/>
      <c r="CE190" s="59"/>
      <c r="CF190" s="59"/>
      <c r="CG190" s="59"/>
      <c r="CH190" s="59"/>
      <c r="CI190" s="59"/>
      <c r="CJ190" s="59"/>
      <c r="CK190" s="59"/>
      <c r="CL190" s="59"/>
      <c r="CM190" s="59"/>
      <c r="CN190" s="59"/>
      <c r="CO190" s="59"/>
      <c r="CP190" s="59"/>
      <c r="CQ190" s="59"/>
      <c r="CR190" s="59"/>
      <c r="CS190" s="59"/>
      <c r="CT190" s="59"/>
      <c r="CU190" s="59"/>
      <c r="CV190" s="59"/>
      <c r="CW190" s="59"/>
      <c r="CX190" s="59"/>
      <c r="CY190" s="59"/>
      <c r="CZ190" s="59"/>
      <c r="DA190" s="59"/>
      <c r="DB190" s="59"/>
      <c r="DC190" s="59"/>
      <c r="DD190" s="59"/>
      <c r="DE190" s="59"/>
      <c r="DF190" s="59"/>
      <c r="DG190" s="59"/>
    </row>
    <row r="191" spans="1:111" ht="11.2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/>
      <c r="BB191" s="59"/>
      <c r="BC191" s="59"/>
      <c r="BD191" s="59"/>
      <c r="BE191" s="59"/>
      <c r="BF191" s="59"/>
      <c r="BG191" s="59"/>
      <c r="BH191" s="59"/>
      <c r="BI191" s="59"/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9"/>
      <c r="CE191" s="59"/>
      <c r="CF191" s="59"/>
      <c r="CG191" s="59"/>
      <c r="CH191" s="59"/>
      <c r="CI191" s="59"/>
      <c r="CJ191" s="59"/>
      <c r="CK191" s="59"/>
      <c r="CL191" s="59"/>
      <c r="CM191" s="59"/>
      <c r="CN191" s="59"/>
      <c r="CO191" s="59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59"/>
      <c r="DA191" s="59"/>
      <c r="DB191" s="59"/>
      <c r="DC191" s="59"/>
      <c r="DD191" s="59"/>
      <c r="DE191" s="59"/>
      <c r="DF191" s="59"/>
      <c r="DG191" s="59"/>
    </row>
    <row r="192" spans="1:111" ht="11.2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  <c r="AV192" s="59"/>
      <c r="AW192" s="59"/>
      <c r="AX192" s="59"/>
      <c r="AY192" s="59"/>
      <c r="AZ192" s="59"/>
      <c r="BA192" s="59"/>
      <c r="BB192" s="59"/>
      <c r="BC192" s="59"/>
      <c r="BD192" s="59"/>
      <c r="BE192" s="59"/>
      <c r="BF192" s="59"/>
      <c r="BG192" s="59"/>
      <c r="BH192" s="59"/>
      <c r="BI192" s="59"/>
      <c r="BJ192" s="59"/>
      <c r="BK192" s="59"/>
      <c r="BL192" s="59"/>
      <c r="BM192" s="59"/>
      <c r="BN192" s="59"/>
      <c r="BO192" s="59"/>
      <c r="BP192" s="59"/>
      <c r="BQ192" s="59"/>
      <c r="BR192" s="59"/>
      <c r="BS192" s="59"/>
      <c r="BT192" s="59"/>
      <c r="BU192" s="59"/>
      <c r="BV192" s="59"/>
      <c r="BW192" s="59"/>
      <c r="BX192" s="59"/>
      <c r="BY192" s="59"/>
      <c r="BZ192" s="59"/>
      <c r="CA192" s="59"/>
      <c r="CB192" s="59"/>
      <c r="CC192" s="59"/>
      <c r="CD192" s="59"/>
      <c r="CE192" s="59"/>
      <c r="CF192" s="59"/>
      <c r="CG192" s="59"/>
      <c r="CH192" s="59"/>
      <c r="CI192" s="59"/>
      <c r="CJ192" s="59"/>
      <c r="CK192" s="59"/>
      <c r="CL192" s="59"/>
      <c r="CM192" s="59"/>
      <c r="CN192" s="59"/>
      <c r="CO192" s="59"/>
      <c r="CP192" s="59"/>
      <c r="CQ192" s="59"/>
      <c r="CR192" s="59"/>
      <c r="CS192" s="59"/>
      <c r="CT192" s="59"/>
      <c r="CU192" s="59"/>
      <c r="CV192" s="59"/>
      <c r="CW192" s="59"/>
      <c r="CX192" s="59"/>
      <c r="CY192" s="59"/>
      <c r="CZ192" s="59"/>
      <c r="DA192" s="59"/>
      <c r="DB192" s="59"/>
      <c r="DC192" s="59"/>
      <c r="DD192" s="59"/>
      <c r="DE192" s="59"/>
      <c r="DF192" s="59"/>
      <c r="DG192" s="59"/>
    </row>
    <row r="193" spans="1:111" ht="11.2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59"/>
      <c r="BG193" s="59"/>
      <c r="BH193" s="59"/>
      <c r="BI193" s="59"/>
      <c r="BJ193" s="59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  <c r="CJ193" s="59"/>
      <c r="CK193" s="59"/>
      <c r="CL193" s="59"/>
      <c r="CM193" s="59"/>
      <c r="CN193" s="59"/>
      <c r="CO193" s="59"/>
      <c r="CP193" s="59"/>
      <c r="CQ193" s="59"/>
      <c r="CR193" s="59"/>
      <c r="CS193" s="59"/>
      <c r="CT193" s="59"/>
      <c r="CU193" s="59"/>
      <c r="CV193" s="59"/>
      <c r="CW193" s="59"/>
      <c r="CX193" s="59"/>
      <c r="CY193" s="59"/>
      <c r="CZ193" s="59"/>
      <c r="DA193" s="59"/>
      <c r="DB193" s="59"/>
      <c r="DC193" s="59"/>
      <c r="DD193" s="59"/>
      <c r="DE193" s="59"/>
      <c r="DF193" s="59"/>
      <c r="DG193" s="59"/>
    </row>
    <row r="194" spans="1:111" ht="11.2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59"/>
      <c r="BG194" s="59"/>
      <c r="BH194" s="59"/>
      <c r="BI194" s="59"/>
      <c r="BJ194" s="59"/>
      <c r="BK194" s="59"/>
      <c r="BL194" s="59"/>
      <c r="BM194" s="59"/>
      <c r="BN194" s="59"/>
      <c r="BO194" s="59"/>
      <c r="BP194" s="59"/>
      <c r="BQ194" s="59"/>
      <c r="BR194" s="59"/>
      <c r="BS194" s="59"/>
      <c r="BT194" s="59"/>
      <c r="BU194" s="59"/>
      <c r="BV194" s="59"/>
      <c r="BW194" s="59"/>
      <c r="BX194" s="59"/>
      <c r="BY194" s="59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  <c r="CJ194" s="59"/>
      <c r="CK194" s="59"/>
      <c r="CL194" s="59"/>
      <c r="CM194" s="59"/>
      <c r="CN194" s="59"/>
      <c r="CO194" s="59"/>
      <c r="CP194" s="59"/>
      <c r="CQ194" s="59"/>
      <c r="CR194" s="59"/>
      <c r="CS194" s="59"/>
      <c r="CT194" s="59"/>
      <c r="CU194" s="59"/>
      <c r="CV194" s="59"/>
      <c r="CW194" s="59"/>
      <c r="CX194" s="59"/>
      <c r="CY194" s="59"/>
      <c r="CZ194" s="59"/>
      <c r="DA194" s="59"/>
      <c r="DB194" s="59"/>
      <c r="DC194" s="59"/>
      <c r="DD194" s="59"/>
      <c r="DE194" s="59"/>
      <c r="DF194" s="59"/>
      <c r="DG194" s="59"/>
    </row>
    <row r="195" spans="1:111" ht="11.2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59"/>
      <c r="BG195" s="59"/>
      <c r="BH195" s="59"/>
      <c r="BI195" s="59"/>
      <c r="BJ195" s="59"/>
      <c r="BK195" s="59"/>
      <c r="BL195" s="59"/>
      <c r="BM195" s="59"/>
      <c r="BN195" s="59"/>
      <c r="BO195" s="59"/>
      <c r="BP195" s="59"/>
      <c r="BQ195" s="59"/>
      <c r="BR195" s="59"/>
      <c r="BS195" s="59"/>
      <c r="BT195" s="59"/>
      <c r="BU195" s="59"/>
      <c r="BV195" s="59"/>
      <c r="BW195" s="59"/>
      <c r="BX195" s="59"/>
      <c r="BY195" s="59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  <c r="CJ195" s="59"/>
      <c r="CK195" s="59"/>
      <c r="CL195" s="59"/>
      <c r="CM195" s="59"/>
      <c r="CN195" s="59"/>
      <c r="CO195" s="59"/>
      <c r="CP195" s="59"/>
      <c r="CQ195" s="59"/>
      <c r="CR195" s="59"/>
      <c r="CS195" s="59"/>
      <c r="CT195" s="59"/>
      <c r="CU195" s="59"/>
      <c r="CV195" s="59"/>
      <c r="CW195" s="59"/>
      <c r="CX195" s="59"/>
      <c r="CY195" s="59"/>
      <c r="CZ195" s="59"/>
      <c r="DA195" s="59"/>
      <c r="DB195" s="59"/>
      <c r="DC195" s="59"/>
      <c r="DD195" s="59"/>
      <c r="DE195" s="59"/>
      <c r="DF195" s="59"/>
      <c r="DG195" s="59"/>
    </row>
    <row r="196" spans="1:111" ht="11.2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  <c r="BE196" s="59"/>
      <c r="BF196" s="59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  <c r="CJ196" s="59"/>
      <c r="CK196" s="59"/>
      <c r="CL196" s="59"/>
      <c r="CM196" s="59"/>
      <c r="CN196" s="59"/>
      <c r="CO196" s="59"/>
      <c r="CP196" s="59"/>
      <c r="CQ196" s="59"/>
      <c r="CR196" s="59"/>
      <c r="CS196" s="59"/>
      <c r="CT196" s="59"/>
      <c r="CU196" s="59"/>
      <c r="CV196" s="59"/>
      <c r="CW196" s="59"/>
      <c r="CX196" s="59"/>
      <c r="CY196" s="59"/>
      <c r="CZ196" s="59"/>
      <c r="DA196" s="59"/>
      <c r="DB196" s="59"/>
      <c r="DC196" s="59"/>
      <c r="DD196" s="59"/>
      <c r="DE196" s="59"/>
      <c r="DF196" s="59"/>
      <c r="DG196" s="59"/>
    </row>
    <row r="197" spans="1:111" ht="11.2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  <c r="AT197" s="59"/>
      <c r="AU197" s="59"/>
      <c r="AV197" s="59"/>
      <c r="AW197" s="59"/>
      <c r="AX197" s="59"/>
      <c r="AY197" s="59"/>
      <c r="AZ197" s="59"/>
      <c r="BA197" s="59"/>
      <c r="BB197" s="59"/>
      <c r="BC197" s="59"/>
      <c r="BD197" s="59"/>
      <c r="BE197" s="59"/>
      <c r="BF197" s="59"/>
      <c r="BG197" s="59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  <c r="CJ197" s="59"/>
      <c r="CK197" s="59"/>
      <c r="CL197" s="59"/>
      <c r="CM197" s="59"/>
      <c r="CN197" s="59"/>
      <c r="CO197" s="59"/>
      <c r="CP197" s="59"/>
      <c r="CQ197" s="59"/>
      <c r="CR197" s="59"/>
      <c r="CS197" s="59"/>
      <c r="CT197" s="59"/>
      <c r="CU197" s="59"/>
      <c r="CV197" s="59"/>
      <c r="CW197" s="59"/>
      <c r="CX197" s="59"/>
      <c r="CY197" s="59"/>
      <c r="CZ197" s="59"/>
      <c r="DA197" s="59"/>
      <c r="DB197" s="59"/>
      <c r="DC197" s="59"/>
      <c r="DD197" s="59"/>
      <c r="DE197" s="59"/>
      <c r="DF197" s="59"/>
      <c r="DG197" s="59"/>
    </row>
    <row r="198" spans="1:111" ht="11.2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/>
      <c r="BB198" s="59"/>
      <c r="BC198" s="59"/>
      <c r="BD198" s="59"/>
      <c r="BE198" s="59"/>
      <c r="BF198" s="59"/>
      <c r="BG198" s="59"/>
      <c r="BH198" s="59"/>
      <c r="BI198" s="59"/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  <c r="CJ198" s="59"/>
      <c r="CK198" s="59"/>
      <c r="CL198" s="59"/>
      <c r="CM198" s="59"/>
      <c r="CN198" s="59"/>
      <c r="CO198" s="59"/>
      <c r="CP198" s="59"/>
      <c r="CQ198" s="59"/>
      <c r="CR198" s="59"/>
      <c r="CS198" s="59"/>
      <c r="CT198" s="59"/>
      <c r="CU198" s="59"/>
      <c r="CV198" s="59"/>
      <c r="CW198" s="59"/>
      <c r="CX198" s="59"/>
      <c r="CY198" s="59"/>
      <c r="CZ198" s="59"/>
      <c r="DA198" s="59"/>
      <c r="DB198" s="59"/>
      <c r="DC198" s="59"/>
      <c r="DD198" s="59"/>
      <c r="DE198" s="59"/>
      <c r="DF198" s="59"/>
      <c r="DG198" s="59"/>
    </row>
    <row r="199" spans="1:111" ht="11.2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  <c r="AR199" s="59"/>
      <c r="AS199" s="59"/>
      <c r="AT199" s="59"/>
      <c r="AU199" s="59"/>
      <c r="AV199" s="59"/>
      <c r="AW199" s="59"/>
      <c r="AX199" s="59"/>
      <c r="AY199" s="59"/>
      <c r="AZ199" s="59"/>
      <c r="BA199" s="59"/>
      <c r="BB199" s="59"/>
      <c r="BC199" s="59"/>
      <c r="BD199" s="59"/>
      <c r="BE199" s="59"/>
      <c r="BF199" s="59"/>
      <c r="BG199" s="59"/>
      <c r="BH199" s="59"/>
      <c r="BI199" s="59"/>
      <c r="BJ199" s="59"/>
      <c r="BK199" s="59"/>
      <c r="BL199" s="59"/>
      <c r="BM199" s="59"/>
      <c r="BN199" s="59"/>
      <c r="BO199" s="59"/>
      <c r="BP199" s="59"/>
      <c r="BQ199" s="59"/>
      <c r="BR199" s="59"/>
      <c r="BS199" s="59"/>
      <c r="BT199" s="59"/>
      <c r="BU199" s="59"/>
      <c r="BV199" s="59"/>
      <c r="BW199" s="59"/>
      <c r="BX199" s="59"/>
      <c r="BY199" s="59"/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  <c r="CJ199" s="59"/>
      <c r="CK199" s="59"/>
      <c r="CL199" s="59"/>
      <c r="CM199" s="59"/>
      <c r="CN199" s="59"/>
      <c r="CO199" s="59"/>
      <c r="CP199" s="59"/>
      <c r="CQ199" s="59"/>
      <c r="CR199" s="59"/>
      <c r="CS199" s="59"/>
      <c r="CT199" s="59"/>
      <c r="CU199" s="59"/>
      <c r="CV199" s="59"/>
      <c r="CW199" s="59"/>
      <c r="CX199" s="59"/>
      <c r="CY199" s="59"/>
      <c r="CZ199" s="59"/>
      <c r="DA199" s="59"/>
      <c r="DB199" s="59"/>
      <c r="DC199" s="59"/>
      <c r="DD199" s="59"/>
      <c r="DE199" s="59"/>
      <c r="DF199" s="59"/>
      <c r="DG199" s="59"/>
    </row>
    <row r="200" spans="1:111" ht="11.2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59"/>
      <c r="AW200" s="59"/>
      <c r="AX200" s="59"/>
      <c r="AY200" s="59"/>
      <c r="AZ200" s="59"/>
      <c r="BA200" s="59"/>
      <c r="BB200" s="59"/>
      <c r="BC200" s="59"/>
      <c r="BD200" s="59"/>
      <c r="BE200" s="59"/>
      <c r="BF200" s="59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59"/>
      <c r="BV200" s="59"/>
      <c r="BW200" s="59"/>
      <c r="BX200" s="59"/>
      <c r="BY200" s="59"/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  <c r="CJ200" s="59"/>
      <c r="CK200" s="59"/>
      <c r="CL200" s="59"/>
      <c r="CM200" s="59"/>
      <c r="CN200" s="59"/>
      <c r="CO200" s="59"/>
      <c r="CP200" s="59"/>
      <c r="CQ200" s="59"/>
      <c r="CR200" s="59"/>
      <c r="CS200" s="59"/>
      <c r="CT200" s="59"/>
      <c r="CU200" s="59"/>
      <c r="CV200" s="59"/>
      <c r="CW200" s="59"/>
      <c r="CX200" s="59"/>
      <c r="CY200" s="59"/>
      <c r="CZ200" s="59"/>
      <c r="DA200" s="59"/>
      <c r="DB200" s="59"/>
      <c r="DC200" s="59"/>
      <c r="DD200" s="59"/>
      <c r="DE200" s="59"/>
      <c r="DF200" s="59"/>
      <c r="DG200" s="59"/>
    </row>
    <row r="201" spans="1:111" ht="11.2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  <c r="AR201" s="59"/>
      <c r="AS201" s="59"/>
      <c r="AT201" s="59"/>
      <c r="AU201" s="59"/>
      <c r="AV201" s="59"/>
      <c r="AW201" s="59"/>
      <c r="AX201" s="59"/>
      <c r="AY201" s="59"/>
      <c r="AZ201" s="59"/>
      <c r="BA201" s="59"/>
      <c r="BB201" s="59"/>
      <c r="BC201" s="59"/>
      <c r="BD201" s="59"/>
      <c r="BE201" s="59"/>
      <c r="BF201" s="59"/>
      <c r="BG201" s="59"/>
      <c r="BH201" s="59"/>
      <c r="BI201" s="59"/>
      <c r="BJ201" s="59"/>
      <c r="BK201" s="59"/>
      <c r="BL201" s="59"/>
      <c r="BM201" s="59"/>
      <c r="BN201" s="59"/>
      <c r="BO201" s="59"/>
      <c r="BP201" s="59"/>
      <c r="BQ201" s="59"/>
      <c r="BR201" s="59"/>
      <c r="BS201" s="59"/>
      <c r="BT201" s="59"/>
      <c r="BU201" s="59"/>
      <c r="BV201" s="59"/>
      <c r="BW201" s="59"/>
      <c r="BX201" s="59"/>
      <c r="BY201" s="59"/>
      <c r="BZ201" s="59"/>
      <c r="CA201" s="59"/>
      <c r="CB201" s="59"/>
      <c r="CC201" s="59"/>
      <c r="CD201" s="59"/>
      <c r="CE201" s="59"/>
      <c r="CF201" s="59"/>
      <c r="CG201" s="59"/>
      <c r="CH201" s="59"/>
      <c r="CI201" s="59"/>
      <c r="CJ201" s="59"/>
      <c r="CK201" s="59"/>
      <c r="CL201" s="59"/>
      <c r="CM201" s="59"/>
      <c r="CN201" s="59"/>
      <c r="CO201" s="59"/>
      <c r="CP201" s="59"/>
      <c r="CQ201" s="59"/>
      <c r="CR201" s="59"/>
      <c r="CS201" s="59"/>
      <c r="CT201" s="59"/>
      <c r="CU201" s="59"/>
      <c r="CV201" s="59"/>
      <c r="CW201" s="59"/>
      <c r="CX201" s="59"/>
      <c r="CY201" s="59"/>
      <c r="CZ201" s="59"/>
      <c r="DA201" s="59"/>
      <c r="DB201" s="59"/>
      <c r="DC201" s="59"/>
      <c r="DD201" s="59"/>
      <c r="DE201" s="59"/>
      <c r="DF201" s="59"/>
      <c r="DG201" s="59"/>
    </row>
    <row r="202" spans="1:111" ht="11.2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9"/>
      <c r="AS202" s="59"/>
      <c r="AT202" s="59"/>
      <c r="AU202" s="59"/>
      <c r="AV202" s="59"/>
      <c r="AW202" s="59"/>
      <c r="AX202" s="59"/>
      <c r="AY202" s="59"/>
      <c r="AZ202" s="59"/>
      <c r="BA202" s="59"/>
      <c r="BB202" s="59"/>
      <c r="BC202" s="59"/>
      <c r="BD202" s="59"/>
      <c r="BE202" s="59"/>
      <c r="BF202" s="59"/>
      <c r="BG202" s="59"/>
      <c r="BH202" s="59"/>
      <c r="BI202" s="59"/>
      <c r="BJ202" s="59"/>
      <c r="BK202" s="59"/>
      <c r="BL202" s="59"/>
      <c r="BM202" s="59"/>
      <c r="BN202" s="59"/>
      <c r="BO202" s="59"/>
      <c r="BP202" s="59"/>
      <c r="BQ202" s="59"/>
      <c r="BR202" s="59"/>
      <c r="BS202" s="59"/>
      <c r="BT202" s="59"/>
      <c r="BU202" s="59"/>
      <c r="BV202" s="59"/>
      <c r="BW202" s="59"/>
      <c r="BX202" s="59"/>
      <c r="BY202" s="59"/>
      <c r="BZ202" s="59"/>
      <c r="CA202" s="59"/>
      <c r="CB202" s="59"/>
      <c r="CC202" s="59"/>
      <c r="CD202" s="59"/>
      <c r="CE202" s="59"/>
      <c r="CF202" s="59"/>
      <c r="CG202" s="59"/>
      <c r="CH202" s="59"/>
      <c r="CI202" s="59"/>
      <c r="CJ202" s="59"/>
      <c r="CK202" s="59"/>
      <c r="CL202" s="59"/>
      <c r="CM202" s="59"/>
      <c r="CN202" s="59"/>
      <c r="CO202" s="59"/>
      <c r="CP202" s="59"/>
      <c r="CQ202" s="59"/>
      <c r="CR202" s="59"/>
      <c r="CS202" s="59"/>
      <c r="CT202" s="59"/>
      <c r="CU202" s="59"/>
      <c r="CV202" s="59"/>
      <c r="CW202" s="59"/>
      <c r="CX202" s="59"/>
      <c r="CY202" s="59"/>
      <c r="CZ202" s="59"/>
      <c r="DA202" s="59"/>
      <c r="DB202" s="59"/>
      <c r="DC202" s="59"/>
      <c r="DD202" s="59"/>
      <c r="DE202" s="59"/>
      <c r="DF202" s="59"/>
      <c r="DG202" s="59"/>
    </row>
    <row r="203" spans="1:111" ht="11.2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  <c r="AT203" s="59"/>
      <c r="AU203" s="59"/>
      <c r="AV203" s="59"/>
      <c r="AW203" s="59"/>
      <c r="AX203" s="59"/>
      <c r="AY203" s="59"/>
      <c r="AZ203" s="59"/>
      <c r="BA203" s="59"/>
      <c r="BB203" s="59"/>
      <c r="BC203" s="59"/>
      <c r="BD203" s="59"/>
      <c r="BE203" s="59"/>
      <c r="BF203" s="59"/>
      <c r="BG203" s="59"/>
      <c r="BH203" s="59"/>
      <c r="BI203" s="59"/>
      <c r="BJ203" s="59"/>
      <c r="BK203" s="59"/>
      <c r="BL203" s="59"/>
      <c r="BM203" s="59"/>
      <c r="BN203" s="59"/>
      <c r="BO203" s="59"/>
      <c r="BP203" s="59"/>
      <c r="BQ203" s="59"/>
      <c r="BR203" s="59"/>
      <c r="BS203" s="59"/>
      <c r="BT203" s="59"/>
      <c r="BU203" s="59"/>
      <c r="BV203" s="59"/>
      <c r="BW203" s="59"/>
      <c r="BX203" s="59"/>
      <c r="BY203" s="59"/>
      <c r="BZ203" s="59"/>
      <c r="CA203" s="59"/>
      <c r="CB203" s="59"/>
      <c r="CC203" s="59"/>
      <c r="CD203" s="59"/>
      <c r="CE203" s="59"/>
      <c r="CF203" s="59"/>
      <c r="CG203" s="59"/>
      <c r="CH203" s="59"/>
      <c r="CI203" s="59"/>
      <c r="CJ203" s="59"/>
      <c r="CK203" s="59"/>
      <c r="CL203" s="59"/>
      <c r="CM203" s="59"/>
      <c r="CN203" s="59"/>
      <c r="CO203" s="59"/>
      <c r="CP203" s="59"/>
      <c r="CQ203" s="59"/>
      <c r="CR203" s="59"/>
      <c r="CS203" s="59"/>
      <c r="CT203" s="59"/>
      <c r="CU203" s="59"/>
      <c r="CV203" s="59"/>
      <c r="CW203" s="59"/>
      <c r="CX203" s="59"/>
      <c r="CY203" s="59"/>
      <c r="CZ203" s="59"/>
      <c r="DA203" s="59"/>
      <c r="DB203" s="59"/>
      <c r="DC203" s="59"/>
      <c r="DD203" s="59"/>
      <c r="DE203" s="59"/>
      <c r="DF203" s="59"/>
      <c r="DG203" s="59"/>
    </row>
    <row r="204" spans="1:111" ht="11.2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59"/>
      <c r="AQ204" s="59"/>
      <c r="AR204" s="59"/>
      <c r="AS204" s="59"/>
      <c r="AT204" s="59"/>
      <c r="AU204" s="59"/>
      <c r="AV204" s="59"/>
      <c r="AW204" s="59"/>
      <c r="AX204" s="59"/>
      <c r="AY204" s="59"/>
      <c r="AZ204" s="59"/>
      <c r="BA204" s="59"/>
      <c r="BB204" s="59"/>
      <c r="BC204" s="59"/>
      <c r="BD204" s="59"/>
      <c r="BE204" s="59"/>
      <c r="BF204" s="59"/>
      <c r="BG204" s="59"/>
      <c r="BH204" s="59"/>
      <c r="BI204" s="59"/>
      <c r="BJ204" s="59"/>
      <c r="BK204" s="59"/>
      <c r="BL204" s="59"/>
      <c r="BM204" s="59"/>
      <c r="BN204" s="59"/>
      <c r="BO204" s="59"/>
      <c r="BP204" s="59"/>
      <c r="BQ204" s="59"/>
      <c r="BR204" s="59"/>
      <c r="BS204" s="59"/>
      <c r="BT204" s="59"/>
      <c r="BU204" s="59"/>
      <c r="BV204" s="59"/>
      <c r="BW204" s="59"/>
      <c r="BX204" s="59"/>
      <c r="BY204" s="59"/>
      <c r="BZ204" s="59"/>
      <c r="CA204" s="59"/>
      <c r="CB204" s="59"/>
      <c r="CC204" s="59"/>
      <c r="CD204" s="59"/>
      <c r="CE204" s="59"/>
      <c r="CF204" s="59"/>
      <c r="CG204" s="59"/>
      <c r="CH204" s="59"/>
      <c r="CI204" s="59"/>
      <c r="CJ204" s="59"/>
      <c r="CK204" s="59"/>
      <c r="CL204" s="59"/>
      <c r="CM204" s="59"/>
      <c r="CN204" s="59"/>
      <c r="CO204" s="59"/>
      <c r="CP204" s="59"/>
      <c r="CQ204" s="59"/>
      <c r="CR204" s="59"/>
      <c r="CS204" s="59"/>
      <c r="CT204" s="59"/>
      <c r="CU204" s="59"/>
      <c r="CV204" s="59"/>
      <c r="CW204" s="59"/>
      <c r="CX204" s="59"/>
      <c r="CY204" s="59"/>
      <c r="CZ204" s="59"/>
      <c r="DA204" s="59"/>
      <c r="DB204" s="59"/>
      <c r="DC204" s="59"/>
      <c r="DD204" s="59"/>
      <c r="DE204" s="59"/>
      <c r="DF204" s="59"/>
      <c r="DG204" s="59"/>
    </row>
    <row r="205" spans="1:111" ht="11.2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59"/>
      <c r="AP205" s="59"/>
      <c r="AQ205" s="59"/>
      <c r="AR205" s="59"/>
      <c r="AS205" s="59"/>
      <c r="AT205" s="59"/>
      <c r="AU205" s="59"/>
      <c r="AV205" s="59"/>
      <c r="AW205" s="59"/>
      <c r="AX205" s="59"/>
      <c r="AY205" s="59"/>
      <c r="AZ205" s="59"/>
      <c r="BA205" s="59"/>
      <c r="BB205" s="59"/>
      <c r="BC205" s="59"/>
      <c r="BD205" s="59"/>
      <c r="BE205" s="59"/>
      <c r="BF205" s="59"/>
      <c r="BG205" s="59"/>
      <c r="BH205" s="59"/>
      <c r="BI205" s="59"/>
      <c r="BJ205" s="59"/>
      <c r="BK205" s="59"/>
      <c r="BL205" s="59"/>
      <c r="BM205" s="59"/>
      <c r="BN205" s="59"/>
      <c r="BO205" s="59"/>
      <c r="BP205" s="59"/>
      <c r="BQ205" s="59"/>
      <c r="BR205" s="59"/>
      <c r="BS205" s="59"/>
      <c r="BT205" s="59"/>
      <c r="BU205" s="59"/>
      <c r="BV205" s="59"/>
      <c r="BW205" s="59"/>
      <c r="BX205" s="59"/>
      <c r="BY205" s="59"/>
      <c r="BZ205" s="59"/>
      <c r="CA205" s="59"/>
      <c r="CB205" s="59"/>
      <c r="CC205" s="59"/>
      <c r="CD205" s="59"/>
      <c r="CE205" s="59"/>
      <c r="CF205" s="59"/>
      <c r="CG205" s="59"/>
      <c r="CH205" s="59"/>
      <c r="CI205" s="59"/>
      <c r="CJ205" s="59"/>
      <c r="CK205" s="59"/>
      <c r="CL205" s="59"/>
      <c r="CM205" s="59"/>
      <c r="CN205" s="59"/>
      <c r="CO205" s="59"/>
      <c r="CP205" s="59"/>
      <c r="CQ205" s="59"/>
      <c r="CR205" s="59"/>
      <c r="CS205" s="59"/>
      <c r="CT205" s="59"/>
      <c r="CU205" s="59"/>
      <c r="CV205" s="59"/>
      <c r="CW205" s="59"/>
      <c r="CX205" s="59"/>
      <c r="CY205" s="59"/>
      <c r="CZ205" s="59"/>
      <c r="DA205" s="59"/>
      <c r="DB205" s="59"/>
      <c r="DC205" s="59"/>
      <c r="DD205" s="59"/>
      <c r="DE205" s="59"/>
      <c r="DF205" s="59"/>
      <c r="DG205" s="59"/>
    </row>
    <row r="206" spans="1:111" ht="11.2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59"/>
      <c r="AQ206" s="59"/>
      <c r="AR206" s="59"/>
      <c r="AS206" s="59"/>
      <c r="AT206" s="59"/>
      <c r="AU206" s="59"/>
      <c r="AV206" s="59"/>
      <c r="AW206" s="59"/>
      <c r="AX206" s="59"/>
      <c r="AY206" s="59"/>
      <c r="AZ206" s="59"/>
      <c r="BA206" s="59"/>
      <c r="BB206" s="59"/>
      <c r="BC206" s="59"/>
      <c r="BD206" s="59"/>
      <c r="BE206" s="59"/>
      <c r="BF206" s="59"/>
      <c r="BG206" s="59"/>
      <c r="BH206" s="59"/>
      <c r="BI206" s="59"/>
      <c r="BJ206" s="59"/>
      <c r="BK206" s="59"/>
      <c r="BL206" s="59"/>
      <c r="BM206" s="59"/>
      <c r="BN206" s="59"/>
      <c r="BO206" s="59"/>
      <c r="BP206" s="59"/>
      <c r="BQ206" s="59"/>
      <c r="BR206" s="59"/>
      <c r="BS206" s="59"/>
      <c r="BT206" s="59"/>
      <c r="BU206" s="59"/>
      <c r="BV206" s="59"/>
      <c r="BW206" s="59"/>
      <c r="BX206" s="59"/>
      <c r="BY206" s="59"/>
      <c r="BZ206" s="59"/>
      <c r="CA206" s="59"/>
      <c r="CB206" s="59"/>
      <c r="CC206" s="59"/>
      <c r="CD206" s="59"/>
      <c r="CE206" s="59"/>
      <c r="CF206" s="59"/>
      <c r="CG206" s="59"/>
      <c r="CH206" s="59"/>
      <c r="CI206" s="59"/>
      <c r="CJ206" s="59"/>
      <c r="CK206" s="59"/>
      <c r="CL206" s="59"/>
      <c r="CM206" s="59"/>
      <c r="CN206" s="59"/>
      <c r="CO206" s="59"/>
      <c r="CP206" s="59"/>
      <c r="CQ206" s="59"/>
      <c r="CR206" s="59"/>
      <c r="CS206" s="59"/>
      <c r="CT206" s="59"/>
      <c r="CU206" s="59"/>
      <c r="CV206" s="59"/>
      <c r="CW206" s="59"/>
      <c r="CX206" s="59"/>
      <c r="CY206" s="59"/>
      <c r="CZ206" s="59"/>
      <c r="DA206" s="59"/>
      <c r="DB206" s="59"/>
      <c r="DC206" s="59"/>
      <c r="DD206" s="59"/>
      <c r="DE206" s="59"/>
      <c r="DF206" s="59"/>
      <c r="DG206" s="59"/>
    </row>
    <row r="207" spans="1:111" ht="11.2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59"/>
      <c r="AQ207" s="59"/>
      <c r="AR207" s="59"/>
      <c r="AS207" s="59"/>
      <c r="AT207" s="59"/>
      <c r="AU207" s="59"/>
      <c r="AV207" s="59"/>
      <c r="AW207" s="59"/>
      <c r="AX207" s="59"/>
      <c r="AY207" s="59"/>
      <c r="AZ207" s="59"/>
      <c r="BA207" s="59"/>
      <c r="BB207" s="59"/>
      <c r="BC207" s="59"/>
      <c r="BD207" s="59"/>
      <c r="BE207" s="59"/>
      <c r="BF207" s="59"/>
      <c r="BG207" s="59"/>
      <c r="BH207" s="59"/>
      <c r="BI207" s="59"/>
      <c r="BJ207" s="59"/>
      <c r="BK207" s="59"/>
      <c r="BL207" s="59"/>
      <c r="BM207" s="59"/>
      <c r="BN207" s="59"/>
      <c r="BO207" s="59"/>
      <c r="BP207" s="59"/>
      <c r="BQ207" s="59"/>
      <c r="BR207" s="59"/>
      <c r="BS207" s="59"/>
      <c r="BT207" s="59"/>
      <c r="BU207" s="59"/>
      <c r="BV207" s="59"/>
      <c r="BW207" s="59"/>
      <c r="BX207" s="59"/>
      <c r="BY207" s="59"/>
      <c r="BZ207" s="59"/>
      <c r="CA207" s="59"/>
      <c r="CB207" s="59"/>
      <c r="CC207" s="59"/>
      <c r="CD207" s="59"/>
      <c r="CE207" s="59"/>
      <c r="CF207" s="59"/>
      <c r="CG207" s="59"/>
      <c r="CH207" s="59"/>
      <c r="CI207" s="59"/>
      <c r="CJ207" s="59"/>
      <c r="CK207" s="59"/>
      <c r="CL207" s="59"/>
      <c r="CM207" s="59"/>
      <c r="CN207" s="59"/>
      <c r="CO207" s="59"/>
      <c r="CP207" s="59"/>
      <c r="CQ207" s="59"/>
      <c r="CR207" s="59"/>
      <c r="CS207" s="59"/>
      <c r="CT207" s="59"/>
      <c r="CU207" s="59"/>
      <c r="CV207" s="59"/>
      <c r="CW207" s="59"/>
      <c r="CX207" s="59"/>
      <c r="CY207" s="59"/>
      <c r="CZ207" s="59"/>
      <c r="DA207" s="59"/>
      <c r="DB207" s="59"/>
      <c r="DC207" s="59"/>
      <c r="DD207" s="59"/>
      <c r="DE207" s="59"/>
      <c r="DF207" s="59"/>
      <c r="DG207" s="59"/>
    </row>
    <row r="208" spans="1:111" ht="11.2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9"/>
      <c r="AW208" s="59"/>
      <c r="AX208" s="59"/>
      <c r="AY208" s="59"/>
      <c r="AZ208" s="59"/>
      <c r="BA208" s="59"/>
      <c r="BB208" s="59"/>
      <c r="BC208" s="59"/>
      <c r="BD208" s="59"/>
      <c r="BE208" s="59"/>
      <c r="BF208" s="59"/>
      <c r="BG208" s="59"/>
      <c r="BH208" s="59"/>
      <c r="BI208" s="59"/>
      <c r="BJ208" s="59"/>
      <c r="BK208" s="59"/>
      <c r="BL208" s="59"/>
      <c r="BM208" s="59"/>
      <c r="BN208" s="59"/>
      <c r="BO208" s="59"/>
      <c r="BP208" s="59"/>
      <c r="BQ208" s="59"/>
      <c r="BR208" s="59"/>
      <c r="BS208" s="59"/>
      <c r="BT208" s="59"/>
      <c r="BU208" s="59"/>
      <c r="BV208" s="59"/>
      <c r="BW208" s="59"/>
      <c r="BX208" s="59"/>
      <c r="BY208" s="59"/>
      <c r="BZ208" s="59"/>
      <c r="CA208" s="59"/>
      <c r="CB208" s="59"/>
      <c r="CC208" s="59"/>
      <c r="CD208" s="59"/>
      <c r="CE208" s="59"/>
      <c r="CF208" s="59"/>
      <c r="CG208" s="59"/>
      <c r="CH208" s="59"/>
      <c r="CI208" s="59"/>
      <c r="CJ208" s="59"/>
      <c r="CK208" s="59"/>
      <c r="CL208" s="59"/>
      <c r="CM208" s="59"/>
      <c r="CN208" s="59"/>
      <c r="CO208" s="59"/>
      <c r="CP208" s="59"/>
      <c r="CQ208" s="59"/>
      <c r="CR208" s="59"/>
      <c r="CS208" s="59"/>
      <c r="CT208" s="59"/>
      <c r="CU208" s="59"/>
      <c r="CV208" s="59"/>
      <c r="CW208" s="59"/>
      <c r="CX208" s="59"/>
      <c r="CY208" s="59"/>
      <c r="CZ208" s="59"/>
      <c r="DA208" s="59"/>
      <c r="DB208" s="59"/>
      <c r="DC208" s="59"/>
      <c r="DD208" s="59"/>
      <c r="DE208" s="59"/>
      <c r="DF208" s="59"/>
      <c r="DG208" s="59"/>
    </row>
    <row r="209" spans="1:111" ht="11.2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9"/>
      <c r="AW209" s="59"/>
      <c r="AX209" s="59"/>
      <c r="AY209" s="59"/>
      <c r="AZ209" s="59"/>
      <c r="BA209" s="59"/>
      <c r="BB209" s="59"/>
      <c r="BC209" s="59"/>
      <c r="BD209" s="59"/>
      <c r="BE209" s="59"/>
      <c r="BF209" s="59"/>
      <c r="BG209" s="59"/>
      <c r="BH209" s="59"/>
      <c r="BI209" s="59"/>
      <c r="BJ209" s="59"/>
      <c r="BK209" s="59"/>
      <c r="BL209" s="59"/>
      <c r="BM209" s="59"/>
      <c r="BN209" s="59"/>
      <c r="BO209" s="59"/>
      <c r="BP209" s="59"/>
      <c r="BQ209" s="59"/>
      <c r="BR209" s="59"/>
      <c r="BS209" s="59"/>
      <c r="BT209" s="59"/>
      <c r="BU209" s="59"/>
      <c r="BV209" s="59"/>
      <c r="BW209" s="59"/>
      <c r="BX209" s="59"/>
      <c r="BY209" s="59"/>
      <c r="BZ209" s="59"/>
      <c r="CA209" s="59"/>
      <c r="CB209" s="59"/>
      <c r="CC209" s="59"/>
      <c r="CD209" s="59"/>
      <c r="CE209" s="59"/>
      <c r="CF209" s="59"/>
      <c r="CG209" s="59"/>
      <c r="CH209" s="59"/>
      <c r="CI209" s="59"/>
      <c r="CJ209" s="59"/>
      <c r="CK209" s="59"/>
      <c r="CL209" s="59"/>
      <c r="CM209" s="59"/>
      <c r="CN209" s="59"/>
      <c r="CO209" s="59"/>
      <c r="CP209" s="59"/>
      <c r="CQ209" s="59"/>
      <c r="CR209" s="59"/>
      <c r="CS209" s="59"/>
      <c r="CT209" s="59"/>
      <c r="CU209" s="59"/>
      <c r="CV209" s="59"/>
      <c r="CW209" s="59"/>
      <c r="CX209" s="59"/>
      <c r="CY209" s="59"/>
      <c r="CZ209" s="59"/>
      <c r="DA209" s="59"/>
      <c r="DB209" s="59"/>
      <c r="DC209" s="59"/>
      <c r="DD209" s="59"/>
      <c r="DE209" s="59"/>
      <c r="DF209" s="59"/>
      <c r="DG209" s="59"/>
    </row>
    <row r="210" spans="1:111" ht="11.2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59"/>
      <c r="CE210" s="59"/>
      <c r="CF210" s="59"/>
      <c r="CG210" s="59"/>
      <c r="CH210" s="59"/>
      <c r="CI210" s="59"/>
      <c r="CJ210" s="59"/>
      <c r="CK210" s="59"/>
      <c r="CL210" s="59"/>
      <c r="CM210" s="59"/>
      <c r="CN210" s="59"/>
      <c r="CO210" s="59"/>
      <c r="CP210" s="59"/>
      <c r="CQ210" s="59"/>
      <c r="CR210" s="59"/>
      <c r="CS210" s="59"/>
      <c r="CT210" s="59"/>
      <c r="CU210" s="59"/>
      <c r="CV210" s="59"/>
      <c r="CW210" s="59"/>
      <c r="CX210" s="59"/>
      <c r="CY210" s="59"/>
      <c r="CZ210" s="59"/>
      <c r="DA210" s="59"/>
      <c r="DB210" s="59"/>
      <c r="DC210" s="59"/>
      <c r="DD210" s="59"/>
      <c r="DE210" s="59"/>
      <c r="DF210" s="59"/>
      <c r="DG210" s="59"/>
    </row>
    <row r="211" spans="1:111" ht="11.2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9"/>
      <c r="AW211" s="59"/>
      <c r="AX211" s="59"/>
      <c r="AY211" s="59"/>
      <c r="AZ211" s="59"/>
      <c r="BA211" s="59"/>
      <c r="BB211" s="59"/>
      <c r="BC211" s="59"/>
      <c r="BD211" s="59"/>
      <c r="BE211" s="59"/>
      <c r="BF211" s="59"/>
      <c r="BG211" s="59"/>
      <c r="BH211" s="59"/>
      <c r="BI211" s="59"/>
      <c r="BJ211" s="59"/>
      <c r="BK211" s="59"/>
      <c r="BL211" s="59"/>
      <c r="BM211" s="59"/>
      <c r="BN211" s="59"/>
      <c r="BO211" s="59"/>
      <c r="BP211" s="59"/>
      <c r="BQ211" s="59"/>
      <c r="BR211" s="59"/>
      <c r="BS211" s="59"/>
      <c r="BT211" s="59"/>
      <c r="BU211" s="59"/>
      <c r="BV211" s="59"/>
      <c r="BW211" s="59"/>
      <c r="BX211" s="59"/>
      <c r="BY211" s="59"/>
      <c r="BZ211" s="59"/>
      <c r="CA211" s="59"/>
      <c r="CB211" s="59"/>
      <c r="CC211" s="59"/>
      <c r="CD211" s="59"/>
      <c r="CE211" s="59"/>
      <c r="CF211" s="59"/>
      <c r="CG211" s="59"/>
      <c r="CH211" s="59"/>
      <c r="CI211" s="59"/>
      <c r="CJ211" s="59"/>
      <c r="CK211" s="59"/>
      <c r="CL211" s="59"/>
      <c r="CM211" s="59"/>
      <c r="CN211" s="59"/>
      <c r="CO211" s="59"/>
      <c r="CP211" s="59"/>
      <c r="CQ211" s="59"/>
      <c r="CR211" s="59"/>
      <c r="CS211" s="59"/>
      <c r="CT211" s="59"/>
      <c r="CU211" s="59"/>
      <c r="CV211" s="59"/>
      <c r="CW211" s="59"/>
      <c r="CX211" s="59"/>
      <c r="CY211" s="59"/>
      <c r="CZ211" s="59"/>
      <c r="DA211" s="59"/>
      <c r="DB211" s="59"/>
      <c r="DC211" s="59"/>
      <c r="DD211" s="59"/>
      <c r="DE211" s="59"/>
      <c r="DF211" s="59"/>
      <c r="DG211" s="59"/>
    </row>
    <row r="212" spans="1:111" ht="11.2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59"/>
      <c r="AQ212" s="59"/>
      <c r="AR212" s="59"/>
      <c r="AS212" s="59"/>
      <c r="AT212" s="59"/>
      <c r="AU212" s="59"/>
      <c r="AV212" s="59"/>
      <c r="AW212" s="59"/>
      <c r="AX212" s="59"/>
      <c r="AY212" s="59"/>
      <c r="AZ212" s="59"/>
      <c r="BA212" s="59"/>
      <c r="BB212" s="59"/>
      <c r="BC212" s="59"/>
      <c r="BD212" s="59"/>
      <c r="BE212" s="59"/>
      <c r="BF212" s="59"/>
      <c r="BG212" s="59"/>
      <c r="BH212" s="59"/>
      <c r="BI212" s="59"/>
      <c r="BJ212" s="59"/>
      <c r="BK212" s="59"/>
      <c r="BL212" s="59"/>
      <c r="BM212" s="59"/>
      <c r="BN212" s="59"/>
      <c r="BO212" s="59"/>
      <c r="BP212" s="59"/>
      <c r="BQ212" s="59"/>
      <c r="BR212" s="59"/>
      <c r="BS212" s="59"/>
      <c r="BT212" s="59"/>
      <c r="BU212" s="59"/>
      <c r="BV212" s="59"/>
      <c r="BW212" s="59"/>
      <c r="BX212" s="59"/>
      <c r="BY212" s="59"/>
      <c r="BZ212" s="59"/>
      <c r="CA212" s="59"/>
      <c r="CB212" s="59"/>
      <c r="CC212" s="59"/>
      <c r="CD212" s="59"/>
      <c r="CE212" s="59"/>
      <c r="CF212" s="59"/>
      <c r="CG212" s="59"/>
      <c r="CH212" s="59"/>
      <c r="CI212" s="59"/>
      <c r="CJ212" s="59"/>
      <c r="CK212" s="59"/>
      <c r="CL212" s="59"/>
      <c r="CM212" s="59"/>
      <c r="CN212" s="59"/>
      <c r="CO212" s="59"/>
      <c r="CP212" s="59"/>
      <c r="CQ212" s="59"/>
      <c r="CR212" s="59"/>
      <c r="CS212" s="59"/>
      <c r="CT212" s="59"/>
      <c r="CU212" s="59"/>
      <c r="CV212" s="59"/>
      <c r="CW212" s="59"/>
      <c r="CX212" s="59"/>
      <c r="CY212" s="59"/>
      <c r="CZ212" s="59"/>
      <c r="DA212" s="59"/>
      <c r="DB212" s="59"/>
      <c r="DC212" s="59"/>
      <c r="DD212" s="59"/>
      <c r="DE212" s="59"/>
      <c r="DF212" s="59"/>
      <c r="DG212" s="59"/>
    </row>
    <row r="213" spans="1:111" ht="11.2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  <c r="AT213" s="59"/>
      <c r="AU213" s="59"/>
      <c r="AV213" s="59"/>
      <c r="AW213" s="59"/>
      <c r="AX213" s="59"/>
      <c r="AY213" s="59"/>
      <c r="AZ213" s="59"/>
      <c r="BA213" s="59"/>
      <c r="BB213" s="59"/>
      <c r="BC213" s="59"/>
      <c r="BD213" s="59"/>
      <c r="BE213" s="59"/>
      <c r="BF213" s="59"/>
      <c r="BG213" s="59"/>
      <c r="BH213" s="59"/>
      <c r="BI213" s="59"/>
      <c r="BJ213" s="59"/>
      <c r="BK213" s="59"/>
      <c r="BL213" s="59"/>
      <c r="BM213" s="59"/>
      <c r="BN213" s="59"/>
      <c r="BO213" s="59"/>
      <c r="BP213" s="59"/>
      <c r="BQ213" s="59"/>
      <c r="BR213" s="59"/>
      <c r="BS213" s="59"/>
      <c r="BT213" s="59"/>
      <c r="BU213" s="59"/>
      <c r="BV213" s="59"/>
      <c r="BW213" s="59"/>
      <c r="BX213" s="59"/>
      <c r="BY213" s="59"/>
      <c r="BZ213" s="59"/>
      <c r="CA213" s="59"/>
      <c r="CB213" s="59"/>
      <c r="CC213" s="59"/>
      <c r="CD213" s="59"/>
      <c r="CE213" s="59"/>
      <c r="CF213" s="59"/>
      <c r="CG213" s="59"/>
      <c r="CH213" s="59"/>
      <c r="CI213" s="59"/>
      <c r="CJ213" s="59"/>
      <c r="CK213" s="59"/>
      <c r="CL213" s="59"/>
      <c r="CM213" s="59"/>
      <c r="CN213" s="59"/>
      <c r="CO213" s="59"/>
      <c r="CP213" s="59"/>
      <c r="CQ213" s="59"/>
      <c r="CR213" s="59"/>
      <c r="CS213" s="59"/>
      <c r="CT213" s="59"/>
      <c r="CU213" s="59"/>
      <c r="CV213" s="59"/>
      <c r="CW213" s="59"/>
      <c r="CX213" s="59"/>
      <c r="CY213" s="59"/>
      <c r="CZ213" s="59"/>
      <c r="DA213" s="59"/>
      <c r="DB213" s="59"/>
      <c r="DC213" s="59"/>
      <c r="DD213" s="59"/>
      <c r="DE213" s="59"/>
      <c r="DF213" s="59"/>
      <c r="DG213" s="59"/>
    </row>
    <row r="214" spans="1:111" ht="11.2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  <c r="AR214" s="59"/>
      <c r="AS214" s="59"/>
      <c r="AT214" s="59"/>
      <c r="AU214" s="59"/>
      <c r="AV214" s="59"/>
      <c r="AW214" s="59"/>
      <c r="AX214" s="59"/>
      <c r="AY214" s="59"/>
      <c r="AZ214" s="59"/>
      <c r="BA214" s="59"/>
      <c r="BB214" s="59"/>
      <c r="BC214" s="59"/>
      <c r="BD214" s="59"/>
      <c r="BE214" s="59"/>
      <c r="BF214" s="59"/>
      <c r="BG214" s="59"/>
      <c r="BH214" s="59"/>
      <c r="BI214" s="59"/>
      <c r="BJ214" s="59"/>
      <c r="BK214" s="59"/>
      <c r="BL214" s="59"/>
      <c r="BM214" s="59"/>
      <c r="BN214" s="59"/>
      <c r="BO214" s="59"/>
      <c r="BP214" s="59"/>
      <c r="BQ214" s="59"/>
      <c r="BR214" s="59"/>
      <c r="BS214" s="59"/>
      <c r="BT214" s="59"/>
      <c r="BU214" s="59"/>
      <c r="BV214" s="59"/>
      <c r="BW214" s="59"/>
      <c r="BX214" s="59"/>
      <c r="BY214" s="59"/>
      <c r="BZ214" s="59"/>
      <c r="CA214" s="59"/>
      <c r="CB214" s="59"/>
      <c r="CC214" s="59"/>
      <c r="CD214" s="59"/>
      <c r="CE214" s="59"/>
      <c r="CF214" s="59"/>
      <c r="CG214" s="59"/>
      <c r="CH214" s="59"/>
      <c r="CI214" s="59"/>
      <c r="CJ214" s="59"/>
      <c r="CK214" s="59"/>
      <c r="CL214" s="59"/>
      <c r="CM214" s="59"/>
      <c r="CN214" s="59"/>
      <c r="CO214" s="59"/>
      <c r="CP214" s="59"/>
      <c r="CQ214" s="59"/>
      <c r="CR214" s="59"/>
      <c r="CS214" s="59"/>
      <c r="CT214" s="59"/>
      <c r="CU214" s="59"/>
      <c r="CV214" s="59"/>
      <c r="CW214" s="59"/>
      <c r="CX214" s="59"/>
      <c r="CY214" s="59"/>
      <c r="CZ214" s="59"/>
      <c r="DA214" s="59"/>
      <c r="DB214" s="59"/>
      <c r="DC214" s="59"/>
      <c r="DD214" s="59"/>
      <c r="DE214" s="59"/>
      <c r="DF214" s="59"/>
      <c r="DG214" s="59"/>
    </row>
    <row r="215" spans="1:111" ht="11.2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  <c r="AO215" s="59"/>
      <c r="AP215" s="59"/>
      <c r="AQ215" s="59"/>
      <c r="AR215" s="59"/>
      <c r="AS215" s="59"/>
      <c r="AT215" s="59"/>
      <c r="AU215" s="59"/>
      <c r="AV215" s="59"/>
      <c r="AW215" s="59"/>
      <c r="AX215" s="59"/>
      <c r="AY215" s="59"/>
      <c r="AZ215" s="59"/>
      <c r="BA215" s="59"/>
      <c r="BB215" s="59"/>
      <c r="BC215" s="59"/>
      <c r="BD215" s="59"/>
      <c r="BE215" s="59"/>
      <c r="BF215" s="59"/>
      <c r="BG215" s="59"/>
      <c r="BH215" s="59"/>
      <c r="BI215" s="59"/>
      <c r="BJ215" s="59"/>
      <c r="BK215" s="59"/>
      <c r="BL215" s="59"/>
      <c r="BM215" s="59"/>
      <c r="BN215" s="59"/>
      <c r="BO215" s="59"/>
      <c r="BP215" s="59"/>
      <c r="BQ215" s="59"/>
      <c r="BR215" s="59"/>
      <c r="BS215" s="59"/>
      <c r="BT215" s="59"/>
      <c r="BU215" s="59"/>
      <c r="BV215" s="59"/>
      <c r="BW215" s="59"/>
      <c r="BX215" s="59"/>
      <c r="BY215" s="59"/>
      <c r="BZ215" s="59"/>
      <c r="CA215" s="59"/>
      <c r="CB215" s="59"/>
      <c r="CC215" s="59"/>
      <c r="CD215" s="59"/>
      <c r="CE215" s="59"/>
      <c r="CF215" s="59"/>
      <c r="CG215" s="59"/>
      <c r="CH215" s="59"/>
      <c r="CI215" s="59"/>
      <c r="CJ215" s="59"/>
      <c r="CK215" s="59"/>
      <c r="CL215" s="59"/>
      <c r="CM215" s="59"/>
      <c r="CN215" s="59"/>
      <c r="CO215" s="59"/>
      <c r="CP215" s="59"/>
      <c r="CQ215" s="59"/>
      <c r="CR215" s="59"/>
      <c r="CS215" s="59"/>
      <c r="CT215" s="59"/>
      <c r="CU215" s="59"/>
      <c r="CV215" s="59"/>
      <c r="CW215" s="59"/>
      <c r="CX215" s="59"/>
      <c r="CY215" s="59"/>
      <c r="CZ215" s="59"/>
      <c r="DA215" s="59"/>
      <c r="DB215" s="59"/>
      <c r="DC215" s="59"/>
      <c r="DD215" s="59"/>
      <c r="DE215" s="59"/>
      <c r="DF215" s="59"/>
      <c r="DG215" s="59"/>
    </row>
    <row r="216" spans="1:111" ht="11.2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59"/>
      <c r="AQ216" s="59"/>
      <c r="AR216" s="59"/>
      <c r="AS216" s="59"/>
      <c r="AT216" s="59"/>
      <c r="AU216" s="59"/>
      <c r="AV216" s="59"/>
      <c r="AW216" s="59"/>
      <c r="AX216" s="59"/>
      <c r="AY216" s="59"/>
      <c r="AZ216" s="59"/>
      <c r="BA216" s="59"/>
      <c r="BB216" s="59"/>
      <c r="BC216" s="59"/>
      <c r="BD216" s="59"/>
      <c r="BE216" s="59"/>
      <c r="BF216" s="59"/>
      <c r="BG216" s="59"/>
      <c r="BH216" s="59"/>
      <c r="BI216" s="59"/>
      <c r="BJ216" s="59"/>
      <c r="BK216" s="59"/>
      <c r="BL216" s="59"/>
      <c r="BM216" s="59"/>
      <c r="BN216" s="59"/>
      <c r="BO216" s="59"/>
      <c r="BP216" s="59"/>
      <c r="BQ216" s="59"/>
      <c r="BR216" s="59"/>
      <c r="BS216" s="59"/>
      <c r="BT216" s="59"/>
      <c r="BU216" s="59"/>
      <c r="BV216" s="59"/>
      <c r="BW216" s="59"/>
      <c r="BX216" s="59"/>
      <c r="BY216" s="59"/>
      <c r="BZ216" s="59"/>
      <c r="CA216" s="59"/>
      <c r="CB216" s="59"/>
      <c r="CC216" s="59"/>
      <c r="CD216" s="59"/>
      <c r="CE216" s="59"/>
      <c r="CF216" s="59"/>
      <c r="CG216" s="59"/>
      <c r="CH216" s="59"/>
      <c r="CI216" s="59"/>
      <c r="CJ216" s="59"/>
      <c r="CK216" s="59"/>
      <c r="CL216" s="59"/>
      <c r="CM216" s="59"/>
      <c r="CN216" s="59"/>
      <c r="CO216" s="59"/>
      <c r="CP216" s="59"/>
      <c r="CQ216" s="59"/>
      <c r="CR216" s="59"/>
      <c r="CS216" s="59"/>
      <c r="CT216" s="59"/>
      <c r="CU216" s="59"/>
      <c r="CV216" s="59"/>
      <c r="CW216" s="59"/>
      <c r="CX216" s="59"/>
      <c r="CY216" s="59"/>
      <c r="CZ216" s="59"/>
      <c r="DA216" s="59"/>
      <c r="DB216" s="59"/>
      <c r="DC216" s="59"/>
      <c r="DD216" s="59"/>
      <c r="DE216" s="59"/>
      <c r="DF216" s="59"/>
      <c r="DG216" s="59"/>
    </row>
    <row r="217" spans="1:111" ht="11.2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59"/>
      <c r="AQ217" s="59"/>
      <c r="AR217" s="59"/>
      <c r="AS217" s="59"/>
      <c r="AT217" s="59"/>
      <c r="AU217" s="59"/>
      <c r="AV217" s="59"/>
      <c r="AW217" s="59"/>
      <c r="AX217" s="59"/>
      <c r="AY217" s="59"/>
      <c r="AZ217" s="59"/>
      <c r="BA217" s="59"/>
      <c r="BB217" s="59"/>
      <c r="BC217" s="59"/>
      <c r="BD217" s="59"/>
      <c r="BE217" s="59"/>
      <c r="BF217" s="59"/>
      <c r="BG217" s="59"/>
      <c r="BH217" s="59"/>
      <c r="BI217" s="59"/>
      <c r="BJ217" s="59"/>
      <c r="BK217" s="59"/>
      <c r="BL217" s="59"/>
      <c r="BM217" s="59"/>
      <c r="BN217" s="59"/>
      <c r="BO217" s="59"/>
      <c r="BP217" s="59"/>
      <c r="BQ217" s="59"/>
      <c r="BR217" s="59"/>
      <c r="BS217" s="59"/>
      <c r="BT217" s="59"/>
      <c r="BU217" s="59"/>
      <c r="BV217" s="59"/>
      <c r="BW217" s="59"/>
      <c r="BX217" s="59"/>
      <c r="BY217" s="59"/>
      <c r="BZ217" s="59"/>
      <c r="CA217" s="59"/>
      <c r="CB217" s="59"/>
      <c r="CC217" s="59"/>
      <c r="CD217" s="59"/>
      <c r="CE217" s="59"/>
      <c r="CF217" s="59"/>
      <c r="CG217" s="59"/>
      <c r="CH217" s="59"/>
      <c r="CI217" s="59"/>
      <c r="CJ217" s="59"/>
      <c r="CK217" s="59"/>
      <c r="CL217" s="59"/>
      <c r="CM217" s="59"/>
      <c r="CN217" s="59"/>
      <c r="CO217" s="59"/>
      <c r="CP217" s="59"/>
      <c r="CQ217" s="59"/>
      <c r="CR217" s="59"/>
      <c r="CS217" s="59"/>
      <c r="CT217" s="59"/>
      <c r="CU217" s="59"/>
      <c r="CV217" s="59"/>
      <c r="CW217" s="59"/>
      <c r="CX217" s="59"/>
      <c r="CY217" s="59"/>
      <c r="CZ217" s="59"/>
      <c r="DA217" s="59"/>
      <c r="DB217" s="59"/>
      <c r="DC217" s="59"/>
      <c r="DD217" s="59"/>
      <c r="DE217" s="59"/>
      <c r="DF217" s="59"/>
      <c r="DG217" s="59"/>
    </row>
    <row r="218" spans="1:111" ht="11.2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59"/>
      <c r="AQ218" s="59"/>
      <c r="AR218" s="59"/>
      <c r="AS218" s="59"/>
      <c r="AT218" s="59"/>
      <c r="AU218" s="59"/>
      <c r="AV218" s="59"/>
      <c r="AW218" s="59"/>
      <c r="AX218" s="59"/>
      <c r="AY218" s="59"/>
      <c r="AZ218" s="59"/>
      <c r="BA218" s="59"/>
      <c r="BB218" s="59"/>
      <c r="BC218" s="59"/>
      <c r="BD218" s="59"/>
      <c r="BE218" s="59"/>
      <c r="BF218" s="59"/>
      <c r="BG218" s="59"/>
      <c r="BH218" s="59"/>
      <c r="BI218" s="59"/>
      <c r="BJ218" s="59"/>
      <c r="BK218" s="59"/>
      <c r="BL218" s="59"/>
      <c r="BM218" s="59"/>
      <c r="BN218" s="59"/>
      <c r="BO218" s="59"/>
      <c r="BP218" s="59"/>
      <c r="BQ218" s="59"/>
      <c r="BR218" s="59"/>
      <c r="BS218" s="59"/>
      <c r="BT218" s="59"/>
      <c r="BU218" s="59"/>
      <c r="BV218" s="59"/>
      <c r="BW218" s="59"/>
      <c r="BX218" s="59"/>
      <c r="BY218" s="59"/>
      <c r="BZ218" s="59"/>
      <c r="CA218" s="59"/>
      <c r="CB218" s="59"/>
      <c r="CC218" s="59"/>
      <c r="CD218" s="59"/>
      <c r="CE218" s="59"/>
      <c r="CF218" s="59"/>
      <c r="CG218" s="59"/>
      <c r="CH218" s="59"/>
      <c r="CI218" s="59"/>
      <c r="CJ218" s="59"/>
      <c r="CK218" s="59"/>
      <c r="CL218" s="59"/>
      <c r="CM218" s="59"/>
      <c r="CN218" s="59"/>
      <c r="CO218" s="59"/>
      <c r="CP218" s="59"/>
      <c r="CQ218" s="59"/>
      <c r="CR218" s="59"/>
      <c r="CS218" s="59"/>
      <c r="CT218" s="59"/>
      <c r="CU218" s="59"/>
      <c r="CV218" s="59"/>
      <c r="CW218" s="59"/>
      <c r="CX218" s="59"/>
      <c r="CY218" s="59"/>
      <c r="CZ218" s="59"/>
      <c r="DA218" s="59"/>
      <c r="DB218" s="59"/>
      <c r="DC218" s="59"/>
      <c r="DD218" s="59"/>
      <c r="DE218" s="59"/>
      <c r="DF218" s="59"/>
      <c r="DG218" s="59"/>
    </row>
    <row r="219" spans="1:111" ht="11.2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9"/>
      <c r="AQ219" s="59"/>
      <c r="AR219" s="59"/>
      <c r="AS219" s="59"/>
      <c r="AT219" s="59"/>
      <c r="AU219" s="59"/>
      <c r="AV219" s="59"/>
      <c r="AW219" s="59"/>
      <c r="AX219" s="59"/>
      <c r="AY219" s="59"/>
      <c r="AZ219" s="59"/>
      <c r="BA219" s="59"/>
      <c r="BB219" s="59"/>
      <c r="BC219" s="59"/>
      <c r="BD219" s="59"/>
      <c r="BE219" s="59"/>
      <c r="BF219" s="59"/>
      <c r="BG219" s="59"/>
      <c r="BH219" s="59"/>
      <c r="BI219" s="59"/>
      <c r="BJ219" s="59"/>
      <c r="BK219" s="59"/>
      <c r="BL219" s="59"/>
      <c r="BM219" s="59"/>
      <c r="BN219" s="59"/>
      <c r="BO219" s="59"/>
      <c r="BP219" s="59"/>
      <c r="BQ219" s="59"/>
      <c r="BR219" s="59"/>
      <c r="BS219" s="59"/>
      <c r="BT219" s="59"/>
      <c r="BU219" s="59"/>
      <c r="BV219" s="59"/>
      <c r="BW219" s="59"/>
      <c r="BX219" s="59"/>
      <c r="BY219" s="59"/>
      <c r="BZ219" s="59"/>
      <c r="CA219" s="59"/>
      <c r="CB219" s="59"/>
      <c r="CC219" s="59"/>
      <c r="CD219" s="59"/>
      <c r="CE219" s="59"/>
      <c r="CF219" s="59"/>
      <c r="CG219" s="59"/>
      <c r="CH219" s="59"/>
      <c r="CI219" s="59"/>
      <c r="CJ219" s="59"/>
      <c r="CK219" s="59"/>
      <c r="CL219" s="59"/>
      <c r="CM219" s="59"/>
      <c r="CN219" s="59"/>
      <c r="CO219" s="59"/>
      <c r="CP219" s="59"/>
      <c r="CQ219" s="59"/>
      <c r="CR219" s="59"/>
      <c r="CS219" s="59"/>
      <c r="CT219" s="59"/>
      <c r="CU219" s="59"/>
      <c r="CV219" s="59"/>
      <c r="CW219" s="59"/>
      <c r="CX219" s="59"/>
      <c r="CY219" s="59"/>
      <c r="CZ219" s="59"/>
      <c r="DA219" s="59"/>
      <c r="DB219" s="59"/>
      <c r="DC219" s="59"/>
      <c r="DD219" s="59"/>
      <c r="DE219" s="59"/>
      <c r="DF219" s="59"/>
      <c r="DG219" s="59"/>
    </row>
    <row r="220" spans="1:111" ht="11.2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9"/>
      <c r="AQ220" s="59"/>
      <c r="AR220" s="59"/>
      <c r="AS220" s="59"/>
      <c r="AT220" s="59"/>
      <c r="AU220" s="59"/>
      <c r="AV220" s="59"/>
      <c r="AW220" s="59"/>
      <c r="AX220" s="59"/>
      <c r="AY220" s="59"/>
      <c r="AZ220" s="59"/>
      <c r="BA220" s="59"/>
      <c r="BB220" s="59"/>
      <c r="BC220" s="59"/>
      <c r="BD220" s="59"/>
      <c r="BE220" s="59"/>
      <c r="BF220" s="59"/>
      <c r="BG220" s="59"/>
      <c r="BH220" s="59"/>
      <c r="BI220" s="59"/>
      <c r="BJ220" s="59"/>
      <c r="BK220" s="59"/>
      <c r="BL220" s="59"/>
      <c r="BM220" s="59"/>
      <c r="BN220" s="59"/>
      <c r="BO220" s="59"/>
      <c r="BP220" s="59"/>
      <c r="BQ220" s="59"/>
      <c r="BR220" s="59"/>
      <c r="BS220" s="59"/>
      <c r="BT220" s="59"/>
      <c r="BU220" s="59"/>
      <c r="BV220" s="59"/>
      <c r="BW220" s="59"/>
      <c r="BX220" s="59"/>
      <c r="BY220" s="59"/>
      <c r="BZ220" s="59"/>
      <c r="CA220" s="59"/>
      <c r="CB220" s="59"/>
      <c r="CC220" s="59"/>
      <c r="CD220" s="59"/>
      <c r="CE220" s="59"/>
      <c r="CF220" s="59"/>
      <c r="CG220" s="59"/>
      <c r="CH220" s="59"/>
      <c r="CI220" s="59"/>
      <c r="CJ220" s="59"/>
      <c r="CK220" s="59"/>
      <c r="CL220" s="59"/>
      <c r="CM220" s="59"/>
      <c r="CN220" s="59"/>
      <c r="CO220" s="59"/>
      <c r="CP220" s="59"/>
      <c r="CQ220" s="59"/>
      <c r="CR220" s="59"/>
      <c r="CS220" s="59"/>
      <c r="CT220" s="59"/>
      <c r="CU220" s="59"/>
      <c r="CV220" s="59"/>
      <c r="CW220" s="59"/>
      <c r="CX220" s="59"/>
      <c r="CY220" s="59"/>
      <c r="CZ220" s="59"/>
      <c r="DA220" s="59"/>
      <c r="DB220" s="59"/>
      <c r="DC220" s="59"/>
      <c r="DD220" s="59"/>
      <c r="DE220" s="59"/>
      <c r="DF220" s="59"/>
      <c r="DG220" s="59"/>
    </row>
    <row r="221" spans="1:111" ht="11.2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  <c r="AR221" s="59"/>
      <c r="AS221" s="59"/>
      <c r="AT221" s="59"/>
      <c r="AU221" s="59"/>
      <c r="AV221" s="59"/>
      <c r="AW221" s="59"/>
      <c r="AX221" s="59"/>
      <c r="AY221" s="59"/>
      <c r="AZ221" s="59"/>
      <c r="BA221" s="59"/>
      <c r="BB221" s="59"/>
      <c r="BC221" s="59"/>
      <c r="BD221" s="59"/>
      <c r="BE221" s="59"/>
      <c r="BF221" s="59"/>
      <c r="BG221" s="59"/>
      <c r="BH221" s="59"/>
      <c r="BI221" s="59"/>
      <c r="BJ221" s="59"/>
      <c r="BK221" s="59"/>
      <c r="BL221" s="59"/>
      <c r="BM221" s="59"/>
      <c r="BN221" s="59"/>
      <c r="BO221" s="59"/>
      <c r="BP221" s="59"/>
      <c r="BQ221" s="59"/>
      <c r="BR221" s="59"/>
      <c r="BS221" s="59"/>
      <c r="BT221" s="59"/>
      <c r="BU221" s="59"/>
      <c r="BV221" s="59"/>
      <c r="BW221" s="59"/>
      <c r="BX221" s="59"/>
      <c r="BY221" s="59"/>
      <c r="BZ221" s="59"/>
      <c r="CA221" s="59"/>
      <c r="CB221" s="59"/>
      <c r="CC221" s="59"/>
      <c r="CD221" s="59"/>
      <c r="CE221" s="59"/>
      <c r="CF221" s="59"/>
      <c r="CG221" s="59"/>
      <c r="CH221" s="59"/>
      <c r="CI221" s="59"/>
      <c r="CJ221" s="59"/>
      <c r="CK221" s="59"/>
      <c r="CL221" s="59"/>
      <c r="CM221" s="59"/>
      <c r="CN221" s="59"/>
      <c r="CO221" s="59"/>
      <c r="CP221" s="59"/>
      <c r="CQ221" s="59"/>
      <c r="CR221" s="59"/>
      <c r="CS221" s="59"/>
      <c r="CT221" s="59"/>
      <c r="CU221" s="59"/>
      <c r="CV221" s="59"/>
      <c r="CW221" s="59"/>
      <c r="CX221" s="59"/>
      <c r="CY221" s="59"/>
      <c r="CZ221" s="59"/>
      <c r="DA221" s="59"/>
      <c r="DB221" s="59"/>
      <c r="DC221" s="59"/>
      <c r="DD221" s="59"/>
      <c r="DE221" s="59"/>
      <c r="DF221" s="59"/>
      <c r="DG221" s="59"/>
    </row>
    <row r="222" spans="1:111" ht="11.2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9"/>
      <c r="AQ222" s="59"/>
      <c r="AR222" s="59"/>
      <c r="AS222" s="59"/>
      <c r="AT222" s="59"/>
      <c r="AU222" s="59"/>
      <c r="AV222" s="59"/>
      <c r="AW222" s="59"/>
      <c r="AX222" s="59"/>
      <c r="AY222" s="59"/>
      <c r="AZ222" s="59"/>
      <c r="BA222" s="59"/>
      <c r="BB222" s="59"/>
      <c r="BC222" s="59"/>
      <c r="BD222" s="59"/>
      <c r="BE222" s="59"/>
      <c r="BF222" s="59"/>
      <c r="BG222" s="59"/>
      <c r="BH222" s="59"/>
      <c r="BI222" s="59"/>
      <c r="BJ222" s="59"/>
      <c r="BK222" s="59"/>
      <c r="BL222" s="59"/>
      <c r="BM222" s="59"/>
      <c r="BN222" s="59"/>
      <c r="BO222" s="59"/>
      <c r="BP222" s="59"/>
      <c r="BQ222" s="59"/>
      <c r="BR222" s="59"/>
      <c r="BS222" s="59"/>
      <c r="BT222" s="59"/>
      <c r="BU222" s="59"/>
      <c r="BV222" s="59"/>
      <c r="BW222" s="59"/>
      <c r="BX222" s="59"/>
      <c r="BY222" s="59"/>
      <c r="BZ222" s="59"/>
      <c r="CA222" s="59"/>
      <c r="CB222" s="59"/>
      <c r="CC222" s="59"/>
      <c r="CD222" s="59"/>
      <c r="CE222" s="59"/>
      <c r="CF222" s="59"/>
      <c r="CG222" s="59"/>
      <c r="CH222" s="59"/>
      <c r="CI222" s="59"/>
      <c r="CJ222" s="59"/>
      <c r="CK222" s="59"/>
      <c r="CL222" s="59"/>
      <c r="CM222" s="59"/>
      <c r="CN222" s="59"/>
      <c r="CO222" s="59"/>
      <c r="CP222" s="59"/>
      <c r="CQ222" s="59"/>
      <c r="CR222" s="59"/>
      <c r="CS222" s="59"/>
      <c r="CT222" s="59"/>
      <c r="CU222" s="59"/>
      <c r="CV222" s="59"/>
      <c r="CW222" s="59"/>
      <c r="CX222" s="59"/>
      <c r="CY222" s="59"/>
      <c r="CZ222" s="59"/>
      <c r="DA222" s="59"/>
      <c r="DB222" s="59"/>
      <c r="DC222" s="59"/>
      <c r="DD222" s="59"/>
      <c r="DE222" s="59"/>
      <c r="DF222" s="59"/>
      <c r="DG222" s="59"/>
    </row>
    <row r="223" spans="1:111" ht="11.2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9"/>
      <c r="AO223" s="59"/>
      <c r="AP223" s="59"/>
      <c r="AQ223" s="59"/>
      <c r="AR223" s="59"/>
      <c r="AS223" s="59"/>
      <c r="AT223" s="59"/>
      <c r="AU223" s="59"/>
      <c r="AV223" s="59"/>
      <c r="AW223" s="59"/>
      <c r="AX223" s="59"/>
      <c r="AY223" s="59"/>
      <c r="AZ223" s="59"/>
      <c r="BA223" s="59"/>
      <c r="BB223" s="59"/>
      <c r="BC223" s="59"/>
      <c r="BD223" s="59"/>
      <c r="BE223" s="59"/>
      <c r="BF223" s="59"/>
      <c r="BG223" s="59"/>
      <c r="BH223" s="59"/>
      <c r="BI223" s="59"/>
      <c r="BJ223" s="59"/>
      <c r="BK223" s="59"/>
      <c r="BL223" s="59"/>
      <c r="BM223" s="59"/>
      <c r="BN223" s="59"/>
      <c r="BO223" s="59"/>
      <c r="BP223" s="59"/>
      <c r="BQ223" s="59"/>
      <c r="BR223" s="59"/>
      <c r="BS223" s="59"/>
      <c r="BT223" s="59"/>
      <c r="BU223" s="59"/>
      <c r="BV223" s="59"/>
      <c r="BW223" s="59"/>
      <c r="BX223" s="59"/>
      <c r="BY223" s="59"/>
      <c r="BZ223" s="59"/>
      <c r="CA223" s="59"/>
      <c r="CB223" s="59"/>
      <c r="CC223" s="59"/>
      <c r="CD223" s="59"/>
      <c r="CE223" s="59"/>
      <c r="CF223" s="59"/>
      <c r="CG223" s="59"/>
      <c r="CH223" s="59"/>
      <c r="CI223" s="59"/>
      <c r="CJ223" s="59"/>
      <c r="CK223" s="59"/>
      <c r="CL223" s="59"/>
      <c r="CM223" s="59"/>
      <c r="CN223" s="59"/>
      <c r="CO223" s="59"/>
      <c r="CP223" s="59"/>
      <c r="CQ223" s="59"/>
      <c r="CR223" s="59"/>
      <c r="CS223" s="59"/>
      <c r="CT223" s="59"/>
      <c r="CU223" s="59"/>
      <c r="CV223" s="59"/>
      <c r="CW223" s="59"/>
      <c r="CX223" s="59"/>
      <c r="CY223" s="59"/>
      <c r="CZ223" s="59"/>
      <c r="DA223" s="59"/>
      <c r="DB223" s="59"/>
      <c r="DC223" s="59"/>
      <c r="DD223" s="59"/>
      <c r="DE223" s="59"/>
      <c r="DF223" s="59"/>
      <c r="DG223" s="59"/>
    </row>
    <row r="224" spans="1:111" ht="11.2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9"/>
      <c r="AO224" s="59"/>
      <c r="AP224" s="59"/>
      <c r="AQ224" s="59"/>
      <c r="AR224" s="59"/>
      <c r="AS224" s="59"/>
      <c r="AT224" s="59"/>
      <c r="AU224" s="59"/>
      <c r="AV224" s="59"/>
      <c r="AW224" s="59"/>
      <c r="AX224" s="59"/>
      <c r="AY224" s="59"/>
      <c r="AZ224" s="59"/>
      <c r="BA224" s="59"/>
      <c r="BB224" s="59"/>
      <c r="BC224" s="59"/>
      <c r="BD224" s="59"/>
      <c r="BE224" s="59"/>
      <c r="BF224" s="59"/>
      <c r="BG224" s="59"/>
      <c r="BH224" s="59"/>
      <c r="BI224" s="59"/>
      <c r="BJ224" s="59"/>
      <c r="BK224" s="59"/>
      <c r="BL224" s="59"/>
      <c r="BM224" s="59"/>
      <c r="BN224" s="59"/>
      <c r="BO224" s="59"/>
      <c r="BP224" s="59"/>
      <c r="BQ224" s="59"/>
      <c r="BR224" s="59"/>
      <c r="BS224" s="59"/>
      <c r="BT224" s="59"/>
      <c r="BU224" s="59"/>
      <c r="BV224" s="59"/>
      <c r="BW224" s="59"/>
      <c r="BX224" s="59"/>
      <c r="BY224" s="59"/>
      <c r="BZ224" s="59"/>
      <c r="CA224" s="59"/>
      <c r="CB224" s="59"/>
      <c r="CC224" s="59"/>
      <c r="CD224" s="59"/>
      <c r="CE224" s="59"/>
      <c r="CF224" s="59"/>
      <c r="CG224" s="59"/>
      <c r="CH224" s="59"/>
      <c r="CI224" s="59"/>
      <c r="CJ224" s="59"/>
      <c r="CK224" s="59"/>
      <c r="CL224" s="59"/>
      <c r="CM224" s="59"/>
      <c r="CN224" s="59"/>
      <c r="CO224" s="59"/>
      <c r="CP224" s="59"/>
      <c r="CQ224" s="59"/>
      <c r="CR224" s="59"/>
      <c r="CS224" s="59"/>
      <c r="CT224" s="59"/>
      <c r="CU224" s="59"/>
      <c r="CV224" s="59"/>
      <c r="CW224" s="59"/>
      <c r="CX224" s="59"/>
      <c r="CY224" s="59"/>
      <c r="CZ224" s="59"/>
      <c r="DA224" s="59"/>
      <c r="DB224" s="59"/>
      <c r="DC224" s="59"/>
      <c r="DD224" s="59"/>
      <c r="DE224" s="59"/>
      <c r="DF224" s="59"/>
      <c r="DG224" s="59"/>
    </row>
    <row r="225" spans="1:111" ht="11.2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9"/>
      <c r="AO225" s="59"/>
      <c r="AP225" s="59"/>
      <c r="AQ225" s="59"/>
      <c r="AR225" s="59"/>
      <c r="AS225" s="59"/>
      <c r="AT225" s="59"/>
      <c r="AU225" s="59"/>
      <c r="AV225" s="59"/>
      <c r="AW225" s="59"/>
      <c r="AX225" s="59"/>
      <c r="AY225" s="59"/>
      <c r="AZ225" s="59"/>
      <c r="BA225" s="59"/>
      <c r="BB225" s="59"/>
      <c r="BC225" s="59"/>
      <c r="BD225" s="59"/>
      <c r="BE225" s="59"/>
      <c r="BF225" s="59"/>
      <c r="BG225" s="59"/>
      <c r="BH225" s="59"/>
      <c r="BI225" s="59"/>
      <c r="BJ225" s="59"/>
      <c r="BK225" s="59"/>
      <c r="BL225" s="59"/>
      <c r="BM225" s="59"/>
      <c r="BN225" s="59"/>
      <c r="BO225" s="59"/>
      <c r="BP225" s="59"/>
      <c r="BQ225" s="59"/>
      <c r="BR225" s="59"/>
      <c r="BS225" s="59"/>
      <c r="BT225" s="59"/>
      <c r="BU225" s="59"/>
      <c r="BV225" s="59"/>
      <c r="BW225" s="59"/>
      <c r="BX225" s="59"/>
      <c r="BY225" s="59"/>
      <c r="BZ225" s="59"/>
      <c r="CA225" s="59"/>
      <c r="CB225" s="59"/>
      <c r="CC225" s="59"/>
      <c r="CD225" s="59"/>
      <c r="CE225" s="59"/>
      <c r="CF225" s="59"/>
      <c r="CG225" s="59"/>
      <c r="CH225" s="59"/>
      <c r="CI225" s="59"/>
      <c r="CJ225" s="59"/>
      <c r="CK225" s="59"/>
      <c r="CL225" s="59"/>
      <c r="CM225" s="59"/>
      <c r="CN225" s="59"/>
      <c r="CO225" s="59"/>
      <c r="CP225" s="59"/>
      <c r="CQ225" s="59"/>
      <c r="CR225" s="59"/>
      <c r="CS225" s="59"/>
      <c r="CT225" s="59"/>
      <c r="CU225" s="59"/>
      <c r="CV225" s="59"/>
      <c r="CW225" s="59"/>
      <c r="CX225" s="59"/>
      <c r="CY225" s="59"/>
      <c r="CZ225" s="59"/>
      <c r="DA225" s="59"/>
      <c r="DB225" s="59"/>
      <c r="DC225" s="59"/>
      <c r="DD225" s="59"/>
      <c r="DE225" s="59"/>
      <c r="DF225" s="59"/>
      <c r="DG225" s="59"/>
    </row>
    <row r="226" spans="1:111" ht="11.2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  <c r="BC226" s="59"/>
      <c r="BD226" s="59"/>
      <c r="BE226" s="59"/>
      <c r="BF226" s="59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59"/>
      <c r="CB226" s="59"/>
      <c r="CC226" s="59"/>
      <c r="CD226" s="59"/>
      <c r="CE226" s="59"/>
      <c r="CF226" s="59"/>
      <c r="CG226" s="59"/>
      <c r="CH226" s="59"/>
      <c r="CI226" s="59"/>
      <c r="CJ226" s="59"/>
      <c r="CK226" s="59"/>
      <c r="CL226" s="59"/>
      <c r="CM226" s="59"/>
      <c r="CN226" s="59"/>
      <c r="CO226" s="59"/>
      <c r="CP226" s="59"/>
      <c r="CQ226" s="59"/>
      <c r="CR226" s="59"/>
      <c r="CS226" s="59"/>
      <c r="CT226" s="59"/>
      <c r="CU226" s="59"/>
      <c r="CV226" s="59"/>
      <c r="CW226" s="59"/>
      <c r="CX226" s="59"/>
      <c r="CY226" s="59"/>
      <c r="CZ226" s="59"/>
      <c r="DA226" s="59"/>
      <c r="DB226" s="59"/>
      <c r="DC226" s="59"/>
      <c r="DD226" s="59"/>
      <c r="DE226" s="59"/>
      <c r="DF226" s="59"/>
      <c r="DG226" s="59"/>
    </row>
    <row r="227" spans="1:111" ht="11.2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59"/>
      <c r="CE227" s="59"/>
      <c r="CF227" s="59"/>
      <c r="CG227" s="59"/>
      <c r="CH227" s="59"/>
      <c r="CI227" s="59"/>
      <c r="CJ227" s="59"/>
      <c r="CK227" s="59"/>
      <c r="CL227" s="59"/>
      <c r="CM227" s="59"/>
      <c r="CN227" s="59"/>
      <c r="CO227" s="59"/>
      <c r="CP227" s="59"/>
      <c r="CQ227" s="59"/>
      <c r="CR227" s="59"/>
      <c r="CS227" s="59"/>
      <c r="CT227" s="59"/>
      <c r="CU227" s="59"/>
      <c r="CV227" s="59"/>
      <c r="CW227" s="59"/>
      <c r="CX227" s="59"/>
      <c r="CY227" s="59"/>
      <c r="CZ227" s="59"/>
      <c r="DA227" s="59"/>
      <c r="DB227" s="59"/>
      <c r="DC227" s="59"/>
      <c r="DD227" s="59"/>
      <c r="DE227" s="59"/>
      <c r="DF227" s="59"/>
      <c r="DG227" s="59"/>
    </row>
    <row r="228" spans="1:111" ht="11.2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  <c r="BC228" s="59"/>
      <c r="BD228" s="59"/>
      <c r="BE228" s="59"/>
      <c r="BF228" s="59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59"/>
      <c r="CA228" s="59"/>
      <c r="CB228" s="59"/>
      <c r="CC228" s="59"/>
      <c r="CD228" s="59"/>
      <c r="CE228" s="59"/>
      <c r="CF228" s="59"/>
      <c r="CG228" s="59"/>
      <c r="CH228" s="59"/>
      <c r="CI228" s="59"/>
      <c r="CJ228" s="59"/>
      <c r="CK228" s="59"/>
      <c r="CL228" s="59"/>
      <c r="CM228" s="59"/>
      <c r="CN228" s="59"/>
      <c r="CO228" s="59"/>
      <c r="CP228" s="59"/>
      <c r="CQ228" s="59"/>
      <c r="CR228" s="59"/>
      <c r="CS228" s="59"/>
      <c r="CT228" s="59"/>
      <c r="CU228" s="59"/>
      <c r="CV228" s="59"/>
      <c r="CW228" s="59"/>
      <c r="CX228" s="59"/>
      <c r="CY228" s="59"/>
      <c r="CZ228" s="59"/>
      <c r="DA228" s="59"/>
      <c r="DB228" s="59"/>
      <c r="DC228" s="59"/>
      <c r="DD228" s="59"/>
      <c r="DE228" s="59"/>
      <c r="DF228" s="59"/>
      <c r="DG228" s="59"/>
    </row>
    <row r="229" spans="1:111" ht="11.2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59"/>
      <c r="CB229" s="59"/>
      <c r="CC229" s="59"/>
      <c r="CD229" s="59"/>
      <c r="CE229" s="59"/>
      <c r="CF229" s="59"/>
      <c r="CG229" s="59"/>
      <c r="CH229" s="59"/>
      <c r="CI229" s="59"/>
      <c r="CJ229" s="59"/>
      <c r="CK229" s="59"/>
      <c r="CL229" s="59"/>
      <c r="CM229" s="59"/>
      <c r="CN229" s="59"/>
      <c r="CO229" s="59"/>
      <c r="CP229" s="59"/>
      <c r="CQ229" s="59"/>
      <c r="CR229" s="59"/>
      <c r="CS229" s="59"/>
      <c r="CT229" s="59"/>
      <c r="CU229" s="59"/>
      <c r="CV229" s="59"/>
      <c r="CW229" s="59"/>
      <c r="CX229" s="59"/>
      <c r="CY229" s="59"/>
      <c r="CZ229" s="59"/>
      <c r="DA229" s="59"/>
      <c r="DB229" s="59"/>
      <c r="DC229" s="59"/>
      <c r="DD229" s="59"/>
      <c r="DE229" s="59"/>
      <c r="DF229" s="59"/>
      <c r="DG229" s="59"/>
    </row>
    <row r="230" spans="1:111" ht="11.2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59"/>
      <c r="CB230" s="59"/>
      <c r="CC230" s="59"/>
      <c r="CD230" s="59"/>
      <c r="CE230" s="59"/>
      <c r="CF230" s="59"/>
      <c r="CG230" s="59"/>
      <c r="CH230" s="59"/>
      <c r="CI230" s="59"/>
      <c r="CJ230" s="59"/>
      <c r="CK230" s="59"/>
      <c r="CL230" s="59"/>
      <c r="CM230" s="59"/>
      <c r="CN230" s="59"/>
      <c r="CO230" s="59"/>
      <c r="CP230" s="59"/>
      <c r="CQ230" s="59"/>
      <c r="CR230" s="59"/>
      <c r="CS230" s="59"/>
      <c r="CT230" s="59"/>
      <c r="CU230" s="59"/>
      <c r="CV230" s="59"/>
      <c r="CW230" s="59"/>
      <c r="CX230" s="59"/>
      <c r="CY230" s="59"/>
      <c r="CZ230" s="59"/>
      <c r="DA230" s="59"/>
      <c r="DB230" s="59"/>
      <c r="DC230" s="59"/>
      <c r="DD230" s="59"/>
      <c r="DE230" s="59"/>
      <c r="DF230" s="59"/>
      <c r="DG230" s="59"/>
    </row>
    <row r="231" spans="1:111" ht="11.2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59"/>
      <c r="CA231" s="59"/>
      <c r="CB231" s="59"/>
      <c r="CC231" s="59"/>
      <c r="CD231" s="59"/>
      <c r="CE231" s="59"/>
      <c r="CF231" s="59"/>
      <c r="CG231" s="59"/>
      <c r="CH231" s="59"/>
      <c r="CI231" s="59"/>
      <c r="CJ231" s="59"/>
      <c r="CK231" s="59"/>
      <c r="CL231" s="59"/>
      <c r="CM231" s="59"/>
      <c r="CN231" s="59"/>
      <c r="CO231" s="59"/>
      <c r="CP231" s="59"/>
      <c r="CQ231" s="59"/>
      <c r="CR231" s="59"/>
      <c r="CS231" s="59"/>
      <c r="CT231" s="59"/>
      <c r="CU231" s="59"/>
      <c r="CV231" s="59"/>
      <c r="CW231" s="59"/>
      <c r="CX231" s="59"/>
      <c r="CY231" s="59"/>
      <c r="CZ231" s="59"/>
      <c r="DA231" s="59"/>
      <c r="DB231" s="59"/>
      <c r="DC231" s="59"/>
      <c r="DD231" s="59"/>
      <c r="DE231" s="59"/>
      <c r="DF231" s="59"/>
      <c r="DG231" s="59"/>
    </row>
    <row r="232" spans="1:111" ht="11.2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  <c r="BC232" s="59"/>
      <c r="BD232" s="59"/>
      <c r="BE232" s="59"/>
      <c r="BF232" s="59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59"/>
      <c r="CA232" s="59"/>
      <c r="CB232" s="59"/>
      <c r="CC232" s="59"/>
      <c r="CD232" s="59"/>
      <c r="CE232" s="59"/>
      <c r="CF232" s="59"/>
      <c r="CG232" s="59"/>
      <c r="CH232" s="59"/>
      <c r="CI232" s="59"/>
      <c r="CJ232" s="59"/>
      <c r="CK232" s="59"/>
      <c r="CL232" s="59"/>
      <c r="CM232" s="59"/>
      <c r="CN232" s="59"/>
      <c r="CO232" s="59"/>
      <c r="CP232" s="59"/>
      <c r="CQ232" s="59"/>
      <c r="CR232" s="59"/>
      <c r="CS232" s="59"/>
      <c r="CT232" s="59"/>
      <c r="CU232" s="59"/>
      <c r="CV232" s="59"/>
      <c r="CW232" s="59"/>
      <c r="CX232" s="59"/>
      <c r="CY232" s="59"/>
      <c r="CZ232" s="59"/>
      <c r="DA232" s="59"/>
      <c r="DB232" s="59"/>
      <c r="DC232" s="59"/>
      <c r="DD232" s="59"/>
      <c r="DE232" s="59"/>
      <c r="DF232" s="59"/>
      <c r="DG232" s="59"/>
    </row>
    <row r="233" spans="1:111" ht="11.2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59"/>
      <c r="CB233" s="59"/>
      <c r="CC233" s="59"/>
      <c r="CD233" s="59"/>
      <c r="CE233" s="59"/>
      <c r="CF233" s="59"/>
      <c r="CG233" s="59"/>
      <c r="CH233" s="59"/>
      <c r="CI233" s="59"/>
      <c r="CJ233" s="59"/>
      <c r="CK233" s="59"/>
      <c r="CL233" s="59"/>
      <c r="CM233" s="59"/>
      <c r="CN233" s="59"/>
      <c r="CO233" s="59"/>
      <c r="CP233" s="59"/>
      <c r="CQ233" s="59"/>
      <c r="CR233" s="59"/>
      <c r="CS233" s="59"/>
      <c r="CT233" s="59"/>
      <c r="CU233" s="59"/>
      <c r="CV233" s="59"/>
      <c r="CW233" s="59"/>
      <c r="CX233" s="59"/>
      <c r="CY233" s="59"/>
      <c r="CZ233" s="59"/>
      <c r="DA233" s="59"/>
      <c r="DB233" s="59"/>
      <c r="DC233" s="59"/>
      <c r="DD233" s="59"/>
      <c r="DE233" s="59"/>
      <c r="DF233" s="59"/>
      <c r="DG233" s="59"/>
    </row>
    <row r="234" spans="1:111" ht="11.2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  <c r="BC234" s="59"/>
      <c r="BD234" s="59"/>
      <c r="BE234" s="59"/>
      <c r="BF234" s="59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59"/>
      <c r="CA234" s="59"/>
      <c r="CB234" s="59"/>
      <c r="CC234" s="59"/>
      <c r="CD234" s="59"/>
      <c r="CE234" s="59"/>
      <c r="CF234" s="59"/>
      <c r="CG234" s="59"/>
      <c r="CH234" s="59"/>
      <c r="CI234" s="59"/>
      <c r="CJ234" s="59"/>
      <c r="CK234" s="59"/>
      <c r="CL234" s="59"/>
      <c r="CM234" s="59"/>
      <c r="CN234" s="59"/>
      <c r="CO234" s="59"/>
      <c r="CP234" s="59"/>
      <c r="CQ234" s="59"/>
      <c r="CR234" s="59"/>
      <c r="CS234" s="59"/>
      <c r="CT234" s="59"/>
      <c r="CU234" s="59"/>
      <c r="CV234" s="59"/>
      <c r="CW234" s="59"/>
      <c r="CX234" s="59"/>
      <c r="CY234" s="59"/>
      <c r="CZ234" s="59"/>
      <c r="DA234" s="59"/>
      <c r="DB234" s="59"/>
      <c r="DC234" s="59"/>
      <c r="DD234" s="59"/>
      <c r="DE234" s="59"/>
      <c r="DF234" s="59"/>
      <c r="DG234" s="59"/>
    </row>
    <row r="235" spans="1:111" ht="11.2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  <c r="BC235" s="59"/>
      <c r="BD235" s="59"/>
      <c r="BE235" s="59"/>
      <c r="BF235" s="59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59"/>
      <c r="CA235" s="59"/>
      <c r="CB235" s="59"/>
      <c r="CC235" s="59"/>
      <c r="CD235" s="59"/>
      <c r="CE235" s="59"/>
      <c r="CF235" s="59"/>
      <c r="CG235" s="59"/>
      <c r="CH235" s="59"/>
      <c r="CI235" s="59"/>
      <c r="CJ235" s="59"/>
      <c r="CK235" s="59"/>
      <c r="CL235" s="59"/>
      <c r="CM235" s="59"/>
      <c r="CN235" s="59"/>
      <c r="CO235" s="59"/>
      <c r="CP235" s="59"/>
      <c r="CQ235" s="59"/>
      <c r="CR235" s="59"/>
      <c r="CS235" s="59"/>
      <c r="CT235" s="59"/>
      <c r="CU235" s="59"/>
      <c r="CV235" s="59"/>
      <c r="CW235" s="59"/>
      <c r="CX235" s="59"/>
      <c r="CY235" s="59"/>
      <c r="CZ235" s="59"/>
      <c r="DA235" s="59"/>
      <c r="DB235" s="59"/>
      <c r="DC235" s="59"/>
      <c r="DD235" s="59"/>
      <c r="DE235" s="59"/>
      <c r="DF235" s="59"/>
      <c r="DG235" s="59"/>
    </row>
    <row r="236" spans="1:111" ht="11.2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59"/>
      <c r="CE236" s="59"/>
      <c r="CF236" s="59"/>
      <c r="CG236" s="59"/>
      <c r="CH236" s="59"/>
      <c r="CI236" s="59"/>
      <c r="CJ236" s="59"/>
      <c r="CK236" s="59"/>
      <c r="CL236" s="59"/>
      <c r="CM236" s="59"/>
      <c r="CN236" s="59"/>
      <c r="CO236" s="59"/>
      <c r="CP236" s="59"/>
      <c r="CQ236" s="59"/>
      <c r="CR236" s="59"/>
      <c r="CS236" s="59"/>
      <c r="CT236" s="59"/>
      <c r="CU236" s="59"/>
      <c r="CV236" s="59"/>
      <c r="CW236" s="59"/>
      <c r="CX236" s="59"/>
      <c r="CY236" s="59"/>
      <c r="CZ236" s="59"/>
      <c r="DA236" s="59"/>
      <c r="DB236" s="59"/>
      <c r="DC236" s="59"/>
      <c r="DD236" s="59"/>
      <c r="DE236" s="59"/>
      <c r="DF236" s="59"/>
      <c r="DG236" s="59"/>
    </row>
    <row r="237" spans="1:111" ht="11.2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59"/>
      <c r="CE237" s="59"/>
      <c r="CF237" s="59"/>
      <c r="CG237" s="59"/>
      <c r="CH237" s="59"/>
      <c r="CI237" s="59"/>
      <c r="CJ237" s="59"/>
      <c r="CK237" s="59"/>
      <c r="CL237" s="59"/>
      <c r="CM237" s="59"/>
      <c r="CN237" s="59"/>
      <c r="CO237" s="59"/>
      <c r="CP237" s="59"/>
      <c r="CQ237" s="59"/>
      <c r="CR237" s="59"/>
      <c r="CS237" s="59"/>
      <c r="CT237" s="59"/>
      <c r="CU237" s="59"/>
      <c r="CV237" s="59"/>
      <c r="CW237" s="59"/>
      <c r="CX237" s="59"/>
      <c r="CY237" s="59"/>
      <c r="CZ237" s="59"/>
      <c r="DA237" s="59"/>
      <c r="DB237" s="59"/>
      <c r="DC237" s="59"/>
      <c r="DD237" s="59"/>
      <c r="DE237" s="59"/>
      <c r="DF237" s="59"/>
      <c r="DG237" s="59"/>
    </row>
    <row r="238" spans="1:111" ht="11.2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  <c r="BC238" s="59"/>
      <c r="BD238" s="59"/>
      <c r="BE238" s="59"/>
      <c r="BF238" s="59"/>
      <c r="BG238" s="59"/>
      <c r="BH238" s="59"/>
      <c r="BI238" s="59"/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59"/>
      <c r="BW238" s="59"/>
      <c r="BX238" s="59"/>
      <c r="BY238" s="59"/>
      <c r="BZ238" s="59"/>
      <c r="CA238" s="59"/>
      <c r="CB238" s="59"/>
      <c r="CC238" s="59"/>
      <c r="CD238" s="59"/>
      <c r="CE238" s="59"/>
      <c r="CF238" s="59"/>
      <c r="CG238" s="59"/>
      <c r="CH238" s="59"/>
      <c r="CI238" s="59"/>
      <c r="CJ238" s="59"/>
      <c r="CK238" s="59"/>
      <c r="CL238" s="59"/>
      <c r="CM238" s="59"/>
      <c r="CN238" s="59"/>
      <c r="CO238" s="59"/>
      <c r="CP238" s="59"/>
      <c r="CQ238" s="59"/>
      <c r="CR238" s="59"/>
      <c r="CS238" s="59"/>
      <c r="CT238" s="59"/>
      <c r="CU238" s="59"/>
      <c r="CV238" s="59"/>
      <c r="CW238" s="59"/>
      <c r="CX238" s="59"/>
      <c r="CY238" s="59"/>
      <c r="CZ238" s="59"/>
      <c r="DA238" s="59"/>
      <c r="DB238" s="59"/>
      <c r="DC238" s="59"/>
      <c r="DD238" s="59"/>
      <c r="DE238" s="59"/>
      <c r="DF238" s="59"/>
      <c r="DG238" s="59"/>
    </row>
    <row r="239" spans="1:111" ht="11.2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9"/>
      <c r="AW239" s="59"/>
      <c r="AX239" s="59"/>
      <c r="AY239" s="59"/>
      <c r="AZ239" s="59"/>
      <c r="BA239" s="59"/>
      <c r="BB239" s="59"/>
      <c r="BC239" s="59"/>
      <c r="BD239" s="59"/>
      <c r="BE239" s="59"/>
      <c r="BF239" s="59"/>
      <c r="BG239" s="59"/>
      <c r="BH239" s="59"/>
      <c r="BI239" s="59"/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59"/>
      <c r="BW239" s="59"/>
      <c r="BX239" s="59"/>
      <c r="BY239" s="59"/>
      <c r="BZ239" s="59"/>
      <c r="CA239" s="59"/>
      <c r="CB239" s="59"/>
      <c r="CC239" s="59"/>
      <c r="CD239" s="59"/>
      <c r="CE239" s="59"/>
      <c r="CF239" s="59"/>
      <c r="CG239" s="59"/>
      <c r="CH239" s="59"/>
      <c r="CI239" s="59"/>
      <c r="CJ239" s="59"/>
      <c r="CK239" s="59"/>
      <c r="CL239" s="59"/>
      <c r="CM239" s="59"/>
      <c r="CN239" s="59"/>
      <c r="CO239" s="59"/>
      <c r="CP239" s="59"/>
      <c r="CQ239" s="59"/>
      <c r="CR239" s="59"/>
      <c r="CS239" s="59"/>
      <c r="CT239" s="59"/>
      <c r="CU239" s="59"/>
      <c r="CV239" s="59"/>
      <c r="CW239" s="59"/>
      <c r="CX239" s="59"/>
      <c r="CY239" s="59"/>
      <c r="CZ239" s="59"/>
      <c r="DA239" s="59"/>
      <c r="DB239" s="59"/>
      <c r="DC239" s="59"/>
      <c r="DD239" s="59"/>
      <c r="DE239" s="59"/>
      <c r="DF239" s="59"/>
      <c r="DG239" s="59"/>
    </row>
    <row r="240" spans="1:111" ht="11.2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  <c r="BC240" s="59"/>
      <c r="BD240" s="59"/>
      <c r="BE240" s="59"/>
      <c r="BF240" s="59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59"/>
      <c r="CA240" s="59"/>
      <c r="CB240" s="59"/>
      <c r="CC240" s="59"/>
      <c r="CD240" s="59"/>
      <c r="CE240" s="59"/>
      <c r="CF240" s="59"/>
      <c r="CG240" s="59"/>
      <c r="CH240" s="59"/>
      <c r="CI240" s="59"/>
      <c r="CJ240" s="59"/>
      <c r="CK240" s="59"/>
      <c r="CL240" s="59"/>
      <c r="CM240" s="59"/>
      <c r="CN240" s="59"/>
      <c r="CO240" s="59"/>
      <c r="CP240" s="59"/>
      <c r="CQ240" s="59"/>
      <c r="CR240" s="59"/>
      <c r="CS240" s="59"/>
      <c r="CT240" s="59"/>
      <c r="CU240" s="59"/>
      <c r="CV240" s="59"/>
      <c r="CW240" s="59"/>
      <c r="CX240" s="59"/>
      <c r="CY240" s="59"/>
      <c r="CZ240" s="59"/>
      <c r="DA240" s="59"/>
      <c r="DB240" s="59"/>
      <c r="DC240" s="59"/>
      <c r="DD240" s="59"/>
      <c r="DE240" s="59"/>
      <c r="DF240" s="59"/>
      <c r="DG240" s="59"/>
    </row>
    <row r="241" spans="1:111" ht="11.2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  <c r="BC241" s="59"/>
      <c r="BD241" s="59"/>
      <c r="BE241" s="59"/>
      <c r="BF241" s="59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59"/>
      <c r="CA241" s="59"/>
      <c r="CB241" s="59"/>
      <c r="CC241" s="59"/>
      <c r="CD241" s="59"/>
      <c r="CE241" s="59"/>
      <c r="CF241" s="59"/>
      <c r="CG241" s="59"/>
      <c r="CH241" s="59"/>
      <c r="CI241" s="59"/>
      <c r="CJ241" s="59"/>
      <c r="CK241" s="59"/>
      <c r="CL241" s="59"/>
      <c r="CM241" s="59"/>
      <c r="CN241" s="59"/>
      <c r="CO241" s="59"/>
      <c r="CP241" s="59"/>
      <c r="CQ241" s="59"/>
      <c r="CR241" s="59"/>
      <c r="CS241" s="59"/>
      <c r="CT241" s="59"/>
      <c r="CU241" s="59"/>
      <c r="CV241" s="59"/>
      <c r="CW241" s="59"/>
      <c r="CX241" s="59"/>
      <c r="CY241" s="59"/>
      <c r="CZ241" s="59"/>
      <c r="DA241" s="59"/>
      <c r="DB241" s="59"/>
      <c r="DC241" s="59"/>
      <c r="DD241" s="59"/>
      <c r="DE241" s="59"/>
      <c r="DF241" s="59"/>
      <c r="DG241" s="59"/>
    </row>
    <row r="242" spans="1:111" ht="11.2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  <c r="BC242" s="59"/>
      <c r="BD242" s="59"/>
      <c r="BE242" s="59"/>
      <c r="BF242" s="59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59"/>
      <c r="CA242" s="59"/>
      <c r="CB242" s="59"/>
      <c r="CC242" s="59"/>
      <c r="CD242" s="59"/>
      <c r="CE242" s="59"/>
      <c r="CF242" s="59"/>
      <c r="CG242" s="59"/>
      <c r="CH242" s="59"/>
      <c r="CI242" s="59"/>
      <c r="CJ242" s="59"/>
      <c r="CK242" s="59"/>
      <c r="CL242" s="59"/>
      <c r="CM242" s="59"/>
      <c r="CN242" s="59"/>
      <c r="CO242" s="59"/>
      <c r="CP242" s="59"/>
      <c r="CQ242" s="59"/>
      <c r="CR242" s="59"/>
      <c r="CS242" s="59"/>
      <c r="CT242" s="59"/>
      <c r="CU242" s="59"/>
      <c r="CV242" s="59"/>
      <c r="CW242" s="59"/>
      <c r="CX242" s="59"/>
      <c r="CY242" s="59"/>
      <c r="CZ242" s="59"/>
      <c r="DA242" s="59"/>
      <c r="DB242" s="59"/>
      <c r="DC242" s="59"/>
      <c r="DD242" s="59"/>
      <c r="DE242" s="59"/>
      <c r="DF242" s="59"/>
      <c r="DG242" s="59"/>
    </row>
    <row r="243" spans="1:111" ht="11.2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59"/>
      <c r="AO243" s="59"/>
      <c r="AP243" s="59"/>
      <c r="AQ243" s="59"/>
      <c r="AR243" s="59"/>
      <c r="AS243" s="59"/>
      <c r="AT243" s="59"/>
      <c r="AU243" s="59"/>
      <c r="AV243" s="59"/>
      <c r="AW243" s="59"/>
      <c r="AX243" s="59"/>
      <c r="AY243" s="59"/>
      <c r="AZ243" s="59"/>
      <c r="BA243" s="59"/>
      <c r="BB243" s="59"/>
      <c r="BC243" s="59"/>
      <c r="BD243" s="59"/>
      <c r="BE243" s="59"/>
      <c r="BF243" s="59"/>
      <c r="BG243" s="59"/>
      <c r="BH243" s="59"/>
      <c r="BI243" s="59"/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59"/>
      <c r="BW243" s="59"/>
      <c r="BX243" s="59"/>
      <c r="BY243" s="59"/>
      <c r="BZ243" s="59"/>
      <c r="CA243" s="59"/>
      <c r="CB243" s="59"/>
      <c r="CC243" s="59"/>
      <c r="CD243" s="59"/>
      <c r="CE243" s="59"/>
      <c r="CF243" s="59"/>
      <c r="CG243" s="59"/>
      <c r="CH243" s="59"/>
      <c r="CI243" s="59"/>
      <c r="CJ243" s="59"/>
      <c r="CK243" s="59"/>
      <c r="CL243" s="59"/>
      <c r="CM243" s="59"/>
      <c r="CN243" s="59"/>
      <c r="CO243" s="59"/>
      <c r="CP243" s="59"/>
      <c r="CQ243" s="59"/>
      <c r="CR243" s="59"/>
      <c r="CS243" s="59"/>
      <c r="CT243" s="59"/>
      <c r="CU243" s="59"/>
      <c r="CV243" s="59"/>
      <c r="CW243" s="59"/>
      <c r="CX243" s="59"/>
      <c r="CY243" s="59"/>
      <c r="CZ243" s="59"/>
      <c r="DA243" s="59"/>
      <c r="DB243" s="59"/>
      <c r="DC243" s="59"/>
      <c r="DD243" s="59"/>
      <c r="DE243" s="59"/>
      <c r="DF243" s="59"/>
      <c r="DG243" s="59"/>
    </row>
    <row r="244" spans="1:111" ht="11.2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59"/>
      <c r="AO244" s="59"/>
      <c r="AP244" s="59"/>
      <c r="AQ244" s="59"/>
      <c r="AR244" s="59"/>
      <c r="AS244" s="59"/>
      <c r="AT244" s="59"/>
      <c r="AU244" s="59"/>
      <c r="AV244" s="59"/>
      <c r="AW244" s="59"/>
      <c r="AX244" s="59"/>
      <c r="AY244" s="59"/>
      <c r="AZ244" s="59"/>
      <c r="BA244" s="59"/>
      <c r="BB244" s="59"/>
      <c r="BC244" s="59"/>
      <c r="BD244" s="59"/>
      <c r="BE244" s="59"/>
      <c r="BF244" s="59"/>
      <c r="BG244" s="59"/>
      <c r="BH244" s="59"/>
      <c r="BI244" s="59"/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59"/>
      <c r="BW244" s="59"/>
      <c r="BX244" s="59"/>
      <c r="BY244" s="59"/>
      <c r="BZ244" s="59"/>
      <c r="CA244" s="59"/>
      <c r="CB244" s="59"/>
      <c r="CC244" s="59"/>
      <c r="CD244" s="59"/>
      <c r="CE244" s="59"/>
      <c r="CF244" s="59"/>
      <c r="CG244" s="59"/>
      <c r="CH244" s="59"/>
      <c r="CI244" s="59"/>
      <c r="CJ244" s="59"/>
      <c r="CK244" s="59"/>
      <c r="CL244" s="59"/>
      <c r="CM244" s="59"/>
      <c r="CN244" s="59"/>
      <c r="CO244" s="59"/>
      <c r="CP244" s="59"/>
      <c r="CQ244" s="59"/>
      <c r="CR244" s="59"/>
      <c r="CS244" s="59"/>
      <c r="CT244" s="59"/>
      <c r="CU244" s="59"/>
      <c r="CV244" s="59"/>
      <c r="CW244" s="59"/>
      <c r="CX244" s="59"/>
      <c r="CY244" s="59"/>
      <c r="CZ244" s="59"/>
      <c r="DA244" s="59"/>
      <c r="DB244" s="59"/>
      <c r="DC244" s="59"/>
      <c r="DD244" s="59"/>
      <c r="DE244" s="59"/>
      <c r="DF244" s="59"/>
      <c r="DG244" s="59"/>
    </row>
    <row r="245" spans="1:111" ht="11.2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59"/>
      <c r="AQ245" s="59"/>
      <c r="AR245" s="59"/>
      <c r="AS245" s="59"/>
      <c r="AT245" s="59"/>
      <c r="AU245" s="59"/>
      <c r="AV245" s="59"/>
      <c r="AW245" s="59"/>
      <c r="AX245" s="59"/>
      <c r="AY245" s="59"/>
      <c r="AZ245" s="59"/>
      <c r="BA245" s="59"/>
      <c r="BB245" s="59"/>
      <c r="BC245" s="59"/>
      <c r="BD245" s="59"/>
      <c r="BE245" s="59"/>
      <c r="BF245" s="59"/>
      <c r="BG245" s="59"/>
      <c r="BH245" s="59"/>
      <c r="BI245" s="59"/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59"/>
      <c r="BW245" s="59"/>
      <c r="BX245" s="59"/>
      <c r="BY245" s="59"/>
      <c r="BZ245" s="59"/>
      <c r="CA245" s="59"/>
      <c r="CB245" s="59"/>
      <c r="CC245" s="59"/>
      <c r="CD245" s="59"/>
      <c r="CE245" s="59"/>
      <c r="CF245" s="59"/>
      <c r="CG245" s="59"/>
      <c r="CH245" s="59"/>
      <c r="CI245" s="59"/>
      <c r="CJ245" s="59"/>
      <c r="CK245" s="59"/>
      <c r="CL245" s="59"/>
      <c r="CM245" s="59"/>
      <c r="CN245" s="59"/>
      <c r="CO245" s="59"/>
      <c r="CP245" s="59"/>
      <c r="CQ245" s="59"/>
      <c r="CR245" s="59"/>
      <c r="CS245" s="59"/>
      <c r="CT245" s="59"/>
      <c r="CU245" s="59"/>
      <c r="CV245" s="59"/>
      <c r="CW245" s="59"/>
      <c r="CX245" s="59"/>
      <c r="CY245" s="59"/>
      <c r="CZ245" s="59"/>
      <c r="DA245" s="59"/>
      <c r="DB245" s="59"/>
      <c r="DC245" s="59"/>
      <c r="DD245" s="59"/>
      <c r="DE245" s="59"/>
      <c r="DF245" s="59"/>
      <c r="DG245" s="59"/>
    </row>
    <row r="246" spans="1:111" ht="11.2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/>
      <c r="BH246" s="59"/>
      <c r="BI246" s="59"/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59"/>
      <c r="BW246" s="59"/>
      <c r="BX246" s="59"/>
      <c r="BY246" s="59"/>
      <c r="BZ246" s="59"/>
      <c r="CA246" s="59"/>
      <c r="CB246" s="59"/>
      <c r="CC246" s="59"/>
      <c r="CD246" s="59"/>
      <c r="CE246" s="59"/>
      <c r="CF246" s="59"/>
      <c r="CG246" s="59"/>
      <c r="CH246" s="59"/>
      <c r="CI246" s="59"/>
      <c r="CJ246" s="59"/>
      <c r="CK246" s="59"/>
      <c r="CL246" s="59"/>
      <c r="CM246" s="59"/>
      <c r="CN246" s="59"/>
      <c r="CO246" s="59"/>
      <c r="CP246" s="59"/>
      <c r="CQ246" s="59"/>
      <c r="CR246" s="59"/>
      <c r="CS246" s="59"/>
      <c r="CT246" s="59"/>
      <c r="CU246" s="59"/>
      <c r="CV246" s="59"/>
      <c r="CW246" s="59"/>
      <c r="CX246" s="59"/>
      <c r="CY246" s="59"/>
      <c r="CZ246" s="59"/>
      <c r="DA246" s="59"/>
      <c r="DB246" s="59"/>
      <c r="DC246" s="59"/>
      <c r="DD246" s="59"/>
      <c r="DE246" s="59"/>
      <c r="DF246" s="59"/>
      <c r="DG246" s="59"/>
    </row>
    <row r="247" spans="1:111" ht="11.2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  <c r="AT247" s="59"/>
      <c r="AU247" s="59"/>
      <c r="AV247" s="59"/>
      <c r="AW247" s="59"/>
      <c r="AX247" s="59"/>
      <c r="AY247" s="59"/>
      <c r="AZ247" s="59"/>
      <c r="BA247" s="59"/>
      <c r="BB247" s="59"/>
      <c r="BC247" s="59"/>
      <c r="BD247" s="59"/>
      <c r="BE247" s="59"/>
      <c r="BF247" s="59"/>
      <c r="BG247" s="59"/>
      <c r="BH247" s="59"/>
      <c r="BI247" s="59"/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59"/>
      <c r="BW247" s="59"/>
      <c r="BX247" s="59"/>
      <c r="BY247" s="59"/>
      <c r="BZ247" s="59"/>
      <c r="CA247" s="59"/>
      <c r="CB247" s="59"/>
      <c r="CC247" s="59"/>
      <c r="CD247" s="59"/>
      <c r="CE247" s="59"/>
      <c r="CF247" s="59"/>
      <c r="CG247" s="59"/>
      <c r="CH247" s="59"/>
      <c r="CI247" s="59"/>
      <c r="CJ247" s="59"/>
      <c r="CK247" s="59"/>
      <c r="CL247" s="59"/>
      <c r="CM247" s="59"/>
      <c r="CN247" s="59"/>
      <c r="CO247" s="59"/>
      <c r="CP247" s="59"/>
      <c r="CQ247" s="59"/>
      <c r="CR247" s="59"/>
      <c r="CS247" s="59"/>
      <c r="CT247" s="59"/>
      <c r="CU247" s="59"/>
      <c r="CV247" s="59"/>
      <c r="CW247" s="59"/>
      <c r="CX247" s="59"/>
      <c r="CY247" s="59"/>
      <c r="CZ247" s="59"/>
      <c r="DA247" s="59"/>
      <c r="DB247" s="59"/>
      <c r="DC247" s="59"/>
      <c r="DD247" s="59"/>
      <c r="DE247" s="59"/>
      <c r="DF247" s="59"/>
      <c r="DG247" s="59"/>
    </row>
    <row r="248" spans="1:111" ht="11.2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59"/>
      <c r="BW248" s="59"/>
      <c r="BX248" s="59"/>
      <c r="BY248" s="59"/>
      <c r="BZ248" s="59"/>
      <c r="CA248" s="59"/>
      <c r="CB248" s="59"/>
      <c r="CC248" s="59"/>
      <c r="CD248" s="59"/>
      <c r="CE248" s="59"/>
      <c r="CF248" s="59"/>
      <c r="CG248" s="59"/>
      <c r="CH248" s="59"/>
      <c r="CI248" s="59"/>
      <c r="CJ248" s="59"/>
      <c r="CK248" s="59"/>
      <c r="CL248" s="59"/>
      <c r="CM248" s="59"/>
      <c r="CN248" s="59"/>
      <c r="CO248" s="59"/>
      <c r="CP248" s="59"/>
      <c r="CQ248" s="59"/>
      <c r="CR248" s="59"/>
      <c r="CS248" s="59"/>
      <c r="CT248" s="59"/>
      <c r="CU248" s="59"/>
      <c r="CV248" s="59"/>
      <c r="CW248" s="59"/>
      <c r="CX248" s="59"/>
      <c r="CY248" s="59"/>
      <c r="CZ248" s="59"/>
      <c r="DA248" s="59"/>
      <c r="DB248" s="59"/>
      <c r="DC248" s="59"/>
      <c r="DD248" s="59"/>
      <c r="DE248" s="59"/>
      <c r="DF248" s="59"/>
      <c r="DG248" s="59"/>
    </row>
    <row r="249" spans="1:111" ht="11.2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59"/>
      <c r="BW249" s="59"/>
      <c r="BX249" s="59"/>
      <c r="BY249" s="59"/>
      <c r="BZ249" s="59"/>
      <c r="CA249" s="59"/>
      <c r="CB249" s="59"/>
      <c r="CC249" s="59"/>
      <c r="CD249" s="59"/>
      <c r="CE249" s="59"/>
      <c r="CF249" s="59"/>
      <c r="CG249" s="59"/>
      <c r="CH249" s="59"/>
      <c r="CI249" s="59"/>
      <c r="CJ249" s="59"/>
      <c r="CK249" s="59"/>
      <c r="CL249" s="59"/>
      <c r="CM249" s="59"/>
      <c r="CN249" s="59"/>
      <c r="CO249" s="59"/>
      <c r="CP249" s="59"/>
      <c r="CQ249" s="59"/>
      <c r="CR249" s="59"/>
      <c r="CS249" s="59"/>
      <c r="CT249" s="59"/>
      <c r="CU249" s="59"/>
      <c r="CV249" s="59"/>
      <c r="CW249" s="59"/>
      <c r="CX249" s="59"/>
      <c r="CY249" s="59"/>
      <c r="CZ249" s="59"/>
      <c r="DA249" s="59"/>
      <c r="DB249" s="59"/>
      <c r="DC249" s="59"/>
      <c r="DD249" s="59"/>
      <c r="DE249" s="59"/>
      <c r="DF249" s="59"/>
      <c r="DG249" s="59"/>
    </row>
    <row r="250" spans="1:111" ht="11.2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59"/>
      <c r="CA250" s="59"/>
      <c r="CB250" s="59"/>
      <c r="CC250" s="59"/>
      <c r="CD250" s="59"/>
      <c r="CE250" s="59"/>
      <c r="CF250" s="59"/>
      <c r="CG250" s="59"/>
      <c r="CH250" s="59"/>
      <c r="CI250" s="59"/>
      <c r="CJ250" s="59"/>
      <c r="CK250" s="59"/>
      <c r="CL250" s="59"/>
      <c r="CM250" s="59"/>
      <c r="CN250" s="59"/>
      <c r="CO250" s="59"/>
      <c r="CP250" s="59"/>
      <c r="CQ250" s="59"/>
      <c r="CR250" s="59"/>
      <c r="CS250" s="59"/>
      <c r="CT250" s="59"/>
      <c r="CU250" s="59"/>
      <c r="CV250" s="59"/>
      <c r="CW250" s="59"/>
      <c r="CX250" s="59"/>
      <c r="CY250" s="59"/>
      <c r="CZ250" s="59"/>
      <c r="DA250" s="59"/>
      <c r="DB250" s="59"/>
      <c r="DC250" s="59"/>
      <c r="DD250" s="59"/>
      <c r="DE250" s="59"/>
      <c r="DF250" s="59"/>
      <c r="DG250" s="59"/>
    </row>
    <row r="251" spans="1:111" ht="11.2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59"/>
      <c r="CA251" s="59"/>
      <c r="CB251" s="59"/>
      <c r="CC251" s="59"/>
      <c r="CD251" s="59"/>
      <c r="CE251" s="59"/>
      <c r="CF251" s="59"/>
      <c r="CG251" s="59"/>
      <c r="CH251" s="59"/>
      <c r="CI251" s="59"/>
      <c r="CJ251" s="59"/>
      <c r="CK251" s="59"/>
      <c r="CL251" s="59"/>
      <c r="CM251" s="59"/>
      <c r="CN251" s="59"/>
      <c r="CO251" s="59"/>
      <c r="CP251" s="59"/>
      <c r="CQ251" s="59"/>
      <c r="CR251" s="59"/>
      <c r="CS251" s="59"/>
      <c r="CT251" s="59"/>
      <c r="CU251" s="59"/>
      <c r="CV251" s="59"/>
      <c r="CW251" s="59"/>
      <c r="CX251" s="59"/>
      <c r="CY251" s="59"/>
      <c r="CZ251" s="59"/>
      <c r="DA251" s="59"/>
      <c r="DB251" s="59"/>
      <c r="DC251" s="59"/>
      <c r="DD251" s="59"/>
      <c r="DE251" s="59"/>
      <c r="DF251" s="59"/>
      <c r="DG251" s="59"/>
    </row>
    <row r="252" spans="1:111" ht="11.2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  <c r="BC252" s="59"/>
      <c r="BD252" s="59"/>
      <c r="BE252" s="59"/>
      <c r="BF252" s="59"/>
      <c r="BG252" s="59"/>
      <c r="BH252" s="59"/>
      <c r="BI252" s="59"/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59"/>
      <c r="BW252" s="59"/>
      <c r="BX252" s="59"/>
      <c r="BY252" s="59"/>
      <c r="BZ252" s="59"/>
      <c r="CA252" s="59"/>
      <c r="CB252" s="59"/>
      <c r="CC252" s="59"/>
      <c r="CD252" s="59"/>
      <c r="CE252" s="59"/>
      <c r="CF252" s="59"/>
      <c r="CG252" s="59"/>
      <c r="CH252" s="59"/>
      <c r="CI252" s="59"/>
      <c r="CJ252" s="59"/>
      <c r="CK252" s="59"/>
      <c r="CL252" s="59"/>
      <c r="CM252" s="59"/>
      <c r="CN252" s="59"/>
      <c r="CO252" s="59"/>
      <c r="CP252" s="59"/>
      <c r="CQ252" s="59"/>
      <c r="CR252" s="59"/>
      <c r="CS252" s="59"/>
      <c r="CT252" s="59"/>
      <c r="CU252" s="59"/>
      <c r="CV252" s="59"/>
      <c r="CW252" s="59"/>
      <c r="CX252" s="59"/>
      <c r="CY252" s="59"/>
      <c r="CZ252" s="59"/>
      <c r="DA252" s="59"/>
      <c r="DB252" s="59"/>
      <c r="DC252" s="59"/>
      <c r="DD252" s="59"/>
      <c r="DE252" s="59"/>
      <c r="DF252" s="59"/>
      <c r="DG252" s="59"/>
    </row>
    <row r="253" spans="1:111" ht="11.2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59"/>
      <c r="CB253" s="59"/>
      <c r="CC253" s="59"/>
      <c r="CD253" s="59"/>
      <c r="CE253" s="59"/>
      <c r="CF253" s="59"/>
      <c r="CG253" s="59"/>
      <c r="CH253" s="59"/>
      <c r="CI253" s="59"/>
      <c r="CJ253" s="59"/>
      <c r="CK253" s="59"/>
      <c r="CL253" s="59"/>
      <c r="CM253" s="59"/>
      <c r="CN253" s="59"/>
      <c r="CO253" s="59"/>
      <c r="CP253" s="59"/>
      <c r="CQ253" s="59"/>
      <c r="CR253" s="59"/>
      <c r="CS253" s="59"/>
      <c r="CT253" s="59"/>
      <c r="CU253" s="59"/>
      <c r="CV253" s="59"/>
      <c r="CW253" s="59"/>
      <c r="CX253" s="59"/>
      <c r="CY253" s="59"/>
      <c r="CZ253" s="59"/>
      <c r="DA253" s="59"/>
      <c r="DB253" s="59"/>
      <c r="DC253" s="59"/>
      <c r="DD253" s="59"/>
      <c r="DE253" s="59"/>
      <c r="DF253" s="59"/>
      <c r="DG253" s="59"/>
    </row>
    <row r="254" spans="1:111" ht="11.2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59"/>
      <c r="CA254" s="59"/>
      <c r="CB254" s="59"/>
      <c r="CC254" s="59"/>
      <c r="CD254" s="59"/>
      <c r="CE254" s="59"/>
      <c r="CF254" s="59"/>
      <c r="CG254" s="59"/>
      <c r="CH254" s="59"/>
      <c r="CI254" s="59"/>
      <c r="CJ254" s="59"/>
      <c r="CK254" s="59"/>
      <c r="CL254" s="59"/>
      <c r="CM254" s="59"/>
      <c r="CN254" s="59"/>
      <c r="CO254" s="59"/>
      <c r="CP254" s="59"/>
      <c r="CQ254" s="59"/>
      <c r="CR254" s="59"/>
      <c r="CS254" s="59"/>
      <c r="CT254" s="59"/>
      <c r="CU254" s="59"/>
      <c r="CV254" s="59"/>
      <c r="CW254" s="59"/>
      <c r="CX254" s="59"/>
      <c r="CY254" s="59"/>
      <c r="CZ254" s="59"/>
      <c r="DA254" s="59"/>
      <c r="DB254" s="59"/>
      <c r="DC254" s="59"/>
      <c r="DD254" s="59"/>
      <c r="DE254" s="59"/>
      <c r="DF254" s="59"/>
      <c r="DG254" s="59"/>
    </row>
    <row r="255" spans="1:111" ht="11.2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  <c r="BC255" s="59"/>
      <c r="BD255" s="59"/>
      <c r="BE255" s="59"/>
      <c r="BF255" s="59"/>
      <c r="BG255" s="59"/>
      <c r="BH255" s="59"/>
      <c r="BI255" s="59"/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59"/>
      <c r="BW255" s="59"/>
      <c r="BX255" s="59"/>
      <c r="BY255" s="59"/>
      <c r="BZ255" s="59"/>
      <c r="CA255" s="59"/>
      <c r="CB255" s="59"/>
      <c r="CC255" s="59"/>
      <c r="CD255" s="59"/>
      <c r="CE255" s="59"/>
      <c r="CF255" s="59"/>
      <c r="CG255" s="59"/>
      <c r="CH255" s="59"/>
      <c r="CI255" s="59"/>
      <c r="CJ255" s="59"/>
      <c r="CK255" s="59"/>
      <c r="CL255" s="59"/>
      <c r="CM255" s="59"/>
      <c r="CN255" s="59"/>
      <c r="CO255" s="59"/>
      <c r="CP255" s="59"/>
      <c r="CQ255" s="59"/>
      <c r="CR255" s="59"/>
      <c r="CS255" s="59"/>
      <c r="CT255" s="59"/>
      <c r="CU255" s="59"/>
      <c r="CV255" s="59"/>
      <c r="CW255" s="59"/>
      <c r="CX255" s="59"/>
      <c r="CY255" s="59"/>
      <c r="CZ255" s="59"/>
      <c r="DA255" s="59"/>
      <c r="DB255" s="59"/>
      <c r="DC255" s="59"/>
      <c r="DD255" s="59"/>
      <c r="DE255" s="59"/>
      <c r="DF255" s="59"/>
      <c r="DG255" s="59"/>
    </row>
    <row r="256" spans="1:111" ht="11.2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  <c r="BC256" s="59"/>
      <c r="BD256" s="59"/>
      <c r="BE256" s="59"/>
      <c r="BF256" s="59"/>
      <c r="BG256" s="59"/>
      <c r="BH256" s="59"/>
      <c r="BI256" s="59"/>
      <c r="BJ256" s="59"/>
      <c r="BK256" s="59"/>
      <c r="BL256" s="59"/>
      <c r="BM256" s="59"/>
      <c r="BN256" s="59"/>
      <c r="BO256" s="59"/>
      <c r="BP256" s="59"/>
      <c r="BQ256" s="59"/>
      <c r="BR256" s="59"/>
      <c r="BS256" s="59"/>
      <c r="BT256" s="59"/>
      <c r="BU256" s="59"/>
      <c r="BV256" s="59"/>
      <c r="BW256" s="59"/>
      <c r="BX256" s="59"/>
      <c r="BY256" s="59"/>
      <c r="BZ256" s="59"/>
      <c r="CA256" s="59"/>
      <c r="CB256" s="59"/>
      <c r="CC256" s="59"/>
      <c r="CD256" s="59"/>
      <c r="CE256" s="59"/>
      <c r="CF256" s="59"/>
      <c r="CG256" s="59"/>
      <c r="CH256" s="59"/>
      <c r="CI256" s="59"/>
      <c r="CJ256" s="59"/>
      <c r="CK256" s="59"/>
      <c r="CL256" s="59"/>
      <c r="CM256" s="59"/>
      <c r="CN256" s="59"/>
      <c r="CO256" s="59"/>
      <c r="CP256" s="59"/>
      <c r="CQ256" s="59"/>
      <c r="CR256" s="59"/>
      <c r="CS256" s="59"/>
      <c r="CT256" s="59"/>
      <c r="CU256" s="59"/>
      <c r="CV256" s="59"/>
      <c r="CW256" s="59"/>
      <c r="CX256" s="59"/>
      <c r="CY256" s="59"/>
      <c r="CZ256" s="59"/>
      <c r="DA256" s="59"/>
      <c r="DB256" s="59"/>
      <c r="DC256" s="59"/>
      <c r="DD256" s="59"/>
      <c r="DE256" s="59"/>
      <c r="DF256" s="59"/>
      <c r="DG256" s="59"/>
    </row>
    <row r="257" spans="1:111" ht="11.2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  <c r="BC257" s="59"/>
      <c r="BD257" s="59"/>
      <c r="BE257" s="59"/>
      <c r="BF257" s="59"/>
      <c r="BG257" s="59"/>
      <c r="BH257" s="59"/>
      <c r="BI257" s="59"/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59"/>
      <c r="BW257" s="59"/>
      <c r="BX257" s="59"/>
      <c r="BY257" s="59"/>
      <c r="BZ257" s="59"/>
      <c r="CA257" s="59"/>
      <c r="CB257" s="59"/>
      <c r="CC257" s="59"/>
      <c r="CD257" s="59"/>
      <c r="CE257" s="59"/>
      <c r="CF257" s="59"/>
      <c r="CG257" s="59"/>
      <c r="CH257" s="59"/>
      <c r="CI257" s="59"/>
      <c r="CJ257" s="59"/>
      <c r="CK257" s="59"/>
      <c r="CL257" s="59"/>
      <c r="CM257" s="59"/>
      <c r="CN257" s="59"/>
      <c r="CO257" s="59"/>
      <c r="CP257" s="59"/>
      <c r="CQ257" s="59"/>
      <c r="CR257" s="59"/>
      <c r="CS257" s="59"/>
      <c r="CT257" s="59"/>
      <c r="CU257" s="59"/>
      <c r="CV257" s="59"/>
      <c r="CW257" s="59"/>
      <c r="CX257" s="59"/>
      <c r="CY257" s="59"/>
      <c r="CZ257" s="59"/>
      <c r="DA257" s="59"/>
      <c r="DB257" s="59"/>
      <c r="DC257" s="59"/>
      <c r="DD257" s="59"/>
      <c r="DE257" s="59"/>
      <c r="DF257" s="59"/>
      <c r="DG257" s="59"/>
    </row>
    <row r="258" spans="1:111" ht="11.2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59"/>
      <c r="CE258" s="59"/>
      <c r="CF258" s="59"/>
      <c r="CG258" s="59"/>
      <c r="CH258" s="59"/>
      <c r="CI258" s="59"/>
      <c r="CJ258" s="59"/>
      <c r="CK258" s="59"/>
      <c r="CL258" s="59"/>
      <c r="CM258" s="59"/>
      <c r="CN258" s="59"/>
      <c r="CO258" s="59"/>
      <c r="CP258" s="59"/>
      <c r="CQ258" s="59"/>
      <c r="CR258" s="59"/>
      <c r="CS258" s="59"/>
      <c r="CT258" s="59"/>
      <c r="CU258" s="59"/>
      <c r="CV258" s="59"/>
      <c r="CW258" s="59"/>
      <c r="CX258" s="59"/>
      <c r="CY258" s="59"/>
      <c r="CZ258" s="59"/>
      <c r="DA258" s="59"/>
      <c r="DB258" s="59"/>
      <c r="DC258" s="59"/>
      <c r="DD258" s="59"/>
      <c r="DE258" s="59"/>
      <c r="DF258" s="59"/>
      <c r="DG258" s="59"/>
    </row>
    <row r="259" spans="1:111" ht="11.2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  <c r="BC259" s="59"/>
      <c r="BD259" s="59"/>
      <c r="BE259" s="59"/>
      <c r="BF259" s="59"/>
      <c r="BG259" s="59"/>
      <c r="BH259" s="59"/>
      <c r="BI259" s="59"/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59"/>
      <c r="BW259" s="59"/>
      <c r="BX259" s="59"/>
      <c r="BY259" s="59"/>
      <c r="BZ259" s="59"/>
      <c r="CA259" s="59"/>
      <c r="CB259" s="59"/>
      <c r="CC259" s="59"/>
      <c r="CD259" s="59"/>
      <c r="CE259" s="59"/>
      <c r="CF259" s="59"/>
      <c r="CG259" s="59"/>
      <c r="CH259" s="59"/>
      <c r="CI259" s="59"/>
      <c r="CJ259" s="59"/>
      <c r="CK259" s="59"/>
      <c r="CL259" s="59"/>
      <c r="CM259" s="59"/>
      <c r="CN259" s="59"/>
      <c r="CO259" s="59"/>
      <c r="CP259" s="59"/>
      <c r="CQ259" s="59"/>
      <c r="CR259" s="59"/>
      <c r="CS259" s="59"/>
      <c r="CT259" s="59"/>
      <c r="CU259" s="59"/>
      <c r="CV259" s="59"/>
      <c r="CW259" s="59"/>
      <c r="CX259" s="59"/>
      <c r="CY259" s="59"/>
      <c r="CZ259" s="59"/>
      <c r="DA259" s="59"/>
      <c r="DB259" s="59"/>
      <c r="DC259" s="59"/>
      <c r="DD259" s="59"/>
      <c r="DE259" s="59"/>
      <c r="DF259" s="59"/>
      <c r="DG259" s="59"/>
    </row>
    <row r="260" spans="1:111" ht="11.2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  <c r="BC260" s="59"/>
      <c r="BD260" s="59"/>
      <c r="BE260" s="59"/>
      <c r="BF260" s="59"/>
      <c r="BG260" s="59"/>
      <c r="BH260" s="59"/>
      <c r="BI260" s="59"/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59"/>
      <c r="BW260" s="59"/>
      <c r="BX260" s="59"/>
      <c r="BY260" s="59"/>
      <c r="BZ260" s="59"/>
      <c r="CA260" s="59"/>
      <c r="CB260" s="59"/>
      <c r="CC260" s="59"/>
      <c r="CD260" s="59"/>
      <c r="CE260" s="59"/>
      <c r="CF260" s="59"/>
      <c r="CG260" s="59"/>
      <c r="CH260" s="59"/>
      <c r="CI260" s="59"/>
      <c r="CJ260" s="59"/>
      <c r="CK260" s="59"/>
      <c r="CL260" s="59"/>
      <c r="CM260" s="59"/>
      <c r="CN260" s="59"/>
      <c r="CO260" s="59"/>
      <c r="CP260" s="59"/>
      <c r="CQ260" s="59"/>
      <c r="CR260" s="59"/>
      <c r="CS260" s="59"/>
      <c r="CT260" s="59"/>
      <c r="CU260" s="59"/>
      <c r="CV260" s="59"/>
      <c r="CW260" s="59"/>
      <c r="CX260" s="59"/>
      <c r="CY260" s="59"/>
      <c r="CZ260" s="59"/>
      <c r="DA260" s="59"/>
      <c r="DB260" s="59"/>
      <c r="DC260" s="59"/>
      <c r="DD260" s="59"/>
      <c r="DE260" s="59"/>
      <c r="DF260" s="59"/>
      <c r="DG260" s="59"/>
    </row>
    <row r="261" spans="1:111" ht="11.2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  <c r="BC261" s="59"/>
      <c r="BD261" s="59"/>
      <c r="BE261" s="59"/>
      <c r="BF261" s="59"/>
      <c r="BG261" s="59"/>
      <c r="BH261" s="59"/>
      <c r="BI261" s="59"/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59"/>
      <c r="CA261" s="59"/>
      <c r="CB261" s="59"/>
      <c r="CC261" s="59"/>
      <c r="CD261" s="59"/>
      <c r="CE261" s="59"/>
      <c r="CF261" s="59"/>
      <c r="CG261" s="59"/>
      <c r="CH261" s="59"/>
      <c r="CI261" s="59"/>
      <c r="CJ261" s="59"/>
      <c r="CK261" s="59"/>
      <c r="CL261" s="59"/>
      <c r="CM261" s="59"/>
      <c r="CN261" s="59"/>
      <c r="CO261" s="59"/>
      <c r="CP261" s="59"/>
      <c r="CQ261" s="59"/>
      <c r="CR261" s="59"/>
      <c r="CS261" s="59"/>
      <c r="CT261" s="59"/>
      <c r="CU261" s="59"/>
      <c r="CV261" s="59"/>
      <c r="CW261" s="59"/>
      <c r="CX261" s="59"/>
      <c r="CY261" s="59"/>
      <c r="CZ261" s="59"/>
      <c r="DA261" s="59"/>
      <c r="DB261" s="59"/>
      <c r="DC261" s="59"/>
      <c r="DD261" s="59"/>
      <c r="DE261" s="59"/>
      <c r="DF261" s="59"/>
      <c r="DG261" s="59"/>
    </row>
    <row r="262" spans="1:111" ht="11.2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  <c r="BC262" s="59"/>
      <c r="BD262" s="59"/>
      <c r="BE262" s="59"/>
      <c r="BF262" s="59"/>
      <c r="BG262" s="59"/>
      <c r="BH262" s="59"/>
      <c r="BI262" s="59"/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59"/>
      <c r="BW262" s="59"/>
      <c r="BX262" s="59"/>
      <c r="BY262" s="59"/>
      <c r="BZ262" s="59"/>
      <c r="CA262" s="59"/>
      <c r="CB262" s="59"/>
      <c r="CC262" s="59"/>
      <c r="CD262" s="59"/>
      <c r="CE262" s="59"/>
      <c r="CF262" s="59"/>
      <c r="CG262" s="59"/>
      <c r="CH262" s="59"/>
      <c r="CI262" s="59"/>
      <c r="CJ262" s="59"/>
      <c r="CK262" s="59"/>
      <c r="CL262" s="59"/>
      <c r="CM262" s="59"/>
      <c r="CN262" s="59"/>
      <c r="CO262" s="59"/>
      <c r="CP262" s="59"/>
      <c r="CQ262" s="59"/>
      <c r="CR262" s="59"/>
      <c r="CS262" s="59"/>
      <c r="CT262" s="59"/>
      <c r="CU262" s="59"/>
      <c r="CV262" s="59"/>
      <c r="CW262" s="59"/>
      <c r="CX262" s="59"/>
      <c r="CY262" s="59"/>
      <c r="CZ262" s="59"/>
      <c r="DA262" s="59"/>
      <c r="DB262" s="59"/>
      <c r="DC262" s="59"/>
      <c r="DD262" s="59"/>
      <c r="DE262" s="59"/>
      <c r="DF262" s="59"/>
      <c r="DG262" s="59"/>
    </row>
    <row r="263" spans="1:111" ht="11.2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59"/>
      <c r="CA263" s="59"/>
      <c r="CB263" s="59"/>
      <c r="CC263" s="59"/>
      <c r="CD263" s="59"/>
      <c r="CE263" s="59"/>
      <c r="CF263" s="59"/>
      <c r="CG263" s="59"/>
      <c r="CH263" s="59"/>
      <c r="CI263" s="59"/>
      <c r="CJ263" s="59"/>
      <c r="CK263" s="59"/>
      <c r="CL263" s="59"/>
      <c r="CM263" s="59"/>
      <c r="CN263" s="59"/>
      <c r="CO263" s="59"/>
      <c r="CP263" s="59"/>
      <c r="CQ263" s="59"/>
      <c r="CR263" s="59"/>
      <c r="CS263" s="59"/>
      <c r="CT263" s="59"/>
      <c r="CU263" s="59"/>
      <c r="CV263" s="59"/>
      <c r="CW263" s="59"/>
      <c r="CX263" s="59"/>
      <c r="CY263" s="59"/>
      <c r="CZ263" s="59"/>
      <c r="DA263" s="59"/>
      <c r="DB263" s="59"/>
      <c r="DC263" s="59"/>
      <c r="DD263" s="59"/>
      <c r="DE263" s="59"/>
      <c r="DF263" s="59"/>
      <c r="DG263" s="59"/>
    </row>
    <row r="264" spans="1:111" ht="11.2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59"/>
      <c r="CA264" s="59"/>
      <c r="CB264" s="59"/>
      <c r="CC264" s="59"/>
      <c r="CD264" s="59"/>
      <c r="CE264" s="59"/>
      <c r="CF264" s="59"/>
      <c r="CG264" s="59"/>
      <c r="CH264" s="59"/>
      <c r="CI264" s="59"/>
      <c r="CJ264" s="59"/>
      <c r="CK264" s="59"/>
      <c r="CL264" s="59"/>
      <c r="CM264" s="59"/>
      <c r="CN264" s="59"/>
      <c r="CO264" s="59"/>
      <c r="CP264" s="59"/>
      <c r="CQ264" s="59"/>
      <c r="CR264" s="59"/>
      <c r="CS264" s="59"/>
      <c r="CT264" s="59"/>
      <c r="CU264" s="59"/>
      <c r="CV264" s="59"/>
      <c r="CW264" s="59"/>
      <c r="CX264" s="59"/>
      <c r="CY264" s="59"/>
      <c r="CZ264" s="59"/>
      <c r="DA264" s="59"/>
      <c r="DB264" s="59"/>
      <c r="DC264" s="59"/>
      <c r="DD264" s="59"/>
      <c r="DE264" s="59"/>
      <c r="DF264" s="59"/>
      <c r="DG264" s="59"/>
    </row>
    <row r="265" spans="1:111" ht="11.2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59"/>
      <c r="CA265" s="59"/>
      <c r="CB265" s="59"/>
      <c r="CC265" s="59"/>
      <c r="CD265" s="59"/>
      <c r="CE265" s="59"/>
      <c r="CF265" s="59"/>
      <c r="CG265" s="59"/>
      <c r="CH265" s="59"/>
      <c r="CI265" s="59"/>
      <c r="CJ265" s="59"/>
      <c r="CK265" s="59"/>
      <c r="CL265" s="59"/>
      <c r="CM265" s="59"/>
      <c r="CN265" s="59"/>
      <c r="CO265" s="59"/>
      <c r="CP265" s="59"/>
      <c r="CQ265" s="59"/>
      <c r="CR265" s="59"/>
      <c r="CS265" s="59"/>
      <c r="CT265" s="59"/>
      <c r="CU265" s="59"/>
      <c r="CV265" s="59"/>
      <c r="CW265" s="59"/>
      <c r="CX265" s="59"/>
      <c r="CY265" s="59"/>
      <c r="CZ265" s="59"/>
      <c r="DA265" s="59"/>
      <c r="DB265" s="59"/>
      <c r="DC265" s="59"/>
      <c r="DD265" s="59"/>
      <c r="DE265" s="59"/>
      <c r="DF265" s="59"/>
      <c r="DG265" s="59"/>
    </row>
    <row r="266" spans="1:111" ht="11.2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59"/>
      <c r="CB266" s="59"/>
      <c r="CC266" s="59"/>
      <c r="CD266" s="59"/>
      <c r="CE266" s="59"/>
      <c r="CF266" s="59"/>
      <c r="CG266" s="59"/>
      <c r="CH266" s="59"/>
      <c r="CI266" s="59"/>
      <c r="CJ266" s="59"/>
      <c r="CK266" s="59"/>
      <c r="CL266" s="59"/>
      <c r="CM266" s="59"/>
      <c r="CN266" s="59"/>
      <c r="CO266" s="59"/>
      <c r="CP266" s="59"/>
      <c r="CQ266" s="59"/>
      <c r="CR266" s="59"/>
      <c r="CS266" s="59"/>
      <c r="CT266" s="59"/>
      <c r="CU266" s="59"/>
      <c r="CV266" s="59"/>
      <c r="CW266" s="59"/>
      <c r="CX266" s="59"/>
      <c r="CY266" s="59"/>
      <c r="CZ266" s="59"/>
      <c r="DA266" s="59"/>
      <c r="DB266" s="59"/>
      <c r="DC266" s="59"/>
      <c r="DD266" s="59"/>
      <c r="DE266" s="59"/>
      <c r="DF266" s="59"/>
      <c r="DG266" s="59"/>
    </row>
    <row r="267" spans="1:111" ht="11.2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59"/>
      <c r="CA267" s="59"/>
      <c r="CB267" s="59"/>
      <c r="CC267" s="59"/>
      <c r="CD267" s="59"/>
      <c r="CE267" s="59"/>
      <c r="CF267" s="59"/>
      <c r="CG267" s="59"/>
      <c r="CH267" s="59"/>
      <c r="CI267" s="59"/>
      <c r="CJ267" s="59"/>
      <c r="CK267" s="59"/>
      <c r="CL267" s="59"/>
      <c r="CM267" s="59"/>
      <c r="CN267" s="59"/>
      <c r="CO267" s="59"/>
      <c r="CP267" s="59"/>
      <c r="CQ267" s="59"/>
      <c r="CR267" s="59"/>
      <c r="CS267" s="59"/>
      <c r="CT267" s="59"/>
      <c r="CU267" s="59"/>
      <c r="CV267" s="59"/>
      <c r="CW267" s="59"/>
      <c r="CX267" s="59"/>
      <c r="CY267" s="59"/>
      <c r="CZ267" s="59"/>
      <c r="DA267" s="59"/>
      <c r="DB267" s="59"/>
      <c r="DC267" s="59"/>
      <c r="DD267" s="59"/>
      <c r="DE267" s="59"/>
      <c r="DF267" s="59"/>
      <c r="DG267" s="59"/>
    </row>
    <row r="268" spans="1:111" ht="11.2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59"/>
      <c r="CA268" s="59"/>
      <c r="CB268" s="59"/>
      <c r="CC268" s="59"/>
      <c r="CD268" s="59"/>
      <c r="CE268" s="59"/>
      <c r="CF268" s="59"/>
      <c r="CG268" s="59"/>
      <c r="CH268" s="59"/>
      <c r="CI268" s="59"/>
      <c r="CJ268" s="59"/>
      <c r="CK268" s="59"/>
      <c r="CL268" s="59"/>
      <c r="CM268" s="59"/>
      <c r="CN268" s="59"/>
      <c r="CO268" s="59"/>
      <c r="CP268" s="59"/>
      <c r="CQ268" s="59"/>
      <c r="CR268" s="59"/>
      <c r="CS268" s="59"/>
      <c r="CT268" s="59"/>
      <c r="CU268" s="59"/>
      <c r="CV268" s="59"/>
      <c r="CW268" s="59"/>
      <c r="CX268" s="59"/>
      <c r="CY268" s="59"/>
      <c r="CZ268" s="59"/>
      <c r="DA268" s="59"/>
      <c r="DB268" s="59"/>
      <c r="DC268" s="59"/>
      <c r="DD268" s="59"/>
      <c r="DE268" s="59"/>
      <c r="DF268" s="59"/>
      <c r="DG268" s="59"/>
    </row>
    <row r="269" spans="1:111" ht="11.2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59"/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59"/>
      <c r="BW269" s="59"/>
      <c r="BX269" s="59"/>
      <c r="BY269" s="59"/>
      <c r="BZ269" s="59"/>
      <c r="CA269" s="59"/>
      <c r="CB269" s="59"/>
      <c r="CC269" s="59"/>
      <c r="CD269" s="59"/>
      <c r="CE269" s="59"/>
      <c r="CF269" s="59"/>
      <c r="CG269" s="59"/>
      <c r="CH269" s="59"/>
      <c r="CI269" s="59"/>
      <c r="CJ269" s="59"/>
      <c r="CK269" s="59"/>
      <c r="CL269" s="59"/>
      <c r="CM269" s="59"/>
      <c r="CN269" s="59"/>
      <c r="CO269" s="59"/>
      <c r="CP269" s="59"/>
      <c r="CQ269" s="59"/>
      <c r="CR269" s="59"/>
      <c r="CS269" s="59"/>
      <c r="CT269" s="59"/>
      <c r="CU269" s="59"/>
      <c r="CV269" s="59"/>
      <c r="CW269" s="59"/>
      <c r="CX269" s="59"/>
      <c r="CY269" s="59"/>
      <c r="CZ269" s="59"/>
      <c r="DA269" s="59"/>
      <c r="DB269" s="59"/>
      <c r="DC269" s="59"/>
      <c r="DD269" s="59"/>
      <c r="DE269" s="59"/>
      <c r="DF269" s="59"/>
      <c r="DG269" s="59"/>
    </row>
    <row r="270" spans="1:111" ht="11.2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  <c r="BC270" s="59"/>
      <c r="BD270" s="59"/>
      <c r="BE270" s="59"/>
      <c r="BF270" s="59"/>
      <c r="BG270" s="59"/>
      <c r="BH270" s="59"/>
      <c r="BI270" s="59"/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59"/>
      <c r="BW270" s="59"/>
      <c r="BX270" s="59"/>
      <c r="BY270" s="59"/>
      <c r="BZ270" s="59"/>
      <c r="CA270" s="59"/>
      <c r="CB270" s="59"/>
      <c r="CC270" s="59"/>
      <c r="CD270" s="59"/>
      <c r="CE270" s="59"/>
      <c r="CF270" s="59"/>
      <c r="CG270" s="59"/>
      <c r="CH270" s="59"/>
      <c r="CI270" s="59"/>
      <c r="CJ270" s="59"/>
      <c r="CK270" s="59"/>
      <c r="CL270" s="59"/>
      <c r="CM270" s="59"/>
      <c r="CN270" s="59"/>
      <c r="CO270" s="59"/>
      <c r="CP270" s="59"/>
      <c r="CQ270" s="59"/>
      <c r="CR270" s="59"/>
      <c r="CS270" s="59"/>
      <c r="CT270" s="59"/>
      <c r="CU270" s="59"/>
      <c r="CV270" s="59"/>
      <c r="CW270" s="59"/>
      <c r="CX270" s="59"/>
      <c r="CY270" s="59"/>
      <c r="CZ270" s="59"/>
      <c r="DA270" s="59"/>
      <c r="DB270" s="59"/>
      <c r="DC270" s="59"/>
      <c r="DD270" s="59"/>
      <c r="DE270" s="59"/>
      <c r="DF270" s="59"/>
      <c r="DG270" s="59"/>
    </row>
    <row r="271" spans="1:111" ht="11.2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  <c r="BC271" s="59"/>
      <c r="BD271" s="59"/>
      <c r="BE271" s="59"/>
      <c r="BF271" s="59"/>
      <c r="BG271" s="59"/>
      <c r="BH271" s="59"/>
      <c r="BI271" s="59"/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59"/>
      <c r="BW271" s="59"/>
      <c r="BX271" s="59"/>
      <c r="BY271" s="59"/>
      <c r="BZ271" s="59"/>
      <c r="CA271" s="59"/>
      <c r="CB271" s="59"/>
      <c r="CC271" s="59"/>
      <c r="CD271" s="59"/>
      <c r="CE271" s="59"/>
      <c r="CF271" s="59"/>
      <c r="CG271" s="59"/>
      <c r="CH271" s="59"/>
      <c r="CI271" s="59"/>
      <c r="CJ271" s="59"/>
      <c r="CK271" s="59"/>
      <c r="CL271" s="59"/>
      <c r="CM271" s="59"/>
      <c r="CN271" s="59"/>
      <c r="CO271" s="59"/>
      <c r="CP271" s="59"/>
      <c r="CQ271" s="59"/>
      <c r="CR271" s="59"/>
      <c r="CS271" s="59"/>
      <c r="CT271" s="59"/>
      <c r="CU271" s="59"/>
      <c r="CV271" s="59"/>
      <c r="CW271" s="59"/>
      <c r="CX271" s="59"/>
      <c r="CY271" s="59"/>
      <c r="CZ271" s="59"/>
      <c r="DA271" s="59"/>
      <c r="DB271" s="59"/>
      <c r="DC271" s="59"/>
      <c r="DD271" s="59"/>
      <c r="DE271" s="59"/>
      <c r="DF271" s="59"/>
      <c r="DG271" s="59"/>
    </row>
    <row r="272" spans="1:111" ht="11.2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  <c r="AR272" s="59"/>
      <c r="AS272" s="59"/>
      <c r="AT272" s="59"/>
      <c r="AU272" s="59"/>
      <c r="AV272" s="59"/>
      <c r="AW272" s="59"/>
      <c r="AX272" s="59"/>
      <c r="AY272" s="59"/>
      <c r="AZ272" s="59"/>
      <c r="BA272" s="59"/>
      <c r="BB272" s="59"/>
      <c r="BC272" s="59"/>
      <c r="BD272" s="59"/>
      <c r="BE272" s="59"/>
      <c r="BF272" s="59"/>
      <c r="BG272" s="59"/>
      <c r="BH272" s="59"/>
      <c r="BI272" s="59"/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59"/>
      <c r="BW272" s="59"/>
      <c r="BX272" s="59"/>
      <c r="BY272" s="59"/>
      <c r="BZ272" s="59"/>
      <c r="CA272" s="59"/>
      <c r="CB272" s="59"/>
      <c r="CC272" s="59"/>
      <c r="CD272" s="59"/>
      <c r="CE272" s="59"/>
      <c r="CF272" s="59"/>
      <c r="CG272" s="59"/>
      <c r="CH272" s="59"/>
      <c r="CI272" s="59"/>
      <c r="CJ272" s="59"/>
      <c r="CK272" s="59"/>
      <c r="CL272" s="59"/>
      <c r="CM272" s="59"/>
      <c r="CN272" s="59"/>
      <c r="CO272" s="59"/>
      <c r="CP272" s="59"/>
      <c r="CQ272" s="59"/>
      <c r="CR272" s="59"/>
      <c r="CS272" s="59"/>
      <c r="CT272" s="59"/>
      <c r="CU272" s="59"/>
      <c r="CV272" s="59"/>
      <c r="CW272" s="59"/>
      <c r="CX272" s="59"/>
      <c r="CY272" s="59"/>
      <c r="CZ272" s="59"/>
      <c r="DA272" s="59"/>
      <c r="DB272" s="59"/>
      <c r="DC272" s="59"/>
      <c r="DD272" s="59"/>
      <c r="DE272" s="59"/>
      <c r="DF272" s="59"/>
      <c r="DG272" s="59"/>
    </row>
    <row r="273" spans="1:111" ht="11.2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9"/>
      <c r="AK273" s="59"/>
      <c r="AL273" s="59"/>
      <c r="AM273" s="59"/>
      <c r="AN273" s="59"/>
      <c r="AO273" s="59"/>
      <c r="AP273" s="59"/>
      <c r="AQ273" s="59"/>
      <c r="AR273" s="59"/>
      <c r="AS273" s="59"/>
      <c r="AT273" s="59"/>
      <c r="AU273" s="59"/>
      <c r="AV273" s="59"/>
      <c r="AW273" s="59"/>
      <c r="AX273" s="59"/>
      <c r="AY273" s="59"/>
      <c r="AZ273" s="59"/>
      <c r="BA273" s="59"/>
      <c r="BB273" s="59"/>
      <c r="BC273" s="59"/>
      <c r="BD273" s="59"/>
      <c r="BE273" s="59"/>
      <c r="BF273" s="59"/>
      <c r="BG273" s="59"/>
      <c r="BH273" s="59"/>
      <c r="BI273" s="59"/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59"/>
      <c r="BW273" s="59"/>
      <c r="BX273" s="59"/>
      <c r="BY273" s="59"/>
      <c r="BZ273" s="59"/>
      <c r="CA273" s="59"/>
      <c r="CB273" s="59"/>
      <c r="CC273" s="59"/>
      <c r="CD273" s="59"/>
      <c r="CE273" s="59"/>
      <c r="CF273" s="59"/>
      <c r="CG273" s="59"/>
      <c r="CH273" s="59"/>
      <c r="CI273" s="59"/>
      <c r="CJ273" s="59"/>
      <c r="CK273" s="59"/>
      <c r="CL273" s="59"/>
      <c r="CM273" s="59"/>
      <c r="CN273" s="59"/>
      <c r="CO273" s="59"/>
      <c r="CP273" s="59"/>
      <c r="CQ273" s="59"/>
      <c r="CR273" s="59"/>
      <c r="CS273" s="59"/>
      <c r="CT273" s="59"/>
      <c r="CU273" s="59"/>
      <c r="CV273" s="59"/>
      <c r="CW273" s="59"/>
      <c r="CX273" s="59"/>
      <c r="CY273" s="59"/>
      <c r="CZ273" s="59"/>
      <c r="DA273" s="59"/>
      <c r="DB273" s="59"/>
      <c r="DC273" s="59"/>
      <c r="DD273" s="59"/>
      <c r="DE273" s="59"/>
      <c r="DF273" s="59"/>
      <c r="DG273" s="59"/>
    </row>
    <row r="274" spans="1:111" ht="11.2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  <c r="BC274" s="59"/>
      <c r="BD274" s="59"/>
      <c r="BE274" s="59"/>
      <c r="BF274" s="59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59"/>
      <c r="CA274" s="59"/>
      <c r="CB274" s="59"/>
      <c r="CC274" s="59"/>
      <c r="CD274" s="59"/>
      <c r="CE274" s="59"/>
      <c r="CF274" s="59"/>
      <c r="CG274" s="59"/>
      <c r="CH274" s="59"/>
      <c r="CI274" s="59"/>
      <c r="CJ274" s="59"/>
      <c r="CK274" s="59"/>
      <c r="CL274" s="59"/>
      <c r="CM274" s="59"/>
      <c r="CN274" s="59"/>
      <c r="CO274" s="59"/>
      <c r="CP274" s="59"/>
      <c r="CQ274" s="59"/>
      <c r="CR274" s="59"/>
      <c r="CS274" s="59"/>
      <c r="CT274" s="59"/>
      <c r="CU274" s="59"/>
      <c r="CV274" s="59"/>
      <c r="CW274" s="59"/>
      <c r="CX274" s="59"/>
      <c r="CY274" s="59"/>
      <c r="CZ274" s="59"/>
      <c r="DA274" s="59"/>
      <c r="DB274" s="59"/>
      <c r="DC274" s="59"/>
      <c r="DD274" s="59"/>
      <c r="DE274" s="59"/>
      <c r="DF274" s="59"/>
      <c r="DG274" s="59"/>
    </row>
    <row r="275" spans="1:111" ht="11.2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  <c r="BC275" s="59"/>
      <c r="BD275" s="59"/>
      <c r="BE275" s="59"/>
      <c r="BF275" s="59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59"/>
      <c r="CA275" s="59"/>
      <c r="CB275" s="59"/>
      <c r="CC275" s="59"/>
      <c r="CD275" s="59"/>
      <c r="CE275" s="59"/>
      <c r="CF275" s="59"/>
      <c r="CG275" s="59"/>
      <c r="CH275" s="59"/>
      <c r="CI275" s="59"/>
      <c r="CJ275" s="59"/>
      <c r="CK275" s="59"/>
      <c r="CL275" s="59"/>
      <c r="CM275" s="59"/>
      <c r="CN275" s="59"/>
      <c r="CO275" s="59"/>
      <c r="CP275" s="59"/>
      <c r="CQ275" s="59"/>
      <c r="CR275" s="59"/>
      <c r="CS275" s="59"/>
      <c r="CT275" s="59"/>
      <c r="CU275" s="59"/>
      <c r="CV275" s="59"/>
      <c r="CW275" s="59"/>
      <c r="CX275" s="59"/>
      <c r="CY275" s="59"/>
      <c r="CZ275" s="59"/>
      <c r="DA275" s="59"/>
      <c r="DB275" s="59"/>
      <c r="DC275" s="59"/>
      <c r="DD275" s="59"/>
      <c r="DE275" s="59"/>
      <c r="DF275" s="59"/>
      <c r="DG275" s="59"/>
    </row>
    <row r="276" spans="1:111" ht="11.2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  <c r="BC276" s="59"/>
      <c r="BD276" s="59"/>
      <c r="BE276" s="59"/>
      <c r="BF276" s="59"/>
      <c r="BG276" s="59"/>
      <c r="BH276" s="59"/>
      <c r="BI276" s="59"/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59"/>
      <c r="BW276" s="59"/>
      <c r="BX276" s="59"/>
      <c r="BY276" s="59"/>
      <c r="BZ276" s="59"/>
      <c r="CA276" s="59"/>
      <c r="CB276" s="59"/>
      <c r="CC276" s="59"/>
      <c r="CD276" s="59"/>
      <c r="CE276" s="59"/>
      <c r="CF276" s="59"/>
      <c r="CG276" s="59"/>
      <c r="CH276" s="59"/>
      <c r="CI276" s="59"/>
      <c r="CJ276" s="59"/>
      <c r="CK276" s="59"/>
      <c r="CL276" s="59"/>
      <c r="CM276" s="59"/>
      <c r="CN276" s="59"/>
      <c r="CO276" s="59"/>
      <c r="CP276" s="59"/>
      <c r="CQ276" s="59"/>
      <c r="CR276" s="59"/>
      <c r="CS276" s="59"/>
      <c r="CT276" s="59"/>
      <c r="CU276" s="59"/>
      <c r="CV276" s="59"/>
      <c r="CW276" s="59"/>
      <c r="CX276" s="59"/>
      <c r="CY276" s="59"/>
      <c r="CZ276" s="59"/>
      <c r="DA276" s="59"/>
      <c r="DB276" s="59"/>
      <c r="DC276" s="59"/>
      <c r="DD276" s="59"/>
      <c r="DE276" s="59"/>
      <c r="DF276" s="59"/>
      <c r="DG276" s="59"/>
    </row>
    <row r="277" spans="1:111" ht="11.2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59"/>
      <c r="BI277" s="59"/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  <c r="BV277" s="59"/>
      <c r="BW277" s="59"/>
      <c r="BX277" s="59"/>
      <c r="BY277" s="59"/>
      <c r="BZ277" s="59"/>
      <c r="CA277" s="59"/>
      <c r="CB277" s="59"/>
      <c r="CC277" s="59"/>
      <c r="CD277" s="59"/>
      <c r="CE277" s="59"/>
      <c r="CF277" s="59"/>
      <c r="CG277" s="59"/>
      <c r="CH277" s="59"/>
      <c r="CI277" s="59"/>
      <c r="CJ277" s="59"/>
      <c r="CK277" s="59"/>
      <c r="CL277" s="59"/>
      <c r="CM277" s="59"/>
      <c r="CN277" s="59"/>
      <c r="CO277" s="59"/>
      <c r="CP277" s="59"/>
      <c r="CQ277" s="59"/>
      <c r="CR277" s="59"/>
      <c r="CS277" s="59"/>
      <c r="CT277" s="59"/>
      <c r="CU277" s="59"/>
      <c r="CV277" s="59"/>
      <c r="CW277" s="59"/>
      <c r="CX277" s="59"/>
      <c r="CY277" s="59"/>
      <c r="CZ277" s="59"/>
      <c r="DA277" s="59"/>
      <c r="DB277" s="59"/>
      <c r="DC277" s="59"/>
      <c r="DD277" s="59"/>
      <c r="DE277" s="59"/>
      <c r="DF277" s="59"/>
      <c r="DG277" s="59"/>
    </row>
    <row r="278" spans="1:111" ht="11.2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  <c r="BC278" s="59"/>
      <c r="BD278" s="59"/>
      <c r="BE278" s="59"/>
      <c r="BF278" s="59"/>
      <c r="BG278" s="59"/>
      <c r="BH278" s="59"/>
      <c r="BI278" s="59"/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BV278" s="59"/>
      <c r="BW278" s="59"/>
      <c r="BX278" s="59"/>
      <c r="BY278" s="59"/>
      <c r="BZ278" s="59"/>
      <c r="CA278" s="59"/>
      <c r="CB278" s="59"/>
      <c r="CC278" s="59"/>
      <c r="CD278" s="59"/>
      <c r="CE278" s="59"/>
      <c r="CF278" s="59"/>
      <c r="CG278" s="59"/>
      <c r="CH278" s="59"/>
      <c r="CI278" s="59"/>
      <c r="CJ278" s="59"/>
      <c r="CK278" s="59"/>
      <c r="CL278" s="59"/>
      <c r="CM278" s="59"/>
      <c r="CN278" s="59"/>
      <c r="CO278" s="59"/>
      <c r="CP278" s="59"/>
      <c r="CQ278" s="59"/>
      <c r="CR278" s="59"/>
      <c r="CS278" s="59"/>
      <c r="CT278" s="59"/>
      <c r="CU278" s="59"/>
      <c r="CV278" s="59"/>
      <c r="CW278" s="59"/>
      <c r="CX278" s="59"/>
      <c r="CY278" s="59"/>
      <c r="CZ278" s="59"/>
      <c r="DA278" s="59"/>
      <c r="DB278" s="59"/>
      <c r="DC278" s="59"/>
      <c r="DD278" s="59"/>
      <c r="DE278" s="59"/>
      <c r="DF278" s="59"/>
      <c r="DG278" s="59"/>
    </row>
    <row r="279" spans="1:111" ht="11.2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9"/>
      <c r="AW279" s="59"/>
      <c r="AX279" s="59"/>
      <c r="AY279" s="59"/>
      <c r="AZ279" s="59"/>
      <c r="BA279" s="59"/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BV279" s="59"/>
      <c r="BW279" s="59"/>
      <c r="BX279" s="59"/>
      <c r="BY279" s="59"/>
      <c r="BZ279" s="59"/>
      <c r="CA279" s="59"/>
      <c r="CB279" s="59"/>
      <c r="CC279" s="59"/>
      <c r="CD279" s="59"/>
      <c r="CE279" s="59"/>
      <c r="CF279" s="59"/>
      <c r="CG279" s="59"/>
      <c r="CH279" s="59"/>
      <c r="CI279" s="59"/>
      <c r="CJ279" s="59"/>
      <c r="CK279" s="59"/>
      <c r="CL279" s="59"/>
      <c r="CM279" s="59"/>
      <c r="CN279" s="59"/>
      <c r="CO279" s="59"/>
      <c r="CP279" s="59"/>
      <c r="CQ279" s="59"/>
      <c r="CR279" s="59"/>
      <c r="CS279" s="59"/>
      <c r="CT279" s="59"/>
      <c r="CU279" s="59"/>
      <c r="CV279" s="59"/>
      <c r="CW279" s="59"/>
      <c r="CX279" s="59"/>
      <c r="CY279" s="59"/>
      <c r="CZ279" s="59"/>
      <c r="DA279" s="59"/>
      <c r="DB279" s="59"/>
      <c r="DC279" s="59"/>
      <c r="DD279" s="59"/>
      <c r="DE279" s="59"/>
      <c r="DF279" s="59"/>
      <c r="DG279" s="59"/>
    </row>
    <row r="280" spans="1:111" ht="11.2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9"/>
      <c r="AW280" s="59"/>
      <c r="AX280" s="59"/>
      <c r="AY280" s="59"/>
      <c r="AZ280" s="59"/>
      <c r="BA280" s="59"/>
      <c r="BB280" s="59"/>
      <c r="BC280" s="59"/>
      <c r="BD280" s="59"/>
      <c r="BE280" s="59"/>
      <c r="BF280" s="59"/>
      <c r="BG280" s="59"/>
      <c r="BH280" s="59"/>
      <c r="BI280" s="59"/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BV280" s="59"/>
      <c r="BW280" s="59"/>
      <c r="BX280" s="59"/>
      <c r="BY280" s="59"/>
      <c r="BZ280" s="59"/>
      <c r="CA280" s="59"/>
      <c r="CB280" s="59"/>
      <c r="CC280" s="59"/>
      <c r="CD280" s="59"/>
      <c r="CE280" s="59"/>
      <c r="CF280" s="59"/>
      <c r="CG280" s="59"/>
      <c r="CH280" s="59"/>
      <c r="CI280" s="59"/>
      <c r="CJ280" s="59"/>
      <c r="CK280" s="59"/>
      <c r="CL280" s="59"/>
      <c r="CM280" s="59"/>
      <c r="CN280" s="59"/>
      <c r="CO280" s="59"/>
      <c r="CP280" s="59"/>
      <c r="CQ280" s="59"/>
      <c r="CR280" s="59"/>
      <c r="CS280" s="59"/>
      <c r="CT280" s="59"/>
      <c r="CU280" s="59"/>
      <c r="CV280" s="59"/>
      <c r="CW280" s="59"/>
      <c r="CX280" s="59"/>
      <c r="CY280" s="59"/>
      <c r="CZ280" s="59"/>
      <c r="DA280" s="59"/>
      <c r="DB280" s="59"/>
      <c r="DC280" s="59"/>
      <c r="DD280" s="59"/>
      <c r="DE280" s="59"/>
      <c r="DF280" s="59"/>
      <c r="DG280" s="59"/>
    </row>
    <row r="281" spans="1:111" ht="11.2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9"/>
      <c r="AW281" s="59"/>
      <c r="AX281" s="59"/>
      <c r="AY281" s="59"/>
      <c r="AZ281" s="59"/>
      <c r="BA281" s="59"/>
      <c r="BB281" s="59"/>
      <c r="BC281" s="59"/>
      <c r="BD281" s="59"/>
      <c r="BE281" s="59"/>
      <c r="BF281" s="59"/>
      <c r="BG281" s="59"/>
      <c r="BH281" s="59"/>
      <c r="BI281" s="59"/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BV281" s="59"/>
      <c r="BW281" s="59"/>
      <c r="BX281" s="59"/>
      <c r="BY281" s="59"/>
      <c r="BZ281" s="59"/>
      <c r="CA281" s="59"/>
      <c r="CB281" s="59"/>
      <c r="CC281" s="59"/>
      <c r="CD281" s="59"/>
      <c r="CE281" s="59"/>
      <c r="CF281" s="59"/>
      <c r="CG281" s="59"/>
      <c r="CH281" s="59"/>
      <c r="CI281" s="59"/>
      <c r="CJ281" s="59"/>
      <c r="CK281" s="59"/>
      <c r="CL281" s="59"/>
      <c r="CM281" s="59"/>
      <c r="CN281" s="59"/>
      <c r="CO281" s="59"/>
      <c r="CP281" s="59"/>
      <c r="CQ281" s="59"/>
      <c r="CR281" s="59"/>
      <c r="CS281" s="59"/>
      <c r="CT281" s="59"/>
      <c r="CU281" s="59"/>
      <c r="CV281" s="59"/>
      <c r="CW281" s="59"/>
      <c r="CX281" s="59"/>
      <c r="CY281" s="59"/>
      <c r="CZ281" s="59"/>
      <c r="DA281" s="59"/>
      <c r="DB281" s="59"/>
      <c r="DC281" s="59"/>
      <c r="DD281" s="59"/>
      <c r="DE281" s="59"/>
      <c r="DF281" s="59"/>
      <c r="DG281" s="59"/>
    </row>
    <row r="282" spans="1:111" ht="11.2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9"/>
      <c r="AW282" s="59"/>
      <c r="AX282" s="59"/>
      <c r="AY282" s="59"/>
      <c r="AZ282" s="59"/>
      <c r="BA282" s="59"/>
      <c r="BB282" s="59"/>
      <c r="BC282" s="59"/>
      <c r="BD282" s="59"/>
      <c r="BE282" s="59"/>
      <c r="BF282" s="59"/>
      <c r="BG282" s="59"/>
      <c r="BH282" s="59"/>
      <c r="BI282" s="59"/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BV282" s="59"/>
      <c r="BW282" s="59"/>
      <c r="BX282" s="59"/>
      <c r="BY282" s="59"/>
      <c r="BZ282" s="59"/>
      <c r="CA282" s="59"/>
      <c r="CB282" s="59"/>
      <c r="CC282" s="59"/>
      <c r="CD282" s="59"/>
      <c r="CE282" s="59"/>
      <c r="CF282" s="59"/>
      <c r="CG282" s="59"/>
      <c r="CH282" s="59"/>
      <c r="CI282" s="59"/>
      <c r="CJ282" s="59"/>
      <c r="CK282" s="59"/>
      <c r="CL282" s="59"/>
      <c r="CM282" s="59"/>
      <c r="CN282" s="59"/>
      <c r="CO282" s="59"/>
      <c r="CP282" s="59"/>
      <c r="CQ282" s="59"/>
      <c r="CR282" s="59"/>
      <c r="CS282" s="59"/>
      <c r="CT282" s="59"/>
      <c r="CU282" s="59"/>
      <c r="CV282" s="59"/>
      <c r="CW282" s="59"/>
      <c r="CX282" s="59"/>
      <c r="CY282" s="59"/>
      <c r="CZ282" s="59"/>
      <c r="DA282" s="59"/>
      <c r="DB282" s="59"/>
      <c r="DC282" s="59"/>
      <c r="DD282" s="59"/>
      <c r="DE282" s="59"/>
      <c r="DF282" s="59"/>
      <c r="DG282" s="59"/>
    </row>
    <row r="283" spans="1:111" ht="11.2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  <c r="BC283" s="59"/>
      <c r="BD283" s="59"/>
      <c r="BE283" s="59"/>
      <c r="BF283" s="59"/>
      <c r="BG283" s="59"/>
      <c r="BH283" s="59"/>
      <c r="BI283" s="59"/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BV283" s="59"/>
      <c r="BW283" s="59"/>
      <c r="BX283" s="59"/>
      <c r="BY283" s="59"/>
      <c r="BZ283" s="59"/>
      <c r="CA283" s="59"/>
      <c r="CB283" s="59"/>
      <c r="CC283" s="59"/>
      <c r="CD283" s="59"/>
      <c r="CE283" s="59"/>
      <c r="CF283" s="59"/>
      <c r="CG283" s="59"/>
      <c r="CH283" s="59"/>
      <c r="CI283" s="59"/>
      <c r="CJ283" s="59"/>
      <c r="CK283" s="59"/>
      <c r="CL283" s="59"/>
      <c r="CM283" s="59"/>
      <c r="CN283" s="59"/>
      <c r="CO283" s="59"/>
      <c r="CP283" s="59"/>
      <c r="CQ283" s="59"/>
      <c r="CR283" s="59"/>
      <c r="CS283" s="59"/>
      <c r="CT283" s="59"/>
      <c r="CU283" s="59"/>
      <c r="CV283" s="59"/>
      <c r="CW283" s="59"/>
      <c r="CX283" s="59"/>
      <c r="CY283" s="59"/>
      <c r="CZ283" s="59"/>
      <c r="DA283" s="59"/>
      <c r="DB283" s="59"/>
      <c r="DC283" s="59"/>
      <c r="DD283" s="59"/>
      <c r="DE283" s="59"/>
      <c r="DF283" s="59"/>
      <c r="DG283" s="59"/>
    </row>
    <row r="284" spans="1:111" ht="11.2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AN284" s="59"/>
      <c r="AO284" s="59"/>
      <c r="AP284" s="59"/>
      <c r="AQ284" s="59"/>
      <c r="AR284" s="59"/>
      <c r="AS284" s="59"/>
      <c r="AT284" s="59"/>
      <c r="AU284" s="59"/>
      <c r="AV284" s="59"/>
      <c r="AW284" s="59"/>
      <c r="AX284" s="59"/>
      <c r="AY284" s="59"/>
      <c r="AZ284" s="59"/>
      <c r="BA284" s="59"/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BV284" s="59"/>
      <c r="BW284" s="59"/>
      <c r="BX284" s="59"/>
      <c r="BY284" s="59"/>
      <c r="BZ284" s="59"/>
      <c r="CA284" s="59"/>
      <c r="CB284" s="59"/>
      <c r="CC284" s="59"/>
      <c r="CD284" s="59"/>
      <c r="CE284" s="59"/>
      <c r="CF284" s="59"/>
      <c r="CG284" s="59"/>
      <c r="CH284" s="59"/>
      <c r="CI284" s="59"/>
      <c r="CJ284" s="59"/>
      <c r="CK284" s="59"/>
      <c r="CL284" s="59"/>
      <c r="CM284" s="59"/>
      <c r="CN284" s="59"/>
      <c r="CO284" s="59"/>
      <c r="CP284" s="59"/>
      <c r="CQ284" s="59"/>
      <c r="CR284" s="59"/>
      <c r="CS284" s="59"/>
      <c r="CT284" s="59"/>
      <c r="CU284" s="59"/>
      <c r="CV284" s="59"/>
      <c r="CW284" s="59"/>
      <c r="CX284" s="59"/>
      <c r="CY284" s="59"/>
      <c r="CZ284" s="59"/>
      <c r="DA284" s="59"/>
      <c r="DB284" s="59"/>
      <c r="DC284" s="59"/>
      <c r="DD284" s="59"/>
      <c r="DE284" s="59"/>
      <c r="DF284" s="59"/>
      <c r="DG284" s="59"/>
    </row>
    <row r="285" spans="1:111" ht="11.2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  <c r="AL285" s="59"/>
      <c r="AM285" s="59"/>
      <c r="AN285" s="59"/>
      <c r="AO285" s="59"/>
      <c r="AP285" s="59"/>
      <c r="AQ285" s="59"/>
      <c r="AR285" s="59"/>
      <c r="AS285" s="59"/>
      <c r="AT285" s="59"/>
      <c r="AU285" s="59"/>
      <c r="AV285" s="59"/>
      <c r="AW285" s="59"/>
      <c r="AX285" s="59"/>
      <c r="AY285" s="59"/>
      <c r="AZ285" s="59"/>
      <c r="BA285" s="59"/>
      <c r="BB285" s="59"/>
      <c r="BC285" s="59"/>
      <c r="BD285" s="59"/>
      <c r="BE285" s="59"/>
      <c r="BF285" s="59"/>
      <c r="BG285" s="59"/>
      <c r="BH285" s="59"/>
      <c r="BI285" s="59"/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BV285" s="59"/>
      <c r="BW285" s="59"/>
      <c r="BX285" s="59"/>
      <c r="BY285" s="59"/>
      <c r="BZ285" s="59"/>
      <c r="CA285" s="59"/>
      <c r="CB285" s="59"/>
      <c r="CC285" s="59"/>
      <c r="CD285" s="59"/>
      <c r="CE285" s="59"/>
      <c r="CF285" s="59"/>
      <c r="CG285" s="59"/>
      <c r="CH285" s="59"/>
      <c r="CI285" s="59"/>
      <c r="CJ285" s="59"/>
      <c r="CK285" s="59"/>
      <c r="CL285" s="59"/>
      <c r="CM285" s="59"/>
      <c r="CN285" s="59"/>
      <c r="CO285" s="59"/>
      <c r="CP285" s="59"/>
      <c r="CQ285" s="59"/>
      <c r="CR285" s="59"/>
      <c r="CS285" s="59"/>
      <c r="CT285" s="59"/>
      <c r="CU285" s="59"/>
      <c r="CV285" s="59"/>
      <c r="CW285" s="59"/>
      <c r="CX285" s="59"/>
      <c r="CY285" s="59"/>
      <c r="CZ285" s="59"/>
      <c r="DA285" s="59"/>
      <c r="DB285" s="59"/>
      <c r="DC285" s="59"/>
      <c r="DD285" s="59"/>
      <c r="DE285" s="59"/>
      <c r="DF285" s="59"/>
      <c r="DG285" s="59"/>
    </row>
    <row r="286" spans="1:111" ht="11.25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/>
      <c r="BF286" s="59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BZ286" s="59"/>
      <c r="CA286" s="59"/>
      <c r="CB286" s="59"/>
      <c r="CC286" s="59"/>
      <c r="CD286" s="59"/>
      <c r="CE286" s="59"/>
      <c r="CF286" s="59"/>
      <c r="CG286" s="59"/>
      <c r="CH286" s="59"/>
      <c r="CI286" s="59"/>
      <c r="CJ286" s="59"/>
      <c r="CK286" s="59"/>
      <c r="CL286" s="59"/>
      <c r="CM286" s="59"/>
      <c r="CN286" s="59"/>
      <c r="CO286" s="59"/>
      <c r="CP286" s="59"/>
      <c r="CQ286" s="59"/>
      <c r="CR286" s="59"/>
      <c r="CS286" s="59"/>
      <c r="CT286" s="59"/>
      <c r="CU286" s="59"/>
      <c r="CV286" s="59"/>
      <c r="CW286" s="59"/>
      <c r="CX286" s="59"/>
      <c r="CY286" s="59"/>
      <c r="CZ286" s="59"/>
      <c r="DA286" s="59"/>
      <c r="DB286" s="59"/>
      <c r="DC286" s="59"/>
      <c r="DD286" s="59"/>
      <c r="DE286" s="59"/>
      <c r="DF286" s="59"/>
      <c r="DG286" s="59"/>
    </row>
    <row r="287" spans="1:111" ht="11.2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  <c r="BC287" s="59"/>
      <c r="BD287" s="59"/>
      <c r="BE287" s="59"/>
      <c r="BF287" s="59"/>
      <c r="BG287" s="59"/>
      <c r="BH287" s="59"/>
      <c r="BI287" s="59"/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BV287" s="59"/>
      <c r="BW287" s="59"/>
      <c r="BX287" s="59"/>
      <c r="BY287" s="59"/>
      <c r="BZ287" s="59"/>
      <c r="CA287" s="59"/>
      <c r="CB287" s="59"/>
      <c r="CC287" s="59"/>
      <c r="CD287" s="59"/>
      <c r="CE287" s="59"/>
      <c r="CF287" s="59"/>
      <c r="CG287" s="59"/>
      <c r="CH287" s="59"/>
      <c r="CI287" s="59"/>
      <c r="CJ287" s="59"/>
      <c r="CK287" s="59"/>
      <c r="CL287" s="59"/>
      <c r="CM287" s="59"/>
      <c r="CN287" s="59"/>
      <c r="CO287" s="59"/>
      <c r="CP287" s="59"/>
      <c r="CQ287" s="59"/>
      <c r="CR287" s="59"/>
      <c r="CS287" s="59"/>
      <c r="CT287" s="59"/>
      <c r="CU287" s="59"/>
      <c r="CV287" s="59"/>
      <c r="CW287" s="59"/>
      <c r="CX287" s="59"/>
      <c r="CY287" s="59"/>
      <c r="CZ287" s="59"/>
      <c r="DA287" s="59"/>
      <c r="DB287" s="59"/>
      <c r="DC287" s="59"/>
      <c r="DD287" s="59"/>
      <c r="DE287" s="59"/>
      <c r="DF287" s="59"/>
      <c r="DG287" s="59"/>
    </row>
    <row r="288" spans="1:111" ht="11.2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59"/>
      <c r="AO288" s="59"/>
      <c r="AP288" s="59"/>
      <c r="AQ288" s="59"/>
      <c r="AR288" s="59"/>
      <c r="AS288" s="59"/>
      <c r="AT288" s="59"/>
      <c r="AU288" s="59"/>
      <c r="AV288" s="59"/>
      <c r="AW288" s="59"/>
      <c r="AX288" s="59"/>
      <c r="AY288" s="59"/>
      <c r="AZ288" s="59"/>
      <c r="BA288" s="59"/>
      <c r="BB288" s="59"/>
      <c r="BC288" s="59"/>
      <c r="BD288" s="59"/>
      <c r="BE288" s="59"/>
      <c r="BF288" s="59"/>
      <c r="BG288" s="59"/>
      <c r="BH288" s="59"/>
      <c r="BI288" s="59"/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BV288" s="59"/>
      <c r="BW288" s="59"/>
      <c r="BX288" s="59"/>
      <c r="BY288" s="59"/>
      <c r="BZ288" s="59"/>
      <c r="CA288" s="59"/>
      <c r="CB288" s="59"/>
      <c r="CC288" s="59"/>
      <c r="CD288" s="59"/>
      <c r="CE288" s="59"/>
      <c r="CF288" s="59"/>
      <c r="CG288" s="59"/>
      <c r="CH288" s="59"/>
      <c r="CI288" s="59"/>
      <c r="CJ288" s="59"/>
      <c r="CK288" s="59"/>
      <c r="CL288" s="59"/>
      <c r="CM288" s="59"/>
      <c r="CN288" s="59"/>
      <c r="CO288" s="59"/>
      <c r="CP288" s="59"/>
      <c r="CQ288" s="59"/>
      <c r="CR288" s="59"/>
      <c r="CS288" s="59"/>
      <c r="CT288" s="59"/>
      <c r="CU288" s="59"/>
      <c r="CV288" s="59"/>
      <c r="CW288" s="59"/>
      <c r="CX288" s="59"/>
      <c r="CY288" s="59"/>
      <c r="CZ288" s="59"/>
      <c r="DA288" s="59"/>
      <c r="DB288" s="59"/>
      <c r="DC288" s="59"/>
      <c r="DD288" s="59"/>
      <c r="DE288" s="59"/>
      <c r="DF288" s="59"/>
      <c r="DG288" s="59"/>
    </row>
    <row r="289" spans="1:111" ht="11.2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  <c r="BC289" s="59"/>
      <c r="BD289" s="59"/>
      <c r="BE289" s="59"/>
      <c r="BF289" s="59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BZ289" s="59"/>
      <c r="CA289" s="59"/>
      <c r="CB289" s="59"/>
      <c r="CC289" s="59"/>
      <c r="CD289" s="59"/>
      <c r="CE289" s="59"/>
      <c r="CF289" s="59"/>
      <c r="CG289" s="59"/>
      <c r="CH289" s="59"/>
      <c r="CI289" s="59"/>
      <c r="CJ289" s="59"/>
      <c r="CK289" s="59"/>
      <c r="CL289" s="59"/>
      <c r="CM289" s="59"/>
      <c r="CN289" s="59"/>
      <c r="CO289" s="59"/>
      <c r="CP289" s="59"/>
      <c r="CQ289" s="59"/>
      <c r="CR289" s="59"/>
      <c r="CS289" s="59"/>
      <c r="CT289" s="59"/>
      <c r="CU289" s="59"/>
      <c r="CV289" s="59"/>
      <c r="CW289" s="59"/>
      <c r="CX289" s="59"/>
      <c r="CY289" s="59"/>
      <c r="CZ289" s="59"/>
      <c r="DA289" s="59"/>
      <c r="DB289" s="59"/>
      <c r="DC289" s="59"/>
      <c r="DD289" s="59"/>
      <c r="DE289" s="59"/>
      <c r="DF289" s="59"/>
      <c r="DG289" s="59"/>
    </row>
    <row r="290" spans="1:111" ht="11.2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BZ290" s="59"/>
      <c r="CA290" s="59"/>
      <c r="CB290" s="59"/>
      <c r="CC290" s="59"/>
      <c r="CD290" s="59"/>
      <c r="CE290" s="59"/>
      <c r="CF290" s="59"/>
      <c r="CG290" s="59"/>
      <c r="CH290" s="59"/>
      <c r="CI290" s="59"/>
      <c r="CJ290" s="59"/>
      <c r="CK290" s="59"/>
      <c r="CL290" s="59"/>
      <c r="CM290" s="59"/>
      <c r="CN290" s="59"/>
      <c r="CO290" s="59"/>
      <c r="CP290" s="59"/>
      <c r="CQ290" s="59"/>
      <c r="CR290" s="59"/>
      <c r="CS290" s="59"/>
      <c r="CT290" s="59"/>
      <c r="CU290" s="59"/>
      <c r="CV290" s="59"/>
      <c r="CW290" s="59"/>
      <c r="CX290" s="59"/>
      <c r="CY290" s="59"/>
      <c r="CZ290" s="59"/>
      <c r="DA290" s="59"/>
      <c r="DB290" s="59"/>
      <c r="DC290" s="59"/>
      <c r="DD290" s="59"/>
      <c r="DE290" s="59"/>
      <c r="DF290" s="59"/>
      <c r="DG290" s="59"/>
    </row>
    <row r="291" spans="1:111" ht="11.2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  <c r="BC291" s="59"/>
      <c r="BD291" s="59"/>
      <c r="BE291" s="59"/>
      <c r="BF291" s="59"/>
      <c r="BG291" s="59"/>
      <c r="BH291" s="59"/>
      <c r="BI291" s="59"/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BV291" s="59"/>
      <c r="BW291" s="59"/>
      <c r="BX291" s="59"/>
      <c r="BY291" s="59"/>
      <c r="BZ291" s="59"/>
      <c r="CA291" s="59"/>
      <c r="CB291" s="59"/>
      <c r="CC291" s="59"/>
      <c r="CD291" s="59"/>
      <c r="CE291" s="59"/>
      <c r="CF291" s="59"/>
      <c r="CG291" s="59"/>
      <c r="CH291" s="59"/>
      <c r="CI291" s="59"/>
      <c r="CJ291" s="59"/>
      <c r="CK291" s="59"/>
      <c r="CL291" s="59"/>
      <c r="CM291" s="59"/>
      <c r="CN291" s="59"/>
      <c r="CO291" s="59"/>
      <c r="CP291" s="59"/>
      <c r="CQ291" s="59"/>
      <c r="CR291" s="59"/>
      <c r="CS291" s="59"/>
      <c r="CT291" s="59"/>
      <c r="CU291" s="59"/>
      <c r="CV291" s="59"/>
      <c r="CW291" s="59"/>
      <c r="CX291" s="59"/>
      <c r="CY291" s="59"/>
      <c r="CZ291" s="59"/>
      <c r="DA291" s="59"/>
      <c r="DB291" s="59"/>
      <c r="DC291" s="59"/>
      <c r="DD291" s="59"/>
      <c r="DE291" s="59"/>
      <c r="DF291" s="59"/>
      <c r="DG291" s="59"/>
    </row>
    <row r="292" spans="1:111" ht="11.2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9"/>
      <c r="AQ292" s="59"/>
      <c r="AR292" s="59"/>
      <c r="AS292" s="59"/>
      <c r="AT292" s="59"/>
      <c r="AU292" s="59"/>
      <c r="AV292" s="59"/>
      <c r="AW292" s="59"/>
      <c r="AX292" s="59"/>
      <c r="AY292" s="59"/>
      <c r="AZ292" s="59"/>
      <c r="BA292" s="59"/>
      <c r="BB292" s="59"/>
      <c r="BC292" s="59"/>
      <c r="BD292" s="59"/>
      <c r="BE292" s="59"/>
      <c r="BF292" s="59"/>
      <c r="BG292" s="59"/>
      <c r="BH292" s="59"/>
      <c r="BI292" s="59"/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BV292" s="59"/>
      <c r="BW292" s="59"/>
      <c r="BX292" s="59"/>
      <c r="BY292" s="59"/>
      <c r="BZ292" s="59"/>
      <c r="CA292" s="59"/>
      <c r="CB292" s="59"/>
      <c r="CC292" s="59"/>
      <c r="CD292" s="59"/>
      <c r="CE292" s="59"/>
      <c r="CF292" s="59"/>
      <c r="CG292" s="59"/>
      <c r="CH292" s="59"/>
      <c r="CI292" s="59"/>
      <c r="CJ292" s="59"/>
      <c r="CK292" s="59"/>
      <c r="CL292" s="59"/>
      <c r="CM292" s="59"/>
      <c r="CN292" s="59"/>
      <c r="CO292" s="59"/>
      <c r="CP292" s="59"/>
      <c r="CQ292" s="59"/>
      <c r="CR292" s="59"/>
      <c r="CS292" s="59"/>
      <c r="CT292" s="59"/>
      <c r="CU292" s="59"/>
      <c r="CV292" s="59"/>
      <c r="CW292" s="59"/>
      <c r="CX292" s="59"/>
      <c r="CY292" s="59"/>
      <c r="CZ292" s="59"/>
      <c r="DA292" s="59"/>
      <c r="DB292" s="59"/>
      <c r="DC292" s="59"/>
      <c r="DD292" s="59"/>
      <c r="DE292" s="59"/>
      <c r="DF292" s="59"/>
      <c r="DG292" s="59"/>
    </row>
    <row r="293" spans="1:111" ht="11.2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  <c r="BC293" s="59"/>
      <c r="BD293" s="59"/>
      <c r="BE293" s="59"/>
      <c r="BF293" s="59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BZ293" s="59"/>
      <c r="CA293" s="59"/>
      <c r="CB293" s="59"/>
      <c r="CC293" s="59"/>
      <c r="CD293" s="59"/>
      <c r="CE293" s="59"/>
      <c r="CF293" s="59"/>
      <c r="CG293" s="59"/>
      <c r="CH293" s="59"/>
      <c r="CI293" s="59"/>
      <c r="CJ293" s="59"/>
      <c r="CK293" s="59"/>
      <c r="CL293" s="59"/>
      <c r="CM293" s="59"/>
      <c r="CN293" s="59"/>
      <c r="CO293" s="59"/>
      <c r="CP293" s="59"/>
      <c r="CQ293" s="59"/>
      <c r="CR293" s="59"/>
      <c r="CS293" s="59"/>
      <c r="CT293" s="59"/>
      <c r="CU293" s="59"/>
      <c r="CV293" s="59"/>
      <c r="CW293" s="59"/>
      <c r="CX293" s="59"/>
      <c r="CY293" s="59"/>
      <c r="CZ293" s="59"/>
      <c r="DA293" s="59"/>
      <c r="DB293" s="59"/>
      <c r="DC293" s="59"/>
      <c r="DD293" s="59"/>
      <c r="DE293" s="59"/>
      <c r="DF293" s="59"/>
      <c r="DG293" s="59"/>
    </row>
    <row r="294" spans="1:111" ht="11.2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59"/>
      <c r="CA294" s="59"/>
      <c r="CB294" s="59"/>
      <c r="CC294" s="59"/>
      <c r="CD294" s="59"/>
      <c r="CE294" s="59"/>
      <c r="CF294" s="59"/>
      <c r="CG294" s="59"/>
      <c r="CH294" s="59"/>
      <c r="CI294" s="59"/>
      <c r="CJ294" s="59"/>
      <c r="CK294" s="59"/>
      <c r="CL294" s="59"/>
      <c r="CM294" s="59"/>
      <c r="CN294" s="59"/>
      <c r="CO294" s="59"/>
      <c r="CP294" s="59"/>
      <c r="CQ294" s="59"/>
      <c r="CR294" s="59"/>
      <c r="CS294" s="59"/>
      <c r="CT294" s="59"/>
      <c r="CU294" s="59"/>
      <c r="CV294" s="59"/>
      <c r="CW294" s="59"/>
      <c r="CX294" s="59"/>
      <c r="CY294" s="59"/>
      <c r="CZ294" s="59"/>
      <c r="DA294" s="59"/>
      <c r="DB294" s="59"/>
      <c r="DC294" s="59"/>
      <c r="DD294" s="59"/>
      <c r="DE294" s="59"/>
      <c r="DF294" s="59"/>
      <c r="DG294" s="59"/>
    </row>
    <row r="295" spans="1:111" ht="11.2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9"/>
      <c r="AW295" s="59"/>
      <c r="AX295" s="59"/>
      <c r="AY295" s="59"/>
      <c r="AZ295" s="59"/>
      <c r="BA295" s="59"/>
      <c r="BB295" s="59"/>
      <c r="BC295" s="59"/>
      <c r="BD295" s="59"/>
      <c r="BE295" s="59"/>
      <c r="BF295" s="59"/>
      <c r="BG295" s="59"/>
      <c r="BH295" s="59"/>
      <c r="BI295" s="59"/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BV295" s="59"/>
      <c r="BW295" s="59"/>
      <c r="BX295" s="59"/>
      <c r="BY295" s="59"/>
      <c r="BZ295" s="59"/>
      <c r="CA295" s="59"/>
      <c r="CB295" s="59"/>
      <c r="CC295" s="59"/>
      <c r="CD295" s="59"/>
      <c r="CE295" s="59"/>
      <c r="CF295" s="59"/>
      <c r="CG295" s="59"/>
      <c r="CH295" s="59"/>
      <c r="CI295" s="59"/>
      <c r="CJ295" s="59"/>
      <c r="CK295" s="59"/>
      <c r="CL295" s="59"/>
      <c r="CM295" s="59"/>
      <c r="CN295" s="59"/>
      <c r="CO295" s="59"/>
      <c r="CP295" s="59"/>
      <c r="CQ295" s="59"/>
      <c r="CR295" s="59"/>
      <c r="CS295" s="59"/>
      <c r="CT295" s="59"/>
      <c r="CU295" s="59"/>
      <c r="CV295" s="59"/>
      <c r="CW295" s="59"/>
      <c r="CX295" s="59"/>
      <c r="CY295" s="59"/>
      <c r="CZ295" s="59"/>
      <c r="DA295" s="59"/>
      <c r="DB295" s="59"/>
      <c r="DC295" s="59"/>
      <c r="DD295" s="59"/>
      <c r="DE295" s="59"/>
      <c r="DF295" s="59"/>
      <c r="DG295" s="59"/>
    </row>
    <row r="296" spans="1:111" ht="11.2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9"/>
      <c r="AQ296" s="59"/>
      <c r="AR296" s="59"/>
      <c r="AS296" s="59"/>
      <c r="AT296" s="59"/>
      <c r="AU296" s="59"/>
      <c r="AV296" s="59"/>
      <c r="AW296" s="59"/>
      <c r="AX296" s="59"/>
      <c r="AY296" s="59"/>
      <c r="AZ296" s="59"/>
      <c r="BA296" s="59"/>
      <c r="BB296" s="59"/>
      <c r="BC296" s="59"/>
      <c r="BD296" s="59"/>
      <c r="BE296" s="59"/>
      <c r="BF296" s="59"/>
      <c r="BG296" s="59"/>
      <c r="BH296" s="59"/>
      <c r="BI296" s="59"/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  <c r="BV296" s="59"/>
      <c r="BW296" s="59"/>
      <c r="BX296" s="59"/>
      <c r="BY296" s="59"/>
      <c r="BZ296" s="59"/>
      <c r="CA296" s="59"/>
      <c r="CB296" s="59"/>
      <c r="CC296" s="59"/>
      <c r="CD296" s="59"/>
      <c r="CE296" s="59"/>
      <c r="CF296" s="59"/>
      <c r="CG296" s="59"/>
      <c r="CH296" s="59"/>
      <c r="CI296" s="59"/>
      <c r="CJ296" s="59"/>
      <c r="CK296" s="59"/>
      <c r="CL296" s="59"/>
      <c r="CM296" s="59"/>
      <c r="CN296" s="59"/>
      <c r="CO296" s="59"/>
      <c r="CP296" s="59"/>
      <c r="CQ296" s="59"/>
      <c r="CR296" s="59"/>
      <c r="CS296" s="59"/>
      <c r="CT296" s="59"/>
      <c r="CU296" s="59"/>
      <c r="CV296" s="59"/>
      <c r="CW296" s="59"/>
      <c r="CX296" s="59"/>
      <c r="CY296" s="59"/>
      <c r="CZ296" s="59"/>
      <c r="DA296" s="59"/>
      <c r="DB296" s="59"/>
      <c r="DC296" s="59"/>
      <c r="DD296" s="59"/>
      <c r="DE296" s="59"/>
      <c r="DF296" s="59"/>
      <c r="DG296" s="59"/>
    </row>
    <row r="297" spans="1:111" ht="11.2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  <c r="BC297" s="59"/>
      <c r="BD297" s="59"/>
      <c r="BE297" s="59"/>
      <c r="BF297" s="59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  <c r="BZ297" s="59"/>
      <c r="CA297" s="59"/>
      <c r="CB297" s="59"/>
      <c r="CC297" s="59"/>
      <c r="CD297" s="59"/>
      <c r="CE297" s="59"/>
      <c r="CF297" s="59"/>
      <c r="CG297" s="59"/>
      <c r="CH297" s="59"/>
      <c r="CI297" s="59"/>
      <c r="CJ297" s="59"/>
      <c r="CK297" s="59"/>
      <c r="CL297" s="59"/>
      <c r="CM297" s="59"/>
      <c r="CN297" s="59"/>
      <c r="CO297" s="59"/>
      <c r="CP297" s="59"/>
      <c r="CQ297" s="59"/>
      <c r="CR297" s="59"/>
      <c r="CS297" s="59"/>
      <c r="CT297" s="59"/>
      <c r="CU297" s="59"/>
      <c r="CV297" s="59"/>
      <c r="CW297" s="59"/>
      <c r="CX297" s="59"/>
      <c r="CY297" s="59"/>
      <c r="CZ297" s="59"/>
      <c r="DA297" s="59"/>
      <c r="DB297" s="59"/>
      <c r="DC297" s="59"/>
      <c r="DD297" s="59"/>
      <c r="DE297" s="59"/>
      <c r="DF297" s="59"/>
      <c r="DG297" s="59"/>
    </row>
    <row r="298" spans="1:111" ht="11.2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9"/>
      <c r="AW298" s="59"/>
      <c r="AX298" s="59"/>
      <c r="AY298" s="59"/>
      <c r="AZ298" s="59"/>
      <c r="BA298" s="59"/>
      <c r="BB298" s="59"/>
      <c r="BC298" s="59"/>
      <c r="BD298" s="59"/>
      <c r="BE298" s="59"/>
      <c r="BF298" s="59"/>
      <c r="BG298" s="59"/>
      <c r="BH298" s="59"/>
      <c r="BI298" s="59"/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BV298" s="59"/>
      <c r="BW298" s="59"/>
      <c r="BX298" s="59"/>
      <c r="BY298" s="59"/>
      <c r="BZ298" s="59"/>
      <c r="CA298" s="59"/>
      <c r="CB298" s="59"/>
      <c r="CC298" s="59"/>
      <c r="CD298" s="59"/>
      <c r="CE298" s="59"/>
      <c r="CF298" s="59"/>
      <c r="CG298" s="59"/>
      <c r="CH298" s="59"/>
      <c r="CI298" s="59"/>
      <c r="CJ298" s="59"/>
      <c r="CK298" s="59"/>
      <c r="CL298" s="59"/>
      <c r="CM298" s="59"/>
      <c r="CN298" s="59"/>
      <c r="CO298" s="59"/>
      <c r="CP298" s="59"/>
      <c r="CQ298" s="59"/>
      <c r="CR298" s="59"/>
      <c r="CS298" s="59"/>
      <c r="CT298" s="59"/>
      <c r="CU298" s="59"/>
      <c r="CV298" s="59"/>
      <c r="CW298" s="59"/>
      <c r="CX298" s="59"/>
      <c r="CY298" s="59"/>
      <c r="CZ298" s="59"/>
      <c r="DA298" s="59"/>
      <c r="DB298" s="59"/>
      <c r="DC298" s="59"/>
      <c r="DD298" s="59"/>
      <c r="DE298" s="59"/>
      <c r="DF298" s="59"/>
      <c r="DG298" s="59"/>
    </row>
    <row r="299" spans="1:111" ht="11.2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BZ299" s="59"/>
      <c r="CA299" s="59"/>
      <c r="CB299" s="59"/>
      <c r="CC299" s="59"/>
      <c r="CD299" s="59"/>
      <c r="CE299" s="59"/>
      <c r="CF299" s="59"/>
      <c r="CG299" s="59"/>
      <c r="CH299" s="59"/>
      <c r="CI299" s="59"/>
      <c r="CJ299" s="59"/>
      <c r="CK299" s="59"/>
      <c r="CL299" s="59"/>
      <c r="CM299" s="59"/>
      <c r="CN299" s="59"/>
      <c r="CO299" s="59"/>
      <c r="CP299" s="59"/>
      <c r="CQ299" s="59"/>
      <c r="CR299" s="59"/>
      <c r="CS299" s="59"/>
      <c r="CT299" s="59"/>
      <c r="CU299" s="59"/>
      <c r="CV299" s="59"/>
      <c r="CW299" s="59"/>
      <c r="CX299" s="59"/>
      <c r="CY299" s="59"/>
      <c r="CZ299" s="59"/>
      <c r="DA299" s="59"/>
      <c r="DB299" s="59"/>
      <c r="DC299" s="59"/>
      <c r="DD299" s="59"/>
      <c r="DE299" s="59"/>
      <c r="DF299" s="59"/>
      <c r="DG299" s="59"/>
    </row>
    <row r="300" spans="1:111" ht="11.2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  <c r="BC300" s="59"/>
      <c r="BD300" s="59"/>
      <c r="BE300" s="59"/>
      <c r="BF300" s="59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BZ300" s="59"/>
      <c r="CA300" s="59"/>
      <c r="CB300" s="59"/>
      <c r="CC300" s="59"/>
      <c r="CD300" s="59"/>
      <c r="CE300" s="59"/>
      <c r="CF300" s="59"/>
      <c r="CG300" s="59"/>
      <c r="CH300" s="59"/>
      <c r="CI300" s="59"/>
      <c r="CJ300" s="59"/>
      <c r="CK300" s="59"/>
      <c r="CL300" s="59"/>
      <c r="CM300" s="59"/>
      <c r="CN300" s="59"/>
      <c r="CO300" s="59"/>
      <c r="CP300" s="59"/>
      <c r="CQ300" s="59"/>
      <c r="CR300" s="59"/>
      <c r="CS300" s="59"/>
      <c r="CT300" s="59"/>
      <c r="CU300" s="59"/>
      <c r="CV300" s="59"/>
      <c r="CW300" s="59"/>
      <c r="CX300" s="59"/>
      <c r="CY300" s="59"/>
      <c r="CZ300" s="59"/>
      <c r="DA300" s="59"/>
      <c r="DB300" s="59"/>
      <c r="DC300" s="59"/>
      <c r="DD300" s="59"/>
      <c r="DE300" s="59"/>
      <c r="DF300" s="59"/>
      <c r="DG300" s="59"/>
    </row>
    <row r="301" spans="1:111" ht="11.2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9"/>
      <c r="AW301" s="59"/>
      <c r="AX301" s="59"/>
      <c r="AY301" s="59"/>
      <c r="AZ301" s="59"/>
      <c r="BA301" s="59"/>
      <c r="BB301" s="59"/>
      <c r="BC301" s="59"/>
      <c r="BD301" s="59"/>
      <c r="BE301" s="59"/>
      <c r="BF301" s="59"/>
      <c r="BG301" s="59"/>
      <c r="BH301" s="59"/>
      <c r="BI301" s="59"/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59"/>
      <c r="BW301" s="59"/>
      <c r="BX301" s="59"/>
      <c r="BY301" s="59"/>
      <c r="BZ301" s="59"/>
      <c r="CA301" s="59"/>
      <c r="CB301" s="59"/>
      <c r="CC301" s="59"/>
      <c r="CD301" s="59"/>
      <c r="CE301" s="59"/>
      <c r="CF301" s="59"/>
      <c r="CG301" s="59"/>
      <c r="CH301" s="59"/>
      <c r="CI301" s="59"/>
      <c r="CJ301" s="59"/>
      <c r="CK301" s="59"/>
      <c r="CL301" s="59"/>
      <c r="CM301" s="59"/>
      <c r="CN301" s="59"/>
      <c r="CO301" s="59"/>
      <c r="CP301" s="59"/>
      <c r="CQ301" s="59"/>
      <c r="CR301" s="59"/>
      <c r="CS301" s="59"/>
      <c r="CT301" s="59"/>
      <c r="CU301" s="59"/>
      <c r="CV301" s="59"/>
      <c r="CW301" s="59"/>
      <c r="CX301" s="59"/>
      <c r="CY301" s="59"/>
      <c r="CZ301" s="59"/>
      <c r="DA301" s="59"/>
      <c r="DB301" s="59"/>
      <c r="DC301" s="59"/>
      <c r="DD301" s="59"/>
      <c r="DE301" s="59"/>
      <c r="DF301" s="59"/>
      <c r="DG301" s="59"/>
    </row>
    <row r="302" spans="1:111" ht="11.2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  <c r="BD302" s="59"/>
      <c r="BE302" s="59"/>
      <c r="BF302" s="59"/>
      <c r="BG302" s="59"/>
      <c r="BH302" s="59"/>
      <c r="BI302" s="59"/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BV302" s="59"/>
      <c r="BW302" s="59"/>
      <c r="BX302" s="59"/>
      <c r="BY302" s="59"/>
      <c r="BZ302" s="59"/>
      <c r="CA302" s="59"/>
      <c r="CB302" s="59"/>
      <c r="CC302" s="59"/>
      <c r="CD302" s="59"/>
      <c r="CE302" s="59"/>
      <c r="CF302" s="59"/>
      <c r="CG302" s="59"/>
      <c r="CH302" s="59"/>
      <c r="CI302" s="59"/>
      <c r="CJ302" s="59"/>
      <c r="CK302" s="59"/>
      <c r="CL302" s="59"/>
      <c r="CM302" s="59"/>
      <c r="CN302" s="59"/>
      <c r="CO302" s="59"/>
      <c r="CP302" s="59"/>
      <c r="CQ302" s="59"/>
      <c r="CR302" s="59"/>
      <c r="CS302" s="59"/>
      <c r="CT302" s="59"/>
      <c r="CU302" s="59"/>
      <c r="CV302" s="59"/>
      <c r="CW302" s="59"/>
      <c r="CX302" s="59"/>
      <c r="CY302" s="59"/>
      <c r="CZ302" s="59"/>
      <c r="DA302" s="59"/>
      <c r="DB302" s="59"/>
      <c r="DC302" s="59"/>
      <c r="DD302" s="59"/>
      <c r="DE302" s="59"/>
      <c r="DF302" s="59"/>
      <c r="DG302" s="59"/>
    </row>
    <row r="303" spans="1:111" ht="11.2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  <c r="BD303" s="59"/>
      <c r="BE303" s="59"/>
      <c r="BF303" s="59"/>
      <c r="BG303" s="59"/>
      <c r="BH303" s="59"/>
      <c r="BI303" s="59"/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59"/>
      <c r="BW303" s="59"/>
      <c r="BX303" s="59"/>
      <c r="BY303" s="59"/>
      <c r="BZ303" s="59"/>
      <c r="CA303" s="59"/>
      <c r="CB303" s="59"/>
      <c r="CC303" s="59"/>
      <c r="CD303" s="59"/>
      <c r="CE303" s="59"/>
      <c r="CF303" s="59"/>
      <c r="CG303" s="59"/>
      <c r="CH303" s="59"/>
      <c r="CI303" s="59"/>
      <c r="CJ303" s="59"/>
      <c r="CK303" s="59"/>
      <c r="CL303" s="59"/>
      <c r="CM303" s="59"/>
      <c r="CN303" s="59"/>
      <c r="CO303" s="59"/>
      <c r="CP303" s="59"/>
      <c r="CQ303" s="59"/>
      <c r="CR303" s="59"/>
      <c r="CS303" s="59"/>
      <c r="CT303" s="59"/>
      <c r="CU303" s="59"/>
      <c r="CV303" s="59"/>
      <c r="CW303" s="59"/>
      <c r="CX303" s="59"/>
      <c r="CY303" s="59"/>
      <c r="CZ303" s="59"/>
      <c r="DA303" s="59"/>
      <c r="DB303" s="59"/>
      <c r="DC303" s="59"/>
      <c r="DD303" s="59"/>
      <c r="DE303" s="59"/>
      <c r="DF303" s="59"/>
      <c r="DG303" s="59"/>
    </row>
    <row r="304" spans="1:111" ht="11.2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/>
      <c r="BF304" s="59"/>
      <c r="BG304" s="59"/>
      <c r="BH304" s="59"/>
      <c r="BI304" s="59"/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BV304" s="59"/>
      <c r="BW304" s="59"/>
      <c r="BX304" s="59"/>
      <c r="BY304" s="59"/>
      <c r="BZ304" s="59"/>
      <c r="CA304" s="59"/>
      <c r="CB304" s="59"/>
      <c r="CC304" s="59"/>
      <c r="CD304" s="59"/>
      <c r="CE304" s="59"/>
      <c r="CF304" s="59"/>
      <c r="CG304" s="59"/>
      <c r="CH304" s="59"/>
      <c r="CI304" s="59"/>
      <c r="CJ304" s="59"/>
      <c r="CK304" s="59"/>
      <c r="CL304" s="59"/>
      <c r="CM304" s="59"/>
      <c r="CN304" s="59"/>
      <c r="CO304" s="59"/>
      <c r="CP304" s="59"/>
      <c r="CQ304" s="59"/>
      <c r="CR304" s="59"/>
      <c r="CS304" s="59"/>
      <c r="CT304" s="59"/>
      <c r="CU304" s="59"/>
      <c r="CV304" s="59"/>
      <c r="CW304" s="59"/>
      <c r="CX304" s="59"/>
      <c r="CY304" s="59"/>
      <c r="CZ304" s="59"/>
      <c r="DA304" s="59"/>
      <c r="DB304" s="59"/>
      <c r="DC304" s="59"/>
      <c r="DD304" s="59"/>
      <c r="DE304" s="59"/>
      <c r="DF304" s="59"/>
      <c r="DG304" s="59"/>
    </row>
    <row r="305" spans="1:111" ht="11.2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  <c r="AJ305" s="59"/>
      <c r="AK305" s="59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9"/>
      <c r="AW305" s="59"/>
      <c r="AX305" s="59"/>
      <c r="AY305" s="59"/>
      <c r="AZ305" s="59"/>
      <c r="BA305" s="59"/>
      <c r="BB305" s="59"/>
      <c r="BC305" s="59"/>
      <c r="BD305" s="59"/>
      <c r="BE305" s="59"/>
      <c r="BF305" s="59"/>
      <c r="BG305" s="59"/>
      <c r="BH305" s="59"/>
      <c r="BI305" s="59"/>
      <c r="BJ305" s="59"/>
      <c r="BK305" s="59"/>
      <c r="BL305" s="59"/>
      <c r="BM305" s="59"/>
      <c r="BN305" s="59"/>
      <c r="BO305" s="59"/>
      <c r="BP305" s="59"/>
      <c r="BQ305" s="59"/>
      <c r="BR305" s="59"/>
      <c r="BS305" s="59"/>
      <c r="BT305" s="59"/>
      <c r="BU305" s="59"/>
      <c r="BV305" s="59"/>
      <c r="BW305" s="59"/>
      <c r="BX305" s="59"/>
      <c r="BY305" s="59"/>
      <c r="BZ305" s="59"/>
      <c r="CA305" s="59"/>
      <c r="CB305" s="59"/>
      <c r="CC305" s="59"/>
      <c r="CD305" s="59"/>
      <c r="CE305" s="59"/>
      <c r="CF305" s="59"/>
      <c r="CG305" s="59"/>
      <c r="CH305" s="59"/>
      <c r="CI305" s="59"/>
      <c r="CJ305" s="59"/>
      <c r="CK305" s="59"/>
      <c r="CL305" s="59"/>
      <c r="CM305" s="59"/>
      <c r="CN305" s="59"/>
      <c r="CO305" s="59"/>
      <c r="CP305" s="59"/>
      <c r="CQ305" s="59"/>
      <c r="CR305" s="59"/>
      <c r="CS305" s="59"/>
      <c r="CT305" s="59"/>
      <c r="CU305" s="59"/>
      <c r="CV305" s="59"/>
      <c r="CW305" s="59"/>
      <c r="CX305" s="59"/>
      <c r="CY305" s="59"/>
      <c r="CZ305" s="59"/>
      <c r="DA305" s="59"/>
      <c r="DB305" s="59"/>
      <c r="DC305" s="59"/>
      <c r="DD305" s="59"/>
      <c r="DE305" s="59"/>
      <c r="DF305" s="59"/>
      <c r="DG305" s="59"/>
    </row>
    <row r="306" spans="1:111" ht="11.2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  <c r="BC306" s="59"/>
      <c r="BD306" s="59"/>
      <c r="BE306" s="59"/>
      <c r="BF306" s="59"/>
      <c r="BG306" s="59"/>
      <c r="BH306" s="59"/>
      <c r="BI306" s="59"/>
      <c r="BJ306" s="59"/>
      <c r="BK306" s="59"/>
      <c r="BL306" s="59"/>
      <c r="BM306" s="59"/>
      <c r="BN306" s="59"/>
      <c r="BO306" s="59"/>
      <c r="BP306" s="59"/>
      <c r="BQ306" s="59"/>
      <c r="BR306" s="59"/>
      <c r="BS306" s="59"/>
      <c r="BT306" s="59"/>
      <c r="BU306" s="59"/>
      <c r="BV306" s="59"/>
      <c r="BW306" s="59"/>
      <c r="BX306" s="59"/>
      <c r="BY306" s="59"/>
      <c r="BZ306" s="59"/>
      <c r="CA306" s="59"/>
      <c r="CB306" s="59"/>
      <c r="CC306" s="59"/>
      <c r="CD306" s="59"/>
      <c r="CE306" s="59"/>
      <c r="CF306" s="59"/>
      <c r="CG306" s="59"/>
      <c r="CH306" s="59"/>
      <c r="CI306" s="59"/>
      <c r="CJ306" s="59"/>
      <c r="CK306" s="59"/>
      <c r="CL306" s="59"/>
      <c r="CM306" s="59"/>
      <c r="CN306" s="59"/>
      <c r="CO306" s="59"/>
      <c r="CP306" s="59"/>
      <c r="CQ306" s="59"/>
      <c r="CR306" s="59"/>
      <c r="CS306" s="59"/>
      <c r="CT306" s="59"/>
      <c r="CU306" s="59"/>
      <c r="CV306" s="59"/>
      <c r="CW306" s="59"/>
      <c r="CX306" s="59"/>
      <c r="CY306" s="59"/>
      <c r="CZ306" s="59"/>
      <c r="DA306" s="59"/>
      <c r="DB306" s="59"/>
      <c r="DC306" s="59"/>
      <c r="DD306" s="59"/>
      <c r="DE306" s="59"/>
      <c r="DF306" s="59"/>
      <c r="DG306" s="59"/>
    </row>
    <row r="307" spans="1:111" ht="11.2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  <c r="AJ307" s="59"/>
      <c r="AK307" s="59"/>
      <c r="AL307" s="59"/>
      <c r="AM307" s="59"/>
      <c r="AN307" s="59"/>
      <c r="AO307" s="59"/>
      <c r="AP307" s="59"/>
      <c r="AQ307" s="59"/>
      <c r="AR307" s="59"/>
      <c r="AS307" s="59"/>
      <c r="AT307" s="59"/>
      <c r="AU307" s="59"/>
      <c r="AV307" s="59"/>
      <c r="AW307" s="59"/>
      <c r="AX307" s="59"/>
      <c r="AY307" s="59"/>
      <c r="AZ307" s="59"/>
      <c r="BA307" s="59"/>
      <c r="BB307" s="59"/>
      <c r="BC307" s="59"/>
      <c r="BD307" s="59"/>
      <c r="BE307" s="59"/>
      <c r="BF307" s="59"/>
      <c r="BG307" s="59"/>
      <c r="BH307" s="59"/>
      <c r="BI307" s="59"/>
      <c r="BJ307" s="59"/>
      <c r="BK307" s="59"/>
      <c r="BL307" s="59"/>
      <c r="BM307" s="59"/>
      <c r="BN307" s="59"/>
      <c r="BO307" s="59"/>
      <c r="BP307" s="59"/>
      <c r="BQ307" s="59"/>
      <c r="BR307" s="59"/>
      <c r="BS307" s="59"/>
      <c r="BT307" s="59"/>
      <c r="BU307" s="59"/>
      <c r="BV307" s="59"/>
      <c r="BW307" s="59"/>
      <c r="BX307" s="59"/>
      <c r="BY307" s="59"/>
      <c r="BZ307" s="59"/>
      <c r="CA307" s="59"/>
      <c r="CB307" s="59"/>
      <c r="CC307" s="59"/>
      <c r="CD307" s="59"/>
      <c r="CE307" s="59"/>
      <c r="CF307" s="59"/>
      <c r="CG307" s="59"/>
      <c r="CH307" s="59"/>
      <c r="CI307" s="59"/>
      <c r="CJ307" s="59"/>
      <c r="CK307" s="59"/>
      <c r="CL307" s="59"/>
      <c r="CM307" s="59"/>
      <c r="CN307" s="59"/>
      <c r="CO307" s="59"/>
      <c r="CP307" s="59"/>
      <c r="CQ307" s="59"/>
      <c r="CR307" s="59"/>
      <c r="CS307" s="59"/>
      <c r="CT307" s="59"/>
      <c r="CU307" s="59"/>
      <c r="CV307" s="59"/>
      <c r="CW307" s="59"/>
      <c r="CX307" s="59"/>
      <c r="CY307" s="59"/>
      <c r="CZ307" s="59"/>
      <c r="DA307" s="59"/>
      <c r="DB307" s="59"/>
      <c r="DC307" s="59"/>
      <c r="DD307" s="59"/>
      <c r="DE307" s="59"/>
      <c r="DF307" s="59"/>
      <c r="DG307" s="59"/>
    </row>
    <row r="308" spans="1:111" ht="11.2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9"/>
      <c r="AW308" s="59"/>
      <c r="AX308" s="59"/>
      <c r="AY308" s="59"/>
      <c r="AZ308" s="59"/>
      <c r="BA308" s="59"/>
      <c r="BB308" s="59"/>
      <c r="BC308" s="59"/>
      <c r="BD308" s="59"/>
      <c r="BE308" s="59"/>
      <c r="BF308" s="59"/>
      <c r="BG308" s="59"/>
      <c r="BH308" s="59"/>
      <c r="BI308" s="59"/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59"/>
      <c r="BW308" s="59"/>
      <c r="BX308" s="59"/>
      <c r="BY308" s="59"/>
      <c r="BZ308" s="59"/>
      <c r="CA308" s="59"/>
      <c r="CB308" s="59"/>
      <c r="CC308" s="59"/>
      <c r="CD308" s="59"/>
      <c r="CE308" s="59"/>
      <c r="CF308" s="59"/>
      <c r="CG308" s="59"/>
      <c r="CH308" s="59"/>
      <c r="CI308" s="59"/>
      <c r="CJ308" s="59"/>
      <c r="CK308" s="59"/>
      <c r="CL308" s="59"/>
      <c r="CM308" s="59"/>
      <c r="CN308" s="59"/>
      <c r="CO308" s="59"/>
      <c r="CP308" s="59"/>
      <c r="CQ308" s="59"/>
      <c r="CR308" s="59"/>
      <c r="CS308" s="59"/>
      <c r="CT308" s="59"/>
      <c r="CU308" s="59"/>
      <c r="CV308" s="59"/>
      <c r="CW308" s="59"/>
      <c r="CX308" s="59"/>
      <c r="CY308" s="59"/>
      <c r="CZ308" s="59"/>
      <c r="DA308" s="59"/>
      <c r="DB308" s="59"/>
      <c r="DC308" s="59"/>
      <c r="DD308" s="59"/>
      <c r="DE308" s="59"/>
      <c r="DF308" s="59"/>
      <c r="DG308" s="59"/>
    </row>
    <row r="309" spans="1:111" ht="11.2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  <c r="AB309" s="59"/>
      <c r="AC309" s="59"/>
      <c r="AD309" s="59"/>
      <c r="AE309" s="59"/>
      <c r="AF309" s="59"/>
      <c r="AG309" s="59"/>
      <c r="AH309" s="59"/>
      <c r="AI309" s="59"/>
      <c r="AJ309" s="59"/>
      <c r="AK309" s="59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59"/>
      <c r="AW309" s="59"/>
      <c r="AX309" s="59"/>
      <c r="AY309" s="59"/>
      <c r="AZ309" s="59"/>
      <c r="BA309" s="59"/>
      <c r="BB309" s="59"/>
      <c r="BC309" s="59"/>
      <c r="BD309" s="59"/>
      <c r="BE309" s="59"/>
      <c r="BF309" s="59"/>
      <c r="BG309" s="59"/>
      <c r="BH309" s="59"/>
      <c r="BI309" s="59"/>
      <c r="BJ309" s="59"/>
      <c r="BK309" s="59"/>
      <c r="BL309" s="59"/>
      <c r="BM309" s="59"/>
      <c r="BN309" s="59"/>
      <c r="BO309" s="59"/>
      <c r="BP309" s="59"/>
      <c r="BQ309" s="59"/>
      <c r="BR309" s="59"/>
      <c r="BS309" s="59"/>
      <c r="BT309" s="59"/>
      <c r="BU309" s="59"/>
      <c r="BV309" s="59"/>
      <c r="BW309" s="59"/>
      <c r="BX309" s="59"/>
      <c r="BY309" s="59"/>
      <c r="BZ309" s="59"/>
      <c r="CA309" s="59"/>
      <c r="CB309" s="59"/>
      <c r="CC309" s="59"/>
      <c r="CD309" s="59"/>
      <c r="CE309" s="59"/>
      <c r="CF309" s="59"/>
      <c r="CG309" s="59"/>
      <c r="CH309" s="59"/>
      <c r="CI309" s="59"/>
      <c r="CJ309" s="59"/>
      <c r="CK309" s="59"/>
      <c r="CL309" s="59"/>
      <c r="CM309" s="59"/>
      <c r="CN309" s="59"/>
      <c r="CO309" s="59"/>
      <c r="CP309" s="59"/>
      <c r="CQ309" s="59"/>
      <c r="CR309" s="59"/>
      <c r="CS309" s="59"/>
      <c r="CT309" s="59"/>
      <c r="CU309" s="59"/>
      <c r="CV309" s="59"/>
      <c r="CW309" s="59"/>
      <c r="CX309" s="59"/>
      <c r="CY309" s="59"/>
      <c r="CZ309" s="59"/>
      <c r="DA309" s="59"/>
      <c r="DB309" s="59"/>
      <c r="DC309" s="59"/>
      <c r="DD309" s="59"/>
      <c r="DE309" s="59"/>
      <c r="DF309" s="59"/>
      <c r="DG309" s="59"/>
    </row>
    <row r="310" spans="1:111" ht="11.2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9"/>
      <c r="AW310" s="59"/>
      <c r="AX310" s="59"/>
      <c r="AY310" s="59"/>
      <c r="AZ310" s="59"/>
      <c r="BA310" s="59"/>
      <c r="BB310" s="59"/>
      <c r="BC310" s="59"/>
      <c r="BD310" s="59"/>
      <c r="BE310" s="59"/>
      <c r="BF310" s="59"/>
      <c r="BG310" s="59"/>
      <c r="BH310" s="59"/>
      <c r="BI310" s="59"/>
      <c r="BJ310" s="59"/>
      <c r="BK310" s="59"/>
      <c r="BL310" s="59"/>
      <c r="BM310" s="59"/>
      <c r="BN310" s="59"/>
      <c r="BO310" s="59"/>
      <c r="BP310" s="59"/>
      <c r="BQ310" s="59"/>
      <c r="BR310" s="59"/>
      <c r="BS310" s="59"/>
      <c r="BT310" s="59"/>
      <c r="BU310" s="59"/>
      <c r="BV310" s="59"/>
      <c r="BW310" s="59"/>
      <c r="BX310" s="59"/>
      <c r="BY310" s="59"/>
      <c r="BZ310" s="59"/>
      <c r="CA310" s="59"/>
      <c r="CB310" s="59"/>
      <c r="CC310" s="59"/>
      <c r="CD310" s="59"/>
      <c r="CE310" s="59"/>
      <c r="CF310" s="59"/>
      <c r="CG310" s="59"/>
      <c r="CH310" s="59"/>
      <c r="CI310" s="59"/>
      <c r="CJ310" s="59"/>
      <c r="CK310" s="59"/>
      <c r="CL310" s="59"/>
      <c r="CM310" s="59"/>
      <c r="CN310" s="59"/>
      <c r="CO310" s="59"/>
      <c r="CP310" s="59"/>
      <c r="CQ310" s="59"/>
      <c r="CR310" s="59"/>
      <c r="CS310" s="59"/>
      <c r="CT310" s="59"/>
      <c r="CU310" s="59"/>
      <c r="CV310" s="59"/>
      <c r="CW310" s="59"/>
      <c r="CX310" s="59"/>
      <c r="CY310" s="59"/>
      <c r="CZ310" s="59"/>
      <c r="DA310" s="59"/>
      <c r="DB310" s="59"/>
      <c r="DC310" s="59"/>
      <c r="DD310" s="59"/>
      <c r="DE310" s="59"/>
      <c r="DF310" s="59"/>
      <c r="DG310" s="59"/>
    </row>
    <row r="311" spans="1:111" ht="11.2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9"/>
      <c r="AK311" s="59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9"/>
      <c r="AW311" s="59"/>
      <c r="AX311" s="59"/>
      <c r="AY311" s="59"/>
      <c r="AZ311" s="59"/>
      <c r="BA311" s="59"/>
      <c r="BB311" s="59"/>
      <c r="BC311" s="59"/>
      <c r="BD311" s="59"/>
      <c r="BE311" s="59"/>
      <c r="BF311" s="59"/>
      <c r="BG311" s="59"/>
      <c r="BH311" s="59"/>
      <c r="BI311" s="59"/>
      <c r="BJ311" s="59"/>
      <c r="BK311" s="59"/>
      <c r="BL311" s="59"/>
      <c r="BM311" s="59"/>
      <c r="BN311" s="59"/>
      <c r="BO311" s="59"/>
      <c r="BP311" s="59"/>
      <c r="BQ311" s="59"/>
      <c r="BR311" s="59"/>
      <c r="BS311" s="59"/>
      <c r="BT311" s="59"/>
      <c r="BU311" s="59"/>
      <c r="BV311" s="59"/>
      <c r="BW311" s="59"/>
      <c r="BX311" s="59"/>
      <c r="BY311" s="59"/>
      <c r="BZ311" s="59"/>
      <c r="CA311" s="59"/>
      <c r="CB311" s="59"/>
      <c r="CC311" s="59"/>
      <c r="CD311" s="59"/>
      <c r="CE311" s="59"/>
      <c r="CF311" s="59"/>
      <c r="CG311" s="59"/>
      <c r="CH311" s="59"/>
      <c r="CI311" s="59"/>
      <c r="CJ311" s="59"/>
      <c r="CK311" s="59"/>
      <c r="CL311" s="59"/>
      <c r="CM311" s="59"/>
      <c r="CN311" s="59"/>
      <c r="CO311" s="59"/>
      <c r="CP311" s="59"/>
      <c r="CQ311" s="59"/>
      <c r="CR311" s="59"/>
      <c r="CS311" s="59"/>
      <c r="CT311" s="59"/>
      <c r="CU311" s="59"/>
      <c r="CV311" s="59"/>
      <c r="CW311" s="59"/>
      <c r="CX311" s="59"/>
      <c r="CY311" s="59"/>
      <c r="CZ311" s="59"/>
      <c r="DA311" s="59"/>
      <c r="DB311" s="59"/>
      <c r="DC311" s="59"/>
      <c r="DD311" s="59"/>
      <c r="DE311" s="59"/>
      <c r="DF311" s="59"/>
      <c r="DG311" s="59"/>
    </row>
    <row r="312" spans="1:111" ht="11.2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9"/>
      <c r="AK312" s="59"/>
      <c r="AL312" s="59"/>
      <c r="AM312" s="59"/>
      <c r="AN312" s="59"/>
      <c r="AO312" s="59"/>
      <c r="AP312" s="59"/>
      <c r="AQ312" s="59"/>
      <c r="AR312" s="59"/>
      <c r="AS312" s="59"/>
      <c r="AT312" s="59"/>
      <c r="AU312" s="59"/>
      <c r="AV312" s="59"/>
      <c r="AW312" s="59"/>
      <c r="AX312" s="59"/>
      <c r="AY312" s="59"/>
      <c r="AZ312" s="59"/>
      <c r="BA312" s="59"/>
      <c r="BB312" s="59"/>
      <c r="BC312" s="59"/>
      <c r="BD312" s="59"/>
      <c r="BE312" s="59"/>
      <c r="BF312" s="59"/>
      <c r="BG312" s="59"/>
      <c r="BH312" s="59"/>
      <c r="BI312" s="59"/>
      <c r="BJ312" s="59"/>
      <c r="BK312" s="59"/>
      <c r="BL312" s="59"/>
      <c r="BM312" s="59"/>
      <c r="BN312" s="59"/>
      <c r="BO312" s="59"/>
      <c r="BP312" s="59"/>
      <c r="BQ312" s="59"/>
      <c r="BR312" s="59"/>
      <c r="BS312" s="59"/>
      <c r="BT312" s="59"/>
      <c r="BU312" s="59"/>
      <c r="BV312" s="59"/>
      <c r="BW312" s="59"/>
      <c r="BX312" s="59"/>
      <c r="BY312" s="59"/>
      <c r="BZ312" s="59"/>
      <c r="CA312" s="59"/>
      <c r="CB312" s="59"/>
      <c r="CC312" s="59"/>
      <c r="CD312" s="59"/>
      <c r="CE312" s="59"/>
      <c r="CF312" s="59"/>
      <c r="CG312" s="59"/>
      <c r="CH312" s="59"/>
      <c r="CI312" s="59"/>
      <c r="CJ312" s="59"/>
      <c r="CK312" s="59"/>
      <c r="CL312" s="59"/>
      <c r="CM312" s="59"/>
      <c r="CN312" s="59"/>
      <c r="CO312" s="59"/>
      <c r="CP312" s="59"/>
      <c r="CQ312" s="59"/>
      <c r="CR312" s="59"/>
      <c r="CS312" s="59"/>
      <c r="CT312" s="59"/>
      <c r="CU312" s="59"/>
      <c r="CV312" s="59"/>
      <c r="CW312" s="59"/>
      <c r="CX312" s="59"/>
      <c r="CY312" s="59"/>
      <c r="CZ312" s="59"/>
      <c r="DA312" s="59"/>
      <c r="DB312" s="59"/>
      <c r="DC312" s="59"/>
      <c r="DD312" s="59"/>
      <c r="DE312" s="59"/>
      <c r="DF312" s="59"/>
      <c r="DG312" s="59"/>
    </row>
    <row r="313" spans="1:111" ht="11.2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9"/>
      <c r="AK313" s="59"/>
      <c r="AL313" s="59"/>
      <c r="AM313" s="59"/>
      <c r="AN313" s="59"/>
      <c r="AO313" s="59"/>
      <c r="AP313" s="59"/>
      <c r="AQ313" s="59"/>
      <c r="AR313" s="59"/>
      <c r="AS313" s="59"/>
      <c r="AT313" s="59"/>
      <c r="AU313" s="59"/>
      <c r="AV313" s="59"/>
      <c r="AW313" s="59"/>
      <c r="AX313" s="59"/>
      <c r="AY313" s="59"/>
      <c r="AZ313" s="59"/>
      <c r="BA313" s="59"/>
      <c r="BB313" s="59"/>
      <c r="BC313" s="59"/>
      <c r="BD313" s="59"/>
      <c r="BE313" s="59"/>
      <c r="BF313" s="59"/>
      <c r="BG313" s="59"/>
      <c r="BH313" s="59"/>
      <c r="BI313" s="59"/>
      <c r="BJ313" s="59"/>
      <c r="BK313" s="59"/>
      <c r="BL313" s="59"/>
      <c r="BM313" s="59"/>
      <c r="BN313" s="59"/>
      <c r="BO313" s="59"/>
      <c r="BP313" s="59"/>
      <c r="BQ313" s="59"/>
      <c r="BR313" s="59"/>
      <c r="BS313" s="59"/>
      <c r="BT313" s="59"/>
      <c r="BU313" s="59"/>
      <c r="BV313" s="59"/>
      <c r="BW313" s="59"/>
      <c r="BX313" s="59"/>
      <c r="BY313" s="59"/>
      <c r="BZ313" s="59"/>
      <c r="CA313" s="59"/>
      <c r="CB313" s="59"/>
      <c r="CC313" s="59"/>
      <c r="CD313" s="59"/>
      <c r="CE313" s="59"/>
      <c r="CF313" s="59"/>
      <c r="CG313" s="59"/>
      <c r="CH313" s="59"/>
      <c r="CI313" s="59"/>
      <c r="CJ313" s="59"/>
      <c r="CK313" s="59"/>
      <c r="CL313" s="59"/>
      <c r="CM313" s="59"/>
      <c r="CN313" s="59"/>
      <c r="CO313" s="59"/>
      <c r="CP313" s="59"/>
      <c r="CQ313" s="59"/>
      <c r="CR313" s="59"/>
      <c r="CS313" s="59"/>
      <c r="CT313" s="59"/>
      <c r="CU313" s="59"/>
      <c r="CV313" s="59"/>
      <c r="CW313" s="59"/>
      <c r="CX313" s="59"/>
      <c r="CY313" s="59"/>
      <c r="CZ313" s="59"/>
      <c r="DA313" s="59"/>
      <c r="DB313" s="59"/>
      <c r="DC313" s="59"/>
      <c r="DD313" s="59"/>
      <c r="DE313" s="59"/>
      <c r="DF313" s="59"/>
      <c r="DG313" s="59"/>
    </row>
    <row r="314" spans="1:111" ht="11.2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59"/>
      <c r="BT314" s="59"/>
      <c r="BU314" s="59"/>
      <c r="BV314" s="59"/>
      <c r="BW314" s="59"/>
      <c r="BX314" s="59"/>
      <c r="BY314" s="59"/>
      <c r="BZ314" s="59"/>
      <c r="CA314" s="59"/>
      <c r="CB314" s="59"/>
      <c r="CC314" s="59"/>
      <c r="CD314" s="59"/>
      <c r="CE314" s="59"/>
      <c r="CF314" s="59"/>
      <c r="CG314" s="59"/>
      <c r="CH314" s="59"/>
      <c r="CI314" s="59"/>
      <c r="CJ314" s="59"/>
      <c r="CK314" s="59"/>
      <c r="CL314" s="59"/>
      <c r="CM314" s="59"/>
      <c r="CN314" s="59"/>
      <c r="CO314" s="59"/>
      <c r="CP314" s="59"/>
      <c r="CQ314" s="59"/>
      <c r="CR314" s="59"/>
      <c r="CS314" s="59"/>
      <c r="CT314" s="59"/>
      <c r="CU314" s="59"/>
      <c r="CV314" s="59"/>
      <c r="CW314" s="59"/>
      <c r="CX314" s="59"/>
      <c r="CY314" s="59"/>
      <c r="CZ314" s="59"/>
      <c r="DA314" s="59"/>
      <c r="DB314" s="59"/>
      <c r="DC314" s="59"/>
      <c r="DD314" s="59"/>
      <c r="DE314" s="59"/>
      <c r="DF314" s="59"/>
      <c r="DG314" s="59"/>
    </row>
    <row r="315" spans="1:111" ht="11.2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59"/>
      <c r="BT315" s="59"/>
      <c r="BU315" s="59"/>
      <c r="BV315" s="59"/>
      <c r="BW315" s="59"/>
      <c r="BX315" s="59"/>
      <c r="BY315" s="59"/>
      <c r="BZ315" s="59"/>
      <c r="CA315" s="59"/>
      <c r="CB315" s="59"/>
      <c r="CC315" s="59"/>
      <c r="CD315" s="59"/>
      <c r="CE315" s="59"/>
      <c r="CF315" s="59"/>
      <c r="CG315" s="59"/>
      <c r="CH315" s="59"/>
      <c r="CI315" s="59"/>
      <c r="CJ315" s="59"/>
      <c r="CK315" s="59"/>
      <c r="CL315" s="59"/>
      <c r="CM315" s="59"/>
      <c r="CN315" s="59"/>
      <c r="CO315" s="59"/>
      <c r="CP315" s="59"/>
      <c r="CQ315" s="59"/>
      <c r="CR315" s="59"/>
      <c r="CS315" s="59"/>
      <c r="CT315" s="59"/>
      <c r="CU315" s="59"/>
      <c r="CV315" s="59"/>
      <c r="CW315" s="59"/>
      <c r="CX315" s="59"/>
      <c r="CY315" s="59"/>
      <c r="CZ315" s="59"/>
      <c r="DA315" s="59"/>
      <c r="DB315" s="59"/>
      <c r="DC315" s="59"/>
      <c r="DD315" s="59"/>
      <c r="DE315" s="59"/>
      <c r="DF315" s="59"/>
      <c r="DG315" s="59"/>
    </row>
    <row r="316" spans="1:111" ht="11.2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59"/>
      <c r="BT316" s="59"/>
      <c r="BU316" s="59"/>
      <c r="BV316" s="59"/>
      <c r="BW316" s="59"/>
      <c r="BX316" s="59"/>
      <c r="BY316" s="59"/>
      <c r="BZ316" s="59"/>
      <c r="CA316" s="59"/>
      <c r="CB316" s="59"/>
      <c r="CC316" s="59"/>
      <c r="CD316" s="59"/>
      <c r="CE316" s="59"/>
      <c r="CF316" s="59"/>
      <c r="CG316" s="59"/>
      <c r="CH316" s="59"/>
      <c r="CI316" s="59"/>
      <c r="CJ316" s="59"/>
      <c r="CK316" s="59"/>
      <c r="CL316" s="59"/>
      <c r="CM316" s="59"/>
      <c r="CN316" s="59"/>
      <c r="CO316" s="59"/>
      <c r="CP316" s="59"/>
      <c r="CQ316" s="59"/>
      <c r="CR316" s="59"/>
      <c r="CS316" s="59"/>
      <c r="CT316" s="59"/>
      <c r="CU316" s="59"/>
      <c r="CV316" s="59"/>
      <c r="CW316" s="59"/>
      <c r="CX316" s="59"/>
      <c r="CY316" s="59"/>
      <c r="CZ316" s="59"/>
      <c r="DA316" s="59"/>
      <c r="DB316" s="59"/>
      <c r="DC316" s="59"/>
      <c r="DD316" s="59"/>
      <c r="DE316" s="59"/>
      <c r="DF316" s="59"/>
      <c r="DG316" s="59"/>
    </row>
    <row r="317" spans="1:111" ht="11.2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9"/>
      <c r="AW317" s="59"/>
      <c r="AX317" s="59"/>
      <c r="AY317" s="59"/>
      <c r="AZ317" s="59"/>
      <c r="BA317" s="59"/>
      <c r="BB317" s="59"/>
      <c r="BC317" s="59"/>
      <c r="BD317" s="59"/>
      <c r="BE317" s="59"/>
      <c r="BF317" s="59"/>
      <c r="BG317" s="59"/>
      <c r="BH317" s="59"/>
      <c r="BI317" s="59"/>
      <c r="BJ317" s="59"/>
      <c r="BK317" s="59"/>
      <c r="BL317" s="59"/>
      <c r="BM317" s="59"/>
      <c r="BN317" s="59"/>
      <c r="BO317" s="59"/>
      <c r="BP317" s="59"/>
      <c r="BQ317" s="59"/>
      <c r="BR317" s="59"/>
      <c r="BS317" s="59"/>
      <c r="BT317" s="59"/>
      <c r="BU317" s="59"/>
      <c r="BV317" s="59"/>
      <c r="BW317" s="59"/>
      <c r="BX317" s="59"/>
      <c r="BY317" s="59"/>
      <c r="BZ317" s="59"/>
      <c r="CA317" s="59"/>
      <c r="CB317" s="59"/>
      <c r="CC317" s="59"/>
      <c r="CD317" s="59"/>
      <c r="CE317" s="59"/>
      <c r="CF317" s="59"/>
      <c r="CG317" s="59"/>
      <c r="CH317" s="59"/>
      <c r="CI317" s="59"/>
      <c r="CJ317" s="59"/>
      <c r="CK317" s="59"/>
      <c r="CL317" s="59"/>
      <c r="CM317" s="59"/>
      <c r="CN317" s="59"/>
      <c r="CO317" s="59"/>
      <c r="CP317" s="59"/>
      <c r="CQ317" s="59"/>
      <c r="CR317" s="59"/>
      <c r="CS317" s="59"/>
      <c r="CT317" s="59"/>
      <c r="CU317" s="59"/>
      <c r="CV317" s="59"/>
      <c r="CW317" s="59"/>
      <c r="CX317" s="59"/>
      <c r="CY317" s="59"/>
      <c r="CZ317" s="59"/>
      <c r="DA317" s="59"/>
      <c r="DB317" s="59"/>
      <c r="DC317" s="59"/>
      <c r="DD317" s="59"/>
      <c r="DE317" s="59"/>
      <c r="DF317" s="59"/>
      <c r="DG317" s="59"/>
    </row>
    <row r="318" spans="1:111" ht="11.25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9"/>
      <c r="AK318" s="59"/>
      <c r="AL318" s="59"/>
      <c r="AM318" s="59"/>
      <c r="AN318" s="59"/>
      <c r="AO318" s="59"/>
      <c r="AP318" s="59"/>
      <c r="AQ318" s="59"/>
      <c r="AR318" s="59"/>
      <c r="AS318" s="59"/>
      <c r="AT318" s="59"/>
      <c r="AU318" s="59"/>
      <c r="AV318" s="59"/>
      <c r="AW318" s="59"/>
      <c r="AX318" s="59"/>
      <c r="AY318" s="59"/>
      <c r="AZ318" s="59"/>
      <c r="BA318" s="59"/>
      <c r="BB318" s="59"/>
      <c r="BC318" s="59"/>
      <c r="BD318" s="59"/>
      <c r="BE318" s="59"/>
      <c r="BF318" s="59"/>
      <c r="BG318" s="59"/>
      <c r="BH318" s="59"/>
      <c r="BI318" s="59"/>
      <c r="BJ318" s="59"/>
      <c r="BK318" s="59"/>
      <c r="BL318" s="59"/>
      <c r="BM318" s="59"/>
      <c r="BN318" s="59"/>
      <c r="BO318" s="59"/>
      <c r="BP318" s="59"/>
      <c r="BQ318" s="59"/>
      <c r="BR318" s="59"/>
      <c r="BS318" s="59"/>
      <c r="BT318" s="59"/>
      <c r="BU318" s="59"/>
      <c r="BV318" s="59"/>
      <c r="BW318" s="59"/>
      <c r="BX318" s="59"/>
      <c r="BY318" s="59"/>
      <c r="BZ318" s="59"/>
      <c r="CA318" s="59"/>
      <c r="CB318" s="59"/>
      <c r="CC318" s="59"/>
      <c r="CD318" s="59"/>
      <c r="CE318" s="59"/>
      <c r="CF318" s="59"/>
      <c r="CG318" s="59"/>
      <c r="CH318" s="59"/>
      <c r="CI318" s="59"/>
      <c r="CJ318" s="59"/>
      <c r="CK318" s="59"/>
      <c r="CL318" s="59"/>
      <c r="CM318" s="59"/>
      <c r="CN318" s="59"/>
      <c r="CO318" s="59"/>
      <c r="CP318" s="59"/>
      <c r="CQ318" s="59"/>
      <c r="CR318" s="59"/>
      <c r="CS318" s="59"/>
      <c r="CT318" s="59"/>
      <c r="CU318" s="59"/>
      <c r="CV318" s="59"/>
      <c r="CW318" s="59"/>
      <c r="CX318" s="59"/>
      <c r="CY318" s="59"/>
      <c r="CZ318" s="59"/>
      <c r="DA318" s="59"/>
      <c r="DB318" s="59"/>
      <c r="DC318" s="59"/>
      <c r="DD318" s="59"/>
      <c r="DE318" s="59"/>
      <c r="DF318" s="59"/>
      <c r="DG318" s="59"/>
    </row>
    <row r="319" spans="1:111" ht="11.2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9"/>
      <c r="AW319" s="59"/>
      <c r="AX319" s="59"/>
      <c r="AY319" s="59"/>
      <c r="AZ319" s="59"/>
      <c r="BA319" s="59"/>
      <c r="BB319" s="59"/>
      <c r="BC319" s="59"/>
      <c r="BD319" s="59"/>
      <c r="BE319" s="59"/>
      <c r="BF319" s="59"/>
      <c r="BG319" s="59"/>
      <c r="BH319" s="59"/>
      <c r="BI319" s="59"/>
      <c r="BJ319" s="59"/>
      <c r="BK319" s="59"/>
      <c r="BL319" s="59"/>
      <c r="BM319" s="59"/>
      <c r="BN319" s="59"/>
      <c r="BO319" s="59"/>
      <c r="BP319" s="59"/>
      <c r="BQ319" s="59"/>
      <c r="BR319" s="59"/>
      <c r="BS319" s="59"/>
      <c r="BT319" s="59"/>
      <c r="BU319" s="59"/>
      <c r="BV319" s="59"/>
      <c r="BW319" s="59"/>
      <c r="BX319" s="59"/>
      <c r="BY319" s="59"/>
      <c r="BZ319" s="59"/>
      <c r="CA319" s="59"/>
      <c r="CB319" s="59"/>
      <c r="CC319" s="59"/>
      <c r="CD319" s="59"/>
      <c r="CE319" s="59"/>
      <c r="CF319" s="59"/>
      <c r="CG319" s="59"/>
      <c r="CH319" s="59"/>
      <c r="CI319" s="59"/>
      <c r="CJ319" s="59"/>
      <c r="CK319" s="59"/>
      <c r="CL319" s="59"/>
      <c r="CM319" s="59"/>
      <c r="CN319" s="59"/>
      <c r="CO319" s="59"/>
      <c r="CP319" s="59"/>
      <c r="CQ319" s="59"/>
      <c r="CR319" s="59"/>
      <c r="CS319" s="59"/>
      <c r="CT319" s="59"/>
      <c r="CU319" s="59"/>
      <c r="CV319" s="59"/>
      <c r="CW319" s="59"/>
      <c r="CX319" s="59"/>
      <c r="CY319" s="59"/>
      <c r="CZ319" s="59"/>
      <c r="DA319" s="59"/>
      <c r="DB319" s="59"/>
      <c r="DC319" s="59"/>
      <c r="DD319" s="59"/>
      <c r="DE319" s="59"/>
      <c r="DF319" s="59"/>
      <c r="DG319" s="59"/>
    </row>
    <row r="320" spans="1:111" ht="11.2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9"/>
      <c r="AW320" s="59"/>
      <c r="AX320" s="59"/>
      <c r="AY320" s="59"/>
      <c r="AZ320" s="59"/>
      <c r="BA320" s="59"/>
      <c r="BB320" s="59"/>
      <c r="BC320" s="59"/>
      <c r="BD320" s="59"/>
      <c r="BE320" s="59"/>
      <c r="BF320" s="59"/>
      <c r="BG320" s="59"/>
      <c r="BH320" s="59"/>
      <c r="BI320" s="59"/>
      <c r="BJ320" s="59"/>
      <c r="BK320" s="59"/>
      <c r="BL320" s="59"/>
      <c r="BM320" s="59"/>
      <c r="BN320" s="59"/>
      <c r="BO320" s="59"/>
      <c r="BP320" s="59"/>
      <c r="BQ320" s="59"/>
      <c r="BR320" s="59"/>
      <c r="BS320" s="59"/>
      <c r="BT320" s="59"/>
      <c r="BU320" s="59"/>
      <c r="BV320" s="59"/>
      <c r="BW320" s="59"/>
      <c r="BX320" s="59"/>
      <c r="BY320" s="59"/>
      <c r="BZ320" s="59"/>
      <c r="CA320" s="59"/>
      <c r="CB320" s="59"/>
      <c r="CC320" s="59"/>
      <c r="CD320" s="59"/>
      <c r="CE320" s="59"/>
      <c r="CF320" s="59"/>
      <c r="CG320" s="59"/>
      <c r="CH320" s="59"/>
      <c r="CI320" s="59"/>
      <c r="CJ320" s="59"/>
      <c r="CK320" s="59"/>
      <c r="CL320" s="59"/>
      <c r="CM320" s="59"/>
      <c r="CN320" s="59"/>
      <c r="CO320" s="59"/>
      <c r="CP320" s="59"/>
      <c r="CQ320" s="59"/>
      <c r="CR320" s="59"/>
      <c r="CS320" s="59"/>
      <c r="CT320" s="59"/>
      <c r="CU320" s="59"/>
      <c r="CV320" s="59"/>
      <c r="CW320" s="59"/>
      <c r="CX320" s="59"/>
      <c r="CY320" s="59"/>
      <c r="CZ320" s="59"/>
      <c r="DA320" s="59"/>
      <c r="DB320" s="59"/>
      <c r="DC320" s="59"/>
      <c r="DD320" s="59"/>
      <c r="DE320" s="59"/>
      <c r="DF320" s="59"/>
      <c r="DG320" s="59"/>
    </row>
    <row r="321" spans="1:111" ht="11.2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  <c r="BV321" s="59"/>
      <c r="BW321" s="59"/>
      <c r="BX321" s="59"/>
      <c r="BY321" s="59"/>
      <c r="BZ321" s="59"/>
      <c r="CA321" s="59"/>
      <c r="CB321" s="59"/>
      <c r="CC321" s="59"/>
      <c r="CD321" s="59"/>
      <c r="CE321" s="59"/>
      <c r="CF321" s="59"/>
      <c r="CG321" s="59"/>
      <c r="CH321" s="59"/>
      <c r="CI321" s="59"/>
      <c r="CJ321" s="59"/>
      <c r="CK321" s="59"/>
      <c r="CL321" s="59"/>
      <c r="CM321" s="59"/>
      <c r="CN321" s="59"/>
      <c r="CO321" s="59"/>
      <c r="CP321" s="59"/>
      <c r="CQ321" s="59"/>
      <c r="CR321" s="59"/>
      <c r="CS321" s="59"/>
      <c r="CT321" s="59"/>
      <c r="CU321" s="59"/>
      <c r="CV321" s="59"/>
      <c r="CW321" s="59"/>
      <c r="CX321" s="59"/>
      <c r="CY321" s="59"/>
      <c r="CZ321" s="59"/>
      <c r="DA321" s="59"/>
      <c r="DB321" s="59"/>
      <c r="DC321" s="59"/>
      <c r="DD321" s="59"/>
      <c r="DE321" s="59"/>
      <c r="DF321" s="59"/>
      <c r="DG321" s="59"/>
    </row>
    <row r="322" spans="1:111" ht="11.2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59"/>
      <c r="BT322" s="59"/>
      <c r="BU322" s="59"/>
      <c r="BV322" s="59"/>
      <c r="BW322" s="59"/>
      <c r="BX322" s="59"/>
      <c r="BY322" s="59"/>
      <c r="BZ322" s="59"/>
      <c r="CA322" s="59"/>
      <c r="CB322" s="59"/>
      <c r="CC322" s="59"/>
      <c r="CD322" s="59"/>
      <c r="CE322" s="59"/>
      <c r="CF322" s="59"/>
      <c r="CG322" s="59"/>
      <c r="CH322" s="59"/>
      <c r="CI322" s="59"/>
      <c r="CJ322" s="59"/>
      <c r="CK322" s="59"/>
      <c r="CL322" s="59"/>
      <c r="CM322" s="59"/>
      <c r="CN322" s="59"/>
      <c r="CO322" s="59"/>
      <c r="CP322" s="59"/>
      <c r="CQ322" s="59"/>
      <c r="CR322" s="59"/>
      <c r="CS322" s="59"/>
      <c r="CT322" s="59"/>
      <c r="CU322" s="59"/>
      <c r="CV322" s="59"/>
      <c r="CW322" s="59"/>
      <c r="CX322" s="59"/>
      <c r="CY322" s="59"/>
      <c r="CZ322" s="59"/>
      <c r="DA322" s="59"/>
      <c r="DB322" s="59"/>
      <c r="DC322" s="59"/>
      <c r="DD322" s="59"/>
      <c r="DE322" s="59"/>
      <c r="DF322" s="59"/>
      <c r="DG322" s="59"/>
    </row>
    <row r="323" spans="1:111" ht="11.2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59"/>
      <c r="BT323" s="59"/>
      <c r="BU323" s="59"/>
      <c r="BV323" s="59"/>
      <c r="BW323" s="59"/>
      <c r="BX323" s="59"/>
      <c r="BY323" s="59"/>
      <c r="BZ323" s="59"/>
      <c r="CA323" s="59"/>
      <c r="CB323" s="59"/>
      <c r="CC323" s="59"/>
      <c r="CD323" s="59"/>
      <c r="CE323" s="59"/>
      <c r="CF323" s="59"/>
      <c r="CG323" s="59"/>
      <c r="CH323" s="59"/>
      <c r="CI323" s="59"/>
      <c r="CJ323" s="59"/>
      <c r="CK323" s="59"/>
      <c r="CL323" s="59"/>
      <c r="CM323" s="59"/>
      <c r="CN323" s="59"/>
      <c r="CO323" s="59"/>
      <c r="CP323" s="59"/>
      <c r="CQ323" s="59"/>
      <c r="CR323" s="59"/>
      <c r="CS323" s="59"/>
      <c r="CT323" s="59"/>
      <c r="CU323" s="59"/>
      <c r="CV323" s="59"/>
      <c r="CW323" s="59"/>
      <c r="CX323" s="59"/>
      <c r="CY323" s="59"/>
      <c r="CZ323" s="59"/>
      <c r="DA323" s="59"/>
      <c r="DB323" s="59"/>
      <c r="DC323" s="59"/>
      <c r="DD323" s="59"/>
      <c r="DE323" s="59"/>
      <c r="DF323" s="59"/>
      <c r="DG323" s="59"/>
    </row>
    <row r="324" spans="1:111" ht="11.2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59"/>
      <c r="BT324" s="59"/>
      <c r="BU324" s="59"/>
      <c r="BV324" s="59"/>
      <c r="BW324" s="59"/>
      <c r="BX324" s="59"/>
      <c r="BY324" s="59"/>
      <c r="BZ324" s="59"/>
      <c r="CA324" s="59"/>
      <c r="CB324" s="59"/>
      <c r="CC324" s="59"/>
      <c r="CD324" s="59"/>
      <c r="CE324" s="59"/>
      <c r="CF324" s="59"/>
      <c r="CG324" s="59"/>
      <c r="CH324" s="59"/>
      <c r="CI324" s="59"/>
      <c r="CJ324" s="59"/>
      <c r="CK324" s="59"/>
      <c r="CL324" s="59"/>
      <c r="CM324" s="59"/>
      <c r="CN324" s="59"/>
      <c r="CO324" s="59"/>
      <c r="CP324" s="59"/>
      <c r="CQ324" s="59"/>
      <c r="CR324" s="59"/>
      <c r="CS324" s="59"/>
      <c r="CT324" s="59"/>
      <c r="CU324" s="59"/>
      <c r="CV324" s="59"/>
      <c r="CW324" s="59"/>
      <c r="CX324" s="59"/>
      <c r="CY324" s="59"/>
      <c r="CZ324" s="59"/>
      <c r="DA324" s="59"/>
      <c r="DB324" s="59"/>
      <c r="DC324" s="59"/>
      <c r="DD324" s="59"/>
      <c r="DE324" s="59"/>
      <c r="DF324" s="59"/>
      <c r="DG324" s="59"/>
    </row>
    <row r="325" spans="1:111" ht="11.2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  <c r="BV325" s="59"/>
      <c r="BW325" s="59"/>
      <c r="BX325" s="59"/>
      <c r="BY325" s="59"/>
      <c r="BZ325" s="59"/>
      <c r="CA325" s="59"/>
      <c r="CB325" s="59"/>
      <c r="CC325" s="59"/>
      <c r="CD325" s="59"/>
      <c r="CE325" s="59"/>
      <c r="CF325" s="59"/>
      <c r="CG325" s="59"/>
      <c r="CH325" s="59"/>
      <c r="CI325" s="59"/>
      <c r="CJ325" s="59"/>
      <c r="CK325" s="59"/>
      <c r="CL325" s="59"/>
      <c r="CM325" s="59"/>
      <c r="CN325" s="59"/>
      <c r="CO325" s="59"/>
      <c r="CP325" s="59"/>
      <c r="CQ325" s="59"/>
      <c r="CR325" s="59"/>
      <c r="CS325" s="59"/>
      <c r="CT325" s="59"/>
      <c r="CU325" s="59"/>
      <c r="CV325" s="59"/>
      <c r="CW325" s="59"/>
      <c r="CX325" s="59"/>
      <c r="CY325" s="59"/>
      <c r="CZ325" s="59"/>
      <c r="DA325" s="59"/>
      <c r="DB325" s="59"/>
      <c r="DC325" s="59"/>
      <c r="DD325" s="59"/>
      <c r="DE325" s="59"/>
      <c r="DF325" s="59"/>
      <c r="DG325" s="59"/>
    </row>
    <row r="326" spans="1:111" ht="11.2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59"/>
      <c r="BT326" s="59"/>
      <c r="BU326" s="59"/>
      <c r="BV326" s="59"/>
      <c r="BW326" s="59"/>
      <c r="BX326" s="59"/>
      <c r="BY326" s="59"/>
      <c r="BZ326" s="59"/>
      <c r="CA326" s="59"/>
      <c r="CB326" s="59"/>
      <c r="CC326" s="59"/>
      <c r="CD326" s="59"/>
      <c r="CE326" s="59"/>
      <c r="CF326" s="59"/>
      <c r="CG326" s="59"/>
      <c r="CH326" s="59"/>
      <c r="CI326" s="59"/>
      <c r="CJ326" s="59"/>
      <c r="CK326" s="59"/>
      <c r="CL326" s="59"/>
      <c r="CM326" s="59"/>
      <c r="CN326" s="59"/>
      <c r="CO326" s="59"/>
      <c r="CP326" s="59"/>
      <c r="CQ326" s="59"/>
      <c r="CR326" s="59"/>
      <c r="CS326" s="59"/>
      <c r="CT326" s="59"/>
      <c r="CU326" s="59"/>
      <c r="CV326" s="59"/>
      <c r="CW326" s="59"/>
      <c r="CX326" s="59"/>
      <c r="CY326" s="59"/>
      <c r="CZ326" s="59"/>
      <c r="DA326" s="59"/>
      <c r="DB326" s="59"/>
      <c r="DC326" s="59"/>
      <c r="DD326" s="59"/>
      <c r="DE326" s="59"/>
      <c r="DF326" s="59"/>
      <c r="DG326" s="59"/>
    </row>
    <row r="327" spans="1:111" ht="11.2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59"/>
      <c r="BT327" s="59"/>
      <c r="BU327" s="59"/>
      <c r="BV327" s="59"/>
      <c r="BW327" s="59"/>
      <c r="BX327" s="59"/>
      <c r="BY327" s="59"/>
      <c r="BZ327" s="59"/>
      <c r="CA327" s="59"/>
      <c r="CB327" s="59"/>
      <c r="CC327" s="59"/>
      <c r="CD327" s="59"/>
      <c r="CE327" s="59"/>
      <c r="CF327" s="59"/>
      <c r="CG327" s="59"/>
      <c r="CH327" s="59"/>
      <c r="CI327" s="59"/>
      <c r="CJ327" s="59"/>
      <c r="CK327" s="59"/>
      <c r="CL327" s="59"/>
      <c r="CM327" s="59"/>
      <c r="CN327" s="59"/>
      <c r="CO327" s="59"/>
      <c r="CP327" s="59"/>
      <c r="CQ327" s="59"/>
      <c r="CR327" s="59"/>
      <c r="CS327" s="59"/>
      <c r="CT327" s="59"/>
      <c r="CU327" s="59"/>
      <c r="CV327" s="59"/>
      <c r="CW327" s="59"/>
      <c r="CX327" s="59"/>
      <c r="CY327" s="59"/>
      <c r="CZ327" s="59"/>
      <c r="DA327" s="59"/>
      <c r="DB327" s="59"/>
      <c r="DC327" s="59"/>
      <c r="DD327" s="59"/>
      <c r="DE327" s="59"/>
      <c r="DF327" s="59"/>
      <c r="DG327" s="59"/>
    </row>
    <row r="328" spans="1:111" ht="11.2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59"/>
      <c r="BT328" s="59"/>
      <c r="BU328" s="59"/>
      <c r="BV328" s="59"/>
      <c r="BW328" s="59"/>
      <c r="BX328" s="59"/>
      <c r="BY328" s="59"/>
      <c r="BZ328" s="59"/>
      <c r="CA328" s="59"/>
      <c r="CB328" s="59"/>
      <c r="CC328" s="59"/>
      <c r="CD328" s="59"/>
      <c r="CE328" s="59"/>
      <c r="CF328" s="59"/>
      <c r="CG328" s="59"/>
      <c r="CH328" s="59"/>
      <c r="CI328" s="59"/>
      <c r="CJ328" s="59"/>
      <c r="CK328" s="59"/>
      <c r="CL328" s="59"/>
      <c r="CM328" s="59"/>
      <c r="CN328" s="59"/>
      <c r="CO328" s="59"/>
      <c r="CP328" s="59"/>
      <c r="CQ328" s="59"/>
      <c r="CR328" s="59"/>
      <c r="CS328" s="59"/>
      <c r="CT328" s="59"/>
      <c r="CU328" s="59"/>
      <c r="CV328" s="59"/>
      <c r="CW328" s="59"/>
      <c r="CX328" s="59"/>
      <c r="CY328" s="59"/>
      <c r="CZ328" s="59"/>
      <c r="DA328" s="59"/>
      <c r="DB328" s="59"/>
      <c r="DC328" s="59"/>
      <c r="DD328" s="59"/>
      <c r="DE328" s="59"/>
      <c r="DF328" s="59"/>
      <c r="DG328" s="59"/>
    </row>
    <row r="329" spans="1:111" ht="11.2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59"/>
      <c r="BT329" s="59"/>
      <c r="BU329" s="59"/>
      <c r="BV329" s="59"/>
      <c r="BW329" s="59"/>
      <c r="BX329" s="59"/>
      <c r="BY329" s="59"/>
      <c r="BZ329" s="59"/>
      <c r="CA329" s="59"/>
      <c r="CB329" s="59"/>
      <c r="CC329" s="59"/>
      <c r="CD329" s="59"/>
      <c r="CE329" s="59"/>
      <c r="CF329" s="59"/>
      <c r="CG329" s="59"/>
      <c r="CH329" s="59"/>
      <c r="CI329" s="59"/>
      <c r="CJ329" s="59"/>
      <c r="CK329" s="59"/>
      <c r="CL329" s="59"/>
      <c r="CM329" s="59"/>
      <c r="CN329" s="59"/>
      <c r="CO329" s="59"/>
      <c r="CP329" s="59"/>
      <c r="CQ329" s="59"/>
      <c r="CR329" s="59"/>
      <c r="CS329" s="59"/>
      <c r="CT329" s="59"/>
      <c r="CU329" s="59"/>
      <c r="CV329" s="59"/>
      <c r="CW329" s="59"/>
      <c r="CX329" s="59"/>
      <c r="CY329" s="59"/>
      <c r="CZ329" s="59"/>
      <c r="DA329" s="59"/>
      <c r="DB329" s="59"/>
      <c r="DC329" s="59"/>
      <c r="DD329" s="59"/>
      <c r="DE329" s="59"/>
      <c r="DF329" s="59"/>
      <c r="DG329" s="59"/>
    </row>
    <row r="330" spans="1:111" ht="11.2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  <c r="BV330" s="59"/>
      <c r="BW330" s="59"/>
      <c r="BX330" s="59"/>
      <c r="BY330" s="59"/>
      <c r="BZ330" s="59"/>
      <c r="CA330" s="59"/>
      <c r="CB330" s="59"/>
      <c r="CC330" s="59"/>
      <c r="CD330" s="59"/>
      <c r="CE330" s="59"/>
      <c r="CF330" s="59"/>
      <c r="CG330" s="59"/>
      <c r="CH330" s="59"/>
      <c r="CI330" s="59"/>
      <c r="CJ330" s="59"/>
      <c r="CK330" s="59"/>
      <c r="CL330" s="59"/>
      <c r="CM330" s="59"/>
      <c r="CN330" s="59"/>
      <c r="CO330" s="59"/>
      <c r="CP330" s="59"/>
      <c r="CQ330" s="59"/>
      <c r="CR330" s="59"/>
      <c r="CS330" s="59"/>
      <c r="CT330" s="59"/>
      <c r="CU330" s="59"/>
      <c r="CV330" s="59"/>
      <c r="CW330" s="59"/>
      <c r="CX330" s="59"/>
      <c r="CY330" s="59"/>
      <c r="CZ330" s="59"/>
      <c r="DA330" s="59"/>
      <c r="DB330" s="59"/>
      <c r="DC330" s="59"/>
      <c r="DD330" s="59"/>
      <c r="DE330" s="59"/>
      <c r="DF330" s="59"/>
      <c r="DG330" s="59"/>
    </row>
    <row r="331" spans="1:111" ht="11.2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59"/>
      <c r="BT331" s="59"/>
      <c r="BU331" s="59"/>
      <c r="BV331" s="59"/>
      <c r="BW331" s="59"/>
      <c r="BX331" s="59"/>
      <c r="BY331" s="59"/>
      <c r="BZ331" s="59"/>
      <c r="CA331" s="59"/>
      <c r="CB331" s="59"/>
      <c r="CC331" s="59"/>
      <c r="CD331" s="59"/>
      <c r="CE331" s="59"/>
      <c r="CF331" s="59"/>
      <c r="CG331" s="59"/>
      <c r="CH331" s="59"/>
      <c r="CI331" s="59"/>
      <c r="CJ331" s="59"/>
      <c r="CK331" s="59"/>
      <c r="CL331" s="59"/>
      <c r="CM331" s="59"/>
      <c r="CN331" s="59"/>
      <c r="CO331" s="59"/>
      <c r="CP331" s="59"/>
      <c r="CQ331" s="59"/>
      <c r="CR331" s="59"/>
      <c r="CS331" s="59"/>
      <c r="CT331" s="59"/>
      <c r="CU331" s="59"/>
      <c r="CV331" s="59"/>
      <c r="CW331" s="59"/>
      <c r="CX331" s="59"/>
      <c r="CY331" s="59"/>
      <c r="CZ331" s="59"/>
      <c r="DA331" s="59"/>
      <c r="DB331" s="59"/>
      <c r="DC331" s="59"/>
      <c r="DD331" s="59"/>
      <c r="DE331" s="59"/>
      <c r="DF331" s="59"/>
      <c r="DG331" s="59"/>
    </row>
    <row r="332" spans="1:111" ht="11.2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59"/>
      <c r="BT332" s="59"/>
      <c r="BU332" s="59"/>
      <c r="BV332" s="59"/>
      <c r="BW332" s="59"/>
      <c r="BX332" s="59"/>
      <c r="BY332" s="59"/>
      <c r="BZ332" s="59"/>
      <c r="CA332" s="59"/>
      <c r="CB332" s="59"/>
      <c r="CC332" s="59"/>
      <c r="CD332" s="59"/>
      <c r="CE332" s="59"/>
      <c r="CF332" s="59"/>
      <c r="CG332" s="59"/>
      <c r="CH332" s="59"/>
      <c r="CI332" s="59"/>
      <c r="CJ332" s="59"/>
      <c r="CK332" s="59"/>
      <c r="CL332" s="59"/>
      <c r="CM332" s="59"/>
      <c r="CN332" s="59"/>
      <c r="CO332" s="59"/>
      <c r="CP332" s="59"/>
      <c r="CQ332" s="59"/>
      <c r="CR332" s="59"/>
      <c r="CS332" s="59"/>
      <c r="CT332" s="59"/>
      <c r="CU332" s="59"/>
      <c r="CV332" s="59"/>
      <c r="CW332" s="59"/>
      <c r="CX332" s="59"/>
      <c r="CY332" s="59"/>
      <c r="CZ332" s="59"/>
      <c r="DA332" s="59"/>
      <c r="DB332" s="59"/>
      <c r="DC332" s="59"/>
      <c r="DD332" s="59"/>
      <c r="DE332" s="59"/>
      <c r="DF332" s="59"/>
      <c r="DG332" s="59"/>
    </row>
    <row r="333" spans="1:111" ht="11.2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59"/>
      <c r="BT333" s="59"/>
      <c r="BU333" s="59"/>
      <c r="BV333" s="59"/>
      <c r="BW333" s="59"/>
      <c r="BX333" s="59"/>
      <c r="BY333" s="59"/>
      <c r="BZ333" s="59"/>
      <c r="CA333" s="59"/>
      <c r="CB333" s="59"/>
      <c r="CC333" s="59"/>
      <c r="CD333" s="59"/>
      <c r="CE333" s="59"/>
      <c r="CF333" s="59"/>
      <c r="CG333" s="59"/>
      <c r="CH333" s="59"/>
      <c r="CI333" s="59"/>
      <c r="CJ333" s="59"/>
      <c r="CK333" s="59"/>
      <c r="CL333" s="59"/>
      <c r="CM333" s="59"/>
      <c r="CN333" s="59"/>
      <c r="CO333" s="59"/>
      <c r="CP333" s="59"/>
      <c r="CQ333" s="59"/>
      <c r="CR333" s="59"/>
      <c r="CS333" s="59"/>
      <c r="CT333" s="59"/>
      <c r="CU333" s="59"/>
      <c r="CV333" s="59"/>
      <c r="CW333" s="59"/>
      <c r="CX333" s="59"/>
      <c r="CY333" s="59"/>
      <c r="CZ333" s="59"/>
      <c r="DA333" s="59"/>
      <c r="DB333" s="59"/>
      <c r="DC333" s="59"/>
      <c r="DD333" s="59"/>
      <c r="DE333" s="59"/>
      <c r="DF333" s="59"/>
      <c r="DG333" s="59"/>
    </row>
    <row r="334" spans="1:111" ht="11.2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  <c r="BV334" s="59"/>
      <c r="BW334" s="59"/>
      <c r="BX334" s="59"/>
      <c r="BY334" s="59"/>
      <c r="BZ334" s="59"/>
      <c r="CA334" s="59"/>
      <c r="CB334" s="59"/>
      <c r="CC334" s="59"/>
      <c r="CD334" s="59"/>
      <c r="CE334" s="59"/>
      <c r="CF334" s="59"/>
      <c r="CG334" s="59"/>
      <c r="CH334" s="59"/>
      <c r="CI334" s="59"/>
      <c r="CJ334" s="59"/>
      <c r="CK334" s="59"/>
      <c r="CL334" s="59"/>
      <c r="CM334" s="59"/>
      <c r="CN334" s="59"/>
      <c r="CO334" s="59"/>
      <c r="CP334" s="59"/>
      <c r="CQ334" s="59"/>
      <c r="CR334" s="59"/>
      <c r="CS334" s="59"/>
      <c r="CT334" s="59"/>
      <c r="CU334" s="59"/>
      <c r="CV334" s="59"/>
      <c r="CW334" s="59"/>
      <c r="CX334" s="59"/>
      <c r="CY334" s="59"/>
      <c r="CZ334" s="59"/>
      <c r="DA334" s="59"/>
      <c r="DB334" s="59"/>
      <c r="DC334" s="59"/>
      <c r="DD334" s="59"/>
      <c r="DE334" s="59"/>
      <c r="DF334" s="59"/>
      <c r="DG334" s="59"/>
    </row>
    <row r="335" spans="1:111" ht="11.2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59"/>
      <c r="BT335" s="59"/>
      <c r="BU335" s="59"/>
      <c r="BV335" s="59"/>
      <c r="BW335" s="59"/>
      <c r="BX335" s="59"/>
      <c r="BY335" s="59"/>
      <c r="BZ335" s="59"/>
      <c r="CA335" s="59"/>
      <c r="CB335" s="59"/>
      <c r="CC335" s="59"/>
      <c r="CD335" s="59"/>
      <c r="CE335" s="59"/>
      <c r="CF335" s="59"/>
      <c r="CG335" s="59"/>
      <c r="CH335" s="59"/>
      <c r="CI335" s="59"/>
      <c r="CJ335" s="59"/>
      <c r="CK335" s="59"/>
      <c r="CL335" s="59"/>
      <c r="CM335" s="59"/>
      <c r="CN335" s="59"/>
      <c r="CO335" s="59"/>
      <c r="CP335" s="59"/>
      <c r="CQ335" s="59"/>
      <c r="CR335" s="59"/>
      <c r="CS335" s="59"/>
      <c r="CT335" s="59"/>
      <c r="CU335" s="59"/>
      <c r="CV335" s="59"/>
      <c r="CW335" s="59"/>
      <c r="CX335" s="59"/>
      <c r="CY335" s="59"/>
      <c r="CZ335" s="59"/>
      <c r="DA335" s="59"/>
      <c r="DB335" s="59"/>
      <c r="DC335" s="59"/>
      <c r="DD335" s="59"/>
      <c r="DE335" s="59"/>
      <c r="DF335" s="59"/>
      <c r="DG335" s="59"/>
    </row>
    <row r="336" spans="1:111" ht="11.2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59"/>
      <c r="BT336" s="59"/>
      <c r="BU336" s="59"/>
      <c r="BV336" s="59"/>
      <c r="BW336" s="59"/>
      <c r="BX336" s="59"/>
      <c r="BY336" s="59"/>
      <c r="BZ336" s="59"/>
      <c r="CA336" s="59"/>
      <c r="CB336" s="59"/>
      <c r="CC336" s="59"/>
      <c r="CD336" s="59"/>
      <c r="CE336" s="59"/>
      <c r="CF336" s="59"/>
      <c r="CG336" s="59"/>
      <c r="CH336" s="59"/>
      <c r="CI336" s="59"/>
      <c r="CJ336" s="59"/>
      <c r="CK336" s="59"/>
      <c r="CL336" s="59"/>
      <c r="CM336" s="59"/>
      <c r="CN336" s="59"/>
      <c r="CO336" s="59"/>
      <c r="CP336" s="59"/>
      <c r="CQ336" s="59"/>
      <c r="CR336" s="59"/>
      <c r="CS336" s="59"/>
      <c r="CT336" s="59"/>
      <c r="CU336" s="59"/>
      <c r="CV336" s="59"/>
      <c r="CW336" s="59"/>
      <c r="CX336" s="59"/>
      <c r="CY336" s="59"/>
      <c r="CZ336" s="59"/>
      <c r="DA336" s="59"/>
      <c r="DB336" s="59"/>
      <c r="DC336" s="59"/>
      <c r="DD336" s="59"/>
      <c r="DE336" s="59"/>
      <c r="DF336" s="59"/>
      <c r="DG336" s="59"/>
    </row>
    <row r="337" spans="1:111" ht="11.2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59"/>
      <c r="BT337" s="59"/>
      <c r="BU337" s="59"/>
      <c r="BV337" s="59"/>
      <c r="BW337" s="59"/>
      <c r="BX337" s="59"/>
      <c r="BY337" s="59"/>
      <c r="BZ337" s="59"/>
      <c r="CA337" s="59"/>
      <c r="CB337" s="59"/>
      <c r="CC337" s="59"/>
      <c r="CD337" s="59"/>
      <c r="CE337" s="59"/>
      <c r="CF337" s="59"/>
      <c r="CG337" s="59"/>
      <c r="CH337" s="59"/>
      <c r="CI337" s="59"/>
      <c r="CJ337" s="59"/>
      <c r="CK337" s="59"/>
      <c r="CL337" s="59"/>
      <c r="CM337" s="59"/>
      <c r="CN337" s="59"/>
      <c r="CO337" s="59"/>
      <c r="CP337" s="59"/>
      <c r="CQ337" s="59"/>
      <c r="CR337" s="59"/>
      <c r="CS337" s="59"/>
      <c r="CT337" s="59"/>
      <c r="CU337" s="59"/>
      <c r="CV337" s="59"/>
      <c r="CW337" s="59"/>
      <c r="CX337" s="59"/>
      <c r="CY337" s="59"/>
      <c r="CZ337" s="59"/>
      <c r="DA337" s="59"/>
      <c r="DB337" s="59"/>
      <c r="DC337" s="59"/>
      <c r="DD337" s="59"/>
      <c r="DE337" s="59"/>
      <c r="DF337" s="59"/>
      <c r="DG337" s="59"/>
    </row>
    <row r="338" spans="1:111" ht="11.2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59"/>
      <c r="BT338" s="59"/>
      <c r="BU338" s="59"/>
      <c r="BV338" s="59"/>
      <c r="BW338" s="59"/>
      <c r="BX338" s="59"/>
      <c r="BY338" s="59"/>
      <c r="BZ338" s="59"/>
      <c r="CA338" s="59"/>
      <c r="CB338" s="59"/>
      <c r="CC338" s="59"/>
      <c r="CD338" s="59"/>
      <c r="CE338" s="59"/>
      <c r="CF338" s="59"/>
      <c r="CG338" s="59"/>
      <c r="CH338" s="59"/>
      <c r="CI338" s="59"/>
      <c r="CJ338" s="59"/>
      <c r="CK338" s="59"/>
      <c r="CL338" s="59"/>
      <c r="CM338" s="59"/>
      <c r="CN338" s="59"/>
      <c r="CO338" s="59"/>
      <c r="CP338" s="59"/>
      <c r="CQ338" s="59"/>
      <c r="CR338" s="59"/>
      <c r="CS338" s="59"/>
      <c r="CT338" s="59"/>
      <c r="CU338" s="59"/>
      <c r="CV338" s="59"/>
      <c r="CW338" s="59"/>
      <c r="CX338" s="59"/>
      <c r="CY338" s="59"/>
      <c r="CZ338" s="59"/>
      <c r="DA338" s="59"/>
      <c r="DB338" s="59"/>
      <c r="DC338" s="59"/>
      <c r="DD338" s="59"/>
      <c r="DE338" s="59"/>
      <c r="DF338" s="59"/>
      <c r="DG338" s="59"/>
    </row>
    <row r="339" spans="1:111" ht="11.2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59"/>
      <c r="BT339" s="59"/>
      <c r="BU339" s="59"/>
      <c r="BV339" s="59"/>
      <c r="BW339" s="59"/>
      <c r="BX339" s="59"/>
      <c r="BY339" s="59"/>
      <c r="BZ339" s="59"/>
      <c r="CA339" s="59"/>
      <c r="CB339" s="59"/>
      <c r="CC339" s="59"/>
      <c r="CD339" s="59"/>
      <c r="CE339" s="59"/>
      <c r="CF339" s="59"/>
      <c r="CG339" s="59"/>
      <c r="CH339" s="59"/>
      <c r="CI339" s="59"/>
      <c r="CJ339" s="59"/>
      <c r="CK339" s="59"/>
      <c r="CL339" s="59"/>
      <c r="CM339" s="59"/>
      <c r="CN339" s="59"/>
      <c r="CO339" s="59"/>
      <c r="CP339" s="59"/>
      <c r="CQ339" s="59"/>
      <c r="CR339" s="59"/>
      <c r="CS339" s="59"/>
      <c r="CT339" s="59"/>
      <c r="CU339" s="59"/>
      <c r="CV339" s="59"/>
      <c r="CW339" s="59"/>
      <c r="CX339" s="59"/>
      <c r="CY339" s="59"/>
      <c r="CZ339" s="59"/>
      <c r="DA339" s="59"/>
      <c r="DB339" s="59"/>
      <c r="DC339" s="59"/>
      <c r="DD339" s="59"/>
      <c r="DE339" s="59"/>
      <c r="DF339" s="59"/>
      <c r="DG339" s="59"/>
    </row>
    <row r="340" spans="1:111" ht="11.2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  <c r="CI340" s="59"/>
      <c r="CJ340" s="59"/>
      <c r="CK340" s="59"/>
      <c r="CL340" s="59"/>
      <c r="CM340" s="59"/>
      <c r="CN340" s="59"/>
      <c r="CO340" s="59"/>
      <c r="CP340" s="59"/>
      <c r="CQ340" s="59"/>
      <c r="CR340" s="59"/>
      <c r="CS340" s="59"/>
      <c r="CT340" s="59"/>
      <c r="CU340" s="59"/>
      <c r="CV340" s="59"/>
      <c r="CW340" s="59"/>
      <c r="CX340" s="59"/>
      <c r="CY340" s="59"/>
      <c r="CZ340" s="59"/>
      <c r="DA340" s="59"/>
      <c r="DB340" s="59"/>
      <c r="DC340" s="59"/>
      <c r="DD340" s="59"/>
      <c r="DE340" s="59"/>
      <c r="DF340" s="59"/>
      <c r="DG340" s="59"/>
    </row>
    <row r="341" spans="1:111" ht="11.2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59"/>
      <c r="BT341" s="59"/>
      <c r="BU341" s="59"/>
      <c r="BV341" s="59"/>
      <c r="BW341" s="59"/>
      <c r="BX341" s="59"/>
      <c r="BY341" s="59"/>
      <c r="BZ341" s="59"/>
      <c r="CA341" s="59"/>
      <c r="CB341" s="59"/>
      <c r="CC341" s="59"/>
      <c r="CD341" s="59"/>
      <c r="CE341" s="59"/>
      <c r="CF341" s="59"/>
      <c r="CG341" s="59"/>
      <c r="CH341" s="59"/>
      <c r="CI341" s="59"/>
      <c r="CJ341" s="59"/>
      <c r="CK341" s="59"/>
      <c r="CL341" s="59"/>
      <c r="CM341" s="59"/>
      <c r="CN341" s="59"/>
      <c r="CO341" s="59"/>
      <c r="CP341" s="59"/>
      <c r="CQ341" s="59"/>
      <c r="CR341" s="59"/>
      <c r="CS341" s="59"/>
      <c r="CT341" s="59"/>
      <c r="CU341" s="59"/>
      <c r="CV341" s="59"/>
      <c r="CW341" s="59"/>
      <c r="CX341" s="59"/>
      <c r="CY341" s="59"/>
      <c r="CZ341" s="59"/>
      <c r="DA341" s="59"/>
      <c r="DB341" s="59"/>
      <c r="DC341" s="59"/>
      <c r="DD341" s="59"/>
      <c r="DE341" s="59"/>
      <c r="DF341" s="59"/>
      <c r="DG341" s="59"/>
    </row>
    <row r="342" spans="1:111" ht="11.2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59"/>
      <c r="BT342" s="59"/>
      <c r="BU342" s="59"/>
      <c r="BV342" s="59"/>
      <c r="BW342" s="59"/>
      <c r="BX342" s="59"/>
      <c r="BY342" s="59"/>
      <c r="BZ342" s="59"/>
      <c r="CA342" s="59"/>
      <c r="CB342" s="59"/>
      <c r="CC342" s="59"/>
      <c r="CD342" s="59"/>
      <c r="CE342" s="59"/>
      <c r="CF342" s="59"/>
      <c r="CG342" s="59"/>
      <c r="CH342" s="59"/>
      <c r="CI342" s="59"/>
      <c r="CJ342" s="59"/>
      <c r="CK342" s="59"/>
      <c r="CL342" s="59"/>
      <c r="CM342" s="59"/>
      <c r="CN342" s="59"/>
      <c r="CO342" s="59"/>
      <c r="CP342" s="59"/>
      <c r="CQ342" s="59"/>
      <c r="CR342" s="59"/>
      <c r="CS342" s="59"/>
      <c r="CT342" s="59"/>
      <c r="CU342" s="59"/>
      <c r="CV342" s="59"/>
      <c r="CW342" s="59"/>
      <c r="CX342" s="59"/>
      <c r="CY342" s="59"/>
      <c r="CZ342" s="59"/>
      <c r="DA342" s="59"/>
      <c r="DB342" s="59"/>
      <c r="DC342" s="59"/>
      <c r="DD342" s="59"/>
      <c r="DE342" s="59"/>
      <c r="DF342" s="59"/>
      <c r="DG342" s="59"/>
    </row>
    <row r="343" spans="1:111" ht="11.2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59"/>
      <c r="BT343" s="59"/>
      <c r="BU343" s="59"/>
      <c r="BV343" s="59"/>
      <c r="BW343" s="59"/>
      <c r="BX343" s="59"/>
      <c r="BY343" s="59"/>
      <c r="BZ343" s="59"/>
      <c r="CA343" s="59"/>
      <c r="CB343" s="59"/>
      <c r="CC343" s="59"/>
      <c r="CD343" s="59"/>
      <c r="CE343" s="59"/>
      <c r="CF343" s="59"/>
      <c r="CG343" s="59"/>
      <c r="CH343" s="59"/>
      <c r="CI343" s="59"/>
      <c r="CJ343" s="59"/>
      <c r="CK343" s="59"/>
      <c r="CL343" s="59"/>
      <c r="CM343" s="59"/>
      <c r="CN343" s="59"/>
      <c r="CO343" s="59"/>
      <c r="CP343" s="59"/>
      <c r="CQ343" s="59"/>
      <c r="CR343" s="59"/>
      <c r="CS343" s="59"/>
      <c r="CT343" s="59"/>
      <c r="CU343" s="59"/>
      <c r="CV343" s="59"/>
      <c r="CW343" s="59"/>
      <c r="CX343" s="59"/>
      <c r="CY343" s="59"/>
      <c r="CZ343" s="59"/>
      <c r="DA343" s="59"/>
      <c r="DB343" s="59"/>
      <c r="DC343" s="59"/>
      <c r="DD343" s="59"/>
      <c r="DE343" s="59"/>
      <c r="DF343" s="59"/>
      <c r="DG343" s="59"/>
    </row>
    <row r="344" spans="1:111" ht="11.2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59"/>
      <c r="BT344" s="59"/>
      <c r="BU344" s="59"/>
      <c r="BV344" s="59"/>
      <c r="BW344" s="59"/>
      <c r="BX344" s="59"/>
      <c r="BY344" s="59"/>
      <c r="BZ344" s="59"/>
      <c r="CA344" s="59"/>
      <c r="CB344" s="59"/>
      <c r="CC344" s="59"/>
      <c r="CD344" s="59"/>
      <c r="CE344" s="59"/>
      <c r="CF344" s="59"/>
      <c r="CG344" s="59"/>
      <c r="CH344" s="59"/>
      <c r="CI344" s="59"/>
      <c r="CJ344" s="59"/>
      <c r="CK344" s="59"/>
      <c r="CL344" s="59"/>
      <c r="CM344" s="59"/>
      <c r="CN344" s="59"/>
      <c r="CO344" s="59"/>
      <c r="CP344" s="59"/>
      <c r="CQ344" s="59"/>
      <c r="CR344" s="59"/>
      <c r="CS344" s="59"/>
      <c r="CT344" s="59"/>
      <c r="CU344" s="59"/>
      <c r="CV344" s="59"/>
      <c r="CW344" s="59"/>
      <c r="CX344" s="59"/>
      <c r="CY344" s="59"/>
      <c r="CZ344" s="59"/>
      <c r="DA344" s="59"/>
      <c r="DB344" s="59"/>
      <c r="DC344" s="59"/>
      <c r="DD344" s="59"/>
      <c r="DE344" s="59"/>
      <c r="DF344" s="59"/>
      <c r="DG344" s="59"/>
    </row>
    <row r="345" spans="1:111" ht="11.2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59"/>
      <c r="BT345" s="59"/>
      <c r="BU345" s="59"/>
      <c r="BV345" s="59"/>
      <c r="BW345" s="59"/>
      <c r="BX345" s="59"/>
      <c r="BY345" s="59"/>
      <c r="BZ345" s="59"/>
      <c r="CA345" s="59"/>
      <c r="CB345" s="59"/>
      <c r="CC345" s="59"/>
      <c r="CD345" s="59"/>
      <c r="CE345" s="59"/>
      <c r="CF345" s="59"/>
      <c r="CG345" s="59"/>
      <c r="CH345" s="59"/>
      <c r="CI345" s="59"/>
      <c r="CJ345" s="59"/>
      <c r="CK345" s="59"/>
      <c r="CL345" s="59"/>
      <c r="CM345" s="59"/>
      <c r="CN345" s="59"/>
      <c r="CO345" s="59"/>
      <c r="CP345" s="59"/>
      <c r="CQ345" s="59"/>
      <c r="CR345" s="59"/>
      <c r="CS345" s="59"/>
      <c r="CT345" s="59"/>
      <c r="CU345" s="59"/>
      <c r="CV345" s="59"/>
      <c r="CW345" s="59"/>
      <c r="CX345" s="59"/>
      <c r="CY345" s="59"/>
      <c r="CZ345" s="59"/>
      <c r="DA345" s="59"/>
      <c r="DB345" s="59"/>
      <c r="DC345" s="59"/>
      <c r="DD345" s="59"/>
      <c r="DE345" s="59"/>
      <c r="DF345" s="59"/>
      <c r="DG345" s="59"/>
    </row>
    <row r="346" spans="1:111" ht="11.2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59"/>
      <c r="BT346" s="59"/>
      <c r="BU346" s="59"/>
      <c r="BV346" s="59"/>
      <c r="BW346" s="59"/>
      <c r="BX346" s="59"/>
      <c r="BY346" s="59"/>
      <c r="BZ346" s="59"/>
      <c r="CA346" s="59"/>
      <c r="CB346" s="59"/>
      <c r="CC346" s="59"/>
      <c r="CD346" s="59"/>
      <c r="CE346" s="59"/>
      <c r="CF346" s="59"/>
      <c r="CG346" s="59"/>
      <c r="CH346" s="59"/>
      <c r="CI346" s="59"/>
      <c r="CJ346" s="59"/>
      <c r="CK346" s="59"/>
      <c r="CL346" s="59"/>
      <c r="CM346" s="59"/>
      <c r="CN346" s="59"/>
      <c r="CO346" s="59"/>
      <c r="CP346" s="59"/>
      <c r="CQ346" s="59"/>
      <c r="CR346" s="59"/>
      <c r="CS346" s="59"/>
      <c r="CT346" s="59"/>
      <c r="CU346" s="59"/>
      <c r="CV346" s="59"/>
      <c r="CW346" s="59"/>
      <c r="CX346" s="59"/>
      <c r="CY346" s="59"/>
      <c r="CZ346" s="59"/>
      <c r="DA346" s="59"/>
      <c r="DB346" s="59"/>
      <c r="DC346" s="59"/>
      <c r="DD346" s="59"/>
      <c r="DE346" s="59"/>
      <c r="DF346" s="59"/>
      <c r="DG346" s="59"/>
    </row>
    <row r="347" spans="1:111" ht="11.2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  <c r="CI347" s="59"/>
      <c r="CJ347" s="59"/>
      <c r="CK347" s="59"/>
      <c r="CL347" s="59"/>
      <c r="CM347" s="59"/>
      <c r="CN347" s="59"/>
      <c r="CO347" s="59"/>
      <c r="CP347" s="59"/>
      <c r="CQ347" s="59"/>
      <c r="CR347" s="59"/>
      <c r="CS347" s="59"/>
      <c r="CT347" s="59"/>
      <c r="CU347" s="59"/>
      <c r="CV347" s="59"/>
      <c r="CW347" s="59"/>
      <c r="CX347" s="59"/>
      <c r="CY347" s="59"/>
      <c r="CZ347" s="59"/>
      <c r="DA347" s="59"/>
      <c r="DB347" s="59"/>
      <c r="DC347" s="59"/>
      <c r="DD347" s="59"/>
      <c r="DE347" s="59"/>
      <c r="DF347" s="59"/>
      <c r="DG347" s="59"/>
    </row>
    <row r="348" spans="1:111" ht="11.2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59"/>
      <c r="BT348" s="59"/>
      <c r="BU348" s="59"/>
      <c r="BV348" s="59"/>
      <c r="BW348" s="59"/>
      <c r="BX348" s="59"/>
      <c r="BY348" s="59"/>
      <c r="BZ348" s="59"/>
      <c r="CA348" s="59"/>
      <c r="CB348" s="59"/>
      <c r="CC348" s="59"/>
      <c r="CD348" s="59"/>
      <c r="CE348" s="59"/>
      <c r="CF348" s="59"/>
      <c r="CG348" s="59"/>
      <c r="CH348" s="59"/>
      <c r="CI348" s="59"/>
      <c r="CJ348" s="59"/>
      <c r="CK348" s="59"/>
      <c r="CL348" s="59"/>
      <c r="CM348" s="59"/>
      <c r="CN348" s="59"/>
      <c r="CO348" s="59"/>
      <c r="CP348" s="59"/>
      <c r="CQ348" s="59"/>
      <c r="CR348" s="59"/>
      <c r="CS348" s="59"/>
      <c r="CT348" s="59"/>
      <c r="CU348" s="59"/>
      <c r="CV348" s="59"/>
      <c r="CW348" s="59"/>
      <c r="CX348" s="59"/>
      <c r="CY348" s="59"/>
      <c r="CZ348" s="59"/>
      <c r="DA348" s="59"/>
      <c r="DB348" s="59"/>
      <c r="DC348" s="59"/>
      <c r="DD348" s="59"/>
      <c r="DE348" s="59"/>
      <c r="DF348" s="59"/>
      <c r="DG348" s="59"/>
    </row>
    <row r="349" spans="1:111" ht="11.2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59"/>
      <c r="BT349" s="59"/>
      <c r="BU349" s="59"/>
      <c r="BV349" s="59"/>
      <c r="BW349" s="59"/>
      <c r="BX349" s="59"/>
      <c r="BY349" s="59"/>
      <c r="BZ349" s="59"/>
      <c r="CA349" s="59"/>
      <c r="CB349" s="59"/>
      <c r="CC349" s="59"/>
      <c r="CD349" s="59"/>
      <c r="CE349" s="59"/>
      <c r="CF349" s="59"/>
      <c r="CG349" s="59"/>
      <c r="CH349" s="59"/>
      <c r="CI349" s="59"/>
      <c r="CJ349" s="59"/>
      <c r="CK349" s="59"/>
      <c r="CL349" s="59"/>
      <c r="CM349" s="59"/>
      <c r="CN349" s="59"/>
      <c r="CO349" s="59"/>
      <c r="CP349" s="59"/>
      <c r="CQ349" s="59"/>
      <c r="CR349" s="59"/>
      <c r="CS349" s="59"/>
      <c r="CT349" s="59"/>
      <c r="CU349" s="59"/>
      <c r="CV349" s="59"/>
      <c r="CW349" s="59"/>
      <c r="CX349" s="59"/>
      <c r="CY349" s="59"/>
      <c r="CZ349" s="59"/>
      <c r="DA349" s="59"/>
      <c r="DB349" s="59"/>
      <c r="DC349" s="59"/>
      <c r="DD349" s="59"/>
      <c r="DE349" s="59"/>
      <c r="DF349" s="59"/>
      <c r="DG349" s="59"/>
    </row>
    <row r="350" spans="1:111" ht="11.2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  <c r="BV350" s="59"/>
      <c r="BW350" s="59"/>
      <c r="BX350" s="59"/>
      <c r="BY350" s="59"/>
      <c r="BZ350" s="59"/>
      <c r="CA350" s="59"/>
      <c r="CB350" s="59"/>
      <c r="CC350" s="59"/>
      <c r="CD350" s="59"/>
      <c r="CE350" s="59"/>
      <c r="CF350" s="59"/>
      <c r="CG350" s="59"/>
      <c r="CH350" s="59"/>
      <c r="CI350" s="59"/>
      <c r="CJ350" s="59"/>
      <c r="CK350" s="59"/>
      <c r="CL350" s="59"/>
      <c r="CM350" s="59"/>
      <c r="CN350" s="59"/>
      <c r="CO350" s="59"/>
      <c r="CP350" s="59"/>
      <c r="CQ350" s="59"/>
      <c r="CR350" s="59"/>
      <c r="CS350" s="59"/>
      <c r="CT350" s="59"/>
      <c r="CU350" s="59"/>
      <c r="CV350" s="59"/>
      <c r="CW350" s="59"/>
      <c r="CX350" s="59"/>
      <c r="CY350" s="59"/>
      <c r="CZ350" s="59"/>
      <c r="DA350" s="59"/>
      <c r="DB350" s="59"/>
      <c r="DC350" s="59"/>
      <c r="DD350" s="59"/>
      <c r="DE350" s="59"/>
      <c r="DF350" s="59"/>
      <c r="DG350" s="59"/>
    </row>
    <row r="351" spans="1:111" ht="11.2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  <c r="BV351" s="59"/>
      <c r="BW351" s="59"/>
      <c r="BX351" s="59"/>
      <c r="BY351" s="59"/>
      <c r="BZ351" s="59"/>
      <c r="CA351" s="59"/>
      <c r="CB351" s="59"/>
      <c r="CC351" s="59"/>
      <c r="CD351" s="59"/>
      <c r="CE351" s="59"/>
      <c r="CF351" s="59"/>
      <c r="CG351" s="59"/>
      <c r="CH351" s="59"/>
      <c r="CI351" s="59"/>
      <c r="CJ351" s="59"/>
      <c r="CK351" s="59"/>
      <c r="CL351" s="59"/>
      <c r="CM351" s="59"/>
      <c r="CN351" s="59"/>
      <c r="CO351" s="59"/>
      <c r="CP351" s="59"/>
      <c r="CQ351" s="59"/>
      <c r="CR351" s="59"/>
      <c r="CS351" s="59"/>
      <c r="CT351" s="59"/>
      <c r="CU351" s="59"/>
      <c r="CV351" s="59"/>
      <c r="CW351" s="59"/>
      <c r="CX351" s="59"/>
      <c r="CY351" s="59"/>
      <c r="CZ351" s="59"/>
      <c r="DA351" s="59"/>
      <c r="DB351" s="59"/>
      <c r="DC351" s="59"/>
      <c r="DD351" s="59"/>
      <c r="DE351" s="59"/>
      <c r="DF351" s="59"/>
      <c r="DG351" s="59"/>
    </row>
    <row r="352" spans="1:111" ht="11.2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59"/>
      <c r="BT352" s="59"/>
      <c r="BU352" s="59"/>
      <c r="BV352" s="59"/>
      <c r="BW352" s="59"/>
      <c r="BX352" s="59"/>
      <c r="BY352" s="59"/>
      <c r="BZ352" s="59"/>
      <c r="CA352" s="59"/>
      <c r="CB352" s="59"/>
      <c r="CC352" s="59"/>
      <c r="CD352" s="59"/>
      <c r="CE352" s="59"/>
      <c r="CF352" s="59"/>
      <c r="CG352" s="59"/>
      <c r="CH352" s="59"/>
      <c r="CI352" s="59"/>
      <c r="CJ352" s="59"/>
      <c r="CK352" s="59"/>
      <c r="CL352" s="59"/>
      <c r="CM352" s="59"/>
      <c r="CN352" s="59"/>
      <c r="CO352" s="59"/>
      <c r="CP352" s="59"/>
      <c r="CQ352" s="59"/>
      <c r="CR352" s="59"/>
      <c r="CS352" s="59"/>
      <c r="CT352" s="59"/>
      <c r="CU352" s="59"/>
      <c r="CV352" s="59"/>
      <c r="CW352" s="59"/>
      <c r="CX352" s="59"/>
      <c r="CY352" s="59"/>
      <c r="CZ352" s="59"/>
      <c r="DA352" s="59"/>
      <c r="DB352" s="59"/>
      <c r="DC352" s="59"/>
      <c r="DD352" s="59"/>
      <c r="DE352" s="59"/>
      <c r="DF352" s="59"/>
      <c r="DG352" s="59"/>
    </row>
    <row r="353" spans="1:111" ht="11.2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  <c r="BV353" s="59"/>
      <c r="BW353" s="59"/>
      <c r="BX353" s="59"/>
      <c r="BY353" s="59"/>
      <c r="BZ353" s="59"/>
      <c r="CA353" s="59"/>
      <c r="CB353" s="59"/>
      <c r="CC353" s="59"/>
      <c r="CD353" s="59"/>
      <c r="CE353" s="59"/>
      <c r="CF353" s="59"/>
      <c r="CG353" s="59"/>
      <c r="CH353" s="59"/>
      <c r="CI353" s="59"/>
      <c r="CJ353" s="59"/>
      <c r="CK353" s="59"/>
      <c r="CL353" s="59"/>
      <c r="CM353" s="59"/>
      <c r="CN353" s="59"/>
      <c r="CO353" s="59"/>
      <c r="CP353" s="59"/>
      <c r="CQ353" s="59"/>
      <c r="CR353" s="59"/>
      <c r="CS353" s="59"/>
      <c r="CT353" s="59"/>
      <c r="CU353" s="59"/>
      <c r="CV353" s="59"/>
      <c r="CW353" s="59"/>
      <c r="CX353" s="59"/>
      <c r="CY353" s="59"/>
      <c r="CZ353" s="59"/>
      <c r="DA353" s="59"/>
      <c r="DB353" s="59"/>
      <c r="DC353" s="59"/>
      <c r="DD353" s="59"/>
      <c r="DE353" s="59"/>
      <c r="DF353" s="59"/>
      <c r="DG353" s="59"/>
    </row>
    <row r="354" spans="1:111" ht="11.2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  <c r="BV354" s="59"/>
      <c r="BW354" s="59"/>
      <c r="BX354" s="59"/>
      <c r="BY354" s="59"/>
      <c r="BZ354" s="59"/>
      <c r="CA354" s="59"/>
      <c r="CB354" s="59"/>
      <c r="CC354" s="59"/>
      <c r="CD354" s="59"/>
      <c r="CE354" s="59"/>
      <c r="CF354" s="59"/>
      <c r="CG354" s="59"/>
      <c r="CH354" s="59"/>
      <c r="CI354" s="59"/>
      <c r="CJ354" s="59"/>
      <c r="CK354" s="59"/>
      <c r="CL354" s="59"/>
      <c r="CM354" s="59"/>
      <c r="CN354" s="59"/>
      <c r="CO354" s="59"/>
      <c r="CP354" s="59"/>
      <c r="CQ354" s="59"/>
      <c r="CR354" s="59"/>
      <c r="CS354" s="59"/>
      <c r="CT354" s="59"/>
      <c r="CU354" s="59"/>
      <c r="CV354" s="59"/>
      <c r="CW354" s="59"/>
      <c r="CX354" s="59"/>
      <c r="CY354" s="59"/>
      <c r="CZ354" s="59"/>
      <c r="DA354" s="59"/>
      <c r="DB354" s="59"/>
      <c r="DC354" s="59"/>
      <c r="DD354" s="59"/>
      <c r="DE354" s="59"/>
      <c r="DF354" s="59"/>
      <c r="DG354" s="59"/>
    </row>
    <row r="355" spans="1:111" ht="11.2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  <c r="BV355" s="59"/>
      <c r="BW355" s="59"/>
      <c r="BX355" s="59"/>
      <c r="BY355" s="59"/>
      <c r="BZ355" s="59"/>
      <c r="CA355" s="59"/>
      <c r="CB355" s="59"/>
      <c r="CC355" s="59"/>
      <c r="CD355" s="59"/>
      <c r="CE355" s="59"/>
      <c r="CF355" s="59"/>
      <c r="CG355" s="59"/>
      <c r="CH355" s="59"/>
      <c r="CI355" s="59"/>
      <c r="CJ355" s="59"/>
      <c r="CK355" s="59"/>
      <c r="CL355" s="59"/>
      <c r="CM355" s="59"/>
      <c r="CN355" s="59"/>
      <c r="CO355" s="59"/>
      <c r="CP355" s="59"/>
      <c r="CQ355" s="59"/>
      <c r="CR355" s="59"/>
      <c r="CS355" s="59"/>
      <c r="CT355" s="59"/>
      <c r="CU355" s="59"/>
      <c r="CV355" s="59"/>
      <c r="CW355" s="59"/>
      <c r="CX355" s="59"/>
      <c r="CY355" s="59"/>
      <c r="CZ355" s="59"/>
      <c r="DA355" s="59"/>
      <c r="DB355" s="59"/>
      <c r="DC355" s="59"/>
      <c r="DD355" s="59"/>
      <c r="DE355" s="59"/>
      <c r="DF355" s="59"/>
      <c r="DG355" s="59"/>
    </row>
    <row r="356" spans="1:111" ht="11.2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59"/>
      <c r="BT356" s="59"/>
      <c r="BU356" s="59"/>
      <c r="BV356" s="59"/>
      <c r="BW356" s="59"/>
      <c r="BX356" s="59"/>
      <c r="BY356" s="59"/>
      <c r="BZ356" s="59"/>
      <c r="CA356" s="59"/>
      <c r="CB356" s="59"/>
      <c r="CC356" s="59"/>
      <c r="CD356" s="59"/>
      <c r="CE356" s="59"/>
      <c r="CF356" s="59"/>
      <c r="CG356" s="59"/>
      <c r="CH356" s="59"/>
      <c r="CI356" s="59"/>
      <c r="CJ356" s="59"/>
      <c r="CK356" s="59"/>
      <c r="CL356" s="59"/>
      <c r="CM356" s="59"/>
      <c r="CN356" s="59"/>
      <c r="CO356" s="59"/>
      <c r="CP356" s="59"/>
      <c r="CQ356" s="59"/>
      <c r="CR356" s="59"/>
      <c r="CS356" s="59"/>
      <c r="CT356" s="59"/>
      <c r="CU356" s="59"/>
      <c r="CV356" s="59"/>
      <c r="CW356" s="59"/>
      <c r="CX356" s="59"/>
      <c r="CY356" s="59"/>
      <c r="CZ356" s="59"/>
      <c r="DA356" s="59"/>
      <c r="DB356" s="59"/>
      <c r="DC356" s="59"/>
      <c r="DD356" s="59"/>
      <c r="DE356" s="59"/>
      <c r="DF356" s="59"/>
      <c r="DG356" s="59"/>
    </row>
    <row r="357" spans="1:111" ht="11.2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  <c r="BV357" s="59"/>
      <c r="BW357" s="59"/>
      <c r="BX357" s="59"/>
      <c r="BY357" s="59"/>
      <c r="BZ357" s="59"/>
      <c r="CA357" s="59"/>
      <c r="CB357" s="59"/>
      <c r="CC357" s="59"/>
      <c r="CD357" s="59"/>
      <c r="CE357" s="59"/>
      <c r="CF357" s="59"/>
      <c r="CG357" s="59"/>
      <c r="CH357" s="59"/>
      <c r="CI357" s="59"/>
      <c r="CJ357" s="59"/>
      <c r="CK357" s="59"/>
      <c r="CL357" s="59"/>
      <c r="CM357" s="59"/>
      <c r="CN357" s="59"/>
      <c r="CO357" s="59"/>
      <c r="CP357" s="59"/>
      <c r="CQ357" s="59"/>
      <c r="CR357" s="59"/>
      <c r="CS357" s="59"/>
      <c r="CT357" s="59"/>
      <c r="CU357" s="59"/>
      <c r="CV357" s="59"/>
      <c r="CW357" s="59"/>
      <c r="CX357" s="59"/>
      <c r="CY357" s="59"/>
      <c r="CZ357" s="59"/>
      <c r="DA357" s="59"/>
      <c r="DB357" s="59"/>
      <c r="DC357" s="59"/>
      <c r="DD357" s="59"/>
      <c r="DE357" s="59"/>
      <c r="DF357" s="59"/>
      <c r="DG357" s="59"/>
    </row>
    <row r="358" spans="1:111" ht="11.2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  <c r="BV358" s="59"/>
      <c r="BW358" s="59"/>
      <c r="BX358" s="59"/>
      <c r="BY358" s="59"/>
      <c r="BZ358" s="59"/>
      <c r="CA358" s="59"/>
      <c r="CB358" s="59"/>
      <c r="CC358" s="59"/>
      <c r="CD358" s="59"/>
      <c r="CE358" s="59"/>
      <c r="CF358" s="59"/>
      <c r="CG358" s="59"/>
      <c r="CH358" s="59"/>
      <c r="CI358" s="59"/>
      <c r="CJ358" s="59"/>
      <c r="CK358" s="59"/>
      <c r="CL358" s="59"/>
      <c r="CM358" s="59"/>
      <c r="CN358" s="59"/>
      <c r="CO358" s="59"/>
      <c r="CP358" s="59"/>
      <c r="CQ358" s="59"/>
      <c r="CR358" s="59"/>
      <c r="CS358" s="59"/>
      <c r="CT358" s="59"/>
      <c r="CU358" s="59"/>
      <c r="CV358" s="59"/>
      <c r="CW358" s="59"/>
      <c r="CX358" s="59"/>
      <c r="CY358" s="59"/>
      <c r="CZ358" s="59"/>
      <c r="DA358" s="59"/>
      <c r="DB358" s="59"/>
      <c r="DC358" s="59"/>
      <c r="DD358" s="59"/>
      <c r="DE358" s="59"/>
      <c r="DF358" s="59"/>
      <c r="DG358" s="59"/>
    </row>
    <row r="359" spans="1:111" ht="11.2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59"/>
      <c r="BT359" s="59"/>
      <c r="BU359" s="59"/>
      <c r="BV359" s="59"/>
      <c r="BW359" s="59"/>
      <c r="BX359" s="59"/>
      <c r="BY359" s="59"/>
      <c r="BZ359" s="59"/>
      <c r="CA359" s="59"/>
      <c r="CB359" s="59"/>
      <c r="CC359" s="59"/>
      <c r="CD359" s="59"/>
      <c r="CE359" s="59"/>
      <c r="CF359" s="59"/>
      <c r="CG359" s="59"/>
      <c r="CH359" s="59"/>
      <c r="CI359" s="59"/>
      <c r="CJ359" s="59"/>
      <c r="CK359" s="59"/>
      <c r="CL359" s="59"/>
      <c r="CM359" s="59"/>
      <c r="CN359" s="59"/>
      <c r="CO359" s="59"/>
      <c r="CP359" s="59"/>
      <c r="CQ359" s="59"/>
      <c r="CR359" s="59"/>
      <c r="CS359" s="59"/>
      <c r="CT359" s="59"/>
      <c r="CU359" s="59"/>
      <c r="CV359" s="59"/>
      <c r="CW359" s="59"/>
      <c r="CX359" s="59"/>
      <c r="CY359" s="59"/>
      <c r="CZ359" s="59"/>
      <c r="DA359" s="59"/>
      <c r="DB359" s="59"/>
      <c r="DC359" s="59"/>
      <c r="DD359" s="59"/>
      <c r="DE359" s="59"/>
      <c r="DF359" s="59"/>
      <c r="DG359" s="59"/>
    </row>
    <row r="360" spans="1:111" ht="11.2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59"/>
      <c r="BT360" s="59"/>
      <c r="BU360" s="59"/>
      <c r="BV360" s="59"/>
      <c r="BW360" s="59"/>
      <c r="BX360" s="59"/>
      <c r="BY360" s="59"/>
      <c r="BZ360" s="59"/>
      <c r="CA360" s="59"/>
      <c r="CB360" s="59"/>
      <c r="CC360" s="59"/>
      <c r="CD360" s="59"/>
      <c r="CE360" s="59"/>
      <c r="CF360" s="59"/>
      <c r="CG360" s="59"/>
      <c r="CH360" s="59"/>
      <c r="CI360" s="59"/>
      <c r="CJ360" s="59"/>
      <c r="CK360" s="59"/>
      <c r="CL360" s="59"/>
      <c r="CM360" s="59"/>
      <c r="CN360" s="59"/>
      <c r="CO360" s="59"/>
      <c r="CP360" s="59"/>
      <c r="CQ360" s="59"/>
      <c r="CR360" s="59"/>
      <c r="CS360" s="59"/>
      <c r="CT360" s="59"/>
      <c r="CU360" s="59"/>
      <c r="CV360" s="59"/>
      <c r="CW360" s="59"/>
      <c r="CX360" s="59"/>
      <c r="CY360" s="59"/>
      <c r="CZ360" s="59"/>
      <c r="DA360" s="59"/>
      <c r="DB360" s="59"/>
      <c r="DC360" s="59"/>
      <c r="DD360" s="59"/>
      <c r="DE360" s="59"/>
      <c r="DF360" s="59"/>
      <c r="DG360" s="59"/>
    </row>
    <row r="361" spans="1:111" ht="11.2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59"/>
      <c r="BT361" s="59"/>
      <c r="BU361" s="59"/>
      <c r="BV361" s="59"/>
      <c r="BW361" s="59"/>
      <c r="BX361" s="59"/>
      <c r="BY361" s="59"/>
      <c r="BZ361" s="59"/>
      <c r="CA361" s="59"/>
      <c r="CB361" s="59"/>
      <c r="CC361" s="59"/>
      <c r="CD361" s="59"/>
      <c r="CE361" s="59"/>
      <c r="CF361" s="59"/>
      <c r="CG361" s="59"/>
      <c r="CH361" s="59"/>
      <c r="CI361" s="59"/>
      <c r="CJ361" s="59"/>
      <c r="CK361" s="59"/>
      <c r="CL361" s="59"/>
      <c r="CM361" s="59"/>
      <c r="CN361" s="59"/>
      <c r="CO361" s="59"/>
      <c r="CP361" s="59"/>
      <c r="CQ361" s="59"/>
      <c r="CR361" s="59"/>
      <c r="CS361" s="59"/>
      <c r="CT361" s="59"/>
      <c r="CU361" s="59"/>
      <c r="CV361" s="59"/>
      <c r="CW361" s="59"/>
      <c r="CX361" s="59"/>
      <c r="CY361" s="59"/>
      <c r="CZ361" s="59"/>
      <c r="DA361" s="59"/>
      <c r="DB361" s="59"/>
      <c r="DC361" s="59"/>
      <c r="DD361" s="59"/>
      <c r="DE361" s="59"/>
      <c r="DF361" s="59"/>
      <c r="DG361" s="59"/>
    </row>
    <row r="362" spans="1:111" ht="11.2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59"/>
      <c r="BT362" s="59"/>
      <c r="BU362" s="59"/>
      <c r="BV362" s="59"/>
      <c r="BW362" s="59"/>
      <c r="BX362" s="59"/>
      <c r="BY362" s="59"/>
      <c r="BZ362" s="59"/>
      <c r="CA362" s="59"/>
      <c r="CB362" s="59"/>
      <c r="CC362" s="59"/>
      <c r="CD362" s="59"/>
      <c r="CE362" s="59"/>
      <c r="CF362" s="59"/>
      <c r="CG362" s="59"/>
      <c r="CH362" s="59"/>
      <c r="CI362" s="59"/>
      <c r="CJ362" s="59"/>
      <c r="CK362" s="59"/>
      <c r="CL362" s="59"/>
      <c r="CM362" s="59"/>
      <c r="CN362" s="59"/>
      <c r="CO362" s="59"/>
      <c r="CP362" s="59"/>
      <c r="CQ362" s="59"/>
      <c r="CR362" s="59"/>
      <c r="CS362" s="59"/>
      <c r="CT362" s="59"/>
      <c r="CU362" s="59"/>
      <c r="CV362" s="59"/>
      <c r="CW362" s="59"/>
      <c r="CX362" s="59"/>
      <c r="CY362" s="59"/>
      <c r="CZ362" s="59"/>
      <c r="DA362" s="59"/>
      <c r="DB362" s="59"/>
      <c r="DC362" s="59"/>
      <c r="DD362" s="59"/>
      <c r="DE362" s="59"/>
      <c r="DF362" s="59"/>
      <c r="DG362" s="59"/>
    </row>
    <row r="363" spans="1:111" ht="11.2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59"/>
      <c r="BT363" s="59"/>
      <c r="BU363" s="59"/>
      <c r="BV363" s="59"/>
      <c r="BW363" s="59"/>
      <c r="BX363" s="59"/>
      <c r="BY363" s="59"/>
      <c r="BZ363" s="59"/>
      <c r="CA363" s="59"/>
      <c r="CB363" s="59"/>
      <c r="CC363" s="59"/>
      <c r="CD363" s="59"/>
      <c r="CE363" s="59"/>
      <c r="CF363" s="59"/>
      <c r="CG363" s="59"/>
      <c r="CH363" s="59"/>
      <c r="CI363" s="59"/>
      <c r="CJ363" s="59"/>
      <c r="CK363" s="59"/>
      <c r="CL363" s="59"/>
      <c r="CM363" s="59"/>
      <c r="CN363" s="59"/>
      <c r="CO363" s="59"/>
      <c r="CP363" s="59"/>
      <c r="CQ363" s="59"/>
      <c r="CR363" s="59"/>
      <c r="CS363" s="59"/>
      <c r="CT363" s="59"/>
      <c r="CU363" s="59"/>
      <c r="CV363" s="59"/>
      <c r="CW363" s="59"/>
      <c r="CX363" s="59"/>
      <c r="CY363" s="59"/>
      <c r="CZ363" s="59"/>
      <c r="DA363" s="59"/>
      <c r="DB363" s="59"/>
      <c r="DC363" s="59"/>
      <c r="DD363" s="59"/>
      <c r="DE363" s="59"/>
      <c r="DF363" s="59"/>
      <c r="DG363" s="59"/>
    </row>
    <row r="364" spans="1:111" ht="11.2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59"/>
      <c r="BT364" s="59"/>
      <c r="BU364" s="59"/>
      <c r="BV364" s="59"/>
      <c r="BW364" s="59"/>
      <c r="BX364" s="59"/>
      <c r="BY364" s="59"/>
      <c r="BZ364" s="59"/>
      <c r="CA364" s="59"/>
      <c r="CB364" s="59"/>
      <c r="CC364" s="59"/>
      <c r="CD364" s="59"/>
      <c r="CE364" s="59"/>
      <c r="CF364" s="59"/>
      <c r="CG364" s="59"/>
      <c r="CH364" s="59"/>
      <c r="CI364" s="59"/>
      <c r="CJ364" s="59"/>
      <c r="CK364" s="59"/>
      <c r="CL364" s="59"/>
      <c r="CM364" s="59"/>
      <c r="CN364" s="59"/>
      <c r="CO364" s="59"/>
      <c r="CP364" s="59"/>
      <c r="CQ364" s="59"/>
      <c r="CR364" s="59"/>
      <c r="CS364" s="59"/>
      <c r="CT364" s="59"/>
      <c r="CU364" s="59"/>
      <c r="CV364" s="59"/>
      <c r="CW364" s="59"/>
      <c r="CX364" s="59"/>
      <c r="CY364" s="59"/>
      <c r="CZ364" s="59"/>
      <c r="DA364" s="59"/>
      <c r="DB364" s="59"/>
      <c r="DC364" s="59"/>
      <c r="DD364" s="59"/>
      <c r="DE364" s="59"/>
      <c r="DF364" s="59"/>
      <c r="DG364" s="59"/>
    </row>
    <row r="365" spans="1:111" ht="11.2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59"/>
      <c r="BV365" s="59"/>
      <c r="BW365" s="59"/>
      <c r="BX365" s="59"/>
      <c r="BY365" s="59"/>
      <c r="BZ365" s="59"/>
      <c r="CA365" s="59"/>
      <c r="CB365" s="59"/>
      <c r="CC365" s="59"/>
      <c r="CD365" s="59"/>
      <c r="CE365" s="59"/>
      <c r="CF365" s="59"/>
      <c r="CG365" s="59"/>
      <c r="CH365" s="59"/>
      <c r="CI365" s="59"/>
      <c r="CJ365" s="59"/>
      <c r="CK365" s="59"/>
      <c r="CL365" s="59"/>
      <c r="CM365" s="59"/>
      <c r="CN365" s="59"/>
      <c r="CO365" s="59"/>
      <c r="CP365" s="59"/>
      <c r="CQ365" s="59"/>
      <c r="CR365" s="59"/>
      <c r="CS365" s="59"/>
      <c r="CT365" s="59"/>
      <c r="CU365" s="59"/>
      <c r="CV365" s="59"/>
      <c r="CW365" s="59"/>
      <c r="CX365" s="59"/>
      <c r="CY365" s="59"/>
      <c r="CZ365" s="59"/>
      <c r="DA365" s="59"/>
      <c r="DB365" s="59"/>
      <c r="DC365" s="59"/>
      <c r="DD365" s="59"/>
      <c r="DE365" s="59"/>
      <c r="DF365" s="59"/>
      <c r="DG365" s="59"/>
    </row>
    <row r="366" spans="1:111" ht="11.2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59"/>
      <c r="BT366" s="59"/>
      <c r="BU366" s="59"/>
      <c r="BV366" s="59"/>
      <c r="BW366" s="59"/>
      <c r="BX366" s="59"/>
      <c r="BY366" s="59"/>
      <c r="BZ366" s="59"/>
      <c r="CA366" s="59"/>
      <c r="CB366" s="59"/>
      <c r="CC366" s="59"/>
      <c r="CD366" s="59"/>
      <c r="CE366" s="59"/>
      <c r="CF366" s="59"/>
      <c r="CG366" s="59"/>
      <c r="CH366" s="59"/>
      <c r="CI366" s="59"/>
      <c r="CJ366" s="59"/>
      <c r="CK366" s="59"/>
      <c r="CL366" s="59"/>
      <c r="CM366" s="59"/>
      <c r="CN366" s="59"/>
      <c r="CO366" s="59"/>
      <c r="CP366" s="59"/>
      <c r="CQ366" s="59"/>
      <c r="CR366" s="59"/>
      <c r="CS366" s="59"/>
      <c r="CT366" s="59"/>
      <c r="CU366" s="59"/>
      <c r="CV366" s="59"/>
      <c r="CW366" s="59"/>
      <c r="CX366" s="59"/>
      <c r="CY366" s="59"/>
      <c r="CZ366" s="59"/>
      <c r="DA366" s="59"/>
      <c r="DB366" s="59"/>
      <c r="DC366" s="59"/>
      <c r="DD366" s="59"/>
      <c r="DE366" s="59"/>
      <c r="DF366" s="59"/>
      <c r="DG366" s="59"/>
    </row>
    <row r="367" spans="1:111" ht="11.2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59"/>
      <c r="BT367" s="59"/>
      <c r="BU367" s="59"/>
      <c r="BV367" s="59"/>
      <c r="BW367" s="59"/>
      <c r="BX367" s="59"/>
      <c r="BY367" s="59"/>
      <c r="BZ367" s="59"/>
      <c r="CA367" s="59"/>
      <c r="CB367" s="59"/>
      <c r="CC367" s="59"/>
      <c r="CD367" s="59"/>
      <c r="CE367" s="59"/>
      <c r="CF367" s="59"/>
      <c r="CG367" s="59"/>
      <c r="CH367" s="59"/>
      <c r="CI367" s="59"/>
      <c r="CJ367" s="59"/>
      <c r="CK367" s="59"/>
      <c r="CL367" s="59"/>
      <c r="CM367" s="59"/>
      <c r="CN367" s="59"/>
      <c r="CO367" s="59"/>
      <c r="CP367" s="59"/>
      <c r="CQ367" s="59"/>
      <c r="CR367" s="59"/>
      <c r="CS367" s="59"/>
      <c r="CT367" s="59"/>
      <c r="CU367" s="59"/>
      <c r="CV367" s="59"/>
      <c r="CW367" s="59"/>
      <c r="CX367" s="59"/>
      <c r="CY367" s="59"/>
      <c r="CZ367" s="59"/>
      <c r="DA367" s="59"/>
      <c r="DB367" s="59"/>
      <c r="DC367" s="59"/>
      <c r="DD367" s="59"/>
      <c r="DE367" s="59"/>
      <c r="DF367" s="59"/>
      <c r="DG367" s="59"/>
    </row>
    <row r="368" spans="1:111" ht="11.2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59"/>
      <c r="BT368" s="59"/>
      <c r="BU368" s="59"/>
      <c r="BV368" s="59"/>
      <c r="BW368" s="59"/>
      <c r="BX368" s="59"/>
      <c r="BY368" s="59"/>
      <c r="BZ368" s="59"/>
      <c r="CA368" s="59"/>
      <c r="CB368" s="59"/>
      <c r="CC368" s="59"/>
      <c r="CD368" s="59"/>
      <c r="CE368" s="59"/>
      <c r="CF368" s="59"/>
      <c r="CG368" s="59"/>
      <c r="CH368" s="59"/>
      <c r="CI368" s="59"/>
      <c r="CJ368" s="59"/>
      <c r="CK368" s="59"/>
      <c r="CL368" s="59"/>
      <c r="CM368" s="59"/>
      <c r="CN368" s="59"/>
      <c r="CO368" s="59"/>
      <c r="CP368" s="59"/>
      <c r="CQ368" s="59"/>
      <c r="CR368" s="59"/>
      <c r="CS368" s="59"/>
      <c r="CT368" s="59"/>
      <c r="CU368" s="59"/>
      <c r="CV368" s="59"/>
      <c r="CW368" s="59"/>
      <c r="CX368" s="59"/>
      <c r="CY368" s="59"/>
      <c r="CZ368" s="59"/>
      <c r="DA368" s="59"/>
      <c r="DB368" s="59"/>
      <c r="DC368" s="59"/>
      <c r="DD368" s="59"/>
      <c r="DE368" s="59"/>
      <c r="DF368" s="59"/>
      <c r="DG368" s="59"/>
    </row>
    <row r="369" spans="1:111" ht="11.2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59"/>
      <c r="BT369" s="59"/>
      <c r="BU369" s="59"/>
      <c r="BV369" s="59"/>
      <c r="BW369" s="59"/>
      <c r="BX369" s="59"/>
      <c r="BY369" s="59"/>
      <c r="BZ369" s="59"/>
      <c r="CA369" s="59"/>
      <c r="CB369" s="59"/>
      <c r="CC369" s="59"/>
      <c r="CD369" s="59"/>
      <c r="CE369" s="59"/>
      <c r="CF369" s="59"/>
      <c r="CG369" s="59"/>
      <c r="CH369" s="59"/>
      <c r="CI369" s="59"/>
      <c r="CJ369" s="59"/>
      <c r="CK369" s="59"/>
      <c r="CL369" s="59"/>
      <c r="CM369" s="59"/>
      <c r="CN369" s="59"/>
      <c r="CO369" s="59"/>
      <c r="CP369" s="59"/>
      <c r="CQ369" s="59"/>
      <c r="CR369" s="59"/>
      <c r="CS369" s="59"/>
      <c r="CT369" s="59"/>
      <c r="CU369" s="59"/>
      <c r="CV369" s="59"/>
      <c r="CW369" s="59"/>
      <c r="CX369" s="59"/>
      <c r="CY369" s="59"/>
      <c r="CZ369" s="59"/>
      <c r="DA369" s="59"/>
      <c r="DB369" s="59"/>
      <c r="DC369" s="59"/>
      <c r="DD369" s="59"/>
      <c r="DE369" s="59"/>
      <c r="DF369" s="59"/>
      <c r="DG369" s="59"/>
    </row>
    <row r="370" spans="1:111" ht="11.2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59"/>
      <c r="BT370" s="59"/>
      <c r="BU370" s="59"/>
      <c r="BV370" s="59"/>
      <c r="BW370" s="59"/>
      <c r="BX370" s="59"/>
      <c r="BY370" s="59"/>
      <c r="BZ370" s="59"/>
      <c r="CA370" s="59"/>
      <c r="CB370" s="59"/>
      <c r="CC370" s="59"/>
      <c r="CD370" s="59"/>
      <c r="CE370" s="59"/>
      <c r="CF370" s="59"/>
      <c r="CG370" s="59"/>
      <c r="CH370" s="59"/>
      <c r="CI370" s="59"/>
      <c r="CJ370" s="59"/>
      <c r="CK370" s="59"/>
      <c r="CL370" s="59"/>
      <c r="CM370" s="59"/>
      <c r="CN370" s="59"/>
      <c r="CO370" s="59"/>
      <c r="CP370" s="59"/>
      <c r="CQ370" s="59"/>
      <c r="CR370" s="59"/>
      <c r="CS370" s="59"/>
      <c r="CT370" s="59"/>
      <c r="CU370" s="59"/>
      <c r="CV370" s="59"/>
      <c r="CW370" s="59"/>
      <c r="CX370" s="59"/>
      <c r="CY370" s="59"/>
      <c r="CZ370" s="59"/>
      <c r="DA370" s="59"/>
      <c r="DB370" s="59"/>
      <c r="DC370" s="59"/>
      <c r="DD370" s="59"/>
      <c r="DE370" s="59"/>
      <c r="DF370" s="59"/>
      <c r="DG370" s="59"/>
    </row>
    <row r="371" spans="1:111" ht="11.2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59"/>
      <c r="BT371" s="59"/>
      <c r="BU371" s="59"/>
      <c r="BV371" s="59"/>
      <c r="BW371" s="59"/>
      <c r="BX371" s="59"/>
      <c r="BY371" s="59"/>
      <c r="BZ371" s="59"/>
      <c r="CA371" s="59"/>
      <c r="CB371" s="59"/>
      <c r="CC371" s="59"/>
      <c r="CD371" s="59"/>
      <c r="CE371" s="59"/>
      <c r="CF371" s="59"/>
      <c r="CG371" s="59"/>
      <c r="CH371" s="59"/>
      <c r="CI371" s="59"/>
      <c r="CJ371" s="59"/>
      <c r="CK371" s="59"/>
      <c r="CL371" s="59"/>
      <c r="CM371" s="59"/>
      <c r="CN371" s="59"/>
      <c r="CO371" s="59"/>
      <c r="CP371" s="59"/>
      <c r="CQ371" s="59"/>
      <c r="CR371" s="59"/>
      <c r="CS371" s="59"/>
      <c r="CT371" s="59"/>
      <c r="CU371" s="59"/>
      <c r="CV371" s="59"/>
      <c r="CW371" s="59"/>
      <c r="CX371" s="59"/>
      <c r="CY371" s="59"/>
      <c r="CZ371" s="59"/>
      <c r="DA371" s="59"/>
      <c r="DB371" s="59"/>
      <c r="DC371" s="59"/>
      <c r="DD371" s="59"/>
      <c r="DE371" s="59"/>
      <c r="DF371" s="59"/>
      <c r="DG371" s="59"/>
    </row>
    <row r="372" spans="1:111" ht="11.2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59"/>
      <c r="BT372" s="59"/>
      <c r="BU372" s="59"/>
      <c r="BV372" s="59"/>
      <c r="BW372" s="59"/>
      <c r="BX372" s="59"/>
      <c r="BY372" s="59"/>
      <c r="BZ372" s="59"/>
      <c r="CA372" s="59"/>
      <c r="CB372" s="59"/>
      <c r="CC372" s="59"/>
      <c r="CD372" s="59"/>
      <c r="CE372" s="59"/>
      <c r="CF372" s="59"/>
      <c r="CG372" s="59"/>
      <c r="CH372" s="59"/>
      <c r="CI372" s="59"/>
      <c r="CJ372" s="59"/>
      <c r="CK372" s="59"/>
      <c r="CL372" s="59"/>
      <c r="CM372" s="59"/>
      <c r="CN372" s="59"/>
      <c r="CO372" s="59"/>
      <c r="CP372" s="59"/>
      <c r="CQ372" s="59"/>
      <c r="CR372" s="59"/>
      <c r="CS372" s="59"/>
      <c r="CT372" s="59"/>
      <c r="CU372" s="59"/>
      <c r="CV372" s="59"/>
      <c r="CW372" s="59"/>
      <c r="CX372" s="59"/>
      <c r="CY372" s="59"/>
      <c r="CZ372" s="59"/>
      <c r="DA372" s="59"/>
      <c r="DB372" s="59"/>
      <c r="DC372" s="59"/>
      <c r="DD372" s="59"/>
      <c r="DE372" s="59"/>
      <c r="DF372" s="59"/>
      <c r="DG372" s="59"/>
    </row>
    <row r="373" spans="1:111" ht="11.2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59"/>
      <c r="BT373" s="59"/>
      <c r="BU373" s="59"/>
      <c r="BV373" s="59"/>
      <c r="BW373" s="59"/>
      <c r="BX373" s="59"/>
      <c r="BY373" s="59"/>
      <c r="BZ373" s="59"/>
      <c r="CA373" s="59"/>
      <c r="CB373" s="59"/>
      <c r="CC373" s="59"/>
      <c r="CD373" s="59"/>
      <c r="CE373" s="59"/>
      <c r="CF373" s="59"/>
      <c r="CG373" s="59"/>
      <c r="CH373" s="59"/>
      <c r="CI373" s="59"/>
      <c r="CJ373" s="59"/>
      <c r="CK373" s="59"/>
      <c r="CL373" s="59"/>
      <c r="CM373" s="59"/>
      <c r="CN373" s="59"/>
      <c r="CO373" s="59"/>
      <c r="CP373" s="59"/>
      <c r="CQ373" s="59"/>
      <c r="CR373" s="59"/>
      <c r="CS373" s="59"/>
      <c r="CT373" s="59"/>
      <c r="CU373" s="59"/>
      <c r="CV373" s="59"/>
      <c r="CW373" s="59"/>
      <c r="CX373" s="59"/>
      <c r="CY373" s="59"/>
      <c r="CZ373" s="59"/>
      <c r="DA373" s="59"/>
      <c r="DB373" s="59"/>
      <c r="DC373" s="59"/>
      <c r="DD373" s="59"/>
      <c r="DE373" s="59"/>
      <c r="DF373" s="59"/>
      <c r="DG373" s="59"/>
    </row>
    <row r="374" spans="1:111" ht="11.2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59"/>
      <c r="BT374" s="59"/>
      <c r="BU374" s="59"/>
      <c r="BV374" s="59"/>
      <c r="BW374" s="59"/>
      <c r="BX374" s="59"/>
      <c r="BY374" s="59"/>
      <c r="BZ374" s="59"/>
      <c r="CA374" s="59"/>
      <c r="CB374" s="59"/>
      <c r="CC374" s="59"/>
      <c r="CD374" s="59"/>
      <c r="CE374" s="59"/>
      <c r="CF374" s="59"/>
      <c r="CG374" s="59"/>
      <c r="CH374" s="59"/>
      <c r="CI374" s="59"/>
      <c r="CJ374" s="59"/>
      <c r="CK374" s="59"/>
      <c r="CL374" s="59"/>
      <c r="CM374" s="59"/>
      <c r="CN374" s="59"/>
      <c r="CO374" s="59"/>
      <c r="CP374" s="59"/>
      <c r="CQ374" s="59"/>
      <c r="CR374" s="59"/>
      <c r="CS374" s="59"/>
      <c r="CT374" s="59"/>
      <c r="CU374" s="59"/>
      <c r="CV374" s="59"/>
      <c r="CW374" s="59"/>
      <c r="CX374" s="59"/>
      <c r="CY374" s="59"/>
      <c r="CZ374" s="59"/>
      <c r="DA374" s="59"/>
      <c r="DB374" s="59"/>
      <c r="DC374" s="59"/>
      <c r="DD374" s="59"/>
      <c r="DE374" s="59"/>
      <c r="DF374" s="59"/>
      <c r="DG374" s="59"/>
    </row>
    <row r="375" spans="1:111" ht="11.2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59"/>
      <c r="BT375" s="59"/>
      <c r="BU375" s="59"/>
      <c r="BV375" s="59"/>
      <c r="BW375" s="59"/>
      <c r="BX375" s="59"/>
      <c r="BY375" s="59"/>
      <c r="BZ375" s="59"/>
      <c r="CA375" s="59"/>
      <c r="CB375" s="59"/>
      <c r="CC375" s="59"/>
      <c r="CD375" s="59"/>
      <c r="CE375" s="59"/>
      <c r="CF375" s="59"/>
      <c r="CG375" s="59"/>
      <c r="CH375" s="59"/>
      <c r="CI375" s="59"/>
      <c r="CJ375" s="59"/>
      <c r="CK375" s="59"/>
      <c r="CL375" s="59"/>
      <c r="CM375" s="59"/>
      <c r="CN375" s="59"/>
      <c r="CO375" s="59"/>
      <c r="CP375" s="59"/>
      <c r="CQ375" s="59"/>
      <c r="CR375" s="59"/>
      <c r="CS375" s="59"/>
      <c r="CT375" s="59"/>
      <c r="CU375" s="59"/>
      <c r="CV375" s="59"/>
      <c r="CW375" s="59"/>
      <c r="CX375" s="59"/>
      <c r="CY375" s="59"/>
      <c r="CZ375" s="59"/>
      <c r="DA375" s="59"/>
      <c r="DB375" s="59"/>
      <c r="DC375" s="59"/>
      <c r="DD375" s="59"/>
      <c r="DE375" s="59"/>
      <c r="DF375" s="59"/>
      <c r="DG375" s="59"/>
    </row>
    <row r="376" spans="1:111" ht="11.2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59"/>
      <c r="BT376" s="59"/>
      <c r="BU376" s="59"/>
      <c r="BV376" s="59"/>
      <c r="BW376" s="59"/>
      <c r="BX376" s="59"/>
      <c r="BY376" s="59"/>
      <c r="BZ376" s="59"/>
      <c r="CA376" s="59"/>
      <c r="CB376" s="59"/>
      <c r="CC376" s="59"/>
      <c r="CD376" s="59"/>
      <c r="CE376" s="59"/>
      <c r="CF376" s="59"/>
      <c r="CG376" s="59"/>
      <c r="CH376" s="59"/>
      <c r="CI376" s="59"/>
      <c r="CJ376" s="59"/>
      <c r="CK376" s="59"/>
      <c r="CL376" s="59"/>
      <c r="CM376" s="59"/>
      <c r="CN376" s="59"/>
      <c r="CO376" s="59"/>
      <c r="CP376" s="59"/>
      <c r="CQ376" s="59"/>
      <c r="CR376" s="59"/>
      <c r="CS376" s="59"/>
      <c r="CT376" s="59"/>
      <c r="CU376" s="59"/>
      <c r="CV376" s="59"/>
      <c r="CW376" s="59"/>
      <c r="CX376" s="59"/>
      <c r="CY376" s="59"/>
      <c r="CZ376" s="59"/>
      <c r="DA376" s="59"/>
      <c r="DB376" s="59"/>
      <c r="DC376" s="59"/>
      <c r="DD376" s="59"/>
      <c r="DE376" s="59"/>
      <c r="DF376" s="59"/>
      <c r="DG376" s="59"/>
    </row>
    <row r="377" spans="1:111" ht="11.25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59"/>
      <c r="BT377" s="59"/>
      <c r="BU377" s="59"/>
      <c r="BV377" s="59"/>
      <c r="BW377" s="59"/>
      <c r="BX377" s="59"/>
      <c r="BY377" s="59"/>
      <c r="BZ377" s="59"/>
      <c r="CA377" s="59"/>
      <c r="CB377" s="59"/>
      <c r="CC377" s="59"/>
      <c r="CD377" s="59"/>
      <c r="CE377" s="59"/>
      <c r="CF377" s="59"/>
      <c r="CG377" s="59"/>
      <c r="CH377" s="59"/>
      <c r="CI377" s="59"/>
      <c r="CJ377" s="59"/>
      <c r="CK377" s="59"/>
      <c r="CL377" s="59"/>
      <c r="CM377" s="59"/>
      <c r="CN377" s="59"/>
      <c r="CO377" s="59"/>
      <c r="CP377" s="59"/>
      <c r="CQ377" s="59"/>
      <c r="CR377" s="59"/>
      <c r="CS377" s="59"/>
      <c r="CT377" s="59"/>
      <c r="CU377" s="59"/>
      <c r="CV377" s="59"/>
      <c r="CW377" s="59"/>
      <c r="CX377" s="59"/>
      <c r="CY377" s="59"/>
      <c r="CZ377" s="59"/>
      <c r="DA377" s="59"/>
      <c r="DB377" s="59"/>
      <c r="DC377" s="59"/>
      <c r="DD377" s="59"/>
      <c r="DE377" s="59"/>
      <c r="DF377" s="59"/>
      <c r="DG377" s="59"/>
    </row>
    <row r="378" spans="1:111" ht="11.2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59"/>
      <c r="BT378" s="59"/>
      <c r="BU378" s="59"/>
      <c r="BV378" s="59"/>
      <c r="BW378" s="59"/>
      <c r="BX378" s="59"/>
      <c r="BY378" s="59"/>
      <c r="BZ378" s="59"/>
      <c r="CA378" s="59"/>
      <c r="CB378" s="59"/>
      <c r="CC378" s="59"/>
      <c r="CD378" s="59"/>
      <c r="CE378" s="59"/>
      <c r="CF378" s="59"/>
      <c r="CG378" s="59"/>
      <c r="CH378" s="59"/>
      <c r="CI378" s="59"/>
      <c r="CJ378" s="59"/>
      <c r="CK378" s="59"/>
      <c r="CL378" s="59"/>
      <c r="CM378" s="59"/>
      <c r="CN378" s="59"/>
      <c r="CO378" s="59"/>
      <c r="CP378" s="59"/>
      <c r="CQ378" s="59"/>
      <c r="CR378" s="59"/>
      <c r="CS378" s="59"/>
      <c r="CT378" s="59"/>
      <c r="CU378" s="59"/>
      <c r="CV378" s="59"/>
      <c r="CW378" s="59"/>
      <c r="CX378" s="59"/>
      <c r="CY378" s="59"/>
      <c r="CZ378" s="59"/>
      <c r="DA378" s="59"/>
      <c r="DB378" s="59"/>
      <c r="DC378" s="59"/>
      <c r="DD378" s="59"/>
      <c r="DE378" s="59"/>
      <c r="DF378" s="59"/>
      <c r="DG378" s="59"/>
    </row>
    <row r="379" spans="1:111" ht="11.2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59"/>
      <c r="BT379" s="59"/>
      <c r="BU379" s="59"/>
      <c r="BV379" s="59"/>
      <c r="BW379" s="59"/>
      <c r="BX379" s="59"/>
      <c r="BY379" s="59"/>
      <c r="BZ379" s="59"/>
      <c r="CA379" s="59"/>
      <c r="CB379" s="59"/>
      <c r="CC379" s="59"/>
      <c r="CD379" s="59"/>
      <c r="CE379" s="59"/>
      <c r="CF379" s="59"/>
      <c r="CG379" s="59"/>
      <c r="CH379" s="59"/>
      <c r="CI379" s="59"/>
      <c r="CJ379" s="59"/>
      <c r="CK379" s="59"/>
      <c r="CL379" s="59"/>
      <c r="CM379" s="59"/>
      <c r="CN379" s="59"/>
      <c r="CO379" s="59"/>
      <c r="CP379" s="59"/>
      <c r="CQ379" s="59"/>
      <c r="CR379" s="59"/>
      <c r="CS379" s="59"/>
      <c r="CT379" s="59"/>
      <c r="CU379" s="59"/>
      <c r="CV379" s="59"/>
      <c r="CW379" s="59"/>
      <c r="CX379" s="59"/>
      <c r="CY379" s="59"/>
      <c r="CZ379" s="59"/>
      <c r="DA379" s="59"/>
      <c r="DB379" s="59"/>
      <c r="DC379" s="59"/>
      <c r="DD379" s="59"/>
      <c r="DE379" s="59"/>
      <c r="DF379" s="59"/>
      <c r="DG379" s="59"/>
    </row>
    <row r="380" spans="1:111" ht="11.2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59"/>
      <c r="BT380" s="59"/>
      <c r="BU380" s="59"/>
      <c r="BV380" s="59"/>
      <c r="BW380" s="59"/>
      <c r="BX380" s="59"/>
      <c r="BY380" s="59"/>
      <c r="BZ380" s="59"/>
      <c r="CA380" s="59"/>
      <c r="CB380" s="59"/>
      <c r="CC380" s="59"/>
      <c r="CD380" s="59"/>
      <c r="CE380" s="59"/>
      <c r="CF380" s="59"/>
      <c r="CG380" s="59"/>
      <c r="CH380" s="59"/>
      <c r="CI380" s="59"/>
      <c r="CJ380" s="59"/>
      <c r="CK380" s="59"/>
      <c r="CL380" s="59"/>
      <c r="CM380" s="59"/>
      <c r="CN380" s="59"/>
      <c r="CO380" s="59"/>
      <c r="CP380" s="59"/>
      <c r="CQ380" s="59"/>
      <c r="CR380" s="59"/>
      <c r="CS380" s="59"/>
      <c r="CT380" s="59"/>
      <c r="CU380" s="59"/>
      <c r="CV380" s="59"/>
      <c r="CW380" s="59"/>
      <c r="CX380" s="59"/>
      <c r="CY380" s="59"/>
      <c r="CZ380" s="59"/>
      <c r="DA380" s="59"/>
      <c r="DB380" s="59"/>
      <c r="DC380" s="59"/>
      <c r="DD380" s="59"/>
      <c r="DE380" s="59"/>
      <c r="DF380" s="59"/>
      <c r="DG380" s="59"/>
    </row>
    <row r="381" spans="1:111" ht="11.2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59"/>
      <c r="BT381" s="59"/>
      <c r="BU381" s="59"/>
      <c r="BV381" s="59"/>
      <c r="BW381" s="59"/>
      <c r="BX381" s="59"/>
      <c r="BY381" s="59"/>
      <c r="BZ381" s="59"/>
      <c r="CA381" s="59"/>
      <c r="CB381" s="59"/>
      <c r="CC381" s="59"/>
      <c r="CD381" s="59"/>
      <c r="CE381" s="59"/>
      <c r="CF381" s="59"/>
      <c r="CG381" s="59"/>
      <c r="CH381" s="59"/>
      <c r="CI381" s="59"/>
      <c r="CJ381" s="59"/>
      <c r="CK381" s="59"/>
      <c r="CL381" s="59"/>
      <c r="CM381" s="59"/>
      <c r="CN381" s="59"/>
      <c r="CO381" s="59"/>
      <c r="CP381" s="59"/>
      <c r="CQ381" s="59"/>
      <c r="CR381" s="59"/>
      <c r="CS381" s="59"/>
      <c r="CT381" s="59"/>
      <c r="CU381" s="59"/>
      <c r="CV381" s="59"/>
      <c r="CW381" s="59"/>
      <c r="CX381" s="59"/>
      <c r="CY381" s="59"/>
      <c r="CZ381" s="59"/>
      <c r="DA381" s="59"/>
      <c r="DB381" s="59"/>
      <c r="DC381" s="59"/>
      <c r="DD381" s="59"/>
      <c r="DE381" s="59"/>
      <c r="DF381" s="59"/>
      <c r="DG381" s="59"/>
    </row>
    <row r="382" spans="1:111" ht="11.25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59"/>
      <c r="BT382" s="59"/>
      <c r="BU382" s="59"/>
      <c r="BV382" s="59"/>
      <c r="BW382" s="59"/>
      <c r="BX382" s="59"/>
      <c r="BY382" s="59"/>
      <c r="BZ382" s="59"/>
      <c r="CA382" s="59"/>
      <c r="CB382" s="59"/>
      <c r="CC382" s="59"/>
      <c r="CD382" s="59"/>
      <c r="CE382" s="59"/>
      <c r="CF382" s="59"/>
      <c r="CG382" s="59"/>
      <c r="CH382" s="59"/>
      <c r="CI382" s="59"/>
      <c r="CJ382" s="59"/>
      <c r="CK382" s="59"/>
      <c r="CL382" s="59"/>
      <c r="CM382" s="59"/>
      <c r="CN382" s="59"/>
      <c r="CO382" s="59"/>
      <c r="CP382" s="59"/>
      <c r="CQ382" s="59"/>
      <c r="CR382" s="59"/>
      <c r="CS382" s="59"/>
      <c r="CT382" s="59"/>
      <c r="CU382" s="59"/>
      <c r="CV382" s="59"/>
      <c r="CW382" s="59"/>
      <c r="CX382" s="59"/>
      <c r="CY382" s="59"/>
      <c r="CZ382" s="59"/>
      <c r="DA382" s="59"/>
      <c r="DB382" s="59"/>
      <c r="DC382" s="59"/>
      <c r="DD382" s="59"/>
      <c r="DE382" s="59"/>
      <c r="DF382" s="59"/>
      <c r="DG382" s="59"/>
    </row>
    <row r="383" spans="1:111" ht="11.2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59"/>
      <c r="BT383" s="59"/>
      <c r="BU383" s="59"/>
      <c r="BV383" s="59"/>
      <c r="BW383" s="59"/>
      <c r="BX383" s="59"/>
      <c r="BY383" s="59"/>
      <c r="BZ383" s="59"/>
      <c r="CA383" s="59"/>
      <c r="CB383" s="59"/>
      <c r="CC383" s="59"/>
      <c r="CD383" s="59"/>
      <c r="CE383" s="59"/>
      <c r="CF383" s="59"/>
      <c r="CG383" s="59"/>
      <c r="CH383" s="59"/>
      <c r="CI383" s="59"/>
      <c r="CJ383" s="59"/>
      <c r="CK383" s="59"/>
      <c r="CL383" s="59"/>
      <c r="CM383" s="59"/>
      <c r="CN383" s="59"/>
      <c r="CO383" s="59"/>
      <c r="CP383" s="59"/>
      <c r="CQ383" s="59"/>
      <c r="CR383" s="59"/>
      <c r="CS383" s="59"/>
      <c r="CT383" s="59"/>
      <c r="CU383" s="59"/>
      <c r="CV383" s="59"/>
      <c r="CW383" s="59"/>
      <c r="CX383" s="59"/>
      <c r="CY383" s="59"/>
      <c r="CZ383" s="59"/>
      <c r="DA383" s="59"/>
      <c r="DB383" s="59"/>
      <c r="DC383" s="59"/>
      <c r="DD383" s="59"/>
      <c r="DE383" s="59"/>
      <c r="DF383" s="59"/>
      <c r="DG383" s="59"/>
    </row>
    <row r="384" spans="1:111" ht="11.2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59"/>
      <c r="BT384" s="59"/>
      <c r="BU384" s="59"/>
      <c r="BV384" s="59"/>
      <c r="BW384" s="59"/>
      <c r="BX384" s="59"/>
      <c r="BY384" s="59"/>
      <c r="BZ384" s="59"/>
      <c r="CA384" s="59"/>
      <c r="CB384" s="59"/>
      <c r="CC384" s="59"/>
      <c r="CD384" s="59"/>
      <c r="CE384" s="59"/>
      <c r="CF384" s="59"/>
      <c r="CG384" s="59"/>
      <c r="CH384" s="59"/>
      <c r="CI384" s="59"/>
      <c r="CJ384" s="59"/>
      <c r="CK384" s="59"/>
      <c r="CL384" s="59"/>
      <c r="CM384" s="59"/>
      <c r="CN384" s="59"/>
      <c r="CO384" s="59"/>
      <c r="CP384" s="59"/>
      <c r="CQ384" s="59"/>
      <c r="CR384" s="59"/>
      <c r="CS384" s="59"/>
      <c r="CT384" s="59"/>
      <c r="CU384" s="59"/>
      <c r="CV384" s="59"/>
      <c r="CW384" s="59"/>
      <c r="CX384" s="59"/>
      <c r="CY384" s="59"/>
      <c r="CZ384" s="59"/>
      <c r="DA384" s="59"/>
      <c r="DB384" s="59"/>
      <c r="DC384" s="59"/>
      <c r="DD384" s="59"/>
      <c r="DE384" s="59"/>
      <c r="DF384" s="59"/>
      <c r="DG384" s="59"/>
    </row>
    <row r="385" spans="1:111" ht="11.2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59"/>
      <c r="BT385" s="59"/>
      <c r="BU385" s="59"/>
      <c r="BV385" s="59"/>
      <c r="BW385" s="59"/>
      <c r="BX385" s="59"/>
      <c r="BY385" s="59"/>
      <c r="BZ385" s="59"/>
      <c r="CA385" s="59"/>
      <c r="CB385" s="59"/>
      <c r="CC385" s="59"/>
      <c r="CD385" s="59"/>
      <c r="CE385" s="59"/>
      <c r="CF385" s="59"/>
      <c r="CG385" s="59"/>
      <c r="CH385" s="59"/>
      <c r="CI385" s="59"/>
      <c r="CJ385" s="59"/>
      <c r="CK385" s="59"/>
      <c r="CL385" s="59"/>
      <c r="CM385" s="59"/>
      <c r="CN385" s="59"/>
      <c r="CO385" s="59"/>
      <c r="CP385" s="59"/>
      <c r="CQ385" s="59"/>
      <c r="CR385" s="59"/>
      <c r="CS385" s="59"/>
      <c r="CT385" s="59"/>
      <c r="CU385" s="59"/>
      <c r="CV385" s="59"/>
      <c r="CW385" s="59"/>
      <c r="CX385" s="59"/>
      <c r="CY385" s="59"/>
      <c r="CZ385" s="59"/>
      <c r="DA385" s="59"/>
      <c r="DB385" s="59"/>
      <c r="DC385" s="59"/>
      <c r="DD385" s="59"/>
      <c r="DE385" s="59"/>
      <c r="DF385" s="59"/>
      <c r="DG385" s="59"/>
    </row>
    <row r="386" spans="1:111" ht="11.2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59"/>
      <c r="BT386" s="59"/>
      <c r="BU386" s="59"/>
      <c r="BV386" s="59"/>
      <c r="BW386" s="59"/>
      <c r="BX386" s="59"/>
      <c r="BY386" s="59"/>
      <c r="BZ386" s="59"/>
      <c r="CA386" s="59"/>
      <c r="CB386" s="59"/>
      <c r="CC386" s="59"/>
      <c r="CD386" s="59"/>
      <c r="CE386" s="59"/>
      <c r="CF386" s="59"/>
      <c r="CG386" s="59"/>
      <c r="CH386" s="59"/>
      <c r="CI386" s="59"/>
      <c r="CJ386" s="59"/>
      <c r="CK386" s="59"/>
      <c r="CL386" s="59"/>
      <c r="CM386" s="59"/>
      <c r="CN386" s="59"/>
      <c r="CO386" s="59"/>
      <c r="CP386" s="59"/>
      <c r="CQ386" s="59"/>
      <c r="CR386" s="59"/>
      <c r="CS386" s="59"/>
      <c r="CT386" s="59"/>
      <c r="CU386" s="59"/>
      <c r="CV386" s="59"/>
      <c r="CW386" s="59"/>
      <c r="CX386" s="59"/>
      <c r="CY386" s="59"/>
      <c r="CZ386" s="59"/>
      <c r="DA386" s="59"/>
      <c r="DB386" s="59"/>
      <c r="DC386" s="59"/>
      <c r="DD386" s="59"/>
      <c r="DE386" s="59"/>
      <c r="DF386" s="59"/>
      <c r="DG386" s="59"/>
    </row>
    <row r="387" spans="1:111" ht="11.2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59"/>
      <c r="BT387" s="59"/>
      <c r="BU387" s="59"/>
      <c r="BV387" s="59"/>
      <c r="BW387" s="59"/>
      <c r="BX387" s="59"/>
      <c r="BY387" s="59"/>
      <c r="BZ387" s="59"/>
      <c r="CA387" s="59"/>
      <c r="CB387" s="59"/>
      <c r="CC387" s="59"/>
      <c r="CD387" s="59"/>
      <c r="CE387" s="59"/>
      <c r="CF387" s="59"/>
      <c r="CG387" s="59"/>
      <c r="CH387" s="59"/>
      <c r="CI387" s="59"/>
      <c r="CJ387" s="59"/>
      <c r="CK387" s="59"/>
      <c r="CL387" s="59"/>
      <c r="CM387" s="59"/>
      <c r="CN387" s="59"/>
      <c r="CO387" s="59"/>
      <c r="CP387" s="59"/>
      <c r="CQ387" s="59"/>
      <c r="CR387" s="59"/>
      <c r="CS387" s="59"/>
      <c r="CT387" s="59"/>
      <c r="CU387" s="59"/>
      <c r="CV387" s="59"/>
      <c r="CW387" s="59"/>
      <c r="CX387" s="59"/>
      <c r="CY387" s="59"/>
      <c r="CZ387" s="59"/>
      <c r="DA387" s="59"/>
      <c r="DB387" s="59"/>
      <c r="DC387" s="59"/>
      <c r="DD387" s="59"/>
      <c r="DE387" s="59"/>
      <c r="DF387" s="59"/>
      <c r="DG387" s="59"/>
    </row>
    <row r="388" spans="1:111" ht="11.2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59"/>
      <c r="BT388" s="59"/>
      <c r="BU388" s="59"/>
      <c r="BV388" s="59"/>
      <c r="BW388" s="59"/>
      <c r="BX388" s="59"/>
      <c r="BY388" s="59"/>
      <c r="BZ388" s="59"/>
      <c r="CA388" s="59"/>
      <c r="CB388" s="59"/>
      <c r="CC388" s="59"/>
      <c r="CD388" s="59"/>
      <c r="CE388" s="59"/>
      <c r="CF388" s="59"/>
      <c r="CG388" s="59"/>
      <c r="CH388" s="59"/>
      <c r="CI388" s="59"/>
      <c r="CJ388" s="59"/>
      <c r="CK388" s="59"/>
      <c r="CL388" s="59"/>
      <c r="CM388" s="59"/>
      <c r="CN388" s="59"/>
      <c r="CO388" s="59"/>
      <c r="CP388" s="59"/>
      <c r="CQ388" s="59"/>
      <c r="CR388" s="59"/>
      <c r="CS388" s="59"/>
      <c r="CT388" s="59"/>
      <c r="CU388" s="59"/>
      <c r="CV388" s="59"/>
      <c r="CW388" s="59"/>
      <c r="CX388" s="59"/>
      <c r="CY388" s="59"/>
      <c r="CZ388" s="59"/>
      <c r="DA388" s="59"/>
      <c r="DB388" s="59"/>
      <c r="DC388" s="59"/>
      <c r="DD388" s="59"/>
      <c r="DE388" s="59"/>
      <c r="DF388" s="59"/>
      <c r="DG388" s="59"/>
    </row>
    <row r="389" spans="1:111" ht="11.2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59"/>
      <c r="BT389" s="59"/>
      <c r="BU389" s="59"/>
      <c r="BV389" s="59"/>
      <c r="BW389" s="59"/>
      <c r="BX389" s="59"/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  <c r="CJ389" s="59"/>
      <c r="CK389" s="59"/>
      <c r="CL389" s="59"/>
      <c r="CM389" s="59"/>
      <c r="CN389" s="59"/>
      <c r="CO389" s="59"/>
      <c r="CP389" s="59"/>
      <c r="CQ389" s="59"/>
      <c r="CR389" s="59"/>
      <c r="CS389" s="59"/>
      <c r="CT389" s="59"/>
      <c r="CU389" s="59"/>
      <c r="CV389" s="59"/>
      <c r="CW389" s="59"/>
      <c r="CX389" s="59"/>
      <c r="CY389" s="59"/>
      <c r="CZ389" s="59"/>
      <c r="DA389" s="59"/>
      <c r="DB389" s="59"/>
      <c r="DC389" s="59"/>
      <c r="DD389" s="59"/>
      <c r="DE389" s="59"/>
      <c r="DF389" s="59"/>
      <c r="DG389" s="59"/>
    </row>
    <row r="390" spans="1:111" ht="11.2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59"/>
      <c r="BT390" s="59"/>
      <c r="BU390" s="59"/>
      <c r="BV390" s="59"/>
      <c r="BW390" s="59"/>
      <c r="BX390" s="59"/>
      <c r="BY390" s="59"/>
      <c r="BZ390" s="59"/>
      <c r="CA390" s="59"/>
      <c r="CB390" s="59"/>
      <c r="CC390" s="59"/>
      <c r="CD390" s="59"/>
      <c r="CE390" s="59"/>
      <c r="CF390" s="59"/>
      <c r="CG390" s="59"/>
      <c r="CH390" s="59"/>
      <c r="CI390" s="59"/>
      <c r="CJ390" s="59"/>
      <c r="CK390" s="59"/>
      <c r="CL390" s="59"/>
      <c r="CM390" s="59"/>
      <c r="CN390" s="59"/>
      <c r="CO390" s="59"/>
      <c r="CP390" s="59"/>
      <c r="CQ390" s="59"/>
      <c r="CR390" s="59"/>
      <c r="CS390" s="59"/>
      <c r="CT390" s="59"/>
      <c r="CU390" s="59"/>
      <c r="CV390" s="59"/>
      <c r="CW390" s="59"/>
      <c r="CX390" s="59"/>
      <c r="CY390" s="59"/>
      <c r="CZ390" s="59"/>
      <c r="DA390" s="59"/>
      <c r="DB390" s="59"/>
      <c r="DC390" s="59"/>
      <c r="DD390" s="59"/>
      <c r="DE390" s="59"/>
      <c r="DF390" s="59"/>
      <c r="DG390" s="59"/>
    </row>
    <row r="391" spans="1:111" ht="11.2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59"/>
      <c r="BT391" s="59"/>
      <c r="BU391" s="59"/>
      <c r="BV391" s="59"/>
      <c r="BW391" s="59"/>
      <c r="BX391" s="59"/>
      <c r="BY391" s="59"/>
      <c r="BZ391" s="59"/>
      <c r="CA391" s="59"/>
      <c r="CB391" s="59"/>
      <c r="CC391" s="59"/>
      <c r="CD391" s="59"/>
      <c r="CE391" s="59"/>
      <c r="CF391" s="59"/>
      <c r="CG391" s="59"/>
      <c r="CH391" s="59"/>
      <c r="CI391" s="59"/>
      <c r="CJ391" s="59"/>
      <c r="CK391" s="59"/>
      <c r="CL391" s="59"/>
      <c r="CM391" s="59"/>
      <c r="CN391" s="59"/>
      <c r="CO391" s="59"/>
      <c r="CP391" s="59"/>
      <c r="CQ391" s="59"/>
      <c r="CR391" s="59"/>
      <c r="CS391" s="59"/>
      <c r="CT391" s="59"/>
      <c r="CU391" s="59"/>
      <c r="CV391" s="59"/>
      <c r="CW391" s="59"/>
      <c r="CX391" s="59"/>
      <c r="CY391" s="59"/>
      <c r="CZ391" s="59"/>
      <c r="DA391" s="59"/>
      <c r="DB391" s="59"/>
      <c r="DC391" s="59"/>
      <c r="DD391" s="59"/>
      <c r="DE391" s="59"/>
      <c r="DF391" s="59"/>
      <c r="DG391" s="59"/>
    </row>
    <row r="392" spans="1:111" ht="11.2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  <c r="AJ392" s="59"/>
      <c r="AK392" s="59"/>
      <c r="AL392" s="59"/>
      <c r="AM392" s="59"/>
      <c r="AN392" s="59"/>
      <c r="AO392" s="59"/>
      <c r="AP392" s="59"/>
      <c r="AQ392" s="59"/>
      <c r="AR392" s="59"/>
      <c r="AS392" s="59"/>
      <c r="AT392" s="59"/>
      <c r="AU392" s="59"/>
      <c r="AV392" s="59"/>
      <c r="AW392" s="59"/>
      <c r="AX392" s="59"/>
      <c r="AY392" s="59"/>
      <c r="AZ392" s="59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59"/>
      <c r="BR392" s="59"/>
      <c r="BS392" s="59"/>
      <c r="BT392" s="59"/>
      <c r="BU392" s="59"/>
      <c r="BV392" s="59"/>
      <c r="BW392" s="59"/>
      <c r="BX392" s="59"/>
      <c r="BY392" s="59"/>
      <c r="BZ392" s="59"/>
      <c r="CA392" s="59"/>
      <c r="CB392" s="59"/>
      <c r="CC392" s="59"/>
      <c r="CD392" s="59"/>
      <c r="CE392" s="59"/>
      <c r="CF392" s="59"/>
      <c r="CG392" s="59"/>
      <c r="CH392" s="59"/>
      <c r="CI392" s="59"/>
      <c r="CJ392" s="59"/>
      <c r="CK392" s="59"/>
      <c r="CL392" s="59"/>
      <c r="CM392" s="59"/>
      <c r="CN392" s="59"/>
      <c r="CO392" s="59"/>
      <c r="CP392" s="59"/>
      <c r="CQ392" s="59"/>
      <c r="CR392" s="59"/>
      <c r="CS392" s="59"/>
      <c r="CT392" s="59"/>
      <c r="CU392" s="59"/>
      <c r="CV392" s="59"/>
      <c r="CW392" s="59"/>
      <c r="CX392" s="59"/>
      <c r="CY392" s="59"/>
      <c r="CZ392" s="59"/>
      <c r="DA392" s="59"/>
      <c r="DB392" s="59"/>
      <c r="DC392" s="59"/>
      <c r="DD392" s="59"/>
      <c r="DE392" s="59"/>
      <c r="DF392" s="59"/>
      <c r="DG392" s="59"/>
    </row>
    <row r="393" spans="1:111" ht="11.2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  <c r="AB393" s="59"/>
      <c r="AC393" s="59"/>
      <c r="AD393" s="59"/>
      <c r="AE393" s="59"/>
      <c r="AF393" s="59"/>
      <c r="AG393" s="59"/>
      <c r="AH393" s="59"/>
      <c r="AI393" s="59"/>
      <c r="AJ393" s="59"/>
      <c r="AK393" s="59"/>
      <c r="AL393" s="59"/>
      <c r="AM393" s="59"/>
      <c r="AN393" s="59"/>
      <c r="AO393" s="59"/>
      <c r="AP393" s="59"/>
      <c r="AQ393" s="59"/>
      <c r="AR393" s="59"/>
      <c r="AS393" s="59"/>
      <c r="AT393" s="59"/>
      <c r="AU393" s="59"/>
      <c r="AV393" s="59"/>
      <c r="AW393" s="59"/>
      <c r="AX393" s="59"/>
      <c r="AY393" s="59"/>
      <c r="AZ393" s="59"/>
      <c r="BA393" s="59"/>
      <c r="BB393" s="59"/>
      <c r="BC393" s="59"/>
      <c r="BD393" s="59"/>
      <c r="BE393" s="59"/>
      <c r="BF393" s="59"/>
      <c r="BG393" s="59"/>
      <c r="BH393" s="59"/>
      <c r="BI393" s="59"/>
      <c r="BJ393" s="59"/>
      <c r="BK393" s="59"/>
      <c r="BL393" s="59"/>
      <c r="BM393" s="59"/>
      <c r="BN393" s="59"/>
      <c r="BO393" s="59"/>
      <c r="BP393" s="59"/>
      <c r="BQ393" s="59"/>
      <c r="BR393" s="59"/>
      <c r="BS393" s="59"/>
      <c r="BT393" s="59"/>
      <c r="BU393" s="59"/>
      <c r="BV393" s="59"/>
      <c r="BW393" s="59"/>
      <c r="BX393" s="59"/>
      <c r="BY393" s="59"/>
      <c r="BZ393" s="59"/>
      <c r="CA393" s="59"/>
      <c r="CB393" s="59"/>
      <c r="CC393" s="59"/>
      <c r="CD393" s="59"/>
      <c r="CE393" s="59"/>
      <c r="CF393" s="59"/>
      <c r="CG393" s="59"/>
      <c r="CH393" s="59"/>
      <c r="CI393" s="59"/>
      <c r="CJ393" s="59"/>
      <c r="CK393" s="59"/>
      <c r="CL393" s="59"/>
      <c r="CM393" s="59"/>
      <c r="CN393" s="59"/>
      <c r="CO393" s="59"/>
      <c r="CP393" s="59"/>
      <c r="CQ393" s="59"/>
      <c r="CR393" s="59"/>
      <c r="CS393" s="59"/>
      <c r="CT393" s="59"/>
      <c r="CU393" s="59"/>
      <c r="CV393" s="59"/>
      <c r="CW393" s="59"/>
      <c r="CX393" s="59"/>
      <c r="CY393" s="59"/>
      <c r="CZ393" s="59"/>
      <c r="DA393" s="59"/>
      <c r="DB393" s="59"/>
      <c r="DC393" s="59"/>
      <c r="DD393" s="59"/>
      <c r="DE393" s="59"/>
      <c r="DF393" s="59"/>
      <c r="DG393" s="59"/>
    </row>
    <row r="394" spans="1:111" ht="11.2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  <c r="AB394" s="59"/>
      <c r="AC394" s="59"/>
      <c r="AD394" s="59"/>
      <c r="AE394" s="59"/>
      <c r="AF394" s="59"/>
      <c r="AG394" s="59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/>
      <c r="AR394" s="59"/>
      <c r="AS394" s="59"/>
      <c r="AT394" s="59"/>
      <c r="AU394" s="59"/>
      <c r="AV394" s="59"/>
      <c r="AW394" s="59"/>
      <c r="AX394" s="59"/>
      <c r="AY394" s="59"/>
      <c r="AZ394" s="59"/>
      <c r="BA394" s="59"/>
      <c r="BB394" s="59"/>
      <c r="BC394" s="59"/>
      <c r="BD394" s="59"/>
      <c r="BE394" s="59"/>
      <c r="BF394" s="59"/>
      <c r="BG394" s="59"/>
      <c r="BH394" s="59"/>
      <c r="BI394" s="59"/>
      <c r="BJ394" s="59"/>
      <c r="BK394" s="59"/>
      <c r="BL394" s="59"/>
      <c r="BM394" s="59"/>
      <c r="BN394" s="59"/>
      <c r="BO394" s="59"/>
      <c r="BP394" s="59"/>
      <c r="BQ394" s="59"/>
      <c r="BR394" s="59"/>
      <c r="BS394" s="59"/>
      <c r="BT394" s="59"/>
      <c r="BU394" s="59"/>
      <c r="BV394" s="59"/>
      <c r="BW394" s="59"/>
      <c r="BX394" s="59"/>
      <c r="BY394" s="59"/>
      <c r="BZ394" s="59"/>
      <c r="CA394" s="59"/>
      <c r="CB394" s="59"/>
      <c r="CC394" s="59"/>
      <c r="CD394" s="59"/>
      <c r="CE394" s="59"/>
      <c r="CF394" s="59"/>
      <c r="CG394" s="59"/>
      <c r="CH394" s="59"/>
      <c r="CI394" s="59"/>
      <c r="CJ394" s="59"/>
      <c r="CK394" s="59"/>
      <c r="CL394" s="59"/>
      <c r="CM394" s="59"/>
      <c r="CN394" s="59"/>
      <c r="CO394" s="59"/>
      <c r="CP394" s="59"/>
      <c r="CQ394" s="59"/>
      <c r="CR394" s="59"/>
      <c r="CS394" s="59"/>
      <c r="CT394" s="59"/>
      <c r="CU394" s="59"/>
      <c r="CV394" s="59"/>
      <c r="CW394" s="59"/>
      <c r="CX394" s="59"/>
      <c r="CY394" s="59"/>
      <c r="CZ394" s="59"/>
      <c r="DA394" s="59"/>
      <c r="DB394" s="59"/>
      <c r="DC394" s="59"/>
      <c r="DD394" s="59"/>
      <c r="DE394" s="59"/>
      <c r="DF394" s="59"/>
      <c r="DG394" s="59"/>
    </row>
    <row r="395" spans="1:111" ht="11.2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59"/>
      <c r="AW395" s="59"/>
      <c r="AX395" s="59"/>
      <c r="AY395" s="59"/>
      <c r="AZ395" s="59"/>
      <c r="BA395" s="59"/>
      <c r="BB395" s="59"/>
      <c r="BC395" s="59"/>
      <c r="BD395" s="59"/>
      <c r="BE395" s="59"/>
      <c r="BF395" s="59"/>
      <c r="BG395" s="59"/>
      <c r="BH395" s="59"/>
      <c r="BI395" s="59"/>
      <c r="BJ395" s="59"/>
      <c r="BK395" s="59"/>
      <c r="BL395" s="59"/>
      <c r="BM395" s="59"/>
      <c r="BN395" s="59"/>
      <c r="BO395" s="59"/>
      <c r="BP395" s="59"/>
      <c r="BQ395" s="59"/>
      <c r="BR395" s="59"/>
      <c r="BS395" s="59"/>
      <c r="BT395" s="59"/>
      <c r="BU395" s="59"/>
      <c r="BV395" s="59"/>
      <c r="BW395" s="59"/>
      <c r="BX395" s="59"/>
      <c r="BY395" s="59"/>
      <c r="BZ395" s="59"/>
      <c r="CA395" s="59"/>
      <c r="CB395" s="59"/>
      <c r="CC395" s="59"/>
      <c r="CD395" s="59"/>
      <c r="CE395" s="59"/>
      <c r="CF395" s="59"/>
      <c r="CG395" s="59"/>
      <c r="CH395" s="59"/>
      <c r="CI395" s="59"/>
      <c r="CJ395" s="59"/>
      <c r="CK395" s="59"/>
      <c r="CL395" s="59"/>
      <c r="CM395" s="59"/>
      <c r="CN395" s="59"/>
      <c r="CO395" s="59"/>
      <c r="CP395" s="59"/>
      <c r="CQ395" s="59"/>
      <c r="CR395" s="59"/>
      <c r="CS395" s="59"/>
      <c r="CT395" s="59"/>
      <c r="CU395" s="59"/>
      <c r="CV395" s="59"/>
      <c r="CW395" s="59"/>
      <c r="CX395" s="59"/>
      <c r="CY395" s="59"/>
      <c r="CZ395" s="59"/>
      <c r="DA395" s="59"/>
      <c r="DB395" s="59"/>
      <c r="DC395" s="59"/>
      <c r="DD395" s="59"/>
      <c r="DE395" s="59"/>
      <c r="DF395" s="59"/>
      <c r="DG395" s="59"/>
    </row>
    <row r="396" spans="1:111" ht="11.2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  <c r="BC396" s="59"/>
      <c r="BD396" s="59"/>
      <c r="BE396" s="59"/>
      <c r="BF396" s="59"/>
      <c r="BG396" s="59"/>
      <c r="BH396" s="59"/>
      <c r="BI396" s="59"/>
      <c r="BJ396" s="59"/>
      <c r="BK396" s="59"/>
      <c r="BL396" s="59"/>
      <c r="BM396" s="59"/>
      <c r="BN396" s="59"/>
      <c r="BO396" s="59"/>
      <c r="BP396" s="59"/>
      <c r="BQ396" s="59"/>
      <c r="BR396" s="59"/>
      <c r="BS396" s="59"/>
      <c r="BT396" s="59"/>
      <c r="BU396" s="59"/>
      <c r="BV396" s="59"/>
      <c r="BW396" s="59"/>
      <c r="BX396" s="59"/>
      <c r="BY396" s="59"/>
      <c r="BZ396" s="59"/>
      <c r="CA396" s="59"/>
      <c r="CB396" s="59"/>
      <c r="CC396" s="59"/>
      <c r="CD396" s="59"/>
      <c r="CE396" s="59"/>
      <c r="CF396" s="59"/>
      <c r="CG396" s="59"/>
      <c r="CH396" s="59"/>
      <c r="CI396" s="59"/>
      <c r="CJ396" s="59"/>
      <c r="CK396" s="59"/>
      <c r="CL396" s="59"/>
      <c r="CM396" s="59"/>
      <c r="CN396" s="59"/>
      <c r="CO396" s="59"/>
      <c r="CP396" s="59"/>
      <c r="CQ396" s="59"/>
      <c r="CR396" s="59"/>
      <c r="CS396" s="59"/>
      <c r="CT396" s="59"/>
      <c r="CU396" s="59"/>
      <c r="CV396" s="59"/>
      <c r="CW396" s="59"/>
      <c r="CX396" s="59"/>
      <c r="CY396" s="59"/>
      <c r="CZ396" s="59"/>
      <c r="DA396" s="59"/>
      <c r="DB396" s="59"/>
      <c r="DC396" s="59"/>
      <c r="DD396" s="59"/>
      <c r="DE396" s="59"/>
      <c r="DF396" s="59"/>
      <c r="DG396" s="59"/>
    </row>
    <row r="397" spans="1:111" ht="11.2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9"/>
      <c r="AW397" s="59"/>
      <c r="AX397" s="59"/>
      <c r="AY397" s="59"/>
      <c r="AZ397" s="59"/>
      <c r="BA397" s="59"/>
      <c r="BB397" s="59"/>
      <c r="BC397" s="59"/>
      <c r="BD397" s="59"/>
      <c r="BE397" s="59"/>
      <c r="BF397" s="59"/>
      <c r="BG397" s="59"/>
      <c r="BH397" s="59"/>
      <c r="BI397" s="59"/>
      <c r="BJ397" s="59"/>
      <c r="BK397" s="59"/>
      <c r="BL397" s="59"/>
      <c r="BM397" s="59"/>
      <c r="BN397" s="59"/>
      <c r="BO397" s="59"/>
      <c r="BP397" s="59"/>
      <c r="BQ397" s="59"/>
      <c r="BR397" s="59"/>
      <c r="BS397" s="59"/>
      <c r="BT397" s="59"/>
      <c r="BU397" s="59"/>
      <c r="BV397" s="59"/>
      <c r="BW397" s="59"/>
      <c r="BX397" s="59"/>
      <c r="BY397" s="59"/>
      <c r="BZ397" s="59"/>
      <c r="CA397" s="59"/>
      <c r="CB397" s="59"/>
      <c r="CC397" s="59"/>
      <c r="CD397" s="59"/>
      <c r="CE397" s="59"/>
      <c r="CF397" s="59"/>
      <c r="CG397" s="59"/>
      <c r="CH397" s="59"/>
      <c r="CI397" s="59"/>
      <c r="CJ397" s="59"/>
      <c r="CK397" s="59"/>
      <c r="CL397" s="59"/>
      <c r="CM397" s="59"/>
      <c r="CN397" s="59"/>
      <c r="CO397" s="59"/>
      <c r="CP397" s="59"/>
      <c r="CQ397" s="59"/>
      <c r="CR397" s="59"/>
      <c r="CS397" s="59"/>
      <c r="CT397" s="59"/>
      <c r="CU397" s="59"/>
      <c r="CV397" s="59"/>
      <c r="CW397" s="59"/>
      <c r="CX397" s="59"/>
      <c r="CY397" s="59"/>
      <c r="CZ397" s="59"/>
      <c r="DA397" s="59"/>
      <c r="DB397" s="59"/>
      <c r="DC397" s="59"/>
      <c r="DD397" s="59"/>
      <c r="DE397" s="59"/>
      <c r="DF397" s="59"/>
      <c r="DG397" s="59"/>
    </row>
    <row r="398" spans="1:111" ht="11.2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  <c r="AJ398" s="59"/>
      <c r="AK398" s="59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59"/>
      <c r="AW398" s="59"/>
      <c r="AX398" s="59"/>
      <c r="AY398" s="59"/>
      <c r="AZ398" s="59"/>
      <c r="BA398" s="59"/>
      <c r="BB398" s="59"/>
      <c r="BC398" s="59"/>
      <c r="BD398" s="59"/>
      <c r="BE398" s="59"/>
      <c r="BF398" s="59"/>
      <c r="BG398" s="59"/>
      <c r="BH398" s="59"/>
      <c r="BI398" s="59"/>
      <c r="BJ398" s="59"/>
      <c r="BK398" s="59"/>
      <c r="BL398" s="59"/>
      <c r="BM398" s="59"/>
      <c r="BN398" s="59"/>
      <c r="BO398" s="59"/>
      <c r="BP398" s="59"/>
      <c r="BQ398" s="59"/>
      <c r="BR398" s="59"/>
      <c r="BS398" s="59"/>
      <c r="BT398" s="59"/>
      <c r="BU398" s="59"/>
      <c r="BV398" s="59"/>
      <c r="BW398" s="59"/>
      <c r="BX398" s="59"/>
      <c r="BY398" s="59"/>
      <c r="BZ398" s="59"/>
      <c r="CA398" s="59"/>
      <c r="CB398" s="59"/>
      <c r="CC398" s="59"/>
      <c r="CD398" s="59"/>
      <c r="CE398" s="59"/>
      <c r="CF398" s="59"/>
      <c r="CG398" s="59"/>
      <c r="CH398" s="59"/>
      <c r="CI398" s="59"/>
      <c r="CJ398" s="59"/>
      <c r="CK398" s="59"/>
      <c r="CL398" s="59"/>
      <c r="CM398" s="59"/>
      <c r="CN398" s="59"/>
      <c r="CO398" s="59"/>
      <c r="CP398" s="59"/>
      <c r="CQ398" s="59"/>
      <c r="CR398" s="59"/>
      <c r="CS398" s="59"/>
      <c r="CT398" s="59"/>
      <c r="CU398" s="59"/>
      <c r="CV398" s="59"/>
      <c r="CW398" s="59"/>
      <c r="CX398" s="59"/>
      <c r="CY398" s="59"/>
      <c r="CZ398" s="59"/>
      <c r="DA398" s="59"/>
      <c r="DB398" s="59"/>
      <c r="DC398" s="59"/>
      <c r="DD398" s="59"/>
      <c r="DE398" s="59"/>
      <c r="DF398" s="59"/>
      <c r="DG398" s="59"/>
    </row>
    <row r="399" spans="1:111" ht="11.2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  <c r="AB399" s="59"/>
      <c r="AC399" s="59"/>
      <c r="AD399" s="59"/>
      <c r="AE399" s="59"/>
      <c r="AF399" s="59"/>
      <c r="AG399" s="59"/>
      <c r="AH399" s="59"/>
      <c r="AI399" s="59"/>
      <c r="AJ399" s="59"/>
      <c r="AK399" s="59"/>
      <c r="AL399" s="59"/>
      <c r="AM399" s="59"/>
      <c r="AN399" s="59"/>
      <c r="AO399" s="59"/>
      <c r="AP399" s="59"/>
      <c r="AQ399" s="59"/>
      <c r="AR399" s="59"/>
      <c r="AS399" s="59"/>
      <c r="AT399" s="59"/>
      <c r="AU399" s="59"/>
      <c r="AV399" s="59"/>
      <c r="AW399" s="59"/>
      <c r="AX399" s="59"/>
      <c r="AY399" s="59"/>
      <c r="AZ399" s="59"/>
      <c r="BA399" s="59"/>
      <c r="BB399" s="59"/>
      <c r="BC399" s="59"/>
      <c r="BD399" s="59"/>
      <c r="BE399" s="59"/>
      <c r="BF399" s="59"/>
      <c r="BG399" s="59"/>
      <c r="BH399" s="59"/>
      <c r="BI399" s="59"/>
      <c r="BJ399" s="59"/>
      <c r="BK399" s="59"/>
      <c r="BL399" s="59"/>
      <c r="BM399" s="59"/>
      <c r="BN399" s="59"/>
      <c r="BO399" s="59"/>
      <c r="BP399" s="59"/>
      <c r="BQ399" s="59"/>
      <c r="BR399" s="59"/>
      <c r="BS399" s="59"/>
      <c r="BT399" s="59"/>
      <c r="BU399" s="59"/>
      <c r="BV399" s="59"/>
      <c r="BW399" s="59"/>
      <c r="BX399" s="59"/>
      <c r="BY399" s="59"/>
      <c r="BZ399" s="59"/>
      <c r="CA399" s="59"/>
      <c r="CB399" s="59"/>
      <c r="CC399" s="59"/>
      <c r="CD399" s="59"/>
      <c r="CE399" s="59"/>
      <c r="CF399" s="59"/>
      <c r="CG399" s="59"/>
      <c r="CH399" s="59"/>
      <c r="CI399" s="59"/>
      <c r="CJ399" s="59"/>
      <c r="CK399" s="59"/>
      <c r="CL399" s="59"/>
      <c r="CM399" s="59"/>
      <c r="CN399" s="59"/>
      <c r="CO399" s="59"/>
      <c r="CP399" s="59"/>
      <c r="CQ399" s="59"/>
      <c r="CR399" s="59"/>
      <c r="CS399" s="59"/>
      <c r="CT399" s="59"/>
      <c r="CU399" s="59"/>
      <c r="CV399" s="59"/>
      <c r="CW399" s="59"/>
      <c r="CX399" s="59"/>
      <c r="CY399" s="59"/>
      <c r="CZ399" s="59"/>
      <c r="DA399" s="59"/>
      <c r="DB399" s="59"/>
      <c r="DC399" s="59"/>
      <c r="DD399" s="59"/>
      <c r="DE399" s="59"/>
      <c r="DF399" s="59"/>
      <c r="DG399" s="59"/>
    </row>
    <row r="400" spans="1:111" ht="11.2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  <c r="AJ400" s="59"/>
      <c r="AK400" s="59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9"/>
      <c r="AW400" s="59"/>
      <c r="AX400" s="59"/>
      <c r="AY400" s="59"/>
      <c r="AZ400" s="59"/>
      <c r="BA400" s="59"/>
      <c r="BB400" s="59"/>
      <c r="BC400" s="59"/>
      <c r="BD400" s="59"/>
      <c r="BE400" s="59"/>
      <c r="BF400" s="59"/>
      <c r="BG400" s="59"/>
      <c r="BH400" s="59"/>
      <c r="BI400" s="59"/>
      <c r="BJ400" s="59"/>
      <c r="BK400" s="59"/>
      <c r="BL400" s="59"/>
      <c r="BM400" s="59"/>
      <c r="BN400" s="59"/>
      <c r="BO400" s="59"/>
      <c r="BP400" s="59"/>
      <c r="BQ400" s="59"/>
      <c r="BR400" s="59"/>
      <c r="BS400" s="59"/>
      <c r="BT400" s="59"/>
      <c r="BU400" s="59"/>
      <c r="BV400" s="59"/>
      <c r="BW400" s="59"/>
      <c r="BX400" s="59"/>
      <c r="BY400" s="59"/>
      <c r="BZ400" s="59"/>
      <c r="CA400" s="59"/>
      <c r="CB400" s="59"/>
      <c r="CC400" s="59"/>
      <c r="CD400" s="59"/>
      <c r="CE400" s="59"/>
      <c r="CF400" s="59"/>
      <c r="CG400" s="59"/>
      <c r="CH400" s="59"/>
      <c r="CI400" s="59"/>
      <c r="CJ400" s="59"/>
      <c r="CK400" s="59"/>
      <c r="CL400" s="59"/>
      <c r="CM400" s="59"/>
      <c r="CN400" s="59"/>
      <c r="CO400" s="59"/>
      <c r="CP400" s="59"/>
      <c r="CQ400" s="59"/>
      <c r="CR400" s="59"/>
      <c r="CS400" s="59"/>
      <c r="CT400" s="59"/>
      <c r="CU400" s="59"/>
      <c r="CV400" s="59"/>
      <c r="CW400" s="59"/>
      <c r="CX400" s="59"/>
      <c r="CY400" s="59"/>
      <c r="CZ400" s="59"/>
      <c r="DA400" s="59"/>
      <c r="DB400" s="59"/>
      <c r="DC400" s="59"/>
      <c r="DD400" s="59"/>
      <c r="DE400" s="59"/>
      <c r="DF400" s="59"/>
      <c r="DG400" s="59"/>
    </row>
    <row r="401" spans="1:111" ht="11.2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9"/>
      <c r="AW401" s="59"/>
      <c r="AX401" s="59"/>
      <c r="AY401" s="59"/>
      <c r="AZ401" s="59"/>
      <c r="BA401" s="59"/>
      <c r="BB401" s="59"/>
      <c r="BC401" s="59"/>
      <c r="BD401" s="59"/>
      <c r="BE401" s="59"/>
      <c r="BF401" s="59"/>
      <c r="BG401" s="59"/>
      <c r="BH401" s="59"/>
      <c r="BI401" s="59"/>
      <c r="BJ401" s="59"/>
      <c r="BK401" s="59"/>
      <c r="BL401" s="59"/>
      <c r="BM401" s="59"/>
      <c r="BN401" s="59"/>
      <c r="BO401" s="59"/>
      <c r="BP401" s="59"/>
      <c r="BQ401" s="59"/>
      <c r="BR401" s="59"/>
      <c r="BS401" s="59"/>
      <c r="BT401" s="59"/>
      <c r="BU401" s="59"/>
      <c r="BV401" s="59"/>
      <c r="BW401" s="59"/>
      <c r="BX401" s="59"/>
      <c r="BY401" s="59"/>
      <c r="BZ401" s="59"/>
      <c r="CA401" s="59"/>
      <c r="CB401" s="59"/>
      <c r="CC401" s="59"/>
      <c r="CD401" s="59"/>
      <c r="CE401" s="59"/>
      <c r="CF401" s="59"/>
      <c r="CG401" s="59"/>
      <c r="CH401" s="59"/>
      <c r="CI401" s="59"/>
      <c r="CJ401" s="59"/>
      <c r="CK401" s="59"/>
      <c r="CL401" s="59"/>
      <c r="CM401" s="59"/>
      <c r="CN401" s="59"/>
      <c r="CO401" s="59"/>
      <c r="CP401" s="59"/>
      <c r="CQ401" s="59"/>
      <c r="CR401" s="59"/>
      <c r="CS401" s="59"/>
      <c r="CT401" s="59"/>
      <c r="CU401" s="59"/>
      <c r="CV401" s="59"/>
      <c r="CW401" s="59"/>
      <c r="CX401" s="59"/>
      <c r="CY401" s="59"/>
      <c r="CZ401" s="59"/>
      <c r="DA401" s="59"/>
      <c r="DB401" s="59"/>
      <c r="DC401" s="59"/>
      <c r="DD401" s="59"/>
      <c r="DE401" s="59"/>
      <c r="DF401" s="59"/>
      <c r="DG401" s="59"/>
    </row>
    <row r="402" spans="1:111" ht="11.2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9"/>
      <c r="AI402" s="59"/>
      <c r="AJ402" s="59"/>
      <c r="AK402" s="59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9"/>
      <c r="AW402" s="59"/>
      <c r="AX402" s="59"/>
      <c r="AY402" s="59"/>
      <c r="AZ402" s="59"/>
      <c r="BA402" s="59"/>
      <c r="BB402" s="59"/>
      <c r="BC402" s="59"/>
      <c r="BD402" s="59"/>
      <c r="BE402" s="59"/>
      <c r="BF402" s="59"/>
      <c r="BG402" s="59"/>
      <c r="BH402" s="59"/>
      <c r="BI402" s="59"/>
      <c r="BJ402" s="59"/>
      <c r="BK402" s="59"/>
      <c r="BL402" s="59"/>
      <c r="BM402" s="59"/>
      <c r="BN402" s="59"/>
      <c r="BO402" s="59"/>
      <c r="BP402" s="59"/>
      <c r="BQ402" s="59"/>
      <c r="BR402" s="59"/>
      <c r="BS402" s="59"/>
      <c r="BT402" s="59"/>
      <c r="BU402" s="59"/>
      <c r="BV402" s="59"/>
      <c r="BW402" s="59"/>
      <c r="BX402" s="59"/>
      <c r="BY402" s="59"/>
      <c r="BZ402" s="59"/>
      <c r="CA402" s="59"/>
      <c r="CB402" s="59"/>
      <c r="CC402" s="59"/>
      <c r="CD402" s="59"/>
      <c r="CE402" s="59"/>
      <c r="CF402" s="59"/>
      <c r="CG402" s="59"/>
      <c r="CH402" s="59"/>
      <c r="CI402" s="59"/>
      <c r="CJ402" s="59"/>
      <c r="CK402" s="59"/>
      <c r="CL402" s="59"/>
      <c r="CM402" s="59"/>
      <c r="CN402" s="59"/>
      <c r="CO402" s="59"/>
      <c r="CP402" s="59"/>
      <c r="CQ402" s="59"/>
      <c r="CR402" s="59"/>
      <c r="CS402" s="59"/>
      <c r="CT402" s="59"/>
      <c r="CU402" s="59"/>
      <c r="CV402" s="59"/>
      <c r="CW402" s="59"/>
      <c r="CX402" s="59"/>
      <c r="CY402" s="59"/>
      <c r="CZ402" s="59"/>
      <c r="DA402" s="59"/>
      <c r="DB402" s="59"/>
      <c r="DC402" s="59"/>
      <c r="DD402" s="59"/>
      <c r="DE402" s="59"/>
      <c r="DF402" s="59"/>
      <c r="DG402" s="59"/>
    </row>
    <row r="403" spans="1:111" ht="11.2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  <c r="AJ403" s="59"/>
      <c r="AK403" s="59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9"/>
      <c r="AW403" s="59"/>
      <c r="AX403" s="59"/>
      <c r="AY403" s="59"/>
      <c r="AZ403" s="59"/>
      <c r="BA403" s="59"/>
      <c r="BB403" s="59"/>
      <c r="BC403" s="59"/>
      <c r="BD403" s="59"/>
      <c r="BE403" s="59"/>
      <c r="BF403" s="59"/>
      <c r="BG403" s="59"/>
      <c r="BH403" s="59"/>
      <c r="BI403" s="59"/>
      <c r="BJ403" s="59"/>
      <c r="BK403" s="59"/>
      <c r="BL403" s="59"/>
      <c r="BM403" s="59"/>
      <c r="BN403" s="59"/>
      <c r="BO403" s="59"/>
      <c r="BP403" s="59"/>
      <c r="BQ403" s="59"/>
      <c r="BR403" s="59"/>
      <c r="BS403" s="59"/>
      <c r="BT403" s="59"/>
      <c r="BU403" s="59"/>
      <c r="BV403" s="59"/>
      <c r="BW403" s="59"/>
      <c r="BX403" s="59"/>
      <c r="BY403" s="59"/>
      <c r="BZ403" s="59"/>
      <c r="CA403" s="59"/>
      <c r="CB403" s="59"/>
      <c r="CC403" s="59"/>
      <c r="CD403" s="59"/>
      <c r="CE403" s="59"/>
      <c r="CF403" s="59"/>
      <c r="CG403" s="59"/>
      <c r="CH403" s="59"/>
      <c r="CI403" s="59"/>
      <c r="CJ403" s="59"/>
      <c r="CK403" s="59"/>
      <c r="CL403" s="59"/>
      <c r="CM403" s="59"/>
      <c r="CN403" s="59"/>
      <c r="CO403" s="59"/>
      <c r="CP403" s="59"/>
      <c r="CQ403" s="59"/>
      <c r="CR403" s="59"/>
      <c r="CS403" s="59"/>
      <c r="CT403" s="59"/>
      <c r="CU403" s="59"/>
      <c r="CV403" s="59"/>
      <c r="CW403" s="59"/>
      <c r="CX403" s="59"/>
      <c r="CY403" s="59"/>
      <c r="CZ403" s="59"/>
      <c r="DA403" s="59"/>
      <c r="DB403" s="59"/>
      <c r="DC403" s="59"/>
      <c r="DD403" s="59"/>
      <c r="DE403" s="59"/>
      <c r="DF403" s="59"/>
      <c r="DG403" s="59"/>
    </row>
    <row r="404" spans="1:111" ht="11.2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  <c r="AJ404" s="59"/>
      <c r="AK404" s="59"/>
      <c r="AL404" s="59"/>
      <c r="AM404" s="59"/>
      <c r="AN404" s="59"/>
      <c r="AO404" s="59"/>
      <c r="AP404" s="59"/>
      <c r="AQ404" s="59"/>
      <c r="AR404" s="59"/>
      <c r="AS404" s="59"/>
      <c r="AT404" s="59"/>
      <c r="AU404" s="59"/>
      <c r="AV404" s="59"/>
      <c r="AW404" s="59"/>
      <c r="AX404" s="59"/>
      <c r="AY404" s="59"/>
      <c r="AZ404" s="59"/>
      <c r="BA404" s="59"/>
      <c r="BB404" s="59"/>
      <c r="BC404" s="59"/>
      <c r="BD404" s="59"/>
      <c r="BE404" s="59"/>
      <c r="BF404" s="59"/>
      <c r="BG404" s="59"/>
      <c r="BH404" s="59"/>
      <c r="BI404" s="59"/>
      <c r="BJ404" s="59"/>
      <c r="BK404" s="59"/>
      <c r="BL404" s="59"/>
      <c r="BM404" s="59"/>
      <c r="BN404" s="59"/>
      <c r="BO404" s="59"/>
      <c r="BP404" s="59"/>
      <c r="BQ404" s="59"/>
      <c r="BR404" s="59"/>
      <c r="BS404" s="59"/>
      <c r="BT404" s="59"/>
      <c r="BU404" s="59"/>
      <c r="BV404" s="59"/>
      <c r="BW404" s="59"/>
      <c r="BX404" s="59"/>
      <c r="BY404" s="59"/>
      <c r="BZ404" s="59"/>
      <c r="CA404" s="59"/>
      <c r="CB404" s="59"/>
      <c r="CC404" s="59"/>
      <c r="CD404" s="59"/>
      <c r="CE404" s="59"/>
      <c r="CF404" s="59"/>
      <c r="CG404" s="59"/>
      <c r="CH404" s="59"/>
      <c r="CI404" s="59"/>
      <c r="CJ404" s="59"/>
      <c r="CK404" s="59"/>
      <c r="CL404" s="59"/>
      <c r="CM404" s="59"/>
      <c r="CN404" s="59"/>
      <c r="CO404" s="59"/>
      <c r="CP404" s="59"/>
      <c r="CQ404" s="59"/>
      <c r="CR404" s="59"/>
      <c r="CS404" s="59"/>
      <c r="CT404" s="59"/>
      <c r="CU404" s="59"/>
      <c r="CV404" s="59"/>
      <c r="CW404" s="59"/>
      <c r="CX404" s="59"/>
      <c r="CY404" s="59"/>
      <c r="CZ404" s="59"/>
      <c r="DA404" s="59"/>
      <c r="DB404" s="59"/>
      <c r="DC404" s="59"/>
      <c r="DD404" s="59"/>
      <c r="DE404" s="59"/>
      <c r="DF404" s="59"/>
      <c r="DG404" s="59"/>
    </row>
    <row r="405" spans="1:111" ht="11.2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  <c r="AJ405" s="59"/>
      <c r="AK405" s="59"/>
      <c r="AL405" s="59"/>
      <c r="AM405" s="59"/>
      <c r="AN405" s="59"/>
      <c r="AO405" s="59"/>
      <c r="AP405" s="59"/>
      <c r="AQ405" s="59"/>
      <c r="AR405" s="59"/>
      <c r="AS405" s="59"/>
      <c r="AT405" s="59"/>
      <c r="AU405" s="59"/>
      <c r="AV405" s="59"/>
      <c r="AW405" s="59"/>
      <c r="AX405" s="59"/>
      <c r="AY405" s="59"/>
      <c r="AZ405" s="59"/>
      <c r="BA405" s="59"/>
      <c r="BB405" s="59"/>
      <c r="BC405" s="59"/>
      <c r="BD405" s="59"/>
      <c r="BE405" s="59"/>
      <c r="BF405" s="59"/>
      <c r="BG405" s="59"/>
      <c r="BH405" s="59"/>
      <c r="BI405" s="59"/>
      <c r="BJ405" s="59"/>
      <c r="BK405" s="59"/>
      <c r="BL405" s="59"/>
      <c r="BM405" s="59"/>
      <c r="BN405" s="59"/>
      <c r="BO405" s="59"/>
      <c r="BP405" s="59"/>
      <c r="BQ405" s="59"/>
      <c r="BR405" s="59"/>
      <c r="BS405" s="59"/>
      <c r="BT405" s="59"/>
      <c r="BU405" s="59"/>
      <c r="BV405" s="59"/>
      <c r="BW405" s="59"/>
      <c r="BX405" s="59"/>
      <c r="BY405" s="59"/>
      <c r="BZ405" s="59"/>
      <c r="CA405" s="59"/>
      <c r="CB405" s="59"/>
      <c r="CC405" s="59"/>
      <c r="CD405" s="59"/>
      <c r="CE405" s="59"/>
      <c r="CF405" s="59"/>
      <c r="CG405" s="59"/>
      <c r="CH405" s="59"/>
      <c r="CI405" s="59"/>
      <c r="CJ405" s="59"/>
      <c r="CK405" s="59"/>
      <c r="CL405" s="59"/>
      <c r="CM405" s="59"/>
      <c r="CN405" s="59"/>
      <c r="CO405" s="59"/>
      <c r="CP405" s="59"/>
      <c r="CQ405" s="59"/>
      <c r="CR405" s="59"/>
      <c r="CS405" s="59"/>
      <c r="CT405" s="59"/>
      <c r="CU405" s="59"/>
      <c r="CV405" s="59"/>
      <c r="CW405" s="59"/>
      <c r="CX405" s="59"/>
      <c r="CY405" s="59"/>
      <c r="CZ405" s="59"/>
      <c r="DA405" s="59"/>
      <c r="DB405" s="59"/>
      <c r="DC405" s="59"/>
      <c r="DD405" s="59"/>
      <c r="DE405" s="59"/>
      <c r="DF405" s="59"/>
      <c r="DG405" s="59"/>
    </row>
    <row r="406" spans="1:111" ht="11.2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  <c r="AJ406" s="59"/>
      <c r="AK406" s="59"/>
      <c r="AL406" s="59"/>
      <c r="AM406" s="59"/>
      <c r="AN406" s="59"/>
      <c r="AO406" s="59"/>
      <c r="AP406" s="59"/>
      <c r="AQ406" s="59"/>
      <c r="AR406" s="59"/>
      <c r="AS406" s="59"/>
      <c r="AT406" s="59"/>
      <c r="AU406" s="59"/>
      <c r="AV406" s="59"/>
      <c r="AW406" s="59"/>
      <c r="AX406" s="59"/>
      <c r="AY406" s="59"/>
      <c r="AZ406" s="59"/>
      <c r="BA406" s="59"/>
      <c r="BB406" s="59"/>
      <c r="BC406" s="59"/>
      <c r="BD406" s="59"/>
      <c r="BE406" s="59"/>
      <c r="BF406" s="59"/>
      <c r="BG406" s="59"/>
      <c r="BH406" s="59"/>
      <c r="BI406" s="59"/>
      <c r="BJ406" s="59"/>
      <c r="BK406" s="59"/>
      <c r="BL406" s="59"/>
      <c r="BM406" s="59"/>
      <c r="BN406" s="59"/>
      <c r="BO406" s="59"/>
      <c r="BP406" s="59"/>
      <c r="BQ406" s="59"/>
      <c r="BR406" s="59"/>
      <c r="BS406" s="59"/>
      <c r="BT406" s="59"/>
      <c r="BU406" s="59"/>
      <c r="BV406" s="59"/>
      <c r="BW406" s="59"/>
      <c r="BX406" s="59"/>
      <c r="BY406" s="59"/>
      <c r="BZ406" s="59"/>
      <c r="CA406" s="59"/>
      <c r="CB406" s="59"/>
      <c r="CC406" s="59"/>
      <c r="CD406" s="59"/>
      <c r="CE406" s="59"/>
      <c r="CF406" s="59"/>
      <c r="CG406" s="59"/>
      <c r="CH406" s="59"/>
      <c r="CI406" s="59"/>
      <c r="CJ406" s="59"/>
      <c r="CK406" s="59"/>
      <c r="CL406" s="59"/>
      <c r="CM406" s="59"/>
      <c r="CN406" s="59"/>
      <c r="CO406" s="59"/>
      <c r="CP406" s="59"/>
      <c r="CQ406" s="59"/>
      <c r="CR406" s="59"/>
      <c r="CS406" s="59"/>
      <c r="CT406" s="59"/>
      <c r="CU406" s="59"/>
      <c r="CV406" s="59"/>
      <c r="CW406" s="59"/>
      <c r="CX406" s="59"/>
      <c r="CY406" s="59"/>
      <c r="CZ406" s="59"/>
      <c r="DA406" s="59"/>
      <c r="DB406" s="59"/>
      <c r="DC406" s="59"/>
      <c r="DD406" s="59"/>
      <c r="DE406" s="59"/>
      <c r="DF406" s="59"/>
      <c r="DG406" s="59"/>
    </row>
    <row r="407" spans="1:111" ht="11.2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9"/>
      <c r="AW407" s="59"/>
      <c r="AX407" s="59"/>
      <c r="AY407" s="59"/>
      <c r="AZ407" s="59"/>
      <c r="BA407" s="59"/>
      <c r="BB407" s="59"/>
      <c r="BC407" s="59"/>
      <c r="BD407" s="59"/>
      <c r="BE407" s="59"/>
      <c r="BF407" s="59"/>
      <c r="BG407" s="59"/>
      <c r="BH407" s="59"/>
      <c r="BI407" s="59"/>
      <c r="BJ407" s="59"/>
      <c r="BK407" s="59"/>
      <c r="BL407" s="59"/>
      <c r="BM407" s="59"/>
      <c r="BN407" s="59"/>
      <c r="BO407" s="59"/>
      <c r="BP407" s="59"/>
      <c r="BQ407" s="59"/>
      <c r="BR407" s="59"/>
      <c r="BS407" s="59"/>
      <c r="BT407" s="59"/>
      <c r="BU407" s="59"/>
      <c r="BV407" s="59"/>
      <c r="BW407" s="59"/>
      <c r="BX407" s="59"/>
      <c r="BY407" s="59"/>
      <c r="BZ407" s="59"/>
      <c r="CA407" s="59"/>
      <c r="CB407" s="59"/>
      <c r="CC407" s="59"/>
      <c r="CD407" s="59"/>
      <c r="CE407" s="59"/>
      <c r="CF407" s="59"/>
      <c r="CG407" s="59"/>
      <c r="CH407" s="59"/>
      <c r="CI407" s="59"/>
      <c r="CJ407" s="59"/>
      <c r="CK407" s="59"/>
      <c r="CL407" s="59"/>
      <c r="CM407" s="59"/>
      <c r="CN407" s="59"/>
      <c r="CO407" s="59"/>
      <c r="CP407" s="59"/>
      <c r="CQ407" s="59"/>
      <c r="CR407" s="59"/>
      <c r="CS407" s="59"/>
      <c r="CT407" s="59"/>
      <c r="CU407" s="59"/>
      <c r="CV407" s="59"/>
      <c r="CW407" s="59"/>
      <c r="CX407" s="59"/>
      <c r="CY407" s="59"/>
      <c r="CZ407" s="59"/>
      <c r="DA407" s="59"/>
      <c r="DB407" s="59"/>
      <c r="DC407" s="59"/>
      <c r="DD407" s="59"/>
      <c r="DE407" s="59"/>
      <c r="DF407" s="59"/>
      <c r="DG407" s="59"/>
    </row>
    <row r="408" spans="1:111" ht="11.2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9"/>
      <c r="AW408" s="59"/>
      <c r="AX408" s="59"/>
      <c r="AY408" s="59"/>
      <c r="AZ408" s="59"/>
      <c r="BA408" s="59"/>
      <c r="BB408" s="59"/>
      <c r="BC408" s="59"/>
      <c r="BD408" s="59"/>
      <c r="BE408" s="59"/>
      <c r="BF408" s="59"/>
      <c r="BG408" s="59"/>
      <c r="BH408" s="59"/>
      <c r="BI408" s="59"/>
      <c r="BJ408" s="59"/>
      <c r="BK408" s="59"/>
      <c r="BL408" s="59"/>
      <c r="BM408" s="59"/>
      <c r="BN408" s="59"/>
      <c r="BO408" s="59"/>
      <c r="BP408" s="59"/>
      <c r="BQ408" s="59"/>
      <c r="BR408" s="59"/>
      <c r="BS408" s="59"/>
      <c r="BT408" s="59"/>
      <c r="BU408" s="59"/>
      <c r="BV408" s="59"/>
      <c r="BW408" s="59"/>
      <c r="BX408" s="59"/>
      <c r="BY408" s="59"/>
      <c r="BZ408" s="59"/>
      <c r="CA408" s="59"/>
      <c r="CB408" s="59"/>
      <c r="CC408" s="59"/>
      <c r="CD408" s="59"/>
      <c r="CE408" s="59"/>
      <c r="CF408" s="59"/>
      <c r="CG408" s="59"/>
      <c r="CH408" s="59"/>
      <c r="CI408" s="59"/>
      <c r="CJ408" s="59"/>
      <c r="CK408" s="59"/>
      <c r="CL408" s="59"/>
      <c r="CM408" s="59"/>
      <c r="CN408" s="59"/>
      <c r="CO408" s="59"/>
      <c r="CP408" s="59"/>
      <c r="CQ408" s="59"/>
      <c r="CR408" s="59"/>
      <c r="CS408" s="59"/>
      <c r="CT408" s="59"/>
      <c r="CU408" s="59"/>
      <c r="CV408" s="59"/>
      <c r="CW408" s="59"/>
      <c r="CX408" s="59"/>
      <c r="CY408" s="59"/>
      <c r="CZ408" s="59"/>
      <c r="DA408" s="59"/>
      <c r="DB408" s="59"/>
      <c r="DC408" s="59"/>
      <c r="DD408" s="59"/>
      <c r="DE408" s="59"/>
      <c r="DF408" s="59"/>
      <c r="DG408" s="59"/>
    </row>
    <row r="409" spans="1:111" ht="11.2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9"/>
      <c r="AT409" s="59"/>
      <c r="AU409" s="59"/>
      <c r="AV409" s="59"/>
      <c r="AW409" s="59"/>
      <c r="AX409" s="59"/>
      <c r="AY409" s="59"/>
      <c r="AZ409" s="59"/>
      <c r="BA409" s="59"/>
      <c r="BB409" s="59"/>
      <c r="BC409" s="59"/>
      <c r="BD409" s="59"/>
      <c r="BE409" s="59"/>
      <c r="BF409" s="59"/>
      <c r="BG409" s="59"/>
      <c r="BH409" s="59"/>
      <c r="BI409" s="59"/>
      <c r="BJ409" s="59"/>
      <c r="BK409" s="59"/>
      <c r="BL409" s="59"/>
      <c r="BM409" s="59"/>
      <c r="BN409" s="59"/>
      <c r="BO409" s="59"/>
      <c r="BP409" s="59"/>
      <c r="BQ409" s="59"/>
      <c r="BR409" s="59"/>
      <c r="BS409" s="59"/>
      <c r="BT409" s="59"/>
      <c r="BU409" s="59"/>
      <c r="BV409" s="59"/>
      <c r="BW409" s="59"/>
      <c r="BX409" s="59"/>
      <c r="BY409" s="59"/>
      <c r="BZ409" s="59"/>
      <c r="CA409" s="59"/>
      <c r="CB409" s="59"/>
      <c r="CC409" s="59"/>
      <c r="CD409" s="59"/>
      <c r="CE409" s="59"/>
      <c r="CF409" s="59"/>
      <c r="CG409" s="59"/>
      <c r="CH409" s="59"/>
      <c r="CI409" s="59"/>
      <c r="CJ409" s="59"/>
      <c r="CK409" s="59"/>
      <c r="CL409" s="59"/>
      <c r="CM409" s="59"/>
      <c r="CN409" s="59"/>
      <c r="CO409" s="59"/>
      <c r="CP409" s="59"/>
      <c r="CQ409" s="59"/>
      <c r="CR409" s="59"/>
      <c r="CS409" s="59"/>
      <c r="CT409" s="59"/>
      <c r="CU409" s="59"/>
      <c r="CV409" s="59"/>
      <c r="CW409" s="59"/>
      <c r="CX409" s="59"/>
      <c r="CY409" s="59"/>
      <c r="CZ409" s="59"/>
      <c r="DA409" s="59"/>
      <c r="DB409" s="59"/>
      <c r="DC409" s="59"/>
      <c r="DD409" s="59"/>
      <c r="DE409" s="59"/>
      <c r="DF409" s="59"/>
      <c r="DG409" s="59"/>
    </row>
    <row r="410" spans="1:111" ht="11.2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  <c r="AJ410" s="59"/>
      <c r="AK410" s="59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  <c r="BC410" s="59"/>
      <c r="BD410" s="59"/>
      <c r="BE410" s="59"/>
      <c r="BF410" s="59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  <c r="BV410" s="59"/>
      <c r="BW410" s="59"/>
      <c r="BX410" s="59"/>
      <c r="BY410" s="59"/>
      <c r="BZ410" s="59"/>
      <c r="CA410" s="59"/>
      <c r="CB410" s="59"/>
      <c r="CC410" s="59"/>
      <c r="CD410" s="59"/>
      <c r="CE410" s="59"/>
      <c r="CF410" s="59"/>
      <c r="CG410" s="59"/>
      <c r="CH410" s="59"/>
      <c r="CI410" s="59"/>
      <c r="CJ410" s="59"/>
      <c r="CK410" s="59"/>
      <c r="CL410" s="59"/>
      <c r="CM410" s="59"/>
      <c r="CN410" s="59"/>
      <c r="CO410" s="59"/>
      <c r="CP410" s="59"/>
      <c r="CQ410" s="59"/>
      <c r="CR410" s="59"/>
      <c r="CS410" s="59"/>
      <c r="CT410" s="59"/>
      <c r="CU410" s="59"/>
      <c r="CV410" s="59"/>
      <c r="CW410" s="59"/>
      <c r="CX410" s="59"/>
      <c r="CY410" s="59"/>
      <c r="CZ410" s="59"/>
      <c r="DA410" s="59"/>
      <c r="DB410" s="59"/>
      <c r="DC410" s="59"/>
      <c r="DD410" s="59"/>
      <c r="DE410" s="59"/>
      <c r="DF410" s="59"/>
      <c r="DG410" s="59"/>
    </row>
    <row r="411" spans="1:111" ht="11.2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  <c r="AB411" s="59"/>
      <c r="AC411" s="59"/>
      <c r="AD411" s="59"/>
      <c r="AE411" s="59"/>
      <c r="AF411" s="59"/>
      <c r="AG411" s="59"/>
      <c r="AH411" s="59"/>
      <c r="AI411" s="59"/>
      <c r="AJ411" s="59"/>
      <c r="AK411" s="59"/>
      <c r="AL411" s="59"/>
      <c r="AM411" s="59"/>
      <c r="AN411" s="59"/>
      <c r="AO411" s="59"/>
      <c r="AP411" s="59"/>
      <c r="AQ411" s="59"/>
      <c r="AR411" s="59"/>
      <c r="AS411" s="59"/>
      <c r="AT411" s="59"/>
      <c r="AU411" s="59"/>
      <c r="AV411" s="59"/>
      <c r="AW411" s="59"/>
      <c r="AX411" s="59"/>
      <c r="AY411" s="59"/>
      <c r="AZ411" s="59"/>
      <c r="BA411" s="59"/>
      <c r="BB411" s="59"/>
      <c r="BC411" s="59"/>
      <c r="BD411" s="59"/>
      <c r="BE411" s="59"/>
      <c r="BF411" s="59"/>
      <c r="BG411" s="59"/>
      <c r="BH411" s="59"/>
      <c r="BI411" s="59"/>
      <c r="BJ411" s="59"/>
      <c r="BK411" s="59"/>
      <c r="BL411" s="59"/>
      <c r="BM411" s="59"/>
      <c r="BN411" s="59"/>
      <c r="BO411" s="59"/>
      <c r="BP411" s="59"/>
      <c r="BQ411" s="59"/>
      <c r="BR411" s="59"/>
      <c r="BS411" s="59"/>
      <c r="BT411" s="59"/>
      <c r="BU411" s="59"/>
      <c r="BV411" s="59"/>
      <c r="BW411" s="59"/>
      <c r="BX411" s="59"/>
      <c r="BY411" s="59"/>
      <c r="BZ411" s="59"/>
      <c r="CA411" s="59"/>
      <c r="CB411" s="59"/>
      <c r="CC411" s="59"/>
      <c r="CD411" s="59"/>
      <c r="CE411" s="59"/>
      <c r="CF411" s="59"/>
      <c r="CG411" s="59"/>
      <c r="CH411" s="59"/>
      <c r="CI411" s="59"/>
      <c r="CJ411" s="59"/>
      <c r="CK411" s="59"/>
      <c r="CL411" s="59"/>
      <c r="CM411" s="59"/>
      <c r="CN411" s="59"/>
      <c r="CO411" s="59"/>
      <c r="CP411" s="59"/>
      <c r="CQ411" s="59"/>
      <c r="CR411" s="59"/>
      <c r="CS411" s="59"/>
      <c r="CT411" s="59"/>
      <c r="CU411" s="59"/>
      <c r="CV411" s="59"/>
      <c r="CW411" s="59"/>
      <c r="CX411" s="59"/>
      <c r="CY411" s="59"/>
      <c r="CZ411" s="59"/>
      <c r="DA411" s="59"/>
      <c r="DB411" s="59"/>
      <c r="DC411" s="59"/>
      <c r="DD411" s="59"/>
      <c r="DE411" s="59"/>
      <c r="DF411" s="59"/>
      <c r="DG411" s="59"/>
    </row>
    <row r="412" spans="1:111" ht="11.2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  <c r="AJ412" s="59"/>
      <c r="AK412" s="59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9"/>
      <c r="AW412" s="59"/>
      <c r="AX412" s="59"/>
      <c r="AY412" s="59"/>
      <c r="AZ412" s="59"/>
      <c r="BA412" s="59"/>
      <c r="BB412" s="59"/>
      <c r="BC412" s="59"/>
      <c r="BD412" s="59"/>
      <c r="BE412" s="59"/>
      <c r="BF412" s="59"/>
      <c r="BG412" s="59"/>
      <c r="BH412" s="59"/>
      <c r="BI412" s="59"/>
      <c r="BJ412" s="59"/>
      <c r="BK412" s="59"/>
      <c r="BL412" s="59"/>
      <c r="BM412" s="59"/>
      <c r="BN412" s="59"/>
      <c r="BO412" s="59"/>
      <c r="BP412" s="59"/>
      <c r="BQ412" s="59"/>
      <c r="BR412" s="59"/>
      <c r="BS412" s="59"/>
      <c r="BT412" s="59"/>
      <c r="BU412" s="59"/>
      <c r="BV412" s="59"/>
      <c r="BW412" s="59"/>
      <c r="BX412" s="59"/>
      <c r="BY412" s="59"/>
      <c r="BZ412" s="59"/>
      <c r="CA412" s="59"/>
      <c r="CB412" s="59"/>
      <c r="CC412" s="59"/>
      <c r="CD412" s="59"/>
      <c r="CE412" s="59"/>
      <c r="CF412" s="59"/>
      <c r="CG412" s="59"/>
      <c r="CH412" s="59"/>
      <c r="CI412" s="59"/>
      <c r="CJ412" s="59"/>
      <c r="CK412" s="59"/>
      <c r="CL412" s="59"/>
      <c r="CM412" s="59"/>
      <c r="CN412" s="59"/>
      <c r="CO412" s="59"/>
      <c r="CP412" s="59"/>
      <c r="CQ412" s="59"/>
      <c r="CR412" s="59"/>
      <c r="CS412" s="59"/>
      <c r="CT412" s="59"/>
      <c r="CU412" s="59"/>
      <c r="CV412" s="59"/>
      <c r="CW412" s="59"/>
      <c r="CX412" s="59"/>
      <c r="CY412" s="59"/>
      <c r="CZ412" s="59"/>
      <c r="DA412" s="59"/>
      <c r="DB412" s="59"/>
      <c r="DC412" s="59"/>
      <c r="DD412" s="59"/>
      <c r="DE412" s="59"/>
      <c r="DF412" s="59"/>
      <c r="DG412" s="59"/>
    </row>
    <row r="413" spans="1:111" ht="11.2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  <c r="AJ413" s="59"/>
      <c r="AK413" s="59"/>
      <c r="AL413" s="59"/>
      <c r="AM413" s="59"/>
      <c r="AN413" s="59"/>
      <c r="AO413" s="59"/>
      <c r="AP413" s="59"/>
      <c r="AQ413" s="59"/>
      <c r="AR413" s="59"/>
      <c r="AS413" s="59"/>
      <c r="AT413" s="59"/>
      <c r="AU413" s="59"/>
      <c r="AV413" s="59"/>
      <c r="AW413" s="59"/>
      <c r="AX413" s="59"/>
      <c r="AY413" s="59"/>
      <c r="AZ413" s="59"/>
      <c r="BA413" s="59"/>
      <c r="BB413" s="59"/>
      <c r="BC413" s="59"/>
      <c r="BD413" s="59"/>
      <c r="BE413" s="59"/>
      <c r="BF413" s="59"/>
      <c r="BG413" s="59"/>
      <c r="BH413" s="59"/>
      <c r="BI413" s="59"/>
      <c r="BJ413" s="59"/>
      <c r="BK413" s="59"/>
      <c r="BL413" s="59"/>
      <c r="BM413" s="59"/>
      <c r="BN413" s="59"/>
      <c r="BO413" s="59"/>
      <c r="BP413" s="59"/>
      <c r="BQ413" s="59"/>
      <c r="BR413" s="59"/>
      <c r="BS413" s="59"/>
      <c r="BT413" s="59"/>
      <c r="BU413" s="59"/>
      <c r="BV413" s="59"/>
      <c r="BW413" s="59"/>
      <c r="BX413" s="59"/>
      <c r="BY413" s="59"/>
      <c r="BZ413" s="59"/>
      <c r="CA413" s="59"/>
      <c r="CB413" s="59"/>
      <c r="CC413" s="59"/>
      <c r="CD413" s="59"/>
      <c r="CE413" s="59"/>
      <c r="CF413" s="59"/>
      <c r="CG413" s="59"/>
      <c r="CH413" s="59"/>
      <c r="CI413" s="59"/>
      <c r="CJ413" s="59"/>
      <c r="CK413" s="59"/>
      <c r="CL413" s="59"/>
      <c r="CM413" s="59"/>
      <c r="CN413" s="59"/>
      <c r="CO413" s="59"/>
      <c r="CP413" s="59"/>
      <c r="CQ413" s="59"/>
      <c r="CR413" s="59"/>
      <c r="CS413" s="59"/>
      <c r="CT413" s="59"/>
      <c r="CU413" s="59"/>
      <c r="CV413" s="59"/>
      <c r="CW413" s="59"/>
      <c r="CX413" s="59"/>
      <c r="CY413" s="59"/>
      <c r="CZ413" s="59"/>
      <c r="DA413" s="59"/>
      <c r="DB413" s="59"/>
      <c r="DC413" s="59"/>
      <c r="DD413" s="59"/>
      <c r="DE413" s="59"/>
      <c r="DF413" s="59"/>
      <c r="DG413" s="59"/>
    </row>
    <row r="414" spans="1:111" ht="11.2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59"/>
      <c r="AO414" s="59"/>
      <c r="AP414" s="59"/>
      <c r="AQ414" s="59"/>
      <c r="AR414" s="59"/>
      <c r="AS414" s="59"/>
      <c r="AT414" s="59"/>
      <c r="AU414" s="59"/>
      <c r="AV414" s="59"/>
      <c r="AW414" s="59"/>
      <c r="AX414" s="59"/>
      <c r="AY414" s="59"/>
      <c r="AZ414" s="59"/>
      <c r="BA414" s="59"/>
      <c r="BB414" s="59"/>
      <c r="BC414" s="59"/>
      <c r="BD414" s="59"/>
      <c r="BE414" s="59"/>
      <c r="BF414" s="59"/>
      <c r="BG414" s="59"/>
      <c r="BH414" s="59"/>
      <c r="BI414" s="59"/>
      <c r="BJ414" s="59"/>
      <c r="BK414" s="59"/>
      <c r="BL414" s="59"/>
      <c r="BM414" s="59"/>
      <c r="BN414" s="59"/>
      <c r="BO414" s="59"/>
      <c r="BP414" s="59"/>
      <c r="BQ414" s="59"/>
      <c r="BR414" s="59"/>
      <c r="BS414" s="59"/>
      <c r="BT414" s="59"/>
      <c r="BU414" s="59"/>
      <c r="BV414" s="59"/>
      <c r="BW414" s="59"/>
      <c r="BX414" s="59"/>
      <c r="BY414" s="59"/>
      <c r="BZ414" s="59"/>
      <c r="CA414" s="59"/>
      <c r="CB414" s="59"/>
      <c r="CC414" s="59"/>
      <c r="CD414" s="59"/>
      <c r="CE414" s="59"/>
      <c r="CF414" s="59"/>
      <c r="CG414" s="59"/>
      <c r="CH414" s="59"/>
      <c r="CI414" s="59"/>
      <c r="CJ414" s="59"/>
      <c r="CK414" s="59"/>
      <c r="CL414" s="59"/>
      <c r="CM414" s="59"/>
      <c r="CN414" s="59"/>
      <c r="CO414" s="59"/>
      <c r="CP414" s="59"/>
      <c r="CQ414" s="59"/>
      <c r="CR414" s="59"/>
      <c r="CS414" s="59"/>
      <c r="CT414" s="59"/>
      <c r="CU414" s="59"/>
      <c r="CV414" s="59"/>
      <c r="CW414" s="59"/>
      <c r="CX414" s="59"/>
      <c r="CY414" s="59"/>
      <c r="CZ414" s="59"/>
      <c r="DA414" s="59"/>
      <c r="DB414" s="59"/>
      <c r="DC414" s="59"/>
      <c r="DD414" s="59"/>
      <c r="DE414" s="59"/>
      <c r="DF414" s="59"/>
      <c r="DG414" s="59"/>
    </row>
    <row r="415" spans="1:111" ht="11.2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  <c r="AL415" s="59"/>
      <c r="AM415" s="59"/>
      <c r="AN415" s="59"/>
      <c r="AO415" s="59"/>
      <c r="AP415" s="59"/>
      <c r="AQ415" s="59"/>
      <c r="AR415" s="59"/>
      <c r="AS415" s="59"/>
      <c r="AT415" s="59"/>
      <c r="AU415" s="59"/>
      <c r="AV415" s="59"/>
      <c r="AW415" s="59"/>
      <c r="AX415" s="59"/>
      <c r="AY415" s="59"/>
      <c r="AZ415" s="59"/>
      <c r="BA415" s="59"/>
      <c r="BB415" s="59"/>
      <c r="BC415" s="59"/>
      <c r="BD415" s="59"/>
      <c r="BE415" s="59"/>
      <c r="BF415" s="59"/>
      <c r="BG415" s="59"/>
      <c r="BH415" s="59"/>
      <c r="BI415" s="59"/>
      <c r="BJ415" s="59"/>
      <c r="BK415" s="59"/>
      <c r="BL415" s="59"/>
      <c r="BM415" s="59"/>
      <c r="BN415" s="59"/>
      <c r="BO415" s="59"/>
      <c r="BP415" s="59"/>
      <c r="BQ415" s="59"/>
      <c r="BR415" s="59"/>
      <c r="BS415" s="59"/>
      <c r="BT415" s="59"/>
      <c r="BU415" s="59"/>
      <c r="BV415" s="59"/>
      <c r="BW415" s="59"/>
      <c r="BX415" s="59"/>
      <c r="BY415" s="59"/>
      <c r="BZ415" s="59"/>
      <c r="CA415" s="59"/>
      <c r="CB415" s="59"/>
      <c r="CC415" s="59"/>
      <c r="CD415" s="59"/>
      <c r="CE415" s="59"/>
      <c r="CF415" s="59"/>
      <c r="CG415" s="59"/>
      <c r="CH415" s="59"/>
      <c r="CI415" s="59"/>
      <c r="CJ415" s="59"/>
      <c r="CK415" s="59"/>
      <c r="CL415" s="59"/>
      <c r="CM415" s="59"/>
      <c r="CN415" s="59"/>
      <c r="CO415" s="59"/>
      <c r="CP415" s="59"/>
      <c r="CQ415" s="59"/>
      <c r="CR415" s="59"/>
      <c r="CS415" s="59"/>
      <c r="CT415" s="59"/>
      <c r="CU415" s="59"/>
      <c r="CV415" s="59"/>
      <c r="CW415" s="59"/>
      <c r="CX415" s="59"/>
      <c r="CY415" s="59"/>
      <c r="CZ415" s="59"/>
      <c r="DA415" s="59"/>
      <c r="DB415" s="59"/>
      <c r="DC415" s="59"/>
      <c r="DD415" s="59"/>
      <c r="DE415" s="59"/>
      <c r="DF415" s="59"/>
      <c r="DG415" s="59"/>
    </row>
    <row r="416" spans="1:111" ht="11.2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  <c r="AJ416" s="59"/>
      <c r="AK416" s="59"/>
      <c r="AL416" s="59"/>
      <c r="AM416" s="59"/>
      <c r="AN416" s="59"/>
      <c r="AO416" s="59"/>
      <c r="AP416" s="59"/>
      <c r="AQ416" s="59"/>
      <c r="AR416" s="59"/>
      <c r="AS416" s="59"/>
      <c r="AT416" s="59"/>
      <c r="AU416" s="59"/>
      <c r="AV416" s="59"/>
      <c r="AW416" s="59"/>
      <c r="AX416" s="59"/>
      <c r="AY416" s="59"/>
      <c r="AZ416" s="59"/>
      <c r="BA416" s="59"/>
      <c r="BB416" s="59"/>
      <c r="BC416" s="59"/>
      <c r="BD416" s="59"/>
      <c r="BE416" s="59"/>
      <c r="BF416" s="59"/>
      <c r="BG416" s="59"/>
      <c r="BH416" s="59"/>
      <c r="BI416" s="59"/>
      <c r="BJ416" s="59"/>
      <c r="BK416" s="59"/>
      <c r="BL416" s="59"/>
      <c r="BM416" s="59"/>
      <c r="BN416" s="59"/>
      <c r="BO416" s="59"/>
      <c r="BP416" s="59"/>
      <c r="BQ416" s="59"/>
      <c r="BR416" s="59"/>
      <c r="BS416" s="59"/>
      <c r="BT416" s="59"/>
      <c r="BU416" s="59"/>
      <c r="BV416" s="59"/>
      <c r="BW416" s="59"/>
      <c r="BX416" s="59"/>
      <c r="BY416" s="59"/>
      <c r="BZ416" s="59"/>
      <c r="CA416" s="59"/>
      <c r="CB416" s="59"/>
      <c r="CC416" s="59"/>
      <c r="CD416" s="59"/>
      <c r="CE416" s="59"/>
      <c r="CF416" s="59"/>
      <c r="CG416" s="59"/>
      <c r="CH416" s="59"/>
      <c r="CI416" s="59"/>
      <c r="CJ416" s="59"/>
      <c r="CK416" s="59"/>
      <c r="CL416" s="59"/>
      <c r="CM416" s="59"/>
      <c r="CN416" s="59"/>
      <c r="CO416" s="59"/>
      <c r="CP416" s="59"/>
      <c r="CQ416" s="59"/>
      <c r="CR416" s="59"/>
      <c r="CS416" s="59"/>
      <c r="CT416" s="59"/>
      <c r="CU416" s="59"/>
      <c r="CV416" s="59"/>
      <c r="CW416" s="59"/>
      <c r="CX416" s="59"/>
      <c r="CY416" s="59"/>
      <c r="CZ416" s="59"/>
      <c r="DA416" s="59"/>
      <c r="DB416" s="59"/>
      <c r="DC416" s="59"/>
      <c r="DD416" s="59"/>
      <c r="DE416" s="59"/>
      <c r="DF416" s="59"/>
      <c r="DG416" s="59"/>
    </row>
    <row r="417" spans="1:111" ht="11.2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9"/>
      <c r="AW417" s="59"/>
      <c r="AX417" s="59"/>
      <c r="AY417" s="59"/>
      <c r="AZ417" s="59"/>
      <c r="BA417" s="59"/>
      <c r="BB417" s="59"/>
      <c r="BC417" s="59"/>
      <c r="BD417" s="59"/>
      <c r="BE417" s="59"/>
      <c r="BF417" s="59"/>
      <c r="BG417" s="59"/>
      <c r="BH417" s="59"/>
      <c r="BI417" s="59"/>
      <c r="BJ417" s="59"/>
      <c r="BK417" s="59"/>
      <c r="BL417" s="59"/>
      <c r="BM417" s="59"/>
      <c r="BN417" s="59"/>
      <c r="BO417" s="59"/>
      <c r="BP417" s="59"/>
      <c r="BQ417" s="59"/>
      <c r="BR417" s="59"/>
      <c r="BS417" s="59"/>
      <c r="BT417" s="59"/>
      <c r="BU417" s="59"/>
      <c r="BV417" s="59"/>
      <c r="BW417" s="59"/>
      <c r="BX417" s="59"/>
      <c r="BY417" s="59"/>
      <c r="BZ417" s="59"/>
      <c r="CA417" s="59"/>
      <c r="CB417" s="59"/>
      <c r="CC417" s="59"/>
      <c r="CD417" s="59"/>
      <c r="CE417" s="59"/>
      <c r="CF417" s="59"/>
      <c r="CG417" s="59"/>
      <c r="CH417" s="59"/>
      <c r="CI417" s="59"/>
      <c r="CJ417" s="59"/>
      <c r="CK417" s="59"/>
      <c r="CL417" s="59"/>
      <c r="CM417" s="59"/>
      <c r="CN417" s="59"/>
      <c r="CO417" s="59"/>
      <c r="CP417" s="59"/>
      <c r="CQ417" s="59"/>
      <c r="CR417" s="59"/>
      <c r="CS417" s="59"/>
      <c r="CT417" s="59"/>
      <c r="CU417" s="59"/>
      <c r="CV417" s="59"/>
      <c r="CW417" s="59"/>
      <c r="CX417" s="59"/>
      <c r="CY417" s="59"/>
      <c r="CZ417" s="59"/>
      <c r="DA417" s="59"/>
      <c r="DB417" s="59"/>
      <c r="DC417" s="59"/>
      <c r="DD417" s="59"/>
      <c r="DE417" s="59"/>
      <c r="DF417" s="59"/>
      <c r="DG417" s="59"/>
    </row>
    <row r="418" spans="1:111" ht="11.2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9"/>
      <c r="AW418" s="59"/>
      <c r="AX418" s="59"/>
      <c r="AY418" s="59"/>
      <c r="AZ418" s="59"/>
      <c r="BA418" s="59"/>
      <c r="BB418" s="59"/>
      <c r="BC418" s="59"/>
      <c r="BD418" s="59"/>
      <c r="BE418" s="59"/>
      <c r="BF418" s="59"/>
      <c r="BG418" s="59"/>
      <c r="BH418" s="59"/>
      <c r="BI418" s="59"/>
      <c r="BJ418" s="59"/>
      <c r="BK418" s="59"/>
      <c r="BL418" s="59"/>
      <c r="BM418" s="59"/>
      <c r="BN418" s="59"/>
      <c r="BO418" s="59"/>
      <c r="BP418" s="59"/>
      <c r="BQ418" s="59"/>
      <c r="BR418" s="59"/>
      <c r="BS418" s="59"/>
      <c r="BT418" s="59"/>
      <c r="BU418" s="59"/>
      <c r="BV418" s="59"/>
      <c r="BW418" s="59"/>
      <c r="BX418" s="59"/>
      <c r="BY418" s="59"/>
      <c r="BZ418" s="59"/>
      <c r="CA418" s="59"/>
      <c r="CB418" s="59"/>
      <c r="CC418" s="59"/>
      <c r="CD418" s="59"/>
      <c r="CE418" s="59"/>
      <c r="CF418" s="59"/>
      <c r="CG418" s="59"/>
      <c r="CH418" s="59"/>
      <c r="CI418" s="59"/>
      <c r="CJ418" s="59"/>
      <c r="CK418" s="59"/>
      <c r="CL418" s="59"/>
      <c r="CM418" s="59"/>
      <c r="CN418" s="59"/>
      <c r="CO418" s="59"/>
      <c r="CP418" s="59"/>
      <c r="CQ418" s="59"/>
      <c r="CR418" s="59"/>
      <c r="CS418" s="59"/>
      <c r="CT418" s="59"/>
      <c r="CU418" s="59"/>
      <c r="CV418" s="59"/>
      <c r="CW418" s="59"/>
      <c r="CX418" s="59"/>
      <c r="CY418" s="59"/>
      <c r="CZ418" s="59"/>
      <c r="DA418" s="59"/>
      <c r="DB418" s="59"/>
      <c r="DC418" s="59"/>
      <c r="DD418" s="59"/>
      <c r="DE418" s="59"/>
      <c r="DF418" s="59"/>
      <c r="DG418" s="59"/>
    </row>
    <row r="419" spans="1:111" ht="11.2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/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59"/>
      <c r="CF419" s="59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</row>
    <row r="420" spans="1:111" ht="11.2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9"/>
      <c r="AW420" s="59"/>
      <c r="AX420" s="59"/>
      <c r="AY420" s="59"/>
      <c r="AZ420" s="59"/>
      <c r="BA420" s="59"/>
      <c r="BB420" s="59"/>
      <c r="BC420" s="59"/>
      <c r="BD420" s="59"/>
      <c r="BE420" s="59"/>
      <c r="BF420" s="59"/>
      <c r="BG420" s="59"/>
      <c r="BH420" s="59"/>
      <c r="BI420" s="59"/>
      <c r="BJ420" s="59"/>
      <c r="BK420" s="59"/>
      <c r="BL420" s="59"/>
      <c r="BM420" s="59"/>
      <c r="BN420" s="59"/>
      <c r="BO420" s="59"/>
      <c r="BP420" s="59"/>
      <c r="BQ420" s="59"/>
      <c r="BR420" s="59"/>
      <c r="BS420" s="59"/>
      <c r="BT420" s="59"/>
      <c r="BU420" s="59"/>
      <c r="BV420" s="59"/>
      <c r="BW420" s="59"/>
      <c r="BX420" s="59"/>
      <c r="BY420" s="59"/>
      <c r="BZ420" s="59"/>
      <c r="CA420" s="59"/>
      <c r="CB420" s="59"/>
      <c r="CC420" s="59"/>
      <c r="CD420" s="59"/>
      <c r="CE420" s="59"/>
      <c r="CF420" s="59"/>
      <c r="CG420" s="59"/>
      <c r="CH420" s="59"/>
      <c r="CI420" s="59"/>
      <c r="CJ420" s="59"/>
      <c r="CK420" s="59"/>
      <c r="CL420" s="59"/>
      <c r="CM420" s="59"/>
      <c r="CN420" s="59"/>
      <c r="CO420" s="59"/>
      <c r="CP420" s="59"/>
      <c r="CQ420" s="59"/>
      <c r="CR420" s="59"/>
      <c r="CS420" s="59"/>
      <c r="CT420" s="59"/>
      <c r="CU420" s="59"/>
      <c r="CV420" s="59"/>
      <c r="CW420" s="59"/>
      <c r="CX420" s="59"/>
      <c r="CY420" s="59"/>
      <c r="CZ420" s="59"/>
      <c r="DA420" s="59"/>
      <c r="DB420" s="59"/>
      <c r="DC420" s="59"/>
      <c r="DD420" s="59"/>
      <c r="DE420" s="59"/>
      <c r="DF420" s="59"/>
      <c r="DG420" s="59"/>
    </row>
    <row r="421" spans="1:111" ht="11.2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9"/>
      <c r="AW421" s="59"/>
      <c r="AX421" s="59"/>
      <c r="AY421" s="59"/>
      <c r="AZ421" s="59"/>
      <c r="BA421" s="59"/>
      <c r="BB421" s="59"/>
      <c r="BC421" s="59"/>
      <c r="BD421" s="59"/>
      <c r="BE421" s="59"/>
      <c r="BF421" s="59"/>
      <c r="BG421" s="59"/>
      <c r="BH421" s="59"/>
      <c r="BI421" s="59"/>
      <c r="BJ421" s="59"/>
      <c r="BK421" s="59"/>
      <c r="BL421" s="59"/>
      <c r="BM421" s="59"/>
      <c r="BN421" s="59"/>
      <c r="BO421" s="59"/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59"/>
      <c r="CF421" s="59"/>
      <c r="CG421" s="59"/>
      <c r="CH421" s="59"/>
      <c r="CI421" s="59"/>
      <c r="CJ421" s="59"/>
      <c r="CK421" s="59"/>
      <c r="CL421" s="59"/>
      <c r="CM421" s="59"/>
      <c r="CN421" s="59"/>
      <c r="CO421" s="59"/>
      <c r="CP421" s="59"/>
      <c r="CQ421" s="59"/>
      <c r="CR421" s="59"/>
      <c r="CS421" s="59"/>
      <c r="CT421" s="59"/>
      <c r="CU421" s="59"/>
      <c r="CV421" s="59"/>
      <c r="CW421" s="59"/>
      <c r="CX421" s="59"/>
      <c r="CY421" s="59"/>
      <c r="CZ421" s="59"/>
      <c r="DA421" s="59"/>
      <c r="DB421" s="59"/>
      <c r="DC421" s="59"/>
      <c r="DD421" s="59"/>
      <c r="DE421" s="59"/>
      <c r="DF421" s="59"/>
      <c r="DG421" s="59"/>
    </row>
    <row r="422" spans="1:111" ht="11.2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59"/>
      <c r="AM422" s="59"/>
      <c r="AN422" s="59"/>
      <c r="AO422" s="59"/>
      <c r="AP422" s="59"/>
      <c r="AQ422" s="59"/>
      <c r="AR422" s="59"/>
      <c r="AS422" s="59"/>
      <c r="AT422" s="59"/>
      <c r="AU422" s="59"/>
      <c r="AV422" s="59"/>
      <c r="AW422" s="59"/>
      <c r="AX422" s="59"/>
      <c r="AY422" s="59"/>
      <c r="AZ422" s="59"/>
      <c r="BA422" s="59"/>
      <c r="BB422" s="59"/>
      <c r="BC422" s="59"/>
      <c r="BD422" s="59"/>
      <c r="BE422" s="59"/>
      <c r="BF422" s="59"/>
      <c r="BG422" s="59"/>
      <c r="BH422" s="59"/>
      <c r="BI422" s="59"/>
      <c r="BJ422" s="59"/>
      <c r="BK422" s="59"/>
      <c r="BL422" s="59"/>
      <c r="BM422" s="59"/>
      <c r="BN422" s="59"/>
      <c r="BO422" s="59"/>
      <c r="BP422" s="59"/>
      <c r="BQ422" s="59"/>
      <c r="BR422" s="59"/>
      <c r="BS422" s="59"/>
      <c r="BT422" s="59"/>
      <c r="BU422" s="59"/>
      <c r="BV422" s="59"/>
      <c r="BW422" s="59"/>
      <c r="BX422" s="59"/>
      <c r="BY422" s="59"/>
      <c r="BZ422" s="59"/>
      <c r="CA422" s="59"/>
      <c r="CB422" s="59"/>
      <c r="CC422" s="59"/>
      <c r="CD422" s="59"/>
      <c r="CE422" s="59"/>
      <c r="CF422" s="59"/>
      <c r="CG422" s="59"/>
      <c r="CH422" s="59"/>
      <c r="CI422" s="59"/>
      <c r="CJ422" s="59"/>
      <c r="CK422" s="59"/>
      <c r="CL422" s="59"/>
      <c r="CM422" s="59"/>
      <c r="CN422" s="59"/>
      <c r="CO422" s="59"/>
      <c r="CP422" s="59"/>
      <c r="CQ422" s="59"/>
      <c r="CR422" s="59"/>
      <c r="CS422" s="59"/>
      <c r="CT422" s="59"/>
      <c r="CU422" s="59"/>
      <c r="CV422" s="59"/>
      <c r="CW422" s="59"/>
      <c r="CX422" s="59"/>
      <c r="CY422" s="59"/>
      <c r="CZ422" s="59"/>
      <c r="DA422" s="59"/>
      <c r="DB422" s="59"/>
      <c r="DC422" s="59"/>
      <c r="DD422" s="59"/>
      <c r="DE422" s="59"/>
      <c r="DF422" s="59"/>
      <c r="DG422" s="59"/>
    </row>
    <row r="423" spans="1:111" ht="11.2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59"/>
      <c r="AO423" s="59"/>
      <c r="AP423" s="59"/>
      <c r="AQ423" s="59"/>
      <c r="AR423" s="59"/>
      <c r="AS423" s="59"/>
      <c r="AT423" s="59"/>
      <c r="AU423" s="59"/>
      <c r="AV423" s="59"/>
      <c r="AW423" s="59"/>
      <c r="AX423" s="59"/>
      <c r="AY423" s="59"/>
      <c r="AZ423" s="59"/>
      <c r="BA423" s="59"/>
      <c r="BB423" s="59"/>
      <c r="BC423" s="59"/>
      <c r="BD423" s="59"/>
      <c r="BE423" s="59"/>
      <c r="BF423" s="59"/>
      <c r="BG423" s="59"/>
      <c r="BH423" s="59"/>
      <c r="BI423" s="59"/>
      <c r="BJ423" s="59"/>
      <c r="BK423" s="59"/>
      <c r="BL423" s="59"/>
      <c r="BM423" s="59"/>
      <c r="BN423" s="59"/>
      <c r="BO423" s="59"/>
      <c r="BP423" s="59"/>
      <c r="BQ423" s="59"/>
      <c r="BR423" s="59"/>
      <c r="BS423" s="59"/>
      <c r="BT423" s="59"/>
      <c r="BU423" s="59"/>
      <c r="BV423" s="59"/>
      <c r="BW423" s="59"/>
      <c r="BX423" s="59"/>
      <c r="BY423" s="59"/>
      <c r="BZ423" s="59"/>
      <c r="CA423" s="59"/>
      <c r="CB423" s="59"/>
      <c r="CC423" s="59"/>
      <c r="CD423" s="59"/>
      <c r="CE423" s="59"/>
      <c r="CF423" s="59"/>
      <c r="CG423" s="59"/>
      <c r="CH423" s="59"/>
      <c r="CI423" s="59"/>
      <c r="CJ423" s="59"/>
      <c r="CK423" s="59"/>
      <c r="CL423" s="59"/>
      <c r="CM423" s="59"/>
      <c r="CN423" s="59"/>
      <c r="CO423" s="59"/>
      <c r="CP423" s="59"/>
      <c r="CQ423" s="59"/>
      <c r="CR423" s="59"/>
      <c r="CS423" s="59"/>
      <c r="CT423" s="59"/>
      <c r="CU423" s="59"/>
      <c r="CV423" s="59"/>
      <c r="CW423" s="59"/>
      <c r="CX423" s="59"/>
      <c r="CY423" s="59"/>
      <c r="CZ423" s="59"/>
      <c r="DA423" s="59"/>
      <c r="DB423" s="59"/>
      <c r="DC423" s="59"/>
      <c r="DD423" s="59"/>
      <c r="DE423" s="59"/>
      <c r="DF423" s="59"/>
      <c r="DG423" s="59"/>
    </row>
    <row r="424" spans="1:111" ht="11.2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  <c r="AJ424" s="59"/>
      <c r="AK424" s="59"/>
      <c r="AL424" s="59"/>
      <c r="AM424" s="59"/>
      <c r="AN424" s="59"/>
      <c r="AO424" s="59"/>
      <c r="AP424" s="59"/>
      <c r="AQ424" s="59"/>
      <c r="AR424" s="59"/>
      <c r="AS424" s="59"/>
      <c r="AT424" s="59"/>
      <c r="AU424" s="59"/>
      <c r="AV424" s="59"/>
      <c r="AW424" s="59"/>
      <c r="AX424" s="59"/>
      <c r="AY424" s="59"/>
      <c r="AZ424" s="59"/>
      <c r="BA424" s="59"/>
      <c r="BB424" s="59"/>
      <c r="BC424" s="59"/>
      <c r="BD424" s="59"/>
      <c r="BE424" s="59"/>
      <c r="BF424" s="59"/>
      <c r="BG424" s="59"/>
      <c r="BH424" s="59"/>
      <c r="BI424" s="59"/>
      <c r="BJ424" s="59"/>
      <c r="BK424" s="59"/>
      <c r="BL424" s="59"/>
      <c r="BM424" s="59"/>
      <c r="BN424" s="59"/>
      <c r="BO424" s="59"/>
      <c r="BP424" s="59"/>
      <c r="BQ424" s="59"/>
      <c r="BR424" s="59"/>
      <c r="BS424" s="59"/>
      <c r="BT424" s="59"/>
      <c r="BU424" s="59"/>
      <c r="BV424" s="59"/>
      <c r="BW424" s="59"/>
      <c r="BX424" s="59"/>
      <c r="BY424" s="59"/>
      <c r="BZ424" s="59"/>
      <c r="CA424" s="59"/>
      <c r="CB424" s="59"/>
      <c r="CC424" s="59"/>
      <c r="CD424" s="59"/>
      <c r="CE424" s="59"/>
      <c r="CF424" s="59"/>
      <c r="CG424" s="59"/>
      <c r="CH424" s="59"/>
      <c r="CI424" s="59"/>
      <c r="CJ424" s="59"/>
      <c r="CK424" s="59"/>
      <c r="CL424" s="59"/>
      <c r="CM424" s="59"/>
      <c r="CN424" s="59"/>
      <c r="CO424" s="59"/>
      <c r="CP424" s="59"/>
      <c r="CQ424" s="59"/>
      <c r="CR424" s="59"/>
      <c r="CS424" s="59"/>
      <c r="CT424" s="59"/>
      <c r="CU424" s="59"/>
      <c r="CV424" s="59"/>
      <c r="CW424" s="59"/>
      <c r="CX424" s="59"/>
      <c r="CY424" s="59"/>
      <c r="CZ424" s="59"/>
      <c r="DA424" s="59"/>
      <c r="DB424" s="59"/>
      <c r="DC424" s="59"/>
      <c r="DD424" s="59"/>
      <c r="DE424" s="59"/>
      <c r="DF424" s="59"/>
      <c r="DG424" s="59"/>
    </row>
    <row r="425" spans="1:111" ht="11.2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  <c r="AJ425" s="59"/>
      <c r="AK425" s="59"/>
      <c r="AL425" s="59"/>
      <c r="AM425" s="59"/>
      <c r="AN425" s="59"/>
      <c r="AO425" s="59"/>
      <c r="AP425" s="59"/>
      <c r="AQ425" s="59"/>
      <c r="AR425" s="59"/>
      <c r="AS425" s="59"/>
      <c r="AT425" s="59"/>
      <c r="AU425" s="59"/>
      <c r="AV425" s="59"/>
      <c r="AW425" s="59"/>
      <c r="AX425" s="59"/>
      <c r="AY425" s="59"/>
      <c r="AZ425" s="59"/>
      <c r="BA425" s="59"/>
      <c r="BB425" s="59"/>
      <c r="BC425" s="59"/>
      <c r="BD425" s="59"/>
      <c r="BE425" s="59"/>
      <c r="BF425" s="59"/>
      <c r="BG425" s="59"/>
      <c r="BH425" s="59"/>
      <c r="BI425" s="59"/>
      <c r="BJ425" s="59"/>
      <c r="BK425" s="59"/>
      <c r="BL425" s="59"/>
      <c r="BM425" s="59"/>
      <c r="BN425" s="59"/>
      <c r="BO425" s="59"/>
      <c r="BP425" s="59"/>
      <c r="BQ425" s="59"/>
      <c r="BR425" s="59"/>
      <c r="BS425" s="59"/>
      <c r="BT425" s="59"/>
      <c r="BU425" s="59"/>
      <c r="BV425" s="59"/>
      <c r="BW425" s="59"/>
      <c r="BX425" s="59"/>
      <c r="BY425" s="59"/>
      <c r="BZ425" s="59"/>
      <c r="CA425" s="59"/>
      <c r="CB425" s="59"/>
      <c r="CC425" s="59"/>
      <c r="CD425" s="59"/>
      <c r="CE425" s="59"/>
      <c r="CF425" s="59"/>
      <c r="CG425" s="59"/>
      <c r="CH425" s="59"/>
      <c r="CI425" s="59"/>
      <c r="CJ425" s="59"/>
      <c r="CK425" s="59"/>
      <c r="CL425" s="59"/>
      <c r="CM425" s="59"/>
      <c r="CN425" s="59"/>
      <c r="CO425" s="59"/>
      <c r="CP425" s="59"/>
      <c r="CQ425" s="59"/>
      <c r="CR425" s="59"/>
      <c r="CS425" s="59"/>
      <c r="CT425" s="59"/>
      <c r="CU425" s="59"/>
      <c r="CV425" s="59"/>
      <c r="CW425" s="59"/>
      <c r="CX425" s="59"/>
      <c r="CY425" s="59"/>
      <c r="CZ425" s="59"/>
      <c r="DA425" s="59"/>
      <c r="DB425" s="59"/>
      <c r="DC425" s="59"/>
      <c r="DD425" s="59"/>
      <c r="DE425" s="59"/>
      <c r="DF425" s="59"/>
      <c r="DG425" s="59"/>
    </row>
    <row r="426" spans="1:111" ht="11.2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  <c r="AJ426" s="59"/>
      <c r="AK426" s="59"/>
      <c r="AL426" s="59"/>
      <c r="AM426" s="59"/>
      <c r="AN426" s="59"/>
      <c r="AO426" s="59"/>
      <c r="AP426" s="59"/>
      <c r="AQ426" s="59"/>
      <c r="AR426" s="59"/>
      <c r="AS426" s="59"/>
      <c r="AT426" s="59"/>
      <c r="AU426" s="59"/>
      <c r="AV426" s="59"/>
      <c r="AW426" s="59"/>
      <c r="AX426" s="59"/>
      <c r="AY426" s="59"/>
      <c r="AZ426" s="59"/>
      <c r="BA426" s="59"/>
      <c r="BB426" s="59"/>
      <c r="BC426" s="59"/>
      <c r="BD426" s="59"/>
      <c r="BE426" s="59"/>
      <c r="BF426" s="59"/>
      <c r="BG426" s="59"/>
      <c r="BH426" s="59"/>
      <c r="BI426" s="59"/>
      <c r="BJ426" s="59"/>
      <c r="BK426" s="59"/>
      <c r="BL426" s="59"/>
      <c r="BM426" s="59"/>
      <c r="BN426" s="59"/>
      <c r="BO426" s="59"/>
      <c r="BP426" s="59"/>
      <c r="BQ426" s="59"/>
      <c r="BR426" s="59"/>
      <c r="BS426" s="59"/>
      <c r="BT426" s="59"/>
      <c r="BU426" s="59"/>
      <c r="BV426" s="59"/>
      <c r="BW426" s="59"/>
      <c r="BX426" s="59"/>
      <c r="BY426" s="59"/>
      <c r="BZ426" s="59"/>
      <c r="CA426" s="59"/>
      <c r="CB426" s="59"/>
      <c r="CC426" s="59"/>
      <c r="CD426" s="59"/>
      <c r="CE426" s="59"/>
      <c r="CF426" s="59"/>
      <c r="CG426" s="59"/>
      <c r="CH426" s="59"/>
      <c r="CI426" s="59"/>
      <c r="CJ426" s="59"/>
      <c r="CK426" s="59"/>
      <c r="CL426" s="59"/>
      <c r="CM426" s="59"/>
      <c r="CN426" s="59"/>
      <c r="CO426" s="59"/>
      <c r="CP426" s="59"/>
      <c r="CQ426" s="59"/>
      <c r="CR426" s="59"/>
      <c r="CS426" s="59"/>
      <c r="CT426" s="59"/>
      <c r="CU426" s="59"/>
      <c r="CV426" s="59"/>
      <c r="CW426" s="59"/>
      <c r="CX426" s="59"/>
      <c r="CY426" s="59"/>
      <c r="CZ426" s="59"/>
      <c r="DA426" s="59"/>
      <c r="DB426" s="59"/>
      <c r="DC426" s="59"/>
      <c r="DD426" s="59"/>
      <c r="DE426" s="59"/>
      <c r="DF426" s="59"/>
      <c r="DG426" s="59"/>
    </row>
    <row r="427" spans="1:111" ht="11.2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  <c r="AJ427" s="59"/>
      <c r="AK427" s="59"/>
      <c r="AL427" s="59"/>
      <c r="AM427" s="59"/>
      <c r="AN427" s="59"/>
      <c r="AO427" s="59"/>
      <c r="AP427" s="59"/>
      <c r="AQ427" s="59"/>
      <c r="AR427" s="59"/>
      <c r="AS427" s="59"/>
      <c r="AT427" s="59"/>
      <c r="AU427" s="59"/>
      <c r="AV427" s="59"/>
      <c r="AW427" s="59"/>
      <c r="AX427" s="59"/>
      <c r="AY427" s="59"/>
      <c r="AZ427" s="59"/>
      <c r="BA427" s="59"/>
      <c r="BB427" s="59"/>
      <c r="BC427" s="59"/>
      <c r="BD427" s="59"/>
      <c r="BE427" s="59"/>
      <c r="BF427" s="59"/>
      <c r="BG427" s="59"/>
      <c r="BH427" s="59"/>
      <c r="BI427" s="59"/>
      <c r="BJ427" s="59"/>
      <c r="BK427" s="59"/>
      <c r="BL427" s="59"/>
      <c r="BM427" s="59"/>
      <c r="BN427" s="59"/>
      <c r="BO427" s="59"/>
      <c r="BP427" s="59"/>
      <c r="BQ427" s="59"/>
      <c r="BR427" s="59"/>
      <c r="BS427" s="59"/>
      <c r="BT427" s="59"/>
      <c r="BU427" s="59"/>
      <c r="BV427" s="59"/>
      <c r="BW427" s="59"/>
      <c r="BX427" s="59"/>
      <c r="BY427" s="59"/>
      <c r="BZ427" s="59"/>
      <c r="CA427" s="59"/>
      <c r="CB427" s="59"/>
      <c r="CC427" s="59"/>
      <c r="CD427" s="59"/>
      <c r="CE427" s="59"/>
      <c r="CF427" s="59"/>
      <c r="CG427" s="59"/>
      <c r="CH427" s="59"/>
      <c r="CI427" s="59"/>
      <c r="CJ427" s="59"/>
      <c r="CK427" s="59"/>
      <c r="CL427" s="59"/>
      <c r="CM427" s="59"/>
      <c r="CN427" s="59"/>
      <c r="CO427" s="59"/>
      <c r="CP427" s="59"/>
      <c r="CQ427" s="59"/>
      <c r="CR427" s="59"/>
      <c r="CS427" s="59"/>
      <c r="CT427" s="59"/>
      <c r="CU427" s="59"/>
      <c r="CV427" s="59"/>
      <c r="CW427" s="59"/>
      <c r="CX427" s="59"/>
      <c r="CY427" s="59"/>
      <c r="CZ427" s="59"/>
      <c r="DA427" s="59"/>
      <c r="DB427" s="59"/>
      <c r="DC427" s="59"/>
      <c r="DD427" s="59"/>
      <c r="DE427" s="59"/>
      <c r="DF427" s="59"/>
      <c r="DG427" s="59"/>
    </row>
    <row r="428" spans="1:111" ht="11.2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  <c r="AJ428" s="59"/>
      <c r="AK428" s="59"/>
      <c r="AL428" s="59"/>
      <c r="AM428" s="59"/>
      <c r="AN428" s="59"/>
      <c r="AO428" s="59"/>
      <c r="AP428" s="59"/>
      <c r="AQ428" s="59"/>
      <c r="AR428" s="59"/>
      <c r="AS428" s="59"/>
      <c r="AT428" s="59"/>
      <c r="AU428" s="59"/>
      <c r="AV428" s="59"/>
      <c r="AW428" s="59"/>
      <c r="AX428" s="59"/>
      <c r="AY428" s="59"/>
      <c r="AZ428" s="59"/>
      <c r="BA428" s="59"/>
      <c r="BB428" s="59"/>
      <c r="BC428" s="59"/>
      <c r="BD428" s="59"/>
      <c r="BE428" s="59"/>
      <c r="BF428" s="59"/>
      <c r="BG428" s="59"/>
      <c r="BH428" s="59"/>
      <c r="BI428" s="59"/>
      <c r="BJ428" s="59"/>
      <c r="BK428" s="59"/>
      <c r="BL428" s="59"/>
      <c r="BM428" s="59"/>
      <c r="BN428" s="59"/>
      <c r="BO428" s="59"/>
      <c r="BP428" s="59"/>
      <c r="BQ428" s="59"/>
      <c r="BR428" s="59"/>
      <c r="BS428" s="59"/>
      <c r="BT428" s="59"/>
      <c r="BU428" s="59"/>
      <c r="BV428" s="59"/>
      <c r="BW428" s="59"/>
      <c r="BX428" s="59"/>
      <c r="BY428" s="59"/>
      <c r="BZ428" s="59"/>
      <c r="CA428" s="59"/>
      <c r="CB428" s="59"/>
      <c r="CC428" s="59"/>
      <c r="CD428" s="59"/>
      <c r="CE428" s="59"/>
      <c r="CF428" s="59"/>
      <c r="CG428" s="59"/>
      <c r="CH428" s="59"/>
      <c r="CI428" s="59"/>
      <c r="CJ428" s="59"/>
      <c r="CK428" s="59"/>
      <c r="CL428" s="59"/>
      <c r="CM428" s="59"/>
      <c r="CN428" s="59"/>
      <c r="CO428" s="59"/>
      <c r="CP428" s="59"/>
      <c r="CQ428" s="59"/>
      <c r="CR428" s="59"/>
      <c r="CS428" s="59"/>
      <c r="CT428" s="59"/>
      <c r="CU428" s="59"/>
      <c r="CV428" s="59"/>
      <c r="CW428" s="59"/>
      <c r="CX428" s="59"/>
      <c r="CY428" s="59"/>
      <c r="CZ428" s="59"/>
      <c r="DA428" s="59"/>
      <c r="DB428" s="59"/>
      <c r="DC428" s="59"/>
      <c r="DD428" s="59"/>
      <c r="DE428" s="59"/>
      <c r="DF428" s="59"/>
      <c r="DG428" s="59"/>
    </row>
    <row r="429" spans="1:111" ht="11.2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9"/>
      <c r="AW429" s="59"/>
      <c r="AX429" s="59"/>
      <c r="AY429" s="59"/>
      <c r="AZ429" s="59"/>
      <c r="BA429" s="59"/>
      <c r="BB429" s="59"/>
      <c r="BC429" s="59"/>
      <c r="BD429" s="59"/>
      <c r="BE429" s="59"/>
      <c r="BF429" s="59"/>
      <c r="BG429" s="59"/>
      <c r="BH429" s="59"/>
      <c r="BI429" s="59"/>
      <c r="BJ429" s="59"/>
      <c r="BK429" s="59"/>
      <c r="BL429" s="59"/>
      <c r="BM429" s="59"/>
      <c r="BN429" s="59"/>
      <c r="BO429" s="59"/>
      <c r="BP429" s="59"/>
      <c r="BQ429" s="59"/>
      <c r="BR429" s="59"/>
      <c r="BS429" s="59"/>
      <c r="BT429" s="59"/>
      <c r="BU429" s="59"/>
      <c r="BV429" s="59"/>
      <c r="BW429" s="59"/>
      <c r="BX429" s="59"/>
      <c r="BY429" s="59"/>
      <c r="BZ429" s="59"/>
      <c r="CA429" s="59"/>
      <c r="CB429" s="59"/>
      <c r="CC429" s="59"/>
      <c r="CD429" s="59"/>
      <c r="CE429" s="59"/>
      <c r="CF429" s="59"/>
      <c r="CG429" s="59"/>
      <c r="CH429" s="59"/>
      <c r="CI429" s="59"/>
      <c r="CJ429" s="59"/>
      <c r="CK429" s="59"/>
      <c r="CL429" s="59"/>
      <c r="CM429" s="59"/>
      <c r="CN429" s="59"/>
      <c r="CO429" s="59"/>
      <c r="CP429" s="59"/>
      <c r="CQ429" s="59"/>
      <c r="CR429" s="59"/>
      <c r="CS429" s="59"/>
      <c r="CT429" s="59"/>
      <c r="CU429" s="59"/>
      <c r="CV429" s="59"/>
      <c r="CW429" s="59"/>
      <c r="CX429" s="59"/>
      <c r="CY429" s="59"/>
      <c r="CZ429" s="59"/>
      <c r="DA429" s="59"/>
      <c r="DB429" s="59"/>
      <c r="DC429" s="59"/>
      <c r="DD429" s="59"/>
      <c r="DE429" s="59"/>
      <c r="DF429" s="59"/>
      <c r="DG429" s="59"/>
    </row>
    <row r="430" spans="1:111" ht="11.2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  <c r="AI430" s="59"/>
      <c r="AJ430" s="59"/>
      <c r="AK430" s="59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9"/>
      <c r="AW430" s="59"/>
      <c r="AX430" s="59"/>
      <c r="AY430" s="59"/>
      <c r="AZ430" s="59"/>
      <c r="BA430" s="59"/>
      <c r="BB430" s="59"/>
      <c r="BC430" s="59"/>
      <c r="BD430" s="59"/>
      <c r="BE430" s="59"/>
      <c r="BF430" s="59"/>
      <c r="BG430" s="59"/>
      <c r="BH430" s="59"/>
      <c r="BI430" s="59"/>
      <c r="BJ430" s="59"/>
      <c r="BK430" s="59"/>
      <c r="BL430" s="59"/>
      <c r="BM430" s="59"/>
      <c r="BN430" s="59"/>
      <c r="BO430" s="59"/>
      <c r="BP430" s="59"/>
      <c r="BQ430" s="59"/>
      <c r="BR430" s="59"/>
      <c r="BS430" s="59"/>
      <c r="BT430" s="59"/>
      <c r="BU430" s="59"/>
      <c r="BV430" s="59"/>
      <c r="BW430" s="59"/>
      <c r="BX430" s="59"/>
      <c r="BY430" s="59"/>
      <c r="BZ430" s="59"/>
      <c r="CA430" s="59"/>
      <c r="CB430" s="59"/>
      <c r="CC430" s="59"/>
      <c r="CD430" s="59"/>
      <c r="CE430" s="59"/>
      <c r="CF430" s="59"/>
      <c r="CG430" s="59"/>
      <c r="CH430" s="59"/>
      <c r="CI430" s="59"/>
      <c r="CJ430" s="59"/>
      <c r="CK430" s="59"/>
      <c r="CL430" s="59"/>
      <c r="CM430" s="59"/>
      <c r="CN430" s="59"/>
      <c r="CO430" s="59"/>
      <c r="CP430" s="59"/>
      <c r="CQ430" s="59"/>
      <c r="CR430" s="59"/>
      <c r="CS430" s="59"/>
      <c r="CT430" s="59"/>
      <c r="CU430" s="59"/>
      <c r="CV430" s="59"/>
      <c r="CW430" s="59"/>
      <c r="CX430" s="59"/>
      <c r="CY430" s="59"/>
      <c r="CZ430" s="59"/>
      <c r="DA430" s="59"/>
      <c r="DB430" s="59"/>
      <c r="DC430" s="59"/>
      <c r="DD430" s="59"/>
      <c r="DE430" s="59"/>
      <c r="DF430" s="59"/>
      <c r="DG430" s="59"/>
    </row>
    <row r="431" spans="1:111" ht="11.2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  <c r="AJ431" s="59"/>
      <c r="AK431" s="59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9"/>
      <c r="AW431" s="59"/>
      <c r="AX431" s="59"/>
      <c r="AY431" s="59"/>
      <c r="AZ431" s="59"/>
      <c r="BA431" s="59"/>
      <c r="BB431" s="59"/>
      <c r="BC431" s="59"/>
      <c r="BD431" s="59"/>
      <c r="BE431" s="59"/>
      <c r="BF431" s="59"/>
      <c r="BG431" s="59"/>
      <c r="BH431" s="59"/>
      <c r="BI431" s="59"/>
      <c r="BJ431" s="59"/>
      <c r="BK431" s="59"/>
      <c r="BL431" s="59"/>
      <c r="BM431" s="59"/>
      <c r="BN431" s="59"/>
      <c r="BO431" s="59"/>
      <c r="BP431" s="59"/>
      <c r="BQ431" s="59"/>
      <c r="BR431" s="59"/>
      <c r="BS431" s="59"/>
      <c r="BT431" s="59"/>
      <c r="BU431" s="59"/>
      <c r="BV431" s="59"/>
      <c r="BW431" s="59"/>
      <c r="BX431" s="59"/>
      <c r="BY431" s="59"/>
      <c r="BZ431" s="59"/>
      <c r="CA431" s="59"/>
      <c r="CB431" s="59"/>
      <c r="CC431" s="59"/>
      <c r="CD431" s="59"/>
      <c r="CE431" s="59"/>
      <c r="CF431" s="59"/>
      <c r="CG431" s="59"/>
      <c r="CH431" s="59"/>
      <c r="CI431" s="59"/>
      <c r="CJ431" s="59"/>
      <c r="CK431" s="59"/>
      <c r="CL431" s="59"/>
      <c r="CM431" s="59"/>
      <c r="CN431" s="59"/>
      <c r="CO431" s="59"/>
      <c r="CP431" s="59"/>
      <c r="CQ431" s="59"/>
      <c r="CR431" s="59"/>
      <c r="CS431" s="59"/>
      <c r="CT431" s="59"/>
      <c r="CU431" s="59"/>
      <c r="CV431" s="59"/>
      <c r="CW431" s="59"/>
      <c r="CX431" s="59"/>
      <c r="CY431" s="59"/>
      <c r="CZ431" s="59"/>
      <c r="DA431" s="59"/>
      <c r="DB431" s="59"/>
      <c r="DC431" s="59"/>
      <c r="DD431" s="59"/>
      <c r="DE431" s="59"/>
      <c r="DF431" s="59"/>
      <c r="DG431" s="59"/>
    </row>
    <row r="432" spans="1:111" ht="11.2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59"/>
      <c r="AO432" s="59"/>
      <c r="AP432" s="59"/>
      <c r="AQ432" s="59"/>
      <c r="AR432" s="59"/>
      <c r="AS432" s="59"/>
      <c r="AT432" s="59"/>
      <c r="AU432" s="59"/>
      <c r="AV432" s="59"/>
      <c r="AW432" s="59"/>
      <c r="AX432" s="59"/>
      <c r="AY432" s="59"/>
      <c r="AZ432" s="59"/>
      <c r="BA432" s="59"/>
      <c r="BB432" s="59"/>
      <c r="BC432" s="59"/>
      <c r="BD432" s="59"/>
      <c r="BE432" s="59"/>
      <c r="BF432" s="59"/>
      <c r="BG432" s="59"/>
      <c r="BH432" s="59"/>
      <c r="BI432" s="59"/>
      <c r="BJ432" s="59"/>
      <c r="BK432" s="59"/>
      <c r="BL432" s="59"/>
      <c r="BM432" s="59"/>
      <c r="BN432" s="59"/>
      <c r="BO432" s="59"/>
      <c r="BP432" s="59"/>
      <c r="BQ432" s="59"/>
      <c r="BR432" s="59"/>
      <c r="BS432" s="59"/>
      <c r="BT432" s="59"/>
      <c r="BU432" s="59"/>
      <c r="BV432" s="59"/>
      <c r="BW432" s="59"/>
      <c r="BX432" s="59"/>
      <c r="BY432" s="59"/>
      <c r="BZ432" s="59"/>
      <c r="CA432" s="59"/>
      <c r="CB432" s="59"/>
      <c r="CC432" s="59"/>
      <c r="CD432" s="59"/>
      <c r="CE432" s="59"/>
      <c r="CF432" s="59"/>
      <c r="CG432" s="59"/>
      <c r="CH432" s="59"/>
      <c r="CI432" s="59"/>
      <c r="CJ432" s="59"/>
      <c r="CK432" s="59"/>
      <c r="CL432" s="59"/>
      <c r="CM432" s="59"/>
      <c r="CN432" s="59"/>
      <c r="CO432" s="59"/>
      <c r="CP432" s="59"/>
      <c r="CQ432" s="59"/>
      <c r="CR432" s="59"/>
      <c r="CS432" s="59"/>
      <c r="CT432" s="59"/>
      <c r="CU432" s="59"/>
      <c r="CV432" s="59"/>
      <c r="CW432" s="59"/>
      <c r="CX432" s="59"/>
      <c r="CY432" s="59"/>
      <c r="CZ432" s="59"/>
      <c r="DA432" s="59"/>
      <c r="DB432" s="59"/>
      <c r="DC432" s="59"/>
      <c r="DD432" s="59"/>
      <c r="DE432" s="59"/>
      <c r="DF432" s="59"/>
      <c r="DG432" s="59"/>
    </row>
    <row r="433" spans="1:111" ht="11.2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  <c r="AJ433" s="59"/>
      <c r="AK433" s="59"/>
      <c r="AL433" s="59"/>
      <c r="AM433" s="59"/>
      <c r="AN433" s="59"/>
      <c r="AO433" s="59"/>
      <c r="AP433" s="59"/>
      <c r="AQ433" s="59"/>
      <c r="AR433" s="59"/>
      <c r="AS433" s="59"/>
      <c r="AT433" s="59"/>
      <c r="AU433" s="59"/>
      <c r="AV433" s="59"/>
      <c r="AW433" s="59"/>
      <c r="AX433" s="59"/>
      <c r="AY433" s="59"/>
      <c r="AZ433" s="59"/>
      <c r="BA433" s="59"/>
      <c r="BB433" s="59"/>
      <c r="BC433" s="59"/>
      <c r="BD433" s="59"/>
      <c r="BE433" s="59"/>
      <c r="BF433" s="59"/>
      <c r="BG433" s="59"/>
      <c r="BH433" s="59"/>
      <c r="BI433" s="59"/>
      <c r="BJ433" s="59"/>
      <c r="BK433" s="59"/>
      <c r="BL433" s="59"/>
      <c r="BM433" s="59"/>
      <c r="BN433" s="59"/>
      <c r="BO433" s="59"/>
      <c r="BP433" s="59"/>
      <c r="BQ433" s="59"/>
      <c r="BR433" s="59"/>
      <c r="BS433" s="59"/>
      <c r="BT433" s="59"/>
      <c r="BU433" s="59"/>
      <c r="BV433" s="59"/>
      <c r="BW433" s="59"/>
      <c r="BX433" s="59"/>
      <c r="BY433" s="59"/>
      <c r="BZ433" s="59"/>
      <c r="CA433" s="59"/>
      <c r="CB433" s="59"/>
      <c r="CC433" s="59"/>
      <c r="CD433" s="59"/>
      <c r="CE433" s="59"/>
      <c r="CF433" s="59"/>
      <c r="CG433" s="59"/>
      <c r="CH433" s="59"/>
      <c r="CI433" s="59"/>
      <c r="CJ433" s="59"/>
      <c r="CK433" s="59"/>
      <c r="CL433" s="59"/>
      <c r="CM433" s="59"/>
      <c r="CN433" s="59"/>
      <c r="CO433" s="59"/>
      <c r="CP433" s="59"/>
      <c r="CQ433" s="59"/>
      <c r="CR433" s="59"/>
      <c r="CS433" s="59"/>
      <c r="CT433" s="59"/>
      <c r="CU433" s="59"/>
      <c r="CV433" s="59"/>
      <c r="CW433" s="59"/>
      <c r="CX433" s="59"/>
      <c r="CY433" s="59"/>
      <c r="CZ433" s="59"/>
      <c r="DA433" s="59"/>
      <c r="DB433" s="59"/>
      <c r="DC433" s="59"/>
      <c r="DD433" s="59"/>
      <c r="DE433" s="59"/>
      <c r="DF433" s="59"/>
      <c r="DG433" s="59"/>
    </row>
    <row r="434" spans="1:111" ht="11.2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  <c r="AJ434" s="59"/>
      <c r="AK434" s="59"/>
      <c r="AL434" s="59"/>
      <c r="AM434" s="59"/>
      <c r="AN434" s="59"/>
      <c r="AO434" s="59"/>
      <c r="AP434" s="59"/>
      <c r="AQ434" s="59"/>
      <c r="AR434" s="59"/>
      <c r="AS434" s="59"/>
      <c r="AT434" s="59"/>
      <c r="AU434" s="59"/>
      <c r="AV434" s="59"/>
      <c r="AW434" s="59"/>
      <c r="AX434" s="59"/>
      <c r="AY434" s="59"/>
      <c r="AZ434" s="59"/>
      <c r="BA434" s="59"/>
      <c r="BB434" s="59"/>
      <c r="BC434" s="59"/>
      <c r="BD434" s="59"/>
      <c r="BE434" s="59"/>
      <c r="BF434" s="59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59"/>
      <c r="BU434" s="59"/>
      <c r="BV434" s="59"/>
      <c r="BW434" s="59"/>
      <c r="BX434" s="59"/>
      <c r="BY434" s="59"/>
      <c r="BZ434" s="59"/>
      <c r="CA434" s="59"/>
      <c r="CB434" s="59"/>
      <c r="CC434" s="59"/>
      <c r="CD434" s="59"/>
      <c r="CE434" s="59"/>
      <c r="CF434" s="59"/>
      <c r="CG434" s="59"/>
      <c r="CH434" s="59"/>
      <c r="CI434" s="59"/>
      <c r="CJ434" s="59"/>
      <c r="CK434" s="59"/>
      <c r="CL434" s="59"/>
      <c r="CM434" s="59"/>
      <c r="CN434" s="59"/>
      <c r="CO434" s="59"/>
      <c r="CP434" s="59"/>
      <c r="CQ434" s="59"/>
      <c r="CR434" s="59"/>
      <c r="CS434" s="59"/>
      <c r="CT434" s="59"/>
      <c r="CU434" s="59"/>
      <c r="CV434" s="59"/>
      <c r="CW434" s="59"/>
      <c r="CX434" s="59"/>
      <c r="CY434" s="59"/>
      <c r="CZ434" s="59"/>
      <c r="DA434" s="59"/>
      <c r="DB434" s="59"/>
      <c r="DC434" s="59"/>
      <c r="DD434" s="59"/>
      <c r="DE434" s="59"/>
      <c r="DF434" s="59"/>
      <c r="DG434" s="59"/>
    </row>
    <row r="435" spans="1:111" ht="11.2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59"/>
      <c r="AO435" s="59"/>
      <c r="AP435" s="59"/>
      <c r="AQ435" s="59"/>
      <c r="AR435" s="59"/>
      <c r="AS435" s="59"/>
      <c r="AT435" s="59"/>
      <c r="AU435" s="59"/>
      <c r="AV435" s="59"/>
      <c r="AW435" s="59"/>
      <c r="AX435" s="59"/>
      <c r="AY435" s="59"/>
      <c r="AZ435" s="59"/>
      <c r="BA435" s="59"/>
      <c r="BB435" s="59"/>
      <c r="BC435" s="59"/>
      <c r="BD435" s="59"/>
      <c r="BE435" s="59"/>
      <c r="BF435" s="59"/>
      <c r="BG435" s="59"/>
      <c r="BH435" s="59"/>
      <c r="BI435" s="59"/>
      <c r="BJ435" s="59"/>
      <c r="BK435" s="59"/>
      <c r="BL435" s="59"/>
      <c r="BM435" s="59"/>
      <c r="BN435" s="59"/>
      <c r="BO435" s="59"/>
      <c r="BP435" s="59"/>
      <c r="BQ435" s="59"/>
      <c r="BR435" s="59"/>
      <c r="BS435" s="59"/>
      <c r="BT435" s="59"/>
      <c r="BU435" s="59"/>
      <c r="BV435" s="59"/>
      <c r="BW435" s="59"/>
      <c r="BX435" s="59"/>
      <c r="BY435" s="59"/>
      <c r="BZ435" s="59"/>
      <c r="CA435" s="59"/>
      <c r="CB435" s="59"/>
      <c r="CC435" s="59"/>
      <c r="CD435" s="59"/>
      <c r="CE435" s="59"/>
      <c r="CF435" s="59"/>
      <c r="CG435" s="59"/>
      <c r="CH435" s="59"/>
      <c r="CI435" s="59"/>
      <c r="CJ435" s="59"/>
      <c r="CK435" s="59"/>
      <c r="CL435" s="59"/>
      <c r="CM435" s="59"/>
      <c r="CN435" s="59"/>
      <c r="CO435" s="59"/>
      <c r="CP435" s="59"/>
      <c r="CQ435" s="59"/>
      <c r="CR435" s="59"/>
      <c r="CS435" s="59"/>
      <c r="CT435" s="59"/>
      <c r="CU435" s="59"/>
      <c r="CV435" s="59"/>
      <c r="CW435" s="59"/>
      <c r="CX435" s="59"/>
      <c r="CY435" s="59"/>
      <c r="CZ435" s="59"/>
      <c r="DA435" s="59"/>
      <c r="DB435" s="59"/>
      <c r="DC435" s="59"/>
      <c r="DD435" s="59"/>
      <c r="DE435" s="59"/>
      <c r="DF435" s="59"/>
      <c r="DG435" s="59"/>
    </row>
    <row r="436" spans="1:111" ht="11.2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59"/>
      <c r="AO436" s="59"/>
      <c r="AP436" s="59"/>
      <c r="AQ436" s="59"/>
      <c r="AR436" s="59"/>
      <c r="AS436" s="59"/>
      <c r="AT436" s="59"/>
      <c r="AU436" s="59"/>
      <c r="AV436" s="59"/>
      <c r="AW436" s="59"/>
      <c r="AX436" s="59"/>
      <c r="AY436" s="59"/>
      <c r="AZ436" s="59"/>
      <c r="BA436" s="59"/>
      <c r="BB436" s="59"/>
      <c r="BC436" s="59"/>
      <c r="BD436" s="59"/>
      <c r="BE436" s="59"/>
      <c r="BF436" s="59"/>
      <c r="BG436" s="59"/>
      <c r="BH436" s="59"/>
      <c r="BI436" s="59"/>
      <c r="BJ436" s="59"/>
      <c r="BK436" s="59"/>
      <c r="BL436" s="59"/>
      <c r="BM436" s="59"/>
      <c r="BN436" s="59"/>
      <c r="BO436" s="59"/>
      <c r="BP436" s="59"/>
      <c r="BQ436" s="59"/>
      <c r="BR436" s="59"/>
      <c r="BS436" s="59"/>
      <c r="BT436" s="59"/>
      <c r="BU436" s="59"/>
      <c r="BV436" s="59"/>
      <c r="BW436" s="59"/>
      <c r="BX436" s="59"/>
      <c r="BY436" s="59"/>
      <c r="BZ436" s="59"/>
      <c r="CA436" s="59"/>
      <c r="CB436" s="59"/>
      <c r="CC436" s="59"/>
      <c r="CD436" s="59"/>
      <c r="CE436" s="59"/>
      <c r="CF436" s="59"/>
      <c r="CG436" s="59"/>
      <c r="CH436" s="59"/>
      <c r="CI436" s="59"/>
      <c r="CJ436" s="59"/>
      <c r="CK436" s="59"/>
      <c r="CL436" s="59"/>
      <c r="CM436" s="59"/>
      <c r="CN436" s="59"/>
      <c r="CO436" s="59"/>
      <c r="CP436" s="59"/>
      <c r="CQ436" s="59"/>
      <c r="CR436" s="59"/>
      <c r="CS436" s="59"/>
      <c r="CT436" s="59"/>
      <c r="CU436" s="59"/>
      <c r="CV436" s="59"/>
      <c r="CW436" s="59"/>
      <c r="CX436" s="59"/>
      <c r="CY436" s="59"/>
      <c r="CZ436" s="59"/>
      <c r="DA436" s="59"/>
      <c r="DB436" s="59"/>
      <c r="DC436" s="59"/>
      <c r="DD436" s="59"/>
      <c r="DE436" s="59"/>
      <c r="DF436" s="59"/>
      <c r="DG436" s="59"/>
    </row>
    <row r="437" spans="1:111" ht="11.2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  <c r="AO437" s="59"/>
      <c r="AP437" s="59"/>
      <c r="AQ437" s="59"/>
      <c r="AR437" s="59"/>
      <c r="AS437" s="59"/>
      <c r="AT437" s="59"/>
      <c r="AU437" s="59"/>
      <c r="AV437" s="59"/>
      <c r="AW437" s="59"/>
      <c r="AX437" s="59"/>
      <c r="AY437" s="59"/>
      <c r="AZ437" s="59"/>
      <c r="BA437" s="59"/>
      <c r="BB437" s="59"/>
      <c r="BC437" s="59"/>
      <c r="BD437" s="59"/>
      <c r="BE437" s="59"/>
      <c r="BF437" s="59"/>
      <c r="BG437" s="59"/>
      <c r="BH437" s="59"/>
      <c r="BI437" s="59"/>
      <c r="BJ437" s="59"/>
      <c r="BK437" s="59"/>
      <c r="BL437" s="59"/>
      <c r="BM437" s="59"/>
      <c r="BN437" s="59"/>
      <c r="BO437" s="59"/>
      <c r="BP437" s="59"/>
      <c r="BQ437" s="59"/>
      <c r="BR437" s="59"/>
      <c r="BS437" s="59"/>
      <c r="BT437" s="59"/>
      <c r="BU437" s="59"/>
      <c r="BV437" s="59"/>
      <c r="BW437" s="59"/>
      <c r="BX437" s="59"/>
      <c r="BY437" s="59"/>
      <c r="BZ437" s="59"/>
      <c r="CA437" s="59"/>
      <c r="CB437" s="59"/>
      <c r="CC437" s="59"/>
      <c r="CD437" s="59"/>
      <c r="CE437" s="59"/>
      <c r="CF437" s="59"/>
      <c r="CG437" s="59"/>
      <c r="CH437" s="59"/>
      <c r="CI437" s="59"/>
      <c r="CJ437" s="59"/>
      <c r="CK437" s="59"/>
      <c r="CL437" s="59"/>
      <c r="CM437" s="59"/>
      <c r="CN437" s="59"/>
      <c r="CO437" s="59"/>
      <c r="CP437" s="59"/>
      <c r="CQ437" s="59"/>
      <c r="CR437" s="59"/>
      <c r="CS437" s="59"/>
      <c r="CT437" s="59"/>
      <c r="CU437" s="59"/>
      <c r="CV437" s="59"/>
      <c r="CW437" s="59"/>
      <c r="CX437" s="59"/>
      <c r="CY437" s="59"/>
      <c r="CZ437" s="59"/>
      <c r="DA437" s="59"/>
      <c r="DB437" s="59"/>
      <c r="DC437" s="59"/>
      <c r="DD437" s="59"/>
      <c r="DE437" s="59"/>
      <c r="DF437" s="59"/>
      <c r="DG437" s="59"/>
    </row>
    <row r="438" spans="1:111" ht="11.2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  <c r="AJ438" s="59"/>
      <c r="AK438" s="59"/>
      <c r="AL438" s="59"/>
      <c r="AM438" s="59"/>
      <c r="AN438" s="59"/>
      <c r="AO438" s="59"/>
      <c r="AP438" s="59"/>
      <c r="AQ438" s="59"/>
      <c r="AR438" s="59"/>
      <c r="AS438" s="59"/>
      <c r="AT438" s="59"/>
      <c r="AU438" s="59"/>
      <c r="AV438" s="59"/>
      <c r="AW438" s="59"/>
      <c r="AX438" s="59"/>
      <c r="AY438" s="59"/>
      <c r="AZ438" s="59"/>
      <c r="BA438" s="59"/>
      <c r="BB438" s="59"/>
      <c r="BC438" s="59"/>
      <c r="BD438" s="59"/>
      <c r="BE438" s="59"/>
      <c r="BF438" s="59"/>
      <c r="BG438" s="59"/>
      <c r="BH438" s="59"/>
      <c r="BI438" s="59"/>
      <c r="BJ438" s="59"/>
      <c r="BK438" s="59"/>
      <c r="BL438" s="59"/>
      <c r="BM438" s="59"/>
      <c r="BN438" s="59"/>
      <c r="BO438" s="59"/>
      <c r="BP438" s="59"/>
      <c r="BQ438" s="59"/>
      <c r="BR438" s="59"/>
      <c r="BS438" s="59"/>
      <c r="BT438" s="59"/>
      <c r="BU438" s="59"/>
      <c r="BV438" s="59"/>
      <c r="BW438" s="59"/>
      <c r="BX438" s="59"/>
      <c r="BY438" s="59"/>
      <c r="BZ438" s="59"/>
      <c r="CA438" s="59"/>
      <c r="CB438" s="59"/>
      <c r="CC438" s="59"/>
      <c r="CD438" s="59"/>
      <c r="CE438" s="59"/>
      <c r="CF438" s="59"/>
      <c r="CG438" s="59"/>
      <c r="CH438" s="59"/>
      <c r="CI438" s="59"/>
      <c r="CJ438" s="59"/>
      <c r="CK438" s="59"/>
      <c r="CL438" s="59"/>
      <c r="CM438" s="59"/>
      <c r="CN438" s="59"/>
      <c r="CO438" s="59"/>
      <c r="CP438" s="59"/>
      <c r="CQ438" s="59"/>
      <c r="CR438" s="59"/>
      <c r="CS438" s="59"/>
      <c r="CT438" s="59"/>
      <c r="CU438" s="59"/>
      <c r="CV438" s="59"/>
      <c r="CW438" s="59"/>
      <c r="CX438" s="59"/>
      <c r="CY438" s="59"/>
      <c r="CZ438" s="59"/>
      <c r="DA438" s="59"/>
      <c r="DB438" s="59"/>
      <c r="DC438" s="59"/>
      <c r="DD438" s="59"/>
      <c r="DE438" s="59"/>
      <c r="DF438" s="59"/>
      <c r="DG438" s="59"/>
    </row>
    <row r="439" spans="1:111" ht="11.2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  <c r="AJ439" s="59"/>
      <c r="AK439" s="59"/>
      <c r="AL439" s="59"/>
      <c r="AM439" s="59"/>
      <c r="AN439" s="59"/>
      <c r="AO439" s="59"/>
      <c r="AP439" s="59"/>
      <c r="AQ439" s="59"/>
      <c r="AR439" s="59"/>
      <c r="AS439" s="59"/>
      <c r="AT439" s="59"/>
      <c r="AU439" s="59"/>
      <c r="AV439" s="59"/>
      <c r="AW439" s="59"/>
      <c r="AX439" s="59"/>
      <c r="AY439" s="59"/>
      <c r="AZ439" s="59"/>
      <c r="BA439" s="59"/>
      <c r="BB439" s="59"/>
      <c r="BC439" s="59"/>
      <c r="BD439" s="59"/>
      <c r="BE439" s="59"/>
      <c r="BF439" s="59"/>
      <c r="BG439" s="59"/>
      <c r="BH439" s="59"/>
      <c r="BI439" s="59"/>
      <c r="BJ439" s="59"/>
      <c r="BK439" s="59"/>
      <c r="BL439" s="59"/>
      <c r="BM439" s="59"/>
      <c r="BN439" s="59"/>
      <c r="BO439" s="59"/>
      <c r="BP439" s="59"/>
      <c r="BQ439" s="59"/>
      <c r="BR439" s="59"/>
      <c r="BS439" s="59"/>
      <c r="BT439" s="59"/>
      <c r="BU439" s="59"/>
      <c r="BV439" s="59"/>
      <c r="BW439" s="59"/>
      <c r="BX439" s="59"/>
      <c r="BY439" s="59"/>
      <c r="BZ439" s="59"/>
      <c r="CA439" s="59"/>
      <c r="CB439" s="59"/>
      <c r="CC439" s="59"/>
      <c r="CD439" s="59"/>
      <c r="CE439" s="59"/>
      <c r="CF439" s="59"/>
      <c r="CG439" s="59"/>
      <c r="CH439" s="59"/>
      <c r="CI439" s="59"/>
      <c r="CJ439" s="59"/>
      <c r="CK439" s="59"/>
      <c r="CL439" s="59"/>
      <c r="CM439" s="59"/>
      <c r="CN439" s="59"/>
      <c r="CO439" s="59"/>
      <c r="CP439" s="59"/>
      <c r="CQ439" s="59"/>
      <c r="CR439" s="59"/>
      <c r="CS439" s="59"/>
      <c r="CT439" s="59"/>
      <c r="CU439" s="59"/>
      <c r="CV439" s="59"/>
      <c r="CW439" s="59"/>
      <c r="CX439" s="59"/>
      <c r="CY439" s="59"/>
      <c r="CZ439" s="59"/>
      <c r="DA439" s="59"/>
      <c r="DB439" s="59"/>
      <c r="DC439" s="59"/>
      <c r="DD439" s="59"/>
      <c r="DE439" s="59"/>
      <c r="DF439" s="59"/>
      <c r="DG439" s="59"/>
    </row>
    <row r="440" spans="1:111" ht="11.2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  <c r="AJ440" s="59"/>
      <c r="AK440" s="59"/>
      <c r="AL440" s="59"/>
      <c r="AM440" s="59"/>
      <c r="AN440" s="59"/>
      <c r="AO440" s="59"/>
      <c r="AP440" s="59"/>
      <c r="AQ440" s="59"/>
      <c r="AR440" s="59"/>
      <c r="AS440" s="59"/>
      <c r="AT440" s="59"/>
      <c r="AU440" s="59"/>
      <c r="AV440" s="59"/>
      <c r="AW440" s="59"/>
      <c r="AX440" s="59"/>
      <c r="AY440" s="59"/>
      <c r="AZ440" s="59"/>
      <c r="BA440" s="59"/>
      <c r="BB440" s="59"/>
      <c r="BC440" s="59"/>
      <c r="BD440" s="59"/>
      <c r="BE440" s="59"/>
      <c r="BF440" s="59"/>
      <c r="BG440" s="59"/>
      <c r="BH440" s="59"/>
      <c r="BI440" s="59"/>
      <c r="BJ440" s="59"/>
      <c r="BK440" s="59"/>
      <c r="BL440" s="59"/>
      <c r="BM440" s="59"/>
      <c r="BN440" s="59"/>
      <c r="BO440" s="59"/>
      <c r="BP440" s="59"/>
      <c r="BQ440" s="59"/>
      <c r="BR440" s="59"/>
      <c r="BS440" s="59"/>
      <c r="BT440" s="59"/>
      <c r="BU440" s="59"/>
      <c r="BV440" s="59"/>
      <c r="BW440" s="59"/>
      <c r="BX440" s="59"/>
      <c r="BY440" s="59"/>
      <c r="BZ440" s="59"/>
      <c r="CA440" s="59"/>
      <c r="CB440" s="59"/>
      <c r="CC440" s="59"/>
      <c r="CD440" s="59"/>
      <c r="CE440" s="59"/>
      <c r="CF440" s="59"/>
      <c r="CG440" s="59"/>
      <c r="CH440" s="59"/>
      <c r="CI440" s="59"/>
      <c r="CJ440" s="59"/>
      <c r="CK440" s="59"/>
      <c r="CL440" s="59"/>
      <c r="CM440" s="59"/>
      <c r="CN440" s="59"/>
      <c r="CO440" s="59"/>
      <c r="CP440" s="59"/>
      <c r="CQ440" s="59"/>
      <c r="CR440" s="59"/>
      <c r="CS440" s="59"/>
      <c r="CT440" s="59"/>
      <c r="CU440" s="59"/>
      <c r="CV440" s="59"/>
      <c r="CW440" s="59"/>
      <c r="CX440" s="59"/>
      <c r="CY440" s="59"/>
      <c r="CZ440" s="59"/>
      <c r="DA440" s="59"/>
      <c r="DB440" s="59"/>
      <c r="DC440" s="59"/>
      <c r="DD440" s="59"/>
      <c r="DE440" s="59"/>
      <c r="DF440" s="59"/>
      <c r="DG440" s="59"/>
    </row>
    <row r="441" spans="1:111" ht="11.2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  <c r="AJ441" s="59"/>
      <c r="AK441" s="59"/>
      <c r="AL441" s="59"/>
      <c r="AM441" s="59"/>
      <c r="AN441" s="59"/>
      <c r="AO441" s="59"/>
      <c r="AP441" s="59"/>
      <c r="AQ441" s="59"/>
      <c r="AR441" s="59"/>
      <c r="AS441" s="59"/>
      <c r="AT441" s="59"/>
      <c r="AU441" s="59"/>
      <c r="AV441" s="59"/>
      <c r="AW441" s="59"/>
      <c r="AX441" s="59"/>
      <c r="AY441" s="59"/>
      <c r="AZ441" s="59"/>
      <c r="BA441" s="59"/>
      <c r="BB441" s="59"/>
      <c r="BC441" s="59"/>
      <c r="BD441" s="59"/>
      <c r="BE441" s="59"/>
      <c r="BF441" s="59"/>
      <c r="BG441" s="59"/>
      <c r="BH441" s="59"/>
      <c r="BI441" s="59"/>
      <c r="BJ441" s="59"/>
      <c r="BK441" s="59"/>
      <c r="BL441" s="59"/>
      <c r="BM441" s="59"/>
      <c r="BN441" s="59"/>
      <c r="BO441" s="59"/>
      <c r="BP441" s="59"/>
      <c r="BQ441" s="59"/>
      <c r="BR441" s="59"/>
      <c r="BS441" s="59"/>
      <c r="BT441" s="59"/>
      <c r="BU441" s="59"/>
      <c r="BV441" s="59"/>
      <c r="BW441" s="59"/>
      <c r="BX441" s="59"/>
      <c r="BY441" s="59"/>
      <c r="BZ441" s="59"/>
      <c r="CA441" s="59"/>
      <c r="CB441" s="59"/>
      <c r="CC441" s="59"/>
      <c r="CD441" s="59"/>
      <c r="CE441" s="59"/>
      <c r="CF441" s="59"/>
      <c r="CG441" s="59"/>
      <c r="CH441" s="59"/>
      <c r="CI441" s="59"/>
      <c r="CJ441" s="59"/>
      <c r="CK441" s="59"/>
      <c r="CL441" s="59"/>
      <c r="CM441" s="59"/>
      <c r="CN441" s="59"/>
      <c r="CO441" s="59"/>
      <c r="CP441" s="59"/>
      <c r="CQ441" s="59"/>
      <c r="CR441" s="59"/>
      <c r="CS441" s="59"/>
      <c r="CT441" s="59"/>
      <c r="CU441" s="59"/>
      <c r="CV441" s="59"/>
      <c r="CW441" s="59"/>
      <c r="CX441" s="59"/>
      <c r="CY441" s="59"/>
      <c r="CZ441" s="59"/>
      <c r="DA441" s="59"/>
      <c r="DB441" s="59"/>
      <c r="DC441" s="59"/>
      <c r="DD441" s="59"/>
      <c r="DE441" s="59"/>
      <c r="DF441" s="59"/>
      <c r="DG441" s="59"/>
    </row>
    <row r="442" spans="1:111" ht="11.2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  <c r="AJ442" s="59"/>
      <c r="AK442" s="59"/>
      <c r="AL442" s="59"/>
      <c r="AM442" s="59"/>
      <c r="AN442" s="59"/>
      <c r="AO442" s="59"/>
      <c r="AP442" s="59"/>
      <c r="AQ442" s="59"/>
      <c r="AR442" s="59"/>
      <c r="AS442" s="59"/>
      <c r="AT442" s="59"/>
      <c r="AU442" s="59"/>
      <c r="AV442" s="59"/>
      <c r="AW442" s="59"/>
      <c r="AX442" s="59"/>
      <c r="AY442" s="59"/>
      <c r="AZ442" s="59"/>
      <c r="BA442" s="59"/>
      <c r="BB442" s="59"/>
      <c r="BC442" s="59"/>
      <c r="BD442" s="59"/>
      <c r="BE442" s="59"/>
      <c r="BF442" s="59"/>
      <c r="BG442" s="59"/>
      <c r="BH442" s="59"/>
      <c r="BI442" s="59"/>
      <c r="BJ442" s="59"/>
      <c r="BK442" s="59"/>
      <c r="BL442" s="59"/>
      <c r="BM442" s="59"/>
      <c r="BN442" s="59"/>
      <c r="BO442" s="59"/>
      <c r="BP442" s="59"/>
      <c r="BQ442" s="59"/>
      <c r="BR442" s="59"/>
      <c r="BS442" s="59"/>
      <c r="BT442" s="59"/>
      <c r="BU442" s="59"/>
      <c r="BV442" s="59"/>
      <c r="BW442" s="59"/>
      <c r="BX442" s="59"/>
      <c r="BY442" s="59"/>
      <c r="BZ442" s="59"/>
      <c r="CA442" s="59"/>
      <c r="CB442" s="59"/>
      <c r="CC442" s="59"/>
      <c r="CD442" s="59"/>
      <c r="CE442" s="59"/>
      <c r="CF442" s="59"/>
      <c r="CG442" s="59"/>
      <c r="CH442" s="59"/>
      <c r="CI442" s="59"/>
      <c r="CJ442" s="59"/>
      <c r="CK442" s="59"/>
      <c r="CL442" s="59"/>
      <c r="CM442" s="59"/>
      <c r="CN442" s="59"/>
      <c r="CO442" s="59"/>
      <c r="CP442" s="59"/>
      <c r="CQ442" s="59"/>
      <c r="CR442" s="59"/>
      <c r="CS442" s="59"/>
      <c r="CT442" s="59"/>
      <c r="CU442" s="59"/>
      <c r="CV442" s="59"/>
      <c r="CW442" s="59"/>
      <c r="CX442" s="59"/>
      <c r="CY442" s="59"/>
      <c r="CZ442" s="59"/>
      <c r="DA442" s="59"/>
      <c r="DB442" s="59"/>
      <c r="DC442" s="59"/>
      <c r="DD442" s="59"/>
      <c r="DE442" s="59"/>
      <c r="DF442" s="59"/>
      <c r="DG442" s="59"/>
    </row>
    <row r="443" spans="1:111" ht="11.2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  <c r="AJ443" s="59"/>
      <c r="AK443" s="59"/>
      <c r="AL443" s="59"/>
      <c r="AM443" s="59"/>
      <c r="AN443" s="59"/>
      <c r="AO443" s="59"/>
      <c r="AP443" s="59"/>
      <c r="AQ443" s="59"/>
      <c r="AR443" s="59"/>
      <c r="AS443" s="59"/>
      <c r="AT443" s="59"/>
      <c r="AU443" s="59"/>
      <c r="AV443" s="59"/>
      <c r="AW443" s="59"/>
      <c r="AX443" s="59"/>
      <c r="AY443" s="59"/>
      <c r="AZ443" s="59"/>
      <c r="BA443" s="59"/>
      <c r="BB443" s="59"/>
      <c r="BC443" s="59"/>
      <c r="BD443" s="59"/>
      <c r="BE443" s="59"/>
      <c r="BF443" s="59"/>
      <c r="BG443" s="59"/>
      <c r="BH443" s="59"/>
      <c r="BI443" s="59"/>
      <c r="BJ443" s="59"/>
      <c r="BK443" s="59"/>
      <c r="BL443" s="59"/>
      <c r="BM443" s="59"/>
      <c r="BN443" s="59"/>
      <c r="BO443" s="59"/>
      <c r="BP443" s="59"/>
      <c r="BQ443" s="59"/>
      <c r="BR443" s="59"/>
      <c r="BS443" s="59"/>
      <c r="BT443" s="59"/>
      <c r="BU443" s="59"/>
      <c r="BV443" s="59"/>
      <c r="BW443" s="59"/>
      <c r="BX443" s="59"/>
      <c r="BY443" s="59"/>
      <c r="BZ443" s="59"/>
      <c r="CA443" s="59"/>
      <c r="CB443" s="59"/>
      <c r="CC443" s="59"/>
      <c r="CD443" s="59"/>
      <c r="CE443" s="59"/>
      <c r="CF443" s="59"/>
      <c r="CG443" s="59"/>
      <c r="CH443" s="59"/>
      <c r="CI443" s="59"/>
      <c r="CJ443" s="59"/>
      <c r="CK443" s="59"/>
      <c r="CL443" s="59"/>
      <c r="CM443" s="59"/>
      <c r="CN443" s="59"/>
      <c r="CO443" s="59"/>
      <c r="CP443" s="59"/>
      <c r="CQ443" s="59"/>
      <c r="CR443" s="59"/>
      <c r="CS443" s="59"/>
      <c r="CT443" s="59"/>
      <c r="CU443" s="59"/>
      <c r="CV443" s="59"/>
      <c r="CW443" s="59"/>
      <c r="CX443" s="59"/>
      <c r="CY443" s="59"/>
      <c r="CZ443" s="59"/>
      <c r="DA443" s="59"/>
      <c r="DB443" s="59"/>
      <c r="DC443" s="59"/>
      <c r="DD443" s="59"/>
      <c r="DE443" s="59"/>
      <c r="DF443" s="59"/>
      <c r="DG443" s="59"/>
    </row>
    <row r="444" spans="1:111" ht="11.2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59"/>
      <c r="AW444" s="59"/>
      <c r="AX444" s="59"/>
      <c r="AY444" s="59"/>
      <c r="AZ444" s="59"/>
      <c r="BA444" s="59"/>
      <c r="BB444" s="59"/>
      <c r="BC444" s="59"/>
      <c r="BD444" s="59"/>
      <c r="BE444" s="59"/>
      <c r="BF444" s="59"/>
      <c r="BG444" s="59"/>
      <c r="BH444" s="59"/>
      <c r="BI444" s="59"/>
      <c r="BJ444" s="59"/>
      <c r="BK444" s="59"/>
      <c r="BL444" s="59"/>
      <c r="BM444" s="59"/>
      <c r="BN444" s="59"/>
      <c r="BO444" s="59"/>
      <c r="BP444" s="59"/>
      <c r="BQ444" s="59"/>
      <c r="BR444" s="59"/>
      <c r="BS444" s="59"/>
      <c r="BT444" s="59"/>
      <c r="BU444" s="59"/>
      <c r="BV444" s="59"/>
      <c r="BW444" s="59"/>
      <c r="BX444" s="59"/>
      <c r="BY444" s="59"/>
      <c r="BZ444" s="59"/>
      <c r="CA444" s="59"/>
      <c r="CB444" s="59"/>
      <c r="CC444" s="59"/>
      <c r="CD444" s="59"/>
      <c r="CE444" s="59"/>
      <c r="CF444" s="59"/>
      <c r="CG444" s="59"/>
      <c r="CH444" s="59"/>
      <c r="CI444" s="59"/>
      <c r="CJ444" s="59"/>
      <c r="CK444" s="59"/>
      <c r="CL444" s="59"/>
      <c r="CM444" s="59"/>
      <c r="CN444" s="59"/>
      <c r="CO444" s="59"/>
      <c r="CP444" s="59"/>
      <c r="CQ444" s="59"/>
      <c r="CR444" s="59"/>
      <c r="CS444" s="59"/>
      <c r="CT444" s="59"/>
      <c r="CU444" s="59"/>
      <c r="CV444" s="59"/>
      <c r="CW444" s="59"/>
      <c r="CX444" s="59"/>
      <c r="CY444" s="59"/>
      <c r="CZ444" s="59"/>
      <c r="DA444" s="59"/>
      <c r="DB444" s="59"/>
      <c r="DC444" s="59"/>
      <c r="DD444" s="59"/>
      <c r="DE444" s="59"/>
      <c r="DF444" s="59"/>
      <c r="DG444" s="59"/>
    </row>
    <row r="445" spans="1:111" ht="11.2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  <c r="AJ445" s="59"/>
      <c r="AK445" s="59"/>
      <c r="AL445" s="59"/>
      <c r="AM445" s="59"/>
      <c r="AN445" s="59"/>
      <c r="AO445" s="59"/>
      <c r="AP445" s="59"/>
      <c r="AQ445" s="59"/>
      <c r="AR445" s="59"/>
      <c r="AS445" s="59"/>
      <c r="AT445" s="59"/>
      <c r="AU445" s="59"/>
      <c r="AV445" s="59"/>
      <c r="AW445" s="59"/>
      <c r="AX445" s="59"/>
      <c r="AY445" s="59"/>
      <c r="AZ445" s="59"/>
      <c r="BA445" s="59"/>
      <c r="BB445" s="59"/>
      <c r="BC445" s="59"/>
      <c r="BD445" s="59"/>
      <c r="BE445" s="59"/>
      <c r="BF445" s="59"/>
      <c r="BG445" s="59"/>
      <c r="BH445" s="59"/>
      <c r="BI445" s="59"/>
      <c r="BJ445" s="59"/>
      <c r="BK445" s="59"/>
      <c r="BL445" s="59"/>
      <c r="BM445" s="59"/>
      <c r="BN445" s="59"/>
      <c r="BO445" s="59"/>
      <c r="BP445" s="59"/>
      <c r="BQ445" s="59"/>
      <c r="BR445" s="59"/>
      <c r="BS445" s="59"/>
      <c r="BT445" s="59"/>
      <c r="BU445" s="59"/>
      <c r="BV445" s="59"/>
      <c r="BW445" s="59"/>
      <c r="BX445" s="59"/>
      <c r="BY445" s="59"/>
      <c r="BZ445" s="59"/>
      <c r="CA445" s="59"/>
      <c r="CB445" s="59"/>
      <c r="CC445" s="59"/>
      <c r="CD445" s="59"/>
      <c r="CE445" s="59"/>
      <c r="CF445" s="59"/>
      <c r="CG445" s="59"/>
      <c r="CH445" s="59"/>
      <c r="CI445" s="59"/>
      <c r="CJ445" s="59"/>
      <c r="CK445" s="59"/>
      <c r="CL445" s="59"/>
      <c r="CM445" s="59"/>
      <c r="CN445" s="59"/>
      <c r="CO445" s="59"/>
      <c r="CP445" s="59"/>
      <c r="CQ445" s="59"/>
      <c r="CR445" s="59"/>
      <c r="CS445" s="59"/>
      <c r="CT445" s="59"/>
      <c r="CU445" s="59"/>
      <c r="CV445" s="59"/>
      <c r="CW445" s="59"/>
      <c r="CX445" s="59"/>
      <c r="CY445" s="59"/>
      <c r="CZ445" s="59"/>
      <c r="DA445" s="59"/>
      <c r="DB445" s="59"/>
      <c r="DC445" s="59"/>
      <c r="DD445" s="59"/>
      <c r="DE445" s="59"/>
      <c r="DF445" s="59"/>
      <c r="DG445" s="59"/>
    </row>
    <row r="446" spans="1:111" ht="11.2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  <c r="AK446" s="59"/>
      <c r="AL446" s="59"/>
      <c r="AM446" s="59"/>
      <c r="AN446" s="59"/>
      <c r="AO446" s="59"/>
      <c r="AP446" s="59"/>
      <c r="AQ446" s="59"/>
      <c r="AR446" s="59"/>
      <c r="AS446" s="59"/>
      <c r="AT446" s="59"/>
      <c r="AU446" s="59"/>
      <c r="AV446" s="59"/>
      <c r="AW446" s="59"/>
      <c r="AX446" s="59"/>
      <c r="AY446" s="59"/>
      <c r="AZ446" s="59"/>
      <c r="BA446" s="59"/>
      <c r="BB446" s="59"/>
      <c r="BC446" s="59"/>
      <c r="BD446" s="59"/>
      <c r="BE446" s="59"/>
      <c r="BF446" s="59"/>
      <c r="BG446" s="59"/>
      <c r="BH446" s="59"/>
      <c r="BI446" s="59"/>
      <c r="BJ446" s="59"/>
      <c r="BK446" s="59"/>
      <c r="BL446" s="59"/>
      <c r="BM446" s="59"/>
      <c r="BN446" s="59"/>
      <c r="BO446" s="59"/>
      <c r="BP446" s="59"/>
      <c r="BQ446" s="59"/>
      <c r="BR446" s="59"/>
      <c r="BS446" s="59"/>
      <c r="BT446" s="59"/>
      <c r="BU446" s="59"/>
      <c r="BV446" s="59"/>
      <c r="BW446" s="59"/>
      <c r="BX446" s="59"/>
      <c r="BY446" s="59"/>
      <c r="BZ446" s="59"/>
      <c r="CA446" s="59"/>
      <c r="CB446" s="59"/>
      <c r="CC446" s="59"/>
      <c r="CD446" s="59"/>
      <c r="CE446" s="59"/>
      <c r="CF446" s="59"/>
      <c r="CG446" s="59"/>
      <c r="CH446" s="59"/>
      <c r="CI446" s="59"/>
      <c r="CJ446" s="59"/>
      <c r="CK446" s="59"/>
      <c r="CL446" s="59"/>
      <c r="CM446" s="59"/>
      <c r="CN446" s="59"/>
      <c r="CO446" s="59"/>
      <c r="CP446" s="59"/>
      <c r="CQ446" s="59"/>
      <c r="CR446" s="59"/>
      <c r="CS446" s="59"/>
      <c r="CT446" s="59"/>
      <c r="CU446" s="59"/>
      <c r="CV446" s="59"/>
      <c r="CW446" s="59"/>
      <c r="CX446" s="59"/>
      <c r="CY446" s="59"/>
      <c r="CZ446" s="59"/>
      <c r="DA446" s="59"/>
      <c r="DB446" s="59"/>
      <c r="DC446" s="59"/>
      <c r="DD446" s="59"/>
      <c r="DE446" s="59"/>
      <c r="DF446" s="59"/>
      <c r="DG446" s="59"/>
    </row>
    <row r="447" spans="1:111" ht="11.2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  <c r="BC447" s="59"/>
      <c r="BD447" s="59"/>
      <c r="BE447" s="59"/>
      <c r="BF447" s="59"/>
      <c r="BG447" s="59"/>
      <c r="BH447" s="59"/>
      <c r="BI447" s="59"/>
      <c r="BJ447" s="59"/>
      <c r="BK447" s="59"/>
      <c r="BL447" s="59"/>
      <c r="BM447" s="59"/>
      <c r="BN447" s="59"/>
      <c r="BO447" s="59"/>
      <c r="BP447" s="59"/>
      <c r="BQ447" s="59"/>
      <c r="BR447" s="59"/>
      <c r="BS447" s="59"/>
      <c r="BT447" s="59"/>
      <c r="BU447" s="59"/>
      <c r="BV447" s="59"/>
      <c r="BW447" s="59"/>
      <c r="BX447" s="59"/>
      <c r="BY447" s="59"/>
      <c r="BZ447" s="59"/>
      <c r="CA447" s="59"/>
      <c r="CB447" s="59"/>
      <c r="CC447" s="59"/>
      <c r="CD447" s="59"/>
      <c r="CE447" s="59"/>
      <c r="CF447" s="59"/>
      <c r="CG447" s="59"/>
      <c r="CH447" s="59"/>
      <c r="CI447" s="59"/>
      <c r="CJ447" s="59"/>
      <c r="CK447" s="59"/>
      <c r="CL447" s="59"/>
      <c r="CM447" s="59"/>
      <c r="CN447" s="59"/>
      <c r="CO447" s="59"/>
      <c r="CP447" s="59"/>
      <c r="CQ447" s="59"/>
      <c r="CR447" s="59"/>
      <c r="CS447" s="59"/>
      <c r="CT447" s="59"/>
      <c r="CU447" s="59"/>
      <c r="CV447" s="59"/>
      <c r="CW447" s="59"/>
      <c r="CX447" s="59"/>
      <c r="CY447" s="59"/>
      <c r="CZ447" s="59"/>
      <c r="DA447" s="59"/>
      <c r="DB447" s="59"/>
      <c r="DC447" s="59"/>
      <c r="DD447" s="59"/>
      <c r="DE447" s="59"/>
      <c r="DF447" s="59"/>
      <c r="DG447" s="59"/>
    </row>
    <row r="448" spans="1:111" ht="11.2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9"/>
      <c r="AW448" s="59"/>
      <c r="AX448" s="59"/>
      <c r="AY448" s="59"/>
      <c r="AZ448" s="59"/>
      <c r="BA448" s="59"/>
      <c r="BB448" s="59"/>
      <c r="BC448" s="59"/>
      <c r="BD448" s="59"/>
      <c r="BE448" s="59"/>
      <c r="BF448" s="59"/>
      <c r="BG448" s="59"/>
      <c r="BH448" s="59"/>
      <c r="BI448" s="59"/>
      <c r="BJ448" s="59"/>
      <c r="BK448" s="59"/>
      <c r="BL448" s="59"/>
      <c r="BM448" s="59"/>
      <c r="BN448" s="59"/>
      <c r="BO448" s="59"/>
      <c r="BP448" s="59"/>
      <c r="BQ448" s="59"/>
      <c r="BR448" s="59"/>
      <c r="BS448" s="59"/>
      <c r="BT448" s="59"/>
      <c r="BU448" s="59"/>
      <c r="BV448" s="59"/>
      <c r="BW448" s="59"/>
      <c r="BX448" s="59"/>
      <c r="BY448" s="59"/>
      <c r="BZ448" s="59"/>
      <c r="CA448" s="59"/>
      <c r="CB448" s="59"/>
      <c r="CC448" s="59"/>
      <c r="CD448" s="59"/>
      <c r="CE448" s="59"/>
      <c r="CF448" s="59"/>
      <c r="CG448" s="59"/>
      <c r="CH448" s="59"/>
      <c r="CI448" s="59"/>
      <c r="CJ448" s="59"/>
      <c r="CK448" s="59"/>
      <c r="CL448" s="59"/>
      <c r="CM448" s="59"/>
      <c r="CN448" s="59"/>
      <c r="CO448" s="59"/>
      <c r="CP448" s="59"/>
      <c r="CQ448" s="59"/>
      <c r="CR448" s="59"/>
      <c r="CS448" s="59"/>
      <c r="CT448" s="59"/>
      <c r="CU448" s="59"/>
      <c r="CV448" s="59"/>
      <c r="CW448" s="59"/>
      <c r="CX448" s="59"/>
      <c r="CY448" s="59"/>
      <c r="CZ448" s="59"/>
      <c r="DA448" s="59"/>
      <c r="DB448" s="59"/>
      <c r="DC448" s="59"/>
      <c r="DD448" s="59"/>
      <c r="DE448" s="59"/>
      <c r="DF448" s="59"/>
      <c r="DG448" s="59"/>
    </row>
    <row r="449" spans="1:111" ht="11.2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  <c r="AJ449" s="59"/>
      <c r="AK449" s="59"/>
      <c r="AL449" s="59"/>
      <c r="AM449" s="59"/>
      <c r="AN449" s="59"/>
      <c r="AO449" s="59"/>
      <c r="AP449" s="59"/>
      <c r="AQ449" s="59"/>
      <c r="AR449" s="59"/>
      <c r="AS449" s="59"/>
      <c r="AT449" s="59"/>
      <c r="AU449" s="59"/>
      <c r="AV449" s="59"/>
      <c r="AW449" s="59"/>
      <c r="AX449" s="59"/>
      <c r="AY449" s="59"/>
      <c r="AZ449" s="59"/>
      <c r="BA449" s="59"/>
      <c r="BB449" s="59"/>
      <c r="BC449" s="59"/>
      <c r="BD449" s="59"/>
      <c r="BE449" s="59"/>
      <c r="BF449" s="59"/>
      <c r="BG449" s="59"/>
      <c r="BH449" s="59"/>
      <c r="BI449" s="59"/>
      <c r="BJ449" s="59"/>
      <c r="BK449" s="59"/>
      <c r="BL449" s="59"/>
      <c r="BM449" s="59"/>
      <c r="BN449" s="59"/>
      <c r="BO449" s="59"/>
      <c r="BP449" s="59"/>
      <c r="BQ449" s="59"/>
      <c r="BR449" s="59"/>
      <c r="BS449" s="59"/>
      <c r="BT449" s="59"/>
      <c r="BU449" s="59"/>
      <c r="BV449" s="59"/>
      <c r="BW449" s="59"/>
      <c r="BX449" s="59"/>
      <c r="BY449" s="59"/>
      <c r="BZ449" s="59"/>
      <c r="CA449" s="59"/>
      <c r="CB449" s="59"/>
      <c r="CC449" s="59"/>
      <c r="CD449" s="59"/>
      <c r="CE449" s="59"/>
      <c r="CF449" s="59"/>
      <c r="CG449" s="59"/>
      <c r="CH449" s="59"/>
      <c r="CI449" s="59"/>
      <c r="CJ449" s="59"/>
      <c r="CK449" s="59"/>
      <c r="CL449" s="59"/>
      <c r="CM449" s="59"/>
      <c r="CN449" s="59"/>
      <c r="CO449" s="59"/>
      <c r="CP449" s="59"/>
      <c r="CQ449" s="59"/>
      <c r="CR449" s="59"/>
      <c r="CS449" s="59"/>
      <c r="CT449" s="59"/>
      <c r="CU449" s="59"/>
      <c r="CV449" s="59"/>
      <c r="CW449" s="59"/>
      <c r="CX449" s="59"/>
      <c r="CY449" s="59"/>
      <c r="CZ449" s="59"/>
      <c r="DA449" s="59"/>
      <c r="DB449" s="59"/>
      <c r="DC449" s="59"/>
      <c r="DD449" s="59"/>
      <c r="DE449" s="59"/>
      <c r="DF449" s="59"/>
      <c r="DG449" s="59"/>
    </row>
    <row r="450" spans="1:111" ht="11.2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L450" s="59"/>
      <c r="AM450" s="59"/>
      <c r="AN450" s="59"/>
      <c r="AO450" s="59"/>
      <c r="AP450" s="59"/>
      <c r="AQ450" s="59"/>
      <c r="AR450" s="59"/>
      <c r="AS450" s="59"/>
      <c r="AT450" s="59"/>
      <c r="AU450" s="59"/>
      <c r="AV450" s="59"/>
      <c r="AW450" s="59"/>
      <c r="AX450" s="59"/>
      <c r="AY450" s="59"/>
      <c r="AZ450" s="59"/>
      <c r="BA450" s="59"/>
      <c r="BB450" s="59"/>
      <c r="BC450" s="59"/>
      <c r="BD450" s="59"/>
      <c r="BE450" s="59"/>
      <c r="BF450" s="59"/>
      <c r="BG450" s="59"/>
      <c r="BH450" s="59"/>
      <c r="BI450" s="59"/>
      <c r="BJ450" s="59"/>
      <c r="BK450" s="59"/>
      <c r="BL450" s="59"/>
      <c r="BM450" s="59"/>
      <c r="BN450" s="59"/>
      <c r="BO450" s="59"/>
      <c r="BP450" s="59"/>
      <c r="BQ450" s="59"/>
      <c r="BR450" s="59"/>
      <c r="BS450" s="59"/>
      <c r="BT450" s="59"/>
      <c r="BU450" s="59"/>
      <c r="BV450" s="59"/>
      <c r="BW450" s="59"/>
      <c r="BX450" s="59"/>
      <c r="BY450" s="59"/>
      <c r="BZ450" s="59"/>
      <c r="CA450" s="59"/>
      <c r="CB450" s="59"/>
      <c r="CC450" s="59"/>
      <c r="CD450" s="59"/>
      <c r="CE450" s="59"/>
      <c r="CF450" s="59"/>
      <c r="CG450" s="59"/>
      <c r="CH450" s="59"/>
      <c r="CI450" s="59"/>
      <c r="CJ450" s="59"/>
      <c r="CK450" s="59"/>
      <c r="CL450" s="59"/>
      <c r="CM450" s="59"/>
      <c r="CN450" s="59"/>
      <c r="CO450" s="59"/>
      <c r="CP450" s="59"/>
      <c r="CQ450" s="59"/>
      <c r="CR450" s="59"/>
      <c r="CS450" s="59"/>
      <c r="CT450" s="59"/>
      <c r="CU450" s="59"/>
      <c r="CV450" s="59"/>
      <c r="CW450" s="59"/>
      <c r="CX450" s="59"/>
      <c r="CY450" s="59"/>
      <c r="CZ450" s="59"/>
      <c r="DA450" s="59"/>
      <c r="DB450" s="59"/>
      <c r="DC450" s="59"/>
      <c r="DD450" s="59"/>
      <c r="DE450" s="59"/>
      <c r="DF450" s="59"/>
      <c r="DG450" s="59"/>
    </row>
    <row r="451" spans="1:111" ht="11.2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59"/>
      <c r="AM451" s="59"/>
      <c r="AN451" s="59"/>
      <c r="AO451" s="59"/>
      <c r="AP451" s="59"/>
      <c r="AQ451" s="59"/>
      <c r="AR451" s="59"/>
      <c r="AS451" s="59"/>
      <c r="AT451" s="59"/>
      <c r="AU451" s="59"/>
      <c r="AV451" s="59"/>
      <c r="AW451" s="59"/>
      <c r="AX451" s="59"/>
      <c r="AY451" s="59"/>
      <c r="AZ451" s="59"/>
      <c r="BA451" s="59"/>
      <c r="BB451" s="59"/>
      <c r="BC451" s="59"/>
      <c r="BD451" s="59"/>
      <c r="BE451" s="59"/>
      <c r="BF451" s="59"/>
      <c r="BG451" s="59"/>
      <c r="BH451" s="59"/>
      <c r="BI451" s="59"/>
      <c r="BJ451" s="59"/>
      <c r="BK451" s="59"/>
      <c r="BL451" s="59"/>
      <c r="BM451" s="59"/>
      <c r="BN451" s="59"/>
      <c r="BO451" s="59"/>
      <c r="BP451" s="59"/>
      <c r="BQ451" s="59"/>
      <c r="BR451" s="59"/>
      <c r="BS451" s="59"/>
      <c r="BT451" s="59"/>
      <c r="BU451" s="59"/>
      <c r="BV451" s="59"/>
      <c r="BW451" s="59"/>
      <c r="BX451" s="59"/>
      <c r="BY451" s="59"/>
      <c r="BZ451" s="59"/>
      <c r="CA451" s="59"/>
      <c r="CB451" s="59"/>
      <c r="CC451" s="59"/>
      <c r="CD451" s="59"/>
      <c r="CE451" s="59"/>
      <c r="CF451" s="59"/>
      <c r="CG451" s="59"/>
      <c r="CH451" s="59"/>
      <c r="CI451" s="59"/>
      <c r="CJ451" s="59"/>
      <c r="CK451" s="59"/>
      <c r="CL451" s="59"/>
      <c r="CM451" s="59"/>
      <c r="CN451" s="59"/>
      <c r="CO451" s="59"/>
      <c r="CP451" s="59"/>
      <c r="CQ451" s="59"/>
      <c r="CR451" s="59"/>
      <c r="CS451" s="59"/>
      <c r="CT451" s="59"/>
      <c r="CU451" s="59"/>
      <c r="CV451" s="59"/>
      <c r="CW451" s="59"/>
      <c r="CX451" s="59"/>
      <c r="CY451" s="59"/>
      <c r="CZ451" s="59"/>
      <c r="DA451" s="59"/>
      <c r="DB451" s="59"/>
      <c r="DC451" s="59"/>
      <c r="DD451" s="59"/>
      <c r="DE451" s="59"/>
      <c r="DF451" s="59"/>
      <c r="DG451" s="59"/>
    </row>
    <row r="452" spans="1:111" ht="11.2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59"/>
      <c r="AO452" s="59"/>
      <c r="AP452" s="59"/>
      <c r="AQ452" s="59"/>
      <c r="AR452" s="59"/>
      <c r="AS452" s="59"/>
      <c r="AT452" s="59"/>
      <c r="AU452" s="59"/>
      <c r="AV452" s="59"/>
      <c r="AW452" s="59"/>
      <c r="AX452" s="59"/>
      <c r="AY452" s="59"/>
      <c r="AZ452" s="59"/>
      <c r="BA452" s="59"/>
      <c r="BB452" s="59"/>
      <c r="BC452" s="59"/>
      <c r="BD452" s="59"/>
      <c r="BE452" s="59"/>
      <c r="BF452" s="59"/>
      <c r="BG452" s="59"/>
      <c r="BH452" s="59"/>
      <c r="BI452" s="59"/>
      <c r="BJ452" s="59"/>
      <c r="BK452" s="59"/>
      <c r="BL452" s="59"/>
      <c r="BM452" s="59"/>
      <c r="BN452" s="59"/>
      <c r="BO452" s="59"/>
      <c r="BP452" s="59"/>
      <c r="BQ452" s="59"/>
      <c r="BR452" s="59"/>
      <c r="BS452" s="59"/>
      <c r="BT452" s="59"/>
      <c r="BU452" s="59"/>
      <c r="BV452" s="59"/>
      <c r="BW452" s="59"/>
      <c r="BX452" s="59"/>
      <c r="BY452" s="59"/>
      <c r="BZ452" s="59"/>
      <c r="CA452" s="59"/>
      <c r="CB452" s="59"/>
      <c r="CC452" s="59"/>
      <c r="CD452" s="59"/>
      <c r="CE452" s="59"/>
      <c r="CF452" s="59"/>
      <c r="CG452" s="59"/>
      <c r="CH452" s="59"/>
      <c r="CI452" s="59"/>
      <c r="CJ452" s="59"/>
      <c r="CK452" s="59"/>
      <c r="CL452" s="59"/>
      <c r="CM452" s="59"/>
      <c r="CN452" s="59"/>
      <c r="CO452" s="59"/>
      <c r="CP452" s="59"/>
      <c r="CQ452" s="59"/>
      <c r="CR452" s="59"/>
      <c r="CS452" s="59"/>
      <c r="CT452" s="59"/>
      <c r="CU452" s="59"/>
      <c r="CV452" s="59"/>
      <c r="CW452" s="59"/>
      <c r="CX452" s="59"/>
      <c r="CY452" s="59"/>
      <c r="CZ452" s="59"/>
      <c r="DA452" s="59"/>
      <c r="DB452" s="59"/>
      <c r="DC452" s="59"/>
      <c r="DD452" s="59"/>
      <c r="DE452" s="59"/>
      <c r="DF452" s="59"/>
      <c r="DG452" s="59"/>
    </row>
    <row r="453" spans="1:111" ht="11.2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  <c r="AT453" s="59"/>
      <c r="AU453" s="59"/>
      <c r="AV453" s="59"/>
      <c r="AW453" s="59"/>
      <c r="AX453" s="59"/>
      <c r="AY453" s="59"/>
      <c r="AZ453" s="59"/>
      <c r="BA453" s="59"/>
      <c r="BB453" s="59"/>
      <c r="BC453" s="59"/>
      <c r="BD453" s="59"/>
      <c r="BE453" s="59"/>
      <c r="BF453" s="59"/>
      <c r="BG453" s="59"/>
      <c r="BH453" s="59"/>
      <c r="BI453" s="59"/>
      <c r="BJ453" s="59"/>
      <c r="BK453" s="59"/>
      <c r="BL453" s="59"/>
      <c r="BM453" s="59"/>
      <c r="BN453" s="59"/>
      <c r="BO453" s="59"/>
      <c r="BP453" s="59"/>
      <c r="BQ453" s="59"/>
      <c r="BR453" s="59"/>
      <c r="BS453" s="59"/>
      <c r="BT453" s="59"/>
      <c r="BU453" s="59"/>
      <c r="BV453" s="59"/>
      <c r="BW453" s="59"/>
      <c r="BX453" s="59"/>
      <c r="BY453" s="59"/>
      <c r="BZ453" s="59"/>
      <c r="CA453" s="59"/>
      <c r="CB453" s="59"/>
      <c r="CC453" s="59"/>
      <c r="CD453" s="59"/>
      <c r="CE453" s="59"/>
      <c r="CF453" s="59"/>
      <c r="CG453" s="59"/>
      <c r="CH453" s="59"/>
      <c r="CI453" s="59"/>
      <c r="CJ453" s="59"/>
      <c r="CK453" s="59"/>
      <c r="CL453" s="59"/>
      <c r="CM453" s="59"/>
      <c r="CN453" s="59"/>
      <c r="CO453" s="59"/>
      <c r="CP453" s="59"/>
      <c r="CQ453" s="59"/>
      <c r="CR453" s="59"/>
      <c r="CS453" s="59"/>
      <c r="CT453" s="59"/>
      <c r="CU453" s="59"/>
      <c r="CV453" s="59"/>
      <c r="CW453" s="59"/>
      <c r="CX453" s="59"/>
      <c r="CY453" s="59"/>
      <c r="CZ453" s="59"/>
      <c r="DA453" s="59"/>
      <c r="DB453" s="59"/>
      <c r="DC453" s="59"/>
      <c r="DD453" s="59"/>
      <c r="DE453" s="59"/>
      <c r="DF453" s="59"/>
      <c r="DG453" s="59"/>
    </row>
    <row r="454" spans="1:111" ht="11.2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59"/>
      <c r="AO454" s="59"/>
      <c r="AP454" s="59"/>
      <c r="AQ454" s="59"/>
      <c r="AR454" s="59"/>
      <c r="AS454" s="59"/>
      <c r="AT454" s="59"/>
      <c r="AU454" s="59"/>
      <c r="AV454" s="59"/>
      <c r="AW454" s="59"/>
      <c r="AX454" s="59"/>
      <c r="AY454" s="59"/>
      <c r="AZ454" s="59"/>
      <c r="BA454" s="59"/>
      <c r="BB454" s="59"/>
      <c r="BC454" s="59"/>
      <c r="BD454" s="59"/>
      <c r="BE454" s="59"/>
      <c r="BF454" s="59"/>
      <c r="BG454" s="59"/>
      <c r="BH454" s="59"/>
      <c r="BI454" s="59"/>
      <c r="BJ454" s="59"/>
      <c r="BK454" s="59"/>
      <c r="BL454" s="59"/>
      <c r="BM454" s="59"/>
      <c r="BN454" s="59"/>
      <c r="BO454" s="59"/>
      <c r="BP454" s="59"/>
      <c r="BQ454" s="59"/>
      <c r="BR454" s="59"/>
      <c r="BS454" s="59"/>
      <c r="BT454" s="59"/>
      <c r="BU454" s="59"/>
      <c r="BV454" s="59"/>
      <c r="BW454" s="59"/>
      <c r="BX454" s="59"/>
      <c r="BY454" s="59"/>
      <c r="BZ454" s="59"/>
      <c r="CA454" s="59"/>
      <c r="CB454" s="59"/>
      <c r="CC454" s="59"/>
      <c r="CD454" s="59"/>
      <c r="CE454" s="59"/>
      <c r="CF454" s="59"/>
      <c r="CG454" s="59"/>
      <c r="CH454" s="59"/>
      <c r="CI454" s="59"/>
      <c r="CJ454" s="59"/>
      <c r="CK454" s="59"/>
      <c r="CL454" s="59"/>
      <c r="CM454" s="59"/>
      <c r="CN454" s="59"/>
      <c r="CO454" s="59"/>
      <c r="CP454" s="59"/>
      <c r="CQ454" s="59"/>
      <c r="CR454" s="59"/>
      <c r="CS454" s="59"/>
      <c r="CT454" s="59"/>
      <c r="CU454" s="59"/>
      <c r="CV454" s="59"/>
      <c r="CW454" s="59"/>
      <c r="CX454" s="59"/>
      <c r="CY454" s="59"/>
      <c r="CZ454" s="59"/>
      <c r="DA454" s="59"/>
      <c r="DB454" s="59"/>
      <c r="DC454" s="59"/>
      <c r="DD454" s="59"/>
      <c r="DE454" s="59"/>
      <c r="DF454" s="59"/>
      <c r="DG454" s="59"/>
    </row>
    <row r="455" spans="1:111" ht="11.2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59"/>
      <c r="AO455" s="59"/>
      <c r="AP455" s="59"/>
      <c r="AQ455" s="59"/>
      <c r="AR455" s="59"/>
      <c r="AS455" s="59"/>
      <c r="AT455" s="59"/>
      <c r="AU455" s="59"/>
      <c r="AV455" s="59"/>
      <c r="AW455" s="59"/>
      <c r="AX455" s="59"/>
      <c r="AY455" s="59"/>
      <c r="AZ455" s="59"/>
      <c r="BA455" s="59"/>
      <c r="BB455" s="59"/>
      <c r="BC455" s="59"/>
      <c r="BD455" s="59"/>
      <c r="BE455" s="59"/>
      <c r="BF455" s="59"/>
      <c r="BG455" s="59"/>
      <c r="BH455" s="59"/>
      <c r="BI455" s="59"/>
      <c r="BJ455" s="59"/>
      <c r="BK455" s="59"/>
      <c r="BL455" s="59"/>
      <c r="BM455" s="59"/>
      <c r="BN455" s="59"/>
      <c r="BO455" s="59"/>
      <c r="BP455" s="59"/>
      <c r="BQ455" s="59"/>
      <c r="BR455" s="59"/>
      <c r="BS455" s="59"/>
      <c r="BT455" s="59"/>
      <c r="BU455" s="59"/>
      <c r="BV455" s="59"/>
      <c r="BW455" s="59"/>
      <c r="BX455" s="59"/>
      <c r="BY455" s="59"/>
      <c r="BZ455" s="59"/>
      <c r="CA455" s="59"/>
      <c r="CB455" s="59"/>
      <c r="CC455" s="59"/>
      <c r="CD455" s="59"/>
      <c r="CE455" s="59"/>
      <c r="CF455" s="59"/>
      <c r="CG455" s="59"/>
      <c r="CH455" s="59"/>
      <c r="CI455" s="59"/>
      <c r="CJ455" s="59"/>
      <c r="CK455" s="59"/>
      <c r="CL455" s="59"/>
      <c r="CM455" s="59"/>
      <c r="CN455" s="59"/>
      <c r="CO455" s="59"/>
      <c r="CP455" s="59"/>
      <c r="CQ455" s="59"/>
      <c r="CR455" s="59"/>
      <c r="CS455" s="59"/>
      <c r="CT455" s="59"/>
      <c r="CU455" s="59"/>
      <c r="CV455" s="59"/>
      <c r="CW455" s="59"/>
      <c r="CX455" s="59"/>
      <c r="CY455" s="59"/>
      <c r="CZ455" s="59"/>
      <c r="DA455" s="59"/>
      <c r="DB455" s="59"/>
      <c r="DC455" s="59"/>
      <c r="DD455" s="59"/>
      <c r="DE455" s="59"/>
      <c r="DF455" s="59"/>
      <c r="DG455" s="59"/>
    </row>
    <row r="456" spans="1:111" ht="11.2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  <c r="AO456" s="59"/>
      <c r="AP456" s="59"/>
      <c r="AQ456" s="59"/>
      <c r="AR456" s="59"/>
      <c r="AS456" s="59"/>
      <c r="AT456" s="59"/>
      <c r="AU456" s="59"/>
      <c r="AV456" s="59"/>
      <c r="AW456" s="59"/>
      <c r="AX456" s="59"/>
      <c r="AY456" s="59"/>
      <c r="AZ456" s="59"/>
      <c r="BA456" s="59"/>
      <c r="BB456" s="59"/>
      <c r="BC456" s="59"/>
      <c r="BD456" s="59"/>
      <c r="BE456" s="59"/>
      <c r="BF456" s="59"/>
      <c r="BG456" s="59"/>
      <c r="BH456" s="59"/>
      <c r="BI456" s="59"/>
      <c r="BJ456" s="59"/>
      <c r="BK456" s="59"/>
      <c r="BL456" s="59"/>
      <c r="BM456" s="59"/>
      <c r="BN456" s="59"/>
      <c r="BO456" s="59"/>
      <c r="BP456" s="59"/>
      <c r="BQ456" s="59"/>
      <c r="BR456" s="59"/>
      <c r="BS456" s="59"/>
      <c r="BT456" s="59"/>
      <c r="BU456" s="59"/>
      <c r="BV456" s="59"/>
      <c r="BW456" s="59"/>
      <c r="BX456" s="59"/>
      <c r="BY456" s="59"/>
      <c r="BZ456" s="59"/>
      <c r="CA456" s="59"/>
      <c r="CB456" s="59"/>
      <c r="CC456" s="59"/>
      <c r="CD456" s="59"/>
      <c r="CE456" s="59"/>
      <c r="CF456" s="59"/>
      <c r="CG456" s="59"/>
      <c r="CH456" s="59"/>
      <c r="CI456" s="59"/>
      <c r="CJ456" s="59"/>
      <c r="CK456" s="59"/>
      <c r="CL456" s="59"/>
      <c r="CM456" s="59"/>
      <c r="CN456" s="59"/>
      <c r="CO456" s="59"/>
      <c r="CP456" s="59"/>
      <c r="CQ456" s="59"/>
      <c r="CR456" s="59"/>
      <c r="CS456" s="59"/>
      <c r="CT456" s="59"/>
      <c r="CU456" s="59"/>
      <c r="CV456" s="59"/>
      <c r="CW456" s="59"/>
      <c r="CX456" s="59"/>
      <c r="CY456" s="59"/>
      <c r="CZ456" s="59"/>
      <c r="DA456" s="59"/>
      <c r="DB456" s="59"/>
      <c r="DC456" s="59"/>
      <c r="DD456" s="59"/>
      <c r="DE456" s="59"/>
      <c r="DF456" s="59"/>
      <c r="DG456" s="59"/>
    </row>
    <row r="457" spans="1:111" ht="11.2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59"/>
      <c r="AO457" s="59"/>
      <c r="AP457" s="59"/>
      <c r="AQ457" s="59"/>
      <c r="AR457" s="59"/>
      <c r="AS457" s="59"/>
      <c r="AT457" s="59"/>
      <c r="AU457" s="59"/>
      <c r="AV457" s="59"/>
      <c r="AW457" s="59"/>
      <c r="AX457" s="59"/>
      <c r="AY457" s="59"/>
      <c r="AZ457" s="59"/>
      <c r="BA457" s="59"/>
      <c r="BB457" s="59"/>
      <c r="BC457" s="59"/>
      <c r="BD457" s="59"/>
      <c r="BE457" s="59"/>
      <c r="BF457" s="59"/>
      <c r="BG457" s="59"/>
      <c r="BH457" s="59"/>
      <c r="BI457" s="59"/>
      <c r="BJ457" s="59"/>
      <c r="BK457" s="59"/>
      <c r="BL457" s="59"/>
      <c r="BM457" s="59"/>
      <c r="BN457" s="59"/>
      <c r="BO457" s="59"/>
      <c r="BP457" s="59"/>
      <c r="BQ457" s="59"/>
      <c r="BR457" s="59"/>
      <c r="BS457" s="59"/>
      <c r="BT457" s="59"/>
      <c r="BU457" s="59"/>
      <c r="BV457" s="59"/>
      <c r="BW457" s="59"/>
      <c r="BX457" s="59"/>
      <c r="BY457" s="59"/>
      <c r="BZ457" s="59"/>
      <c r="CA457" s="59"/>
      <c r="CB457" s="59"/>
      <c r="CC457" s="59"/>
      <c r="CD457" s="59"/>
      <c r="CE457" s="59"/>
      <c r="CF457" s="59"/>
      <c r="CG457" s="59"/>
      <c r="CH457" s="59"/>
      <c r="CI457" s="59"/>
      <c r="CJ457" s="59"/>
      <c r="CK457" s="59"/>
      <c r="CL457" s="59"/>
      <c r="CM457" s="59"/>
      <c r="CN457" s="59"/>
      <c r="CO457" s="59"/>
      <c r="CP457" s="59"/>
      <c r="CQ457" s="59"/>
      <c r="CR457" s="59"/>
      <c r="CS457" s="59"/>
      <c r="CT457" s="59"/>
      <c r="CU457" s="59"/>
      <c r="CV457" s="59"/>
      <c r="CW457" s="59"/>
      <c r="CX457" s="59"/>
      <c r="CY457" s="59"/>
      <c r="CZ457" s="59"/>
      <c r="DA457" s="59"/>
      <c r="DB457" s="59"/>
      <c r="DC457" s="59"/>
      <c r="DD457" s="59"/>
      <c r="DE457" s="59"/>
      <c r="DF457" s="59"/>
      <c r="DG457" s="59"/>
    </row>
    <row r="458" spans="1:111" ht="11.2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  <c r="AJ458" s="59"/>
      <c r="AK458" s="59"/>
      <c r="AL458" s="59"/>
      <c r="AM458" s="59"/>
      <c r="AN458" s="59"/>
      <c r="AO458" s="59"/>
      <c r="AP458" s="59"/>
      <c r="AQ458" s="59"/>
      <c r="AR458" s="59"/>
      <c r="AS458" s="59"/>
      <c r="AT458" s="59"/>
      <c r="AU458" s="59"/>
      <c r="AV458" s="59"/>
      <c r="AW458" s="59"/>
      <c r="AX458" s="59"/>
      <c r="AY458" s="59"/>
      <c r="AZ458" s="59"/>
      <c r="BA458" s="59"/>
      <c r="BB458" s="59"/>
      <c r="BC458" s="59"/>
      <c r="BD458" s="59"/>
      <c r="BE458" s="59"/>
      <c r="BF458" s="59"/>
      <c r="BG458" s="59"/>
      <c r="BH458" s="59"/>
      <c r="BI458" s="59"/>
      <c r="BJ458" s="59"/>
      <c r="BK458" s="59"/>
      <c r="BL458" s="59"/>
      <c r="BM458" s="59"/>
      <c r="BN458" s="59"/>
      <c r="BO458" s="59"/>
      <c r="BP458" s="59"/>
      <c r="BQ458" s="59"/>
      <c r="BR458" s="59"/>
      <c r="BS458" s="59"/>
      <c r="BT458" s="59"/>
      <c r="BU458" s="59"/>
      <c r="BV458" s="59"/>
      <c r="BW458" s="59"/>
      <c r="BX458" s="59"/>
      <c r="BY458" s="59"/>
      <c r="BZ458" s="59"/>
      <c r="CA458" s="59"/>
      <c r="CB458" s="59"/>
      <c r="CC458" s="59"/>
      <c r="CD458" s="59"/>
      <c r="CE458" s="59"/>
      <c r="CF458" s="59"/>
      <c r="CG458" s="59"/>
      <c r="CH458" s="59"/>
      <c r="CI458" s="59"/>
      <c r="CJ458" s="59"/>
      <c r="CK458" s="59"/>
      <c r="CL458" s="59"/>
      <c r="CM458" s="59"/>
      <c r="CN458" s="59"/>
      <c r="CO458" s="59"/>
      <c r="CP458" s="59"/>
      <c r="CQ458" s="59"/>
      <c r="CR458" s="59"/>
      <c r="CS458" s="59"/>
      <c r="CT458" s="59"/>
      <c r="CU458" s="59"/>
      <c r="CV458" s="59"/>
      <c r="CW458" s="59"/>
      <c r="CX458" s="59"/>
      <c r="CY458" s="59"/>
      <c r="CZ458" s="59"/>
      <c r="DA458" s="59"/>
      <c r="DB458" s="59"/>
      <c r="DC458" s="59"/>
      <c r="DD458" s="59"/>
      <c r="DE458" s="59"/>
      <c r="DF458" s="59"/>
      <c r="DG458" s="59"/>
    </row>
    <row r="459" spans="1:111" ht="11.2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  <c r="AJ459" s="59"/>
      <c r="AK459" s="59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59"/>
      <c r="AW459" s="59"/>
      <c r="AX459" s="59"/>
      <c r="AY459" s="59"/>
      <c r="AZ459" s="59"/>
      <c r="BA459" s="59"/>
      <c r="BB459" s="59"/>
      <c r="BC459" s="59"/>
      <c r="BD459" s="59"/>
      <c r="BE459" s="59"/>
      <c r="BF459" s="59"/>
      <c r="BG459" s="59"/>
      <c r="BH459" s="59"/>
      <c r="BI459" s="59"/>
      <c r="BJ459" s="59"/>
      <c r="BK459" s="59"/>
      <c r="BL459" s="59"/>
      <c r="BM459" s="59"/>
      <c r="BN459" s="59"/>
      <c r="BO459" s="59"/>
      <c r="BP459" s="59"/>
      <c r="BQ459" s="59"/>
      <c r="BR459" s="59"/>
      <c r="BS459" s="59"/>
      <c r="BT459" s="59"/>
      <c r="BU459" s="59"/>
      <c r="BV459" s="59"/>
      <c r="BW459" s="59"/>
      <c r="BX459" s="59"/>
      <c r="BY459" s="59"/>
      <c r="BZ459" s="59"/>
      <c r="CA459" s="59"/>
      <c r="CB459" s="59"/>
      <c r="CC459" s="59"/>
      <c r="CD459" s="59"/>
      <c r="CE459" s="59"/>
      <c r="CF459" s="59"/>
      <c r="CG459" s="59"/>
      <c r="CH459" s="59"/>
      <c r="CI459" s="59"/>
      <c r="CJ459" s="59"/>
      <c r="CK459" s="59"/>
      <c r="CL459" s="59"/>
      <c r="CM459" s="59"/>
      <c r="CN459" s="59"/>
      <c r="CO459" s="59"/>
      <c r="CP459" s="59"/>
      <c r="CQ459" s="59"/>
      <c r="CR459" s="59"/>
      <c r="CS459" s="59"/>
      <c r="CT459" s="59"/>
      <c r="CU459" s="59"/>
      <c r="CV459" s="59"/>
      <c r="CW459" s="59"/>
      <c r="CX459" s="59"/>
      <c r="CY459" s="59"/>
      <c r="CZ459" s="59"/>
      <c r="DA459" s="59"/>
      <c r="DB459" s="59"/>
      <c r="DC459" s="59"/>
      <c r="DD459" s="59"/>
      <c r="DE459" s="59"/>
      <c r="DF459" s="59"/>
      <c r="DG459" s="59"/>
    </row>
    <row r="460" spans="1:111" ht="11.2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  <c r="AJ460" s="59"/>
      <c r="AK460" s="59"/>
      <c r="AL460" s="59"/>
      <c r="AM460" s="59"/>
      <c r="AN460" s="59"/>
      <c r="AO460" s="59"/>
      <c r="AP460" s="59"/>
      <c r="AQ460" s="59"/>
      <c r="AR460" s="59"/>
      <c r="AS460" s="59"/>
      <c r="AT460" s="59"/>
      <c r="AU460" s="59"/>
      <c r="AV460" s="59"/>
      <c r="AW460" s="59"/>
      <c r="AX460" s="59"/>
      <c r="AY460" s="59"/>
      <c r="AZ460" s="59"/>
      <c r="BA460" s="59"/>
      <c r="BB460" s="59"/>
      <c r="BC460" s="59"/>
      <c r="BD460" s="59"/>
      <c r="BE460" s="59"/>
      <c r="BF460" s="59"/>
      <c r="BG460" s="59"/>
      <c r="BH460" s="59"/>
      <c r="BI460" s="59"/>
      <c r="BJ460" s="59"/>
      <c r="BK460" s="59"/>
      <c r="BL460" s="59"/>
      <c r="BM460" s="59"/>
      <c r="BN460" s="59"/>
      <c r="BO460" s="59"/>
      <c r="BP460" s="59"/>
      <c r="BQ460" s="59"/>
      <c r="BR460" s="59"/>
      <c r="BS460" s="59"/>
      <c r="BT460" s="59"/>
      <c r="BU460" s="59"/>
      <c r="BV460" s="59"/>
      <c r="BW460" s="59"/>
      <c r="BX460" s="59"/>
      <c r="BY460" s="59"/>
      <c r="BZ460" s="59"/>
      <c r="CA460" s="59"/>
      <c r="CB460" s="59"/>
      <c r="CC460" s="59"/>
      <c r="CD460" s="59"/>
      <c r="CE460" s="59"/>
      <c r="CF460" s="59"/>
      <c r="CG460" s="59"/>
      <c r="CH460" s="59"/>
      <c r="CI460" s="59"/>
      <c r="CJ460" s="59"/>
      <c r="CK460" s="59"/>
      <c r="CL460" s="59"/>
      <c r="CM460" s="59"/>
      <c r="CN460" s="59"/>
      <c r="CO460" s="59"/>
      <c r="CP460" s="59"/>
      <c r="CQ460" s="59"/>
      <c r="CR460" s="59"/>
      <c r="CS460" s="59"/>
      <c r="CT460" s="59"/>
      <c r="CU460" s="59"/>
      <c r="CV460" s="59"/>
      <c r="CW460" s="59"/>
      <c r="CX460" s="59"/>
      <c r="CY460" s="59"/>
      <c r="CZ460" s="59"/>
      <c r="DA460" s="59"/>
      <c r="DB460" s="59"/>
      <c r="DC460" s="59"/>
      <c r="DD460" s="59"/>
      <c r="DE460" s="59"/>
      <c r="DF460" s="59"/>
      <c r="DG460" s="59"/>
    </row>
    <row r="461" spans="1:111" ht="11.2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  <c r="AJ461" s="59"/>
      <c r="AK461" s="59"/>
      <c r="AL461" s="59"/>
      <c r="AM461" s="59"/>
      <c r="AN461" s="59"/>
      <c r="AO461" s="59"/>
      <c r="AP461" s="59"/>
      <c r="AQ461" s="59"/>
      <c r="AR461" s="59"/>
      <c r="AS461" s="59"/>
      <c r="AT461" s="59"/>
      <c r="AU461" s="59"/>
      <c r="AV461" s="59"/>
      <c r="AW461" s="59"/>
      <c r="AX461" s="59"/>
      <c r="AY461" s="59"/>
      <c r="AZ461" s="59"/>
      <c r="BA461" s="59"/>
      <c r="BB461" s="59"/>
      <c r="BC461" s="59"/>
      <c r="BD461" s="59"/>
      <c r="BE461" s="59"/>
      <c r="BF461" s="59"/>
      <c r="BG461" s="59"/>
      <c r="BH461" s="59"/>
      <c r="BI461" s="59"/>
      <c r="BJ461" s="59"/>
      <c r="BK461" s="59"/>
      <c r="BL461" s="59"/>
      <c r="BM461" s="59"/>
      <c r="BN461" s="59"/>
      <c r="BO461" s="59"/>
      <c r="BP461" s="59"/>
      <c r="BQ461" s="59"/>
      <c r="BR461" s="59"/>
      <c r="BS461" s="59"/>
      <c r="BT461" s="59"/>
      <c r="BU461" s="59"/>
      <c r="BV461" s="59"/>
      <c r="BW461" s="59"/>
      <c r="BX461" s="59"/>
      <c r="BY461" s="59"/>
      <c r="BZ461" s="59"/>
      <c r="CA461" s="59"/>
      <c r="CB461" s="59"/>
      <c r="CC461" s="59"/>
      <c r="CD461" s="59"/>
      <c r="CE461" s="59"/>
      <c r="CF461" s="59"/>
      <c r="CG461" s="59"/>
      <c r="CH461" s="59"/>
      <c r="CI461" s="59"/>
      <c r="CJ461" s="59"/>
      <c r="CK461" s="59"/>
      <c r="CL461" s="59"/>
      <c r="CM461" s="59"/>
      <c r="CN461" s="59"/>
      <c r="CO461" s="59"/>
      <c r="CP461" s="59"/>
      <c r="CQ461" s="59"/>
      <c r="CR461" s="59"/>
      <c r="CS461" s="59"/>
      <c r="CT461" s="59"/>
      <c r="CU461" s="59"/>
      <c r="CV461" s="59"/>
      <c r="CW461" s="59"/>
      <c r="CX461" s="59"/>
      <c r="CY461" s="59"/>
      <c r="CZ461" s="59"/>
      <c r="DA461" s="59"/>
      <c r="DB461" s="59"/>
      <c r="DC461" s="59"/>
      <c r="DD461" s="59"/>
      <c r="DE461" s="59"/>
      <c r="DF461" s="59"/>
      <c r="DG461" s="59"/>
    </row>
    <row r="462" spans="1:111" ht="11.2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  <c r="AJ462" s="59"/>
      <c r="AK462" s="59"/>
      <c r="AL462" s="59"/>
      <c r="AM462" s="59"/>
      <c r="AN462" s="59"/>
      <c r="AO462" s="59"/>
      <c r="AP462" s="59"/>
      <c r="AQ462" s="59"/>
      <c r="AR462" s="59"/>
      <c r="AS462" s="59"/>
      <c r="AT462" s="59"/>
      <c r="AU462" s="59"/>
      <c r="AV462" s="59"/>
      <c r="AW462" s="59"/>
      <c r="AX462" s="59"/>
      <c r="AY462" s="59"/>
      <c r="AZ462" s="59"/>
      <c r="BA462" s="59"/>
      <c r="BB462" s="59"/>
      <c r="BC462" s="59"/>
      <c r="BD462" s="59"/>
      <c r="BE462" s="59"/>
      <c r="BF462" s="59"/>
      <c r="BG462" s="59"/>
      <c r="BH462" s="59"/>
      <c r="BI462" s="59"/>
      <c r="BJ462" s="59"/>
      <c r="BK462" s="59"/>
      <c r="BL462" s="59"/>
      <c r="BM462" s="59"/>
      <c r="BN462" s="59"/>
      <c r="BO462" s="59"/>
      <c r="BP462" s="59"/>
      <c r="BQ462" s="59"/>
      <c r="BR462" s="59"/>
      <c r="BS462" s="59"/>
      <c r="BT462" s="59"/>
      <c r="BU462" s="59"/>
      <c r="BV462" s="59"/>
      <c r="BW462" s="59"/>
      <c r="BX462" s="59"/>
      <c r="BY462" s="59"/>
      <c r="BZ462" s="59"/>
      <c r="CA462" s="59"/>
      <c r="CB462" s="59"/>
      <c r="CC462" s="59"/>
      <c r="CD462" s="59"/>
      <c r="CE462" s="59"/>
      <c r="CF462" s="59"/>
      <c r="CG462" s="59"/>
      <c r="CH462" s="59"/>
      <c r="CI462" s="59"/>
      <c r="CJ462" s="59"/>
      <c r="CK462" s="59"/>
      <c r="CL462" s="59"/>
      <c r="CM462" s="59"/>
      <c r="CN462" s="59"/>
      <c r="CO462" s="59"/>
      <c r="CP462" s="59"/>
      <c r="CQ462" s="59"/>
      <c r="CR462" s="59"/>
      <c r="CS462" s="59"/>
      <c r="CT462" s="59"/>
      <c r="CU462" s="59"/>
      <c r="CV462" s="59"/>
      <c r="CW462" s="59"/>
      <c r="CX462" s="59"/>
      <c r="CY462" s="59"/>
      <c r="CZ462" s="59"/>
      <c r="DA462" s="59"/>
      <c r="DB462" s="59"/>
      <c r="DC462" s="59"/>
      <c r="DD462" s="59"/>
      <c r="DE462" s="59"/>
      <c r="DF462" s="59"/>
      <c r="DG462" s="59"/>
    </row>
    <row r="463" spans="1:111" ht="11.2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  <c r="AJ463" s="59"/>
      <c r="AK463" s="59"/>
      <c r="AL463" s="59"/>
      <c r="AM463" s="59"/>
      <c r="AN463" s="59"/>
      <c r="AO463" s="59"/>
      <c r="AP463" s="59"/>
      <c r="AQ463" s="59"/>
      <c r="AR463" s="59"/>
      <c r="AS463" s="59"/>
      <c r="AT463" s="59"/>
      <c r="AU463" s="59"/>
      <c r="AV463" s="59"/>
      <c r="AW463" s="59"/>
      <c r="AX463" s="59"/>
      <c r="AY463" s="59"/>
      <c r="AZ463" s="59"/>
      <c r="BA463" s="59"/>
      <c r="BB463" s="59"/>
      <c r="BC463" s="59"/>
      <c r="BD463" s="59"/>
      <c r="BE463" s="59"/>
      <c r="BF463" s="59"/>
      <c r="BG463" s="59"/>
      <c r="BH463" s="59"/>
      <c r="BI463" s="59"/>
      <c r="BJ463" s="59"/>
      <c r="BK463" s="59"/>
      <c r="BL463" s="59"/>
      <c r="BM463" s="59"/>
      <c r="BN463" s="59"/>
      <c r="BO463" s="59"/>
      <c r="BP463" s="59"/>
      <c r="BQ463" s="59"/>
      <c r="BR463" s="59"/>
      <c r="BS463" s="59"/>
      <c r="BT463" s="59"/>
      <c r="BU463" s="59"/>
      <c r="BV463" s="59"/>
      <c r="BW463" s="59"/>
      <c r="BX463" s="59"/>
      <c r="BY463" s="59"/>
      <c r="BZ463" s="59"/>
      <c r="CA463" s="59"/>
      <c r="CB463" s="59"/>
      <c r="CC463" s="59"/>
      <c r="CD463" s="59"/>
      <c r="CE463" s="59"/>
      <c r="CF463" s="59"/>
      <c r="CG463" s="59"/>
      <c r="CH463" s="59"/>
      <c r="CI463" s="59"/>
      <c r="CJ463" s="59"/>
      <c r="CK463" s="59"/>
      <c r="CL463" s="59"/>
      <c r="CM463" s="59"/>
      <c r="CN463" s="59"/>
      <c r="CO463" s="59"/>
      <c r="CP463" s="59"/>
      <c r="CQ463" s="59"/>
      <c r="CR463" s="59"/>
      <c r="CS463" s="59"/>
      <c r="CT463" s="59"/>
      <c r="CU463" s="59"/>
      <c r="CV463" s="59"/>
      <c r="CW463" s="59"/>
      <c r="CX463" s="59"/>
      <c r="CY463" s="59"/>
      <c r="CZ463" s="59"/>
      <c r="DA463" s="59"/>
      <c r="DB463" s="59"/>
      <c r="DC463" s="59"/>
      <c r="DD463" s="59"/>
      <c r="DE463" s="59"/>
      <c r="DF463" s="59"/>
      <c r="DG463" s="59"/>
    </row>
    <row r="464" spans="1:111" ht="11.2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9"/>
      <c r="AW464" s="59"/>
      <c r="AX464" s="59"/>
      <c r="AY464" s="59"/>
      <c r="AZ464" s="59"/>
      <c r="BA464" s="59"/>
      <c r="BB464" s="59"/>
      <c r="BC464" s="59"/>
      <c r="BD464" s="59"/>
      <c r="BE464" s="59"/>
      <c r="BF464" s="59"/>
      <c r="BG464" s="59"/>
      <c r="BH464" s="59"/>
      <c r="BI464" s="59"/>
      <c r="BJ464" s="59"/>
      <c r="BK464" s="59"/>
      <c r="BL464" s="59"/>
      <c r="BM464" s="59"/>
      <c r="BN464" s="59"/>
      <c r="BO464" s="59"/>
      <c r="BP464" s="59"/>
      <c r="BQ464" s="59"/>
      <c r="BR464" s="59"/>
      <c r="BS464" s="59"/>
      <c r="BT464" s="59"/>
      <c r="BU464" s="59"/>
      <c r="BV464" s="59"/>
      <c r="BW464" s="59"/>
      <c r="BX464" s="59"/>
      <c r="BY464" s="59"/>
      <c r="BZ464" s="59"/>
      <c r="CA464" s="59"/>
      <c r="CB464" s="59"/>
      <c r="CC464" s="59"/>
      <c r="CD464" s="59"/>
      <c r="CE464" s="59"/>
      <c r="CF464" s="59"/>
      <c r="CG464" s="59"/>
      <c r="CH464" s="59"/>
      <c r="CI464" s="59"/>
      <c r="CJ464" s="59"/>
      <c r="CK464" s="59"/>
      <c r="CL464" s="59"/>
      <c r="CM464" s="59"/>
      <c r="CN464" s="59"/>
      <c r="CO464" s="59"/>
      <c r="CP464" s="59"/>
      <c r="CQ464" s="59"/>
      <c r="CR464" s="59"/>
      <c r="CS464" s="59"/>
      <c r="CT464" s="59"/>
      <c r="CU464" s="59"/>
      <c r="CV464" s="59"/>
      <c r="CW464" s="59"/>
      <c r="CX464" s="59"/>
      <c r="CY464" s="59"/>
      <c r="CZ464" s="59"/>
      <c r="DA464" s="59"/>
      <c r="DB464" s="59"/>
      <c r="DC464" s="59"/>
      <c r="DD464" s="59"/>
      <c r="DE464" s="59"/>
      <c r="DF464" s="59"/>
      <c r="DG464" s="59"/>
    </row>
    <row r="465" spans="1:111" ht="11.2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9"/>
      <c r="AW465" s="59"/>
      <c r="AX465" s="59"/>
      <c r="AY465" s="59"/>
      <c r="AZ465" s="59"/>
      <c r="BA465" s="59"/>
      <c r="BB465" s="59"/>
      <c r="BC465" s="59"/>
      <c r="BD465" s="59"/>
      <c r="BE465" s="59"/>
      <c r="BF465" s="59"/>
      <c r="BG465" s="59"/>
      <c r="BH465" s="59"/>
      <c r="BI465" s="59"/>
      <c r="BJ465" s="59"/>
      <c r="BK465" s="59"/>
      <c r="BL465" s="59"/>
      <c r="BM465" s="59"/>
      <c r="BN465" s="59"/>
      <c r="BO465" s="59"/>
      <c r="BP465" s="59"/>
      <c r="BQ465" s="59"/>
      <c r="BR465" s="59"/>
      <c r="BS465" s="59"/>
      <c r="BT465" s="59"/>
      <c r="BU465" s="59"/>
      <c r="BV465" s="59"/>
      <c r="BW465" s="59"/>
      <c r="BX465" s="59"/>
      <c r="BY465" s="59"/>
      <c r="BZ465" s="59"/>
      <c r="CA465" s="59"/>
      <c r="CB465" s="59"/>
      <c r="CC465" s="59"/>
      <c r="CD465" s="59"/>
      <c r="CE465" s="59"/>
      <c r="CF465" s="59"/>
      <c r="CG465" s="59"/>
      <c r="CH465" s="59"/>
      <c r="CI465" s="59"/>
      <c r="CJ465" s="59"/>
      <c r="CK465" s="59"/>
      <c r="CL465" s="59"/>
      <c r="CM465" s="59"/>
      <c r="CN465" s="59"/>
      <c r="CO465" s="59"/>
      <c r="CP465" s="59"/>
      <c r="CQ465" s="59"/>
      <c r="CR465" s="59"/>
      <c r="CS465" s="59"/>
      <c r="CT465" s="59"/>
      <c r="CU465" s="59"/>
      <c r="CV465" s="59"/>
      <c r="CW465" s="59"/>
      <c r="CX465" s="59"/>
      <c r="CY465" s="59"/>
      <c r="CZ465" s="59"/>
      <c r="DA465" s="59"/>
      <c r="DB465" s="59"/>
      <c r="DC465" s="59"/>
      <c r="DD465" s="59"/>
      <c r="DE465" s="59"/>
      <c r="DF465" s="59"/>
      <c r="DG465" s="59"/>
    </row>
    <row r="466" spans="1:111" ht="11.2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  <c r="AJ466" s="59"/>
      <c r="AK466" s="59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9"/>
      <c r="AW466" s="59"/>
      <c r="AX466" s="59"/>
      <c r="AY466" s="59"/>
      <c r="AZ466" s="59"/>
      <c r="BA466" s="59"/>
      <c r="BB466" s="59"/>
      <c r="BC466" s="59"/>
      <c r="BD466" s="59"/>
      <c r="BE466" s="59"/>
      <c r="BF466" s="59"/>
      <c r="BG466" s="59"/>
      <c r="BH466" s="59"/>
      <c r="BI466" s="59"/>
      <c r="BJ466" s="59"/>
      <c r="BK466" s="59"/>
      <c r="BL466" s="59"/>
      <c r="BM466" s="59"/>
      <c r="BN466" s="59"/>
      <c r="BO466" s="59"/>
      <c r="BP466" s="59"/>
      <c r="BQ466" s="59"/>
      <c r="BR466" s="59"/>
      <c r="BS466" s="59"/>
      <c r="BT466" s="59"/>
      <c r="BU466" s="59"/>
      <c r="BV466" s="59"/>
      <c r="BW466" s="59"/>
      <c r="BX466" s="59"/>
      <c r="BY466" s="59"/>
      <c r="BZ466" s="59"/>
      <c r="CA466" s="59"/>
      <c r="CB466" s="59"/>
      <c r="CC466" s="59"/>
      <c r="CD466" s="59"/>
      <c r="CE466" s="59"/>
      <c r="CF466" s="59"/>
      <c r="CG466" s="59"/>
      <c r="CH466" s="59"/>
      <c r="CI466" s="59"/>
      <c r="CJ466" s="59"/>
      <c r="CK466" s="59"/>
      <c r="CL466" s="59"/>
      <c r="CM466" s="59"/>
      <c r="CN466" s="59"/>
      <c r="CO466" s="59"/>
      <c r="CP466" s="59"/>
      <c r="CQ466" s="59"/>
      <c r="CR466" s="59"/>
      <c r="CS466" s="59"/>
      <c r="CT466" s="59"/>
      <c r="CU466" s="59"/>
      <c r="CV466" s="59"/>
      <c r="CW466" s="59"/>
      <c r="CX466" s="59"/>
      <c r="CY466" s="59"/>
      <c r="CZ466" s="59"/>
      <c r="DA466" s="59"/>
      <c r="DB466" s="59"/>
      <c r="DC466" s="59"/>
      <c r="DD466" s="59"/>
      <c r="DE466" s="59"/>
      <c r="DF466" s="59"/>
      <c r="DG466" s="59"/>
    </row>
    <row r="467" spans="1:111" ht="11.2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  <c r="BC467" s="59"/>
      <c r="BD467" s="59"/>
      <c r="BE467" s="59"/>
      <c r="BF467" s="59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59"/>
      <c r="BW467" s="59"/>
      <c r="BX467" s="59"/>
      <c r="BY467" s="59"/>
      <c r="BZ467" s="59"/>
      <c r="CA467" s="59"/>
      <c r="CB467" s="59"/>
      <c r="CC467" s="59"/>
      <c r="CD467" s="59"/>
      <c r="CE467" s="59"/>
      <c r="CF467" s="59"/>
      <c r="CG467" s="59"/>
      <c r="CH467" s="59"/>
      <c r="CI467" s="59"/>
      <c r="CJ467" s="59"/>
      <c r="CK467" s="59"/>
      <c r="CL467" s="59"/>
      <c r="CM467" s="59"/>
      <c r="CN467" s="59"/>
      <c r="CO467" s="59"/>
      <c r="CP467" s="59"/>
      <c r="CQ467" s="59"/>
      <c r="CR467" s="59"/>
      <c r="CS467" s="59"/>
      <c r="CT467" s="59"/>
      <c r="CU467" s="59"/>
      <c r="CV467" s="59"/>
      <c r="CW467" s="59"/>
      <c r="CX467" s="59"/>
      <c r="CY467" s="59"/>
      <c r="CZ467" s="59"/>
      <c r="DA467" s="59"/>
      <c r="DB467" s="59"/>
      <c r="DC467" s="59"/>
      <c r="DD467" s="59"/>
      <c r="DE467" s="59"/>
      <c r="DF467" s="59"/>
      <c r="DG467" s="59"/>
    </row>
    <row r="468" spans="1:111" ht="11.2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59"/>
      <c r="BW468" s="59"/>
      <c r="BX468" s="59"/>
      <c r="BY468" s="59"/>
      <c r="BZ468" s="59"/>
      <c r="CA468" s="59"/>
      <c r="CB468" s="59"/>
      <c r="CC468" s="59"/>
      <c r="CD468" s="59"/>
      <c r="CE468" s="59"/>
      <c r="CF468" s="59"/>
      <c r="CG468" s="59"/>
      <c r="CH468" s="59"/>
      <c r="CI468" s="59"/>
      <c r="CJ468" s="59"/>
      <c r="CK468" s="59"/>
      <c r="CL468" s="59"/>
      <c r="CM468" s="59"/>
      <c r="CN468" s="59"/>
      <c r="CO468" s="59"/>
      <c r="CP468" s="59"/>
      <c r="CQ468" s="59"/>
      <c r="CR468" s="59"/>
      <c r="CS468" s="59"/>
      <c r="CT468" s="59"/>
      <c r="CU468" s="59"/>
      <c r="CV468" s="59"/>
      <c r="CW468" s="59"/>
      <c r="CX468" s="59"/>
      <c r="CY468" s="59"/>
      <c r="CZ468" s="59"/>
      <c r="DA468" s="59"/>
      <c r="DB468" s="59"/>
      <c r="DC468" s="59"/>
      <c r="DD468" s="59"/>
      <c r="DE468" s="59"/>
      <c r="DF468" s="59"/>
      <c r="DG468" s="59"/>
    </row>
    <row r="469" spans="1:111" ht="11.2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  <c r="BC469" s="59"/>
      <c r="BD469" s="59"/>
      <c r="BE469" s="59"/>
      <c r="BF469" s="59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  <c r="BV469" s="59"/>
      <c r="BW469" s="59"/>
      <c r="BX469" s="59"/>
      <c r="BY469" s="59"/>
      <c r="BZ469" s="59"/>
      <c r="CA469" s="59"/>
      <c r="CB469" s="59"/>
      <c r="CC469" s="59"/>
      <c r="CD469" s="59"/>
      <c r="CE469" s="59"/>
      <c r="CF469" s="59"/>
      <c r="CG469" s="59"/>
      <c r="CH469" s="59"/>
      <c r="CI469" s="59"/>
      <c r="CJ469" s="59"/>
      <c r="CK469" s="59"/>
      <c r="CL469" s="59"/>
      <c r="CM469" s="59"/>
      <c r="CN469" s="59"/>
      <c r="CO469" s="59"/>
      <c r="CP469" s="59"/>
      <c r="CQ469" s="59"/>
      <c r="CR469" s="59"/>
      <c r="CS469" s="59"/>
      <c r="CT469" s="59"/>
      <c r="CU469" s="59"/>
      <c r="CV469" s="59"/>
      <c r="CW469" s="59"/>
      <c r="CX469" s="59"/>
      <c r="CY469" s="59"/>
      <c r="CZ469" s="59"/>
      <c r="DA469" s="59"/>
      <c r="DB469" s="59"/>
      <c r="DC469" s="59"/>
      <c r="DD469" s="59"/>
      <c r="DE469" s="59"/>
      <c r="DF469" s="59"/>
      <c r="DG469" s="59"/>
    </row>
    <row r="470" spans="1:111" ht="11.2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59"/>
      <c r="AO470" s="59"/>
      <c r="AP470" s="59"/>
      <c r="AQ470" s="59"/>
      <c r="AR470" s="59"/>
      <c r="AS470" s="59"/>
      <c r="AT470" s="59"/>
      <c r="AU470" s="59"/>
      <c r="AV470" s="59"/>
      <c r="AW470" s="59"/>
      <c r="AX470" s="59"/>
      <c r="AY470" s="59"/>
      <c r="AZ470" s="59"/>
      <c r="BA470" s="59"/>
      <c r="BB470" s="59"/>
      <c r="BC470" s="59"/>
      <c r="BD470" s="59"/>
      <c r="BE470" s="59"/>
      <c r="BF470" s="59"/>
      <c r="BG470" s="59"/>
      <c r="BH470" s="59"/>
      <c r="BI470" s="59"/>
      <c r="BJ470" s="59"/>
      <c r="BK470" s="59"/>
      <c r="BL470" s="59"/>
      <c r="BM470" s="59"/>
      <c r="BN470" s="59"/>
      <c r="BO470" s="59"/>
      <c r="BP470" s="59"/>
      <c r="BQ470" s="59"/>
      <c r="BR470" s="59"/>
      <c r="BS470" s="59"/>
      <c r="BT470" s="59"/>
      <c r="BU470" s="59"/>
      <c r="BV470" s="59"/>
      <c r="BW470" s="59"/>
      <c r="BX470" s="59"/>
      <c r="BY470" s="59"/>
      <c r="BZ470" s="59"/>
      <c r="CA470" s="59"/>
      <c r="CB470" s="59"/>
      <c r="CC470" s="59"/>
      <c r="CD470" s="59"/>
      <c r="CE470" s="59"/>
      <c r="CF470" s="59"/>
      <c r="CG470" s="59"/>
      <c r="CH470" s="59"/>
      <c r="CI470" s="59"/>
      <c r="CJ470" s="59"/>
      <c r="CK470" s="59"/>
      <c r="CL470" s="59"/>
      <c r="CM470" s="59"/>
      <c r="CN470" s="59"/>
      <c r="CO470" s="59"/>
      <c r="CP470" s="59"/>
      <c r="CQ470" s="59"/>
      <c r="CR470" s="59"/>
      <c r="CS470" s="59"/>
      <c r="CT470" s="59"/>
      <c r="CU470" s="59"/>
      <c r="CV470" s="59"/>
      <c r="CW470" s="59"/>
      <c r="CX470" s="59"/>
      <c r="CY470" s="59"/>
      <c r="CZ470" s="59"/>
      <c r="DA470" s="59"/>
      <c r="DB470" s="59"/>
      <c r="DC470" s="59"/>
      <c r="DD470" s="59"/>
      <c r="DE470" s="59"/>
      <c r="DF470" s="59"/>
      <c r="DG470" s="59"/>
    </row>
    <row r="471" spans="1:111" ht="11.2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  <c r="BV471" s="59"/>
      <c r="BW471" s="59"/>
      <c r="BX471" s="59"/>
      <c r="BY471" s="59"/>
      <c r="BZ471" s="59"/>
      <c r="CA471" s="59"/>
      <c r="CB471" s="59"/>
      <c r="CC471" s="59"/>
      <c r="CD471" s="59"/>
      <c r="CE471" s="59"/>
      <c r="CF471" s="59"/>
      <c r="CG471" s="59"/>
      <c r="CH471" s="59"/>
      <c r="CI471" s="59"/>
      <c r="CJ471" s="59"/>
      <c r="CK471" s="59"/>
      <c r="CL471" s="59"/>
      <c r="CM471" s="59"/>
      <c r="CN471" s="59"/>
      <c r="CO471" s="59"/>
      <c r="CP471" s="59"/>
      <c r="CQ471" s="59"/>
      <c r="CR471" s="59"/>
      <c r="CS471" s="59"/>
      <c r="CT471" s="59"/>
      <c r="CU471" s="59"/>
      <c r="CV471" s="59"/>
      <c r="CW471" s="59"/>
      <c r="CX471" s="59"/>
      <c r="CY471" s="59"/>
      <c r="CZ471" s="59"/>
      <c r="DA471" s="59"/>
      <c r="DB471" s="59"/>
      <c r="DC471" s="59"/>
      <c r="DD471" s="59"/>
      <c r="DE471" s="59"/>
      <c r="DF471" s="59"/>
      <c r="DG471" s="59"/>
    </row>
    <row r="472" spans="1:111" ht="11.2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9"/>
      <c r="AW472" s="59"/>
      <c r="AX472" s="59"/>
      <c r="AY472" s="59"/>
      <c r="AZ472" s="59"/>
      <c r="BA472" s="59"/>
      <c r="BB472" s="59"/>
      <c r="BC472" s="59"/>
      <c r="BD472" s="59"/>
      <c r="BE472" s="59"/>
      <c r="BF472" s="59"/>
      <c r="BG472" s="59"/>
      <c r="BH472" s="59"/>
      <c r="BI472" s="59"/>
      <c r="BJ472" s="59"/>
      <c r="BK472" s="59"/>
      <c r="BL472" s="59"/>
      <c r="BM472" s="59"/>
      <c r="BN472" s="59"/>
      <c r="BO472" s="59"/>
      <c r="BP472" s="59"/>
      <c r="BQ472" s="59"/>
      <c r="BR472" s="59"/>
      <c r="BS472" s="59"/>
      <c r="BT472" s="59"/>
      <c r="BU472" s="59"/>
      <c r="BV472" s="59"/>
      <c r="BW472" s="59"/>
      <c r="BX472" s="59"/>
      <c r="BY472" s="59"/>
      <c r="BZ472" s="59"/>
      <c r="CA472" s="59"/>
      <c r="CB472" s="59"/>
      <c r="CC472" s="59"/>
      <c r="CD472" s="59"/>
      <c r="CE472" s="59"/>
      <c r="CF472" s="59"/>
      <c r="CG472" s="59"/>
      <c r="CH472" s="59"/>
      <c r="CI472" s="59"/>
      <c r="CJ472" s="59"/>
      <c r="CK472" s="59"/>
      <c r="CL472" s="59"/>
      <c r="CM472" s="59"/>
      <c r="CN472" s="59"/>
      <c r="CO472" s="59"/>
      <c r="CP472" s="59"/>
      <c r="CQ472" s="59"/>
      <c r="CR472" s="59"/>
      <c r="CS472" s="59"/>
      <c r="CT472" s="59"/>
      <c r="CU472" s="59"/>
      <c r="CV472" s="59"/>
      <c r="CW472" s="59"/>
      <c r="CX472" s="59"/>
      <c r="CY472" s="59"/>
      <c r="CZ472" s="59"/>
      <c r="DA472" s="59"/>
      <c r="DB472" s="59"/>
      <c r="DC472" s="59"/>
      <c r="DD472" s="59"/>
      <c r="DE472" s="59"/>
      <c r="DF472" s="59"/>
      <c r="DG472" s="59"/>
    </row>
    <row r="473" spans="1:111" ht="11.2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  <c r="BC473" s="59"/>
      <c r="BD473" s="59"/>
      <c r="BE473" s="59"/>
      <c r="BF473" s="59"/>
      <c r="BG473" s="59"/>
      <c r="BH473" s="59"/>
      <c r="BI473" s="59"/>
      <c r="BJ473" s="59"/>
      <c r="BK473" s="59"/>
      <c r="BL473" s="59"/>
      <c r="BM473" s="59"/>
      <c r="BN473" s="59"/>
      <c r="BO473" s="59"/>
      <c r="BP473" s="59"/>
      <c r="BQ473" s="59"/>
      <c r="BR473" s="59"/>
      <c r="BS473" s="59"/>
      <c r="BT473" s="59"/>
      <c r="BU473" s="59"/>
      <c r="BV473" s="59"/>
      <c r="BW473" s="59"/>
      <c r="BX473" s="59"/>
      <c r="BY473" s="59"/>
      <c r="BZ473" s="59"/>
      <c r="CA473" s="59"/>
      <c r="CB473" s="59"/>
      <c r="CC473" s="59"/>
      <c r="CD473" s="59"/>
      <c r="CE473" s="59"/>
      <c r="CF473" s="59"/>
      <c r="CG473" s="59"/>
      <c r="CH473" s="59"/>
      <c r="CI473" s="59"/>
      <c r="CJ473" s="59"/>
      <c r="CK473" s="59"/>
      <c r="CL473" s="59"/>
      <c r="CM473" s="59"/>
      <c r="CN473" s="59"/>
      <c r="CO473" s="59"/>
      <c r="CP473" s="59"/>
      <c r="CQ473" s="59"/>
      <c r="CR473" s="59"/>
      <c r="CS473" s="59"/>
      <c r="CT473" s="59"/>
      <c r="CU473" s="59"/>
      <c r="CV473" s="59"/>
      <c r="CW473" s="59"/>
      <c r="CX473" s="59"/>
      <c r="CY473" s="59"/>
      <c r="CZ473" s="59"/>
      <c r="DA473" s="59"/>
      <c r="DB473" s="59"/>
      <c r="DC473" s="59"/>
      <c r="DD473" s="59"/>
      <c r="DE473" s="59"/>
      <c r="DF473" s="59"/>
      <c r="DG473" s="59"/>
    </row>
    <row r="474" spans="1:111" ht="11.2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  <c r="BC474" s="59"/>
      <c r="BD474" s="59"/>
      <c r="BE474" s="59"/>
      <c r="BF474" s="59"/>
      <c r="BG474" s="59"/>
      <c r="BH474" s="59"/>
      <c r="BI474" s="59"/>
      <c r="BJ474" s="59"/>
      <c r="BK474" s="59"/>
      <c r="BL474" s="59"/>
      <c r="BM474" s="59"/>
      <c r="BN474" s="59"/>
      <c r="BO474" s="59"/>
      <c r="BP474" s="59"/>
      <c r="BQ474" s="59"/>
      <c r="BR474" s="59"/>
      <c r="BS474" s="59"/>
      <c r="BT474" s="59"/>
      <c r="BU474" s="59"/>
      <c r="BV474" s="59"/>
      <c r="BW474" s="59"/>
      <c r="BX474" s="59"/>
      <c r="BY474" s="59"/>
      <c r="BZ474" s="59"/>
      <c r="CA474" s="59"/>
      <c r="CB474" s="59"/>
      <c r="CC474" s="59"/>
      <c r="CD474" s="59"/>
      <c r="CE474" s="59"/>
      <c r="CF474" s="59"/>
      <c r="CG474" s="59"/>
      <c r="CH474" s="59"/>
      <c r="CI474" s="59"/>
      <c r="CJ474" s="59"/>
      <c r="CK474" s="59"/>
      <c r="CL474" s="59"/>
      <c r="CM474" s="59"/>
      <c r="CN474" s="59"/>
      <c r="CO474" s="59"/>
      <c r="CP474" s="59"/>
      <c r="CQ474" s="59"/>
      <c r="CR474" s="59"/>
      <c r="CS474" s="59"/>
      <c r="CT474" s="59"/>
      <c r="CU474" s="59"/>
      <c r="CV474" s="59"/>
      <c r="CW474" s="59"/>
      <c r="CX474" s="59"/>
      <c r="CY474" s="59"/>
      <c r="CZ474" s="59"/>
      <c r="DA474" s="59"/>
      <c r="DB474" s="59"/>
      <c r="DC474" s="59"/>
      <c r="DD474" s="59"/>
      <c r="DE474" s="59"/>
      <c r="DF474" s="59"/>
      <c r="DG474" s="59"/>
    </row>
    <row r="475" spans="1:111" ht="11.2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  <c r="BC475" s="59"/>
      <c r="BD475" s="59"/>
      <c r="BE475" s="59"/>
      <c r="BF475" s="59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  <c r="BV475" s="59"/>
      <c r="BW475" s="59"/>
      <c r="BX475" s="59"/>
      <c r="BY475" s="59"/>
      <c r="BZ475" s="59"/>
      <c r="CA475" s="59"/>
      <c r="CB475" s="59"/>
      <c r="CC475" s="59"/>
      <c r="CD475" s="59"/>
      <c r="CE475" s="59"/>
      <c r="CF475" s="59"/>
      <c r="CG475" s="59"/>
      <c r="CH475" s="59"/>
      <c r="CI475" s="59"/>
      <c r="CJ475" s="59"/>
      <c r="CK475" s="59"/>
      <c r="CL475" s="59"/>
      <c r="CM475" s="59"/>
      <c r="CN475" s="59"/>
      <c r="CO475" s="59"/>
      <c r="CP475" s="59"/>
      <c r="CQ475" s="59"/>
      <c r="CR475" s="59"/>
      <c r="CS475" s="59"/>
      <c r="CT475" s="59"/>
      <c r="CU475" s="59"/>
      <c r="CV475" s="59"/>
      <c r="CW475" s="59"/>
      <c r="CX475" s="59"/>
      <c r="CY475" s="59"/>
      <c r="CZ475" s="59"/>
      <c r="DA475" s="59"/>
      <c r="DB475" s="59"/>
      <c r="DC475" s="59"/>
      <c r="DD475" s="59"/>
      <c r="DE475" s="59"/>
      <c r="DF475" s="59"/>
      <c r="DG475" s="59"/>
    </row>
    <row r="476" spans="1:111" ht="11.2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/>
      <c r="AM476" s="59"/>
      <c r="AN476" s="59"/>
      <c r="AO476" s="59"/>
      <c r="AP476" s="59"/>
      <c r="AQ476" s="59"/>
      <c r="AR476" s="59"/>
      <c r="AS476" s="59"/>
      <c r="AT476" s="59"/>
      <c r="AU476" s="59"/>
      <c r="AV476" s="59"/>
      <c r="AW476" s="59"/>
      <c r="AX476" s="59"/>
      <c r="AY476" s="59"/>
      <c r="AZ476" s="59"/>
      <c r="BA476" s="59"/>
      <c r="BB476" s="59"/>
      <c r="BC476" s="59"/>
      <c r="BD476" s="59"/>
      <c r="BE476" s="59"/>
      <c r="BF476" s="59"/>
      <c r="BG476" s="59"/>
      <c r="BH476" s="59"/>
      <c r="BI476" s="59"/>
      <c r="BJ476" s="59"/>
      <c r="BK476" s="59"/>
      <c r="BL476" s="59"/>
      <c r="BM476" s="59"/>
      <c r="BN476" s="59"/>
      <c r="BO476" s="59"/>
      <c r="BP476" s="59"/>
      <c r="BQ476" s="59"/>
      <c r="BR476" s="59"/>
      <c r="BS476" s="59"/>
      <c r="BT476" s="59"/>
      <c r="BU476" s="59"/>
      <c r="BV476" s="59"/>
      <c r="BW476" s="59"/>
      <c r="BX476" s="59"/>
      <c r="BY476" s="59"/>
      <c r="BZ476" s="59"/>
      <c r="CA476" s="59"/>
      <c r="CB476" s="59"/>
      <c r="CC476" s="59"/>
      <c r="CD476" s="59"/>
      <c r="CE476" s="59"/>
      <c r="CF476" s="59"/>
      <c r="CG476" s="59"/>
      <c r="CH476" s="59"/>
      <c r="CI476" s="59"/>
      <c r="CJ476" s="59"/>
      <c r="CK476" s="59"/>
      <c r="CL476" s="59"/>
      <c r="CM476" s="59"/>
      <c r="CN476" s="59"/>
      <c r="CO476" s="59"/>
      <c r="CP476" s="59"/>
      <c r="CQ476" s="59"/>
      <c r="CR476" s="59"/>
      <c r="CS476" s="59"/>
      <c r="CT476" s="59"/>
      <c r="CU476" s="59"/>
      <c r="CV476" s="59"/>
      <c r="CW476" s="59"/>
      <c r="CX476" s="59"/>
      <c r="CY476" s="59"/>
      <c r="CZ476" s="59"/>
      <c r="DA476" s="59"/>
      <c r="DB476" s="59"/>
      <c r="DC476" s="59"/>
      <c r="DD476" s="59"/>
      <c r="DE476" s="59"/>
      <c r="DF476" s="59"/>
      <c r="DG476" s="59"/>
    </row>
    <row r="477" spans="1:111" ht="11.2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  <c r="AJ477" s="59"/>
      <c r="AK477" s="59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9"/>
      <c r="AW477" s="59"/>
      <c r="AX477" s="59"/>
      <c r="AY477" s="59"/>
      <c r="AZ477" s="59"/>
      <c r="BA477" s="59"/>
      <c r="BB477" s="59"/>
      <c r="BC477" s="59"/>
      <c r="BD477" s="59"/>
      <c r="BE477" s="59"/>
      <c r="BF477" s="59"/>
      <c r="BG477" s="59"/>
      <c r="BH477" s="59"/>
      <c r="BI477" s="59"/>
      <c r="BJ477" s="59"/>
      <c r="BK477" s="59"/>
      <c r="BL477" s="59"/>
      <c r="BM477" s="59"/>
      <c r="BN477" s="59"/>
      <c r="BO477" s="59"/>
      <c r="BP477" s="59"/>
      <c r="BQ477" s="59"/>
      <c r="BR477" s="59"/>
      <c r="BS477" s="59"/>
      <c r="BT477" s="59"/>
      <c r="BU477" s="59"/>
      <c r="BV477" s="59"/>
      <c r="BW477" s="59"/>
      <c r="BX477" s="59"/>
      <c r="BY477" s="59"/>
      <c r="BZ477" s="59"/>
      <c r="CA477" s="59"/>
      <c r="CB477" s="59"/>
      <c r="CC477" s="59"/>
      <c r="CD477" s="59"/>
      <c r="CE477" s="59"/>
      <c r="CF477" s="59"/>
      <c r="CG477" s="59"/>
      <c r="CH477" s="59"/>
      <c r="CI477" s="59"/>
      <c r="CJ477" s="59"/>
      <c r="CK477" s="59"/>
      <c r="CL477" s="59"/>
      <c r="CM477" s="59"/>
      <c r="CN477" s="59"/>
      <c r="CO477" s="59"/>
      <c r="CP477" s="59"/>
      <c r="CQ477" s="59"/>
      <c r="CR477" s="59"/>
      <c r="CS477" s="59"/>
      <c r="CT477" s="59"/>
      <c r="CU477" s="59"/>
      <c r="CV477" s="59"/>
      <c r="CW477" s="59"/>
      <c r="CX477" s="59"/>
      <c r="CY477" s="59"/>
      <c r="CZ477" s="59"/>
      <c r="DA477" s="59"/>
      <c r="DB477" s="59"/>
      <c r="DC477" s="59"/>
      <c r="DD477" s="59"/>
      <c r="DE477" s="59"/>
      <c r="DF477" s="59"/>
      <c r="DG477" s="59"/>
    </row>
    <row r="478" spans="1:111" ht="11.2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  <c r="AJ478" s="59"/>
      <c r="AK478" s="59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9"/>
      <c r="AW478" s="59"/>
      <c r="AX478" s="59"/>
      <c r="AY478" s="59"/>
      <c r="AZ478" s="59"/>
      <c r="BA478" s="59"/>
      <c r="BB478" s="59"/>
      <c r="BC478" s="59"/>
      <c r="BD478" s="59"/>
      <c r="BE478" s="59"/>
      <c r="BF478" s="59"/>
      <c r="BG478" s="59"/>
      <c r="BH478" s="59"/>
      <c r="BI478" s="59"/>
      <c r="BJ478" s="59"/>
      <c r="BK478" s="59"/>
      <c r="BL478" s="59"/>
      <c r="BM478" s="59"/>
      <c r="BN478" s="59"/>
      <c r="BO478" s="59"/>
      <c r="BP478" s="59"/>
      <c r="BQ478" s="59"/>
      <c r="BR478" s="59"/>
      <c r="BS478" s="59"/>
      <c r="BT478" s="59"/>
      <c r="BU478" s="59"/>
      <c r="BV478" s="59"/>
      <c r="BW478" s="59"/>
      <c r="BX478" s="59"/>
      <c r="BY478" s="59"/>
      <c r="BZ478" s="59"/>
      <c r="CA478" s="59"/>
      <c r="CB478" s="59"/>
      <c r="CC478" s="59"/>
      <c r="CD478" s="59"/>
      <c r="CE478" s="59"/>
      <c r="CF478" s="59"/>
      <c r="CG478" s="59"/>
      <c r="CH478" s="59"/>
      <c r="CI478" s="59"/>
      <c r="CJ478" s="59"/>
      <c r="CK478" s="59"/>
      <c r="CL478" s="59"/>
      <c r="CM478" s="59"/>
      <c r="CN478" s="59"/>
      <c r="CO478" s="59"/>
      <c r="CP478" s="59"/>
      <c r="CQ478" s="59"/>
      <c r="CR478" s="59"/>
      <c r="CS478" s="59"/>
      <c r="CT478" s="59"/>
      <c r="CU478" s="59"/>
      <c r="CV478" s="59"/>
      <c r="CW478" s="59"/>
      <c r="CX478" s="59"/>
      <c r="CY478" s="59"/>
      <c r="CZ478" s="59"/>
      <c r="DA478" s="59"/>
      <c r="DB478" s="59"/>
      <c r="DC478" s="59"/>
      <c r="DD478" s="59"/>
      <c r="DE478" s="59"/>
      <c r="DF478" s="59"/>
      <c r="DG478" s="59"/>
    </row>
    <row r="479" spans="1:111" ht="11.2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  <c r="AJ479" s="59"/>
      <c r="AK479" s="59"/>
      <c r="AL479" s="59"/>
      <c r="AM479" s="59"/>
      <c r="AN479" s="59"/>
      <c r="AO479" s="59"/>
      <c r="AP479" s="59"/>
      <c r="AQ479" s="59"/>
      <c r="AR479" s="59"/>
      <c r="AS479" s="59"/>
      <c r="AT479" s="59"/>
      <c r="AU479" s="59"/>
      <c r="AV479" s="59"/>
      <c r="AW479" s="59"/>
      <c r="AX479" s="59"/>
      <c r="AY479" s="59"/>
      <c r="AZ479" s="59"/>
      <c r="BA479" s="59"/>
      <c r="BB479" s="59"/>
      <c r="BC479" s="59"/>
      <c r="BD479" s="59"/>
      <c r="BE479" s="59"/>
      <c r="BF479" s="59"/>
      <c r="BG479" s="59"/>
      <c r="BH479" s="59"/>
      <c r="BI479" s="59"/>
      <c r="BJ479" s="59"/>
      <c r="BK479" s="59"/>
      <c r="BL479" s="59"/>
      <c r="BM479" s="59"/>
      <c r="BN479" s="59"/>
      <c r="BO479" s="59"/>
      <c r="BP479" s="59"/>
      <c r="BQ479" s="59"/>
      <c r="BR479" s="59"/>
      <c r="BS479" s="59"/>
      <c r="BT479" s="59"/>
      <c r="BU479" s="59"/>
      <c r="BV479" s="59"/>
      <c r="BW479" s="59"/>
      <c r="BX479" s="59"/>
      <c r="BY479" s="59"/>
      <c r="BZ479" s="59"/>
      <c r="CA479" s="59"/>
      <c r="CB479" s="59"/>
      <c r="CC479" s="59"/>
      <c r="CD479" s="59"/>
      <c r="CE479" s="59"/>
      <c r="CF479" s="59"/>
      <c r="CG479" s="59"/>
      <c r="CH479" s="59"/>
      <c r="CI479" s="59"/>
      <c r="CJ479" s="59"/>
      <c r="CK479" s="59"/>
      <c r="CL479" s="59"/>
      <c r="CM479" s="59"/>
      <c r="CN479" s="59"/>
      <c r="CO479" s="59"/>
      <c r="CP479" s="59"/>
      <c r="CQ479" s="59"/>
      <c r="CR479" s="59"/>
      <c r="CS479" s="59"/>
      <c r="CT479" s="59"/>
      <c r="CU479" s="59"/>
      <c r="CV479" s="59"/>
      <c r="CW479" s="59"/>
      <c r="CX479" s="59"/>
      <c r="CY479" s="59"/>
      <c r="CZ479" s="59"/>
      <c r="DA479" s="59"/>
      <c r="DB479" s="59"/>
      <c r="DC479" s="59"/>
      <c r="DD479" s="59"/>
      <c r="DE479" s="59"/>
      <c r="DF479" s="59"/>
      <c r="DG479" s="59"/>
    </row>
    <row r="480" spans="1:111" ht="11.2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  <c r="AJ480" s="59"/>
      <c r="AK480" s="59"/>
      <c r="AL480" s="59"/>
      <c r="AM480" s="59"/>
      <c r="AN480" s="59"/>
      <c r="AO480" s="59"/>
      <c r="AP480" s="59"/>
      <c r="AQ480" s="59"/>
      <c r="AR480" s="59"/>
      <c r="AS480" s="59"/>
      <c r="AT480" s="59"/>
      <c r="AU480" s="59"/>
      <c r="AV480" s="59"/>
      <c r="AW480" s="59"/>
      <c r="AX480" s="59"/>
      <c r="AY480" s="59"/>
      <c r="AZ480" s="59"/>
      <c r="BA480" s="59"/>
      <c r="BB480" s="59"/>
      <c r="BC480" s="59"/>
      <c r="BD480" s="59"/>
      <c r="BE480" s="59"/>
      <c r="BF480" s="59"/>
      <c r="BG480" s="59"/>
      <c r="BH480" s="59"/>
      <c r="BI480" s="59"/>
      <c r="BJ480" s="59"/>
      <c r="BK480" s="59"/>
      <c r="BL480" s="59"/>
      <c r="BM480" s="59"/>
      <c r="BN480" s="59"/>
      <c r="BO480" s="59"/>
      <c r="BP480" s="59"/>
      <c r="BQ480" s="59"/>
      <c r="BR480" s="59"/>
      <c r="BS480" s="59"/>
      <c r="BT480" s="59"/>
      <c r="BU480" s="59"/>
      <c r="BV480" s="59"/>
      <c r="BW480" s="59"/>
      <c r="BX480" s="59"/>
      <c r="BY480" s="59"/>
      <c r="BZ480" s="59"/>
      <c r="CA480" s="59"/>
      <c r="CB480" s="59"/>
      <c r="CC480" s="59"/>
      <c r="CD480" s="59"/>
      <c r="CE480" s="59"/>
      <c r="CF480" s="59"/>
      <c r="CG480" s="59"/>
      <c r="CH480" s="59"/>
      <c r="CI480" s="59"/>
      <c r="CJ480" s="59"/>
      <c r="CK480" s="59"/>
      <c r="CL480" s="59"/>
      <c r="CM480" s="59"/>
      <c r="CN480" s="59"/>
      <c r="CO480" s="59"/>
      <c r="CP480" s="59"/>
      <c r="CQ480" s="59"/>
      <c r="CR480" s="59"/>
      <c r="CS480" s="59"/>
      <c r="CT480" s="59"/>
      <c r="CU480" s="59"/>
      <c r="CV480" s="59"/>
      <c r="CW480" s="59"/>
      <c r="CX480" s="59"/>
      <c r="CY480" s="59"/>
      <c r="CZ480" s="59"/>
      <c r="DA480" s="59"/>
      <c r="DB480" s="59"/>
      <c r="DC480" s="59"/>
      <c r="DD480" s="59"/>
      <c r="DE480" s="59"/>
      <c r="DF480" s="59"/>
      <c r="DG480" s="59"/>
    </row>
    <row r="481" spans="1:111" ht="11.2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  <c r="AJ481" s="59"/>
      <c r="AK481" s="59"/>
      <c r="AL481" s="59"/>
      <c r="AM481" s="59"/>
      <c r="AN481" s="59"/>
      <c r="AO481" s="59"/>
      <c r="AP481" s="59"/>
      <c r="AQ481" s="59"/>
      <c r="AR481" s="59"/>
      <c r="AS481" s="59"/>
      <c r="AT481" s="59"/>
      <c r="AU481" s="59"/>
      <c r="AV481" s="59"/>
      <c r="AW481" s="59"/>
      <c r="AX481" s="59"/>
      <c r="AY481" s="59"/>
      <c r="AZ481" s="59"/>
      <c r="BA481" s="59"/>
      <c r="BB481" s="59"/>
      <c r="BC481" s="59"/>
      <c r="BD481" s="59"/>
      <c r="BE481" s="59"/>
      <c r="BF481" s="59"/>
      <c r="BG481" s="59"/>
      <c r="BH481" s="59"/>
      <c r="BI481" s="59"/>
      <c r="BJ481" s="59"/>
      <c r="BK481" s="59"/>
      <c r="BL481" s="59"/>
      <c r="BM481" s="59"/>
      <c r="BN481" s="59"/>
      <c r="BO481" s="59"/>
      <c r="BP481" s="59"/>
      <c r="BQ481" s="59"/>
      <c r="BR481" s="59"/>
      <c r="BS481" s="59"/>
      <c r="BT481" s="59"/>
      <c r="BU481" s="59"/>
      <c r="BV481" s="59"/>
      <c r="BW481" s="59"/>
      <c r="BX481" s="59"/>
      <c r="BY481" s="59"/>
      <c r="BZ481" s="59"/>
      <c r="CA481" s="59"/>
      <c r="CB481" s="59"/>
      <c r="CC481" s="59"/>
      <c r="CD481" s="59"/>
      <c r="CE481" s="59"/>
      <c r="CF481" s="59"/>
      <c r="CG481" s="59"/>
      <c r="CH481" s="59"/>
      <c r="CI481" s="59"/>
      <c r="CJ481" s="59"/>
      <c r="CK481" s="59"/>
      <c r="CL481" s="59"/>
      <c r="CM481" s="59"/>
      <c r="CN481" s="59"/>
      <c r="CO481" s="59"/>
      <c r="CP481" s="59"/>
      <c r="CQ481" s="59"/>
      <c r="CR481" s="59"/>
      <c r="CS481" s="59"/>
      <c r="CT481" s="59"/>
      <c r="CU481" s="59"/>
      <c r="CV481" s="59"/>
      <c r="CW481" s="59"/>
      <c r="CX481" s="59"/>
      <c r="CY481" s="59"/>
      <c r="CZ481" s="59"/>
      <c r="DA481" s="59"/>
      <c r="DB481" s="59"/>
      <c r="DC481" s="59"/>
      <c r="DD481" s="59"/>
      <c r="DE481" s="59"/>
      <c r="DF481" s="59"/>
      <c r="DG481" s="59"/>
    </row>
    <row r="482" spans="1:111" ht="11.2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  <c r="AR482" s="59"/>
      <c r="AS482" s="59"/>
      <c r="AT482" s="59"/>
      <c r="AU482" s="59"/>
      <c r="AV482" s="59"/>
      <c r="AW482" s="59"/>
      <c r="AX482" s="59"/>
      <c r="AY482" s="59"/>
      <c r="AZ482" s="59"/>
      <c r="BA482" s="59"/>
      <c r="BB482" s="59"/>
      <c r="BC482" s="59"/>
      <c r="BD482" s="59"/>
      <c r="BE482" s="59"/>
      <c r="BF482" s="59"/>
      <c r="BG482" s="59"/>
      <c r="BH482" s="59"/>
      <c r="BI482" s="59"/>
      <c r="BJ482" s="59"/>
      <c r="BK482" s="59"/>
      <c r="BL482" s="59"/>
      <c r="BM482" s="59"/>
      <c r="BN482" s="59"/>
      <c r="BO482" s="59"/>
      <c r="BP482" s="59"/>
      <c r="BQ482" s="59"/>
      <c r="BR482" s="59"/>
      <c r="BS482" s="59"/>
      <c r="BT482" s="59"/>
      <c r="BU482" s="59"/>
      <c r="BV482" s="59"/>
      <c r="BW482" s="59"/>
      <c r="BX482" s="59"/>
      <c r="BY482" s="59"/>
      <c r="BZ482" s="59"/>
      <c r="CA482" s="59"/>
      <c r="CB482" s="59"/>
      <c r="CC482" s="59"/>
      <c r="CD482" s="59"/>
      <c r="CE482" s="59"/>
      <c r="CF482" s="59"/>
      <c r="CG482" s="59"/>
      <c r="CH482" s="59"/>
      <c r="CI482" s="59"/>
      <c r="CJ482" s="59"/>
      <c r="CK482" s="59"/>
      <c r="CL482" s="59"/>
      <c r="CM482" s="59"/>
      <c r="CN482" s="59"/>
      <c r="CO482" s="59"/>
      <c r="CP482" s="59"/>
      <c r="CQ482" s="59"/>
      <c r="CR482" s="59"/>
      <c r="CS482" s="59"/>
      <c r="CT482" s="59"/>
      <c r="CU482" s="59"/>
      <c r="CV482" s="59"/>
      <c r="CW482" s="59"/>
      <c r="CX482" s="59"/>
      <c r="CY482" s="59"/>
      <c r="CZ482" s="59"/>
      <c r="DA482" s="59"/>
      <c r="DB482" s="59"/>
      <c r="DC482" s="59"/>
      <c r="DD482" s="59"/>
      <c r="DE482" s="59"/>
      <c r="DF482" s="59"/>
      <c r="DG482" s="59"/>
    </row>
    <row r="483" spans="1:111" ht="11.2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9"/>
      <c r="AW483" s="59"/>
      <c r="AX483" s="59"/>
      <c r="AY483" s="59"/>
      <c r="AZ483" s="59"/>
      <c r="BA483" s="59"/>
      <c r="BB483" s="59"/>
      <c r="BC483" s="59"/>
      <c r="BD483" s="59"/>
      <c r="BE483" s="59"/>
      <c r="BF483" s="59"/>
      <c r="BG483" s="59"/>
      <c r="BH483" s="59"/>
      <c r="BI483" s="59"/>
      <c r="BJ483" s="59"/>
      <c r="BK483" s="59"/>
      <c r="BL483" s="59"/>
      <c r="BM483" s="59"/>
      <c r="BN483" s="59"/>
      <c r="BO483" s="59"/>
      <c r="BP483" s="59"/>
      <c r="BQ483" s="59"/>
      <c r="BR483" s="59"/>
      <c r="BS483" s="59"/>
      <c r="BT483" s="59"/>
      <c r="BU483" s="59"/>
      <c r="BV483" s="59"/>
      <c r="BW483" s="59"/>
      <c r="BX483" s="59"/>
      <c r="BY483" s="59"/>
      <c r="BZ483" s="59"/>
      <c r="CA483" s="59"/>
      <c r="CB483" s="59"/>
      <c r="CC483" s="59"/>
      <c r="CD483" s="59"/>
      <c r="CE483" s="59"/>
      <c r="CF483" s="59"/>
      <c r="CG483" s="59"/>
      <c r="CH483" s="59"/>
      <c r="CI483" s="59"/>
      <c r="CJ483" s="59"/>
      <c r="CK483" s="59"/>
      <c r="CL483" s="59"/>
      <c r="CM483" s="59"/>
      <c r="CN483" s="59"/>
      <c r="CO483" s="59"/>
      <c r="CP483" s="59"/>
      <c r="CQ483" s="59"/>
      <c r="CR483" s="59"/>
      <c r="CS483" s="59"/>
      <c r="CT483" s="59"/>
      <c r="CU483" s="59"/>
      <c r="CV483" s="59"/>
      <c r="CW483" s="59"/>
      <c r="CX483" s="59"/>
      <c r="CY483" s="59"/>
      <c r="CZ483" s="59"/>
      <c r="DA483" s="59"/>
      <c r="DB483" s="59"/>
      <c r="DC483" s="59"/>
      <c r="DD483" s="59"/>
      <c r="DE483" s="59"/>
      <c r="DF483" s="59"/>
      <c r="DG483" s="59"/>
    </row>
    <row r="484" spans="1:111" ht="11.2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9"/>
      <c r="AW484" s="59"/>
      <c r="AX484" s="59"/>
      <c r="AY484" s="59"/>
      <c r="AZ484" s="59"/>
      <c r="BA484" s="59"/>
      <c r="BB484" s="59"/>
      <c r="BC484" s="59"/>
      <c r="BD484" s="59"/>
      <c r="BE484" s="59"/>
      <c r="BF484" s="59"/>
      <c r="BG484" s="59"/>
      <c r="BH484" s="59"/>
      <c r="BI484" s="59"/>
      <c r="BJ484" s="59"/>
      <c r="BK484" s="59"/>
      <c r="BL484" s="59"/>
      <c r="BM484" s="59"/>
      <c r="BN484" s="59"/>
      <c r="BO484" s="59"/>
      <c r="BP484" s="59"/>
      <c r="BQ484" s="59"/>
      <c r="BR484" s="59"/>
      <c r="BS484" s="59"/>
      <c r="BT484" s="59"/>
      <c r="BU484" s="59"/>
      <c r="BV484" s="59"/>
      <c r="BW484" s="59"/>
      <c r="BX484" s="59"/>
      <c r="BY484" s="59"/>
      <c r="BZ484" s="59"/>
      <c r="CA484" s="59"/>
      <c r="CB484" s="59"/>
      <c r="CC484" s="59"/>
      <c r="CD484" s="59"/>
      <c r="CE484" s="59"/>
      <c r="CF484" s="59"/>
      <c r="CG484" s="59"/>
      <c r="CH484" s="59"/>
      <c r="CI484" s="59"/>
      <c r="CJ484" s="59"/>
      <c r="CK484" s="59"/>
      <c r="CL484" s="59"/>
      <c r="CM484" s="59"/>
      <c r="CN484" s="59"/>
      <c r="CO484" s="59"/>
      <c r="CP484" s="59"/>
      <c r="CQ484" s="59"/>
      <c r="CR484" s="59"/>
      <c r="CS484" s="59"/>
      <c r="CT484" s="59"/>
      <c r="CU484" s="59"/>
      <c r="CV484" s="59"/>
      <c r="CW484" s="59"/>
      <c r="CX484" s="59"/>
      <c r="CY484" s="59"/>
      <c r="CZ484" s="59"/>
      <c r="DA484" s="59"/>
      <c r="DB484" s="59"/>
      <c r="DC484" s="59"/>
      <c r="DD484" s="59"/>
      <c r="DE484" s="59"/>
      <c r="DF484" s="59"/>
      <c r="DG484" s="59"/>
    </row>
    <row r="485" spans="1:111" ht="11.2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9"/>
      <c r="AW485" s="59"/>
      <c r="AX485" s="59"/>
      <c r="AY485" s="59"/>
      <c r="AZ485" s="59"/>
      <c r="BA485" s="59"/>
      <c r="BB485" s="59"/>
      <c r="BC485" s="59"/>
      <c r="BD485" s="59"/>
      <c r="BE485" s="59"/>
      <c r="BF485" s="59"/>
      <c r="BG485" s="59"/>
      <c r="BH485" s="59"/>
      <c r="BI485" s="59"/>
      <c r="BJ485" s="59"/>
      <c r="BK485" s="59"/>
      <c r="BL485" s="59"/>
      <c r="BM485" s="59"/>
      <c r="BN485" s="59"/>
      <c r="BO485" s="59"/>
      <c r="BP485" s="59"/>
      <c r="BQ485" s="59"/>
      <c r="BR485" s="59"/>
      <c r="BS485" s="59"/>
      <c r="BT485" s="59"/>
      <c r="BU485" s="59"/>
      <c r="BV485" s="59"/>
      <c r="BW485" s="59"/>
      <c r="BX485" s="59"/>
      <c r="BY485" s="59"/>
      <c r="BZ485" s="59"/>
      <c r="CA485" s="59"/>
      <c r="CB485" s="59"/>
      <c r="CC485" s="59"/>
      <c r="CD485" s="59"/>
      <c r="CE485" s="59"/>
      <c r="CF485" s="59"/>
      <c r="CG485" s="59"/>
      <c r="CH485" s="59"/>
      <c r="CI485" s="59"/>
      <c r="CJ485" s="59"/>
      <c r="CK485" s="59"/>
      <c r="CL485" s="59"/>
      <c r="CM485" s="59"/>
      <c r="CN485" s="59"/>
      <c r="CO485" s="59"/>
      <c r="CP485" s="59"/>
      <c r="CQ485" s="59"/>
      <c r="CR485" s="59"/>
      <c r="CS485" s="59"/>
      <c r="CT485" s="59"/>
      <c r="CU485" s="59"/>
      <c r="CV485" s="59"/>
      <c r="CW485" s="59"/>
      <c r="CX485" s="59"/>
      <c r="CY485" s="59"/>
      <c r="CZ485" s="59"/>
      <c r="DA485" s="59"/>
      <c r="DB485" s="59"/>
      <c r="DC485" s="59"/>
      <c r="DD485" s="59"/>
      <c r="DE485" s="59"/>
      <c r="DF485" s="59"/>
      <c r="DG485" s="59"/>
    </row>
    <row r="486" spans="1:111" ht="11.2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9"/>
      <c r="AW486" s="59"/>
      <c r="AX486" s="59"/>
      <c r="AY486" s="59"/>
      <c r="AZ486" s="59"/>
      <c r="BA486" s="59"/>
      <c r="BB486" s="59"/>
      <c r="BC486" s="59"/>
      <c r="BD486" s="59"/>
      <c r="BE486" s="59"/>
      <c r="BF486" s="59"/>
      <c r="BG486" s="59"/>
      <c r="BH486" s="59"/>
      <c r="BI486" s="59"/>
      <c r="BJ486" s="59"/>
      <c r="BK486" s="59"/>
      <c r="BL486" s="59"/>
      <c r="BM486" s="59"/>
      <c r="BN486" s="59"/>
      <c r="BO486" s="59"/>
      <c r="BP486" s="59"/>
      <c r="BQ486" s="59"/>
      <c r="BR486" s="59"/>
      <c r="BS486" s="59"/>
      <c r="BT486" s="59"/>
      <c r="BU486" s="59"/>
      <c r="BV486" s="59"/>
      <c r="BW486" s="59"/>
      <c r="BX486" s="59"/>
      <c r="BY486" s="59"/>
      <c r="BZ486" s="59"/>
      <c r="CA486" s="59"/>
      <c r="CB486" s="59"/>
      <c r="CC486" s="59"/>
      <c r="CD486" s="59"/>
      <c r="CE486" s="59"/>
      <c r="CF486" s="59"/>
      <c r="CG486" s="59"/>
      <c r="CH486" s="59"/>
      <c r="CI486" s="59"/>
      <c r="CJ486" s="59"/>
      <c r="CK486" s="59"/>
      <c r="CL486" s="59"/>
      <c r="CM486" s="59"/>
      <c r="CN486" s="59"/>
      <c r="CO486" s="59"/>
      <c r="CP486" s="59"/>
      <c r="CQ486" s="59"/>
      <c r="CR486" s="59"/>
      <c r="CS486" s="59"/>
      <c r="CT486" s="59"/>
      <c r="CU486" s="59"/>
      <c r="CV486" s="59"/>
      <c r="CW486" s="59"/>
      <c r="CX486" s="59"/>
      <c r="CY486" s="59"/>
      <c r="CZ486" s="59"/>
      <c r="DA486" s="59"/>
      <c r="DB486" s="59"/>
      <c r="DC486" s="59"/>
      <c r="DD486" s="59"/>
      <c r="DE486" s="59"/>
      <c r="DF486" s="59"/>
      <c r="DG486" s="59"/>
    </row>
    <row r="487" spans="1:111" ht="11.2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9"/>
      <c r="AW487" s="59"/>
      <c r="AX487" s="59"/>
      <c r="AY487" s="59"/>
      <c r="AZ487" s="59"/>
      <c r="BA487" s="59"/>
      <c r="BB487" s="59"/>
      <c r="BC487" s="59"/>
      <c r="BD487" s="59"/>
      <c r="BE487" s="59"/>
      <c r="BF487" s="59"/>
      <c r="BG487" s="59"/>
      <c r="BH487" s="59"/>
      <c r="BI487" s="59"/>
      <c r="BJ487" s="59"/>
      <c r="BK487" s="59"/>
      <c r="BL487" s="59"/>
      <c r="BM487" s="59"/>
      <c r="BN487" s="59"/>
      <c r="BO487" s="59"/>
      <c r="BP487" s="59"/>
      <c r="BQ487" s="59"/>
      <c r="BR487" s="59"/>
      <c r="BS487" s="59"/>
      <c r="BT487" s="59"/>
      <c r="BU487" s="59"/>
      <c r="BV487" s="59"/>
      <c r="BW487" s="59"/>
      <c r="BX487" s="59"/>
      <c r="BY487" s="59"/>
      <c r="BZ487" s="59"/>
      <c r="CA487" s="59"/>
      <c r="CB487" s="59"/>
      <c r="CC487" s="59"/>
      <c r="CD487" s="59"/>
      <c r="CE487" s="59"/>
      <c r="CF487" s="59"/>
      <c r="CG487" s="59"/>
      <c r="CH487" s="59"/>
      <c r="CI487" s="59"/>
      <c r="CJ487" s="59"/>
      <c r="CK487" s="59"/>
      <c r="CL487" s="59"/>
      <c r="CM487" s="59"/>
      <c r="CN487" s="59"/>
      <c r="CO487" s="59"/>
      <c r="CP487" s="59"/>
      <c r="CQ487" s="59"/>
      <c r="CR487" s="59"/>
      <c r="CS487" s="59"/>
      <c r="CT487" s="59"/>
      <c r="CU487" s="59"/>
      <c r="CV487" s="59"/>
      <c r="CW487" s="59"/>
      <c r="CX487" s="59"/>
      <c r="CY487" s="59"/>
      <c r="CZ487" s="59"/>
      <c r="DA487" s="59"/>
      <c r="DB487" s="59"/>
      <c r="DC487" s="59"/>
      <c r="DD487" s="59"/>
      <c r="DE487" s="59"/>
      <c r="DF487" s="59"/>
      <c r="DG487" s="59"/>
    </row>
    <row r="488" spans="1:111" ht="11.2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9"/>
      <c r="AW488" s="59"/>
      <c r="AX488" s="59"/>
      <c r="AY488" s="59"/>
      <c r="AZ488" s="59"/>
      <c r="BA488" s="59"/>
      <c r="BB488" s="59"/>
      <c r="BC488" s="59"/>
      <c r="BD488" s="59"/>
      <c r="BE488" s="59"/>
      <c r="BF488" s="59"/>
      <c r="BG488" s="59"/>
      <c r="BH488" s="59"/>
      <c r="BI488" s="59"/>
      <c r="BJ488" s="59"/>
      <c r="BK488" s="59"/>
      <c r="BL488" s="59"/>
      <c r="BM488" s="59"/>
      <c r="BN488" s="59"/>
      <c r="BO488" s="59"/>
      <c r="BP488" s="59"/>
      <c r="BQ488" s="59"/>
      <c r="BR488" s="59"/>
      <c r="BS488" s="59"/>
      <c r="BT488" s="59"/>
      <c r="BU488" s="59"/>
      <c r="BV488" s="59"/>
      <c r="BW488" s="59"/>
      <c r="BX488" s="59"/>
      <c r="BY488" s="59"/>
      <c r="BZ488" s="59"/>
      <c r="CA488" s="59"/>
      <c r="CB488" s="59"/>
      <c r="CC488" s="59"/>
      <c r="CD488" s="59"/>
      <c r="CE488" s="59"/>
      <c r="CF488" s="59"/>
      <c r="CG488" s="59"/>
      <c r="CH488" s="59"/>
      <c r="CI488" s="59"/>
      <c r="CJ488" s="59"/>
      <c r="CK488" s="59"/>
      <c r="CL488" s="59"/>
      <c r="CM488" s="59"/>
      <c r="CN488" s="59"/>
      <c r="CO488" s="59"/>
      <c r="CP488" s="59"/>
      <c r="CQ488" s="59"/>
      <c r="CR488" s="59"/>
      <c r="CS488" s="59"/>
      <c r="CT488" s="59"/>
      <c r="CU488" s="59"/>
      <c r="CV488" s="59"/>
      <c r="CW488" s="59"/>
      <c r="CX488" s="59"/>
      <c r="CY488" s="59"/>
      <c r="CZ488" s="59"/>
      <c r="DA488" s="59"/>
      <c r="DB488" s="59"/>
      <c r="DC488" s="59"/>
      <c r="DD488" s="59"/>
      <c r="DE488" s="59"/>
      <c r="DF488" s="59"/>
      <c r="DG488" s="59"/>
    </row>
    <row r="489" spans="1:111" ht="11.2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  <c r="AJ489" s="59"/>
      <c r="AK489" s="59"/>
      <c r="AL489" s="59"/>
      <c r="AM489" s="59"/>
      <c r="AN489" s="59"/>
      <c r="AO489" s="59"/>
      <c r="AP489" s="59"/>
      <c r="AQ489" s="59"/>
      <c r="AR489" s="59"/>
      <c r="AS489" s="59"/>
      <c r="AT489" s="59"/>
      <c r="AU489" s="59"/>
      <c r="AV489" s="59"/>
      <c r="AW489" s="59"/>
      <c r="AX489" s="59"/>
      <c r="AY489" s="59"/>
      <c r="AZ489" s="59"/>
      <c r="BA489" s="59"/>
      <c r="BB489" s="59"/>
      <c r="BC489" s="59"/>
      <c r="BD489" s="59"/>
      <c r="BE489" s="59"/>
      <c r="BF489" s="59"/>
      <c r="BG489" s="59"/>
      <c r="BH489" s="59"/>
      <c r="BI489" s="59"/>
      <c r="BJ489" s="59"/>
      <c r="BK489" s="59"/>
      <c r="BL489" s="59"/>
      <c r="BM489" s="59"/>
      <c r="BN489" s="59"/>
      <c r="BO489" s="59"/>
      <c r="BP489" s="59"/>
      <c r="BQ489" s="59"/>
      <c r="BR489" s="59"/>
      <c r="BS489" s="59"/>
      <c r="BT489" s="59"/>
      <c r="BU489" s="59"/>
      <c r="BV489" s="59"/>
      <c r="BW489" s="59"/>
      <c r="BX489" s="59"/>
      <c r="BY489" s="59"/>
      <c r="BZ489" s="59"/>
      <c r="CA489" s="59"/>
      <c r="CB489" s="59"/>
      <c r="CC489" s="59"/>
      <c r="CD489" s="59"/>
      <c r="CE489" s="59"/>
      <c r="CF489" s="59"/>
      <c r="CG489" s="59"/>
      <c r="CH489" s="59"/>
      <c r="CI489" s="59"/>
      <c r="CJ489" s="59"/>
      <c r="CK489" s="59"/>
      <c r="CL489" s="59"/>
      <c r="CM489" s="59"/>
      <c r="CN489" s="59"/>
      <c r="CO489" s="59"/>
      <c r="CP489" s="59"/>
      <c r="CQ489" s="59"/>
      <c r="CR489" s="59"/>
      <c r="CS489" s="59"/>
      <c r="CT489" s="59"/>
      <c r="CU489" s="59"/>
      <c r="CV489" s="59"/>
      <c r="CW489" s="59"/>
      <c r="CX489" s="59"/>
      <c r="CY489" s="59"/>
      <c r="CZ489" s="59"/>
      <c r="DA489" s="59"/>
      <c r="DB489" s="59"/>
      <c r="DC489" s="59"/>
      <c r="DD489" s="59"/>
      <c r="DE489" s="59"/>
      <c r="DF489" s="59"/>
      <c r="DG489" s="59"/>
    </row>
    <row r="490" spans="1:111" ht="11.2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  <c r="AJ490" s="59"/>
      <c r="AK490" s="59"/>
      <c r="AL490" s="59"/>
      <c r="AM490" s="59"/>
      <c r="AN490" s="59"/>
      <c r="AO490" s="59"/>
      <c r="AP490" s="59"/>
      <c r="AQ490" s="59"/>
      <c r="AR490" s="59"/>
      <c r="AS490" s="59"/>
      <c r="AT490" s="59"/>
      <c r="AU490" s="59"/>
      <c r="AV490" s="59"/>
      <c r="AW490" s="59"/>
      <c r="AX490" s="59"/>
      <c r="AY490" s="59"/>
      <c r="AZ490" s="59"/>
      <c r="BA490" s="59"/>
      <c r="BB490" s="59"/>
      <c r="BC490" s="59"/>
      <c r="BD490" s="59"/>
      <c r="BE490" s="59"/>
      <c r="BF490" s="59"/>
      <c r="BG490" s="59"/>
      <c r="BH490" s="59"/>
      <c r="BI490" s="59"/>
      <c r="BJ490" s="59"/>
      <c r="BK490" s="59"/>
      <c r="BL490" s="59"/>
      <c r="BM490" s="59"/>
      <c r="BN490" s="59"/>
      <c r="BO490" s="59"/>
      <c r="BP490" s="59"/>
      <c r="BQ490" s="59"/>
      <c r="BR490" s="59"/>
      <c r="BS490" s="59"/>
      <c r="BT490" s="59"/>
      <c r="BU490" s="59"/>
      <c r="BV490" s="59"/>
      <c r="BW490" s="59"/>
      <c r="BX490" s="59"/>
      <c r="BY490" s="59"/>
      <c r="BZ490" s="59"/>
      <c r="CA490" s="59"/>
      <c r="CB490" s="59"/>
      <c r="CC490" s="59"/>
      <c r="CD490" s="59"/>
      <c r="CE490" s="59"/>
      <c r="CF490" s="59"/>
      <c r="CG490" s="59"/>
      <c r="CH490" s="59"/>
      <c r="CI490" s="59"/>
      <c r="CJ490" s="59"/>
      <c r="CK490" s="59"/>
      <c r="CL490" s="59"/>
      <c r="CM490" s="59"/>
      <c r="CN490" s="59"/>
      <c r="CO490" s="59"/>
      <c r="CP490" s="59"/>
      <c r="CQ490" s="59"/>
      <c r="CR490" s="59"/>
      <c r="CS490" s="59"/>
      <c r="CT490" s="59"/>
      <c r="CU490" s="59"/>
      <c r="CV490" s="59"/>
      <c r="CW490" s="59"/>
      <c r="CX490" s="59"/>
      <c r="CY490" s="59"/>
      <c r="CZ490" s="59"/>
      <c r="DA490" s="59"/>
      <c r="DB490" s="59"/>
      <c r="DC490" s="59"/>
      <c r="DD490" s="59"/>
      <c r="DE490" s="59"/>
      <c r="DF490" s="59"/>
      <c r="DG490" s="59"/>
    </row>
    <row r="491" spans="1:111" ht="11.2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  <c r="AJ491" s="59"/>
      <c r="AK491" s="59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59"/>
      <c r="AW491" s="59"/>
      <c r="AX491" s="59"/>
      <c r="AY491" s="59"/>
      <c r="AZ491" s="59"/>
      <c r="BA491" s="59"/>
      <c r="BB491" s="59"/>
      <c r="BC491" s="59"/>
      <c r="BD491" s="59"/>
      <c r="BE491" s="59"/>
      <c r="BF491" s="59"/>
      <c r="BG491" s="59"/>
      <c r="BH491" s="59"/>
      <c r="BI491" s="59"/>
      <c r="BJ491" s="59"/>
      <c r="BK491" s="59"/>
      <c r="BL491" s="59"/>
      <c r="BM491" s="59"/>
      <c r="BN491" s="59"/>
      <c r="BO491" s="59"/>
      <c r="BP491" s="59"/>
      <c r="BQ491" s="59"/>
      <c r="BR491" s="59"/>
      <c r="BS491" s="59"/>
      <c r="BT491" s="59"/>
      <c r="BU491" s="59"/>
      <c r="BV491" s="59"/>
      <c r="BW491" s="59"/>
      <c r="BX491" s="59"/>
      <c r="BY491" s="59"/>
      <c r="BZ491" s="59"/>
      <c r="CA491" s="59"/>
      <c r="CB491" s="59"/>
      <c r="CC491" s="59"/>
      <c r="CD491" s="59"/>
      <c r="CE491" s="59"/>
      <c r="CF491" s="59"/>
      <c r="CG491" s="59"/>
      <c r="CH491" s="59"/>
      <c r="CI491" s="59"/>
      <c r="CJ491" s="59"/>
      <c r="CK491" s="59"/>
      <c r="CL491" s="59"/>
      <c r="CM491" s="59"/>
      <c r="CN491" s="59"/>
      <c r="CO491" s="59"/>
      <c r="CP491" s="59"/>
      <c r="CQ491" s="59"/>
      <c r="CR491" s="59"/>
      <c r="CS491" s="59"/>
      <c r="CT491" s="59"/>
      <c r="CU491" s="59"/>
      <c r="CV491" s="59"/>
      <c r="CW491" s="59"/>
      <c r="CX491" s="59"/>
      <c r="CY491" s="59"/>
      <c r="CZ491" s="59"/>
      <c r="DA491" s="59"/>
      <c r="DB491" s="59"/>
      <c r="DC491" s="59"/>
      <c r="DD491" s="59"/>
      <c r="DE491" s="59"/>
      <c r="DF491" s="59"/>
      <c r="DG491" s="59"/>
    </row>
    <row r="492" spans="1:111" ht="11.2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  <c r="AJ492" s="59"/>
      <c r="AK492" s="59"/>
      <c r="AL492" s="59"/>
      <c r="AM492" s="59"/>
      <c r="AN492" s="59"/>
      <c r="AO492" s="59"/>
      <c r="AP492" s="59"/>
      <c r="AQ492" s="59"/>
      <c r="AR492" s="59"/>
      <c r="AS492" s="59"/>
      <c r="AT492" s="59"/>
      <c r="AU492" s="59"/>
      <c r="AV492" s="59"/>
      <c r="AW492" s="59"/>
      <c r="AX492" s="59"/>
      <c r="AY492" s="59"/>
      <c r="AZ492" s="59"/>
      <c r="BA492" s="59"/>
      <c r="BB492" s="59"/>
      <c r="BC492" s="59"/>
      <c r="BD492" s="59"/>
      <c r="BE492" s="59"/>
      <c r="BF492" s="59"/>
      <c r="BG492" s="59"/>
      <c r="BH492" s="59"/>
      <c r="BI492" s="59"/>
      <c r="BJ492" s="59"/>
      <c r="BK492" s="59"/>
      <c r="BL492" s="59"/>
      <c r="BM492" s="59"/>
      <c r="BN492" s="59"/>
      <c r="BO492" s="59"/>
      <c r="BP492" s="59"/>
      <c r="BQ492" s="59"/>
      <c r="BR492" s="59"/>
      <c r="BS492" s="59"/>
      <c r="BT492" s="59"/>
      <c r="BU492" s="59"/>
      <c r="BV492" s="59"/>
      <c r="BW492" s="59"/>
      <c r="BX492" s="59"/>
      <c r="BY492" s="59"/>
      <c r="BZ492" s="59"/>
      <c r="CA492" s="59"/>
      <c r="CB492" s="59"/>
      <c r="CC492" s="59"/>
      <c r="CD492" s="59"/>
      <c r="CE492" s="59"/>
      <c r="CF492" s="59"/>
      <c r="CG492" s="59"/>
      <c r="CH492" s="59"/>
      <c r="CI492" s="59"/>
      <c r="CJ492" s="59"/>
      <c r="CK492" s="59"/>
      <c r="CL492" s="59"/>
      <c r="CM492" s="59"/>
      <c r="CN492" s="59"/>
      <c r="CO492" s="59"/>
      <c r="CP492" s="59"/>
      <c r="CQ492" s="59"/>
      <c r="CR492" s="59"/>
      <c r="CS492" s="59"/>
      <c r="CT492" s="59"/>
      <c r="CU492" s="59"/>
      <c r="CV492" s="59"/>
      <c r="CW492" s="59"/>
      <c r="CX492" s="59"/>
      <c r="CY492" s="59"/>
      <c r="CZ492" s="59"/>
      <c r="DA492" s="59"/>
      <c r="DB492" s="59"/>
      <c r="DC492" s="59"/>
      <c r="DD492" s="59"/>
      <c r="DE492" s="59"/>
      <c r="DF492" s="59"/>
      <c r="DG492" s="59"/>
    </row>
    <row r="493" spans="1:111" ht="11.2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  <c r="AJ493" s="59"/>
      <c r="AK493" s="59"/>
      <c r="AL493" s="59"/>
      <c r="AM493" s="59"/>
      <c r="AN493" s="59"/>
      <c r="AO493" s="59"/>
      <c r="AP493" s="59"/>
      <c r="AQ493" s="59"/>
      <c r="AR493" s="59"/>
      <c r="AS493" s="59"/>
      <c r="AT493" s="59"/>
      <c r="AU493" s="59"/>
      <c r="AV493" s="59"/>
      <c r="AW493" s="59"/>
      <c r="AX493" s="59"/>
      <c r="AY493" s="59"/>
      <c r="AZ493" s="59"/>
      <c r="BA493" s="59"/>
      <c r="BB493" s="59"/>
      <c r="BC493" s="59"/>
      <c r="BD493" s="59"/>
      <c r="BE493" s="59"/>
      <c r="BF493" s="59"/>
      <c r="BG493" s="59"/>
      <c r="BH493" s="59"/>
      <c r="BI493" s="59"/>
      <c r="BJ493" s="59"/>
      <c r="BK493" s="59"/>
      <c r="BL493" s="59"/>
      <c r="BM493" s="59"/>
      <c r="BN493" s="59"/>
      <c r="BO493" s="59"/>
      <c r="BP493" s="59"/>
      <c r="BQ493" s="59"/>
      <c r="BR493" s="59"/>
      <c r="BS493" s="59"/>
      <c r="BT493" s="59"/>
      <c r="BU493" s="59"/>
      <c r="BV493" s="59"/>
      <c r="BW493" s="59"/>
      <c r="BX493" s="59"/>
      <c r="BY493" s="59"/>
      <c r="BZ493" s="59"/>
      <c r="CA493" s="59"/>
      <c r="CB493" s="59"/>
      <c r="CC493" s="59"/>
      <c r="CD493" s="59"/>
      <c r="CE493" s="59"/>
      <c r="CF493" s="59"/>
      <c r="CG493" s="59"/>
      <c r="CH493" s="59"/>
      <c r="CI493" s="59"/>
      <c r="CJ493" s="59"/>
      <c r="CK493" s="59"/>
      <c r="CL493" s="59"/>
      <c r="CM493" s="59"/>
      <c r="CN493" s="59"/>
      <c r="CO493" s="59"/>
      <c r="CP493" s="59"/>
      <c r="CQ493" s="59"/>
      <c r="CR493" s="59"/>
      <c r="CS493" s="59"/>
      <c r="CT493" s="59"/>
      <c r="CU493" s="59"/>
      <c r="CV493" s="59"/>
      <c r="CW493" s="59"/>
      <c r="CX493" s="59"/>
      <c r="CY493" s="59"/>
      <c r="CZ493" s="59"/>
      <c r="DA493" s="59"/>
      <c r="DB493" s="59"/>
      <c r="DC493" s="59"/>
      <c r="DD493" s="59"/>
      <c r="DE493" s="59"/>
      <c r="DF493" s="59"/>
      <c r="DG493" s="59"/>
    </row>
    <row r="494" spans="1:111" ht="11.2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  <c r="AJ494" s="59"/>
      <c r="AK494" s="59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9"/>
      <c r="AW494" s="59"/>
      <c r="AX494" s="59"/>
      <c r="AY494" s="59"/>
      <c r="AZ494" s="59"/>
      <c r="BA494" s="59"/>
      <c r="BB494" s="59"/>
      <c r="BC494" s="59"/>
      <c r="BD494" s="59"/>
      <c r="BE494" s="59"/>
      <c r="BF494" s="59"/>
      <c r="BG494" s="59"/>
      <c r="BH494" s="59"/>
      <c r="BI494" s="59"/>
      <c r="BJ494" s="59"/>
      <c r="BK494" s="59"/>
      <c r="BL494" s="59"/>
      <c r="BM494" s="59"/>
      <c r="BN494" s="59"/>
      <c r="BO494" s="59"/>
      <c r="BP494" s="59"/>
      <c r="BQ494" s="59"/>
      <c r="BR494" s="59"/>
      <c r="BS494" s="59"/>
      <c r="BT494" s="59"/>
      <c r="BU494" s="59"/>
      <c r="BV494" s="59"/>
      <c r="BW494" s="59"/>
      <c r="BX494" s="59"/>
      <c r="BY494" s="59"/>
      <c r="BZ494" s="59"/>
      <c r="CA494" s="59"/>
      <c r="CB494" s="59"/>
      <c r="CC494" s="59"/>
      <c r="CD494" s="59"/>
      <c r="CE494" s="59"/>
      <c r="CF494" s="59"/>
      <c r="CG494" s="59"/>
      <c r="CH494" s="59"/>
      <c r="CI494" s="59"/>
      <c r="CJ494" s="59"/>
      <c r="CK494" s="59"/>
      <c r="CL494" s="59"/>
      <c r="CM494" s="59"/>
      <c r="CN494" s="59"/>
      <c r="CO494" s="59"/>
      <c r="CP494" s="59"/>
      <c r="CQ494" s="59"/>
      <c r="CR494" s="59"/>
      <c r="CS494" s="59"/>
      <c r="CT494" s="59"/>
      <c r="CU494" s="59"/>
      <c r="CV494" s="59"/>
      <c r="CW494" s="59"/>
      <c r="CX494" s="59"/>
      <c r="CY494" s="59"/>
      <c r="CZ494" s="59"/>
      <c r="DA494" s="59"/>
      <c r="DB494" s="59"/>
      <c r="DC494" s="59"/>
      <c r="DD494" s="59"/>
      <c r="DE494" s="59"/>
      <c r="DF494" s="59"/>
      <c r="DG494" s="59"/>
    </row>
    <row r="495" spans="1:111" ht="11.2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  <c r="AJ495" s="59"/>
      <c r="AK495" s="59"/>
      <c r="AL495" s="59"/>
      <c r="AM495" s="59"/>
      <c r="AN495" s="59"/>
      <c r="AO495" s="59"/>
      <c r="AP495" s="59"/>
      <c r="AQ495" s="59"/>
      <c r="AR495" s="59"/>
      <c r="AS495" s="59"/>
      <c r="AT495" s="59"/>
      <c r="AU495" s="59"/>
      <c r="AV495" s="59"/>
      <c r="AW495" s="59"/>
      <c r="AX495" s="59"/>
      <c r="AY495" s="59"/>
      <c r="AZ495" s="59"/>
      <c r="BA495" s="59"/>
      <c r="BB495" s="59"/>
      <c r="BC495" s="59"/>
      <c r="BD495" s="59"/>
      <c r="BE495" s="59"/>
      <c r="BF495" s="59"/>
      <c r="BG495" s="59"/>
      <c r="BH495" s="59"/>
      <c r="BI495" s="59"/>
      <c r="BJ495" s="59"/>
      <c r="BK495" s="59"/>
      <c r="BL495" s="59"/>
      <c r="BM495" s="59"/>
      <c r="BN495" s="59"/>
      <c r="BO495" s="59"/>
      <c r="BP495" s="59"/>
      <c r="BQ495" s="59"/>
      <c r="BR495" s="59"/>
      <c r="BS495" s="59"/>
      <c r="BT495" s="59"/>
      <c r="BU495" s="59"/>
      <c r="BV495" s="59"/>
      <c r="BW495" s="59"/>
      <c r="BX495" s="59"/>
      <c r="BY495" s="59"/>
      <c r="BZ495" s="59"/>
      <c r="CA495" s="59"/>
      <c r="CB495" s="59"/>
      <c r="CC495" s="59"/>
      <c r="CD495" s="59"/>
      <c r="CE495" s="59"/>
      <c r="CF495" s="59"/>
      <c r="CG495" s="59"/>
      <c r="CH495" s="59"/>
      <c r="CI495" s="59"/>
      <c r="CJ495" s="59"/>
      <c r="CK495" s="59"/>
      <c r="CL495" s="59"/>
      <c r="CM495" s="59"/>
      <c r="CN495" s="59"/>
      <c r="CO495" s="59"/>
      <c r="CP495" s="59"/>
      <c r="CQ495" s="59"/>
      <c r="CR495" s="59"/>
      <c r="CS495" s="59"/>
      <c r="CT495" s="59"/>
      <c r="CU495" s="59"/>
      <c r="CV495" s="59"/>
      <c r="CW495" s="59"/>
      <c r="CX495" s="59"/>
      <c r="CY495" s="59"/>
      <c r="CZ495" s="59"/>
      <c r="DA495" s="59"/>
      <c r="DB495" s="59"/>
      <c r="DC495" s="59"/>
      <c r="DD495" s="59"/>
      <c r="DE495" s="59"/>
      <c r="DF495" s="59"/>
      <c r="DG495" s="59"/>
    </row>
    <row r="496" spans="1:111" ht="11.2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9"/>
      <c r="AM496" s="59"/>
      <c r="AN496" s="59"/>
      <c r="AO496" s="59"/>
      <c r="AP496" s="59"/>
      <c r="AQ496" s="59"/>
      <c r="AR496" s="59"/>
      <c r="AS496" s="59"/>
      <c r="AT496" s="59"/>
      <c r="AU496" s="59"/>
      <c r="AV496" s="59"/>
      <c r="AW496" s="59"/>
      <c r="AX496" s="59"/>
      <c r="AY496" s="59"/>
      <c r="AZ496" s="59"/>
      <c r="BA496" s="59"/>
      <c r="BB496" s="59"/>
      <c r="BC496" s="59"/>
      <c r="BD496" s="59"/>
      <c r="BE496" s="59"/>
      <c r="BF496" s="59"/>
      <c r="BG496" s="59"/>
      <c r="BH496" s="59"/>
      <c r="BI496" s="59"/>
      <c r="BJ496" s="59"/>
      <c r="BK496" s="59"/>
      <c r="BL496" s="59"/>
      <c r="BM496" s="59"/>
      <c r="BN496" s="59"/>
      <c r="BO496" s="59"/>
      <c r="BP496" s="59"/>
      <c r="BQ496" s="59"/>
      <c r="BR496" s="59"/>
      <c r="BS496" s="59"/>
      <c r="BT496" s="59"/>
      <c r="BU496" s="59"/>
      <c r="BV496" s="59"/>
      <c r="BW496" s="59"/>
      <c r="BX496" s="59"/>
      <c r="BY496" s="59"/>
      <c r="BZ496" s="59"/>
      <c r="CA496" s="59"/>
      <c r="CB496" s="59"/>
      <c r="CC496" s="59"/>
      <c r="CD496" s="59"/>
      <c r="CE496" s="59"/>
      <c r="CF496" s="59"/>
      <c r="CG496" s="59"/>
      <c r="CH496" s="59"/>
      <c r="CI496" s="59"/>
      <c r="CJ496" s="59"/>
      <c r="CK496" s="59"/>
      <c r="CL496" s="59"/>
      <c r="CM496" s="59"/>
      <c r="CN496" s="59"/>
      <c r="CO496" s="59"/>
      <c r="CP496" s="59"/>
      <c r="CQ496" s="59"/>
      <c r="CR496" s="59"/>
      <c r="CS496" s="59"/>
      <c r="CT496" s="59"/>
      <c r="CU496" s="59"/>
      <c r="CV496" s="59"/>
      <c r="CW496" s="59"/>
      <c r="CX496" s="59"/>
      <c r="CY496" s="59"/>
      <c r="CZ496" s="59"/>
      <c r="DA496" s="59"/>
      <c r="DB496" s="59"/>
      <c r="DC496" s="59"/>
      <c r="DD496" s="59"/>
      <c r="DE496" s="59"/>
      <c r="DF496" s="59"/>
      <c r="DG496" s="59"/>
    </row>
    <row r="497" spans="1:111" ht="11.2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  <c r="AK497" s="59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59"/>
      <c r="AW497" s="59"/>
      <c r="AX497" s="59"/>
      <c r="AY497" s="59"/>
      <c r="AZ497" s="59"/>
      <c r="BA497" s="59"/>
      <c r="BB497" s="59"/>
      <c r="BC497" s="59"/>
      <c r="BD497" s="59"/>
      <c r="BE497" s="59"/>
      <c r="BF497" s="59"/>
      <c r="BG497" s="59"/>
      <c r="BH497" s="59"/>
      <c r="BI497" s="59"/>
      <c r="BJ497" s="59"/>
      <c r="BK497" s="59"/>
      <c r="BL497" s="59"/>
      <c r="BM497" s="59"/>
      <c r="BN497" s="59"/>
      <c r="BO497" s="59"/>
      <c r="BP497" s="59"/>
      <c r="BQ497" s="59"/>
      <c r="BR497" s="59"/>
      <c r="BS497" s="59"/>
      <c r="BT497" s="59"/>
      <c r="BU497" s="59"/>
      <c r="BV497" s="59"/>
      <c r="BW497" s="59"/>
      <c r="BX497" s="59"/>
      <c r="BY497" s="59"/>
      <c r="BZ497" s="59"/>
      <c r="CA497" s="59"/>
      <c r="CB497" s="59"/>
      <c r="CC497" s="59"/>
      <c r="CD497" s="59"/>
      <c r="CE497" s="59"/>
      <c r="CF497" s="59"/>
      <c r="CG497" s="59"/>
      <c r="CH497" s="59"/>
      <c r="CI497" s="59"/>
      <c r="CJ497" s="59"/>
      <c r="CK497" s="59"/>
      <c r="CL497" s="59"/>
      <c r="CM497" s="59"/>
      <c r="CN497" s="59"/>
      <c r="CO497" s="59"/>
      <c r="CP497" s="59"/>
      <c r="CQ497" s="59"/>
      <c r="CR497" s="59"/>
      <c r="CS497" s="59"/>
      <c r="CT497" s="59"/>
      <c r="CU497" s="59"/>
      <c r="CV497" s="59"/>
      <c r="CW497" s="59"/>
      <c r="CX497" s="59"/>
      <c r="CY497" s="59"/>
      <c r="CZ497" s="59"/>
      <c r="DA497" s="59"/>
      <c r="DB497" s="59"/>
      <c r="DC497" s="59"/>
      <c r="DD497" s="59"/>
      <c r="DE497" s="59"/>
      <c r="DF497" s="59"/>
      <c r="DG497" s="59"/>
    </row>
    <row r="498" spans="1:111" ht="11.2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  <c r="AJ498" s="59"/>
      <c r="AK498" s="59"/>
      <c r="AL498" s="59"/>
      <c r="AM498" s="59"/>
      <c r="AN498" s="59"/>
      <c r="AO498" s="59"/>
      <c r="AP498" s="59"/>
      <c r="AQ498" s="59"/>
      <c r="AR498" s="59"/>
      <c r="AS498" s="59"/>
      <c r="AT498" s="59"/>
      <c r="AU498" s="59"/>
      <c r="AV498" s="59"/>
      <c r="AW498" s="59"/>
      <c r="AX498" s="59"/>
      <c r="AY498" s="59"/>
      <c r="AZ498" s="59"/>
      <c r="BA498" s="59"/>
      <c r="BB498" s="59"/>
      <c r="BC498" s="59"/>
      <c r="BD498" s="59"/>
      <c r="BE498" s="59"/>
      <c r="BF498" s="59"/>
      <c r="BG498" s="59"/>
      <c r="BH498" s="59"/>
      <c r="BI498" s="59"/>
      <c r="BJ498" s="59"/>
      <c r="BK498" s="59"/>
      <c r="BL498" s="59"/>
      <c r="BM498" s="59"/>
      <c r="BN498" s="59"/>
      <c r="BO498" s="59"/>
      <c r="BP498" s="59"/>
      <c r="BQ498" s="59"/>
      <c r="BR498" s="59"/>
      <c r="BS498" s="59"/>
      <c r="BT498" s="59"/>
      <c r="BU498" s="59"/>
      <c r="BV498" s="59"/>
      <c r="BW498" s="59"/>
      <c r="BX498" s="59"/>
      <c r="BY498" s="59"/>
      <c r="BZ498" s="59"/>
      <c r="CA498" s="59"/>
      <c r="CB498" s="59"/>
      <c r="CC498" s="59"/>
      <c r="CD498" s="59"/>
      <c r="CE498" s="59"/>
      <c r="CF498" s="59"/>
      <c r="CG498" s="59"/>
      <c r="CH498" s="59"/>
      <c r="CI498" s="59"/>
      <c r="CJ498" s="59"/>
      <c r="CK498" s="59"/>
      <c r="CL498" s="59"/>
      <c r="CM498" s="59"/>
      <c r="CN498" s="59"/>
      <c r="CO498" s="59"/>
      <c r="CP498" s="59"/>
      <c r="CQ498" s="59"/>
      <c r="CR498" s="59"/>
      <c r="CS498" s="59"/>
      <c r="CT498" s="59"/>
      <c r="CU498" s="59"/>
      <c r="CV498" s="59"/>
      <c r="CW498" s="59"/>
      <c r="CX498" s="59"/>
      <c r="CY498" s="59"/>
      <c r="CZ498" s="59"/>
      <c r="DA498" s="59"/>
      <c r="DB498" s="59"/>
      <c r="DC498" s="59"/>
      <c r="DD498" s="59"/>
      <c r="DE498" s="59"/>
      <c r="DF498" s="59"/>
      <c r="DG498" s="59"/>
    </row>
    <row r="499" spans="1:111" ht="11.2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  <c r="AJ499" s="59"/>
      <c r="AK499" s="59"/>
      <c r="AL499" s="59"/>
      <c r="AM499" s="59"/>
      <c r="AN499" s="59"/>
      <c r="AO499" s="59"/>
      <c r="AP499" s="59"/>
      <c r="AQ499" s="59"/>
      <c r="AR499" s="59"/>
      <c r="AS499" s="59"/>
      <c r="AT499" s="59"/>
      <c r="AU499" s="59"/>
      <c r="AV499" s="59"/>
      <c r="AW499" s="59"/>
      <c r="AX499" s="59"/>
      <c r="AY499" s="59"/>
      <c r="AZ499" s="59"/>
      <c r="BA499" s="59"/>
      <c r="BB499" s="59"/>
      <c r="BC499" s="59"/>
      <c r="BD499" s="59"/>
      <c r="BE499" s="59"/>
      <c r="BF499" s="59"/>
      <c r="BG499" s="59"/>
      <c r="BH499" s="59"/>
      <c r="BI499" s="59"/>
      <c r="BJ499" s="59"/>
      <c r="BK499" s="59"/>
      <c r="BL499" s="59"/>
      <c r="BM499" s="59"/>
      <c r="BN499" s="59"/>
      <c r="BO499" s="59"/>
      <c r="BP499" s="59"/>
      <c r="BQ499" s="59"/>
      <c r="BR499" s="59"/>
      <c r="BS499" s="59"/>
      <c r="BT499" s="59"/>
      <c r="BU499" s="59"/>
      <c r="BV499" s="59"/>
      <c r="BW499" s="59"/>
      <c r="BX499" s="59"/>
      <c r="BY499" s="59"/>
      <c r="BZ499" s="59"/>
      <c r="CA499" s="59"/>
      <c r="CB499" s="59"/>
      <c r="CC499" s="59"/>
      <c r="CD499" s="59"/>
      <c r="CE499" s="59"/>
      <c r="CF499" s="59"/>
      <c r="CG499" s="59"/>
      <c r="CH499" s="59"/>
      <c r="CI499" s="59"/>
      <c r="CJ499" s="59"/>
      <c r="CK499" s="59"/>
      <c r="CL499" s="59"/>
      <c r="CM499" s="59"/>
      <c r="CN499" s="59"/>
      <c r="CO499" s="59"/>
      <c r="CP499" s="59"/>
      <c r="CQ499" s="59"/>
      <c r="CR499" s="59"/>
      <c r="CS499" s="59"/>
      <c r="CT499" s="59"/>
      <c r="CU499" s="59"/>
      <c r="CV499" s="59"/>
      <c r="CW499" s="59"/>
      <c r="CX499" s="59"/>
      <c r="CY499" s="59"/>
      <c r="CZ499" s="59"/>
      <c r="DA499" s="59"/>
      <c r="DB499" s="59"/>
      <c r="DC499" s="59"/>
      <c r="DD499" s="59"/>
      <c r="DE499" s="59"/>
      <c r="DF499" s="59"/>
      <c r="DG499" s="59"/>
    </row>
    <row r="500" spans="1:111" ht="11.2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  <c r="AJ500" s="59"/>
      <c r="AK500" s="59"/>
      <c r="AL500" s="59"/>
      <c r="AM500" s="59"/>
      <c r="AN500" s="59"/>
      <c r="AO500" s="59"/>
      <c r="AP500" s="59"/>
      <c r="AQ500" s="59"/>
      <c r="AR500" s="59"/>
      <c r="AS500" s="59"/>
      <c r="AT500" s="59"/>
      <c r="AU500" s="59"/>
      <c r="AV500" s="59"/>
      <c r="AW500" s="59"/>
      <c r="AX500" s="59"/>
      <c r="AY500" s="59"/>
      <c r="AZ500" s="59"/>
      <c r="BA500" s="59"/>
      <c r="BB500" s="59"/>
      <c r="BC500" s="59"/>
      <c r="BD500" s="59"/>
      <c r="BE500" s="59"/>
      <c r="BF500" s="59"/>
      <c r="BG500" s="59"/>
      <c r="BH500" s="59"/>
      <c r="BI500" s="59"/>
      <c r="BJ500" s="59"/>
      <c r="BK500" s="59"/>
      <c r="BL500" s="59"/>
      <c r="BM500" s="59"/>
      <c r="BN500" s="59"/>
      <c r="BO500" s="59"/>
      <c r="BP500" s="59"/>
      <c r="BQ500" s="59"/>
      <c r="BR500" s="59"/>
      <c r="BS500" s="59"/>
      <c r="BT500" s="59"/>
      <c r="BU500" s="59"/>
      <c r="BV500" s="59"/>
      <c r="BW500" s="59"/>
      <c r="BX500" s="59"/>
      <c r="BY500" s="59"/>
      <c r="BZ500" s="59"/>
      <c r="CA500" s="59"/>
      <c r="CB500" s="59"/>
      <c r="CC500" s="59"/>
      <c r="CD500" s="59"/>
      <c r="CE500" s="59"/>
      <c r="CF500" s="59"/>
      <c r="CG500" s="59"/>
      <c r="CH500" s="59"/>
      <c r="CI500" s="59"/>
      <c r="CJ500" s="59"/>
      <c r="CK500" s="59"/>
      <c r="CL500" s="59"/>
      <c r="CM500" s="59"/>
      <c r="CN500" s="59"/>
      <c r="CO500" s="59"/>
      <c r="CP500" s="59"/>
      <c r="CQ500" s="59"/>
      <c r="CR500" s="59"/>
      <c r="CS500" s="59"/>
      <c r="CT500" s="59"/>
      <c r="CU500" s="59"/>
      <c r="CV500" s="59"/>
      <c r="CW500" s="59"/>
      <c r="CX500" s="59"/>
      <c r="CY500" s="59"/>
      <c r="CZ500" s="59"/>
      <c r="DA500" s="59"/>
      <c r="DB500" s="59"/>
      <c r="DC500" s="59"/>
      <c r="DD500" s="59"/>
      <c r="DE500" s="59"/>
      <c r="DF500" s="59"/>
      <c r="DG500" s="59"/>
    </row>
    <row r="501" spans="1:111" ht="11.2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9"/>
      <c r="AR501" s="59"/>
      <c r="AS501" s="59"/>
      <c r="AT501" s="59"/>
      <c r="AU501" s="59"/>
      <c r="AV501" s="59"/>
      <c r="AW501" s="59"/>
      <c r="AX501" s="59"/>
      <c r="AY501" s="59"/>
      <c r="AZ501" s="59"/>
      <c r="BA501" s="59"/>
      <c r="BB501" s="59"/>
      <c r="BC501" s="59"/>
      <c r="BD501" s="59"/>
      <c r="BE501" s="59"/>
      <c r="BF501" s="59"/>
      <c r="BG501" s="59"/>
      <c r="BH501" s="59"/>
      <c r="BI501" s="59"/>
      <c r="BJ501" s="59"/>
      <c r="BK501" s="59"/>
      <c r="BL501" s="59"/>
      <c r="BM501" s="59"/>
      <c r="BN501" s="59"/>
      <c r="BO501" s="59"/>
      <c r="BP501" s="59"/>
      <c r="BQ501" s="59"/>
      <c r="BR501" s="59"/>
      <c r="BS501" s="59"/>
      <c r="BT501" s="59"/>
      <c r="BU501" s="59"/>
      <c r="BV501" s="59"/>
      <c r="BW501" s="59"/>
      <c r="BX501" s="59"/>
      <c r="BY501" s="59"/>
      <c r="BZ501" s="59"/>
      <c r="CA501" s="59"/>
      <c r="CB501" s="59"/>
      <c r="CC501" s="59"/>
      <c r="CD501" s="59"/>
      <c r="CE501" s="59"/>
      <c r="CF501" s="59"/>
      <c r="CG501" s="59"/>
      <c r="CH501" s="59"/>
      <c r="CI501" s="59"/>
      <c r="CJ501" s="59"/>
      <c r="CK501" s="59"/>
      <c r="CL501" s="59"/>
      <c r="CM501" s="59"/>
      <c r="CN501" s="59"/>
      <c r="CO501" s="59"/>
      <c r="CP501" s="59"/>
      <c r="CQ501" s="59"/>
      <c r="CR501" s="59"/>
      <c r="CS501" s="59"/>
      <c r="CT501" s="59"/>
      <c r="CU501" s="59"/>
      <c r="CV501" s="59"/>
      <c r="CW501" s="59"/>
      <c r="CX501" s="59"/>
      <c r="CY501" s="59"/>
      <c r="CZ501" s="59"/>
      <c r="DA501" s="59"/>
      <c r="DB501" s="59"/>
      <c r="DC501" s="59"/>
      <c r="DD501" s="59"/>
      <c r="DE501" s="59"/>
      <c r="DF501" s="59"/>
      <c r="DG501" s="59"/>
    </row>
    <row r="502" spans="1:111" ht="11.2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  <c r="AJ502" s="59"/>
      <c r="AK502" s="59"/>
      <c r="AL502" s="59"/>
      <c r="AM502" s="59"/>
      <c r="AN502" s="59"/>
      <c r="AO502" s="59"/>
      <c r="AP502" s="59"/>
      <c r="AQ502" s="59"/>
      <c r="AR502" s="59"/>
      <c r="AS502" s="59"/>
      <c r="AT502" s="59"/>
      <c r="AU502" s="59"/>
      <c r="AV502" s="59"/>
      <c r="AW502" s="59"/>
      <c r="AX502" s="59"/>
      <c r="AY502" s="59"/>
      <c r="AZ502" s="59"/>
      <c r="BA502" s="59"/>
      <c r="BB502" s="59"/>
      <c r="BC502" s="59"/>
      <c r="BD502" s="59"/>
      <c r="BE502" s="59"/>
      <c r="BF502" s="59"/>
      <c r="BG502" s="59"/>
      <c r="BH502" s="59"/>
      <c r="BI502" s="59"/>
      <c r="BJ502" s="59"/>
      <c r="BK502" s="59"/>
      <c r="BL502" s="59"/>
      <c r="BM502" s="59"/>
      <c r="BN502" s="59"/>
      <c r="BO502" s="59"/>
      <c r="BP502" s="59"/>
      <c r="BQ502" s="59"/>
      <c r="BR502" s="59"/>
      <c r="BS502" s="59"/>
      <c r="BT502" s="59"/>
      <c r="BU502" s="59"/>
      <c r="BV502" s="59"/>
      <c r="BW502" s="59"/>
      <c r="BX502" s="59"/>
      <c r="BY502" s="59"/>
      <c r="BZ502" s="59"/>
      <c r="CA502" s="59"/>
      <c r="CB502" s="59"/>
      <c r="CC502" s="59"/>
      <c r="CD502" s="59"/>
      <c r="CE502" s="59"/>
      <c r="CF502" s="59"/>
      <c r="CG502" s="59"/>
      <c r="CH502" s="59"/>
      <c r="CI502" s="59"/>
      <c r="CJ502" s="59"/>
      <c r="CK502" s="59"/>
      <c r="CL502" s="59"/>
      <c r="CM502" s="59"/>
      <c r="CN502" s="59"/>
      <c r="CO502" s="59"/>
      <c r="CP502" s="59"/>
      <c r="CQ502" s="59"/>
      <c r="CR502" s="59"/>
      <c r="CS502" s="59"/>
      <c r="CT502" s="59"/>
      <c r="CU502" s="59"/>
      <c r="CV502" s="59"/>
      <c r="CW502" s="59"/>
      <c r="CX502" s="59"/>
      <c r="CY502" s="59"/>
      <c r="CZ502" s="59"/>
      <c r="DA502" s="59"/>
      <c r="DB502" s="59"/>
      <c r="DC502" s="59"/>
      <c r="DD502" s="59"/>
      <c r="DE502" s="59"/>
      <c r="DF502" s="59"/>
      <c r="DG502" s="59"/>
    </row>
    <row r="503" spans="1:111" ht="11.2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  <c r="AJ503" s="59"/>
      <c r="AK503" s="59"/>
      <c r="AL503" s="59"/>
      <c r="AM503" s="59"/>
      <c r="AN503" s="59"/>
      <c r="AO503" s="59"/>
      <c r="AP503" s="59"/>
      <c r="AQ503" s="59"/>
      <c r="AR503" s="59"/>
      <c r="AS503" s="59"/>
      <c r="AT503" s="59"/>
      <c r="AU503" s="59"/>
      <c r="AV503" s="59"/>
      <c r="AW503" s="59"/>
      <c r="AX503" s="59"/>
      <c r="AY503" s="59"/>
      <c r="AZ503" s="59"/>
      <c r="BA503" s="59"/>
      <c r="BB503" s="59"/>
      <c r="BC503" s="59"/>
      <c r="BD503" s="59"/>
      <c r="BE503" s="59"/>
      <c r="BF503" s="59"/>
      <c r="BG503" s="59"/>
      <c r="BH503" s="59"/>
      <c r="BI503" s="59"/>
      <c r="BJ503" s="59"/>
      <c r="BK503" s="59"/>
      <c r="BL503" s="59"/>
      <c r="BM503" s="59"/>
      <c r="BN503" s="59"/>
      <c r="BO503" s="59"/>
      <c r="BP503" s="59"/>
      <c r="BQ503" s="59"/>
      <c r="BR503" s="59"/>
      <c r="BS503" s="59"/>
      <c r="BT503" s="59"/>
      <c r="BU503" s="59"/>
      <c r="BV503" s="59"/>
      <c r="BW503" s="59"/>
      <c r="BX503" s="59"/>
      <c r="BY503" s="59"/>
      <c r="BZ503" s="59"/>
      <c r="CA503" s="59"/>
      <c r="CB503" s="59"/>
      <c r="CC503" s="59"/>
      <c r="CD503" s="59"/>
      <c r="CE503" s="59"/>
      <c r="CF503" s="59"/>
      <c r="CG503" s="59"/>
      <c r="CH503" s="59"/>
      <c r="CI503" s="59"/>
      <c r="CJ503" s="59"/>
      <c r="CK503" s="59"/>
      <c r="CL503" s="59"/>
      <c r="CM503" s="59"/>
      <c r="CN503" s="59"/>
      <c r="CO503" s="59"/>
      <c r="CP503" s="59"/>
      <c r="CQ503" s="59"/>
      <c r="CR503" s="59"/>
      <c r="CS503" s="59"/>
      <c r="CT503" s="59"/>
      <c r="CU503" s="59"/>
      <c r="CV503" s="59"/>
      <c r="CW503" s="59"/>
      <c r="CX503" s="59"/>
      <c r="CY503" s="59"/>
      <c r="CZ503" s="59"/>
      <c r="DA503" s="59"/>
      <c r="DB503" s="59"/>
      <c r="DC503" s="59"/>
      <c r="DD503" s="59"/>
      <c r="DE503" s="59"/>
      <c r="DF503" s="59"/>
      <c r="DG503" s="59"/>
    </row>
    <row r="504" spans="1:111" ht="11.2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59"/>
      <c r="AR504" s="59"/>
      <c r="AS504" s="59"/>
      <c r="AT504" s="59"/>
      <c r="AU504" s="59"/>
      <c r="AV504" s="59"/>
      <c r="AW504" s="59"/>
      <c r="AX504" s="59"/>
      <c r="AY504" s="59"/>
      <c r="AZ504" s="59"/>
      <c r="BA504" s="59"/>
      <c r="BB504" s="59"/>
      <c r="BC504" s="59"/>
      <c r="BD504" s="59"/>
      <c r="BE504" s="59"/>
      <c r="BF504" s="59"/>
      <c r="BG504" s="59"/>
      <c r="BH504" s="59"/>
      <c r="BI504" s="59"/>
      <c r="BJ504" s="59"/>
      <c r="BK504" s="59"/>
      <c r="BL504" s="59"/>
      <c r="BM504" s="59"/>
      <c r="BN504" s="59"/>
      <c r="BO504" s="59"/>
      <c r="BP504" s="59"/>
      <c r="BQ504" s="59"/>
      <c r="BR504" s="59"/>
      <c r="BS504" s="59"/>
      <c r="BT504" s="59"/>
      <c r="BU504" s="59"/>
      <c r="BV504" s="59"/>
      <c r="BW504" s="59"/>
      <c r="BX504" s="59"/>
      <c r="BY504" s="59"/>
      <c r="BZ504" s="59"/>
      <c r="CA504" s="59"/>
      <c r="CB504" s="59"/>
      <c r="CC504" s="59"/>
      <c r="CD504" s="59"/>
      <c r="CE504" s="59"/>
      <c r="CF504" s="59"/>
      <c r="CG504" s="59"/>
      <c r="CH504" s="59"/>
      <c r="CI504" s="59"/>
      <c r="CJ504" s="59"/>
      <c r="CK504" s="59"/>
      <c r="CL504" s="59"/>
      <c r="CM504" s="59"/>
      <c r="CN504" s="59"/>
      <c r="CO504" s="59"/>
      <c r="CP504" s="59"/>
      <c r="CQ504" s="59"/>
      <c r="CR504" s="59"/>
      <c r="CS504" s="59"/>
      <c r="CT504" s="59"/>
      <c r="CU504" s="59"/>
      <c r="CV504" s="59"/>
      <c r="CW504" s="59"/>
      <c r="CX504" s="59"/>
      <c r="CY504" s="59"/>
      <c r="CZ504" s="59"/>
      <c r="DA504" s="59"/>
      <c r="DB504" s="59"/>
      <c r="DC504" s="59"/>
      <c r="DD504" s="59"/>
      <c r="DE504" s="59"/>
      <c r="DF504" s="59"/>
      <c r="DG504" s="59"/>
    </row>
    <row r="505" spans="1:111" ht="11.2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9"/>
      <c r="AW505" s="59"/>
      <c r="AX505" s="59"/>
      <c r="AY505" s="59"/>
      <c r="AZ505" s="59"/>
      <c r="BA505" s="59"/>
      <c r="BB505" s="59"/>
      <c r="BC505" s="59"/>
      <c r="BD505" s="59"/>
      <c r="BE505" s="59"/>
      <c r="BF505" s="59"/>
      <c r="BG505" s="59"/>
      <c r="BH505" s="59"/>
      <c r="BI505" s="59"/>
      <c r="BJ505" s="59"/>
      <c r="BK505" s="59"/>
      <c r="BL505" s="59"/>
      <c r="BM505" s="59"/>
      <c r="BN505" s="59"/>
      <c r="BO505" s="59"/>
      <c r="BP505" s="59"/>
      <c r="BQ505" s="59"/>
      <c r="BR505" s="59"/>
      <c r="BS505" s="59"/>
      <c r="BT505" s="59"/>
      <c r="BU505" s="59"/>
      <c r="BV505" s="59"/>
      <c r="BW505" s="59"/>
      <c r="BX505" s="59"/>
      <c r="BY505" s="59"/>
      <c r="BZ505" s="59"/>
      <c r="CA505" s="59"/>
      <c r="CB505" s="59"/>
      <c r="CC505" s="59"/>
      <c r="CD505" s="59"/>
      <c r="CE505" s="59"/>
      <c r="CF505" s="59"/>
      <c r="CG505" s="59"/>
      <c r="CH505" s="59"/>
      <c r="CI505" s="59"/>
      <c r="CJ505" s="59"/>
      <c r="CK505" s="59"/>
      <c r="CL505" s="59"/>
      <c r="CM505" s="59"/>
      <c r="CN505" s="59"/>
      <c r="CO505" s="59"/>
      <c r="CP505" s="59"/>
      <c r="CQ505" s="59"/>
      <c r="CR505" s="59"/>
      <c r="CS505" s="59"/>
      <c r="CT505" s="59"/>
      <c r="CU505" s="59"/>
      <c r="CV505" s="59"/>
      <c r="CW505" s="59"/>
      <c r="CX505" s="59"/>
      <c r="CY505" s="59"/>
      <c r="CZ505" s="59"/>
      <c r="DA505" s="59"/>
      <c r="DB505" s="59"/>
      <c r="DC505" s="59"/>
      <c r="DD505" s="59"/>
      <c r="DE505" s="59"/>
      <c r="DF505" s="59"/>
      <c r="DG505" s="59"/>
    </row>
    <row r="506" spans="1:111" ht="11.2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9"/>
      <c r="AW506" s="59"/>
      <c r="AX506" s="59"/>
      <c r="AY506" s="59"/>
      <c r="AZ506" s="59"/>
      <c r="BA506" s="59"/>
      <c r="BB506" s="59"/>
      <c r="BC506" s="59"/>
      <c r="BD506" s="59"/>
      <c r="BE506" s="59"/>
      <c r="BF506" s="59"/>
      <c r="BG506" s="59"/>
      <c r="BH506" s="59"/>
      <c r="BI506" s="59"/>
      <c r="BJ506" s="59"/>
      <c r="BK506" s="59"/>
      <c r="BL506" s="59"/>
      <c r="BM506" s="59"/>
      <c r="BN506" s="59"/>
      <c r="BO506" s="59"/>
      <c r="BP506" s="59"/>
      <c r="BQ506" s="59"/>
      <c r="BR506" s="59"/>
      <c r="BS506" s="59"/>
      <c r="BT506" s="59"/>
      <c r="BU506" s="59"/>
      <c r="BV506" s="59"/>
      <c r="BW506" s="59"/>
      <c r="BX506" s="59"/>
      <c r="BY506" s="59"/>
      <c r="BZ506" s="59"/>
      <c r="CA506" s="59"/>
      <c r="CB506" s="59"/>
      <c r="CC506" s="59"/>
      <c r="CD506" s="59"/>
      <c r="CE506" s="59"/>
      <c r="CF506" s="59"/>
      <c r="CG506" s="59"/>
      <c r="CH506" s="59"/>
      <c r="CI506" s="59"/>
      <c r="CJ506" s="59"/>
      <c r="CK506" s="59"/>
      <c r="CL506" s="59"/>
      <c r="CM506" s="59"/>
      <c r="CN506" s="59"/>
      <c r="CO506" s="59"/>
      <c r="CP506" s="59"/>
      <c r="CQ506" s="59"/>
      <c r="CR506" s="59"/>
      <c r="CS506" s="59"/>
      <c r="CT506" s="59"/>
      <c r="CU506" s="59"/>
      <c r="CV506" s="59"/>
      <c r="CW506" s="59"/>
      <c r="CX506" s="59"/>
      <c r="CY506" s="59"/>
      <c r="CZ506" s="59"/>
      <c r="DA506" s="59"/>
      <c r="DB506" s="59"/>
      <c r="DC506" s="59"/>
      <c r="DD506" s="59"/>
      <c r="DE506" s="59"/>
      <c r="DF506" s="59"/>
      <c r="DG506" s="59"/>
    </row>
    <row r="507" spans="1:111" ht="11.2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  <c r="AJ507" s="59"/>
      <c r="AK507" s="59"/>
      <c r="AL507" s="59"/>
      <c r="AM507" s="59"/>
      <c r="AN507" s="59"/>
      <c r="AO507" s="59"/>
      <c r="AP507" s="59"/>
      <c r="AQ507" s="59"/>
      <c r="AR507" s="59"/>
      <c r="AS507" s="59"/>
      <c r="AT507" s="59"/>
      <c r="AU507" s="59"/>
      <c r="AV507" s="59"/>
      <c r="AW507" s="59"/>
      <c r="AX507" s="59"/>
      <c r="AY507" s="59"/>
      <c r="AZ507" s="59"/>
      <c r="BA507" s="59"/>
      <c r="BB507" s="59"/>
      <c r="BC507" s="59"/>
      <c r="BD507" s="59"/>
      <c r="BE507" s="59"/>
      <c r="BF507" s="59"/>
      <c r="BG507" s="59"/>
      <c r="BH507" s="59"/>
      <c r="BI507" s="59"/>
      <c r="BJ507" s="59"/>
      <c r="BK507" s="59"/>
      <c r="BL507" s="59"/>
      <c r="BM507" s="59"/>
      <c r="BN507" s="59"/>
      <c r="BO507" s="59"/>
      <c r="BP507" s="59"/>
      <c r="BQ507" s="59"/>
      <c r="BR507" s="59"/>
      <c r="BS507" s="59"/>
      <c r="BT507" s="59"/>
      <c r="BU507" s="59"/>
      <c r="BV507" s="59"/>
      <c r="BW507" s="59"/>
      <c r="BX507" s="59"/>
      <c r="BY507" s="59"/>
      <c r="BZ507" s="59"/>
      <c r="CA507" s="59"/>
      <c r="CB507" s="59"/>
      <c r="CC507" s="59"/>
      <c r="CD507" s="59"/>
      <c r="CE507" s="59"/>
      <c r="CF507" s="59"/>
      <c r="CG507" s="59"/>
      <c r="CH507" s="59"/>
      <c r="CI507" s="59"/>
      <c r="CJ507" s="59"/>
      <c r="CK507" s="59"/>
      <c r="CL507" s="59"/>
      <c r="CM507" s="59"/>
      <c r="CN507" s="59"/>
      <c r="CO507" s="59"/>
      <c r="CP507" s="59"/>
      <c r="CQ507" s="59"/>
      <c r="CR507" s="59"/>
      <c r="CS507" s="59"/>
      <c r="CT507" s="59"/>
      <c r="CU507" s="59"/>
      <c r="CV507" s="59"/>
      <c r="CW507" s="59"/>
      <c r="CX507" s="59"/>
      <c r="CY507" s="59"/>
      <c r="CZ507" s="59"/>
      <c r="DA507" s="59"/>
      <c r="DB507" s="59"/>
      <c r="DC507" s="59"/>
      <c r="DD507" s="59"/>
      <c r="DE507" s="59"/>
      <c r="DF507" s="59"/>
      <c r="DG507" s="59"/>
    </row>
    <row r="508" spans="1:111" ht="11.2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  <c r="AJ508" s="59"/>
      <c r="AK508" s="59"/>
      <c r="AL508" s="59"/>
      <c r="AM508" s="59"/>
      <c r="AN508" s="59"/>
      <c r="AO508" s="59"/>
      <c r="AP508" s="59"/>
      <c r="AQ508" s="59"/>
      <c r="AR508" s="59"/>
      <c r="AS508" s="59"/>
      <c r="AT508" s="59"/>
      <c r="AU508" s="59"/>
      <c r="AV508" s="59"/>
      <c r="AW508" s="59"/>
      <c r="AX508" s="59"/>
      <c r="AY508" s="59"/>
      <c r="AZ508" s="59"/>
      <c r="BA508" s="59"/>
      <c r="BB508" s="59"/>
      <c r="BC508" s="59"/>
      <c r="BD508" s="59"/>
      <c r="BE508" s="59"/>
      <c r="BF508" s="59"/>
      <c r="BG508" s="59"/>
      <c r="BH508" s="59"/>
      <c r="BI508" s="59"/>
      <c r="BJ508" s="59"/>
      <c r="BK508" s="59"/>
      <c r="BL508" s="59"/>
      <c r="BM508" s="59"/>
      <c r="BN508" s="59"/>
      <c r="BO508" s="59"/>
      <c r="BP508" s="59"/>
      <c r="BQ508" s="59"/>
      <c r="BR508" s="59"/>
      <c r="BS508" s="59"/>
      <c r="BT508" s="59"/>
      <c r="BU508" s="59"/>
      <c r="BV508" s="59"/>
      <c r="BW508" s="59"/>
      <c r="BX508" s="59"/>
      <c r="BY508" s="59"/>
      <c r="BZ508" s="59"/>
      <c r="CA508" s="59"/>
      <c r="CB508" s="59"/>
      <c r="CC508" s="59"/>
      <c r="CD508" s="59"/>
      <c r="CE508" s="59"/>
      <c r="CF508" s="59"/>
      <c r="CG508" s="59"/>
      <c r="CH508" s="59"/>
      <c r="CI508" s="59"/>
      <c r="CJ508" s="59"/>
      <c r="CK508" s="59"/>
      <c r="CL508" s="59"/>
      <c r="CM508" s="59"/>
      <c r="CN508" s="59"/>
      <c r="CO508" s="59"/>
      <c r="CP508" s="59"/>
      <c r="CQ508" s="59"/>
      <c r="CR508" s="59"/>
      <c r="CS508" s="59"/>
      <c r="CT508" s="59"/>
      <c r="CU508" s="59"/>
      <c r="CV508" s="59"/>
      <c r="CW508" s="59"/>
      <c r="CX508" s="59"/>
      <c r="CY508" s="59"/>
      <c r="CZ508" s="59"/>
      <c r="DA508" s="59"/>
      <c r="DB508" s="59"/>
      <c r="DC508" s="59"/>
      <c r="DD508" s="59"/>
      <c r="DE508" s="59"/>
      <c r="DF508" s="59"/>
      <c r="DG508" s="59"/>
    </row>
    <row r="509" spans="1:111" ht="11.2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  <c r="AJ509" s="59"/>
      <c r="AK509" s="59"/>
      <c r="AL509" s="59"/>
      <c r="AM509" s="59"/>
      <c r="AN509" s="59"/>
      <c r="AO509" s="59"/>
      <c r="AP509" s="59"/>
      <c r="AQ509" s="59"/>
      <c r="AR509" s="59"/>
      <c r="AS509" s="59"/>
      <c r="AT509" s="59"/>
      <c r="AU509" s="59"/>
      <c r="AV509" s="59"/>
      <c r="AW509" s="59"/>
      <c r="AX509" s="59"/>
      <c r="AY509" s="59"/>
      <c r="AZ509" s="59"/>
      <c r="BA509" s="59"/>
      <c r="BB509" s="59"/>
      <c r="BC509" s="59"/>
      <c r="BD509" s="59"/>
      <c r="BE509" s="59"/>
      <c r="BF509" s="59"/>
      <c r="BG509" s="59"/>
      <c r="BH509" s="59"/>
      <c r="BI509" s="59"/>
      <c r="BJ509" s="59"/>
      <c r="BK509" s="59"/>
      <c r="BL509" s="59"/>
      <c r="BM509" s="59"/>
      <c r="BN509" s="59"/>
      <c r="BO509" s="59"/>
      <c r="BP509" s="59"/>
      <c r="BQ509" s="59"/>
      <c r="BR509" s="59"/>
      <c r="BS509" s="59"/>
      <c r="BT509" s="59"/>
      <c r="BU509" s="59"/>
      <c r="BV509" s="59"/>
      <c r="BW509" s="59"/>
      <c r="BX509" s="59"/>
      <c r="BY509" s="59"/>
      <c r="BZ509" s="59"/>
      <c r="CA509" s="59"/>
      <c r="CB509" s="59"/>
      <c r="CC509" s="59"/>
      <c r="CD509" s="59"/>
      <c r="CE509" s="59"/>
      <c r="CF509" s="59"/>
      <c r="CG509" s="59"/>
      <c r="CH509" s="59"/>
      <c r="CI509" s="59"/>
      <c r="CJ509" s="59"/>
      <c r="CK509" s="59"/>
      <c r="CL509" s="59"/>
      <c r="CM509" s="59"/>
      <c r="CN509" s="59"/>
      <c r="CO509" s="59"/>
      <c r="CP509" s="59"/>
      <c r="CQ509" s="59"/>
      <c r="CR509" s="59"/>
      <c r="CS509" s="59"/>
      <c r="CT509" s="59"/>
      <c r="CU509" s="59"/>
      <c r="CV509" s="59"/>
      <c r="CW509" s="59"/>
      <c r="CX509" s="59"/>
      <c r="CY509" s="59"/>
      <c r="CZ509" s="59"/>
      <c r="DA509" s="59"/>
      <c r="DB509" s="59"/>
      <c r="DC509" s="59"/>
      <c r="DD509" s="59"/>
      <c r="DE509" s="59"/>
      <c r="DF509" s="59"/>
      <c r="DG509" s="59"/>
    </row>
    <row r="510" spans="1:111" ht="11.2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  <c r="AJ510" s="59"/>
      <c r="AK510" s="59"/>
      <c r="AL510" s="59"/>
      <c r="AM510" s="59"/>
      <c r="AN510" s="59"/>
      <c r="AO510" s="59"/>
      <c r="AP510" s="59"/>
      <c r="AQ510" s="59"/>
      <c r="AR510" s="59"/>
      <c r="AS510" s="59"/>
      <c r="AT510" s="59"/>
      <c r="AU510" s="59"/>
      <c r="AV510" s="59"/>
      <c r="AW510" s="59"/>
      <c r="AX510" s="59"/>
      <c r="AY510" s="59"/>
      <c r="AZ510" s="59"/>
      <c r="BA510" s="59"/>
      <c r="BB510" s="59"/>
      <c r="BC510" s="59"/>
      <c r="BD510" s="59"/>
      <c r="BE510" s="59"/>
      <c r="BF510" s="59"/>
      <c r="BG510" s="59"/>
      <c r="BH510" s="59"/>
      <c r="BI510" s="59"/>
      <c r="BJ510" s="59"/>
      <c r="BK510" s="59"/>
      <c r="BL510" s="59"/>
      <c r="BM510" s="59"/>
      <c r="BN510" s="59"/>
      <c r="BO510" s="59"/>
      <c r="BP510" s="59"/>
      <c r="BQ510" s="59"/>
      <c r="BR510" s="59"/>
      <c r="BS510" s="59"/>
      <c r="BT510" s="59"/>
      <c r="BU510" s="59"/>
      <c r="BV510" s="59"/>
      <c r="BW510" s="59"/>
      <c r="BX510" s="59"/>
      <c r="BY510" s="59"/>
      <c r="BZ510" s="59"/>
      <c r="CA510" s="59"/>
      <c r="CB510" s="59"/>
      <c r="CC510" s="59"/>
      <c r="CD510" s="59"/>
      <c r="CE510" s="59"/>
      <c r="CF510" s="59"/>
      <c r="CG510" s="59"/>
      <c r="CH510" s="59"/>
      <c r="CI510" s="59"/>
      <c r="CJ510" s="59"/>
      <c r="CK510" s="59"/>
      <c r="CL510" s="59"/>
      <c r="CM510" s="59"/>
      <c r="CN510" s="59"/>
      <c r="CO510" s="59"/>
      <c r="CP510" s="59"/>
      <c r="CQ510" s="59"/>
      <c r="CR510" s="59"/>
      <c r="CS510" s="59"/>
      <c r="CT510" s="59"/>
      <c r="CU510" s="59"/>
      <c r="CV510" s="59"/>
      <c r="CW510" s="59"/>
      <c r="CX510" s="59"/>
      <c r="CY510" s="59"/>
      <c r="CZ510" s="59"/>
      <c r="DA510" s="59"/>
      <c r="DB510" s="59"/>
      <c r="DC510" s="59"/>
      <c r="DD510" s="59"/>
      <c r="DE510" s="59"/>
      <c r="DF510" s="59"/>
      <c r="DG510" s="59"/>
    </row>
    <row r="511" spans="1:111" ht="11.2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  <c r="AK511" s="59"/>
      <c r="AL511" s="59"/>
      <c r="AM511" s="59"/>
      <c r="AN511" s="59"/>
      <c r="AO511" s="59"/>
      <c r="AP511" s="59"/>
      <c r="AQ511" s="59"/>
      <c r="AR511" s="59"/>
      <c r="AS511" s="59"/>
      <c r="AT511" s="59"/>
      <c r="AU511" s="59"/>
      <c r="AV511" s="59"/>
      <c r="AW511" s="59"/>
      <c r="AX511" s="59"/>
      <c r="AY511" s="59"/>
      <c r="AZ511" s="59"/>
      <c r="BA511" s="59"/>
      <c r="BB511" s="59"/>
      <c r="BC511" s="59"/>
      <c r="BD511" s="59"/>
      <c r="BE511" s="59"/>
      <c r="BF511" s="59"/>
      <c r="BG511" s="59"/>
      <c r="BH511" s="59"/>
      <c r="BI511" s="59"/>
      <c r="BJ511" s="59"/>
      <c r="BK511" s="59"/>
      <c r="BL511" s="59"/>
      <c r="BM511" s="59"/>
      <c r="BN511" s="59"/>
      <c r="BO511" s="59"/>
      <c r="BP511" s="59"/>
      <c r="BQ511" s="59"/>
      <c r="BR511" s="59"/>
      <c r="BS511" s="59"/>
      <c r="BT511" s="59"/>
      <c r="BU511" s="59"/>
      <c r="BV511" s="59"/>
      <c r="BW511" s="59"/>
      <c r="BX511" s="59"/>
      <c r="BY511" s="59"/>
      <c r="BZ511" s="59"/>
      <c r="CA511" s="59"/>
      <c r="CB511" s="59"/>
      <c r="CC511" s="59"/>
      <c r="CD511" s="59"/>
      <c r="CE511" s="59"/>
      <c r="CF511" s="59"/>
      <c r="CG511" s="59"/>
      <c r="CH511" s="59"/>
      <c r="CI511" s="59"/>
      <c r="CJ511" s="59"/>
      <c r="CK511" s="59"/>
      <c r="CL511" s="59"/>
      <c r="CM511" s="59"/>
      <c r="CN511" s="59"/>
      <c r="CO511" s="59"/>
      <c r="CP511" s="59"/>
      <c r="CQ511" s="59"/>
      <c r="CR511" s="59"/>
      <c r="CS511" s="59"/>
      <c r="CT511" s="59"/>
      <c r="CU511" s="59"/>
      <c r="CV511" s="59"/>
      <c r="CW511" s="59"/>
      <c r="CX511" s="59"/>
      <c r="CY511" s="59"/>
      <c r="CZ511" s="59"/>
      <c r="DA511" s="59"/>
      <c r="DB511" s="59"/>
      <c r="DC511" s="59"/>
      <c r="DD511" s="59"/>
      <c r="DE511" s="59"/>
      <c r="DF511" s="59"/>
      <c r="DG511" s="59"/>
    </row>
    <row r="512" spans="1:111" ht="11.2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9"/>
      <c r="AW512" s="59"/>
      <c r="AX512" s="59"/>
      <c r="AY512" s="59"/>
      <c r="AZ512" s="59"/>
      <c r="BA512" s="59"/>
      <c r="BB512" s="59"/>
      <c r="BC512" s="59"/>
      <c r="BD512" s="59"/>
      <c r="BE512" s="59"/>
      <c r="BF512" s="59"/>
      <c r="BG512" s="59"/>
      <c r="BH512" s="59"/>
      <c r="BI512" s="59"/>
      <c r="BJ512" s="59"/>
      <c r="BK512" s="59"/>
      <c r="BL512" s="59"/>
      <c r="BM512" s="59"/>
      <c r="BN512" s="59"/>
      <c r="BO512" s="59"/>
      <c r="BP512" s="59"/>
      <c r="BQ512" s="59"/>
      <c r="BR512" s="59"/>
      <c r="BS512" s="59"/>
      <c r="BT512" s="59"/>
      <c r="BU512" s="59"/>
      <c r="BV512" s="59"/>
      <c r="BW512" s="59"/>
      <c r="BX512" s="59"/>
      <c r="BY512" s="59"/>
      <c r="BZ512" s="59"/>
      <c r="CA512" s="59"/>
      <c r="CB512" s="59"/>
      <c r="CC512" s="59"/>
      <c r="CD512" s="59"/>
      <c r="CE512" s="59"/>
      <c r="CF512" s="59"/>
      <c r="CG512" s="59"/>
      <c r="CH512" s="59"/>
      <c r="CI512" s="59"/>
      <c r="CJ512" s="59"/>
      <c r="CK512" s="59"/>
      <c r="CL512" s="59"/>
      <c r="CM512" s="59"/>
      <c r="CN512" s="59"/>
      <c r="CO512" s="59"/>
      <c r="CP512" s="59"/>
      <c r="CQ512" s="59"/>
      <c r="CR512" s="59"/>
      <c r="CS512" s="59"/>
      <c r="CT512" s="59"/>
      <c r="CU512" s="59"/>
      <c r="CV512" s="59"/>
      <c r="CW512" s="59"/>
      <c r="CX512" s="59"/>
      <c r="CY512" s="59"/>
      <c r="CZ512" s="59"/>
      <c r="DA512" s="59"/>
      <c r="DB512" s="59"/>
      <c r="DC512" s="59"/>
      <c r="DD512" s="59"/>
      <c r="DE512" s="59"/>
      <c r="DF512" s="59"/>
      <c r="DG512" s="59"/>
    </row>
    <row r="513" spans="1:111" ht="11.2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  <c r="AJ513" s="59"/>
      <c r="AK513" s="59"/>
      <c r="AL513" s="59"/>
      <c r="AM513" s="59"/>
      <c r="AN513" s="59"/>
      <c r="AO513" s="59"/>
      <c r="AP513" s="59"/>
      <c r="AQ513" s="59"/>
      <c r="AR513" s="59"/>
      <c r="AS513" s="59"/>
      <c r="AT513" s="59"/>
      <c r="AU513" s="59"/>
      <c r="AV513" s="59"/>
      <c r="AW513" s="59"/>
      <c r="AX513" s="59"/>
      <c r="AY513" s="59"/>
      <c r="AZ513" s="59"/>
      <c r="BA513" s="59"/>
      <c r="BB513" s="59"/>
      <c r="BC513" s="59"/>
      <c r="BD513" s="59"/>
      <c r="BE513" s="59"/>
      <c r="BF513" s="59"/>
      <c r="BG513" s="59"/>
      <c r="BH513" s="59"/>
      <c r="BI513" s="59"/>
      <c r="BJ513" s="59"/>
      <c r="BK513" s="59"/>
      <c r="BL513" s="59"/>
      <c r="BM513" s="59"/>
      <c r="BN513" s="59"/>
      <c r="BO513" s="59"/>
      <c r="BP513" s="59"/>
      <c r="BQ513" s="59"/>
      <c r="BR513" s="59"/>
      <c r="BS513" s="59"/>
      <c r="BT513" s="59"/>
      <c r="BU513" s="59"/>
      <c r="BV513" s="59"/>
      <c r="BW513" s="59"/>
      <c r="BX513" s="59"/>
      <c r="BY513" s="59"/>
      <c r="BZ513" s="59"/>
      <c r="CA513" s="59"/>
      <c r="CB513" s="59"/>
      <c r="CC513" s="59"/>
      <c r="CD513" s="59"/>
      <c r="CE513" s="59"/>
      <c r="CF513" s="59"/>
      <c r="CG513" s="59"/>
      <c r="CH513" s="59"/>
      <c r="CI513" s="59"/>
      <c r="CJ513" s="59"/>
      <c r="CK513" s="59"/>
      <c r="CL513" s="59"/>
      <c r="CM513" s="59"/>
      <c r="CN513" s="59"/>
      <c r="CO513" s="59"/>
      <c r="CP513" s="59"/>
      <c r="CQ513" s="59"/>
      <c r="CR513" s="59"/>
      <c r="CS513" s="59"/>
      <c r="CT513" s="59"/>
      <c r="CU513" s="59"/>
      <c r="CV513" s="59"/>
      <c r="CW513" s="59"/>
      <c r="CX513" s="59"/>
      <c r="CY513" s="59"/>
      <c r="CZ513" s="59"/>
      <c r="DA513" s="59"/>
      <c r="DB513" s="59"/>
      <c r="DC513" s="59"/>
      <c r="DD513" s="59"/>
      <c r="DE513" s="59"/>
      <c r="DF513" s="59"/>
      <c r="DG513" s="59"/>
    </row>
    <row r="514" spans="1:111" ht="11.2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  <c r="AJ514" s="59"/>
      <c r="AK514" s="59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9"/>
      <c r="AW514" s="59"/>
      <c r="AX514" s="59"/>
      <c r="AY514" s="59"/>
      <c r="AZ514" s="59"/>
      <c r="BA514" s="59"/>
      <c r="BB514" s="59"/>
      <c r="BC514" s="59"/>
      <c r="BD514" s="59"/>
      <c r="BE514" s="59"/>
      <c r="BF514" s="59"/>
      <c r="BG514" s="59"/>
      <c r="BH514" s="59"/>
      <c r="BI514" s="59"/>
      <c r="BJ514" s="59"/>
      <c r="BK514" s="59"/>
      <c r="BL514" s="59"/>
      <c r="BM514" s="59"/>
      <c r="BN514" s="59"/>
      <c r="BO514" s="59"/>
      <c r="BP514" s="59"/>
      <c r="BQ514" s="59"/>
      <c r="BR514" s="59"/>
      <c r="BS514" s="59"/>
      <c r="BT514" s="59"/>
      <c r="BU514" s="59"/>
      <c r="BV514" s="59"/>
      <c r="BW514" s="59"/>
      <c r="BX514" s="59"/>
      <c r="BY514" s="59"/>
      <c r="BZ514" s="59"/>
      <c r="CA514" s="59"/>
      <c r="CB514" s="59"/>
      <c r="CC514" s="59"/>
      <c r="CD514" s="59"/>
      <c r="CE514" s="59"/>
      <c r="CF514" s="59"/>
      <c r="CG514" s="59"/>
      <c r="CH514" s="59"/>
      <c r="CI514" s="59"/>
      <c r="CJ514" s="59"/>
      <c r="CK514" s="59"/>
      <c r="CL514" s="59"/>
      <c r="CM514" s="59"/>
      <c r="CN514" s="59"/>
      <c r="CO514" s="59"/>
      <c r="CP514" s="59"/>
      <c r="CQ514" s="59"/>
      <c r="CR514" s="59"/>
      <c r="CS514" s="59"/>
      <c r="CT514" s="59"/>
      <c r="CU514" s="59"/>
      <c r="CV514" s="59"/>
      <c r="CW514" s="59"/>
      <c r="CX514" s="59"/>
      <c r="CY514" s="59"/>
      <c r="CZ514" s="59"/>
      <c r="DA514" s="59"/>
      <c r="DB514" s="59"/>
      <c r="DC514" s="59"/>
      <c r="DD514" s="59"/>
      <c r="DE514" s="59"/>
      <c r="DF514" s="59"/>
      <c r="DG514" s="59"/>
    </row>
    <row r="515" spans="1:111" ht="11.2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9"/>
      <c r="AW515" s="59"/>
      <c r="AX515" s="59"/>
      <c r="AY515" s="59"/>
      <c r="AZ515" s="59"/>
      <c r="BA515" s="59"/>
      <c r="BB515" s="59"/>
      <c r="BC515" s="59"/>
      <c r="BD515" s="59"/>
      <c r="BE515" s="59"/>
      <c r="BF515" s="59"/>
      <c r="BG515" s="59"/>
      <c r="BH515" s="59"/>
      <c r="BI515" s="59"/>
      <c r="BJ515" s="59"/>
      <c r="BK515" s="59"/>
      <c r="BL515" s="59"/>
      <c r="BM515" s="59"/>
      <c r="BN515" s="59"/>
      <c r="BO515" s="59"/>
      <c r="BP515" s="59"/>
      <c r="BQ515" s="59"/>
      <c r="BR515" s="59"/>
      <c r="BS515" s="59"/>
      <c r="BT515" s="59"/>
      <c r="BU515" s="59"/>
      <c r="BV515" s="59"/>
      <c r="BW515" s="59"/>
      <c r="BX515" s="59"/>
      <c r="BY515" s="59"/>
      <c r="BZ515" s="59"/>
      <c r="CA515" s="59"/>
      <c r="CB515" s="59"/>
      <c r="CC515" s="59"/>
      <c r="CD515" s="59"/>
      <c r="CE515" s="59"/>
      <c r="CF515" s="59"/>
      <c r="CG515" s="59"/>
      <c r="CH515" s="59"/>
      <c r="CI515" s="59"/>
      <c r="CJ515" s="59"/>
      <c r="CK515" s="59"/>
      <c r="CL515" s="59"/>
      <c r="CM515" s="59"/>
      <c r="CN515" s="59"/>
      <c r="CO515" s="59"/>
      <c r="CP515" s="59"/>
      <c r="CQ515" s="59"/>
      <c r="CR515" s="59"/>
      <c r="CS515" s="59"/>
      <c r="CT515" s="59"/>
      <c r="CU515" s="59"/>
      <c r="CV515" s="59"/>
      <c r="CW515" s="59"/>
      <c r="CX515" s="59"/>
      <c r="CY515" s="59"/>
      <c r="CZ515" s="59"/>
      <c r="DA515" s="59"/>
      <c r="DB515" s="59"/>
      <c r="DC515" s="59"/>
      <c r="DD515" s="59"/>
      <c r="DE515" s="59"/>
      <c r="DF515" s="59"/>
      <c r="DG515" s="59"/>
    </row>
    <row r="516" spans="1:111" ht="11.2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59"/>
      <c r="AR516" s="59"/>
      <c r="AS516" s="59"/>
      <c r="AT516" s="59"/>
      <c r="AU516" s="59"/>
      <c r="AV516" s="59"/>
      <c r="AW516" s="59"/>
      <c r="AX516" s="59"/>
      <c r="AY516" s="59"/>
      <c r="AZ516" s="59"/>
      <c r="BA516" s="59"/>
      <c r="BB516" s="59"/>
      <c r="BC516" s="59"/>
      <c r="BD516" s="59"/>
      <c r="BE516" s="59"/>
      <c r="BF516" s="59"/>
      <c r="BG516" s="59"/>
      <c r="BH516" s="59"/>
      <c r="BI516" s="59"/>
      <c r="BJ516" s="59"/>
      <c r="BK516" s="59"/>
      <c r="BL516" s="59"/>
      <c r="BM516" s="59"/>
      <c r="BN516" s="59"/>
      <c r="BO516" s="59"/>
      <c r="BP516" s="59"/>
      <c r="BQ516" s="59"/>
      <c r="BR516" s="59"/>
      <c r="BS516" s="59"/>
      <c r="BT516" s="59"/>
      <c r="BU516" s="59"/>
      <c r="BV516" s="59"/>
      <c r="BW516" s="59"/>
      <c r="BX516" s="59"/>
      <c r="BY516" s="59"/>
      <c r="BZ516" s="59"/>
      <c r="CA516" s="59"/>
      <c r="CB516" s="59"/>
      <c r="CC516" s="59"/>
      <c r="CD516" s="59"/>
      <c r="CE516" s="59"/>
      <c r="CF516" s="59"/>
      <c r="CG516" s="59"/>
      <c r="CH516" s="59"/>
      <c r="CI516" s="59"/>
      <c r="CJ516" s="59"/>
      <c r="CK516" s="59"/>
      <c r="CL516" s="59"/>
      <c r="CM516" s="59"/>
      <c r="CN516" s="59"/>
      <c r="CO516" s="59"/>
      <c r="CP516" s="59"/>
      <c r="CQ516" s="59"/>
      <c r="CR516" s="59"/>
      <c r="CS516" s="59"/>
      <c r="CT516" s="59"/>
      <c r="CU516" s="59"/>
      <c r="CV516" s="59"/>
      <c r="CW516" s="59"/>
      <c r="CX516" s="59"/>
      <c r="CY516" s="59"/>
      <c r="CZ516" s="59"/>
      <c r="DA516" s="59"/>
      <c r="DB516" s="59"/>
      <c r="DC516" s="59"/>
      <c r="DD516" s="59"/>
      <c r="DE516" s="59"/>
      <c r="DF516" s="59"/>
      <c r="DG516" s="59"/>
    </row>
    <row r="517" spans="1:111" ht="11.2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9"/>
      <c r="AW517" s="59"/>
      <c r="AX517" s="59"/>
      <c r="AY517" s="59"/>
      <c r="AZ517" s="59"/>
      <c r="BA517" s="59"/>
      <c r="BB517" s="59"/>
      <c r="BC517" s="59"/>
      <c r="BD517" s="59"/>
      <c r="BE517" s="59"/>
      <c r="BF517" s="59"/>
      <c r="BG517" s="59"/>
      <c r="BH517" s="59"/>
      <c r="BI517" s="59"/>
      <c r="BJ517" s="59"/>
      <c r="BK517" s="59"/>
      <c r="BL517" s="59"/>
      <c r="BM517" s="59"/>
      <c r="BN517" s="59"/>
      <c r="BO517" s="59"/>
      <c r="BP517" s="59"/>
      <c r="BQ517" s="59"/>
      <c r="BR517" s="59"/>
      <c r="BS517" s="59"/>
      <c r="BT517" s="59"/>
      <c r="BU517" s="59"/>
      <c r="BV517" s="59"/>
      <c r="BW517" s="59"/>
      <c r="BX517" s="59"/>
      <c r="BY517" s="59"/>
      <c r="BZ517" s="59"/>
      <c r="CA517" s="59"/>
      <c r="CB517" s="59"/>
      <c r="CC517" s="59"/>
      <c r="CD517" s="59"/>
      <c r="CE517" s="59"/>
      <c r="CF517" s="59"/>
      <c r="CG517" s="59"/>
      <c r="CH517" s="59"/>
      <c r="CI517" s="59"/>
      <c r="CJ517" s="59"/>
      <c r="CK517" s="59"/>
      <c r="CL517" s="59"/>
      <c r="CM517" s="59"/>
      <c r="CN517" s="59"/>
      <c r="CO517" s="59"/>
      <c r="CP517" s="59"/>
      <c r="CQ517" s="59"/>
      <c r="CR517" s="59"/>
      <c r="CS517" s="59"/>
      <c r="CT517" s="59"/>
      <c r="CU517" s="59"/>
      <c r="CV517" s="59"/>
      <c r="CW517" s="59"/>
      <c r="CX517" s="59"/>
      <c r="CY517" s="59"/>
      <c r="CZ517" s="59"/>
      <c r="DA517" s="59"/>
      <c r="DB517" s="59"/>
      <c r="DC517" s="59"/>
      <c r="DD517" s="59"/>
      <c r="DE517" s="59"/>
      <c r="DF517" s="59"/>
      <c r="DG517" s="59"/>
    </row>
    <row r="518" spans="1:111" ht="11.2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  <c r="AM518" s="59"/>
      <c r="AN518" s="59"/>
      <c r="AO518" s="59"/>
      <c r="AP518" s="59"/>
      <c r="AQ518" s="59"/>
      <c r="AR518" s="59"/>
      <c r="AS518" s="59"/>
      <c r="AT518" s="59"/>
      <c r="AU518" s="59"/>
      <c r="AV518" s="59"/>
      <c r="AW518" s="59"/>
      <c r="AX518" s="59"/>
      <c r="AY518" s="59"/>
      <c r="AZ518" s="59"/>
      <c r="BA518" s="59"/>
      <c r="BB518" s="59"/>
      <c r="BC518" s="59"/>
      <c r="BD518" s="59"/>
      <c r="BE518" s="59"/>
      <c r="BF518" s="59"/>
      <c r="BG518" s="59"/>
      <c r="BH518" s="59"/>
      <c r="BI518" s="59"/>
      <c r="BJ518" s="59"/>
      <c r="BK518" s="59"/>
      <c r="BL518" s="59"/>
      <c r="BM518" s="59"/>
      <c r="BN518" s="59"/>
      <c r="BO518" s="59"/>
      <c r="BP518" s="59"/>
      <c r="BQ518" s="59"/>
      <c r="BR518" s="59"/>
      <c r="BS518" s="59"/>
      <c r="BT518" s="59"/>
      <c r="BU518" s="59"/>
      <c r="BV518" s="59"/>
      <c r="BW518" s="59"/>
      <c r="BX518" s="59"/>
      <c r="BY518" s="59"/>
      <c r="BZ518" s="59"/>
      <c r="CA518" s="59"/>
      <c r="CB518" s="59"/>
      <c r="CC518" s="59"/>
      <c r="CD518" s="59"/>
      <c r="CE518" s="59"/>
      <c r="CF518" s="59"/>
      <c r="CG518" s="59"/>
      <c r="CH518" s="59"/>
      <c r="CI518" s="59"/>
      <c r="CJ518" s="59"/>
      <c r="CK518" s="59"/>
      <c r="CL518" s="59"/>
      <c r="CM518" s="59"/>
      <c r="CN518" s="59"/>
      <c r="CO518" s="59"/>
      <c r="CP518" s="59"/>
      <c r="CQ518" s="59"/>
      <c r="CR518" s="59"/>
      <c r="CS518" s="59"/>
      <c r="CT518" s="59"/>
      <c r="CU518" s="59"/>
      <c r="CV518" s="59"/>
      <c r="CW518" s="59"/>
      <c r="CX518" s="59"/>
      <c r="CY518" s="59"/>
      <c r="CZ518" s="59"/>
      <c r="DA518" s="59"/>
      <c r="DB518" s="59"/>
      <c r="DC518" s="59"/>
      <c r="DD518" s="59"/>
      <c r="DE518" s="59"/>
      <c r="DF518" s="59"/>
      <c r="DG518" s="59"/>
    </row>
    <row r="519" spans="1:111" ht="11.2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  <c r="AJ519" s="59"/>
      <c r="AK519" s="59"/>
      <c r="AL519" s="59"/>
      <c r="AM519" s="59"/>
      <c r="AN519" s="59"/>
      <c r="AO519" s="59"/>
      <c r="AP519" s="59"/>
      <c r="AQ519" s="59"/>
      <c r="AR519" s="59"/>
      <c r="AS519" s="59"/>
      <c r="AT519" s="59"/>
      <c r="AU519" s="59"/>
      <c r="AV519" s="59"/>
      <c r="AW519" s="59"/>
      <c r="AX519" s="59"/>
      <c r="AY519" s="59"/>
      <c r="AZ519" s="59"/>
      <c r="BA519" s="59"/>
      <c r="BB519" s="59"/>
      <c r="BC519" s="59"/>
      <c r="BD519" s="59"/>
      <c r="BE519" s="59"/>
      <c r="BF519" s="59"/>
      <c r="BG519" s="59"/>
      <c r="BH519" s="59"/>
      <c r="BI519" s="59"/>
      <c r="BJ519" s="59"/>
      <c r="BK519" s="59"/>
      <c r="BL519" s="59"/>
      <c r="BM519" s="59"/>
      <c r="BN519" s="59"/>
      <c r="BO519" s="59"/>
      <c r="BP519" s="59"/>
      <c r="BQ519" s="59"/>
      <c r="BR519" s="59"/>
      <c r="BS519" s="59"/>
      <c r="BT519" s="59"/>
      <c r="BU519" s="59"/>
      <c r="BV519" s="59"/>
      <c r="BW519" s="59"/>
      <c r="BX519" s="59"/>
      <c r="BY519" s="59"/>
      <c r="BZ519" s="59"/>
      <c r="CA519" s="59"/>
      <c r="CB519" s="59"/>
      <c r="CC519" s="59"/>
      <c r="CD519" s="59"/>
      <c r="CE519" s="59"/>
      <c r="CF519" s="59"/>
      <c r="CG519" s="59"/>
      <c r="CH519" s="59"/>
      <c r="CI519" s="59"/>
      <c r="CJ519" s="59"/>
      <c r="CK519" s="59"/>
      <c r="CL519" s="59"/>
      <c r="CM519" s="59"/>
      <c r="CN519" s="59"/>
      <c r="CO519" s="59"/>
      <c r="CP519" s="59"/>
      <c r="CQ519" s="59"/>
      <c r="CR519" s="59"/>
      <c r="CS519" s="59"/>
      <c r="CT519" s="59"/>
      <c r="CU519" s="59"/>
      <c r="CV519" s="59"/>
      <c r="CW519" s="59"/>
      <c r="CX519" s="59"/>
      <c r="CY519" s="59"/>
      <c r="CZ519" s="59"/>
      <c r="DA519" s="59"/>
      <c r="DB519" s="59"/>
      <c r="DC519" s="59"/>
      <c r="DD519" s="59"/>
      <c r="DE519" s="59"/>
      <c r="DF519" s="59"/>
      <c r="DG519" s="59"/>
    </row>
    <row r="520" spans="1:111" ht="11.2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59"/>
      <c r="AM520" s="59"/>
      <c r="AN520" s="59"/>
      <c r="AO520" s="59"/>
      <c r="AP520" s="59"/>
      <c r="AQ520" s="59"/>
      <c r="AR520" s="59"/>
      <c r="AS520" s="59"/>
      <c r="AT520" s="59"/>
      <c r="AU520" s="59"/>
      <c r="AV520" s="59"/>
      <c r="AW520" s="59"/>
      <c r="AX520" s="59"/>
      <c r="AY520" s="59"/>
      <c r="AZ520" s="59"/>
      <c r="BA520" s="59"/>
      <c r="BB520" s="59"/>
      <c r="BC520" s="59"/>
      <c r="BD520" s="59"/>
      <c r="BE520" s="59"/>
      <c r="BF520" s="59"/>
      <c r="BG520" s="59"/>
      <c r="BH520" s="59"/>
      <c r="BI520" s="59"/>
      <c r="BJ520" s="59"/>
      <c r="BK520" s="59"/>
      <c r="BL520" s="59"/>
      <c r="BM520" s="59"/>
      <c r="BN520" s="59"/>
      <c r="BO520" s="59"/>
      <c r="BP520" s="59"/>
      <c r="BQ520" s="59"/>
      <c r="BR520" s="59"/>
      <c r="BS520" s="59"/>
      <c r="BT520" s="59"/>
      <c r="BU520" s="59"/>
      <c r="BV520" s="59"/>
      <c r="BW520" s="59"/>
      <c r="BX520" s="59"/>
      <c r="BY520" s="59"/>
      <c r="BZ520" s="59"/>
      <c r="CA520" s="59"/>
      <c r="CB520" s="59"/>
      <c r="CC520" s="59"/>
      <c r="CD520" s="59"/>
      <c r="CE520" s="59"/>
      <c r="CF520" s="59"/>
      <c r="CG520" s="59"/>
      <c r="CH520" s="59"/>
      <c r="CI520" s="59"/>
      <c r="CJ520" s="59"/>
      <c r="CK520" s="59"/>
      <c r="CL520" s="59"/>
      <c r="CM520" s="59"/>
      <c r="CN520" s="59"/>
      <c r="CO520" s="59"/>
      <c r="CP520" s="59"/>
      <c r="CQ520" s="59"/>
      <c r="CR520" s="59"/>
      <c r="CS520" s="59"/>
      <c r="CT520" s="59"/>
      <c r="CU520" s="59"/>
      <c r="CV520" s="59"/>
      <c r="CW520" s="59"/>
      <c r="CX520" s="59"/>
      <c r="CY520" s="59"/>
      <c r="CZ520" s="59"/>
      <c r="DA520" s="59"/>
      <c r="DB520" s="59"/>
      <c r="DC520" s="59"/>
      <c r="DD520" s="59"/>
      <c r="DE520" s="59"/>
      <c r="DF520" s="59"/>
      <c r="DG520" s="59"/>
    </row>
    <row r="521" spans="1:111" ht="11.2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  <c r="AR521" s="59"/>
      <c r="AS521" s="59"/>
      <c r="AT521" s="59"/>
      <c r="AU521" s="59"/>
      <c r="AV521" s="59"/>
      <c r="AW521" s="59"/>
      <c r="AX521" s="59"/>
      <c r="AY521" s="59"/>
      <c r="AZ521" s="59"/>
      <c r="BA521" s="59"/>
      <c r="BB521" s="59"/>
      <c r="BC521" s="59"/>
      <c r="BD521" s="59"/>
      <c r="BE521" s="59"/>
      <c r="BF521" s="59"/>
      <c r="BG521" s="59"/>
      <c r="BH521" s="59"/>
      <c r="BI521" s="59"/>
      <c r="BJ521" s="59"/>
      <c r="BK521" s="59"/>
      <c r="BL521" s="59"/>
      <c r="BM521" s="59"/>
      <c r="BN521" s="59"/>
      <c r="BO521" s="59"/>
      <c r="BP521" s="59"/>
      <c r="BQ521" s="59"/>
      <c r="BR521" s="59"/>
      <c r="BS521" s="59"/>
      <c r="BT521" s="59"/>
      <c r="BU521" s="59"/>
      <c r="BV521" s="59"/>
      <c r="BW521" s="59"/>
      <c r="BX521" s="59"/>
      <c r="BY521" s="59"/>
      <c r="BZ521" s="59"/>
      <c r="CA521" s="59"/>
      <c r="CB521" s="59"/>
      <c r="CC521" s="59"/>
      <c r="CD521" s="59"/>
      <c r="CE521" s="59"/>
      <c r="CF521" s="59"/>
      <c r="CG521" s="59"/>
      <c r="CH521" s="59"/>
      <c r="CI521" s="59"/>
      <c r="CJ521" s="59"/>
      <c r="CK521" s="59"/>
      <c r="CL521" s="59"/>
      <c r="CM521" s="59"/>
      <c r="CN521" s="59"/>
      <c r="CO521" s="59"/>
      <c r="CP521" s="59"/>
      <c r="CQ521" s="59"/>
      <c r="CR521" s="59"/>
      <c r="CS521" s="59"/>
      <c r="CT521" s="59"/>
      <c r="CU521" s="59"/>
      <c r="CV521" s="59"/>
      <c r="CW521" s="59"/>
      <c r="CX521" s="59"/>
      <c r="CY521" s="59"/>
      <c r="CZ521" s="59"/>
      <c r="DA521" s="59"/>
      <c r="DB521" s="59"/>
      <c r="DC521" s="59"/>
      <c r="DD521" s="59"/>
      <c r="DE521" s="59"/>
      <c r="DF521" s="59"/>
      <c r="DG521" s="59"/>
    </row>
    <row r="522" spans="1:111" ht="11.2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59"/>
      <c r="AR522" s="59"/>
      <c r="AS522" s="59"/>
      <c r="AT522" s="59"/>
      <c r="AU522" s="59"/>
      <c r="AV522" s="59"/>
      <c r="AW522" s="59"/>
      <c r="AX522" s="59"/>
      <c r="AY522" s="59"/>
      <c r="AZ522" s="59"/>
      <c r="BA522" s="59"/>
      <c r="BB522" s="59"/>
      <c r="BC522" s="59"/>
      <c r="BD522" s="59"/>
      <c r="BE522" s="59"/>
      <c r="BF522" s="59"/>
      <c r="BG522" s="59"/>
      <c r="BH522" s="59"/>
      <c r="BI522" s="59"/>
      <c r="BJ522" s="59"/>
      <c r="BK522" s="59"/>
      <c r="BL522" s="59"/>
      <c r="BM522" s="59"/>
      <c r="BN522" s="59"/>
      <c r="BO522" s="59"/>
      <c r="BP522" s="59"/>
      <c r="BQ522" s="59"/>
      <c r="BR522" s="59"/>
      <c r="BS522" s="59"/>
      <c r="BT522" s="59"/>
      <c r="BU522" s="59"/>
      <c r="BV522" s="59"/>
      <c r="BW522" s="59"/>
      <c r="BX522" s="59"/>
      <c r="BY522" s="59"/>
      <c r="BZ522" s="59"/>
      <c r="CA522" s="59"/>
      <c r="CB522" s="59"/>
      <c r="CC522" s="59"/>
      <c r="CD522" s="59"/>
      <c r="CE522" s="59"/>
      <c r="CF522" s="59"/>
      <c r="CG522" s="59"/>
      <c r="CH522" s="59"/>
      <c r="CI522" s="59"/>
      <c r="CJ522" s="59"/>
      <c r="CK522" s="59"/>
      <c r="CL522" s="59"/>
      <c r="CM522" s="59"/>
      <c r="CN522" s="59"/>
      <c r="CO522" s="59"/>
      <c r="CP522" s="59"/>
      <c r="CQ522" s="59"/>
      <c r="CR522" s="59"/>
      <c r="CS522" s="59"/>
      <c r="CT522" s="59"/>
      <c r="CU522" s="59"/>
      <c r="CV522" s="59"/>
      <c r="CW522" s="59"/>
      <c r="CX522" s="59"/>
      <c r="CY522" s="59"/>
      <c r="CZ522" s="59"/>
      <c r="DA522" s="59"/>
      <c r="DB522" s="59"/>
      <c r="DC522" s="59"/>
      <c r="DD522" s="59"/>
      <c r="DE522" s="59"/>
      <c r="DF522" s="59"/>
      <c r="DG522" s="59"/>
    </row>
    <row r="523" spans="1:111" ht="11.2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59"/>
      <c r="AW523" s="59"/>
      <c r="AX523" s="59"/>
      <c r="AY523" s="59"/>
      <c r="AZ523" s="59"/>
      <c r="BA523" s="59"/>
      <c r="BB523" s="59"/>
      <c r="BC523" s="59"/>
      <c r="BD523" s="59"/>
      <c r="BE523" s="59"/>
      <c r="BF523" s="59"/>
      <c r="BG523" s="59"/>
      <c r="BH523" s="59"/>
      <c r="BI523" s="59"/>
      <c r="BJ523" s="59"/>
      <c r="BK523" s="59"/>
      <c r="BL523" s="59"/>
      <c r="BM523" s="59"/>
      <c r="BN523" s="59"/>
      <c r="BO523" s="59"/>
      <c r="BP523" s="59"/>
      <c r="BQ523" s="59"/>
      <c r="BR523" s="59"/>
      <c r="BS523" s="59"/>
      <c r="BT523" s="59"/>
      <c r="BU523" s="59"/>
      <c r="BV523" s="59"/>
      <c r="BW523" s="59"/>
      <c r="BX523" s="59"/>
      <c r="BY523" s="59"/>
      <c r="BZ523" s="59"/>
      <c r="CA523" s="59"/>
      <c r="CB523" s="59"/>
      <c r="CC523" s="59"/>
      <c r="CD523" s="59"/>
      <c r="CE523" s="59"/>
      <c r="CF523" s="59"/>
      <c r="CG523" s="59"/>
      <c r="CH523" s="59"/>
      <c r="CI523" s="59"/>
      <c r="CJ523" s="59"/>
      <c r="CK523" s="59"/>
      <c r="CL523" s="59"/>
      <c r="CM523" s="59"/>
      <c r="CN523" s="59"/>
      <c r="CO523" s="59"/>
      <c r="CP523" s="59"/>
      <c r="CQ523" s="59"/>
      <c r="CR523" s="59"/>
      <c r="CS523" s="59"/>
      <c r="CT523" s="59"/>
      <c r="CU523" s="59"/>
      <c r="CV523" s="59"/>
      <c r="CW523" s="59"/>
      <c r="CX523" s="59"/>
      <c r="CY523" s="59"/>
      <c r="CZ523" s="59"/>
      <c r="DA523" s="59"/>
      <c r="DB523" s="59"/>
      <c r="DC523" s="59"/>
      <c r="DD523" s="59"/>
      <c r="DE523" s="59"/>
      <c r="DF523" s="59"/>
      <c r="DG523" s="59"/>
    </row>
    <row r="524" spans="1:111" ht="11.2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  <c r="AJ524" s="59"/>
      <c r="AK524" s="59"/>
      <c r="AL524" s="59"/>
      <c r="AM524" s="59"/>
      <c r="AN524" s="59"/>
      <c r="AO524" s="59"/>
      <c r="AP524" s="59"/>
      <c r="AQ524" s="59"/>
      <c r="AR524" s="59"/>
      <c r="AS524" s="59"/>
      <c r="AT524" s="59"/>
      <c r="AU524" s="59"/>
      <c r="AV524" s="59"/>
      <c r="AW524" s="59"/>
      <c r="AX524" s="59"/>
      <c r="AY524" s="59"/>
      <c r="AZ524" s="59"/>
      <c r="BA524" s="59"/>
      <c r="BB524" s="59"/>
      <c r="BC524" s="59"/>
      <c r="BD524" s="59"/>
      <c r="BE524" s="59"/>
      <c r="BF524" s="59"/>
      <c r="BG524" s="59"/>
      <c r="BH524" s="59"/>
      <c r="BI524" s="59"/>
      <c r="BJ524" s="59"/>
      <c r="BK524" s="59"/>
      <c r="BL524" s="59"/>
      <c r="BM524" s="59"/>
      <c r="BN524" s="59"/>
      <c r="BO524" s="59"/>
      <c r="BP524" s="59"/>
      <c r="BQ524" s="59"/>
      <c r="BR524" s="59"/>
      <c r="BS524" s="59"/>
      <c r="BT524" s="59"/>
      <c r="BU524" s="59"/>
      <c r="BV524" s="59"/>
      <c r="BW524" s="59"/>
      <c r="BX524" s="59"/>
      <c r="BY524" s="59"/>
      <c r="BZ524" s="59"/>
      <c r="CA524" s="59"/>
      <c r="CB524" s="59"/>
      <c r="CC524" s="59"/>
      <c r="CD524" s="59"/>
      <c r="CE524" s="59"/>
      <c r="CF524" s="59"/>
      <c r="CG524" s="59"/>
      <c r="CH524" s="59"/>
      <c r="CI524" s="59"/>
      <c r="CJ524" s="59"/>
      <c r="CK524" s="59"/>
      <c r="CL524" s="59"/>
      <c r="CM524" s="59"/>
      <c r="CN524" s="59"/>
      <c r="CO524" s="59"/>
      <c r="CP524" s="59"/>
      <c r="CQ524" s="59"/>
      <c r="CR524" s="59"/>
      <c r="CS524" s="59"/>
      <c r="CT524" s="59"/>
      <c r="CU524" s="59"/>
      <c r="CV524" s="59"/>
      <c r="CW524" s="59"/>
      <c r="CX524" s="59"/>
      <c r="CY524" s="59"/>
      <c r="CZ524" s="59"/>
      <c r="DA524" s="59"/>
      <c r="DB524" s="59"/>
      <c r="DC524" s="59"/>
      <c r="DD524" s="59"/>
      <c r="DE524" s="59"/>
      <c r="DF524" s="59"/>
      <c r="DG524" s="59"/>
    </row>
    <row r="525" spans="1:111" ht="11.2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  <c r="AJ525" s="59"/>
      <c r="AK525" s="59"/>
      <c r="AL525" s="59"/>
      <c r="AM525" s="59"/>
      <c r="AN525" s="59"/>
      <c r="AO525" s="59"/>
      <c r="AP525" s="59"/>
      <c r="AQ525" s="59"/>
      <c r="AR525" s="59"/>
      <c r="AS525" s="59"/>
      <c r="AT525" s="59"/>
      <c r="AU525" s="59"/>
      <c r="AV525" s="59"/>
      <c r="AW525" s="59"/>
      <c r="AX525" s="59"/>
      <c r="AY525" s="59"/>
      <c r="AZ525" s="59"/>
      <c r="BA525" s="59"/>
      <c r="BB525" s="59"/>
      <c r="BC525" s="59"/>
      <c r="BD525" s="59"/>
      <c r="BE525" s="59"/>
      <c r="BF525" s="59"/>
      <c r="BG525" s="59"/>
      <c r="BH525" s="59"/>
      <c r="BI525" s="59"/>
      <c r="BJ525" s="59"/>
      <c r="BK525" s="59"/>
      <c r="BL525" s="59"/>
      <c r="BM525" s="59"/>
      <c r="BN525" s="59"/>
      <c r="BO525" s="59"/>
      <c r="BP525" s="59"/>
      <c r="BQ525" s="59"/>
      <c r="BR525" s="59"/>
      <c r="BS525" s="59"/>
      <c r="BT525" s="59"/>
      <c r="BU525" s="59"/>
      <c r="BV525" s="59"/>
      <c r="BW525" s="59"/>
      <c r="BX525" s="59"/>
      <c r="BY525" s="59"/>
      <c r="BZ525" s="59"/>
      <c r="CA525" s="59"/>
      <c r="CB525" s="59"/>
      <c r="CC525" s="59"/>
      <c r="CD525" s="59"/>
      <c r="CE525" s="59"/>
      <c r="CF525" s="59"/>
      <c r="CG525" s="59"/>
      <c r="CH525" s="59"/>
      <c r="CI525" s="59"/>
      <c r="CJ525" s="59"/>
      <c r="CK525" s="59"/>
      <c r="CL525" s="59"/>
      <c r="CM525" s="59"/>
      <c r="CN525" s="59"/>
      <c r="CO525" s="59"/>
      <c r="CP525" s="59"/>
      <c r="CQ525" s="59"/>
      <c r="CR525" s="59"/>
      <c r="CS525" s="59"/>
      <c r="CT525" s="59"/>
      <c r="CU525" s="59"/>
      <c r="CV525" s="59"/>
      <c r="CW525" s="59"/>
      <c r="CX525" s="59"/>
      <c r="CY525" s="59"/>
      <c r="CZ525" s="59"/>
      <c r="DA525" s="59"/>
      <c r="DB525" s="59"/>
      <c r="DC525" s="59"/>
      <c r="DD525" s="59"/>
      <c r="DE525" s="59"/>
      <c r="DF525" s="59"/>
      <c r="DG525" s="59"/>
    </row>
    <row r="526" spans="1:111" ht="11.2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  <c r="AJ526" s="59"/>
      <c r="AK526" s="59"/>
      <c r="AL526" s="59"/>
      <c r="AM526" s="59"/>
      <c r="AN526" s="59"/>
      <c r="AO526" s="59"/>
      <c r="AP526" s="59"/>
      <c r="AQ526" s="59"/>
      <c r="AR526" s="59"/>
      <c r="AS526" s="59"/>
      <c r="AT526" s="59"/>
      <c r="AU526" s="59"/>
      <c r="AV526" s="59"/>
      <c r="AW526" s="59"/>
      <c r="AX526" s="59"/>
      <c r="AY526" s="59"/>
      <c r="AZ526" s="59"/>
      <c r="BA526" s="59"/>
      <c r="BB526" s="59"/>
      <c r="BC526" s="59"/>
      <c r="BD526" s="59"/>
      <c r="BE526" s="59"/>
      <c r="BF526" s="59"/>
      <c r="BG526" s="59"/>
      <c r="BH526" s="59"/>
      <c r="BI526" s="59"/>
      <c r="BJ526" s="59"/>
      <c r="BK526" s="59"/>
      <c r="BL526" s="59"/>
      <c r="BM526" s="59"/>
      <c r="BN526" s="59"/>
      <c r="BO526" s="59"/>
      <c r="BP526" s="59"/>
      <c r="BQ526" s="59"/>
      <c r="BR526" s="59"/>
      <c r="BS526" s="59"/>
      <c r="BT526" s="59"/>
      <c r="BU526" s="59"/>
      <c r="BV526" s="59"/>
      <c r="BW526" s="59"/>
      <c r="BX526" s="59"/>
      <c r="BY526" s="59"/>
      <c r="BZ526" s="59"/>
      <c r="CA526" s="59"/>
      <c r="CB526" s="59"/>
      <c r="CC526" s="59"/>
      <c r="CD526" s="59"/>
      <c r="CE526" s="59"/>
      <c r="CF526" s="59"/>
      <c r="CG526" s="59"/>
      <c r="CH526" s="59"/>
      <c r="CI526" s="59"/>
      <c r="CJ526" s="59"/>
      <c r="CK526" s="59"/>
      <c r="CL526" s="59"/>
      <c r="CM526" s="59"/>
      <c r="CN526" s="59"/>
      <c r="CO526" s="59"/>
      <c r="CP526" s="59"/>
      <c r="CQ526" s="59"/>
      <c r="CR526" s="59"/>
      <c r="CS526" s="59"/>
      <c r="CT526" s="59"/>
      <c r="CU526" s="59"/>
      <c r="CV526" s="59"/>
      <c r="CW526" s="59"/>
      <c r="CX526" s="59"/>
      <c r="CY526" s="59"/>
      <c r="CZ526" s="59"/>
      <c r="DA526" s="59"/>
      <c r="DB526" s="59"/>
      <c r="DC526" s="59"/>
      <c r="DD526" s="59"/>
      <c r="DE526" s="59"/>
      <c r="DF526" s="59"/>
      <c r="DG526" s="59"/>
    </row>
    <row r="527" spans="1:111" ht="11.2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9"/>
      <c r="AQ527" s="59"/>
      <c r="AR527" s="59"/>
      <c r="AS527" s="59"/>
      <c r="AT527" s="59"/>
      <c r="AU527" s="59"/>
      <c r="AV527" s="59"/>
      <c r="AW527" s="59"/>
      <c r="AX527" s="59"/>
      <c r="AY527" s="59"/>
      <c r="AZ527" s="59"/>
      <c r="BA527" s="59"/>
      <c r="BB527" s="59"/>
      <c r="BC527" s="59"/>
      <c r="BD527" s="59"/>
      <c r="BE527" s="59"/>
      <c r="BF527" s="59"/>
      <c r="BG527" s="59"/>
      <c r="BH527" s="59"/>
      <c r="BI527" s="59"/>
      <c r="BJ527" s="59"/>
      <c r="BK527" s="59"/>
      <c r="BL527" s="59"/>
      <c r="BM527" s="59"/>
      <c r="BN527" s="59"/>
      <c r="BO527" s="59"/>
      <c r="BP527" s="59"/>
      <c r="BQ527" s="59"/>
      <c r="BR527" s="59"/>
      <c r="BS527" s="59"/>
      <c r="BT527" s="59"/>
      <c r="BU527" s="59"/>
      <c r="BV527" s="59"/>
      <c r="BW527" s="59"/>
      <c r="BX527" s="59"/>
      <c r="BY527" s="59"/>
      <c r="BZ527" s="59"/>
      <c r="CA527" s="59"/>
      <c r="CB527" s="59"/>
      <c r="CC527" s="59"/>
      <c r="CD527" s="59"/>
      <c r="CE527" s="59"/>
      <c r="CF527" s="59"/>
      <c r="CG527" s="59"/>
      <c r="CH527" s="59"/>
      <c r="CI527" s="59"/>
      <c r="CJ527" s="59"/>
      <c r="CK527" s="59"/>
      <c r="CL527" s="59"/>
      <c r="CM527" s="59"/>
      <c r="CN527" s="59"/>
      <c r="CO527" s="59"/>
      <c r="CP527" s="59"/>
      <c r="CQ527" s="59"/>
      <c r="CR527" s="59"/>
      <c r="CS527" s="59"/>
      <c r="CT527" s="59"/>
      <c r="CU527" s="59"/>
      <c r="CV527" s="59"/>
      <c r="CW527" s="59"/>
      <c r="CX527" s="59"/>
      <c r="CY527" s="59"/>
      <c r="CZ527" s="59"/>
      <c r="DA527" s="59"/>
      <c r="DB527" s="59"/>
      <c r="DC527" s="59"/>
      <c r="DD527" s="59"/>
      <c r="DE527" s="59"/>
      <c r="DF527" s="59"/>
      <c r="DG527" s="59"/>
    </row>
    <row r="528" spans="1:111" ht="11.2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  <c r="AJ528" s="59"/>
      <c r="AK528" s="59"/>
      <c r="AL528" s="59"/>
      <c r="AM528" s="59"/>
      <c r="AN528" s="59"/>
      <c r="AO528" s="59"/>
      <c r="AP528" s="59"/>
      <c r="AQ528" s="59"/>
      <c r="AR528" s="59"/>
      <c r="AS528" s="59"/>
      <c r="AT528" s="59"/>
      <c r="AU528" s="59"/>
      <c r="AV528" s="59"/>
      <c r="AW528" s="59"/>
      <c r="AX528" s="59"/>
      <c r="AY528" s="59"/>
      <c r="AZ528" s="59"/>
      <c r="BA528" s="59"/>
      <c r="BB528" s="59"/>
      <c r="BC528" s="59"/>
      <c r="BD528" s="59"/>
      <c r="BE528" s="59"/>
      <c r="BF528" s="59"/>
      <c r="BG528" s="59"/>
      <c r="BH528" s="59"/>
      <c r="BI528" s="59"/>
      <c r="BJ528" s="59"/>
      <c r="BK528" s="59"/>
      <c r="BL528" s="59"/>
      <c r="BM528" s="59"/>
      <c r="BN528" s="59"/>
      <c r="BO528" s="59"/>
      <c r="BP528" s="59"/>
      <c r="BQ528" s="59"/>
      <c r="BR528" s="59"/>
      <c r="BS528" s="59"/>
      <c r="BT528" s="59"/>
      <c r="BU528" s="59"/>
      <c r="BV528" s="59"/>
      <c r="BW528" s="59"/>
      <c r="BX528" s="59"/>
      <c r="BY528" s="59"/>
      <c r="BZ528" s="59"/>
      <c r="CA528" s="59"/>
      <c r="CB528" s="59"/>
      <c r="CC528" s="59"/>
      <c r="CD528" s="59"/>
      <c r="CE528" s="59"/>
      <c r="CF528" s="59"/>
      <c r="CG528" s="59"/>
      <c r="CH528" s="59"/>
      <c r="CI528" s="59"/>
      <c r="CJ528" s="59"/>
      <c r="CK528" s="59"/>
      <c r="CL528" s="59"/>
      <c r="CM528" s="59"/>
      <c r="CN528" s="59"/>
      <c r="CO528" s="59"/>
      <c r="CP528" s="59"/>
      <c r="CQ528" s="59"/>
      <c r="CR528" s="59"/>
      <c r="CS528" s="59"/>
      <c r="CT528" s="59"/>
      <c r="CU528" s="59"/>
      <c r="CV528" s="59"/>
      <c r="CW528" s="59"/>
      <c r="CX528" s="59"/>
      <c r="CY528" s="59"/>
      <c r="CZ528" s="59"/>
      <c r="DA528" s="59"/>
      <c r="DB528" s="59"/>
      <c r="DC528" s="59"/>
      <c r="DD528" s="59"/>
      <c r="DE528" s="59"/>
      <c r="DF528" s="59"/>
      <c r="DG528" s="59"/>
    </row>
    <row r="529" spans="1:111" ht="11.2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  <c r="AJ529" s="59"/>
      <c r="AK529" s="59"/>
      <c r="AL529" s="59"/>
      <c r="AM529" s="59"/>
      <c r="AN529" s="59"/>
      <c r="AO529" s="59"/>
      <c r="AP529" s="59"/>
      <c r="AQ529" s="59"/>
      <c r="AR529" s="59"/>
      <c r="AS529" s="59"/>
      <c r="AT529" s="59"/>
      <c r="AU529" s="59"/>
      <c r="AV529" s="59"/>
      <c r="AW529" s="59"/>
      <c r="AX529" s="59"/>
      <c r="AY529" s="59"/>
      <c r="AZ529" s="59"/>
      <c r="BA529" s="59"/>
      <c r="BB529" s="59"/>
      <c r="BC529" s="59"/>
      <c r="BD529" s="59"/>
      <c r="BE529" s="59"/>
      <c r="BF529" s="59"/>
      <c r="BG529" s="59"/>
      <c r="BH529" s="59"/>
      <c r="BI529" s="59"/>
      <c r="BJ529" s="59"/>
      <c r="BK529" s="59"/>
      <c r="BL529" s="59"/>
      <c r="BM529" s="59"/>
      <c r="BN529" s="59"/>
      <c r="BO529" s="59"/>
      <c r="BP529" s="59"/>
      <c r="BQ529" s="59"/>
      <c r="BR529" s="59"/>
      <c r="BS529" s="59"/>
      <c r="BT529" s="59"/>
      <c r="BU529" s="59"/>
      <c r="BV529" s="59"/>
      <c r="BW529" s="59"/>
      <c r="BX529" s="59"/>
      <c r="BY529" s="59"/>
      <c r="BZ529" s="59"/>
      <c r="CA529" s="59"/>
      <c r="CB529" s="59"/>
      <c r="CC529" s="59"/>
      <c r="CD529" s="59"/>
      <c r="CE529" s="59"/>
      <c r="CF529" s="59"/>
      <c r="CG529" s="59"/>
      <c r="CH529" s="59"/>
      <c r="CI529" s="59"/>
      <c r="CJ529" s="59"/>
      <c r="CK529" s="59"/>
      <c r="CL529" s="59"/>
      <c r="CM529" s="59"/>
      <c r="CN529" s="59"/>
      <c r="CO529" s="59"/>
      <c r="CP529" s="59"/>
      <c r="CQ529" s="59"/>
      <c r="CR529" s="59"/>
      <c r="CS529" s="59"/>
      <c r="CT529" s="59"/>
      <c r="CU529" s="59"/>
      <c r="CV529" s="59"/>
      <c r="CW529" s="59"/>
      <c r="CX529" s="59"/>
      <c r="CY529" s="59"/>
      <c r="CZ529" s="59"/>
      <c r="DA529" s="59"/>
      <c r="DB529" s="59"/>
      <c r="DC529" s="59"/>
      <c r="DD529" s="59"/>
      <c r="DE529" s="59"/>
      <c r="DF529" s="59"/>
      <c r="DG529" s="59"/>
    </row>
    <row r="530" spans="1:111" ht="11.2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  <c r="AJ530" s="59"/>
      <c r="AK530" s="59"/>
      <c r="AL530" s="59"/>
      <c r="AM530" s="59"/>
      <c r="AN530" s="59"/>
      <c r="AO530" s="59"/>
      <c r="AP530" s="59"/>
      <c r="AQ530" s="59"/>
      <c r="AR530" s="59"/>
      <c r="AS530" s="59"/>
      <c r="AT530" s="59"/>
      <c r="AU530" s="59"/>
      <c r="AV530" s="59"/>
      <c r="AW530" s="59"/>
      <c r="AX530" s="59"/>
      <c r="AY530" s="59"/>
      <c r="AZ530" s="59"/>
      <c r="BA530" s="59"/>
      <c r="BB530" s="59"/>
      <c r="BC530" s="59"/>
      <c r="BD530" s="59"/>
      <c r="BE530" s="59"/>
      <c r="BF530" s="59"/>
      <c r="BG530" s="59"/>
      <c r="BH530" s="59"/>
      <c r="BI530" s="59"/>
      <c r="BJ530" s="59"/>
      <c r="BK530" s="59"/>
      <c r="BL530" s="59"/>
      <c r="BM530" s="59"/>
      <c r="BN530" s="59"/>
      <c r="BO530" s="59"/>
      <c r="BP530" s="59"/>
      <c r="BQ530" s="59"/>
      <c r="BR530" s="59"/>
      <c r="BS530" s="59"/>
      <c r="BT530" s="59"/>
      <c r="BU530" s="59"/>
      <c r="BV530" s="59"/>
      <c r="BW530" s="59"/>
      <c r="BX530" s="59"/>
      <c r="BY530" s="59"/>
      <c r="BZ530" s="59"/>
      <c r="CA530" s="59"/>
      <c r="CB530" s="59"/>
      <c r="CC530" s="59"/>
      <c r="CD530" s="59"/>
      <c r="CE530" s="59"/>
      <c r="CF530" s="59"/>
      <c r="CG530" s="59"/>
      <c r="CH530" s="59"/>
      <c r="CI530" s="59"/>
      <c r="CJ530" s="59"/>
      <c r="CK530" s="59"/>
      <c r="CL530" s="59"/>
      <c r="CM530" s="59"/>
      <c r="CN530" s="59"/>
      <c r="CO530" s="59"/>
      <c r="CP530" s="59"/>
      <c r="CQ530" s="59"/>
      <c r="CR530" s="59"/>
      <c r="CS530" s="59"/>
      <c r="CT530" s="59"/>
      <c r="CU530" s="59"/>
      <c r="CV530" s="59"/>
      <c r="CW530" s="59"/>
      <c r="CX530" s="59"/>
      <c r="CY530" s="59"/>
      <c r="CZ530" s="59"/>
      <c r="DA530" s="59"/>
      <c r="DB530" s="59"/>
      <c r="DC530" s="59"/>
      <c r="DD530" s="59"/>
      <c r="DE530" s="59"/>
      <c r="DF530" s="59"/>
      <c r="DG530" s="59"/>
    </row>
    <row r="531" spans="1:111" ht="11.2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59"/>
      <c r="AO531" s="59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  <c r="BC531" s="59"/>
      <c r="BD531" s="59"/>
      <c r="BE531" s="59"/>
      <c r="BF531" s="59"/>
      <c r="BG531" s="59"/>
      <c r="BH531" s="59"/>
      <c r="BI531" s="59"/>
      <c r="BJ531" s="59"/>
      <c r="BK531" s="59"/>
      <c r="BL531" s="59"/>
      <c r="BM531" s="59"/>
      <c r="BN531" s="59"/>
      <c r="BO531" s="59"/>
      <c r="BP531" s="59"/>
      <c r="BQ531" s="59"/>
      <c r="BR531" s="59"/>
      <c r="BS531" s="59"/>
      <c r="BT531" s="59"/>
      <c r="BU531" s="59"/>
      <c r="BV531" s="59"/>
      <c r="BW531" s="59"/>
      <c r="BX531" s="59"/>
      <c r="BY531" s="59"/>
      <c r="BZ531" s="59"/>
      <c r="CA531" s="59"/>
      <c r="CB531" s="59"/>
      <c r="CC531" s="59"/>
      <c r="CD531" s="59"/>
      <c r="CE531" s="59"/>
      <c r="CF531" s="59"/>
      <c r="CG531" s="59"/>
      <c r="CH531" s="59"/>
      <c r="CI531" s="59"/>
      <c r="CJ531" s="59"/>
      <c r="CK531" s="59"/>
      <c r="CL531" s="59"/>
      <c r="CM531" s="59"/>
      <c r="CN531" s="59"/>
      <c r="CO531" s="59"/>
      <c r="CP531" s="59"/>
      <c r="CQ531" s="59"/>
      <c r="CR531" s="59"/>
      <c r="CS531" s="59"/>
      <c r="CT531" s="59"/>
      <c r="CU531" s="59"/>
      <c r="CV531" s="59"/>
      <c r="CW531" s="59"/>
      <c r="CX531" s="59"/>
      <c r="CY531" s="59"/>
      <c r="CZ531" s="59"/>
      <c r="DA531" s="59"/>
      <c r="DB531" s="59"/>
      <c r="DC531" s="59"/>
      <c r="DD531" s="59"/>
      <c r="DE531" s="59"/>
      <c r="DF531" s="59"/>
      <c r="DG531" s="59"/>
    </row>
    <row r="532" spans="1:111" ht="11.2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59"/>
      <c r="AO532" s="59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  <c r="BC532" s="59"/>
      <c r="BD532" s="59"/>
      <c r="BE532" s="59"/>
      <c r="BF532" s="59"/>
      <c r="BG532" s="59"/>
      <c r="BH532" s="59"/>
      <c r="BI532" s="59"/>
      <c r="BJ532" s="59"/>
      <c r="BK532" s="59"/>
      <c r="BL532" s="59"/>
      <c r="BM532" s="59"/>
      <c r="BN532" s="59"/>
      <c r="BO532" s="59"/>
      <c r="BP532" s="59"/>
      <c r="BQ532" s="59"/>
      <c r="BR532" s="59"/>
      <c r="BS532" s="59"/>
      <c r="BT532" s="59"/>
      <c r="BU532" s="59"/>
      <c r="BV532" s="59"/>
      <c r="BW532" s="59"/>
      <c r="BX532" s="59"/>
      <c r="BY532" s="59"/>
      <c r="BZ532" s="59"/>
      <c r="CA532" s="59"/>
      <c r="CB532" s="59"/>
      <c r="CC532" s="59"/>
      <c r="CD532" s="59"/>
      <c r="CE532" s="59"/>
      <c r="CF532" s="59"/>
      <c r="CG532" s="59"/>
      <c r="CH532" s="59"/>
      <c r="CI532" s="59"/>
      <c r="CJ532" s="59"/>
      <c r="CK532" s="59"/>
      <c r="CL532" s="59"/>
      <c r="CM532" s="59"/>
      <c r="CN532" s="59"/>
      <c r="CO532" s="59"/>
      <c r="CP532" s="59"/>
      <c r="CQ532" s="59"/>
      <c r="CR532" s="59"/>
      <c r="CS532" s="59"/>
      <c r="CT532" s="59"/>
      <c r="CU532" s="59"/>
      <c r="CV532" s="59"/>
      <c r="CW532" s="59"/>
      <c r="CX532" s="59"/>
      <c r="CY532" s="59"/>
      <c r="CZ532" s="59"/>
      <c r="DA532" s="59"/>
      <c r="DB532" s="59"/>
      <c r="DC532" s="59"/>
      <c r="DD532" s="59"/>
      <c r="DE532" s="59"/>
      <c r="DF532" s="59"/>
      <c r="DG532" s="59"/>
    </row>
    <row r="533" spans="1:111" ht="11.2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59"/>
      <c r="AW533" s="59"/>
      <c r="AX533" s="59"/>
      <c r="AY533" s="59"/>
      <c r="AZ533" s="59"/>
      <c r="BA533" s="59"/>
      <c r="BB533" s="59"/>
      <c r="BC533" s="59"/>
      <c r="BD533" s="59"/>
      <c r="BE533" s="59"/>
      <c r="BF533" s="59"/>
      <c r="BG533" s="59"/>
      <c r="BH533" s="59"/>
      <c r="BI533" s="59"/>
      <c r="BJ533" s="59"/>
      <c r="BK533" s="59"/>
      <c r="BL533" s="59"/>
      <c r="BM533" s="59"/>
      <c r="BN533" s="59"/>
      <c r="BO533" s="59"/>
      <c r="BP533" s="59"/>
      <c r="BQ533" s="59"/>
      <c r="BR533" s="59"/>
      <c r="BS533" s="59"/>
      <c r="BT533" s="59"/>
      <c r="BU533" s="59"/>
      <c r="BV533" s="59"/>
      <c r="BW533" s="59"/>
      <c r="BX533" s="59"/>
      <c r="BY533" s="59"/>
      <c r="BZ533" s="59"/>
      <c r="CA533" s="59"/>
      <c r="CB533" s="59"/>
      <c r="CC533" s="59"/>
      <c r="CD533" s="59"/>
      <c r="CE533" s="59"/>
      <c r="CF533" s="59"/>
      <c r="CG533" s="59"/>
      <c r="CH533" s="59"/>
      <c r="CI533" s="59"/>
      <c r="CJ533" s="59"/>
      <c r="CK533" s="59"/>
      <c r="CL533" s="59"/>
      <c r="CM533" s="59"/>
      <c r="CN533" s="59"/>
      <c r="CO533" s="59"/>
      <c r="CP533" s="59"/>
      <c r="CQ533" s="59"/>
      <c r="CR533" s="59"/>
      <c r="CS533" s="59"/>
      <c r="CT533" s="59"/>
      <c r="CU533" s="59"/>
      <c r="CV533" s="59"/>
      <c r="CW533" s="59"/>
      <c r="CX533" s="59"/>
      <c r="CY533" s="59"/>
      <c r="CZ533" s="59"/>
      <c r="DA533" s="59"/>
      <c r="DB533" s="59"/>
      <c r="DC533" s="59"/>
      <c r="DD533" s="59"/>
      <c r="DE533" s="59"/>
      <c r="DF533" s="59"/>
      <c r="DG533" s="59"/>
    </row>
    <row r="534" spans="1:111" ht="11.2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  <c r="BC534" s="59"/>
      <c r="BD534" s="59"/>
      <c r="BE534" s="59"/>
      <c r="BF534" s="59"/>
      <c r="BG534" s="59"/>
      <c r="BH534" s="59"/>
      <c r="BI534" s="59"/>
      <c r="BJ534" s="59"/>
      <c r="BK534" s="59"/>
      <c r="BL534" s="59"/>
      <c r="BM534" s="59"/>
      <c r="BN534" s="59"/>
      <c r="BO534" s="59"/>
      <c r="BP534" s="59"/>
      <c r="BQ534" s="59"/>
      <c r="BR534" s="59"/>
      <c r="BS534" s="59"/>
      <c r="BT534" s="59"/>
      <c r="BU534" s="59"/>
      <c r="BV534" s="59"/>
      <c r="BW534" s="59"/>
      <c r="BX534" s="59"/>
      <c r="BY534" s="59"/>
      <c r="BZ534" s="59"/>
      <c r="CA534" s="59"/>
      <c r="CB534" s="59"/>
      <c r="CC534" s="59"/>
      <c r="CD534" s="59"/>
      <c r="CE534" s="59"/>
      <c r="CF534" s="59"/>
      <c r="CG534" s="59"/>
      <c r="CH534" s="59"/>
      <c r="CI534" s="59"/>
      <c r="CJ534" s="59"/>
      <c r="CK534" s="59"/>
      <c r="CL534" s="59"/>
      <c r="CM534" s="59"/>
      <c r="CN534" s="59"/>
      <c r="CO534" s="59"/>
      <c r="CP534" s="59"/>
      <c r="CQ534" s="59"/>
      <c r="CR534" s="59"/>
      <c r="CS534" s="59"/>
      <c r="CT534" s="59"/>
      <c r="CU534" s="59"/>
      <c r="CV534" s="59"/>
      <c r="CW534" s="59"/>
      <c r="CX534" s="59"/>
      <c r="CY534" s="59"/>
      <c r="CZ534" s="59"/>
      <c r="DA534" s="59"/>
      <c r="DB534" s="59"/>
      <c r="DC534" s="59"/>
      <c r="DD534" s="59"/>
      <c r="DE534" s="59"/>
      <c r="DF534" s="59"/>
      <c r="DG534" s="59"/>
    </row>
    <row r="535" spans="1:111" ht="11.2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  <c r="BC535" s="59"/>
      <c r="BD535" s="59"/>
      <c r="BE535" s="59"/>
      <c r="BF535" s="59"/>
      <c r="BG535" s="59"/>
      <c r="BH535" s="59"/>
      <c r="BI535" s="59"/>
      <c r="BJ535" s="59"/>
      <c r="BK535" s="59"/>
      <c r="BL535" s="59"/>
      <c r="BM535" s="59"/>
      <c r="BN535" s="59"/>
      <c r="BO535" s="59"/>
      <c r="BP535" s="59"/>
      <c r="BQ535" s="59"/>
      <c r="BR535" s="59"/>
      <c r="BS535" s="59"/>
      <c r="BT535" s="59"/>
      <c r="BU535" s="59"/>
      <c r="BV535" s="59"/>
      <c r="BW535" s="59"/>
      <c r="BX535" s="59"/>
      <c r="BY535" s="59"/>
      <c r="BZ535" s="59"/>
      <c r="CA535" s="59"/>
      <c r="CB535" s="59"/>
      <c r="CC535" s="59"/>
      <c r="CD535" s="59"/>
      <c r="CE535" s="59"/>
      <c r="CF535" s="59"/>
      <c r="CG535" s="59"/>
      <c r="CH535" s="59"/>
      <c r="CI535" s="59"/>
      <c r="CJ535" s="59"/>
      <c r="CK535" s="59"/>
      <c r="CL535" s="59"/>
      <c r="CM535" s="59"/>
      <c r="CN535" s="59"/>
      <c r="CO535" s="59"/>
      <c r="CP535" s="59"/>
      <c r="CQ535" s="59"/>
      <c r="CR535" s="59"/>
      <c r="CS535" s="59"/>
      <c r="CT535" s="59"/>
      <c r="CU535" s="59"/>
      <c r="CV535" s="59"/>
      <c r="CW535" s="59"/>
      <c r="CX535" s="59"/>
      <c r="CY535" s="59"/>
      <c r="CZ535" s="59"/>
      <c r="DA535" s="59"/>
      <c r="DB535" s="59"/>
      <c r="DC535" s="59"/>
      <c r="DD535" s="59"/>
      <c r="DE535" s="59"/>
      <c r="DF535" s="59"/>
      <c r="DG535" s="59"/>
    </row>
    <row r="536" spans="1:111" ht="11.2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  <c r="BC536" s="59"/>
      <c r="BD536" s="59"/>
      <c r="BE536" s="59"/>
      <c r="BF536" s="59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59"/>
      <c r="BW536" s="59"/>
      <c r="BX536" s="59"/>
      <c r="BY536" s="59"/>
      <c r="BZ536" s="59"/>
      <c r="CA536" s="59"/>
      <c r="CB536" s="59"/>
      <c r="CC536" s="59"/>
      <c r="CD536" s="59"/>
      <c r="CE536" s="59"/>
      <c r="CF536" s="59"/>
      <c r="CG536" s="59"/>
      <c r="CH536" s="59"/>
      <c r="CI536" s="59"/>
      <c r="CJ536" s="59"/>
      <c r="CK536" s="59"/>
      <c r="CL536" s="59"/>
      <c r="CM536" s="59"/>
      <c r="CN536" s="59"/>
      <c r="CO536" s="59"/>
      <c r="CP536" s="59"/>
      <c r="CQ536" s="59"/>
      <c r="CR536" s="59"/>
      <c r="CS536" s="59"/>
      <c r="CT536" s="59"/>
      <c r="CU536" s="59"/>
      <c r="CV536" s="59"/>
      <c r="CW536" s="59"/>
      <c r="CX536" s="59"/>
      <c r="CY536" s="59"/>
      <c r="CZ536" s="59"/>
      <c r="DA536" s="59"/>
      <c r="DB536" s="59"/>
      <c r="DC536" s="59"/>
      <c r="DD536" s="59"/>
      <c r="DE536" s="59"/>
      <c r="DF536" s="59"/>
      <c r="DG536" s="59"/>
    </row>
    <row r="537" spans="1:111" ht="11.2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  <c r="AJ537" s="59"/>
      <c r="AK537" s="59"/>
      <c r="AL537" s="59"/>
      <c r="AM537" s="59"/>
      <c r="AN537" s="59"/>
      <c r="AO537" s="59"/>
      <c r="AP537" s="59"/>
      <c r="AQ537" s="59"/>
      <c r="AR537" s="59"/>
      <c r="AS537" s="59"/>
      <c r="AT537" s="59"/>
      <c r="AU537" s="59"/>
      <c r="AV537" s="59"/>
      <c r="AW537" s="59"/>
      <c r="AX537" s="59"/>
      <c r="AY537" s="59"/>
      <c r="AZ537" s="59"/>
      <c r="BA537" s="59"/>
      <c r="BB537" s="59"/>
      <c r="BC537" s="59"/>
      <c r="BD537" s="59"/>
      <c r="BE537" s="59"/>
      <c r="BF537" s="59"/>
      <c r="BG537" s="59"/>
      <c r="BH537" s="59"/>
      <c r="BI537" s="59"/>
      <c r="BJ537" s="59"/>
      <c r="BK537" s="59"/>
      <c r="BL537" s="59"/>
      <c r="BM537" s="59"/>
      <c r="BN537" s="59"/>
      <c r="BO537" s="59"/>
      <c r="BP537" s="59"/>
      <c r="BQ537" s="59"/>
      <c r="BR537" s="59"/>
      <c r="BS537" s="59"/>
      <c r="BT537" s="59"/>
      <c r="BU537" s="59"/>
      <c r="BV537" s="59"/>
      <c r="BW537" s="59"/>
      <c r="BX537" s="59"/>
      <c r="BY537" s="59"/>
      <c r="BZ537" s="59"/>
      <c r="CA537" s="59"/>
      <c r="CB537" s="59"/>
      <c r="CC537" s="59"/>
      <c r="CD537" s="59"/>
      <c r="CE537" s="59"/>
      <c r="CF537" s="59"/>
      <c r="CG537" s="59"/>
      <c r="CH537" s="59"/>
      <c r="CI537" s="59"/>
      <c r="CJ537" s="59"/>
      <c r="CK537" s="59"/>
      <c r="CL537" s="59"/>
      <c r="CM537" s="59"/>
      <c r="CN537" s="59"/>
      <c r="CO537" s="59"/>
      <c r="CP537" s="59"/>
      <c r="CQ537" s="59"/>
      <c r="CR537" s="59"/>
      <c r="CS537" s="59"/>
      <c r="CT537" s="59"/>
      <c r="CU537" s="59"/>
      <c r="CV537" s="59"/>
      <c r="CW537" s="59"/>
      <c r="CX537" s="59"/>
      <c r="CY537" s="59"/>
      <c r="CZ537" s="59"/>
      <c r="DA537" s="59"/>
      <c r="DB537" s="59"/>
      <c r="DC537" s="59"/>
      <c r="DD537" s="59"/>
      <c r="DE537" s="59"/>
      <c r="DF537" s="59"/>
      <c r="DG537" s="59"/>
    </row>
    <row r="538" spans="1:111" ht="11.2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  <c r="AJ538" s="59"/>
      <c r="AK538" s="59"/>
      <c r="AL538" s="59"/>
      <c r="AM538" s="59"/>
      <c r="AN538" s="59"/>
      <c r="AO538" s="59"/>
      <c r="AP538" s="59"/>
      <c r="AQ538" s="59"/>
      <c r="AR538" s="59"/>
      <c r="AS538" s="59"/>
      <c r="AT538" s="59"/>
      <c r="AU538" s="59"/>
      <c r="AV538" s="59"/>
      <c r="AW538" s="59"/>
      <c r="AX538" s="59"/>
      <c r="AY538" s="59"/>
      <c r="AZ538" s="59"/>
      <c r="BA538" s="59"/>
      <c r="BB538" s="59"/>
      <c r="BC538" s="59"/>
      <c r="BD538" s="59"/>
      <c r="BE538" s="59"/>
      <c r="BF538" s="59"/>
      <c r="BG538" s="59"/>
      <c r="BH538" s="59"/>
      <c r="BI538" s="59"/>
      <c r="BJ538" s="59"/>
      <c r="BK538" s="59"/>
      <c r="BL538" s="59"/>
      <c r="BM538" s="59"/>
      <c r="BN538" s="59"/>
      <c r="BO538" s="59"/>
      <c r="BP538" s="59"/>
      <c r="BQ538" s="59"/>
      <c r="BR538" s="59"/>
      <c r="BS538" s="59"/>
      <c r="BT538" s="59"/>
      <c r="BU538" s="59"/>
      <c r="BV538" s="59"/>
      <c r="BW538" s="59"/>
      <c r="BX538" s="59"/>
      <c r="BY538" s="59"/>
      <c r="BZ538" s="59"/>
      <c r="CA538" s="59"/>
      <c r="CB538" s="59"/>
      <c r="CC538" s="59"/>
      <c r="CD538" s="59"/>
      <c r="CE538" s="59"/>
      <c r="CF538" s="59"/>
      <c r="CG538" s="59"/>
      <c r="CH538" s="59"/>
      <c r="CI538" s="59"/>
      <c r="CJ538" s="59"/>
      <c r="CK538" s="59"/>
      <c r="CL538" s="59"/>
      <c r="CM538" s="59"/>
      <c r="CN538" s="59"/>
      <c r="CO538" s="59"/>
      <c r="CP538" s="59"/>
      <c r="CQ538" s="59"/>
      <c r="CR538" s="59"/>
      <c r="CS538" s="59"/>
      <c r="CT538" s="59"/>
      <c r="CU538" s="59"/>
      <c r="CV538" s="59"/>
      <c r="CW538" s="59"/>
      <c r="CX538" s="59"/>
      <c r="CY538" s="59"/>
      <c r="CZ538" s="59"/>
      <c r="DA538" s="59"/>
      <c r="DB538" s="59"/>
      <c r="DC538" s="59"/>
      <c r="DD538" s="59"/>
      <c r="DE538" s="59"/>
      <c r="DF538" s="59"/>
      <c r="DG538" s="59"/>
    </row>
    <row r="539" spans="1:111" ht="11.2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  <c r="AJ539" s="59"/>
      <c r="AK539" s="59"/>
      <c r="AL539" s="59"/>
      <c r="AM539" s="59"/>
      <c r="AN539" s="59"/>
      <c r="AO539" s="59"/>
      <c r="AP539" s="59"/>
      <c r="AQ539" s="59"/>
      <c r="AR539" s="59"/>
      <c r="AS539" s="59"/>
      <c r="AT539" s="59"/>
      <c r="AU539" s="59"/>
      <c r="AV539" s="59"/>
      <c r="AW539" s="59"/>
      <c r="AX539" s="59"/>
      <c r="AY539" s="59"/>
      <c r="AZ539" s="59"/>
      <c r="BA539" s="59"/>
      <c r="BB539" s="59"/>
      <c r="BC539" s="59"/>
      <c r="BD539" s="59"/>
      <c r="BE539" s="59"/>
      <c r="BF539" s="59"/>
      <c r="BG539" s="59"/>
      <c r="BH539" s="59"/>
      <c r="BI539" s="59"/>
      <c r="BJ539" s="59"/>
      <c r="BK539" s="59"/>
      <c r="BL539" s="59"/>
      <c r="BM539" s="59"/>
      <c r="BN539" s="59"/>
      <c r="BO539" s="59"/>
      <c r="BP539" s="59"/>
      <c r="BQ539" s="59"/>
      <c r="BR539" s="59"/>
      <c r="BS539" s="59"/>
      <c r="BT539" s="59"/>
      <c r="BU539" s="59"/>
      <c r="BV539" s="59"/>
      <c r="BW539" s="59"/>
      <c r="BX539" s="59"/>
      <c r="BY539" s="59"/>
      <c r="BZ539" s="59"/>
      <c r="CA539" s="59"/>
      <c r="CB539" s="59"/>
      <c r="CC539" s="59"/>
      <c r="CD539" s="59"/>
      <c r="CE539" s="59"/>
      <c r="CF539" s="59"/>
      <c r="CG539" s="59"/>
      <c r="CH539" s="59"/>
      <c r="CI539" s="59"/>
      <c r="CJ539" s="59"/>
      <c r="CK539" s="59"/>
      <c r="CL539" s="59"/>
      <c r="CM539" s="59"/>
      <c r="CN539" s="59"/>
      <c r="CO539" s="59"/>
      <c r="CP539" s="59"/>
      <c r="CQ539" s="59"/>
      <c r="CR539" s="59"/>
      <c r="CS539" s="59"/>
      <c r="CT539" s="59"/>
      <c r="CU539" s="59"/>
      <c r="CV539" s="59"/>
      <c r="CW539" s="59"/>
      <c r="CX539" s="59"/>
      <c r="CY539" s="59"/>
      <c r="CZ539" s="59"/>
      <c r="DA539" s="59"/>
      <c r="DB539" s="59"/>
      <c r="DC539" s="59"/>
      <c r="DD539" s="59"/>
      <c r="DE539" s="59"/>
      <c r="DF539" s="59"/>
      <c r="DG539" s="59"/>
    </row>
    <row r="540" spans="1:111" ht="11.2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  <c r="AJ540" s="59"/>
      <c r="AK540" s="59"/>
      <c r="AL540" s="59"/>
      <c r="AM540" s="59"/>
      <c r="AN540" s="59"/>
      <c r="AO540" s="59"/>
      <c r="AP540" s="59"/>
      <c r="AQ540" s="59"/>
      <c r="AR540" s="59"/>
      <c r="AS540" s="59"/>
      <c r="AT540" s="59"/>
      <c r="AU540" s="59"/>
      <c r="AV540" s="59"/>
      <c r="AW540" s="59"/>
      <c r="AX540" s="59"/>
      <c r="AY540" s="59"/>
      <c r="AZ540" s="59"/>
      <c r="BA540" s="59"/>
      <c r="BB540" s="59"/>
      <c r="BC540" s="59"/>
      <c r="BD540" s="59"/>
      <c r="BE540" s="59"/>
      <c r="BF540" s="59"/>
      <c r="BG540" s="59"/>
      <c r="BH540" s="59"/>
      <c r="BI540" s="59"/>
      <c r="BJ540" s="59"/>
      <c r="BK540" s="59"/>
      <c r="BL540" s="59"/>
      <c r="BM540" s="59"/>
      <c r="BN540" s="59"/>
      <c r="BO540" s="59"/>
      <c r="BP540" s="59"/>
      <c r="BQ540" s="59"/>
      <c r="BR540" s="59"/>
      <c r="BS540" s="59"/>
      <c r="BT540" s="59"/>
      <c r="BU540" s="59"/>
      <c r="BV540" s="59"/>
      <c r="BW540" s="59"/>
      <c r="BX540" s="59"/>
      <c r="BY540" s="59"/>
      <c r="BZ540" s="59"/>
      <c r="CA540" s="59"/>
      <c r="CB540" s="59"/>
      <c r="CC540" s="59"/>
      <c r="CD540" s="59"/>
      <c r="CE540" s="59"/>
      <c r="CF540" s="59"/>
      <c r="CG540" s="59"/>
      <c r="CH540" s="59"/>
      <c r="CI540" s="59"/>
      <c r="CJ540" s="59"/>
      <c r="CK540" s="59"/>
      <c r="CL540" s="59"/>
      <c r="CM540" s="59"/>
      <c r="CN540" s="59"/>
      <c r="CO540" s="59"/>
      <c r="CP540" s="59"/>
      <c r="CQ540" s="59"/>
      <c r="CR540" s="59"/>
      <c r="CS540" s="59"/>
      <c r="CT540" s="59"/>
      <c r="CU540" s="59"/>
      <c r="CV540" s="59"/>
      <c r="CW540" s="59"/>
      <c r="CX540" s="59"/>
      <c r="CY540" s="59"/>
      <c r="CZ540" s="59"/>
      <c r="DA540" s="59"/>
      <c r="DB540" s="59"/>
      <c r="DC540" s="59"/>
      <c r="DD540" s="59"/>
      <c r="DE540" s="59"/>
      <c r="DF540" s="59"/>
      <c r="DG540" s="59"/>
    </row>
    <row r="541" spans="1:111" ht="11.2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  <c r="AJ541" s="59"/>
      <c r="AK541" s="59"/>
      <c r="AL541" s="59"/>
      <c r="AM541" s="59"/>
      <c r="AN541" s="59"/>
      <c r="AO541" s="59"/>
      <c r="AP541" s="59"/>
      <c r="AQ541" s="59"/>
      <c r="AR541" s="59"/>
      <c r="AS541" s="59"/>
      <c r="AT541" s="59"/>
      <c r="AU541" s="59"/>
      <c r="AV541" s="59"/>
      <c r="AW541" s="59"/>
      <c r="AX541" s="59"/>
      <c r="AY541" s="59"/>
      <c r="AZ541" s="59"/>
      <c r="BA541" s="59"/>
      <c r="BB541" s="59"/>
      <c r="BC541" s="59"/>
      <c r="BD541" s="59"/>
      <c r="BE541" s="59"/>
      <c r="BF541" s="59"/>
      <c r="BG541" s="59"/>
      <c r="BH541" s="59"/>
      <c r="BI541" s="59"/>
      <c r="BJ541" s="59"/>
      <c r="BK541" s="59"/>
      <c r="BL541" s="59"/>
      <c r="BM541" s="59"/>
      <c r="BN541" s="59"/>
      <c r="BO541" s="59"/>
      <c r="BP541" s="59"/>
      <c r="BQ541" s="59"/>
      <c r="BR541" s="59"/>
      <c r="BS541" s="59"/>
      <c r="BT541" s="59"/>
      <c r="BU541" s="59"/>
      <c r="BV541" s="59"/>
      <c r="BW541" s="59"/>
      <c r="BX541" s="59"/>
      <c r="BY541" s="59"/>
      <c r="BZ541" s="59"/>
      <c r="CA541" s="59"/>
      <c r="CB541" s="59"/>
      <c r="CC541" s="59"/>
      <c r="CD541" s="59"/>
      <c r="CE541" s="59"/>
      <c r="CF541" s="59"/>
      <c r="CG541" s="59"/>
      <c r="CH541" s="59"/>
      <c r="CI541" s="59"/>
      <c r="CJ541" s="59"/>
      <c r="CK541" s="59"/>
      <c r="CL541" s="59"/>
      <c r="CM541" s="59"/>
      <c r="CN541" s="59"/>
      <c r="CO541" s="59"/>
      <c r="CP541" s="59"/>
      <c r="CQ541" s="59"/>
      <c r="CR541" s="59"/>
      <c r="CS541" s="59"/>
      <c r="CT541" s="59"/>
      <c r="CU541" s="59"/>
      <c r="CV541" s="59"/>
      <c r="CW541" s="59"/>
      <c r="CX541" s="59"/>
      <c r="CY541" s="59"/>
      <c r="CZ541" s="59"/>
      <c r="DA541" s="59"/>
      <c r="DB541" s="59"/>
      <c r="DC541" s="59"/>
      <c r="DD541" s="59"/>
      <c r="DE541" s="59"/>
      <c r="DF541" s="59"/>
      <c r="DG541" s="59"/>
    </row>
    <row r="542" spans="1:111" ht="11.2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  <c r="AJ542" s="59"/>
      <c r="AK542" s="59"/>
      <c r="AL542" s="59"/>
      <c r="AM542" s="59"/>
      <c r="AN542" s="59"/>
      <c r="AO542" s="59"/>
      <c r="AP542" s="59"/>
      <c r="AQ542" s="59"/>
      <c r="AR542" s="59"/>
      <c r="AS542" s="59"/>
      <c r="AT542" s="59"/>
      <c r="AU542" s="59"/>
      <c r="AV542" s="59"/>
      <c r="AW542" s="59"/>
      <c r="AX542" s="59"/>
      <c r="AY542" s="59"/>
      <c r="AZ542" s="59"/>
      <c r="BA542" s="59"/>
      <c r="BB542" s="59"/>
      <c r="BC542" s="59"/>
      <c r="BD542" s="59"/>
      <c r="BE542" s="59"/>
      <c r="BF542" s="59"/>
      <c r="BG542" s="59"/>
      <c r="BH542" s="59"/>
      <c r="BI542" s="59"/>
      <c r="BJ542" s="59"/>
      <c r="BK542" s="59"/>
      <c r="BL542" s="59"/>
      <c r="BM542" s="59"/>
      <c r="BN542" s="59"/>
      <c r="BO542" s="59"/>
      <c r="BP542" s="59"/>
      <c r="BQ542" s="59"/>
      <c r="BR542" s="59"/>
      <c r="BS542" s="59"/>
      <c r="BT542" s="59"/>
      <c r="BU542" s="59"/>
      <c r="BV542" s="59"/>
      <c r="BW542" s="59"/>
      <c r="BX542" s="59"/>
      <c r="BY542" s="59"/>
      <c r="BZ542" s="59"/>
      <c r="CA542" s="59"/>
      <c r="CB542" s="59"/>
      <c r="CC542" s="59"/>
      <c r="CD542" s="59"/>
      <c r="CE542" s="59"/>
      <c r="CF542" s="59"/>
      <c r="CG542" s="59"/>
      <c r="CH542" s="59"/>
      <c r="CI542" s="59"/>
      <c r="CJ542" s="59"/>
      <c r="CK542" s="59"/>
      <c r="CL542" s="59"/>
      <c r="CM542" s="59"/>
      <c r="CN542" s="59"/>
      <c r="CO542" s="59"/>
      <c r="CP542" s="59"/>
      <c r="CQ542" s="59"/>
      <c r="CR542" s="59"/>
      <c r="CS542" s="59"/>
      <c r="CT542" s="59"/>
      <c r="CU542" s="59"/>
      <c r="CV542" s="59"/>
      <c r="CW542" s="59"/>
      <c r="CX542" s="59"/>
      <c r="CY542" s="59"/>
      <c r="CZ542" s="59"/>
      <c r="DA542" s="59"/>
      <c r="DB542" s="59"/>
      <c r="DC542" s="59"/>
      <c r="DD542" s="59"/>
      <c r="DE542" s="59"/>
      <c r="DF542" s="59"/>
      <c r="DG542" s="59"/>
    </row>
    <row r="543" spans="1:111" ht="11.2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  <c r="AJ543" s="59"/>
      <c r="AK543" s="59"/>
      <c r="AL543" s="59"/>
      <c r="AM543" s="59"/>
      <c r="AN543" s="59"/>
      <c r="AO543" s="59"/>
      <c r="AP543" s="59"/>
      <c r="AQ543" s="59"/>
      <c r="AR543" s="59"/>
      <c r="AS543" s="59"/>
      <c r="AT543" s="59"/>
      <c r="AU543" s="59"/>
      <c r="AV543" s="59"/>
      <c r="AW543" s="59"/>
      <c r="AX543" s="59"/>
      <c r="AY543" s="59"/>
      <c r="AZ543" s="59"/>
      <c r="BA543" s="59"/>
      <c r="BB543" s="59"/>
      <c r="BC543" s="59"/>
      <c r="BD543" s="59"/>
      <c r="BE543" s="59"/>
      <c r="BF543" s="59"/>
      <c r="BG543" s="59"/>
      <c r="BH543" s="59"/>
      <c r="BI543" s="59"/>
      <c r="BJ543" s="59"/>
      <c r="BK543" s="59"/>
      <c r="BL543" s="59"/>
      <c r="BM543" s="59"/>
      <c r="BN543" s="59"/>
      <c r="BO543" s="59"/>
      <c r="BP543" s="59"/>
      <c r="BQ543" s="59"/>
      <c r="BR543" s="59"/>
      <c r="BS543" s="59"/>
      <c r="BT543" s="59"/>
      <c r="BU543" s="59"/>
      <c r="BV543" s="59"/>
      <c r="BW543" s="59"/>
      <c r="BX543" s="59"/>
      <c r="BY543" s="59"/>
      <c r="BZ543" s="59"/>
      <c r="CA543" s="59"/>
      <c r="CB543" s="59"/>
      <c r="CC543" s="59"/>
      <c r="CD543" s="59"/>
      <c r="CE543" s="59"/>
      <c r="CF543" s="59"/>
      <c r="CG543" s="59"/>
      <c r="CH543" s="59"/>
      <c r="CI543" s="59"/>
      <c r="CJ543" s="59"/>
      <c r="CK543" s="59"/>
      <c r="CL543" s="59"/>
      <c r="CM543" s="59"/>
      <c r="CN543" s="59"/>
      <c r="CO543" s="59"/>
      <c r="CP543" s="59"/>
      <c r="CQ543" s="59"/>
      <c r="CR543" s="59"/>
      <c r="CS543" s="59"/>
      <c r="CT543" s="59"/>
      <c r="CU543" s="59"/>
      <c r="CV543" s="59"/>
      <c r="CW543" s="59"/>
      <c r="CX543" s="59"/>
      <c r="CY543" s="59"/>
      <c r="CZ543" s="59"/>
      <c r="DA543" s="59"/>
      <c r="DB543" s="59"/>
      <c r="DC543" s="59"/>
      <c r="DD543" s="59"/>
      <c r="DE543" s="59"/>
      <c r="DF543" s="59"/>
      <c r="DG543" s="59"/>
    </row>
    <row r="544" spans="1:111" ht="11.2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59"/>
      <c r="AO544" s="59"/>
      <c r="AP544" s="59"/>
      <c r="AQ544" s="59"/>
      <c r="AR544" s="59"/>
      <c r="AS544" s="59"/>
      <c r="AT544" s="59"/>
      <c r="AU544" s="59"/>
      <c r="AV544" s="59"/>
      <c r="AW544" s="59"/>
      <c r="AX544" s="59"/>
      <c r="AY544" s="59"/>
      <c r="AZ544" s="59"/>
      <c r="BA544" s="59"/>
      <c r="BB544" s="59"/>
      <c r="BC544" s="59"/>
      <c r="BD544" s="59"/>
      <c r="BE544" s="59"/>
      <c r="BF544" s="59"/>
      <c r="BG544" s="59"/>
      <c r="BH544" s="59"/>
      <c r="BI544" s="59"/>
      <c r="BJ544" s="59"/>
      <c r="BK544" s="59"/>
      <c r="BL544" s="59"/>
      <c r="BM544" s="59"/>
      <c r="BN544" s="59"/>
      <c r="BO544" s="59"/>
      <c r="BP544" s="59"/>
      <c r="BQ544" s="59"/>
      <c r="BR544" s="59"/>
      <c r="BS544" s="59"/>
      <c r="BT544" s="59"/>
      <c r="BU544" s="59"/>
      <c r="BV544" s="59"/>
      <c r="BW544" s="59"/>
      <c r="BX544" s="59"/>
      <c r="BY544" s="59"/>
      <c r="BZ544" s="59"/>
      <c r="CA544" s="59"/>
      <c r="CB544" s="59"/>
      <c r="CC544" s="59"/>
      <c r="CD544" s="59"/>
      <c r="CE544" s="59"/>
      <c r="CF544" s="59"/>
      <c r="CG544" s="59"/>
      <c r="CH544" s="59"/>
      <c r="CI544" s="59"/>
      <c r="CJ544" s="59"/>
      <c r="CK544" s="59"/>
      <c r="CL544" s="59"/>
      <c r="CM544" s="59"/>
      <c r="CN544" s="59"/>
      <c r="CO544" s="59"/>
      <c r="CP544" s="59"/>
      <c r="CQ544" s="59"/>
      <c r="CR544" s="59"/>
      <c r="CS544" s="59"/>
      <c r="CT544" s="59"/>
      <c r="CU544" s="59"/>
      <c r="CV544" s="59"/>
      <c r="CW544" s="59"/>
      <c r="CX544" s="59"/>
      <c r="CY544" s="59"/>
      <c r="CZ544" s="59"/>
      <c r="DA544" s="59"/>
      <c r="DB544" s="59"/>
      <c r="DC544" s="59"/>
      <c r="DD544" s="59"/>
      <c r="DE544" s="59"/>
      <c r="DF544" s="59"/>
      <c r="DG544" s="59"/>
    </row>
    <row r="545" spans="1:111" ht="11.2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  <c r="AJ545" s="59"/>
      <c r="AK545" s="59"/>
      <c r="AL545" s="59"/>
      <c r="AM545" s="59"/>
      <c r="AN545" s="59"/>
      <c r="AO545" s="59"/>
      <c r="AP545" s="59"/>
      <c r="AQ545" s="59"/>
      <c r="AR545" s="59"/>
      <c r="AS545" s="59"/>
      <c r="AT545" s="59"/>
      <c r="AU545" s="59"/>
      <c r="AV545" s="59"/>
      <c r="AW545" s="59"/>
      <c r="AX545" s="59"/>
      <c r="AY545" s="59"/>
      <c r="AZ545" s="59"/>
      <c r="BA545" s="59"/>
      <c r="BB545" s="59"/>
      <c r="BC545" s="59"/>
      <c r="BD545" s="59"/>
      <c r="BE545" s="59"/>
      <c r="BF545" s="59"/>
      <c r="BG545" s="59"/>
      <c r="BH545" s="59"/>
      <c r="BI545" s="59"/>
      <c r="BJ545" s="59"/>
      <c r="BK545" s="59"/>
      <c r="BL545" s="59"/>
      <c r="BM545" s="59"/>
      <c r="BN545" s="59"/>
      <c r="BO545" s="59"/>
      <c r="BP545" s="59"/>
      <c r="BQ545" s="59"/>
      <c r="BR545" s="59"/>
      <c r="BS545" s="59"/>
      <c r="BT545" s="59"/>
      <c r="BU545" s="59"/>
      <c r="BV545" s="59"/>
      <c r="BW545" s="59"/>
      <c r="BX545" s="59"/>
      <c r="BY545" s="59"/>
      <c r="BZ545" s="59"/>
      <c r="CA545" s="59"/>
      <c r="CB545" s="59"/>
      <c r="CC545" s="59"/>
      <c r="CD545" s="59"/>
      <c r="CE545" s="59"/>
      <c r="CF545" s="59"/>
      <c r="CG545" s="59"/>
      <c r="CH545" s="59"/>
      <c r="CI545" s="59"/>
      <c r="CJ545" s="59"/>
      <c r="CK545" s="59"/>
      <c r="CL545" s="59"/>
      <c r="CM545" s="59"/>
      <c r="CN545" s="59"/>
      <c r="CO545" s="59"/>
      <c r="CP545" s="59"/>
      <c r="CQ545" s="59"/>
      <c r="CR545" s="59"/>
      <c r="CS545" s="59"/>
      <c r="CT545" s="59"/>
      <c r="CU545" s="59"/>
      <c r="CV545" s="59"/>
      <c r="CW545" s="59"/>
      <c r="CX545" s="59"/>
      <c r="CY545" s="59"/>
      <c r="CZ545" s="59"/>
      <c r="DA545" s="59"/>
      <c r="DB545" s="59"/>
      <c r="DC545" s="59"/>
      <c r="DD545" s="59"/>
      <c r="DE545" s="59"/>
      <c r="DF545" s="59"/>
      <c r="DG545" s="59"/>
    </row>
    <row r="546" spans="1:111" ht="11.2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59"/>
      <c r="AO546" s="59"/>
      <c r="AP546" s="59"/>
      <c r="AQ546" s="59"/>
      <c r="AR546" s="59"/>
      <c r="AS546" s="59"/>
      <c r="AT546" s="59"/>
      <c r="AU546" s="59"/>
      <c r="AV546" s="59"/>
      <c r="AW546" s="59"/>
      <c r="AX546" s="59"/>
      <c r="AY546" s="59"/>
      <c r="AZ546" s="59"/>
      <c r="BA546" s="59"/>
      <c r="BB546" s="59"/>
      <c r="BC546" s="59"/>
      <c r="BD546" s="59"/>
      <c r="BE546" s="59"/>
      <c r="BF546" s="59"/>
      <c r="BG546" s="59"/>
      <c r="BH546" s="59"/>
      <c r="BI546" s="59"/>
      <c r="BJ546" s="59"/>
      <c r="BK546" s="59"/>
      <c r="BL546" s="59"/>
      <c r="BM546" s="59"/>
      <c r="BN546" s="59"/>
      <c r="BO546" s="59"/>
      <c r="BP546" s="59"/>
      <c r="BQ546" s="59"/>
      <c r="BR546" s="59"/>
      <c r="BS546" s="59"/>
      <c r="BT546" s="59"/>
      <c r="BU546" s="59"/>
      <c r="BV546" s="59"/>
      <c r="BW546" s="59"/>
      <c r="BX546" s="59"/>
      <c r="BY546" s="59"/>
      <c r="BZ546" s="59"/>
      <c r="CA546" s="59"/>
      <c r="CB546" s="59"/>
      <c r="CC546" s="59"/>
      <c r="CD546" s="59"/>
      <c r="CE546" s="59"/>
      <c r="CF546" s="59"/>
      <c r="CG546" s="59"/>
      <c r="CH546" s="59"/>
      <c r="CI546" s="59"/>
      <c r="CJ546" s="59"/>
      <c r="CK546" s="59"/>
      <c r="CL546" s="59"/>
      <c r="CM546" s="59"/>
      <c r="CN546" s="59"/>
      <c r="CO546" s="59"/>
      <c r="CP546" s="59"/>
      <c r="CQ546" s="59"/>
      <c r="CR546" s="59"/>
      <c r="CS546" s="59"/>
      <c r="CT546" s="59"/>
      <c r="CU546" s="59"/>
      <c r="CV546" s="59"/>
      <c r="CW546" s="59"/>
      <c r="CX546" s="59"/>
      <c r="CY546" s="59"/>
      <c r="CZ546" s="59"/>
      <c r="DA546" s="59"/>
      <c r="DB546" s="59"/>
      <c r="DC546" s="59"/>
      <c r="DD546" s="59"/>
      <c r="DE546" s="59"/>
      <c r="DF546" s="59"/>
      <c r="DG546" s="59"/>
    </row>
    <row r="547" spans="1:111" ht="11.2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  <c r="BC547" s="59"/>
      <c r="BD547" s="59"/>
      <c r="BE547" s="59"/>
      <c r="BF547" s="59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  <c r="BV547" s="59"/>
      <c r="BW547" s="59"/>
      <c r="BX547" s="59"/>
      <c r="BY547" s="59"/>
      <c r="BZ547" s="59"/>
      <c r="CA547" s="59"/>
      <c r="CB547" s="59"/>
      <c r="CC547" s="59"/>
      <c r="CD547" s="59"/>
      <c r="CE547" s="59"/>
      <c r="CF547" s="59"/>
      <c r="CG547" s="59"/>
      <c r="CH547" s="59"/>
      <c r="CI547" s="59"/>
      <c r="CJ547" s="59"/>
      <c r="CK547" s="59"/>
      <c r="CL547" s="59"/>
      <c r="CM547" s="59"/>
      <c r="CN547" s="59"/>
      <c r="CO547" s="59"/>
      <c r="CP547" s="59"/>
      <c r="CQ547" s="59"/>
      <c r="CR547" s="59"/>
      <c r="CS547" s="59"/>
      <c r="CT547" s="59"/>
      <c r="CU547" s="59"/>
      <c r="CV547" s="59"/>
      <c r="CW547" s="59"/>
      <c r="CX547" s="59"/>
      <c r="CY547" s="59"/>
      <c r="CZ547" s="59"/>
      <c r="DA547" s="59"/>
      <c r="DB547" s="59"/>
      <c r="DC547" s="59"/>
      <c r="DD547" s="59"/>
      <c r="DE547" s="59"/>
      <c r="DF547" s="59"/>
      <c r="DG547" s="59"/>
    </row>
    <row r="548" spans="1:111" ht="11.2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9"/>
      <c r="AW548" s="59"/>
      <c r="AX548" s="59"/>
      <c r="AY548" s="59"/>
      <c r="AZ548" s="59"/>
      <c r="BA548" s="59"/>
      <c r="BB548" s="59"/>
      <c r="BC548" s="59"/>
      <c r="BD548" s="59"/>
      <c r="BE548" s="59"/>
      <c r="BF548" s="59"/>
      <c r="BG548" s="59"/>
      <c r="BH548" s="59"/>
      <c r="BI548" s="59"/>
      <c r="BJ548" s="59"/>
      <c r="BK548" s="59"/>
      <c r="BL548" s="59"/>
      <c r="BM548" s="59"/>
      <c r="BN548" s="59"/>
      <c r="BO548" s="59"/>
      <c r="BP548" s="59"/>
      <c r="BQ548" s="59"/>
      <c r="BR548" s="59"/>
      <c r="BS548" s="59"/>
      <c r="BT548" s="59"/>
      <c r="BU548" s="59"/>
      <c r="BV548" s="59"/>
      <c r="BW548" s="59"/>
      <c r="BX548" s="59"/>
      <c r="BY548" s="59"/>
      <c r="BZ548" s="59"/>
      <c r="CA548" s="59"/>
      <c r="CB548" s="59"/>
      <c r="CC548" s="59"/>
      <c r="CD548" s="59"/>
      <c r="CE548" s="59"/>
      <c r="CF548" s="59"/>
      <c r="CG548" s="59"/>
      <c r="CH548" s="59"/>
      <c r="CI548" s="59"/>
      <c r="CJ548" s="59"/>
      <c r="CK548" s="59"/>
      <c r="CL548" s="59"/>
      <c r="CM548" s="59"/>
      <c r="CN548" s="59"/>
      <c r="CO548" s="59"/>
      <c r="CP548" s="59"/>
      <c r="CQ548" s="59"/>
      <c r="CR548" s="59"/>
      <c r="CS548" s="59"/>
      <c r="CT548" s="59"/>
      <c r="CU548" s="59"/>
      <c r="CV548" s="59"/>
      <c r="CW548" s="59"/>
      <c r="CX548" s="59"/>
      <c r="CY548" s="59"/>
      <c r="CZ548" s="59"/>
      <c r="DA548" s="59"/>
      <c r="DB548" s="59"/>
      <c r="DC548" s="59"/>
      <c r="DD548" s="59"/>
      <c r="DE548" s="59"/>
      <c r="DF548" s="59"/>
      <c r="DG548" s="59"/>
    </row>
    <row r="549" spans="1:111" ht="11.2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9"/>
      <c r="AW549" s="59"/>
      <c r="AX549" s="59"/>
      <c r="AY549" s="59"/>
      <c r="AZ549" s="59"/>
      <c r="BA549" s="59"/>
      <c r="BB549" s="59"/>
      <c r="BC549" s="59"/>
      <c r="BD549" s="59"/>
      <c r="BE549" s="59"/>
      <c r="BF549" s="59"/>
      <c r="BG549" s="59"/>
      <c r="BH549" s="59"/>
      <c r="BI549" s="59"/>
      <c r="BJ549" s="59"/>
      <c r="BK549" s="59"/>
      <c r="BL549" s="59"/>
      <c r="BM549" s="59"/>
      <c r="BN549" s="59"/>
      <c r="BO549" s="59"/>
      <c r="BP549" s="59"/>
      <c r="BQ549" s="59"/>
      <c r="BR549" s="59"/>
      <c r="BS549" s="59"/>
      <c r="BT549" s="59"/>
      <c r="BU549" s="59"/>
      <c r="BV549" s="59"/>
      <c r="BW549" s="59"/>
      <c r="BX549" s="59"/>
      <c r="BY549" s="59"/>
      <c r="BZ549" s="59"/>
      <c r="CA549" s="59"/>
      <c r="CB549" s="59"/>
      <c r="CC549" s="59"/>
      <c r="CD549" s="59"/>
      <c r="CE549" s="59"/>
      <c r="CF549" s="59"/>
      <c r="CG549" s="59"/>
      <c r="CH549" s="59"/>
      <c r="CI549" s="59"/>
      <c r="CJ549" s="59"/>
      <c r="CK549" s="59"/>
      <c r="CL549" s="59"/>
      <c r="CM549" s="59"/>
      <c r="CN549" s="59"/>
      <c r="CO549" s="59"/>
      <c r="CP549" s="59"/>
      <c r="CQ549" s="59"/>
      <c r="CR549" s="59"/>
      <c r="CS549" s="59"/>
      <c r="CT549" s="59"/>
      <c r="CU549" s="59"/>
      <c r="CV549" s="59"/>
      <c r="CW549" s="59"/>
      <c r="CX549" s="59"/>
      <c r="CY549" s="59"/>
      <c r="CZ549" s="59"/>
      <c r="DA549" s="59"/>
      <c r="DB549" s="59"/>
      <c r="DC549" s="59"/>
      <c r="DD549" s="59"/>
      <c r="DE549" s="59"/>
      <c r="DF549" s="59"/>
      <c r="DG549" s="59"/>
    </row>
    <row r="550" spans="1:111" ht="11.2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  <c r="BC550" s="59"/>
      <c r="BD550" s="59"/>
      <c r="BE550" s="59"/>
      <c r="BF550" s="59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59"/>
      <c r="BW550" s="59"/>
      <c r="BX550" s="59"/>
      <c r="BY550" s="59"/>
      <c r="BZ550" s="59"/>
      <c r="CA550" s="59"/>
      <c r="CB550" s="59"/>
      <c r="CC550" s="59"/>
      <c r="CD550" s="59"/>
      <c r="CE550" s="59"/>
      <c r="CF550" s="59"/>
      <c r="CG550" s="59"/>
      <c r="CH550" s="59"/>
      <c r="CI550" s="59"/>
      <c r="CJ550" s="59"/>
      <c r="CK550" s="59"/>
      <c r="CL550" s="59"/>
      <c r="CM550" s="59"/>
      <c r="CN550" s="59"/>
      <c r="CO550" s="59"/>
      <c r="CP550" s="59"/>
      <c r="CQ550" s="59"/>
      <c r="CR550" s="59"/>
      <c r="CS550" s="59"/>
      <c r="CT550" s="59"/>
      <c r="CU550" s="59"/>
      <c r="CV550" s="59"/>
      <c r="CW550" s="59"/>
      <c r="CX550" s="59"/>
      <c r="CY550" s="59"/>
      <c r="CZ550" s="59"/>
      <c r="DA550" s="59"/>
      <c r="DB550" s="59"/>
      <c r="DC550" s="59"/>
      <c r="DD550" s="59"/>
      <c r="DE550" s="59"/>
      <c r="DF550" s="59"/>
      <c r="DG550" s="59"/>
    </row>
    <row r="551" spans="1:111" ht="11.2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9"/>
      <c r="AW551" s="59"/>
      <c r="AX551" s="59"/>
      <c r="AY551" s="59"/>
      <c r="AZ551" s="59"/>
      <c r="BA551" s="59"/>
      <c r="BB551" s="59"/>
      <c r="BC551" s="59"/>
      <c r="BD551" s="59"/>
      <c r="BE551" s="59"/>
      <c r="BF551" s="59"/>
      <c r="BG551" s="59"/>
      <c r="BH551" s="59"/>
      <c r="BI551" s="59"/>
      <c r="BJ551" s="59"/>
      <c r="BK551" s="59"/>
      <c r="BL551" s="59"/>
      <c r="BM551" s="59"/>
      <c r="BN551" s="59"/>
      <c r="BO551" s="59"/>
      <c r="BP551" s="59"/>
      <c r="BQ551" s="59"/>
      <c r="BR551" s="59"/>
      <c r="BS551" s="59"/>
      <c r="BT551" s="59"/>
      <c r="BU551" s="59"/>
      <c r="BV551" s="59"/>
      <c r="BW551" s="59"/>
      <c r="BX551" s="59"/>
      <c r="BY551" s="59"/>
      <c r="BZ551" s="59"/>
      <c r="CA551" s="59"/>
      <c r="CB551" s="59"/>
      <c r="CC551" s="59"/>
      <c r="CD551" s="59"/>
      <c r="CE551" s="59"/>
      <c r="CF551" s="59"/>
      <c r="CG551" s="59"/>
      <c r="CH551" s="59"/>
      <c r="CI551" s="59"/>
      <c r="CJ551" s="59"/>
      <c r="CK551" s="59"/>
      <c r="CL551" s="59"/>
      <c r="CM551" s="59"/>
      <c r="CN551" s="59"/>
      <c r="CO551" s="59"/>
      <c r="CP551" s="59"/>
      <c r="CQ551" s="59"/>
      <c r="CR551" s="59"/>
      <c r="CS551" s="59"/>
      <c r="CT551" s="59"/>
      <c r="CU551" s="59"/>
      <c r="CV551" s="59"/>
      <c r="CW551" s="59"/>
      <c r="CX551" s="59"/>
      <c r="CY551" s="59"/>
      <c r="CZ551" s="59"/>
      <c r="DA551" s="59"/>
      <c r="DB551" s="59"/>
      <c r="DC551" s="59"/>
      <c r="DD551" s="59"/>
      <c r="DE551" s="59"/>
      <c r="DF551" s="59"/>
      <c r="DG551" s="59"/>
    </row>
    <row r="552" spans="1:111" ht="11.2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9"/>
      <c r="AW552" s="59"/>
      <c r="AX552" s="59"/>
      <c r="AY552" s="59"/>
      <c r="AZ552" s="59"/>
      <c r="BA552" s="59"/>
      <c r="BB552" s="59"/>
      <c r="BC552" s="59"/>
      <c r="BD552" s="59"/>
      <c r="BE552" s="59"/>
      <c r="BF552" s="59"/>
      <c r="BG552" s="59"/>
      <c r="BH552" s="59"/>
      <c r="BI552" s="59"/>
      <c r="BJ552" s="59"/>
      <c r="BK552" s="59"/>
      <c r="BL552" s="59"/>
      <c r="BM552" s="59"/>
      <c r="BN552" s="59"/>
      <c r="BO552" s="59"/>
      <c r="BP552" s="59"/>
      <c r="BQ552" s="59"/>
      <c r="BR552" s="59"/>
      <c r="BS552" s="59"/>
      <c r="BT552" s="59"/>
      <c r="BU552" s="59"/>
      <c r="BV552" s="59"/>
      <c r="BW552" s="59"/>
      <c r="BX552" s="59"/>
      <c r="BY552" s="59"/>
      <c r="BZ552" s="59"/>
      <c r="CA552" s="59"/>
      <c r="CB552" s="59"/>
      <c r="CC552" s="59"/>
      <c r="CD552" s="59"/>
      <c r="CE552" s="59"/>
      <c r="CF552" s="59"/>
      <c r="CG552" s="59"/>
      <c r="CH552" s="59"/>
      <c r="CI552" s="59"/>
      <c r="CJ552" s="59"/>
      <c r="CK552" s="59"/>
      <c r="CL552" s="59"/>
      <c r="CM552" s="59"/>
      <c r="CN552" s="59"/>
      <c r="CO552" s="59"/>
      <c r="CP552" s="59"/>
      <c r="CQ552" s="59"/>
      <c r="CR552" s="59"/>
      <c r="CS552" s="59"/>
      <c r="CT552" s="59"/>
      <c r="CU552" s="59"/>
      <c r="CV552" s="59"/>
      <c r="CW552" s="59"/>
      <c r="CX552" s="59"/>
      <c r="CY552" s="59"/>
      <c r="CZ552" s="59"/>
      <c r="DA552" s="59"/>
      <c r="DB552" s="59"/>
      <c r="DC552" s="59"/>
      <c r="DD552" s="59"/>
      <c r="DE552" s="59"/>
      <c r="DF552" s="59"/>
      <c r="DG552" s="59"/>
    </row>
    <row r="553" spans="1:111" ht="11.2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9"/>
      <c r="AW553" s="59"/>
      <c r="AX553" s="59"/>
      <c r="AY553" s="59"/>
      <c r="AZ553" s="59"/>
      <c r="BA553" s="59"/>
      <c r="BB553" s="59"/>
      <c r="BC553" s="59"/>
      <c r="BD553" s="59"/>
      <c r="BE553" s="59"/>
      <c r="BF553" s="59"/>
      <c r="BG553" s="59"/>
      <c r="BH553" s="59"/>
      <c r="BI553" s="59"/>
      <c r="BJ553" s="59"/>
      <c r="BK553" s="59"/>
      <c r="BL553" s="59"/>
      <c r="BM553" s="59"/>
      <c r="BN553" s="59"/>
      <c r="BO553" s="59"/>
      <c r="BP553" s="59"/>
      <c r="BQ553" s="59"/>
      <c r="BR553" s="59"/>
      <c r="BS553" s="59"/>
      <c r="BT553" s="59"/>
      <c r="BU553" s="59"/>
      <c r="BV553" s="59"/>
      <c r="BW553" s="59"/>
      <c r="BX553" s="59"/>
      <c r="BY553" s="59"/>
      <c r="BZ553" s="59"/>
      <c r="CA553" s="59"/>
      <c r="CB553" s="59"/>
      <c r="CC553" s="59"/>
      <c r="CD553" s="59"/>
      <c r="CE553" s="59"/>
      <c r="CF553" s="59"/>
      <c r="CG553" s="59"/>
      <c r="CH553" s="59"/>
      <c r="CI553" s="59"/>
      <c r="CJ553" s="59"/>
      <c r="CK553" s="59"/>
      <c r="CL553" s="59"/>
      <c r="CM553" s="59"/>
      <c r="CN553" s="59"/>
      <c r="CO553" s="59"/>
      <c r="CP553" s="59"/>
      <c r="CQ553" s="59"/>
      <c r="CR553" s="59"/>
      <c r="CS553" s="59"/>
      <c r="CT553" s="59"/>
      <c r="CU553" s="59"/>
      <c r="CV553" s="59"/>
      <c r="CW553" s="59"/>
      <c r="CX553" s="59"/>
      <c r="CY553" s="59"/>
      <c r="CZ553" s="59"/>
      <c r="DA553" s="59"/>
      <c r="DB553" s="59"/>
      <c r="DC553" s="59"/>
      <c r="DD553" s="59"/>
      <c r="DE553" s="59"/>
      <c r="DF553" s="59"/>
      <c r="DG553" s="59"/>
    </row>
    <row r="554" spans="1:111" ht="11.2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  <c r="BC554" s="59"/>
      <c r="BD554" s="59"/>
      <c r="BE554" s="59"/>
      <c r="BF554" s="59"/>
      <c r="BG554" s="59"/>
      <c r="BH554" s="59"/>
      <c r="BI554" s="59"/>
      <c r="BJ554" s="59"/>
      <c r="BK554" s="59"/>
      <c r="BL554" s="59"/>
      <c r="BM554" s="59"/>
      <c r="BN554" s="59"/>
      <c r="BO554" s="59"/>
      <c r="BP554" s="59"/>
      <c r="BQ554" s="59"/>
      <c r="BR554" s="59"/>
      <c r="BS554" s="59"/>
      <c r="BT554" s="59"/>
      <c r="BU554" s="59"/>
      <c r="BV554" s="59"/>
      <c r="BW554" s="59"/>
      <c r="BX554" s="59"/>
      <c r="BY554" s="59"/>
      <c r="BZ554" s="59"/>
      <c r="CA554" s="59"/>
      <c r="CB554" s="59"/>
      <c r="CC554" s="59"/>
      <c r="CD554" s="59"/>
      <c r="CE554" s="59"/>
      <c r="CF554" s="59"/>
      <c r="CG554" s="59"/>
      <c r="CH554" s="59"/>
      <c r="CI554" s="59"/>
      <c r="CJ554" s="59"/>
      <c r="CK554" s="59"/>
      <c r="CL554" s="59"/>
      <c r="CM554" s="59"/>
      <c r="CN554" s="59"/>
      <c r="CO554" s="59"/>
      <c r="CP554" s="59"/>
      <c r="CQ554" s="59"/>
      <c r="CR554" s="59"/>
      <c r="CS554" s="59"/>
      <c r="CT554" s="59"/>
      <c r="CU554" s="59"/>
      <c r="CV554" s="59"/>
      <c r="CW554" s="59"/>
      <c r="CX554" s="59"/>
      <c r="CY554" s="59"/>
      <c r="CZ554" s="59"/>
      <c r="DA554" s="59"/>
      <c r="DB554" s="59"/>
      <c r="DC554" s="59"/>
      <c r="DD554" s="59"/>
      <c r="DE554" s="59"/>
      <c r="DF554" s="59"/>
      <c r="DG554" s="59"/>
    </row>
    <row r="555" spans="1:111" ht="11.2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  <c r="AJ555" s="59"/>
      <c r="AK555" s="59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9"/>
      <c r="AW555" s="59"/>
      <c r="AX555" s="59"/>
      <c r="AY555" s="59"/>
      <c r="AZ555" s="59"/>
      <c r="BA555" s="59"/>
      <c r="BB555" s="59"/>
      <c r="BC555" s="59"/>
      <c r="BD555" s="59"/>
      <c r="BE555" s="59"/>
      <c r="BF555" s="59"/>
      <c r="BG555" s="59"/>
      <c r="BH555" s="59"/>
      <c r="BI555" s="59"/>
      <c r="BJ555" s="59"/>
      <c r="BK555" s="59"/>
      <c r="BL555" s="59"/>
      <c r="BM555" s="59"/>
      <c r="BN555" s="59"/>
      <c r="BO555" s="59"/>
      <c r="BP555" s="59"/>
      <c r="BQ555" s="59"/>
      <c r="BR555" s="59"/>
      <c r="BS555" s="59"/>
      <c r="BT555" s="59"/>
      <c r="BU555" s="59"/>
      <c r="BV555" s="59"/>
      <c r="BW555" s="59"/>
      <c r="BX555" s="59"/>
      <c r="BY555" s="59"/>
      <c r="BZ555" s="59"/>
      <c r="CA555" s="59"/>
      <c r="CB555" s="59"/>
      <c r="CC555" s="59"/>
      <c r="CD555" s="59"/>
      <c r="CE555" s="59"/>
      <c r="CF555" s="59"/>
      <c r="CG555" s="59"/>
      <c r="CH555" s="59"/>
      <c r="CI555" s="59"/>
      <c r="CJ555" s="59"/>
      <c r="CK555" s="59"/>
      <c r="CL555" s="59"/>
      <c r="CM555" s="59"/>
      <c r="CN555" s="59"/>
      <c r="CO555" s="59"/>
      <c r="CP555" s="59"/>
      <c r="CQ555" s="59"/>
      <c r="CR555" s="59"/>
      <c r="CS555" s="59"/>
      <c r="CT555" s="59"/>
      <c r="CU555" s="59"/>
      <c r="CV555" s="59"/>
      <c r="CW555" s="59"/>
      <c r="CX555" s="59"/>
      <c r="CY555" s="59"/>
      <c r="CZ555" s="59"/>
      <c r="DA555" s="59"/>
      <c r="DB555" s="59"/>
      <c r="DC555" s="59"/>
      <c r="DD555" s="59"/>
      <c r="DE555" s="59"/>
      <c r="DF555" s="59"/>
      <c r="DG555" s="59"/>
    </row>
    <row r="556" spans="1:111" ht="11.2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  <c r="AJ556" s="59"/>
      <c r="AK556" s="59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9"/>
      <c r="AW556" s="59"/>
      <c r="AX556" s="59"/>
      <c r="AY556" s="59"/>
      <c r="AZ556" s="59"/>
      <c r="BA556" s="59"/>
      <c r="BB556" s="59"/>
      <c r="BC556" s="59"/>
      <c r="BD556" s="59"/>
      <c r="BE556" s="59"/>
      <c r="BF556" s="59"/>
      <c r="BG556" s="59"/>
      <c r="BH556" s="59"/>
      <c r="BI556" s="59"/>
      <c r="BJ556" s="59"/>
      <c r="BK556" s="59"/>
      <c r="BL556" s="59"/>
      <c r="BM556" s="59"/>
      <c r="BN556" s="59"/>
      <c r="BO556" s="59"/>
      <c r="BP556" s="59"/>
      <c r="BQ556" s="59"/>
      <c r="BR556" s="59"/>
      <c r="BS556" s="59"/>
      <c r="BT556" s="59"/>
      <c r="BU556" s="59"/>
      <c r="BV556" s="59"/>
      <c r="BW556" s="59"/>
      <c r="BX556" s="59"/>
      <c r="BY556" s="59"/>
      <c r="BZ556" s="59"/>
      <c r="CA556" s="59"/>
      <c r="CB556" s="59"/>
      <c r="CC556" s="59"/>
      <c r="CD556" s="59"/>
      <c r="CE556" s="59"/>
      <c r="CF556" s="59"/>
      <c r="CG556" s="59"/>
      <c r="CH556" s="59"/>
      <c r="CI556" s="59"/>
      <c r="CJ556" s="59"/>
      <c r="CK556" s="59"/>
      <c r="CL556" s="59"/>
      <c r="CM556" s="59"/>
      <c r="CN556" s="59"/>
      <c r="CO556" s="59"/>
      <c r="CP556" s="59"/>
      <c r="CQ556" s="59"/>
      <c r="CR556" s="59"/>
      <c r="CS556" s="59"/>
      <c r="CT556" s="59"/>
      <c r="CU556" s="59"/>
      <c r="CV556" s="59"/>
      <c r="CW556" s="59"/>
      <c r="CX556" s="59"/>
      <c r="CY556" s="59"/>
      <c r="CZ556" s="59"/>
      <c r="DA556" s="59"/>
      <c r="DB556" s="59"/>
      <c r="DC556" s="59"/>
      <c r="DD556" s="59"/>
      <c r="DE556" s="59"/>
      <c r="DF556" s="59"/>
      <c r="DG556" s="59"/>
    </row>
    <row r="557" spans="1:111" ht="11.2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  <c r="AJ557" s="59"/>
      <c r="AK557" s="59"/>
      <c r="AL557" s="59"/>
      <c r="AM557" s="59"/>
      <c r="AN557" s="59"/>
      <c r="AO557" s="59"/>
      <c r="AP557" s="59"/>
      <c r="AQ557" s="59"/>
      <c r="AR557" s="59"/>
      <c r="AS557" s="59"/>
      <c r="AT557" s="59"/>
      <c r="AU557" s="59"/>
      <c r="AV557" s="59"/>
      <c r="AW557" s="59"/>
      <c r="AX557" s="59"/>
      <c r="AY557" s="59"/>
      <c r="AZ557" s="59"/>
      <c r="BA557" s="59"/>
      <c r="BB557" s="59"/>
      <c r="BC557" s="59"/>
      <c r="BD557" s="59"/>
      <c r="BE557" s="59"/>
      <c r="BF557" s="59"/>
      <c r="BG557" s="59"/>
      <c r="BH557" s="59"/>
      <c r="BI557" s="59"/>
      <c r="BJ557" s="59"/>
      <c r="BK557" s="59"/>
      <c r="BL557" s="59"/>
      <c r="BM557" s="59"/>
      <c r="BN557" s="59"/>
      <c r="BO557" s="59"/>
      <c r="BP557" s="59"/>
      <c r="BQ557" s="59"/>
      <c r="BR557" s="59"/>
      <c r="BS557" s="59"/>
      <c r="BT557" s="59"/>
      <c r="BU557" s="59"/>
      <c r="BV557" s="59"/>
      <c r="BW557" s="59"/>
      <c r="BX557" s="59"/>
      <c r="BY557" s="59"/>
      <c r="BZ557" s="59"/>
      <c r="CA557" s="59"/>
      <c r="CB557" s="59"/>
      <c r="CC557" s="59"/>
      <c r="CD557" s="59"/>
      <c r="CE557" s="59"/>
      <c r="CF557" s="59"/>
      <c r="CG557" s="59"/>
      <c r="CH557" s="59"/>
      <c r="CI557" s="59"/>
      <c r="CJ557" s="59"/>
      <c r="CK557" s="59"/>
      <c r="CL557" s="59"/>
      <c r="CM557" s="59"/>
      <c r="CN557" s="59"/>
      <c r="CO557" s="59"/>
      <c r="CP557" s="59"/>
      <c r="CQ557" s="59"/>
      <c r="CR557" s="59"/>
      <c r="CS557" s="59"/>
      <c r="CT557" s="59"/>
      <c r="CU557" s="59"/>
      <c r="CV557" s="59"/>
      <c r="CW557" s="59"/>
      <c r="CX557" s="59"/>
      <c r="CY557" s="59"/>
      <c r="CZ557" s="59"/>
      <c r="DA557" s="59"/>
      <c r="DB557" s="59"/>
      <c r="DC557" s="59"/>
      <c r="DD557" s="59"/>
      <c r="DE557" s="59"/>
      <c r="DF557" s="59"/>
      <c r="DG557" s="59"/>
    </row>
    <row r="558" spans="1:111" ht="11.2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/>
      <c r="BB558" s="59"/>
      <c r="BC558" s="59"/>
      <c r="BD558" s="59"/>
      <c r="BE558" s="59"/>
      <c r="BF558" s="59"/>
      <c r="BG558" s="59"/>
      <c r="BH558" s="59"/>
      <c r="BI558" s="59"/>
      <c r="BJ558" s="59"/>
      <c r="BK558" s="59"/>
      <c r="BL558" s="59"/>
      <c r="BM558" s="59"/>
      <c r="BN558" s="59"/>
      <c r="BO558" s="59"/>
      <c r="BP558" s="59"/>
      <c r="BQ558" s="59"/>
      <c r="BR558" s="59"/>
      <c r="BS558" s="59"/>
      <c r="BT558" s="59"/>
      <c r="BU558" s="59"/>
      <c r="BV558" s="59"/>
      <c r="BW558" s="59"/>
      <c r="BX558" s="59"/>
      <c r="BY558" s="59"/>
      <c r="BZ558" s="59"/>
      <c r="CA558" s="59"/>
      <c r="CB558" s="59"/>
      <c r="CC558" s="59"/>
      <c r="CD558" s="59"/>
      <c r="CE558" s="59"/>
      <c r="CF558" s="59"/>
      <c r="CG558" s="59"/>
      <c r="CH558" s="59"/>
      <c r="CI558" s="59"/>
      <c r="CJ558" s="59"/>
      <c r="CK558" s="59"/>
      <c r="CL558" s="59"/>
      <c r="CM558" s="59"/>
      <c r="CN558" s="59"/>
      <c r="CO558" s="59"/>
      <c r="CP558" s="59"/>
      <c r="CQ558" s="59"/>
      <c r="CR558" s="59"/>
      <c r="CS558" s="59"/>
      <c r="CT558" s="59"/>
      <c r="CU558" s="59"/>
      <c r="CV558" s="59"/>
      <c r="CW558" s="59"/>
      <c r="CX558" s="59"/>
      <c r="CY558" s="59"/>
      <c r="CZ558" s="59"/>
      <c r="DA558" s="59"/>
      <c r="DB558" s="59"/>
      <c r="DC558" s="59"/>
      <c r="DD558" s="59"/>
      <c r="DE558" s="59"/>
      <c r="DF558" s="59"/>
      <c r="DG558" s="59"/>
    </row>
    <row r="559" spans="1:111" ht="11.2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  <c r="AJ559" s="59"/>
      <c r="AK559" s="59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9"/>
      <c r="AW559" s="59"/>
      <c r="AX559" s="59"/>
      <c r="AY559" s="59"/>
      <c r="AZ559" s="59"/>
      <c r="BA559" s="59"/>
      <c r="BB559" s="59"/>
      <c r="BC559" s="59"/>
      <c r="BD559" s="59"/>
      <c r="BE559" s="59"/>
      <c r="BF559" s="59"/>
      <c r="BG559" s="59"/>
      <c r="BH559" s="59"/>
      <c r="BI559" s="59"/>
      <c r="BJ559" s="59"/>
      <c r="BK559" s="59"/>
      <c r="BL559" s="59"/>
      <c r="BM559" s="59"/>
      <c r="BN559" s="59"/>
      <c r="BO559" s="59"/>
      <c r="BP559" s="59"/>
      <c r="BQ559" s="59"/>
      <c r="BR559" s="59"/>
      <c r="BS559" s="59"/>
      <c r="BT559" s="59"/>
      <c r="BU559" s="59"/>
      <c r="BV559" s="59"/>
      <c r="BW559" s="59"/>
      <c r="BX559" s="59"/>
      <c r="BY559" s="59"/>
      <c r="BZ559" s="59"/>
      <c r="CA559" s="59"/>
      <c r="CB559" s="59"/>
      <c r="CC559" s="59"/>
      <c r="CD559" s="59"/>
      <c r="CE559" s="59"/>
      <c r="CF559" s="59"/>
      <c r="CG559" s="59"/>
      <c r="CH559" s="59"/>
      <c r="CI559" s="59"/>
      <c r="CJ559" s="59"/>
      <c r="CK559" s="59"/>
      <c r="CL559" s="59"/>
      <c r="CM559" s="59"/>
      <c r="CN559" s="59"/>
      <c r="CO559" s="59"/>
      <c r="CP559" s="59"/>
      <c r="CQ559" s="59"/>
      <c r="CR559" s="59"/>
      <c r="CS559" s="59"/>
      <c r="CT559" s="59"/>
      <c r="CU559" s="59"/>
      <c r="CV559" s="59"/>
      <c r="CW559" s="59"/>
      <c r="CX559" s="59"/>
      <c r="CY559" s="59"/>
      <c r="CZ559" s="59"/>
      <c r="DA559" s="59"/>
      <c r="DB559" s="59"/>
      <c r="DC559" s="59"/>
      <c r="DD559" s="59"/>
      <c r="DE559" s="59"/>
      <c r="DF559" s="59"/>
      <c r="DG559" s="59"/>
    </row>
    <row r="560" spans="1:111" ht="11.2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  <c r="AJ560" s="59"/>
      <c r="AK560" s="59"/>
      <c r="AL560" s="59"/>
      <c r="AM560" s="59"/>
      <c r="AN560" s="59"/>
      <c r="AO560" s="59"/>
      <c r="AP560" s="59"/>
      <c r="AQ560" s="59"/>
      <c r="AR560" s="59"/>
      <c r="AS560" s="59"/>
      <c r="AT560" s="59"/>
      <c r="AU560" s="59"/>
      <c r="AV560" s="59"/>
      <c r="AW560" s="59"/>
      <c r="AX560" s="59"/>
      <c r="AY560" s="59"/>
      <c r="AZ560" s="59"/>
      <c r="BA560" s="59"/>
      <c r="BB560" s="59"/>
      <c r="BC560" s="59"/>
      <c r="BD560" s="59"/>
      <c r="BE560" s="59"/>
      <c r="BF560" s="59"/>
      <c r="BG560" s="59"/>
      <c r="BH560" s="59"/>
      <c r="BI560" s="59"/>
      <c r="BJ560" s="59"/>
      <c r="BK560" s="59"/>
      <c r="BL560" s="59"/>
      <c r="BM560" s="59"/>
      <c r="BN560" s="59"/>
      <c r="BO560" s="59"/>
      <c r="BP560" s="59"/>
      <c r="BQ560" s="59"/>
      <c r="BR560" s="59"/>
      <c r="BS560" s="59"/>
      <c r="BT560" s="59"/>
      <c r="BU560" s="59"/>
      <c r="BV560" s="59"/>
      <c r="BW560" s="59"/>
      <c r="BX560" s="59"/>
      <c r="BY560" s="59"/>
      <c r="BZ560" s="59"/>
      <c r="CA560" s="59"/>
      <c r="CB560" s="59"/>
      <c r="CC560" s="59"/>
      <c r="CD560" s="59"/>
      <c r="CE560" s="59"/>
      <c r="CF560" s="59"/>
      <c r="CG560" s="59"/>
      <c r="CH560" s="59"/>
      <c r="CI560" s="59"/>
      <c r="CJ560" s="59"/>
      <c r="CK560" s="59"/>
      <c r="CL560" s="59"/>
      <c r="CM560" s="59"/>
      <c r="CN560" s="59"/>
      <c r="CO560" s="59"/>
      <c r="CP560" s="59"/>
      <c r="CQ560" s="59"/>
      <c r="CR560" s="59"/>
      <c r="CS560" s="59"/>
      <c r="CT560" s="59"/>
      <c r="CU560" s="59"/>
      <c r="CV560" s="59"/>
      <c r="CW560" s="59"/>
      <c r="CX560" s="59"/>
      <c r="CY560" s="59"/>
      <c r="CZ560" s="59"/>
      <c r="DA560" s="59"/>
      <c r="DB560" s="59"/>
      <c r="DC560" s="59"/>
      <c r="DD560" s="59"/>
      <c r="DE560" s="59"/>
      <c r="DF560" s="59"/>
      <c r="DG560" s="59"/>
    </row>
    <row r="561" spans="1:111" ht="11.2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  <c r="AJ561" s="59"/>
      <c r="AK561" s="59"/>
      <c r="AL561" s="59"/>
      <c r="AM561" s="59"/>
      <c r="AN561" s="59"/>
      <c r="AO561" s="59"/>
      <c r="AP561" s="59"/>
      <c r="AQ561" s="59"/>
      <c r="AR561" s="59"/>
      <c r="AS561" s="59"/>
      <c r="AT561" s="59"/>
      <c r="AU561" s="59"/>
      <c r="AV561" s="59"/>
      <c r="AW561" s="59"/>
      <c r="AX561" s="59"/>
      <c r="AY561" s="59"/>
      <c r="AZ561" s="59"/>
      <c r="BA561" s="59"/>
      <c r="BB561" s="59"/>
      <c r="BC561" s="59"/>
      <c r="BD561" s="59"/>
      <c r="BE561" s="59"/>
      <c r="BF561" s="59"/>
      <c r="BG561" s="59"/>
      <c r="BH561" s="59"/>
      <c r="BI561" s="59"/>
      <c r="BJ561" s="59"/>
      <c r="BK561" s="59"/>
      <c r="BL561" s="59"/>
      <c r="BM561" s="59"/>
      <c r="BN561" s="59"/>
      <c r="BO561" s="59"/>
      <c r="BP561" s="59"/>
      <c r="BQ561" s="59"/>
      <c r="BR561" s="59"/>
      <c r="BS561" s="59"/>
      <c r="BT561" s="59"/>
      <c r="BU561" s="59"/>
      <c r="BV561" s="59"/>
      <c r="BW561" s="59"/>
      <c r="BX561" s="59"/>
      <c r="BY561" s="59"/>
      <c r="BZ561" s="59"/>
      <c r="CA561" s="59"/>
      <c r="CB561" s="59"/>
      <c r="CC561" s="59"/>
      <c r="CD561" s="59"/>
      <c r="CE561" s="59"/>
      <c r="CF561" s="59"/>
      <c r="CG561" s="59"/>
      <c r="CH561" s="59"/>
      <c r="CI561" s="59"/>
      <c r="CJ561" s="59"/>
      <c r="CK561" s="59"/>
      <c r="CL561" s="59"/>
      <c r="CM561" s="59"/>
      <c r="CN561" s="59"/>
      <c r="CO561" s="59"/>
      <c r="CP561" s="59"/>
      <c r="CQ561" s="59"/>
      <c r="CR561" s="59"/>
      <c r="CS561" s="59"/>
      <c r="CT561" s="59"/>
      <c r="CU561" s="59"/>
      <c r="CV561" s="59"/>
      <c r="CW561" s="59"/>
      <c r="CX561" s="59"/>
      <c r="CY561" s="59"/>
      <c r="CZ561" s="59"/>
      <c r="DA561" s="59"/>
      <c r="DB561" s="59"/>
      <c r="DC561" s="59"/>
      <c r="DD561" s="59"/>
      <c r="DE561" s="59"/>
      <c r="DF561" s="59"/>
      <c r="DG561" s="59"/>
    </row>
    <row r="562" spans="1:111" ht="11.2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9"/>
      <c r="AW562" s="59"/>
      <c r="AX562" s="59"/>
      <c r="AY562" s="59"/>
      <c r="AZ562" s="59"/>
      <c r="BA562" s="59"/>
      <c r="BB562" s="59"/>
      <c r="BC562" s="59"/>
      <c r="BD562" s="59"/>
      <c r="BE562" s="59"/>
      <c r="BF562" s="59"/>
      <c r="BG562" s="59"/>
      <c r="BH562" s="59"/>
      <c r="BI562" s="59"/>
      <c r="BJ562" s="59"/>
      <c r="BK562" s="59"/>
      <c r="BL562" s="59"/>
      <c r="BM562" s="59"/>
      <c r="BN562" s="59"/>
      <c r="BO562" s="59"/>
      <c r="BP562" s="59"/>
      <c r="BQ562" s="59"/>
      <c r="BR562" s="59"/>
      <c r="BS562" s="59"/>
      <c r="BT562" s="59"/>
      <c r="BU562" s="59"/>
      <c r="BV562" s="59"/>
      <c r="BW562" s="59"/>
      <c r="BX562" s="59"/>
      <c r="BY562" s="59"/>
      <c r="BZ562" s="59"/>
      <c r="CA562" s="59"/>
      <c r="CB562" s="59"/>
      <c r="CC562" s="59"/>
      <c r="CD562" s="59"/>
      <c r="CE562" s="59"/>
      <c r="CF562" s="59"/>
      <c r="CG562" s="59"/>
      <c r="CH562" s="59"/>
      <c r="CI562" s="59"/>
      <c r="CJ562" s="59"/>
      <c r="CK562" s="59"/>
      <c r="CL562" s="59"/>
      <c r="CM562" s="59"/>
      <c r="CN562" s="59"/>
      <c r="CO562" s="59"/>
      <c r="CP562" s="59"/>
      <c r="CQ562" s="59"/>
      <c r="CR562" s="59"/>
      <c r="CS562" s="59"/>
      <c r="CT562" s="59"/>
      <c r="CU562" s="59"/>
      <c r="CV562" s="59"/>
      <c r="CW562" s="59"/>
      <c r="CX562" s="59"/>
      <c r="CY562" s="59"/>
      <c r="CZ562" s="59"/>
      <c r="DA562" s="59"/>
      <c r="DB562" s="59"/>
      <c r="DC562" s="59"/>
      <c r="DD562" s="59"/>
      <c r="DE562" s="59"/>
      <c r="DF562" s="59"/>
      <c r="DG562" s="59"/>
    </row>
    <row r="563" spans="1:111" ht="11.2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  <c r="AJ563" s="59"/>
      <c r="AK563" s="59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9"/>
      <c r="AW563" s="59"/>
      <c r="AX563" s="59"/>
      <c r="AY563" s="59"/>
      <c r="AZ563" s="59"/>
      <c r="BA563" s="59"/>
      <c r="BB563" s="59"/>
      <c r="BC563" s="59"/>
      <c r="BD563" s="59"/>
      <c r="BE563" s="59"/>
      <c r="BF563" s="59"/>
      <c r="BG563" s="59"/>
      <c r="BH563" s="59"/>
      <c r="BI563" s="59"/>
      <c r="BJ563" s="59"/>
      <c r="BK563" s="59"/>
      <c r="BL563" s="59"/>
      <c r="BM563" s="59"/>
      <c r="BN563" s="59"/>
      <c r="BO563" s="59"/>
      <c r="BP563" s="59"/>
      <c r="BQ563" s="59"/>
      <c r="BR563" s="59"/>
      <c r="BS563" s="59"/>
      <c r="BT563" s="59"/>
      <c r="BU563" s="59"/>
      <c r="BV563" s="59"/>
      <c r="BW563" s="59"/>
      <c r="BX563" s="59"/>
      <c r="BY563" s="59"/>
      <c r="BZ563" s="59"/>
      <c r="CA563" s="59"/>
      <c r="CB563" s="59"/>
      <c r="CC563" s="59"/>
      <c r="CD563" s="59"/>
      <c r="CE563" s="59"/>
      <c r="CF563" s="59"/>
      <c r="CG563" s="59"/>
      <c r="CH563" s="59"/>
      <c r="CI563" s="59"/>
      <c r="CJ563" s="59"/>
      <c r="CK563" s="59"/>
      <c r="CL563" s="59"/>
      <c r="CM563" s="59"/>
      <c r="CN563" s="59"/>
      <c r="CO563" s="59"/>
      <c r="CP563" s="59"/>
      <c r="CQ563" s="59"/>
      <c r="CR563" s="59"/>
      <c r="CS563" s="59"/>
      <c r="CT563" s="59"/>
      <c r="CU563" s="59"/>
      <c r="CV563" s="59"/>
      <c r="CW563" s="59"/>
      <c r="CX563" s="59"/>
      <c r="CY563" s="59"/>
      <c r="CZ563" s="59"/>
      <c r="DA563" s="59"/>
      <c r="DB563" s="59"/>
      <c r="DC563" s="59"/>
      <c r="DD563" s="59"/>
      <c r="DE563" s="59"/>
      <c r="DF563" s="59"/>
      <c r="DG563" s="59"/>
    </row>
    <row r="564" spans="1:111" ht="11.2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  <c r="AJ564" s="59"/>
      <c r="AK564" s="59"/>
      <c r="AL564" s="59"/>
      <c r="AM564" s="59"/>
      <c r="AN564" s="59"/>
      <c r="AO564" s="59"/>
      <c r="AP564" s="59"/>
      <c r="AQ564" s="59"/>
      <c r="AR564" s="59"/>
      <c r="AS564" s="59"/>
      <c r="AT564" s="59"/>
      <c r="AU564" s="59"/>
      <c r="AV564" s="59"/>
      <c r="AW564" s="59"/>
      <c r="AX564" s="59"/>
      <c r="AY564" s="59"/>
      <c r="AZ564" s="59"/>
      <c r="BA564" s="59"/>
      <c r="BB564" s="59"/>
      <c r="BC564" s="59"/>
      <c r="BD564" s="59"/>
      <c r="BE564" s="59"/>
      <c r="BF564" s="59"/>
      <c r="BG564" s="59"/>
      <c r="BH564" s="59"/>
      <c r="BI564" s="59"/>
      <c r="BJ564" s="59"/>
      <c r="BK564" s="59"/>
      <c r="BL564" s="59"/>
      <c r="BM564" s="59"/>
      <c r="BN564" s="59"/>
      <c r="BO564" s="59"/>
      <c r="BP564" s="59"/>
      <c r="BQ564" s="59"/>
      <c r="BR564" s="59"/>
      <c r="BS564" s="59"/>
      <c r="BT564" s="59"/>
      <c r="BU564" s="59"/>
      <c r="BV564" s="59"/>
      <c r="BW564" s="59"/>
      <c r="BX564" s="59"/>
      <c r="BY564" s="59"/>
      <c r="BZ564" s="59"/>
      <c r="CA564" s="59"/>
      <c r="CB564" s="59"/>
      <c r="CC564" s="59"/>
      <c r="CD564" s="59"/>
      <c r="CE564" s="59"/>
      <c r="CF564" s="59"/>
      <c r="CG564" s="59"/>
      <c r="CH564" s="59"/>
      <c r="CI564" s="59"/>
      <c r="CJ564" s="59"/>
      <c r="CK564" s="59"/>
      <c r="CL564" s="59"/>
      <c r="CM564" s="59"/>
      <c r="CN564" s="59"/>
      <c r="CO564" s="59"/>
      <c r="CP564" s="59"/>
      <c r="CQ564" s="59"/>
      <c r="CR564" s="59"/>
      <c r="CS564" s="59"/>
      <c r="CT564" s="59"/>
      <c r="CU564" s="59"/>
      <c r="CV564" s="59"/>
      <c r="CW564" s="59"/>
      <c r="CX564" s="59"/>
      <c r="CY564" s="59"/>
      <c r="CZ564" s="59"/>
      <c r="DA564" s="59"/>
      <c r="DB564" s="59"/>
      <c r="DC564" s="59"/>
      <c r="DD564" s="59"/>
      <c r="DE564" s="59"/>
      <c r="DF564" s="59"/>
      <c r="DG564" s="59"/>
    </row>
    <row r="565" spans="1:111" ht="11.2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  <c r="AJ565" s="59"/>
      <c r="AK565" s="59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9"/>
      <c r="AW565" s="59"/>
      <c r="AX565" s="59"/>
      <c r="AY565" s="59"/>
      <c r="AZ565" s="59"/>
      <c r="BA565" s="59"/>
      <c r="BB565" s="59"/>
      <c r="BC565" s="59"/>
      <c r="BD565" s="59"/>
      <c r="BE565" s="59"/>
      <c r="BF565" s="59"/>
      <c r="BG565" s="59"/>
      <c r="BH565" s="59"/>
      <c r="BI565" s="59"/>
      <c r="BJ565" s="59"/>
      <c r="BK565" s="59"/>
      <c r="BL565" s="59"/>
      <c r="BM565" s="59"/>
      <c r="BN565" s="59"/>
      <c r="BO565" s="59"/>
      <c r="BP565" s="59"/>
      <c r="BQ565" s="59"/>
      <c r="BR565" s="59"/>
      <c r="BS565" s="59"/>
      <c r="BT565" s="59"/>
      <c r="BU565" s="59"/>
      <c r="BV565" s="59"/>
      <c r="BW565" s="59"/>
      <c r="BX565" s="59"/>
      <c r="BY565" s="59"/>
      <c r="BZ565" s="59"/>
      <c r="CA565" s="59"/>
      <c r="CB565" s="59"/>
      <c r="CC565" s="59"/>
      <c r="CD565" s="59"/>
      <c r="CE565" s="59"/>
      <c r="CF565" s="59"/>
      <c r="CG565" s="59"/>
      <c r="CH565" s="59"/>
      <c r="CI565" s="59"/>
      <c r="CJ565" s="59"/>
      <c r="CK565" s="59"/>
      <c r="CL565" s="59"/>
      <c r="CM565" s="59"/>
      <c r="CN565" s="59"/>
      <c r="CO565" s="59"/>
      <c r="CP565" s="59"/>
      <c r="CQ565" s="59"/>
      <c r="CR565" s="59"/>
      <c r="CS565" s="59"/>
      <c r="CT565" s="59"/>
      <c r="CU565" s="59"/>
      <c r="CV565" s="59"/>
      <c r="CW565" s="59"/>
      <c r="CX565" s="59"/>
      <c r="CY565" s="59"/>
      <c r="CZ565" s="59"/>
      <c r="DA565" s="59"/>
      <c r="DB565" s="59"/>
      <c r="DC565" s="59"/>
      <c r="DD565" s="59"/>
      <c r="DE565" s="59"/>
      <c r="DF565" s="59"/>
      <c r="DG565" s="59"/>
    </row>
    <row r="566" spans="1:111" ht="11.2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  <c r="AJ566" s="59"/>
      <c r="AK566" s="59"/>
      <c r="AL566" s="59"/>
      <c r="AM566" s="59"/>
      <c r="AN566" s="59"/>
      <c r="AO566" s="59"/>
      <c r="AP566" s="59"/>
      <c r="AQ566" s="59"/>
      <c r="AR566" s="59"/>
      <c r="AS566" s="59"/>
      <c r="AT566" s="59"/>
      <c r="AU566" s="59"/>
      <c r="AV566" s="59"/>
      <c r="AW566" s="59"/>
      <c r="AX566" s="59"/>
      <c r="AY566" s="59"/>
      <c r="AZ566" s="59"/>
      <c r="BA566" s="59"/>
      <c r="BB566" s="59"/>
      <c r="BC566" s="59"/>
      <c r="BD566" s="59"/>
      <c r="BE566" s="59"/>
      <c r="BF566" s="59"/>
      <c r="BG566" s="59"/>
      <c r="BH566" s="59"/>
      <c r="BI566" s="59"/>
      <c r="BJ566" s="59"/>
      <c r="BK566" s="59"/>
      <c r="BL566" s="59"/>
      <c r="BM566" s="59"/>
      <c r="BN566" s="59"/>
      <c r="BO566" s="59"/>
      <c r="BP566" s="59"/>
      <c r="BQ566" s="59"/>
      <c r="BR566" s="59"/>
      <c r="BS566" s="59"/>
      <c r="BT566" s="59"/>
      <c r="BU566" s="59"/>
      <c r="BV566" s="59"/>
      <c r="BW566" s="59"/>
      <c r="BX566" s="59"/>
      <c r="BY566" s="59"/>
      <c r="BZ566" s="59"/>
      <c r="CA566" s="59"/>
      <c r="CB566" s="59"/>
      <c r="CC566" s="59"/>
      <c r="CD566" s="59"/>
      <c r="CE566" s="59"/>
      <c r="CF566" s="59"/>
      <c r="CG566" s="59"/>
      <c r="CH566" s="59"/>
      <c r="CI566" s="59"/>
      <c r="CJ566" s="59"/>
      <c r="CK566" s="59"/>
      <c r="CL566" s="59"/>
      <c r="CM566" s="59"/>
      <c r="CN566" s="59"/>
      <c r="CO566" s="59"/>
      <c r="CP566" s="59"/>
      <c r="CQ566" s="59"/>
      <c r="CR566" s="59"/>
      <c r="CS566" s="59"/>
      <c r="CT566" s="59"/>
      <c r="CU566" s="59"/>
      <c r="CV566" s="59"/>
      <c r="CW566" s="59"/>
      <c r="CX566" s="59"/>
      <c r="CY566" s="59"/>
      <c r="CZ566" s="59"/>
      <c r="DA566" s="59"/>
      <c r="DB566" s="59"/>
      <c r="DC566" s="59"/>
      <c r="DD566" s="59"/>
      <c r="DE566" s="59"/>
      <c r="DF566" s="59"/>
      <c r="DG566" s="59"/>
    </row>
    <row r="567" spans="1:111" ht="11.2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  <c r="AJ567" s="59"/>
      <c r="AK567" s="59"/>
      <c r="AL567" s="59"/>
      <c r="AM567" s="59"/>
      <c r="AN567" s="59"/>
      <c r="AO567" s="59"/>
      <c r="AP567" s="59"/>
      <c r="AQ567" s="59"/>
      <c r="AR567" s="59"/>
      <c r="AS567" s="59"/>
      <c r="AT567" s="59"/>
      <c r="AU567" s="59"/>
      <c r="AV567" s="59"/>
      <c r="AW567" s="59"/>
      <c r="AX567" s="59"/>
      <c r="AY567" s="59"/>
      <c r="AZ567" s="59"/>
      <c r="BA567" s="59"/>
      <c r="BB567" s="59"/>
      <c r="BC567" s="59"/>
      <c r="BD567" s="59"/>
      <c r="BE567" s="59"/>
      <c r="BF567" s="59"/>
      <c r="BG567" s="59"/>
      <c r="BH567" s="59"/>
      <c r="BI567" s="59"/>
      <c r="BJ567" s="59"/>
      <c r="BK567" s="59"/>
      <c r="BL567" s="59"/>
      <c r="BM567" s="59"/>
      <c r="BN567" s="59"/>
      <c r="BO567" s="59"/>
      <c r="BP567" s="59"/>
      <c r="BQ567" s="59"/>
      <c r="BR567" s="59"/>
      <c r="BS567" s="59"/>
      <c r="BT567" s="59"/>
      <c r="BU567" s="59"/>
      <c r="BV567" s="59"/>
      <c r="BW567" s="59"/>
      <c r="BX567" s="59"/>
      <c r="BY567" s="59"/>
      <c r="BZ567" s="59"/>
      <c r="CA567" s="59"/>
      <c r="CB567" s="59"/>
      <c r="CC567" s="59"/>
      <c r="CD567" s="59"/>
      <c r="CE567" s="59"/>
      <c r="CF567" s="59"/>
      <c r="CG567" s="59"/>
      <c r="CH567" s="59"/>
      <c r="CI567" s="59"/>
      <c r="CJ567" s="59"/>
      <c r="CK567" s="59"/>
      <c r="CL567" s="59"/>
      <c r="CM567" s="59"/>
      <c r="CN567" s="59"/>
      <c r="CO567" s="59"/>
      <c r="CP567" s="59"/>
      <c r="CQ567" s="59"/>
      <c r="CR567" s="59"/>
      <c r="CS567" s="59"/>
      <c r="CT567" s="59"/>
      <c r="CU567" s="59"/>
      <c r="CV567" s="59"/>
      <c r="CW567" s="59"/>
      <c r="CX567" s="59"/>
      <c r="CY567" s="59"/>
      <c r="CZ567" s="59"/>
      <c r="DA567" s="59"/>
      <c r="DB567" s="59"/>
      <c r="DC567" s="59"/>
      <c r="DD567" s="59"/>
      <c r="DE567" s="59"/>
      <c r="DF567" s="59"/>
      <c r="DG567" s="59"/>
    </row>
    <row r="568" spans="1:111" ht="11.2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  <c r="AJ568" s="59"/>
      <c r="AK568" s="59"/>
      <c r="AL568" s="59"/>
      <c r="AM568" s="59"/>
      <c r="AN568" s="59"/>
      <c r="AO568" s="59"/>
      <c r="AP568" s="59"/>
      <c r="AQ568" s="59"/>
      <c r="AR568" s="59"/>
      <c r="AS568" s="59"/>
      <c r="AT568" s="59"/>
      <c r="AU568" s="59"/>
      <c r="AV568" s="59"/>
      <c r="AW568" s="59"/>
      <c r="AX568" s="59"/>
      <c r="AY568" s="59"/>
      <c r="AZ568" s="59"/>
      <c r="BA568" s="59"/>
      <c r="BB568" s="59"/>
      <c r="BC568" s="59"/>
      <c r="BD568" s="59"/>
      <c r="BE568" s="59"/>
      <c r="BF568" s="59"/>
      <c r="BG568" s="59"/>
      <c r="BH568" s="59"/>
      <c r="BI568" s="59"/>
      <c r="BJ568" s="59"/>
      <c r="BK568" s="59"/>
      <c r="BL568" s="59"/>
      <c r="BM568" s="59"/>
      <c r="BN568" s="59"/>
      <c r="BO568" s="59"/>
      <c r="BP568" s="59"/>
      <c r="BQ568" s="59"/>
      <c r="BR568" s="59"/>
      <c r="BS568" s="59"/>
      <c r="BT568" s="59"/>
      <c r="BU568" s="59"/>
      <c r="BV568" s="59"/>
      <c r="BW568" s="59"/>
      <c r="BX568" s="59"/>
      <c r="BY568" s="59"/>
      <c r="BZ568" s="59"/>
      <c r="CA568" s="59"/>
      <c r="CB568" s="59"/>
      <c r="CC568" s="59"/>
      <c r="CD568" s="59"/>
      <c r="CE568" s="59"/>
      <c r="CF568" s="59"/>
      <c r="CG568" s="59"/>
      <c r="CH568" s="59"/>
      <c r="CI568" s="59"/>
      <c r="CJ568" s="59"/>
      <c r="CK568" s="59"/>
      <c r="CL568" s="59"/>
      <c r="CM568" s="59"/>
      <c r="CN568" s="59"/>
      <c r="CO568" s="59"/>
      <c r="CP568" s="59"/>
      <c r="CQ568" s="59"/>
      <c r="CR568" s="59"/>
      <c r="CS568" s="59"/>
      <c r="CT568" s="59"/>
      <c r="CU568" s="59"/>
      <c r="CV568" s="59"/>
      <c r="CW568" s="59"/>
      <c r="CX568" s="59"/>
      <c r="CY568" s="59"/>
      <c r="CZ568" s="59"/>
      <c r="DA568" s="59"/>
      <c r="DB568" s="59"/>
      <c r="DC568" s="59"/>
      <c r="DD568" s="59"/>
      <c r="DE568" s="59"/>
      <c r="DF568" s="59"/>
      <c r="DG568" s="59"/>
    </row>
    <row r="569" spans="1:111" ht="11.2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  <c r="AJ569" s="59"/>
      <c r="AK569" s="59"/>
      <c r="AL569" s="59"/>
      <c r="AM569" s="59"/>
      <c r="AN569" s="59"/>
      <c r="AO569" s="59"/>
      <c r="AP569" s="59"/>
      <c r="AQ569" s="59"/>
      <c r="AR569" s="59"/>
      <c r="AS569" s="59"/>
      <c r="AT569" s="59"/>
      <c r="AU569" s="59"/>
      <c r="AV569" s="59"/>
      <c r="AW569" s="59"/>
      <c r="AX569" s="59"/>
      <c r="AY569" s="59"/>
      <c r="AZ569" s="59"/>
      <c r="BA569" s="59"/>
      <c r="BB569" s="59"/>
      <c r="BC569" s="59"/>
      <c r="BD569" s="59"/>
      <c r="BE569" s="59"/>
      <c r="BF569" s="59"/>
      <c r="BG569" s="59"/>
      <c r="BH569" s="59"/>
      <c r="BI569" s="59"/>
      <c r="BJ569" s="59"/>
      <c r="BK569" s="59"/>
      <c r="BL569" s="59"/>
      <c r="BM569" s="59"/>
      <c r="BN569" s="59"/>
      <c r="BO569" s="59"/>
      <c r="BP569" s="59"/>
      <c r="BQ569" s="59"/>
      <c r="BR569" s="59"/>
      <c r="BS569" s="59"/>
      <c r="BT569" s="59"/>
      <c r="BU569" s="59"/>
      <c r="BV569" s="59"/>
      <c r="BW569" s="59"/>
      <c r="BX569" s="59"/>
      <c r="BY569" s="59"/>
      <c r="BZ569" s="59"/>
      <c r="CA569" s="59"/>
      <c r="CB569" s="59"/>
      <c r="CC569" s="59"/>
      <c r="CD569" s="59"/>
      <c r="CE569" s="59"/>
      <c r="CF569" s="59"/>
      <c r="CG569" s="59"/>
      <c r="CH569" s="59"/>
      <c r="CI569" s="59"/>
      <c r="CJ569" s="59"/>
      <c r="CK569" s="59"/>
      <c r="CL569" s="59"/>
      <c r="CM569" s="59"/>
      <c r="CN569" s="59"/>
      <c r="CO569" s="59"/>
      <c r="CP569" s="59"/>
      <c r="CQ569" s="59"/>
      <c r="CR569" s="59"/>
      <c r="CS569" s="59"/>
      <c r="CT569" s="59"/>
      <c r="CU569" s="59"/>
      <c r="CV569" s="59"/>
      <c r="CW569" s="59"/>
      <c r="CX569" s="59"/>
      <c r="CY569" s="59"/>
      <c r="CZ569" s="59"/>
      <c r="DA569" s="59"/>
      <c r="DB569" s="59"/>
      <c r="DC569" s="59"/>
      <c r="DD569" s="59"/>
      <c r="DE569" s="59"/>
      <c r="DF569" s="59"/>
      <c r="DG569" s="59"/>
    </row>
    <row r="570" spans="1:111" ht="11.2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  <c r="AJ570" s="59"/>
      <c r="AK570" s="59"/>
      <c r="AL570" s="59"/>
      <c r="AM570" s="59"/>
      <c r="AN570" s="59"/>
      <c r="AO570" s="59"/>
      <c r="AP570" s="59"/>
      <c r="AQ570" s="59"/>
      <c r="AR570" s="59"/>
      <c r="AS570" s="59"/>
      <c r="AT570" s="59"/>
      <c r="AU570" s="59"/>
      <c r="AV570" s="59"/>
      <c r="AW570" s="59"/>
      <c r="AX570" s="59"/>
      <c r="AY570" s="59"/>
      <c r="AZ570" s="59"/>
      <c r="BA570" s="59"/>
      <c r="BB570" s="59"/>
      <c r="BC570" s="59"/>
      <c r="BD570" s="59"/>
      <c r="BE570" s="59"/>
      <c r="BF570" s="59"/>
      <c r="BG570" s="59"/>
      <c r="BH570" s="59"/>
      <c r="BI570" s="59"/>
      <c r="BJ570" s="59"/>
      <c r="BK570" s="59"/>
      <c r="BL570" s="59"/>
      <c r="BM570" s="59"/>
      <c r="BN570" s="59"/>
      <c r="BO570" s="59"/>
      <c r="BP570" s="59"/>
      <c r="BQ570" s="59"/>
      <c r="BR570" s="59"/>
      <c r="BS570" s="59"/>
      <c r="BT570" s="59"/>
      <c r="BU570" s="59"/>
      <c r="BV570" s="59"/>
      <c r="BW570" s="59"/>
      <c r="BX570" s="59"/>
      <c r="BY570" s="59"/>
      <c r="BZ570" s="59"/>
      <c r="CA570" s="59"/>
      <c r="CB570" s="59"/>
      <c r="CC570" s="59"/>
      <c r="CD570" s="59"/>
      <c r="CE570" s="59"/>
      <c r="CF570" s="59"/>
      <c r="CG570" s="59"/>
      <c r="CH570" s="59"/>
      <c r="CI570" s="59"/>
      <c r="CJ570" s="59"/>
      <c r="CK570" s="59"/>
      <c r="CL570" s="59"/>
      <c r="CM570" s="59"/>
      <c r="CN570" s="59"/>
      <c r="CO570" s="59"/>
      <c r="CP570" s="59"/>
      <c r="CQ570" s="59"/>
      <c r="CR570" s="59"/>
      <c r="CS570" s="59"/>
      <c r="CT570" s="59"/>
      <c r="CU570" s="59"/>
      <c r="CV570" s="59"/>
      <c r="CW570" s="59"/>
      <c r="CX570" s="59"/>
      <c r="CY570" s="59"/>
      <c r="CZ570" s="59"/>
      <c r="DA570" s="59"/>
      <c r="DB570" s="59"/>
      <c r="DC570" s="59"/>
      <c r="DD570" s="59"/>
      <c r="DE570" s="59"/>
      <c r="DF570" s="59"/>
      <c r="DG570" s="59"/>
    </row>
    <row r="571" spans="1:111" ht="11.2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  <c r="AJ571" s="59"/>
      <c r="AK571" s="59"/>
      <c r="AL571" s="59"/>
      <c r="AM571" s="59"/>
      <c r="AN571" s="59"/>
      <c r="AO571" s="59"/>
      <c r="AP571" s="59"/>
      <c r="AQ571" s="59"/>
      <c r="AR571" s="59"/>
      <c r="AS571" s="59"/>
      <c r="AT571" s="59"/>
      <c r="AU571" s="59"/>
      <c r="AV571" s="59"/>
      <c r="AW571" s="59"/>
      <c r="AX571" s="59"/>
      <c r="AY571" s="59"/>
      <c r="AZ571" s="59"/>
      <c r="BA571" s="59"/>
      <c r="BB571" s="59"/>
      <c r="BC571" s="59"/>
      <c r="BD571" s="59"/>
      <c r="BE571" s="59"/>
      <c r="BF571" s="59"/>
      <c r="BG571" s="59"/>
      <c r="BH571" s="59"/>
      <c r="BI571" s="59"/>
      <c r="BJ571" s="59"/>
      <c r="BK571" s="59"/>
      <c r="BL571" s="59"/>
      <c r="BM571" s="59"/>
      <c r="BN571" s="59"/>
      <c r="BO571" s="59"/>
      <c r="BP571" s="59"/>
      <c r="BQ571" s="59"/>
      <c r="BR571" s="59"/>
      <c r="BS571" s="59"/>
      <c r="BT571" s="59"/>
      <c r="BU571" s="59"/>
      <c r="BV571" s="59"/>
      <c r="BW571" s="59"/>
      <c r="BX571" s="59"/>
      <c r="BY571" s="59"/>
      <c r="BZ571" s="59"/>
      <c r="CA571" s="59"/>
      <c r="CB571" s="59"/>
      <c r="CC571" s="59"/>
      <c r="CD571" s="59"/>
      <c r="CE571" s="59"/>
      <c r="CF571" s="59"/>
      <c r="CG571" s="59"/>
      <c r="CH571" s="59"/>
      <c r="CI571" s="59"/>
      <c r="CJ571" s="59"/>
      <c r="CK571" s="59"/>
      <c r="CL571" s="59"/>
      <c r="CM571" s="59"/>
      <c r="CN571" s="59"/>
      <c r="CO571" s="59"/>
      <c r="CP571" s="59"/>
      <c r="CQ571" s="59"/>
      <c r="CR571" s="59"/>
      <c r="CS571" s="59"/>
      <c r="CT571" s="59"/>
      <c r="CU571" s="59"/>
      <c r="CV571" s="59"/>
      <c r="CW571" s="59"/>
      <c r="CX571" s="59"/>
      <c r="CY571" s="59"/>
      <c r="CZ571" s="59"/>
      <c r="DA571" s="59"/>
      <c r="DB571" s="59"/>
      <c r="DC571" s="59"/>
      <c r="DD571" s="59"/>
      <c r="DE571" s="59"/>
      <c r="DF571" s="59"/>
      <c r="DG571" s="59"/>
    </row>
    <row r="572" spans="1:111" ht="11.2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  <c r="AJ572" s="59"/>
      <c r="AK572" s="59"/>
      <c r="AL572" s="59"/>
      <c r="AM572" s="59"/>
      <c r="AN572" s="59"/>
      <c r="AO572" s="59"/>
      <c r="AP572" s="59"/>
      <c r="AQ572" s="59"/>
      <c r="AR572" s="59"/>
      <c r="AS572" s="59"/>
      <c r="AT572" s="59"/>
      <c r="AU572" s="59"/>
      <c r="AV572" s="59"/>
      <c r="AW572" s="59"/>
      <c r="AX572" s="59"/>
      <c r="AY572" s="59"/>
      <c r="AZ572" s="59"/>
      <c r="BA572" s="59"/>
      <c r="BB572" s="59"/>
      <c r="BC572" s="59"/>
      <c r="BD572" s="59"/>
      <c r="BE572" s="59"/>
      <c r="BF572" s="59"/>
      <c r="BG572" s="59"/>
      <c r="BH572" s="59"/>
      <c r="BI572" s="59"/>
      <c r="BJ572" s="59"/>
      <c r="BK572" s="59"/>
      <c r="BL572" s="59"/>
      <c r="BM572" s="59"/>
      <c r="BN572" s="59"/>
      <c r="BO572" s="59"/>
      <c r="BP572" s="59"/>
      <c r="BQ572" s="59"/>
      <c r="BR572" s="59"/>
      <c r="BS572" s="59"/>
      <c r="BT572" s="59"/>
      <c r="BU572" s="59"/>
      <c r="BV572" s="59"/>
      <c r="BW572" s="59"/>
      <c r="BX572" s="59"/>
      <c r="BY572" s="59"/>
      <c r="BZ572" s="59"/>
      <c r="CA572" s="59"/>
      <c r="CB572" s="59"/>
      <c r="CC572" s="59"/>
      <c r="CD572" s="59"/>
      <c r="CE572" s="59"/>
      <c r="CF572" s="59"/>
      <c r="CG572" s="59"/>
      <c r="CH572" s="59"/>
      <c r="CI572" s="59"/>
      <c r="CJ572" s="59"/>
      <c r="CK572" s="59"/>
      <c r="CL572" s="59"/>
      <c r="CM572" s="59"/>
      <c r="CN572" s="59"/>
      <c r="CO572" s="59"/>
      <c r="CP572" s="59"/>
      <c r="CQ572" s="59"/>
      <c r="CR572" s="59"/>
      <c r="CS572" s="59"/>
      <c r="CT572" s="59"/>
      <c r="CU572" s="59"/>
      <c r="CV572" s="59"/>
      <c r="CW572" s="59"/>
      <c r="CX572" s="59"/>
      <c r="CY572" s="59"/>
      <c r="CZ572" s="59"/>
      <c r="DA572" s="59"/>
      <c r="DB572" s="59"/>
      <c r="DC572" s="59"/>
      <c r="DD572" s="59"/>
      <c r="DE572" s="59"/>
      <c r="DF572" s="59"/>
      <c r="DG572" s="59"/>
    </row>
    <row r="573" spans="1:111" ht="11.2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  <c r="AJ573" s="59"/>
      <c r="AK573" s="59"/>
      <c r="AL573" s="59"/>
      <c r="AM573" s="59"/>
      <c r="AN573" s="59"/>
      <c r="AO573" s="59"/>
      <c r="AP573" s="59"/>
      <c r="AQ573" s="59"/>
      <c r="AR573" s="59"/>
      <c r="AS573" s="59"/>
      <c r="AT573" s="59"/>
      <c r="AU573" s="59"/>
      <c r="AV573" s="59"/>
      <c r="AW573" s="59"/>
      <c r="AX573" s="59"/>
      <c r="AY573" s="59"/>
      <c r="AZ573" s="59"/>
      <c r="BA573" s="59"/>
      <c r="BB573" s="59"/>
      <c r="BC573" s="59"/>
      <c r="BD573" s="59"/>
      <c r="BE573" s="59"/>
      <c r="BF573" s="59"/>
      <c r="BG573" s="59"/>
      <c r="BH573" s="59"/>
      <c r="BI573" s="59"/>
      <c r="BJ573" s="59"/>
      <c r="BK573" s="59"/>
      <c r="BL573" s="59"/>
      <c r="BM573" s="59"/>
      <c r="BN573" s="59"/>
      <c r="BO573" s="59"/>
      <c r="BP573" s="59"/>
      <c r="BQ573" s="59"/>
      <c r="BR573" s="59"/>
      <c r="BS573" s="59"/>
      <c r="BT573" s="59"/>
      <c r="BU573" s="59"/>
      <c r="BV573" s="59"/>
      <c r="BW573" s="59"/>
      <c r="BX573" s="59"/>
      <c r="BY573" s="59"/>
      <c r="BZ573" s="59"/>
      <c r="CA573" s="59"/>
      <c r="CB573" s="59"/>
      <c r="CC573" s="59"/>
      <c r="CD573" s="59"/>
      <c r="CE573" s="59"/>
      <c r="CF573" s="59"/>
      <c r="CG573" s="59"/>
      <c r="CH573" s="59"/>
      <c r="CI573" s="59"/>
      <c r="CJ573" s="59"/>
      <c r="CK573" s="59"/>
      <c r="CL573" s="59"/>
      <c r="CM573" s="59"/>
      <c r="CN573" s="59"/>
      <c r="CO573" s="59"/>
      <c r="CP573" s="59"/>
      <c r="CQ573" s="59"/>
      <c r="CR573" s="59"/>
      <c r="CS573" s="59"/>
      <c r="CT573" s="59"/>
      <c r="CU573" s="59"/>
      <c r="CV573" s="59"/>
      <c r="CW573" s="59"/>
      <c r="CX573" s="59"/>
      <c r="CY573" s="59"/>
      <c r="CZ573" s="59"/>
      <c r="DA573" s="59"/>
      <c r="DB573" s="59"/>
      <c r="DC573" s="59"/>
      <c r="DD573" s="59"/>
      <c r="DE573" s="59"/>
      <c r="DF573" s="59"/>
      <c r="DG573" s="59"/>
    </row>
    <row r="574" spans="1:111" ht="11.2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9"/>
      <c r="AV574" s="59"/>
      <c r="AW574" s="59"/>
      <c r="AX574" s="59"/>
      <c r="AY574" s="59"/>
      <c r="AZ574" s="59"/>
      <c r="BA574" s="59"/>
      <c r="BB574" s="59"/>
      <c r="BC574" s="59"/>
      <c r="BD574" s="59"/>
      <c r="BE574" s="59"/>
      <c r="BF574" s="59"/>
      <c r="BG574" s="59"/>
      <c r="BH574" s="59"/>
      <c r="BI574" s="59"/>
      <c r="BJ574" s="59"/>
      <c r="BK574" s="59"/>
      <c r="BL574" s="59"/>
      <c r="BM574" s="59"/>
      <c r="BN574" s="59"/>
      <c r="BO574" s="59"/>
      <c r="BP574" s="59"/>
      <c r="BQ574" s="59"/>
      <c r="BR574" s="59"/>
      <c r="BS574" s="59"/>
      <c r="BT574" s="59"/>
      <c r="BU574" s="59"/>
      <c r="BV574" s="59"/>
      <c r="BW574" s="59"/>
      <c r="BX574" s="59"/>
      <c r="BY574" s="59"/>
      <c r="BZ574" s="59"/>
      <c r="CA574" s="59"/>
      <c r="CB574" s="59"/>
      <c r="CC574" s="59"/>
      <c r="CD574" s="59"/>
      <c r="CE574" s="59"/>
      <c r="CF574" s="59"/>
      <c r="CG574" s="59"/>
      <c r="CH574" s="59"/>
      <c r="CI574" s="59"/>
      <c r="CJ574" s="59"/>
      <c r="CK574" s="59"/>
      <c r="CL574" s="59"/>
      <c r="CM574" s="59"/>
      <c r="CN574" s="59"/>
      <c r="CO574" s="59"/>
      <c r="CP574" s="59"/>
      <c r="CQ574" s="59"/>
      <c r="CR574" s="59"/>
      <c r="CS574" s="59"/>
      <c r="CT574" s="59"/>
      <c r="CU574" s="59"/>
      <c r="CV574" s="59"/>
      <c r="CW574" s="59"/>
      <c r="CX574" s="59"/>
      <c r="CY574" s="59"/>
      <c r="CZ574" s="59"/>
      <c r="DA574" s="59"/>
      <c r="DB574" s="59"/>
      <c r="DC574" s="59"/>
      <c r="DD574" s="59"/>
      <c r="DE574" s="59"/>
      <c r="DF574" s="59"/>
      <c r="DG574" s="59"/>
    </row>
    <row r="575" spans="1:111" ht="11.2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  <c r="AT575" s="59"/>
      <c r="AU575" s="59"/>
      <c r="AV575" s="59"/>
      <c r="AW575" s="59"/>
      <c r="AX575" s="59"/>
      <c r="AY575" s="59"/>
      <c r="AZ575" s="59"/>
      <c r="BA575" s="59"/>
      <c r="BB575" s="59"/>
      <c r="BC575" s="59"/>
      <c r="BD575" s="59"/>
      <c r="BE575" s="59"/>
      <c r="BF575" s="59"/>
      <c r="BG575" s="59"/>
      <c r="BH575" s="59"/>
      <c r="BI575" s="59"/>
      <c r="BJ575" s="59"/>
      <c r="BK575" s="59"/>
      <c r="BL575" s="59"/>
      <c r="BM575" s="59"/>
      <c r="BN575" s="59"/>
      <c r="BO575" s="59"/>
      <c r="BP575" s="59"/>
      <c r="BQ575" s="59"/>
      <c r="BR575" s="59"/>
      <c r="BS575" s="59"/>
      <c r="BT575" s="59"/>
      <c r="BU575" s="59"/>
      <c r="BV575" s="59"/>
      <c r="BW575" s="59"/>
      <c r="BX575" s="59"/>
      <c r="BY575" s="59"/>
      <c r="BZ575" s="59"/>
      <c r="CA575" s="59"/>
      <c r="CB575" s="59"/>
      <c r="CC575" s="59"/>
      <c r="CD575" s="59"/>
      <c r="CE575" s="59"/>
      <c r="CF575" s="59"/>
      <c r="CG575" s="59"/>
      <c r="CH575" s="59"/>
      <c r="CI575" s="59"/>
      <c r="CJ575" s="59"/>
      <c r="CK575" s="59"/>
      <c r="CL575" s="59"/>
      <c r="CM575" s="59"/>
      <c r="CN575" s="59"/>
      <c r="CO575" s="59"/>
      <c r="CP575" s="59"/>
      <c r="CQ575" s="59"/>
      <c r="CR575" s="59"/>
      <c r="CS575" s="59"/>
      <c r="CT575" s="59"/>
      <c r="CU575" s="59"/>
      <c r="CV575" s="59"/>
      <c r="CW575" s="59"/>
      <c r="CX575" s="59"/>
      <c r="CY575" s="59"/>
      <c r="CZ575" s="59"/>
      <c r="DA575" s="59"/>
      <c r="DB575" s="59"/>
      <c r="DC575" s="59"/>
      <c r="DD575" s="59"/>
      <c r="DE575" s="59"/>
      <c r="DF575" s="59"/>
      <c r="DG575" s="59"/>
    </row>
    <row r="576" spans="1:111" ht="11.2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  <c r="AT576" s="59"/>
      <c r="AU576" s="59"/>
      <c r="AV576" s="59"/>
      <c r="AW576" s="59"/>
      <c r="AX576" s="59"/>
      <c r="AY576" s="59"/>
      <c r="AZ576" s="59"/>
      <c r="BA576" s="59"/>
      <c r="BB576" s="59"/>
      <c r="BC576" s="59"/>
      <c r="BD576" s="59"/>
      <c r="BE576" s="59"/>
      <c r="BF576" s="59"/>
      <c r="BG576" s="59"/>
      <c r="BH576" s="59"/>
      <c r="BI576" s="59"/>
      <c r="BJ576" s="59"/>
      <c r="BK576" s="59"/>
      <c r="BL576" s="59"/>
      <c r="BM576" s="59"/>
      <c r="BN576" s="59"/>
      <c r="BO576" s="59"/>
      <c r="BP576" s="59"/>
      <c r="BQ576" s="59"/>
      <c r="BR576" s="59"/>
      <c r="BS576" s="59"/>
      <c r="BT576" s="59"/>
      <c r="BU576" s="59"/>
      <c r="BV576" s="59"/>
      <c r="BW576" s="59"/>
      <c r="BX576" s="59"/>
      <c r="BY576" s="59"/>
      <c r="BZ576" s="59"/>
      <c r="CA576" s="59"/>
      <c r="CB576" s="59"/>
      <c r="CC576" s="59"/>
      <c r="CD576" s="59"/>
      <c r="CE576" s="59"/>
      <c r="CF576" s="59"/>
      <c r="CG576" s="59"/>
      <c r="CH576" s="59"/>
      <c r="CI576" s="59"/>
      <c r="CJ576" s="59"/>
      <c r="CK576" s="59"/>
      <c r="CL576" s="59"/>
      <c r="CM576" s="59"/>
      <c r="CN576" s="59"/>
      <c r="CO576" s="59"/>
      <c r="CP576" s="59"/>
      <c r="CQ576" s="59"/>
      <c r="CR576" s="59"/>
      <c r="CS576" s="59"/>
      <c r="CT576" s="59"/>
      <c r="CU576" s="59"/>
      <c r="CV576" s="59"/>
      <c r="CW576" s="59"/>
      <c r="CX576" s="59"/>
      <c r="CY576" s="59"/>
      <c r="CZ576" s="59"/>
      <c r="DA576" s="59"/>
      <c r="DB576" s="59"/>
      <c r="DC576" s="59"/>
      <c r="DD576" s="59"/>
      <c r="DE576" s="59"/>
      <c r="DF576" s="59"/>
      <c r="DG576" s="59"/>
    </row>
    <row r="577" spans="1:111" ht="11.2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  <c r="AJ577" s="59"/>
      <c r="AK577" s="59"/>
      <c r="AL577" s="59"/>
      <c r="AM577" s="59"/>
      <c r="AN577" s="59"/>
      <c r="AO577" s="59"/>
      <c r="AP577" s="59"/>
      <c r="AQ577" s="59"/>
      <c r="AR577" s="59"/>
      <c r="AS577" s="59"/>
      <c r="AT577" s="59"/>
      <c r="AU577" s="59"/>
      <c r="AV577" s="59"/>
      <c r="AW577" s="59"/>
      <c r="AX577" s="59"/>
      <c r="AY577" s="59"/>
      <c r="AZ577" s="59"/>
      <c r="BA577" s="59"/>
      <c r="BB577" s="59"/>
      <c r="BC577" s="59"/>
      <c r="BD577" s="59"/>
      <c r="BE577" s="59"/>
      <c r="BF577" s="59"/>
      <c r="BG577" s="59"/>
      <c r="BH577" s="59"/>
      <c r="BI577" s="59"/>
      <c r="BJ577" s="59"/>
      <c r="BK577" s="59"/>
      <c r="BL577" s="59"/>
      <c r="BM577" s="59"/>
      <c r="BN577" s="59"/>
      <c r="BO577" s="59"/>
      <c r="BP577" s="59"/>
      <c r="BQ577" s="59"/>
      <c r="BR577" s="59"/>
      <c r="BS577" s="59"/>
      <c r="BT577" s="59"/>
      <c r="BU577" s="59"/>
      <c r="BV577" s="59"/>
      <c r="BW577" s="59"/>
      <c r="BX577" s="59"/>
      <c r="BY577" s="59"/>
      <c r="BZ577" s="59"/>
      <c r="CA577" s="59"/>
      <c r="CB577" s="59"/>
      <c r="CC577" s="59"/>
      <c r="CD577" s="59"/>
      <c r="CE577" s="59"/>
      <c r="CF577" s="59"/>
      <c r="CG577" s="59"/>
      <c r="CH577" s="59"/>
      <c r="CI577" s="59"/>
      <c r="CJ577" s="59"/>
      <c r="CK577" s="59"/>
      <c r="CL577" s="59"/>
      <c r="CM577" s="59"/>
      <c r="CN577" s="59"/>
      <c r="CO577" s="59"/>
      <c r="CP577" s="59"/>
      <c r="CQ577" s="59"/>
      <c r="CR577" s="59"/>
      <c r="CS577" s="59"/>
      <c r="CT577" s="59"/>
      <c r="CU577" s="59"/>
      <c r="CV577" s="59"/>
      <c r="CW577" s="59"/>
      <c r="CX577" s="59"/>
      <c r="CY577" s="59"/>
      <c r="CZ577" s="59"/>
      <c r="DA577" s="59"/>
      <c r="DB577" s="59"/>
      <c r="DC577" s="59"/>
      <c r="DD577" s="59"/>
      <c r="DE577" s="59"/>
      <c r="DF577" s="59"/>
      <c r="DG577" s="59"/>
    </row>
    <row r="578" spans="1:111" ht="11.2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  <c r="AJ578" s="59"/>
      <c r="AK578" s="59"/>
      <c r="AL578" s="59"/>
      <c r="AM578" s="59"/>
      <c r="AN578" s="59"/>
      <c r="AO578" s="59"/>
      <c r="AP578" s="59"/>
      <c r="AQ578" s="59"/>
      <c r="AR578" s="59"/>
      <c r="AS578" s="59"/>
      <c r="AT578" s="59"/>
      <c r="AU578" s="59"/>
      <c r="AV578" s="59"/>
      <c r="AW578" s="59"/>
      <c r="AX578" s="59"/>
      <c r="AY578" s="59"/>
      <c r="AZ578" s="59"/>
      <c r="BA578" s="59"/>
      <c r="BB578" s="59"/>
      <c r="BC578" s="59"/>
      <c r="BD578" s="59"/>
      <c r="BE578" s="59"/>
      <c r="BF578" s="59"/>
      <c r="BG578" s="59"/>
      <c r="BH578" s="59"/>
      <c r="BI578" s="59"/>
      <c r="BJ578" s="59"/>
      <c r="BK578" s="59"/>
      <c r="BL578" s="59"/>
      <c r="BM578" s="59"/>
      <c r="BN578" s="59"/>
      <c r="BO578" s="59"/>
      <c r="BP578" s="59"/>
      <c r="BQ578" s="59"/>
      <c r="BR578" s="59"/>
      <c r="BS578" s="59"/>
      <c r="BT578" s="59"/>
      <c r="BU578" s="59"/>
      <c r="BV578" s="59"/>
      <c r="BW578" s="59"/>
      <c r="BX578" s="59"/>
      <c r="BY578" s="59"/>
      <c r="BZ578" s="59"/>
      <c r="CA578" s="59"/>
      <c r="CB578" s="59"/>
      <c r="CC578" s="59"/>
      <c r="CD578" s="59"/>
      <c r="CE578" s="59"/>
      <c r="CF578" s="59"/>
      <c r="CG578" s="59"/>
      <c r="CH578" s="59"/>
      <c r="CI578" s="59"/>
      <c r="CJ578" s="59"/>
      <c r="CK578" s="59"/>
      <c r="CL578" s="59"/>
      <c r="CM578" s="59"/>
      <c r="CN578" s="59"/>
      <c r="CO578" s="59"/>
      <c r="CP578" s="59"/>
      <c r="CQ578" s="59"/>
      <c r="CR578" s="59"/>
      <c r="CS578" s="59"/>
      <c r="CT578" s="59"/>
      <c r="CU578" s="59"/>
      <c r="CV578" s="59"/>
      <c r="CW578" s="59"/>
      <c r="CX578" s="59"/>
      <c r="CY578" s="59"/>
      <c r="CZ578" s="59"/>
      <c r="DA578" s="59"/>
      <c r="DB578" s="59"/>
      <c r="DC578" s="59"/>
      <c r="DD578" s="59"/>
      <c r="DE578" s="59"/>
      <c r="DF578" s="59"/>
      <c r="DG578" s="59"/>
    </row>
    <row r="579" spans="1:111" ht="11.2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  <c r="AJ579" s="59"/>
      <c r="AK579" s="59"/>
      <c r="AL579" s="59"/>
      <c r="AM579" s="59"/>
      <c r="AN579" s="59"/>
      <c r="AO579" s="59"/>
      <c r="AP579" s="59"/>
      <c r="AQ579" s="59"/>
      <c r="AR579" s="59"/>
      <c r="AS579" s="59"/>
      <c r="AT579" s="59"/>
      <c r="AU579" s="59"/>
      <c r="AV579" s="59"/>
      <c r="AW579" s="59"/>
      <c r="AX579" s="59"/>
      <c r="AY579" s="59"/>
      <c r="AZ579" s="59"/>
      <c r="BA579" s="59"/>
      <c r="BB579" s="59"/>
      <c r="BC579" s="59"/>
      <c r="BD579" s="59"/>
      <c r="BE579" s="59"/>
      <c r="BF579" s="59"/>
      <c r="BG579" s="59"/>
      <c r="BH579" s="59"/>
      <c r="BI579" s="59"/>
      <c r="BJ579" s="59"/>
      <c r="BK579" s="59"/>
      <c r="BL579" s="59"/>
      <c r="BM579" s="59"/>
      <c r="BN579" s="59"/>
      <c r="BO579" s="59"/>
      <c r="BP579" s="59"/>
      <c r="BQ579" s="59"/>
      <c r="BR579" s="59"/>
      <c r="BS579" s="59"/>
      <c r="BT579" s="59"/>
      <c r="BU579" s="59"/>
      <c r="BV579" s="59"/>
      <c r="BW579" s="59"/>
      <c r="BX579" s="59"/>
      <c r="BY579" s="59"/>
      <c r="BZ579" s="59"/>
      <c r="CA579" s="59"/>
      <c r="CB579" s="59"/>
      <c r="CC579" s="59"/>
      <c r="CD579" s="59"/>
      <c r="CE579" s="59"/>
      <c r="CF579" s="59"/>
      <c r="CG579" s="59"/>
      <c r="CH579" s="59"/>
      <c r="CI579" s="59"/>
      <c r="CJ579" s="59"/>
      <c r="CK579" s="59"/>
      <c r="CL579" s="59"/>
      <c r="CM579" s="59"/>
      <c r="CN579" s="59"/>
      <c r="CO579" s="59"/>
      <c r="CP579" s="59"/>
      <c r="CQ579" s="59"/>
      <c r="CR579" s="59"/>
      <c r="CS579" s="59"/>
      <c r="CT579" s="59"/>
      <c r="CU579" s="59"/>
      <c r="CV579" s="59"/>
      <c r="CW579" s="59"/>
      <c r="CX579" s="59"/>
      <c r="CY579" s="59"/>
      <c r="CZ579" s="59"/>
      <c r="DA579" s="59"/>
      <c r="DB579" s="59"/>
      <c r="DC579" s="59"/>
      <c r="DD579" s="59"/>
      <c r="DE579" s="59"/>
      <c r="DF579" s="59"/>
      <c r="DG579" s="59"/>
    </row>
    <row r="580" spans="1:111" ht="11.2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  <c r="AI580" s="59"/>
      <c r="AJ580" s="59"/>
      <c r="AK580" s="59"/>
      <c r="AL580" s="59"/>
      <c r="AM580" s="59"/>
      <c r="AN580" s="59"/>
      <c r="AO580" s="59"/>
      <c r="AP580" s="59"/>
      <c r="AQ580" s="59"/>
      <c r="AR580" s="59"/>
      <c r="AS580" s="59"/>
      <c r="AT580" s="59"/>
      <c r="AU580" s="59"/>
      <c r="AV580" s="59"/>
      <c r="AW580" s="59"/>
      <c r="AX580" s="59"/>
      <c r="AY580" s="59"/>
      <c r="AZ580" s="59"/>
      <c r="BA580" s="59"/>
      <c r="BB580" s="59"/>
      <c r="BC580" s="59"/>
      <c r="BD580" s="59"/>
      <c r="BE580" s="59"/>
      <c r="BF580" s="59"/>
      <c r="BG580" s="59"/>
      <c r="BH580" s="59"/>
      <c r="BI580" s="59"/>
      <c r="BJ580" s="59"/>
      <c r="BK580" s="59"/>
      <c r="BL580" s="59"/>
      <c r="BM580" s="59"/>
      <c r="BN580" s="59"/>
      <c r="BO580" s="59"/>
      <c r="BP580" s="59"/>
      <c r="BQ580" s="59"/>
      <c r="BR580" s="59"/>
      <c r="BS580" s="59"/>
      <c r="BT580" s="59"/>
      <c r="BU580" s="59"/>
      <c r="BV580" s="59"/>
      <c r="BW580" s="59"/>
      <c r="BX580" s="59"/>
      <c r="BY580" s="59"/>
      <c r="BZ580" s="59"/>
      <c r="CA580" s="59"/>
      <c r="CB580" s="59"/>
      <c r="CC580" s="59"/>
      <c r="CD580" s="59"/>
      <c r="CE580" s="59"/>
      <c r="CF580" s="59"/>
      <c r="CG580" s="59"/>
      <c r="CH580" s="59"/>
      <c r="CI580" s="59"/>
      <c r="CJ580" s="59"/>
      <c r="CK580" s="59"/>
      <c r="CL580" s="59"/>
      <c r="CM580" s="59"/>
      <c r="CN580" s="59"/>
      <c r="CO580" s="59"/>
      <c r="CP580" s="59"/>
      <c r="CQ580" s="59"/>
      <c r="CR580" s="59"/>
      <c r="CS580" s="59"/>
      <c r="CT580" s="59"/>
      <c r="CU580" s="59"/>
      <c r="CV580" s="59"/>
      <c r="CW580" s="59"/>
      <c r="CX580" s="59"/>
      <c r="CY580" s="59"/>
      <c r="CZ580" s="59"/>
      <c r="DA580" s="59"/>
      <c r="DB580" s="59"/>
      <c r="DC580" s="59"/>
      <c r="DD580" s="59"/>
      <c r="DE580" s="59"/>
      <c r="DF580" s="59"/>
      <c r="DG580" s="59"/>
    </row>
    <row r="581" spans="1:111" ht="11.2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  <c r="AI581" s="59"/>
      <c r="AJ581" s="59"/>
      <c r="AK581" s="59"/>
      <c r="AL581" s="59"/>
      <c r="AM581" s="59"/>
      <c r="AN581" s="59"/>
      <c r="AO581" s="59"/>
      <c r="AP581" s="59"/>
      <c r="AQ581" s="59"/>
      <c r="AR581" s="59"/>
      <c r="AS581" s="59"/>
      <c r="AT581" s="59"/>
      <c r="AU581" s="59"/>
      <c r="AV581" s="59"/>
      <c r="AW581" s="59"/>
      <c r="AX581" s="59"/>
      <c r="AY581" s="59"/>
      <c r="AZ581" s="59"/>
      <c r="BA581" s="59"/>
      <c r="BB581" s="59"/>
      <c r="BC581" s="59"/>
      <c r="BD581" s="59"/>
      <c r="BE581" s="59"/>
      <c r="BF581" s="59"/>
      <c r="BG581" s="59"/>
      <c r="BH581" s="59"/>
      <c r="BI581" s="59"/>
      <c r="BJ581" s="59"/>
      <c r="BK581" s="59"/>
      <c r="BL581" s="59"/>
      <c r="BM581" s="59"/>
      <c r="BN581" s="59"/>
      <c r="BO581" s="59"/>
      <c r="BP581" s="59"/>
      <c r="BQ581" s="59"/>
      <c r="BR581" s="59"/>
      <c r="BS581" s="59"/>
      <c r="BT581" s="59"/>
      <c r="BU581" s="59"/>
      <c r="BV581" s="59"/>
      <c r="BW581" s="59"/>
      <c r="BX581" s="59"/>
      <c r="BY581" s="59"/>
      <c r="BZ581" s="59"/>
      <c r="CA581" s="59"/>
      <c r="CB581" s="59"/>
      <c r="CC581" s="59"/>
      <c r="CD581" s="59"/>
      <c r="CE581" s="59"/>
      <c r="CF581" s="59"/>
      <c r="CG581" s="59"/>
      <c r="CH581" s="59"/>
      <c r="CI581" s="59"/>
      <c r="CJ581" s="59"/>
      <c r="CK581" s="59"/>
      <c r="CL581" s="59"/>
      <c r="CM581" s="59"/>
      <c r="CN581" s="59"/>
      <c r="CO581" s="59"/>
      <c r="CP581" s="59"/>
      <c r="CQ581" s="59"/>
      <c r="CR581" s="59"/>
      <c r="CS581" s="59"/>
      <c r="CT581" s="59"/>
      <c r="CU581" s="59"/>
      <c r="CV581" s="59"/>
      <c r="CW581" s="59"/>
      <c r="CX581" s="59"/>
      <c r="CY581" s="59"/>
      <c r="CZ581" s="59"/>
      <c r="DA581" s="59"/>
      <c r="DB581" s="59"/>
      <c r="DC581" s="59"/>
      <c r="DD581" s="59"/>
      <c r="DE581" s="59"/>
      <c r="DF581" s="59"/>
      <c r="DG581" s="59"/>
    </row>
    <row r="582" spans="1:111" ht="11.2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  <c r="AJ582" s="59"/>
      <c r="AK582" s="59"/>
      <c r="AL582" s="59"/>
      <c r="AM582" s="59"/>
      <c r="AN582" s="59"/>
      <c r="AO582" s="59"/>
      <c r="AP582" s="59"/>
      <c r="AQ582" s="59"/>
      <c r="AR582" s="59"/>
      <c r="AS582" s="59"/>
      <c r="AT582" s="59"/>
      <c r="AU582" s="59"/>
      <c r="AV582" s="59"/>
      <c r="AW582" s="59"/>
      <c r="AX582" s="59"/>
      <c r="AY582" s="59"/>
      <c r="AZ582" s="59"/>
      <c r="BA582" s="59"/>
      <c r="BB582" s="59"/>
      <c r="BC582" s="59"/>
      <c r="BD582" s="59"/>
      <c r="BE582" s="59"/>
      <c r="BF582" s="59"/>
      <c r="BG582" s="59"/>
      <c r="BH582" s="59"/>
      <c r="BI582" s="59"/>
      <c r="BJ582" s="59"/>
      <c r="BK582" s="59"/>
      <c r="BL582" s="59"/>
      <c r="BM582" s="59"/>
      <c r="BN582" s="59"/>
      <c r="BO582" s="59"/>
      <c r="BP582" s="59"/>
      <c r="BQ582" s="59"/>
      <c r="BR582" s="59"/>
      <c r="BS582" s="59"/>
      <c r="BT582" s="59"/>
      <c r="BU582" s="59"/>
      <c r="BV582" s="59"/>
      <c r="BW582" s="59"/>
      <c r="BX582" s="59"/>
      <c r="BY582" s="59"/>
      <c r="BZ582" s="59"/>
      <c r="CA582" s="59"/>
      <c r="CB582" s="59"/>
      <c r="CC582" s="59"/>
      <c r="CD582" s="59"/>
      <c r="CE582" s="59"/>
      <c r="CF582" s="59"/>
      <c r="CG582" s="59"/>
      <c r="CH582" s="59"/>
      <c r="CI582" s="59"/>
      <c r="CJ582" s="59"/>
      <c r="CK582" s="59"/>
      <c r="CL582" s="59"/>
      <c r="CM582" s="59"/>
      <c r="CN582" s="59"/>
      <c r="CO582" s="59"/>
      <c r="CP582" s="59"/>
      <c r="CQ582" s="59"/>
      <c r="CR582" s="59"/>
      <c r="CS582" s="59"/>
      <c r="CT582" s="59"/>
      <c r="CU582" s="59"/>
      <c r="CV582" s="59"/>
      <c r="CW582" s="59"/>
      <c r="CX582" s="59"/>
      <c r="CY582" s="59"/>
      <c r="CZ582" s="59"/>
      <c r="DA582" s="59"/>
      <c r="DB582" s="59"/>
      <c r="DC582" s="59"/>
      <c r="DD582" s="59"/>
      <c r="DE582" s="59"/>
      <c r="DF582" s="59"/>
      <c r="DG582" s="59"/>
    </row>
    <row r="583" spans="1:111" ht="11.2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  <c r="AJ583" s="59"/>
      <c r="AK583" s="59"/>
      <c r="AL583" s="59"/>
      <c r="AM583" s="59"/>
      <c r="AN583" s="59"/>
      <c r="AO583" s="59"/>
      <c r="AP583" s="59"/>
      <c r="AQ583" s="59"/>
      <c r="AR583" s="59"/>
      <c r="AS583" s="59"/>
      <c r="AT583" s="59"/>
      <c r="AU583" s="59"/>
      <c r="AV583" s="59"/>
      <c r="AW583" s="59"/>
      <c r="AX583" s="59"/>
      <c r="AY583" s="59"/>
      <c r="AZ583" s="59"/>
      <c r="BA583" s="59"/>
      <c r="BB583" s="59"/>
      <c r="BC583" s="59"/>
      <c r="BD583" s="59"/>
      <c r="BE583" s="59"/>
      <c r="BF583" s="59"/>
      <c r="BG583" s="59"/>
      <c r="BH583" s="59"/>
      <c r="BI583" s="59"/>
      <c r="BJ583" s="59"/>
      <c r="BK583" s="59"/>
      <c r="BL583" s="59"/>
      <c r="BM583" s="59"/>
      <c r="BN583" s="59"/>
      <c r="BO583" s="59"/>
      <c r="BP583" s="59"/>
      <c r="BQ583" s="59"/>
      <c r="BR583" s="59"/>
      <c r="BS583" s="59"/>
      <c r="BT583" s="59"/>
      <c r="BU583" s="59"/>
      <c r="BV583" s="59"/>
      <c r="BW583" s="59"/>
      <c r="BX583" s="59"/>
      <c r="BY583" s="59"/>
      <c r="BZ583" s="59"/>
      <c r="CA583" s="59"/>
      <c r="CB583" s="59"/>
      <c r="CC583" s="59"/>
      <c r="CD583" s="59"/>
      <c r="CE583" s="59"/>
      <c r="CF583" s="59"/>
      <c r="CG583" s="59"/>
      <c r="CH583" s="59"/>
      <c r="CI583" s="59"/>
      <c r="CJ583" s="59"/>
      <c r="CK583" s="59"/>
      <c r="CL583" s="59"/>
      <c r="CM583" s="59"/>
      <c r="CN583" s="59"/>
      <c r="CO583" s="59"/>
      <c r="CP583" s="59"/>
      <c r="CQ583" s="59"/>
      <c r="CR583" s="59"/>
      <c r="CS583" s="59"/>
      <c r="CT583" s="59"/>
      <c r="CU583" s="59"/>
      <c r="CV583" s="59"/>
      <c r="CW583" s="59"/>
      <c r="CX583" s="59"/>
      <c r="CY583" s="59"/>
      <c r="CZ583" s="59"/>
      <c r="DA583" s="59"/>
      <c r="DB583" s="59"/>
      <c r="DC583" s="59"/>
      <c r="DD583" s="59"/>
      <c r="DE583" s="59"/>
      <c r="DF583" s="59"/>
      <c r="DG583" s="59"/>
    </row>
    <row r="584" spans="1:111" ht="11.2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  <c r="AM584" s="59"/>
      <c r="AN584" s="59"/>
      <c r="AO584" s="59"/>
      <c r="AP584" s="59"/>
      <c r="AQ584" s="59"/>
      <c r="AR584" s="59"/>
      <c r="AS584" s="59"/>
      <c r="AT584" s="59"/>
      <c r="AU584" s="59"/>
      <c r="AV584" s="59"/>
      <c r="AW584" s="59"/>
      <c r="AX584" s="59"/>
      <c r="AY584" s="59"/>
      <c r="AZ584" s="59"/>
      <c r="BA584" s="59"/>
      <c r="BB584" s="59"/>
      <c r="BC584" s="59"/>
      <c r="BD584" s="59"/>
      <c r="BE584" s="59"/>
      <c r="BF584" s="59"/>
      <c r="BG584" s="59"/>
      <c r="BH584" s="59"/>
      <c r="BI584" s="59"/>
      <c r="BJ584" s="59"/>
      <c r="BK584" s="59"/>
      <c r="BL584" s="59"/>
      <c r="BM584" s="59"/>
      <c r="BN584" s="59"/>
      <c r="BO584" s="59"/>
      <c r="BP584" s="59"/>
      <c r="BQ584" s="59"/>
      <c r="BR584" s="59"/>
      <c r="BS584" s="59"/>
      <c r="BT584" s="59"/>
      <c r="BU584" s="59"/>
      <c r="BV584" s="59"/>
      <c r="BW584" s="59"/>
      <c r="BX584" s="59"/>
      <c r="BY584" s="59"/>
      <c r="BZ584" s="59"/>
      <c r="CA584" s="59"/>
      <c r="CB584" s="59"/>
      <c r="CC584" s="59"/>
      <c r="CD584" s="59"/>
      <c r="CE584" s="59"/>
      <c r="CF584" s="59"/>
      <c r="CG584" s="59"/>
      <c r="CH584" s="59"/>
      <c r="CI584" s="59"/>
      <c r="CJ584" s="59"/>
      <c r="CK584" s="59"/>
      <c r="CL584" s="59"/>
      <c r="CM584" s="59"/>
      <c r="CN584" s="59"/>
      <c r="CO584" s="59"/>
      <c r="CP584" s="59"/>
      <c r="CQ584" s="59"/>
      <c r="CR584" s="59"/>
      <c r="CS584" s="59"/>
      <c r="CT584" s="59"/>
      <c r="CU584" s="59"/>
      <c r="CV584" s="59"/>
      <c r="CW584" s="59"/>
      <c r="CX584" s="59"/>
      <c r="CY584" s="59"/>
      <c r="CZ584" s="59"/>
      <c r="DA584" s="59"/>
      <c r="DB584" s="59"/>
      <c r="DC584" s="59"/>
      <c r="DD584" s="59"/>
      <c r="DE584" s="59"/>
      <c r="DF584" s="59"/>
      <c r="DG584" s="59"/>
    </row>
    <row r="585" spans="1:111" ht="11.2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  <c r="AJ585" s="59"/>
      <c r="AK585" s="59"/>
      <c r="AL585" s="59"/>
      <c r="AM585" s="59"/>
      <c r="AN585" s="59"/>
      <c r="AO585" s="59"/>
      <c r="AP585" s="59"/>
      <c r="AQ585" s="59"/>
      <c r="AR585" s="59"/>
      <c r="AS585" s="59"/>
      <c r="AT585" s="59"/>
      <c r="AU585" s="59"/>
      <c r="AV585" s="59"/>
      <c r="AW585" s="59"/>
      <c r="AX585" s="59"/>
      <c r="AY585" s="59"/>
      <c r="AZ585" s="59"/>
      <c r="BA585" s="59"/>
      <c r="BB585" s="59"/>
      <c r="BC585" s="59"/>
      <c r="BD585" s="59"/>
      <c r="BE585" s="59"/>
      <c r="BF585" s="59"/>
      <c r="BG585" s="59"/>
      <c r="BH585" s="59"/>
      <c r="BI585" s="59"/>
      <c r="BJ585" s="59"/>
      <c r="BK585" s="59"/>
      <c r="BL585" s="59"/>
      <c r="BM585" s="59"/>
      <c r="BN585" s="59"/>
      <c r="BO585" s="59"/>
      <c r="BP585" s="59"/>
      <c r="BQ585" s="59"/>
      <c r="BR585" s="59"/>
      <c r="BS585" s="59"/>
      <c r="BT585" s="59"/>
      <c r="BU585" s="59"/>
      <c r="BV585" s="59"/>
      <c r="BW585" s="59"/>
      <c r="BX585" s="59"/>
      <c r="BY585" s="59"/>
      <c r="BZ585" s="59"/>
      <c r="CA585" s="59"/>
      <c r="CB585" s="59"/>
      <c r="CC585" s="59"/>
      <c r="CD585" s="59"/>
      <c r="CE585" s="59"/>
      <c r="CF585" s="59"/>
      <c r="CG585" s="59"/>
      <c r="CH585" s="59"/>
      <c r="CI585" s="59"/>
      <c r="CJ585" s="59"/>
      <c r="CK585" s="59"/>
      <c r="CL585" s="59"/>
      <c r="CM585" s="59"/>
      <c r="CN585" s="59"/>
      <c r="CO585" s="59"/>
      <c r="CP585" s="59"/>
      <c r="CQ585" s="59"/>
      <c r="CR585" s="59"/>
      <c r="CS585" s="59"/>
      <c r="CT585" s="59"/>
      <c r="CU585" s="59"/>
      <c r="CV585" s="59"/>
      <c r="CW585" s="59"/>
      <c r="CX585" s="59"/>
      <c r="CY585" s="59"/>
      <c r="CZ585" s="59"/>
      <c r="DA585" s="59"/>
      <c r="DB585" s="59"/>
      <c r="DC585" s="59"/>
      <c r="DD585" s="59"/>
      <c r="DE585" s="59"/>
      <c r="DF585" s="59"/>
      <c r="DG585" s="59"/>
    </row>
    <row r="586" spans="1:111" ht="11.2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  <c r="AJ586" s="59"/>
      <c r="AK586" s="59"/>
      <c r="AL586" s="59"/>
      <c r="AM586" s="59"/>
      <c r="AN586" s="59"/>
      <c r="AO586" s="59"/>
      <c r="AP586" s="59"/>
      <c r="AQ586" s="59"/>
      <c r="AR586" s="59"/>
      <c r="AS586" s="59"/>
      <c r="AT586" s="59"/>
      <c r="AU586" s="59"/>
      <c r="AV586" s="59"/>
      <c r="AW586" s="59"/>
      <c r="AX586" s="59"/>
      <c r="AY586" s="59"/>
      <c r="AZ586" s="59"/>
      <c r="BA586" s="59"/>
      <c r="BB586" s="59"/>
      <c r="BC586" s="59"/>
      <c r="BD586" s="59"/>
      <c r="BE586" s="59"/>
      <c r="BF586" s="59"/>
      <c r="BG586" s="59"/>
      <c r="BH586" s="59"/>
      <c r="BI586" s="59"/>
      <c r="BJ586" s="59"/>
      <c r="BK586" s="59"/>
      <c r="BL586" s="59"/>
      <c r="BM586" s="59"/>
      <c r="BN586" s="59"/>
      <c r="BO586" s="59"/>
      <c r="BP586" s="59"/>
      <c r="BQ586" s="59"/>
      <c r="BR586" s="59"/>
      <c r="BS586" s="59"/>
      <c r="BT586" s="59"/>
      <c r="BU586" s="59"/>
      <c r="BV586" s="59"/>
      <c r="BW586" s="59"/>
      <c r="BX586" s="59"/>
      <c r="BY586" s="59"/>
      <c r="BZ586" s="59"/>
      <c r="CA586" s="59"/>
      <c r="CB586" s="59"/>
      <c r="CC586" s="59"/>
      <c r="CD586" s="59"/>
      <c r="CE586" s="59"/>
      <c r="CF586" s="59"/>
      <c r="CG586" s="59"/>
      <c r="CH586" s="59"/>
      <c r="CI586" s="59"/>
      <c r="CJ586" s="59"/>
      <c r="CK586" s="59"/>
      <c r="CL586" s="59"/>
      <c r="CM586" s="59"/>
      <c r="CN586" s="59"/>
      <c r="CO586" s="59"/>
      <c r="CP586" s="59"/>
      <c r="CQ586" s="59"/>
      <c r="CR586" s="59"/>
      <c r="CS586" s="59"/>
      <c r="CT586" s="59"/>
      <c r="CU586" s="59"/>
      <c r="CV586" s="59"/>
      <c r="CW586" s="59"/>
      <c r="CX586" s="59"/>
      <c r="CY586" s="59"/>
      <c r="CZ586" s="59"/>
      <c r="DA586" s="59"/>
      <c r="DB586" s="59"/>
      <c r="DC586" s="59"/>
      <c r="DD586" s="59"/>
      <c r="DE586" s="59"/>
      <c r="DF586" s="59"/>
      <c r="DG586" s="59"/>
    </row>
    <row r="587" spans="1:111" ht="11.2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  <c r="BC587" s="59"/>
      <c r="BD587" s="59"/>
      <c r="BE587" s="59"/>
      <c r="BF587" s="59"/>
      <c r="BG587" s="59"/>
      <c r="BH587" s="59"/>
      <c r="BI587" s="59"/>
      <c r="BJ587" s="59"/>
      <c r="BK587" s="59"/>
      <c r="BL587" s="59"/>
      <c r="BM587" s="59"/>
      <c r="BN587" s="59"/>
      <c r="BO587" s="59"/>
      <c r="BP587" s="59"/>
      <c r="BQ587" s="59"/>
      <c r="BR587" s="59"/>
      <c r="BS587" s="59"/>
      <c r="BT587" s="59"/>
      <c r="BU587" s="59"/>
      <c r="BV587" s="59"/>
      <c r="BW587" s="59"/>
      <c r="BX587" s="59"/>
      <c r="BY587" s="59"/>
      <c r="BZ587" s="59"/>
      <c r="CA587" s="59"/>
      <c r="CB587" s="59"/>
      <c r="CC587" s="59"/>
      <c r="CD587" s="59"/>
      <c r="CE587" s="59"/>
      <c r="CF587" s="59"/>
      <c r="CG587" s="59"/>
      <c r="CH587" s="59"/>
      <c r="CI587" s="59"/>
      <c r="CJ587" s="59"/>
      <c r="CK587" s="59"/>
      <c r="CL587" s="59"/>
      <c r="CM587" s="59"/>
      <c r="CN587" s="59"/>
      <c r="CO587" s="59"/>
      <c r="CP587" s="59"/>
      <c r="CQ587" s="59"/>
      <c r="CR587" s="59"/>
      <c r="CS587" s="59"/>
      <c r="CT587" s="59"/>
      <c r="CU587" s="59"/>
      <c r="CV587" s="59"/>
      <c r="CW587" s="59"/>
      <c r="CX587" s="59"/>
      <c r="CY587" s="59"/>
      <c r="CZ587" s="59"/>
      <c r="DA587" s="59"/>
      <c r="DB587" s="59"/>
      <c r="DC587" s="59"/>
      <c r="DD587" s="59"/>
      <c r="DE587" s="59"/>
      <c r="DF587" s="59"/>
      <c r="DG587" s="59"/>
    </row>
    <row r="588" spans="1:111" ht="11.2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9"/>
      <c r="AQ588" s="59"/>
      <c r="AR588" s="59"/>
      <c r="AS588" s="59"/>
      <c r="AT588" s="59"/>
      <c r="AU588" s="59"/>
      <c r="AV588" s="59"/>
      <c r="AW588" s="59"/>
      <c r="AX588" s="59"/>
      <c r="AY588" s="59"/>
      <c r="AZ588" s="59"/>
      <c r="BA588" s="59"/>
      <c r="BB588" s="59"/>
      <c r="BC588" s="59"/>
      <c r="BD588" s="59"/>
      <c r="BE588" s="59"/>
      <c r="BF588" s="59"/>
      <c r="BG588" s="59"/>
      <c r="BH588" s="59"/>
      <c r="BI588" s="59"/>
      <c r="BJ588" s="59"/>
      <c r="BK588" s="59"/>
      <c r="BL588" s="59"/>
      <c r="BM588" s="59"/>
      <c r="BN588" s="59"/>
      <c r="BO588" s="59"/>
      <c r="BP588" s="59"/>
      <c r="BQ588" s="59"/>
      <c r="BR588" s="59"/>
      <c r="BS588" s="59"/>
      <c r="BT588" s="59"/>
      <c r="BU588" s="59"/>
      <c r="BV588" s="59"/>
      <c r="BW588" s="59"/>
      <c r="BX588" s="59"/>
      <c r="BY588" s="59"/>
      <c r="BZ588" s="59"/>
      <c r="CA588" s="59"/>
      <c r="CB588" s="59"/>
      <c r="CC588" s="59"/>
      <c r="CD588" s="59"/>
      <c r="CE588" s="59"/>
      <c r="CF588" s="59"/>
      <c r="CG588" s="59"/>
      <c r="CH588" s="59"/>
      <c r="CI588" s="59"/>
      <c r="CJ588" s="59"/>
      <c r="CK588" s="59"/>
      <c r="CL588" s="59"/>
      <c r="CM588" s="59"/>
      <c r="CN588" s="59"/>
      <c r="CO588" s="59"/>
      <c r="CP588" s="59"/>
      <c r="CQ588" s="59"/>
      <c r="CR588" s="59"/>
      <c r="CS588" s="59"/>
      <c r="CT588" s="59"/>
      <c r="CU588" s="59"/>
      <c r="CV588" s="59"/>
      <c r="CW588" s="59"/>
      <c r="CX588" s="59"/>
      <c r="CY588" s="59"/>
      <c r="CZ588" s="59"/>
      <c r="DA588" s="59"/>
      <c r="DB588" s="59"/>
      <c r="DC588" s="59"/>
      <c r="DD588" s="59"/>
      <c r="DE588" s="59"/>
      <c r="DF588" s="59"/>
      <c r="DG588" s="59"/>
    </row>
    <row r="589" spans="1:111" ht="11.2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  <c r="AJ589" s="59"/>
      <c r="AK589" s="59"/>
      <c r="AL589" s="59"/>
      <c r="AM589" s="59"/>
      <c r="AN589" s="59"/>
      <c r="AO589" s="59"/>
      <c r="AP589" s="59"/>
      <c r="AQ589" s="59"/>
      <c r="AR589" s="59"/>
      <c r="AS589" s="59"/>
      <c r="AT589" s="59"/>
      <c r="AU589" s="59"/>
      <c r="AV589" s="59"/>
      <c r="AW589" s="59"/>
      <c r="AX589" s="59"/>
      <c r="AY589" s="59"/>
      <c r="AZ589" s="59"/>
      <c r="BA589" s="59"/>
      <c r="BB589" s="59"/>
      <c r="BC589" s="59"/>
      <c r="BD589" s="59"/>
      <c r="BE589" s="59"/>
      <c r="BF589" s="59"/>
      <c r="BG589" s="59"/>
      <c r="BH589" s="59"/>
      <c r="BI589" s="59"/>
      <c r="BJ589" s="59"/>
      <c r="BK589" s="59"/>
      <c r="BL589" s="59"/>
      <c r="BM589" s="59"/>
      <c r="BN589" s="59"/>
      <c r="BO589" s="59"/>
      <c r="BP589" s="59"/>
      <c r="BQ589" s="59"/>
      <c r="BR589" s="59"/>
      <c r="BS589" s="59"/>
      <c r="BT589" s="59"/>
      <c r="BU589" s="59"/>
      <c r="BV589" s="59"/>
      <c r="BW589" s="59"/>
      <c r="BX589" s="59"/>
      <c r="BY589" s="59"/>
      <c r="BZ589" s="59"/>
      <c r="CA589" s="59"/>
      <c r="CB589" s="59"/>
      <c r="CC589" s="59"/>
      <c r="CD589" s="59"/>
      <c r="CE589" s="59"/>
      <c r="CF589" s="59"/>
      <c r="CG589" s="59"/>
      <c r="CH589" s="59"/>
      <c r="CI589" s="59"/>
      <c r="CJ589" s="59"/>
      <c r="CK589" s="59"/>
      <c r="CL589" s="59"/>
      <c r="CM589" s="59"/>
      <c r="CN589" s="59"/>
      <c r="CO589" s="59"/>
      <c r="CP589" s="59"/>
      <c r="CQ589" s="59"/>
      <c r="CR589" s="59"/>
      <c r="CS589" s="59"/>
      <c r="CT589" s="59"/>
      <c r="CU589" s="59"/>
      <c r="CV589" s="59"/>
      <c r="CW589" s="59"/>
      <c r="CX589" s="59"/>
      <c r="CY589" s="59"/>
      <c r="CZ589" s="59"/>
      <c r="DA589" s="59"/>
      <c r="DB589" s="59"/>
      <c r="DC589" s="59"/>
      <c r="DD589" s="59"/>
      <c r="DE589" s="59"/>
      <c r="DF589" s="59"/>
      <c r="DG589" s="59"/>
    </row>
    <row r="590" spans="1:111" ht="11.2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  <c r="AJ590" s="59"/>
      <c r="AK590" s="59"/>
      <c r="AL590" s="59"/>
      <c r="AM590" s="59"/>
      <c r="AN590" s="59"/>
      <c r="AO590" s="59"/>
      <c r="AP590" s="59"/>
      <c r="AQ590" s="59"/>
      <c r="AR590" s="59"/>
      <c r="AS590" s="59"/>
      <c r="AT590" s="59"/>
      <c r="AU590" s="59"/>
      <c r="AV590" s="59"/>
      <c r="AW590" s="59"/>
      <c r="AX590" s="59"/>
      <c r="AY590" s="59"/>
      <c r="AZ590" s="59"/>
      <c r="BA590" s="59"/>
      <c r="BB590" s="59"/>
      <c r="BC590" s="59"/>
      <c r="BD590" s="59"/>
      <c r="BE590" s="59"/>
      <c r="BF590" s="59"/>
      <c r="BG590" s="59"/>
      <c r="BH590" s="59"/>
      <c r="BI590" s="59"/>
      <c r="BJ590" s="59"/>
      <c r="BK590" s="59"/>
      <c r="BL590" s="59"/>
      <c r="BM590" s="59"/>
      <c r="BN590" s="59"/>
      <c r="BO590" s="59"/>
      <c r="BP590" s="59"/>
      <c r="BQ590" s="59"/>
      <c r="BR590" s="59"/>
      <c r="BS590" s="59"/>
      <c r="BT590" s="59"/>
      <c r="BU590" s="59"/>
      <c r="BV590" s="59"/>
      <c r="BW590" s="59"/>
      <c r="BX590" s="59"/>
      <c r="BY590" s="59"/>
      <c r="BZ590" s="59"/>
      <c r="CA590" s="59"/>
      <c r="CB590" s="59"/>
      <c r="CC590" s="59"/>
      <c r="CD590" s="59"/>
      <c r="CE590" s="59"/>
      <c r="CF590" s="59"/>
      <c r="CG590" s="59"/>
      <c r="CH590" s="59"/>
      <c r="CI590" s="59"/>
      <c r="CJ590" s="59"/>
      <c r="CK590" s="59"/>
      <c r="CL590" s="59"/>
      <c r="CM590" s="59"/>
      <c r="CN590" s="59"/>
      <c r="CO590" s="59"/>
      <c r="CP590" s="59"/>
      <c r="CQ590" s="59"/>
      <c r="CR590" s="59"/>
      <c r="CS590" s="59"/>
      <c r="CT590" s="59"/>
      <c r="CU590" s="59"/>
      <c r="CV590" s="59"/>
      <c r="CW590" s="59"/>
      <c r="CX590" s="59"/>
      <c r="CY590" s="59"/>
      <c r="CZ590" s="59"/>
      <c r="DA590" s="59"/>
      <c r="DB590" s="59"/>
      <c r="DC590" s="59"/>
      <c r="DD590" s="59"/>
      <c r="DE590" s="59"/>
      <c r="DF590" s="59"/>
      <c r="DG590" s="59"/>
    </row>
    <row r="591" spans="1:111" ht="11.2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9"/>
      <c r="AW591" s="59"/>
      <c r="AX591" s="59"/>
      <c r="AY591" s="59"/>
      <c r="AZ591" s="59"/>
      <c r="BA591" s="59"/>
      <c r="BB591" s="59"/>
      <c r="BC591" s="59"/>
      <c r="BD591" s="59"/>
      <c r="BE591" s="59"/>
      <c r="BF591" s="59"/>
      <c r="BG591" s="59"/>
      <c r="BH591" s="59"/>
      <c r="BI591" s="59"/>
      <c r="BJ591" s="59"/>
      <c r="BK591" s="59"/>
      <c r="BL591" s="59"/>
      <c r="BM591" s="59"/>
      <c r="BN591" s="59"/>
      <c r="BO591" s="59"/>
      <c r="BP591" s="59"/>
      <c r="BQ591" s="59"/>
      <c r="BR591" s="59"/>
      <c r="BS591" s="59"/>
      <c r="BT591" s="59"/>
      <c r="BU591" s="59"/>
      <c r="BV591" s="59"/>
      <c r="BW591" s="59"/>
      <c r="BX591" s="59"/>
      <c r="BY591" s="59"/>
      <c r="BZ591" s="59"/>
      <c r="CA591" s="59"/>
      <c r="CB591" s="59"/>
      <c r="CC591" s="59"/>
      <c r="CD591" s="59"/>
      <c r="CE591" s="59"/>
      <c r="CF591" s="59"/>
      <c r="CG591" s="59"/>
      <c r="CH591" s="59"/>
      <c r="CI591" s="59"/>
      <c r="CJ591" s="59"/>
      <c r="CK591" s="59"/>
      <c r="CL591" s="59"/>
      <c r="CM591" s="59"/>
      <c r="CN591" s="59"/>
      <c r="CO591" s="59"/>
      <c r="CP591" s="59"/>
      <c r="CQ591" s="59"/>
      <c r="CR591" s="59"/>
      <c r="CS591" s="59"/>
      <c r="CT591" s="59"/>
      <c r="CU591" s="59"/>
      <c r="CV591" s="59"/>
      <c r="CW591" s="59"/>
      <c r="CX591" s="59"/>
      <c r="CY591" s="59"/>
      <c r="CZ591" s="59"/>
      <c r="DA591" s="59"/>
      <c r="DB591" s="59"/>
      <c r="DC591" s="59"/>
      <c r="DD591" s="59"/>
      <c r="DE591" s="59"/>
      <c r="DF591" s="59"/>
      <c r="DG591" s="59"/>
    </row>
    <row r="592" spans="1:111" ht="11.2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9"/>
      <c r="AW592" s="59"/>
      <c r="AX592" s="59"/>
      <c r="AY592" s="59"/>
      <c r="AZ592" s="59"/>
      <c r="BA592" s="59"/>
      <c r="BB592" s="59"/>
      <c r="BC592" s="59"/>
      <c r="BD592" s="59"/>
      <c r="BE592" s="59"/>
      <c r="BF592" s="59"/>
      <c r="BG592" s="59"/>
      <c r="BH592" s="59"/>
      <c r="BI592" s="59"/>
      <c r="BJ592" s="59"/>
      <c r="BK592" s="59"/>
      <c r="BL592" s="59"/>
      <c r="BM592" s="59"/>
      <c r="BN592" s="59"/>
      <c r="BO592" s="59"/>
      <c r="BP592" s="59"/>
      <c r="BQ592" s="59"/>
      <c r="BR592" s="59"/>
      <c r="BS592" s="59"/>
      <c r="BT592" s="59"/>
      <c r="BU592" s="59"/>
      <c r="BV592" s="59"/>
      <c r="BW592" s="59"/>
      <c r="BX592" s="59"/>
      <c r="BY592" s="59"/>
      <c r="BZ592" s="59"/>
      <c r="CA592" s="59"/>
      <c r="CB592" s="59"/>
      <c r="CC592" s="59"/>
      <c r="CD592" s="59"/>
      <c r="CE592" s="59"/>
      <c r="CF592" s="59"/>
      <c r="CG592" s="59"/>
      <c r="CH592" s="59"/>
      <c r="CI592" s="59"/>
      <c r="CJ592" s="59"/>
      <c r="CK592" s="59"/>
      <c r="CL592" s="59"/>
      <c r="CM592" s="59"/>
      <c r="CN592" s="59"/>
      <c r="CO592" s="59"/>
      <c r="CP592" s="59"/>
      <c r="CQ592" s="59"/>
      <c r="CR592" s="59"/>
      <c r="CS592" s="59"/>
      <c r="CT592" s="59"/>
      <c r="CU592" s="59"/>
      <c r="CV592" s="59"/>
      <c r="CW592" s="59"/>
      <c r="CX592" s="59"/>
      <c r="CY592" s="59"/>
      <c r="CZ592" s="59"/>
      <c r="DA592" s="59"/>
      <c r="DB592" s="59"/>
      <c r="DC592" s="59"/>
      <c r="DD592" s="59"/>
      <c r="DE592" s="59"/>
      <c r="DF592" s="59"/>
      <c r="DG592" s="59"/>
    </row>
    <row r="593" spans="1:111" ht="11.2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  <c r="AJ593" s="59"/>
      <c r="AK593" s="59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9"/>
      <c r="AW593" s="59"/>
      <c r="AX593" s="59"/>
      <c r="AY593" s="59"/>
      <c r="AZ593" s="59"/>
      <c r="BA593" s="59"/>
      <c r="BB593" s="59"/>
      <c r="BC593" s="59"/>
      <c r="BD593" s="59"/>
      <c r="BE593" s="59"/>
      <c r="BF593" s="59"/>
      <c r="BG593" s="59"/>
      <c r="BH593" s="59"/>
      <c r="BI593" s="59"/>
      <c r="BJ593" s="59"/>
      <c r="BK593" s="59"/>
      <c r="BL593" s="59"/>
      <c r="BM593" s="59"/>
      <c r="BN593" s="59"/>
      <c r="BO593" s="59"/>
      <c r="BP593" s="59"/>
      <c r="BQ593" s="59"/>
      <c r="BR593" s="59"/>
      <c r="BS593" s="59"/>
      <c r="BT593" s="59"/>
      <c r="BU593" s="59"/>
      <c r="BV593" s="59"/>
      <c r="BW593" s="59"/>
      <c r="BX593" s="59"/>
      <c r="BY593" s="59"/>
      <c r="BZ593" s="59"/>
      <c r="CA593" s="59"/>
      <c r="CB593" s="59"/>
      <c r="CC593" s="59"/>
      <c r="CD593" s="59"/>
      <c r="CE593" s="59"/>
      <c r="CF593" s="59"/>
      <c r="CG593" s="59"/>
      <c r="CH593" s="59"/>
      <c r="CI593" s="59"/>
      <c r="CJ593" s="59"/>
      <c r="CK593" s="59"/>
      <c r="CL593" s="59"/>
      <c r="CM593" s="59"/>
      <c r="CN593" s="59"/>
      <c r="CO593" s="59"/>
      <c r="CP593" s="59"/>
      <c r="CQ593" s="59"/>
      <c r="CR593" s="59"/>
      <c r="CS593" s="59"/>
      <c r="CT593" s="59"/>
      <c r="CU593" s="59"/>
      <c r="CV593" s="59"/>
      <c r="CW593" s="59"/>
      <c r="CX593" s="59"/>
      <c r="CY593" s="59"/>
      <c r="CZ593" s="59"/>
      <c r="DA593" s="59"/>
      <c r="DB593" s="59"/>
      <c r="DC593" s="59"/>
      <c r="DD593" s="59"/>
      <c r="DE593" s="59"/>
      <c r="DF593" s="59"/>
      <c r="DG593" s="59"/>
    </row>
    <row r="594" spans="1:111" ht="11.2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  <c r="AJ594" s="59"/>
      <c r="AK594" s="59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9"/>
      <c r="AW594" s="59"/>
      <c r="AX594" s="59"/>
      <c r="AY594" s="59"/>
      <c r="AZ594" s="59"/>
      <c r="BA594" s="59"/>
      <c r="BB594" s="59"/>
      <c r="BC594" s="59"/>
      <c r="BD594" s="59"/>
      <c r="BE594" s="59"/>
      <c r="BF594" s="59"/>
      <c r="BG594" s="59"/>
      <c r="BH594" s="59"/>
      <c r="BI594" s="59"/>
      <c r="BJ594" s="59"/>
      <c r="BK594" s="59"/>
      <c r="BL594" s="59"/>
      <c r="BM594" s="59"/>
      <c r="BN594" s="59"/>
      <c r="BO594" s="59"/>
      <c r="BP594" s="59"/>
      <c r="BQ594" s="59"/>
      <c r="BR594" s="59"/>
      <c r="BS594" s="59"/>
      <c r="BT594" s="59"/>
      <c r="BU594" s="59"/>
      <c r="BV594" s="59"/>
      <c r="BW594" s="59"/>
      <c r="BX594" s="59"/>
      <c r="BY594" s="59"/>
      <c r="BZ594" s="59"/>
      <c r="CA594" s="59"/>
      <c r="CB594" s="59"/>
      <c r="CC594" s="59"/>
      <c r="CD594" s="59"/>
      <c r="CE594" s="59"/>
      <c r="CF594" s="59"/>
      <c r="CG594" s="59"/>
      <c r="CH594" s="59"/>
      <c r="CI594" s="59"/>
      <c r="CJ594" s="59"/>
      <c r="CK594" s="59"/>
      <c r="CL594" s="59"/>
      <c r="CM594" s="59"/>
      <c r="CN594" s="59"/>
      <c r="CO594" s="59"/>
      <c r="CP594" s="59"/>
      <c r="CQ594" s="59"/>
      <c r="CR594" s="59"/>
      <c r="CS594" s="59"/>
      <c r="CT594" s="59"/>
      <c r="CU594" s="59"/>
      <c r="CV594" s="59"/>
      <c r="CW594" s="59"/>
      <c r="CX594" s="59"/>
      <c r="CY594" s="59"/>
      <c r="CZ594" s="59"/>
      <c r="DA594" s="59"/>
      <c r="DB594" s="59"/>
      <c r="DC594" s="59"/>
      <c r="DD594" s="59"/>
      <c r="DE594" s="59"/>
      <c r="DF594" s="59"/>
      <c r="DG594" s="59"/>
    </row>
    <row r="595" spans="1:111" ht="11.2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  <c r="AI595" s="59"/>
      <c r="AJ595" s="59"/>
      <c r="AK595" s="59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9"/>
      <c r="AW595" s="59"/>
      <c r="AX595" s="59"/>
      <c r="AY595" s="59"/>
      <c r="AZ595" s="59"/>
      <c r="BA595" s="59"/>
      <c r="BB595" s="59"/>
      <c r="BC595" s="59"/>
      <c r="BD595" s="59"/>
      <c r="BE595" s="59"/>
      <c r="BF595" s="59"/>
      <c r="BG595" s="59"/>
      <c r="BH595" s="59"/>
      <c r="BI595" s="59"/>
      <c r="BJ595" s="59"/>
      <c r="BK595" s="59"/>
      <c r="BL595" s="59"/>
      <c r="BM595" s="59"/>
      <c r="BN595" s="59"/>
      <c r="BO595" s="59"/>
      <c r="BP595" s="59"/>
      <c r="BQ595" s="59"/>
      <c r="BR595" s="59"/>
      <c r="BS595" s="59"/>
      <c r="BT595" s="59"/>
      <c r="BU595" s="59"/>
      <c r="BV595" s="59"/>
      <c r="BW595" s="59"/>
      <c r="BX595" s="59"/>
      <c r="BY595" s="59"/>
      <c r="BZ595" s="59"/>
      <c r="CA595" s="59"/>
      <c r="CB595" s="59"/>
      <c r="CC595" s="59"/>
      <c r="CD595" s="59"/>
      <c r="CE595" s="59"/>
      <c r="CF595" s="59"/>
      <c r="CG595" s="59"/>
      <c r="CH595" s="59"/>
      <c r="CI595" s="59"/>
      <c r="CJ595" s="59"/>
      <c r="CK595" s="59"/>
      <c r="CL595" s="59"/>
      <c r="CM595" s="59"/>
      <c r="CN595" s="59"/>
      <c r="CO595" s="59"/>
      <c r="CP595" s="59"/>
      <c r="CQ595" s="59"/>
      <c r="CR595" s="59"/>
      <c r="CS595" s="59"/>
      <c r="CT595" s="59"/>
      <c r="CU595" s="59"/>
      <c r="CV595" s="59"/>
      <c r="CW595" s="59"/>
      <c r="CX595" s="59"/>
      <c r="CY595" s="59"/>
      <c r="CZ595" s="59"/>
      <c r="DA595" s="59"/>
      <c r="DB595" s="59"/>
      <c r="DC595" s="59"/>
      <c r="DD595" s="59"/>
      <c r="DE595" s="59"/>
      <c r="DF595" s="59"/>
      <c r="DG595" s="59"/>
    </row>
    <row r="596" spans="1:111" ht="11.2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  <c r="AJ596" s="59"/>
      <c r="AK596" s="59"/>
      <c r="AL596" s="59"/>
      <c r="AM596" s="59"/>
      <c r="AN596" s="59"/>
      <c r="AO596" s="59"/>
      <c r="AP596" s="59"/>
      <c r="AQ596" s="59"/>
      <c r="AR596" s="59"/>
      <c r="AS596" s="59"/>
      <c r="AT596" s="59"/>
      <c r="AU596" s="59"/>
      <c r="AV596" s="59"/>
      <c r="AW596" s="59"/>
      <c r="AX596" s="59"/>
      <c r="AY596" s="59"/>
      <c r="AZ596" s="59"/>
      <c r="BA596" s="59"/>
      <c r="BB596" s="59"/>
      <c r="BC596" s="59"/>
      <c r="BD596" s="59"/>
      <c r="BE596" s="59"/>
      <c r="BF596" s="59"/>
      <c r="BG596" s="59"/>
      <c r="BH596" s="59"/>
      <c r="BI596" s="59"/>
      <c r="BJ596" s="59"/>
      <c r="BK596" s="59"/>
      <c r="BL596" s="59"/>
      <c r="BM596" s="59"/>
      <c r="BN596" s="59"/>
      <c r="BO596" s="59"/>
      <c r="BP596" s="59"/>
      <c r="BQ596" s="59"/>
      <c r="BR596" s="59"/>
      <c r="BS596" s="59"/>
      <c r="BT596" s="59"/>
      <c r="BU596" s="59"/>
      <c r="BV596" s="59"/>
      <c r="BW596" s="59"/>
      <c r="BX596" s="59"/>
      <c r="BY596" s="59"/>
      <c r="BZ596" s="59"/>
      <c r="CA596" s="59"/>
      <c r="CB596" s="59"/>
      <c r="CC596" s="59"/>
      <c r="CD596" s="59"/>
      <c r="CE596" s="59"/>
      <c r="CF596" s="59"/>
      <c r="CG596" s="59"/>
      <c r="CH596" s="59"/>
      <c r="CI596" s="59"/>
      <c r="CJ596" s="59"/>
      <c r="CK596" s="59"/>
      <c r="CL596" s="59"/>
      <c r="CM596" s="59"/>
      <c r="CN596" s="59"/>
      <c r="CO596" s="59"/>
      <c r="CP596" s="59"/>
      <c r="CQ596" s="59"/>
      <c r="CR596" s="59"/>
      <c r="CS596" s="59"/>
      <c r="CT596" s="59"/>
      <c r="CU596" s="59"/>
      <c r="CV596" s="59"/>
      <c r="CW596" s="59"/>
      <c r="CX596" s="59"/>
      <c r="CY596" s="59"/>
      <c r="CZ596" s="59"/>
      <c r="DA596" s="59"/>
      <c r="DB596" s="59"/>
      <c r="DC596" s="59"/>
      <c r="DD596" s="59"/>
      <c r="DE596" s="59"/>
      <c r="DF596" s="59"/>
      <c r="DG596" s="59"/>
    </row>
    <row r="597" spans="1:111" ht="11.2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  <c r="AJ597" s="59"/>
      <c r="AK597" s="59"/>
      <c r="AL597" s="59"/>
      <c r="AM597" s="59"/>
      <c r="AN597" s="59"/>
      <c r="AO597" s="59"/>
      <c r="AP597" s="59"/>
      <c r="AQ597" s="59"/>
      <c r="AR597" s="59"/>
      <c r="AS597" s="59"/>
      <c r="AT597" s="59"/>
      <c r="AU597" s="59"/>
      <c r="AV597" s="59"/>
      <c r="AW597" s="59"/>
      <c r="AX597" s="59"/>
      <c r="AY597" s="59"/>
      <c r="AZ597" s="59"/>
      <c r="BA597" s="59"/>
      <c r="BB597" s="59"/>
      <c r="BC597" s="59"/>
      <c r="BD597" s="59"/>
      <c r="BE597" s="59"/>
      <c r="BF597" s="59"/>
      <c r="BG597" s="59"/>
      <c r="BH597" s="59"/>
      <c r="BI597" s="59"/>
      <c r="BJ597" s="59"/>
      <c r="BK597" s="59"/>
      <c r="BL597" s="59"/>
      <c r="BM597" s="59"/>
      <c r="BN597" s="59"/>
      <c r="BO597" s="59"/>
      <c r="BP597" s="59"/>
      <c r="BQ597" s="59"/>
      <c r="BR597" s="59"/>
      <c r="BS597" s="59"/>
      <c r="BT597" s="59"/>
      <c r="BU597" s="59"/>
      <c r="BV597" s="59"/>
      <c r="BW597" s="59"/>
      <c r="BX597" s="59"/>
      <c r="BY597" s="59"/>
      <c r="BZ597" s="59"/>
      <c r="CA597" s="59"/>
      <c r="CB597" s="59"/>
      <c r="CC597" s="59"/>
      <c r="CD597" s="59"/>
      <c r="CE597" s="59"/>
      <c r="CF597" s="59"/>
      <c r="CG597" s="59"/>
      <c r="CH597" s="59"/>
      <c r="CI597" s="59"/>
      <c r="CJ597" s="59"/>
      <c r="CK597" s="59"/>
      <c r="CL597" s="59"/>
      <c r="CM597" s="59"/>
      <c r="CN597" s="59"/>
      <c r="CO597" s="59"/>
      <c r="CP597" s="59"/>
      <c r="CQ597" s="59"/>
      <c r="CR597" s="59"/>
      <c r="CS597" s="59"/>
      <c r="CT597" s="59"/>
      <c r="CU597" s="59"/>
      <c r="CV597" s="59"/>
      <c r="CW597" s="59"/>
      <c r="CX597" s="59"/>
      <c r="CY597" s="59"/>
      <c r="CZ597" s="59"/>
      <c r="DA597" s="59"/>
      <c r="DB597" s="59"/>
      <c r="DC597" s="59"/>
      <c r="DD597" s="59"/>
      <c r="DE597" s="59"/>
      <c r="DF597" s="59"/>
      <c r="DG597" s="59"/>
    </row>
    <row r="598" spans="1:111" ht="11.2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  <c r="AJ598" s="59"/>
      <c r="AK598" s="59"/>
      <c r="AL598" s="59"/>
      <c r="AM598" s="59"/>
      <c r="AN598" s="59"/>
      <c r="AO598" s="59"/>
      <c r="AP598" s="59"/>
      <c r="AQ598" s="59"/>
      <c r="AR598" s="59"/>
      <c r="AS598" s="59"/>
      <c r="AT598" s="59"/>
      <c r="AU598" s="59"/>
      <c r="AV598" s="59"/>
      <c r="AW598" s="59"/>
      <c r="AX598" s="59"/>
      <c r="AY598" s="59"/>
      <c r="AZ598" s="59"/>
      <c r="BA598" s="59"/>
      <c r="BB598" s="59"/>
      <c r="BC598" s="59"/>
      <c r="BD598" s="59"/>
      <c r="BE598" s="59"/>
      <c r="BF598" s="59"/>
      <c r="BG598" s="59"/>
      <c r="BH598" s="59"/>
      <c r="BI598" s="59"/>
      <c r="BJ598" s="59"/>
      <c r="BK598" s="59"/>
      <c r="BL598" s="59"/>
      <c r="BM598" s="59"/>
      <c r="BN598" s="59"/>
      <c r="BO598" s="59"/>
      <c r="BP598" s="59"/>
      <c r="BQ598" s="59"/>
      <c r="BR598" s="59"/>
      <c r="BS598" s="59"/>
      <c r="BT598" s="59"/>
      <c r="BU598" s="59"/>
      <c r="BV598" s="59"/>
      <c r="BW598" s="59"/>
      <c r="BX598" s="59"/>
      <c r="BY598" s="59"/>
      <c r="BZ598" s="59"/>
      <c r="CA598" s="59"/>
      <c r="CB598" s="59"/>
      <c r="CC598" s="59"/>
      <c r="CD598" s="59"/>
      <c r="CE598" s="59"/>
      <c r="CF598" s="59"/>
      <c r="CG598" s="59"/>
      <c r="CH598" s="59"/>
      <c r="CI598" s="59"/>
      <c r="CJ598" s="59"/>
      <c r="CK598" s="59"/>
      <c r="CL598" s="59"/>
      <c r="CM598" s="59"/>
      <c r="CN598" s="59"/>
      <c r="CO598" s="59"/>
      <c r="CP598" s="59"/>
      <c r="CQ598" s="59"/>
      <c r="CR598" s="59"/>
      <c r="CS598" s="59"/>
      <c r="CT598" s="59"/>
      <c r="CU598" s="59"/>
      <c r="CV598" s="59"/>
      <c r="CW598" s="59"/>
      <c r="CX598" s="59"/>
      <c r="CY598" s="59"/>
      <c r="CZ598" s="59"/>
      <c r="DA598" s="59"/>
      <c r="DB598" s="59"/>
      <c r="DC598" s="59"/>
      <c r="DD598" s="59"/>
      <c r="DE598" s="59"/>
      <c r="DF598" s="59"/>
      <c r="DG598" s="59"/>
    </row>
    <row r="599" spans="1:111" ht="11.2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59"/>
      <c r="AO599" s="59"/>
      <c r="AP599" s="59"/>
      <c r="AQ599" s="59"/>
      <c r="AR599" s="59"/>
      <c r="AS599" s="59"/>
      <c r="AT599" s="59"/>
      <c r="AU599" s="59"/>
      <c r="AV599" s="59"/>
      <c r="AW599" s="59"/>
      <c r="AX599" s="59"/>
      <c r="AY599" s="59"/>
      <c r="AZ599" s="59"/>
      <c r="BA599" s="59"/>
      <c r="BB599" s="59"/>
      <c r="BC599" s="59"/>
      <c r="BD599" s="59"/>
      <c r="BE599" s="59"/>
      <c r="BF599" s="59"/>
      <c r="BG599" s="59"/>
      <c r="BH599" s="59"/>
      <c r="BI599" s="59"/>
      <c r="BJ599" s="59"/>
      <c r="BK599" s="59"/>
      <c r="BL599" s="59"/>
      <c r="BM599" s="59"/>
      <c r="BN599" s="59"/>
      <c r="BO599" s="59"/>
      <c r="BP599" s="59"/>
      <c r="BQ599" s="59"/>
      <c r="BR599" s="59"/>
      <c r="BS599" s="59"/>
      <c r="BT599" s="59"/>
      <c r="BU599" s="59"/>
      <c r="BV599" s="59"/>
      <c r="BW599" s="59"/>
      <c r="BX599" s="59"/>
      <c r="BY599" s="59"/>
      <c r="BZ599" s="59"/>
      <c r="CA599" s="59"/>
      <c r="CB599" s="59"/>
      <c r="CC599" s="59"/>
      <c r="CD599" s="59"/>
      <c r="CE599" s="59"/>
      <c r="CF599" s="59"/>
      <c r="CG599" s="59"/>
      <c r="CH599" s="59"/>
      <c r="CI599" s="59"/>
      <c r="CJ599" s="59"/>
      <c r="CK599" s="59"/>
      <c r="CL599" s="59"/>
      <c r="CM599" s="59"/>
      <c r="CN599" s="59"/>
      <c r="CO599" s="59"/>
      <c r="CP599" s="59"/>
      <c r="CQ599" s="59"/>
      <c r="CR599" s="59"/>
      <c r="CS599" s="59"/>
      <c r="CT599" s="59"/>
      <c r="CU599" s="59"/>
      <c r="CV599" s="59"/>
      <c r="CW599" s="59"/>
      <c r="CX599" s="59"/>
      <c r="CY599" s="59"/>
      <c r="CZ599" s="59"/>
      <c r="DA599" s="59"/>
      <c r="DB599" s="59"/>
      <c r="DC599" s="59"/>
      <c r="DD599" s="59"/>
      <c r="DE599" s="59"/>
      <c r="DF599" s="59"/>
      <c r="DG599" s="59"/>
    </row>
    <row r="600" spans="1:111" ht="11.2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59"/>
      <c r="AM600" s="59"/>
      <c r="AN600" s="59"/>
      <c r="AO600" s="59"/>
      <c r="AP600" s="59"/>
      <c r="AQ600" s="59"/>
      <c r="AR600" s="59"/>
      <c r="AS600" s="59"/>
      <c r="AT600" s="59"/>
      <c r="AU600" s="59"/>
      <c r="AV600" s="59"/>
      <c r="AW600" s="59"/>
      <c r="AX600" s="59"/>
      <c r="AY600" s="59"/>
      <c r="AZ600" s="59"/>
      <c r="BA600" s="59"/>
      <c r="BB600" s="59"/>
      <c r="BC600" s="59"/>
      <c r="BD600" s="59"/>
      <c r="BE600" s="59"/>
      <c r="BF600" s="59"/>
      <c r="BG600" s="59"/>
      <c r="BH600" s="59"/>
      <c r="BI600" s="59"/>
      <c r="BJ600" s="59"/>
      <c r="BK600" s="59"/>
      <c r="BL600" s="59"/>
      <c r="BM600" s="59"/>
      <c r="BN600" s="59"/>
      <c r="BO600" s="59"/>
      <c r="BP600" s="59"/>
      <c r="BQ600" s="59"/>
      <c r="BR600" s="59"/>
      <c r="BS600" s="59"/>
      <c r="BT600" s="59"/>
      <c r="BU600" s="59"/>
      <c r="BV600" s="59"/>
      <c r="BW600" s="59"/>
      <c r="BX600" s="59"/>
      <c r="BY600" s="59"/>
      <c r="BZ600" s="59"/>
      <c r="CA600" s="59"/>
      <c r="CB600" s="59"/>
      <c r="CC600" s="59"/>
      <c r="CD600" s="59"/>
      <c r="CE600" s="59"/>
      <c r="CF600" s="59"/>
      <c r="CG600" s="59"/>
      <c r="CH600" s="59"/>
      <c r="CI600" s="59"/>
      <c r="CJ600" s="59"/>
      <c r="CK600" s="59"/>
      <c r="CL600" s="59"/>
      <c r="CM600" s="59"/>
      <c r="CN600" s="59"/>
      <c r="CO600" s="59"/>
      <c r="CP600" s="59"/>
      <c r="CQ600" s="59"/>
      <c r="CR600" s="59"/>
      <c r="CS600" s="59"/>
      <c r="CT600" s="59"/>
      <c r="CU600" s="59"/>
      <c r="CV600" s="59"/>
      <c r="CW600" s="59"/>
      <c r="CX600" s="59"/>
      <c r="CY600" s="59"/>
      <c r="CZ600" s="59"/>
      <c r="DA600" s="59"/>
      <c r="DB600" s="59"/>
      <c r="DC600" s="59"/>
      <c r="DD600" s="59"/>
      <c r="DE600" s="59"/>
      <c r="DF600" s="59"/>
      <c r="DG600" s="59"/>
    </row>
    <row r="601" spans="1:111" ht="11.2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59"/>
      <c r="AM601" s="59"/>
      <c r="AN601" s="59"/>
      <c r="AO601" s="59"/>
      <c r="AP601" s="59"/>
      <c r="AQ601" s="59"/>
      <c r="AR601" s="59"/>
      <c r="AS601" s="59"/>
      <c r="AT601" s="59"/>
      <c r="AU601" s="59"/>
      <c r="AV601" s="59"/>
      <c r="AW601" s="59"/>
      <c r="AX601" s="59"/>
      <c r="AY601" s="59"/>
      <c r="AZ601" s="59"/>
      <c r="BA601" s="59"/>
      <c r="BB601" s="59"/>
      <c r="BC601" s="59"/>
      <c r="BD601" s="59"/>
      <c r="BE601" s="59"/>
      <c r="BF601" s="59"/>
      <c r="BG601" s="59"/>
      <c r="BH601" s="59"/>
      <c r="BI601" s="59"/>
      <c r="BJ601" s="59"/>
      <c r="BK601" s="59"/>
      <c r="BL601" s="59"/>
      <c r="BM601" s="59"/>
      <c r="BN601" s="59"/>
      <c r="BO601" s="59"/>
      <c r="BP601" s="59"/>
      <c r="BQ601" s="59"/>
      <c r="BR601" s="59"/>
      <c r="BS601" s="59"/>
      <c r="BT601" s="59"/>
      <c r="BU601" s="59"/>
      <c r="BV601" s="59"/>
      <c r="BW601" s="59"/>
      <c r="BX601" s="59"/>
      <c r="BY601" s="59"/>
      <c r="BZ601" s="59"/>
      <c r="CA601" s="59"/>
      <c r="CB601" s="59"/>
      <c r="CC601" s="59"/>
      <c r="CD601" s="59"/>
      <c r="CE601" s="59"/>
      <c r="CF601" s="59"/>
      <c r="CG601" s="59"/>
      <c r="CH601" s="59"/>
      <c r="CI601" s="59"/>
      <c r="CJ601" s="59"/>
      <c r="CK601" s="59"/>
      <c r="CL601" s="59"/>
      <c r="CM601" s="59"/>
      <c r="CN601" s="59"/>
      <c r="CO601" s="59"/>
      <c r="CP601" s="59"/>
      <c r="CQ601" s="59"/>
      <c r="CR601" s="59"/>
      <c r="CS601" s="59"/>
      <c r="CT601" s="59"/>
      <c r="CU601" s="59"/>
      <c r="CV601" s="59"/>
      <c r="CW601" s="59"/>
      <c r="CX601" s="59"/>
      <c r="CY601" s="59"/>
      <c r="CZ601" s="59"/>
      <c r="DA601" s="59"/>
      <c r="DB601" s="59"/>
      <c r="DC601" s="59"/>
      <c r="DD601" s="59"/>
      <c r="DE601" s="59"/>
      <c r="DF601" s="59"/>
      <c r="DG601" s="59"/>
    </row>
    <row r="602" spans="1:111" ht="11.2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59"/>
      <c r="AM602" s="59"/>
      <c r="AN602" s="59"/>
      <c r="AO602" s="59"/>
      <c r="AP602" s="59"/>
      <c r="AQ602" s="59"/>
      <c r="AR602" s="59"/>
      <c r="AS602" s="59"/>
      <c r="AT602" s="59"/>
      <c r="AU602" s="59"/>
      <c r="AV602" s="59"/>
      <c r="AW602" s="59"/>
      <c r="AX602" s="59"/>
      <c r="AY602" s="59"/>
      <c r="AZ602" s="59"/>
      <c r="BA602" s="59"/>
      <c r="BB602" s="59"/>
      <c r="BC602" s="59"/>
      <c r="BD602" s="59"/>
      <c r="BE602" s="59"/>
      <c r="BF602" s="59"/>
      <c r="BG602" s="59"/>
      <c r="BH602" s="59"/>
      <c r="BI602" s="59"/>
      <c r="BJ602" s="59"/>
      <c r="BK602" s="59"/>
      <c r="BL602" s="59"/>
      <c r="BM602" s="59"/>
      <c r="BN602" s="59"/>
      <c r="BO602" s="59"/>
      <c r="BP602" s="59"/>
      <c r="BQ602" s="59"/>
      <c r="BR602" s="59"/>
      <c r="BS602" s="59"/>
      <c r="BT602" s="59"/>
      <c r="BU602" s="59"/>
      <c r="BV602" s="59"/>
      <c r="BW602" s="59"/>
      <c r="BX602" s="59"/>
      <c r="BY602" s="59"/>
      <c r="BZ602" s="59"/>
      <c r="CA602" s="59"/>
      <c r="CB602" s="59"/>
      <c r="CC602" s="59"/>
      <c r="CD602" s="59"/>
      <c r="CE602" s="59"/>
      <c r="CF602" s="59"/>
      <c r="CG602" s="59"/>
      <c r="CH602" s="59"/>
      <c r="CI602" s="59"/>
      <c r="CJ602" s="59"/>
      <c r="CK602" s="59"/>
      <c r="CL602" s="59"/>
      <c r="CM602" s="59"/>
      <c r="CN602" s="59"/>
      <c r="CO602" s="59"/>
      <c r="CP602" s="59"/>
      <c r="CQ602" s="59"/>
      <c r="CR602" s="59"/>
      <c r="CS602" s="59"/>
      <c r="CT602" s="59"/>
      <c r="CU602" s="59"/>
      <c r="CV602" s="59"/>
      <c r="CW602" s="59"/>
      <c r="CX602" s="59"/>
      <c r="CY602" s="59"/>
      <c r="CZ602" s="59"/>
      <c r="DA602" s="59"/>
      <c r="DB602" s="59"/>
      <c r="DC602" s="59"/>
      <c r="DD602" s="59"/>
      <c r="DE602" s="59"/>
      <c r="DF602" s="59"/>
      <c r="DG602" s="59"/>
    </row>
    <row r="603" spans="1:111" ht="11.2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9"/>
      <c r="AW603" s="59"/>
      <c r="AX603" s="59"/>
      <c r="AY603" s="59"/>
      <c r="AZ603" s="59"/>
      <c r="BA603" s="59"/>
      <c r="BB603" s="59"/>
      <c r="BC603" s="59"/>
      <c r="BD603" s="59"/>
      <c r="BE603" s="59"/>
      <c r="BF603" s="59"/>
      <c r="BG603" s="59"/>
      <c r="BH603" s="59"/>
      <c r="BI603" s="59"/>
      <c r="BJ603" s="59"/>
      <c r="BK603" s="59"/>
      <c r="BL603" s="59"/>
      <c r="BM603" s="59"/>
      <c r="BN603" s="59"/>
      <c r="BO603" s="59"/>
      <c r="BP603" s="59"/>
      <c r="BQ603" s="59"/>
      <c r="BR603" s="59"/>
      <c r="BS603" s="59"/>
      <c r="BT603" s="59"/>
      <c r="BU603" s="59"/>
      <c r="BV603" s="59"/>
      <c r="BW603" s="59"/>
      <c r="BX603" s="59"/>
      <c r="BY603" s="59"/>
      <c r="BZ603" s="59"/>
      <c r="CA603" s="59"/>
      <c r="CB603" s="59"/>
      <c r="CC603" s="59"/>
      <c r="CD603" s="59"/>
      <c r="CE603" s="59"/>
      <c r="CF603" s="59"/>
      <c r="CG603" s="59"/>
      <c r="CH603" s="59"/>
      <c r="CI603" s="59"/>
      <c r="CJ603" s="59"/>
      <c r="CK603" s="59"/>
      <c r="CL603" s="59"/>
      <c r="CM603" s="59"/>
      <c r="CN603" s="59"/>
      <c r="CO603" s="59"/>
      <c r="CP603" s="59"/>
      <c r="CQ603" s="59"/>
      <c r="CR603" s="59"/>
      <c r="CS603" s="59"/>
      <c r="CT603" s="59"/>
      <c r="CU603" s="59"/>
      <c r="CV603" s="59"/>
      <c r="CW603" s="59"/>
      <c r="CX603" s="59"/>
      <c r="CY603" s="59"/>
      <c r="CZ603" s="59"/>
      <c r="DA603" s="59"/>
      <c r="DB603" s="59"/>
      <c r="DC603" s="59"/>
      <c r="DD603" s="59"/>
      <c r="DE603" s="59"/>
      <c r="DF603" s="59"/>
      <c r="DG603" s="59"/>
    </row>
    <row r="604" spans="1:111" ht="11.2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  <c r="AJ604" s="59"/>
      <c r="AK604" s="59"/>
      <c r="AL604" s="59"/>
      <c r="AM604" s="59"/>
      <c r="AN604" s="59"/>
      <c r="AO604" s="59"/>
      <c r="AP604" s="59"/>
      <c r="AQ604" s="59"/>
      <c r="AR604" s="59"/>
      <c r="AS604" s="59"/>
      <c r="AT604" s="59"/>
      <c r="AU604" s="59"/>
      <c r="AV604" s="59"/>
      <c r="AW604" s="59"/>
      <c r="AX604" s="59"/>
      <c r="AY604" s="59"/>
      <c r="AZ604" s="59"/>
      <c r="BA604" s="59"/>
      <c r="BB604" s="59"/>
      <c r="BC604" s="59"/>
      <c r="BD604" s="59"/>
      <c r="BE604" s="59"/>
      <c r="BF604" s="59"/>
      <c r="BG604" s="59"/>
      <c r="BH604" s="59"/>
      <c r="BI604" s="59"/>
      <c r="BJ604" s="59"/>
      <c r="BK604" s="59"/>
      <c r="BL604" s="59"/>
      <c r="BM604" s="59"/>
      <c r="BN604" s="59"/>
      <c r="BO604" s="59"/>
      <c r="BP604" s="59"/>
      <c r="BQ604" s="59"/>
      <c r="BR604" s="59"/>
      <c r="BS604" s="59"/>
      <c r="BT604" s="59"/>
      <c r="BU604" s="59"/>
      <c r="BV604" s="59"/>
      <c r="BW604" s="59"/>
      <c r="BX604" s="59"/>
      <c r="BY604" s="59"/>
      <c r="BZ604" s="59"/>
      <c r="CA604" s="59"/>
      <c r="CB604" s="59"/>
      <c r="CC604" s="59"/>
      <c r="CD604" s="59"/>
      <c r="CE604" s="59"/>
      <c r="CF604" s="59"/>
      <c r="CG604" s="59"/>
      <c r="CH604" s="59"/>
      <c r="CI604" s="59"/>
      <c r="CJ604" s="59"/>
      <c r="CK604" s="59"/>
      <c r="CL604" s="59"/>
      <c r="CM604" s="59"/>
      <c r="CN604" s="59"/>
      <c r="CO604" s="59"/>
      <c r="CP604" s="59"/>
      <c r="CQ604" s="59"/>
      <c r="CR604" s="59"/>
      <c r="CS604" s="59"/>
      <c r="CT604" s="59"/>
      <c r="CU604" s="59"/>
      <c r="CV604" s="59"/>
      <c r="CW604" s="59"/>
      <c r="CX604" s="59"/>
      <c r="CY604" s="59"/>
      <c r="CZ604" s="59"/>
      <c r="DA604" s="59"/>
      <c r="DB604" s="59"/>
      <c r="DC604" s="59"/>
      <c r="DD604" s="59"/>
      <c r="DE604" s="59"/>
      <c r="DF604" s="59"/>
      <c r="DG604" s="59"/>
    </row>
    <row r="605" spans="1:111" ht="11.2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  <c r="AJ605" s="59"/>
      <c r="AK605" s="59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9"/>
      <c r="AW605" s="59"/>
      <c r="AX605" s="59"/>
      <c r="AY605" s="59"/>
      <c r="AZ605" s="59"/>
      <c r="BA605" s="59"/>
      <c r="BB605" s="59"/>
      <c r="BC605" s="59"/>
      <c r="BD605" s="59"/>
      <c r="BE605" s="59"/>
      <c r="BF605" s="59"/>
      <c r="BG605" s="59"/>
      <c r="BH605" s="59"/>
      <c r="BI605" s="59"/>
      <c r="BJ605" s="59"/>
      <c r="BK605" s="59"/>
      <c r="BL605" s="59"/>
      <c r="BM605" s="59"/>
      <c r="BN605" s="59"/>
      <c r="BO605" s="59"/>
      <c r="BP605" s="59"/>
      <c r="BQ605" s="59"/>
      <c r="BR605" s="59"/>
      <c r="BS605" s="59"/>
      <c r="BT605" s="59"/>
      <c r="BU605" s="59"/>
      <c r="BV605" s="59"/>
      <c r="BW605" s="59"/>
      <c r="BX605" s="59"/>
      <c r="BY605" s="59"/>
      <c r="BZ605" s="59"/>
      <c r="CA605" s="59"/>
      <c r="CB605" s="59"/>
      <c r="CC605" s="59"/>
      <c r="CD605" s="59"/>
      <c r="CE605" s="59"/>
      <c r="CF605" s="59"/>
      <c r="CG605" s="59"/>
      <c r="CH605" s="59"/>
      <c r="CI605" s="59"/>
      <c r="CJ605" s="59"/>
      <c r="CK605" s="59"/>
      <c r="CL605" s="59"/>
      <c r="CM605" s="59"/>
      <c r="CN605" s="59"/>
      <c r="CO605" s="59"/>
      <c r="CP605" s="59"/>
      <c r="CQ605" s="59"/>
      <c r="CR605" s="59"/>
      <c r="CS605" s="59"/>
      <c r="CT605" s="59"/>
      <c r="CU605" s="59"/>
      <c r="CV605" s="59"/>
      <c r="CW605" s="59"/>
      <c r="CX605" s="59"/>
      <c r="CY605" s="59"/>
      <c r="CZ605" s="59"/>
      <c r="DA605" s="59"/>
      <c r="DB605" s="59"/>
      <c r="DC605" s="59"/>
      <c r="DD605" s="59"/>
      <c r="DE605" s="59"/>
      <c r="DF605" s="59"/>
      <c r="DG605" s="59"/>
    </row>
    <row r="606" spans="1:111" ht="11.2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9"/>
      <c r="AW606" s="59"/>
      <c r="AX606" s="59"/>
      <c r="AY606" s="59"/>
      <c r="AZ606" s="59"/>
      <c r="BA606" s="59"/>
      <c r="BB606" s="59"/>
      <c r="BC606" s="59"/>
      <c r="BD606" s="59"/>
      <c r="BE606" s="59"/>
      <c r="BF606" s="59"/>
      <c r="BG606" s="59"/>
      <c r="BH606" s="59"/>
      <c r="BI606" s="59"/>
      <c r="BJ606" s="59"/>
      <c r="BK606" s="59"/>
      <c r="BL606" s="59"/>
      <c r="BM606" s="59"/>
      <c r="BN606" s="59"/>
      <c r="BO606" s="59"/>
      <c r="BP606" s="59"/>
      <c r="BQ606" s="59"/>
      <c r="BR606" s="59"/>
      <c r="BS606" s="59"/>
      <c r="BT606" s="59"/>
      <c r="BU606" s="59"/>
      <c r="BV606" s="59"/>
      <c r="BW606" s="59"/>
      <c r="BX606" s="59"/>
      <c r="BY606" s="59"/>
      <c r="BZ606" s="59"/>
      <c r="CA606" s="59"/>
      <c r="CB606" s="59"/>
      <c r="CC606" s="59"/>
      <c r="CD606" s="59"/>
      <c r="CE606" s="59"/>
      <c r="CF606" s="59"/>
      <c r="CG606" s="59"/>
      <c r="CH606" s="59"/>
      <c r="CI606" s="59"/>
      <c r="CJ606" s="59"/>
      <c r="CK606" s="59"/>
      <c r="CL606" s="59"/>
      <c r="CM606" s="59"/>
      <c r="CN606" s="59"/>
      <c r="CO606" s="59"/>
      <c r="CP606" s="59"/>
      <c r="CQ606" s="59"/>
      <c r="CR606" s="59"/>
      <c r="CS606" s="59"/>
      <c r="CT606" s="59"/>
      <c r="CU606" s="59"/>
      <c r="CV606" s="59"/>
      <c r="CW606" s="59"/>
      <c r="CX606" s="59"/>
      <c r="CY606" s="59"/>
      <c r="CZ606" s="59"/>
      <c r="DA606" s="59"/>
      <c r="DB606" s="59"/>
      <c r="DC606" s="59"/>
      <c r="DD606" s="59"/>
      <c r="DE606" s="59"/>
      <c r="DF606" s="59"/>
      <c r="DG606" s="59"/>
    </row>
    <row r="607" spans="1:111" ht="11.2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9"/>
      <c r="AW607" s="59"/>
      <c r="AX607" s="59"/>
      <c r="AY607" s="59"/>
      <c r="AZ607" s="59"/>
      <c r="BA607" s="59"/>
      <c r="BB607" s="59"/>
      <c r="BC607" s="59"/>
      <c r="BD607" s="59"/>
      <c r="BE607" s="59"/>
      <c r="BF607" s="59"/>
      <c r="BG607" s="59"/>
      <c r="BH607" s="59"/>
      <c r="BI607" s="59"/>
      <c r="BJ607" s="59"/>
      <c r="BK607" s="59"/>
      <c r="BL607" s="59"/>
      <c r="BM607" s="59"/>
      <c r="BN607" s="59"/>
      <c r="BO607" s="59"/>
      <c r="BP607" s="59"/>
      <c r="BQ607" s="59"/>
      <c r="BR607" s="59"/>
      <c r="BS607" s="59"/>
      <c r="BT607" s="59"/>
      <c r="BU607" s="59"/>
      <c r="BV607" s="59"/>
      <c r="BW607" s="59"/>
      <c r="BX607" s="59"/>
      <c r="BY607" s="59"/>
      <c r="BZ607" s="59"/>
      <c r="CA607" s="59"/>
      <c r="CB607" s="59"/>
      <c r="CC607" s="59"/>
      <c r="CD607" s="59"/>
      <c r="CE607" s="59"/>
      <c r="CF607" s="59"/>
      <c r="CG607" s="59"/>
      <c r="CH607" s="59"/>
      <c r="CI607" s="59"/>
      <c r="CJ607" s="59"/>
      <c r="CK607" s="59"/>
      <c r="CL607" s="59"/>
      <c r="CM607" s="59"/>
      <c r="CN607" s="59"/>
      <c r="CO607" s="59"/>
      <c r="CP607" s="59"/>
      <c r="CQ607" s="59"/>
      <c r="CR607" s="59"/>
      <c r="CS607" s="59"/>
      <c r="CT607" s="59"/>
      <c r="CU607" s="59"/>
      <c r="CV607" s="59"/>
      <c r="CW607" s="59"/>
      <c r="CX607" s="59"/>
      <c r="CY607" s="59"/>
      <c r="CZ607" s="59"/>
      <c r="DA607" s="59"/>
      <c r="DB607" s="59"/>
      <c r="DC607" s="59"/>
      <c r="DD607" s="59"/>
      <c r="DE607" s="59"/>
      <c r="DF607" s="59"/>
      <c r="DG607" s="59"/>
    </row>
    <row r="608" spans="1:111" ht="11.2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  <c r="AJ608" s="59"/>
      <c r="AK608" s="59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9"/>
      <c r="AW608" s="59"/>
      <c r="AX608" s="59"/>
      <c r="AY608" s="59"/>
      <c r="AZ608" s="59"/>
      <c r="BA608" s="59"/>
      <c r="BB608" s="59"/>
      <c r="BC608" s="59"/>
      <c r="BD608" s="59"/>
      <c r="BE608" s="59"/>
      <c r="BF608" s="59"/>
      <c r="BG608" s="59"/>
      <c r="BH608" s="59"/>
      <c r="BI608" s="59"/>
      <c r="BJ608" s="59"/>
      <c r="BK608" s="59"/>
      <c r="BL608" s="59"/>
      <c r="BM608" s="59"/>
      <c r="BN608" s="59"/>
      <c r="BO608" s="59"/>
      <c r="BP608" s="59"/>
      <c r="BQ608" s="59"/>
      <c r="BR608" s="59"/>
      <c r="BS608" s="59"/>
      <c r="BT608" s="59"/>
      <c r="BU608" s="59"/>
      <c r="BV608" s="59"/>
      <c r="BW608" s="59"/>
      <c r="BX608" s="59"/>
      <c r="BY608" s="59"/>
      <c r="BZ608" s="59"/>
      <c r="CA608" s="59"/>
      <c r="CB608" s="59"/>
      <c r="CC608" s="59"/>
      <c r="CD608" s="59"/>
      <c r="CE608" s="59"/>
      <c r="CF608" s="59"/>
      <c r="CG608" s="59"/>
      <c r="CH608" s="59"/>
      <c r="CI608" s="59"/>
      <c r="CJ608" s="59"/>
      <c r="CK608" s="59"/>
      <c r="CL608" s="59"/>
      <c r="CM608" s="59"/>
      <c r="CN608" s="59"/>
      <c r="CO608" s="59"/>
      <c r="CP608" s="59"/>
      <c r="CQ608" s="59"/>
      <c r="CR608" s="59"/>
      <c r="CS608" s="59"/>
      <c r="CT608" s="59"/>
      <c r="CU608" s="59"/>
      <c r="CV608" s="59"/>
      <c r="CW608" s="59"/>
      <c r="CX608" s="59"/>
      <c r="CY608" s="59"/>
      <c r="CZ608" s="59"/>
      <c r="DA608" s="59"/>
      <c r="DB608" s="59"/>
      <c r="DC608" s="59"/>
      <c r="DD608" s="59"/>
      <c r="DE608" s="59"/>
      <c r="DF608" s="59"/>
      <c r="DG608" s="59"/>
    </row>
    <row r="609" spans="1:111" ht="11.2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  <c r="AJ609" s="59"/>
      <c r="AK609" s="59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9"/>
      <c r="AW609" s="59"/>
      <c r="AX609" s="59"/>
      <c r="AY609" s="59"/>
      <c r="AZ609" s="59"/>
      <c r="BA609" s="59"/>
      <c r="BB609" s="59"/>
      <c r="BC609" s="59"/>
      <c r="BD609" s="59"/>
      <c r="BE609" s="59"/>
      <c r="BF609" s="59"/>
      <c r="BG609" s="59"/>
      <c r="BH609" s="59"/>
      <c r="BI609" s="59"/>
      <c r="BJ609" s="59"/>
      <c r="BK609" s="59"/>
      <c r="BL609" s="59"/>
      <c r="BM609" s="59"/>
      <c r="BN609" s="59"/>
      <c r="BO609" s="59"/>
      <c r="BP609" s="59"/>
      <c r="BQ609" s="59"/>
      <c r="BR609" s="59"/>
      <c r="BS609" s="59"/>
      <c r="BT609" s="59"/>
      <c r="BU609" s="59"/>
      <c r="BV609" s="59"/>
      <c r="BW609" s="59"/>
      <c r="BX609" s="59"/>
      <c r="BY609" s="59"/>
      <c r="BZ609" s="59"/>
      <c r="CA609" s="59"/>
      <c r="CB609" s="59"/>
      <c r="CC609" s="59"/>
      <c r="CD609" s="59"/>
      <c r="CE609" s="59"/>
      <c r="CF609" s="59"/>
      <c r="CG609" s="59"/>
      <c r="CH609" s="59"/>
      <c r="CI609" s="59"/>
      <c r="CJ609" s="59"/>
      <c r="CK609" s="59"/>
      <c r="CL609" s="59"/>
      <c r="CM609" s="59"/>
      <c r="CN609" s="59"/>
      <c r="CO609" s="59"/>
      <c r="CP609" s="59"/>
      <c r="CQ609" s="59"/>
      <c r="CR609" s="59"/>
      <c r="CS609" s="59"/>
      <c r="CT609" s="59"/>
      <c r="CU609" s="59"/>
      <c r="CV609" s="59"/>
      <c r="CW609" s="59"/>
      <c r="CX609" s="59"/>
      <c r="CY609" s="59"/>
      <c r="CZ609" s="59"/>
      <c r="DA609" s="59"/>
      <c r="DB609" s="59"/>
      <c r="DC609" s="59"/>
      <c r="DD609" s="59"/>
      <c r="DE609" s="59"/>
      <c r="DF609" s="59"/>
      <c r="DG609" s="59"/>
    </row>
    <row r="610" spans="1:111" ht="11.2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9"/>
      <c r="AW610" s="59"/>
      <c r="AX610" s="59"/>
      <c r="AY610" s="59"/>
      <c r="AZ610" s="59"/>
      <c r="BA610" s="59"/>
      <c r="BB610" s="59"/>
      <c r="BC610" s="59"/>
      <c r="BD610" s="59"/>
      <c r="BE610" s="59"/>
      <c r="BF610" s="59"/>
      <c r="BG610" s="59"/>
      <c r="BH610" s="59"/>
      <c r="BI610" s="59"/>
      <c r="BJ610" s="59"/>
      <c r="BK610" s="59"/>
      <c r="BL610" s="59"/>
      <c r="BM610" s="59"/>
      <c r="BN610" s="59"/>
      <c r="BO610" s="59"/>
      <c r="BP610" s="59"/>
      <c r="BQ610" s="59"/>
      <c r="BR610" s="59"/>
      <c r="BS610" s="59"/>
      <c r="BT610" s="59"/>
      <c r="BU610" s="59"/>
      <c r="BV610" s="59"/>
      <c r="BW610" s="59"/>
      <c r="BX610" s="59"/>
      <c r="BY610" s="59"/>
      <c r="BZ610" s="59"/>
      <c r="CA610" s="59"/>
      <c r="CB610" s="59"/>
      <c r="CC610" s="59"/>
      <c r="CD610" s="59"/>
      <c r="CE610" s="59"/>
      <c r="CF610" s="59"/>
      <c r="CG610" s="59"/>
      <c r="CH610" s="59"/>
      <c r="CI610" s="59"/>
      <c r="CJ610" s="59"/>
      <c r="CK610" s="59"/>
      <c r="CL610" s="59"/>
      <c r="CM610" s="59"/>
      <c r="CN610" s="59"/>
      <c r="CO610" s="59"/>
      <c r="CP610" s="59"/>
      <c r="CQ610" s="59"/>
      <c r="CR610" s="59"/>
      <c r="CS610" s="59"/>
      <c r="CT610" s="59"/>
      <c r="CU610" s="59"/>
      <c r="CV610" s="59"/>
      <c r="CW610" s="59"/>
      <c r="CX610" s="59"/>
      <c r="CY610" s="59"/>
      <c r="CZ610" s="59"/>
      <c r="DA610" s="59"/>
      <c r="DB610" s="59"/>
      <c r="DC610" s="59"/>
      <c r="DD610" s="59"/>
      <c r="DE610" s="59"/>
      <c r="DF610" s="59"/>
      <c r="DG610" s="59"/>
    </row>
    <row r="611" spans="1:111" ht="11.2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59"/>
      <c r="AM611" s="59"/>
      <c r="AN611" s="59"/>
      <c r="AO611" s="59"/>
      <c r="AP611" s="59"/>
      <c r="AQ611" s="59"/>
      <c r="AR611" s="59"/>
      <c r="AS611" s="59"/>
      <c r="AT611" s="59"/>
      <c r="AU611" s="59"/>
      <c r="AV611" s="59"/>
      <c r="AW611" s="59"/>
      <c r="AX611" s="59"/>
      <c r="AY611" s="59"/>
      <c r="AZ611" s="59"/>
      <c r="BA611" s="59"/>
      <c r="BB611" s="59"/>
      <c r="BC611" s="59"/>
      <c r="BD611" s="59"/>
      <c r="BE611" s="59"/>
      <c r="BF611" s="59"/>
      <c r="BG611" s="59"/>
      <c r="BH611" s="59"/>
      <c r="BI611" s="59"/>
      <c r="BJ611" s="59"/>
      <c r="BK611" s="59"/>
      <c r="BL611" s="59"/>
      <c r="BM611" s="59"/>
      <c r="BN611" s="59"/>
      <c r="BO611" s="59"/>
      <c r="BP611" s="59"/>
      <c r="BQ611" s="59"/>
      <c r="BR611" s="59"/>
      <c r="BS611" s="59"/>
      <c r="BT611" s="59"/>
      <c r="BU611" s="59"/>
      <c r="BV611" s="59"/>
      <c r="BW611" s="59"/>
      <c r="BX611" s="59"/>
      <c r="BY611" s="59"/>
      <c r="BZ611" s="59"/>
      <c r="CA611" s="59"/>
      <c r="CB611" s="59"/>
      <c r="CC611" s="59"/>
      <c r="CD611" s="59"/>
      <c r="CE611" s="59"/>
      <c r="CF611" s="59"/>
      <c r="CG611" s="59"/>
      <c r="CH611" s="59"/>
      <c r="CI611" s="59"/>
      <c r="CJ611" s="59"/>
      <c r="CK611" s="59"/>
      <c r="CL611" s="59"/>
      <c r="CM611" s="59"/>
      <c r="CN611" s="59"/>
      <c r="CO611" s="59"/>
      <c r="CP611" s="59"/>
      <c r="CQ611" s="59"/>
      <c r="CR611" s="59"/>
      <c r="CS611" s="59"/>
      <c r="CT611" s="59"/>
      <c r="CU611" s="59"/>
      <c r="CV611" s="59"/>
      <c r="CW611" s="59"/>
      <c r="CX611" s="59"/>
      <c r="CY611" s="59"/>
      <c r="CZ611" s="59"/>
      <c r="DA611" s="59"/>
      <c r="DB611" s="59"/>
      <c r="DC611" s="59"/>
      <c r="DD611" s="59"/>
      <c r="DE611" s="59"/>
      <c r="DF611" s="59"/>
      <c r="DG611" s="59"/>
    </row>
    <row r="612" spans="1:111" ht="11.2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59"/>
      <c r="AM612" s="59"/>
      <c r="AN612" s="59"/>
      <c r="AO612" s="59"/>
      <c r="AP612" s="59"/>
      <c r="AQ612" s="59"/>
      <c r="AR612" s="59"/>
      <c r="AS612" s="59"/>
      <c r="AT612" s="59"/>
      <c r="AU612" s="59"/>
      <c r="AV612" s="59"/>
      <c r="AW612" s="59"/>
      <c r="AX612" s="59"/>
      <c r="AY612" s="59"/>
      <c r="AZ612" s="59"/>
      <c r="BA612" s="59"/>
      <c r="BB612" s="59"/>
      <c r="BC612" s="59"/>
      <c r="BD612" s="59"/>
      <c r="BE612" s="59"/>
      <c r="BF612" s="59"/>
      <c r="BG612" s="59"/>
      <c r="BH612" s="59"/>
      <c r="BI612" s="59"/>
      <c r="BJ612" s="59"/>
      <c r="BK612" s="59"/>
      <c r="BL612" s="59"/>
      <c r="BM612" s="59"/>
      <c r="BN612" s="59"/>
      <c r="BO612" s="59"/>
      <c r="BP612" s="59"/>
      <c r="BQ612" s="59"/>
      <c r="BR612" s="59"/>
      <c r="BS612" s="59"/>
      <c r="BT612" s="59"/>
      <c r="BU612" s="59"/>
      <c r="BV612" s="59"/>
      <c r="BW612" s="59"/>
      <c r="BX612" s="59"/>
      <c r="BY612" s="59"/>
      <c r="BZ612" s="59"/>
      <c r="CA612" s="59"/>
      <c r="CB612" s="59"/>
      <c r="CC612" s="59"/>
      <c r="CD612" s="59"/>
      <c r="CE612" s="59"/>
      <c r="CF612" s="59"/>
      <c r="CG612" s="59"/>
      <c r="CH612" s="59"/>
      <c r="CI612" s="59"/>
      <c r="CJ612" s="59"/>
      <c r="CK612" s="59"/>
      <c r="CL612" s="59"/>
      <c r="CM612" s="59"/>
      <c r="CN612" s="59"/>
      <c r="CO612" s="59"/>
      <c r="CP612" s="59"/>
      <c r="CQ612" s="59"/>
      <c r="CR612" s="59"/>
      <c r="CS612" s="59"/>
      <c r="CT612" s="59"/>
      <c r="CU612" s="59"/>
      <c r="CV612" s="59"/>
      <c r="CW612" s="59"/>
      <c r="CX612" s="59"/>
      <c r="CY612" s="59"/>
      <c r="CZ612" s="59"/>
      <c r="DA612" s="59"/>
      <c r="DB612" s="59"/>
      <c r="DC612" s="59"/>
      <c r="DD612" s="59"/>
      <c r="DE612" s="59"/>
      <c r="DF612" s="59"/>
      <c r="DG612" s="59"/>
    </row>
    <row r="613" spans="1:111" ht="11.2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  <c r="AJ613" s="59"/>
      <c r="AK613" s="59"/>
      <c r="AL613" s="59"/>
      <c r="AM613" s="59"/>
      <c r="AN613" s="59"/>
      <c r="AO613" s="59"/>
      <c r="AP613" s="59"/>
      <c r="AQ613" s="59"/>
      <c r="AR613" s="59"/>
      <c r="AS613" s="59"/>
      <c r="AT613" s="59"/>
      <c r="AU613" s="59"/>
      <c r="AV613" s="59"/>
      <c r="AW613" s="59"/>
      <c r="AX613" s="59"/>
      <c r="AY613" s="59"/>
      <c r="AZ613" s="59"/>
      <c r="BA613" s="59"/>
      <c r="BB613" s="59"/>
      <c r="BC613" s="59"/>
      <c r="BD613" s="59"/>
      <c r="BE613" s="59"/>
      <c r="BF613" s="59"/>
      <c r="BG613" s="59"/>
      <c r="BH613" s="59"/>
      <c r="BI613" s="59"/>
      <c r="BJ613" s="59"/>
      <c r="BK613" s="59"/>
      <c r="BL613" s="59"/>
      <c r="BM613" s="59"/>
      <c r="BN613" s="59"/>
      <c r="BO613" s="59"/>
      <c r="BP613" s="59"/>
      <c r="BQ613" s="59"/>
      <c r="BR613" s="59"/>
      <c r="BS613" s="59"/>
      <c r="BT613" s="59"/>
      <c r="BU613" s="59"/>
      <c r="BV613" s="59"/>
      <c r="BW613" s="59"/>
      <c r="BX613" s="59"/>
      <c r="BY613" s="59"/>
      <c r="BZ613" s="59"/>
      <c r="CA613" s="59"/>
      <c r="CB613" s="59"/>
      <c r="CC613" s="59"/>
      <c r="CD613" s="59"/>
      <c r="CE613" s="59"/>
      <c r="CF613" s="59"/>
      <c r="CG613" s="59"/>
      <c r="CH613" s="59"/>
      <c r="CI613" s="59"/>
      <c r="CJ613" s="59"/>
      <c r="CK613" s="59"/>
      <c r="CL613" s="59"/>
      <c r="CM613" s="59"/>
      <c r="CN613" s="59"/>
      <c r="CO613" s="59"/>
      <c r="CP613" s="59"/>
      <c r="CQ613" s="59"/>
      <c r="CR613" s="59"/>
      <c r="CS613" s="59"/>
      <c r="CT613" s="59"/>
      <c r="CU613" s="59"/>
      <c r="CV613" s="59"/>
      <c r="CW613" s="59"/>
      <c r="CX613" s="59"/>
      <c r="CY613" s="59"/>
      <c r="CZ613" s="59"/>
      <c r="DA613" s="59"/>
      <c r="DB613" s="59"/>
      <c r="DC613" s="59"/>
      <c r="DD613" s="59"/>
      <c r="DE613" s="59"/>
      <c r="DF613" s="59"/>
      <c r="DG613" s="59"/>
    </row>
    <row r="614" spans="1:111" ht="11.2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9"/>
      <c r="AW614" s="59"/>
      <c r="AX614" s="59"/>
      <c r="AY614" s="59"/>
      <c r="AZ614" s="59"/>
      <c r="BA614" s="59"/>
      <c r="BB614" s="59"/>
      <c r="BC614" s="59"/>
      <c r="BD614" s="59"/>
      <c r="BE614" s="59"/>
      <c r="BF614" s="59"/>
      <c r="BG614" s="59"/>
      <c r="BH614" s="59"/>
      <c r="BI614" s="59"/>
      <c r="BJ614" s="59"/>
      <c r="BK614" s="59"/>
      <c r="BL614" s="59"/>
      <c r="BM614" s="59"/>
      <c r="BN614" s="59"/>
      <c r="BO614" s="59"/>
      <c r="BP614" s="59"/>
      <c r="BQ614" s="59"/>
      <c r="BR614" s="59"/>
      <c r="BS614" s="59"/>
      <c r="BT614" s="59"/>
      <c r="BU614" s="59"/>
      <c r="BV614" s="59"/>
      <c r="BW614" s="59"/>
      <c r="BX614" s="59"/>
      <c r="BY614" s="59"/>
      <c r="BZ614" s="59"/>
      <c r="CA614" s="59"/>
      <c r="CB614" s="59"/>
      <c r="CC614" s="59"/>
      <c r="CD614" s="59"/>
      <c r="CE614" s="59"/>
      <c r="CF614" s="59"/>
      <c r="CG614" s="59"/>
      <c r="CH614" s="59"/>
      <c r="CI614" s="59"/>
      <c r="CJ614" s="59"/>
      <c r="CK614" s="59"/>
      <c r="CL614" s="59"/>
      <c r="CM614" s="59"/>
      <c r="CN614" s="59"/>
      <c r="CO614" s="59"/>
      <c r="CP614" s="59"/>
      <c r="CQ614" s="59"/>
      <c r="CR614" s="59"/>
      <c r="CS614" s="59"/>
      <c r="CT614" s="59"/>
      <c r="CU614" s="59"/>
      <c r="CV614" s="59"/>
      <c r="CW614" s="59"/>
      <c r="CX614" s="59"/>
      <c r="CY614" s="59"/>
      <c r="CZ614" s="59"/>
      <c r="DA614" s="59"/>
      <c r="DB614" s="59"/>
      <c r="DC614" s="59"/>
      <c r="DD614" s="59"/>
      <c r="DE614" s="59"/>
      <c r="DF614" s="59"/>
      <c r="DG614" s="59"/>
    </row>
    <row r="615" spans="1:111" ht="11.2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  <c r="AJ615" s="59"/>
      <c r="AK615" s="59"/>
      <c r="AL615" s="59"/>
      <c r="AM615" s="59"/>
      <c r="AN615" s="59"/>
      <c r="AO615" s="59"/>
      <c r="AP615" s="59"/>
      <c r="AQ615" s="59"/>
      <c r="AR615" s="59"/>
      <c r="AS615" s="59"/>
      <c r="AT615" s="59"/>
      <c r="AU615" s="59"/>
      <c r="AV615" s="59"/>
      <c r="AW615" s="59"/>
      <c r="AX615" s="59"/>
      <c r="AY615" s="59"/>
      <c r="AZ615" s="59"/>
      <c r="BA615" s="59"/>
      <c r="BB615" s="59"/>
      <c r="BC615" s="59"/>
      <c r="BD615" s="59"/>
      <c r="BE615" s="59"/>
      <c r="BF615" s="59"/>
      <c r="BG615" s="59"/>
      <c r="BH615" s="59"/>
      <c r="BI615" s="59"/>
      <c r="BJ615" s="59"/>
      <c r="BK615" s="59"/>
      <c r="BL615" s="59"/>
      <c r="BM615" s="59"/>
      <c r="BN615" s="59"/>
      <c r="BO615" s="59"/>
      <c r="BP615" s="59"/>
      <c r="BQ615" s="59"/>
      <c r="BR615" s="59"/>
      <c r="BS615" s="59"/>
      <c r="BT615" s="59"/>
      <c r="BU615" s="59"/>
      <c r="BV615" s="59"/>
      <c r="BW615" s="59"/>
      <c r="BX615" s="59"/>
      <c r="BY615" s="59"/>
      <c r="BZ615" s="59"/>
      <c r="CA615" s="59"/>
      <c r="CB615" s="59"/>
      <c r="CC615" s="59"/>
      <c r="CD615" s="59"/>
      <c r="CE615" s="59"/>
      <c r="CF615" s="59"/>
      <c r="CG615" s="59"/>
      <c r="CH615" s="59"/>
      <c r="CI615" s="59"/>
      <c r="CJ615" s="59"/>
      <c r="CK615" s="59"/>
      <c r="CL615" s="59"/>
      <c r="CM615" s="59"/>
      <c r="CN615" s="59"/>
      <c r="CO615" s="59"/>
      <c r="CP615" s="59"/>
      <c r="CQ615" s="59"/>
      <c r="CR615" s="59"/>
      <c r="CS615" s="59"/>
      <c r="CT615" s="59"/>
      <c r="CU615" s="59"/>
      <c r="CV615" s="59"/>
      <c r="CW615" s="59"/>
      <c r="CX615" s="59"/>
      <c r="CY615" s="59"/>
      <c r="CZ615" s="59"/>
      <c r="DA615" s="59"/>
      <c r="DB615" s="59"/>
      <c r="DC615" s="59"/>
      <c r="DD615" s="59"/>
      <c r="DE615" s="59"/>
      <c r="DF615" s="59"/>
      <c r="DG615" s="59"/>
    </row>
    <row r="616" spans="1:111" ht="11.2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  <c r="AJ616" s="59"/>
      <c r="AK616" s="59"/>
      <c r="AL616" s="59"/>
      <c r="AM616" s="59"/>
      <c r="AN616" s="59"/>
      <c r="AO616" s="59"/>
      <c r="AP616" s="59"/>
      <c r="AQ616" s="59"/>
      <c r="AR616" s="59"/>
      <c r="AS616" s="59"/>
      <c r="AT616" s="59"/>
      <c r="AU616" s="59"/>
      <c r="AV616" s="59"/>
      <c r="AW616" s="59"/>
      <c r="AX616" s="59"/>
      <c r="AY616" s="59"/>
      <c r="AZ616" s="59"/>
      <c r="BA616" s="59"/>
      <c r="BB616" s="59"/>
      <c r="BC616" s="59"/>
      <c r="BD616" s="59"/>
      <c r="BE616" s="59"/>
      <c r="BF616" s="59"/>
      <c r="BG616" s="59"/>
      <c r="BH616" s="59"/>
      <c r="BI616" s="59"/>
      <c r="BJ616" s="59"/>
      <c r="BK616" s="59"/>
      <c r="BL616" s="59"/>
      <c r="BM616" s="59"/>
      <c r="BN616" s="59"/>
      <c r="BO616" s="59"/>
      <c r="BP616" s="59"/>
      <c r="BQ616" s="59"/>
      <c r="BR616" s="59"/>
      <c r="BS616" s="59"/>
      <c r="BT616" s="59"/>
      <c r="BU616" s="59"/>
      <c r="BV616" s="59"/>
      <c r="BW616" s="59"/>
      <c r="BX616" s="59"/>
      <c r="BY616" s="59"/>
      <c r="BZ616" s="59"/>
      <c r="CA616" s="59"/>
      <c r="CB616" s="59"/>
      <c r="CC616" s="59"/>
      <c r="CD616" s="59"/>
      <c r="CE616" s="59"/>
      <c r="CF616" s="59"/>
      <c r="CG616" s="59"/>
      <c r="CH616" s="59"/>
      <c r="CI616" s="59"/>
      <c r="CJ616" s="59"/>
      <c r="CK616" s="59"/>
      <c r="CL616" s="59"/>
      <c r="CM616" s="59"/>
      <c r="CN616" s="59"/>
      <c r="CO616" s="59"/>
      <c r="CP616" s="59"/>
      <c r="CQ616" s="59"/>
      <c r="CR616" s="59"/>
      <c r="CS616" s="59"/>
      <c r="CT616" s="59"/>
      <c r="CU616" s="59"/>
      <c r="CV616" s="59"/>
      <c r="CW616" s="59"/>
      <c r="CX616" s="59"/>
      <c r="CY616" s="59"/>
      <c r="CZ616" s="59"/>
      <c r="DA616" s="59"/>
      <c r="DB616" s="59"/>
      <c r="DC616" s="59"/>
      <c r="DD616" s="59"/>
      <c r="DE616" s="59"/>
      <c r="DF616" s="59"/>
      <c r="DG616" s="59"/>
    </row>
    <row r="617" spans="1:111" ht="11.2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  <c r="AJ617" s="59"/>
      <c r="AK617" s="59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9"/>
      <c r="AW617" s="59"/>
      <c r="AX617" s="59"/>
      <c r="AY617" s="59"/>
      <c r="AZ617" s="59"/>
      <c r="BA617" s="59"/>
      <c r="BB617" s="59"/>
      <c r="BC617" s="59"/>
      <c r="BD617" s="59"/>
      <c r="BE617" s="59"/>
      <c r="BF617" s="59"/>
      <c r="BG617" s="59"/>
      <c r="BH617" s="59"/>
      <c r="BI617" s="59"/>
      <c r="BJ617" s="59"/>
      <c r="BK617" s="59"/>
      <c r="BL617" s="59"/>
      <c r="BM617" s="59"/>
      <c r="BN617" s="59"/>
      <c r="BO617" s="59"/>
      <c r="BP617" s="59"/>
      <c r="BQ617" s="59"/>
      <c r="BR617" s="59"/>
      <c r="BS617" s="59"/>
      <c r="BT617" s="59"/>
      <c r="BU617" s="59"/>
      <c r="BV617" s="59"/>
      <c r="BW617" s="59"/>
      <c r="BX617" s="59"/>
      <c r="BY617" s="59"/>
      <c r="BZ617" s="59"/>
      <c r="CA617" s="59"/>
      <c r="CB617" s="59"/>
      <c r="CC617" s="59"/>
      <c r="CD617" s="59"/>
      <c r="CE617" s="59"/>
      <c r="CF617" s="59"/>
      <c r="CG617" s="59"/>
      <c r="CH617" s="59"/>
      <c r="CI617" s="59"/>
      <c r="CJ617" s="59"/>
      <c r="CK617" s="59"/>
      <c r="CL617" s="59"/>
      <c r="CM617" s="59"/>
      <c r="CN617" s="59"/>
      <c r="CO617" s="59"/>
      <c r="CP617" s="59"/>
      <c r="CQ617" s="59"/>
      <c r="CR617" s="59"/>
      <c r="CS617" s="59"/>
      <c r="CT617" s="59"/>
      <c r="CU617" s="59"/>
      <c r="CV617" s="59"/>
      <c r="CW617" s="59"/>
      <c r="CX617" s="59"/>
      <c r="CY617" s="59"/>
      <c r="CZ617" s="59"/>
      <c r="DA617" s="59"/>
      <c r="DB617" s="59"/>
      <c r="DC617" s="59"/>
      <c r="DD617" s="59"/>
      <c r="DE617" s="59"/>
      <c r="DF617" s="59"/>
      <c r="DG617" s="59"/>
    </row>
    <row r="618" spans="1:111" ht="11.2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  <c r="AJ618" s="59"/>
      <c r="AK618" s="59"/>
      <c r="AL618" s="59"/>
      <c r="AM618" s="59"/>
      <c r="AN618" s="59"/>
      <c r="AO618" s="59"/>
      <c r="AP618" s="59"/>
      <c r="AQ618" s="59"/>
      <c r="AR618" s="59"/>
      <c r="AS618" s="59"/>
      <c r="AT618" s="59"/>
      <c r="AU618" s="59"/>
      <c r="AV618" s="59"/>
      <c r="AW618" s="59"/>
      <c r="AX618" s="59"/>
      <c r="AY618" s="59"/>
      <c r="AZ618" s="59"/>
      <c r="BA618" s="59"/>
      <c r="BB618" s="59"/>
      <c r="BC618" s="59"/>
      <c r="BD618" s="59"/>
      <c r="BE618" s="59"/>
      <c r="BF618" s="59"/>
      <c r="BG618" s="59"/>
      <c r="BH618" s="59"/>
      <c r="BI618" s="59"/>
      <c r="BJ618" s="59"/>
      <c r="BK618" s="59"/>
      <c r="BL618" s="59"/>
      <c r="BM618" s="59"/>
      <c r="BN618" s="59"/>
      <c r="BO618" s="59"/>
      <c r="BP618" s="59"/>
      <c r="BQ618" s="59"/>
      <c r="BR618" s="59"/>
      <c r="BS618" s="59"/>
      <c r="BT618" s="59"/>
      <c r="BU618" s="59"/>
      <c r="BV618" s="59"/>
      <c r="BW618" s="59"/>
      <c r="BX618" s="59"/>
      <c r="BY618" s="59"/>
      <c r="BZ618" s="59"/>
      <c r="CA618" s="59"/>
      <c r="CB618" s="59"/>
      <c r="CC618" s="59"/>
      <c r="CD618" s="59"/>
      <c r="CE618" s="59"/>
      <c r="CF618" s="59"/>
      <c r="CG618" s="59"/>
      <c r="CH618" s="59"/>
      <c r="CI618" s="59"/>
      <c r="CJ618" s="59"/>
      <c r="CK618" s="59"/>
      <c r="CL618" s="59"/>
      <c r="CM618" s="59"/>
      <c r="CN618" s="59"/>
      <c r="CO618" s="59"/>
      <c r="CP618" s="59"/>
      <c r="CQ618" s="59"/>
      <c r="CR618" s="59"/>
      <c r="CS618" s="59"/>
      <c r="CT618" s="59"/>
      <c r="CU618" s="59"/>
      <c r="CV618" s="59"/>
      <c r="CW618" s="59"/>
      <c r="CX618" s="59"/>
      <c r="CY618" s="59"/>
      <c r="CZ618" s="59"/>
      <c r="DA618" s="59"/>
      <c r="DB618" s="59"/>
      <c r="DC618" s="59"/>
      <c r="DD618" s="59"/>
      <c r="DE618" s="59"/>
      <c r="DF618" s="59"/>
      <c r="DG618" s="59"/>
    </row>
    <row r="619" spans="1:111" ht="11.2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  <c r="AJ619" s="59"/>
      <c r="AK619" s="59"/>
      <c r="AL619" s="59"/>
      <c r="AM619" s="59"/>
      <c r="AN619" s="59"/>
      <c r="AO619" s="59"/>
      <c r="AP619" s="59"/>
      <c r="AQ619" s="59"/>
      <c r="AR619" s="59"/>
      <c r="AS619" s="59"/>
      <c r="AT619" s="59"/>
      <c r="AU619" s="59"/>
      <c r="AV619" s="59"/>
      <c r="AW619" s="59"/>
      <c r="AX619" s="59"/>
      <c r="AY619" s="59"/>
      <c r="AZ619" s="59"/>
      <c r="BA619" s="59"/>
      <c r="BB619" s="59"/>
      <c r="BC619" s="59"/>
      <c r="BD619" s="59"/>
      <c r="BE619" s="59"/>
      <c r="BF619" s="59"/>
      <c r="BG619" s="59"/>
      <c r="BH619" s="59"/>
      <c r="BI619" s="59"/>
      <c r="BJ619" s="59"/>
      <c r="BK619" s="59"/>
      <c r="BL619" s="59"/>
      <c r="BM619" s="59"/>
      <c r="BN619" s="59"/>
      <c r="BO619" s="59"/>
      <c r="BP619" s="59"/>
      <c r="BQ619" s="59"/>
      <c r="BR619" s="59"/>
      <c r="BS619" s="59"/>
      <c r="BT619" s="59"/>
      <c r="BU619" s="59"/>
      <c r="BV619" s="59"/>
      <c r="BW619" s="59"/>
      <c r="BX619" s="59"/>
      <c r="BY619" s="59"/>
      <c r="BZ619" s="59"/>
      <c r="CA619" s="59"/>
      <c r="CB619" s="59"/>
      <c r="CC619" s="59"/>
      <c r="CD619" s="59"/>
      <c r="CE619" s="59"/>
      <c r="CF619" s="59"/>
      <c r="CG619" s="59"/>
      <c r="CH619" s="59"/>
      <c r="CI619" s="59"/>
      <c r="CJ619" s="59"/>
      <c r="CK619" s="59"/>
      <c r="CL619" s="59"/>
      <c r="CM619" s="59"/>
      <c r="CN619" s="59"/>
      <c r="CO619" s="59"/>
      <c r="CP619" s="59"/>
      <c r="CQ619" s="59"/>
      <c r="CR619" s="59"/>
      <c r="CS619" s="59"/>
      <c r="CT619" s="59"/>
      <c r="CU619" s="59"/>
      <c r="CV619" s="59"/>
      <c r="CW619" s="59"/>
      <c r="CX619" s="59"/>
      <c r="CY619" s="59"/>
      <c r="CZ619" s="59"/>
      <c r="DA619" s="59"/>
      <c r="DB619" s="59"/>
      <c r="DC619" s="59"/>
      <c r="DD619" s="59"/>
      <c r="DE619" s="59"/>
      <c r="DF619" s="59"/>
      <c r="DG619" s="59"/>
    </row>
    <row r="620" spans="1:111" ht="11.2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  <c r="AJ620" s="59"/>
      <c r="AK620" s="59"/>
      <c r="AL620" s="59"/>
      <c r="AM620" s="59"/>
      <c r="AN620" s="59"/>
      <c r="AO620" s="59"/>
      <c r="AP620" s="59"/>
      <c r="AQ620" s="59"/>
      <c r="AR620" s="59"/>
      <c r="AS620" s="59"/>
      <c r="AT620" s="59"/>
      <c r="AU620" s="59"/>
      <c r="AV620" s="59"/>
      <c r="AW620" s="59"/>
      <c r="AX620" s="59"/>
      <c r="AY620" s="59"/>
      <c r="AZ620" s="59"/>
      <c r="BA620" s="59"/>
      <c r="BB620" s="59"/>
      <c r="BC620" s="59"/>
      <c r="BD620" s="59"/>
      <c r="BE620" s="59"/>
      <c r="BF620" s="59"/>
      <c r="BG620" s="59"/>
      <c r="BH620" s="59"/>
      <c r="BI620" s="59"/>
      <c r="BJ620" s="59"/>
      <c r="BK620" s="59"/>
      <c r="BL620" s="59"/>
      <c r="BM620" s="59"/>
      <c r="BN620" s="59"/>
      <c r="BO620" s="59"/>
      <c r="BP620" s="59"/>
      <c r="BQ620" s="59"/>
      <c r="BR620" s="59"/>
      <c r="BS620" s="59"/>
      <c r="BT620" s="59"/>
      <c r="BU620" s="59"/>
      <c r="BV620" s="59"/>
      <c r="BW620" s="59"/>
      <c r="BX620" s="59"/>
      <c r="BY620" s="59"/>
      <c r="BZ620" s="59"/>
      <c r="CA620" s="59"/>
      <c r="CB620" s="59"/>
      <c r="CC620" s="59"/>
      <c r="CD620" s="59"/>
      <c r="CE620" s="59"/>
      <c r="CF620" s="59"/>
      <c r="CG620" s="59"/>
      <c r="CH620" s="59"/>
      <c r="CI620" s="59"/>
      <c r="CJ620" s="59"/>
      <c r="CK620" s="59"/>
      <c r="CL620" s="59"/>
      <c r="CM620" s="59"/>
      <c r="CN620" s="59"/>
      <c r="CO620" s="59"/>
      <c r="CP620" s="59"/>
      <c r="CQ620" s="59"/>
      <c r="CR620" s="59"/>
      <c r="CS620" s="59"/>
      <c r="CT620" s="59"/>
      <c r="CU620" s="59"/>
      <c r="CV620" s="59"/>
      <c r="CW620" s="59"/>
      <c r="CX620" s="59"/>
      <c r="CY620" s="59"/>
      <c r="CZ620" s="59"/>
      <c r="DA620" s="59"/>
      <c r="DB620" s="59"/>
      <c r="DC620" s="59"/>
      <c r="DD620" s="59"/>
      <c r="DE620" s="59"/>
      <c r="DF620" s="59"/>
      <c r="DG620" s="59"/>
    </row>
    <row r="621" spans="1:111" ht="11.2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  <c r="AJ621" s="59"/>
      <c r="AK621" s="59"/>
      <c r="AL621" s="59"/>
      <c r="AM621" s="59"/>
      <c r="AN621" s="59"/>
      <c r="AO621" s="59"/>
      <c r="AP621" s="59"/>
      <c r="AQ621" s="59"/>
      <c r="AR621" s="59"/>
      <c r="AS621" s="59"/>
      <c r="AT621" s="59"/>
      <c r="AU621" s="59"/>
      <c r="AV621" s="59"/>
      <c r="AW621" s="59"/>
      <c r="AX621" s="59"/>
      <c r="AY621" s="59"/>
      <c r="AZ621" s="59"/>
      <c r="BA621" s="59"/>
      <c r="BB621" s="59"/>
      <c r="BC621" s="59"/>
      <c r="BD621" s="59"/>
      <c r="BE621" s="59"/>
      <c r="BF621" s="59"/>
      <c r="BG621" s="59"/>
      <c r="BH621" s="59"/>
      <c r="BI621" s="59"/>
      <c r="BJ621" s="59"/>
      <c r="BK621" s="59"/>
      <c r="BL621" s="59"/>
      <c r="BM621" s="59"/>
      <c r="BN621" s="59"/>
      <c r="BO621" s="59"/>
      <c r="BP621" s="59"/>
      <c r="BQ621" s="59"/>
      <c r="BR621" s="59"/>
      <c r="BS621" s="59"/>
      <c r="BT621" s="59"/>
      <c r="BU621" s="59"/>
      <c r="BV621" s="59"/>
      <c r="BW621" s="59"/>
      <c r="BX621" s="59"/>
      <c r="BY621" s="59"/>
      <c r="BZ621" s="59"/>
      <c r="CA621" s="59"/>
      <c r="CB621" s="59"/>
      <c r="CC621" s="59"/>
      <c r="CD621" s="59"/>
      <c r="CE621" s="59"/>
      <c r="CF621" s="59"/>
      <c r="CG621" s="59"/>
      <c r="CH621" s="59"/>
      <c r="CI621" s="59"/>
      <c r="CJ621" s="59"/>
      <c r="CK621" s="59"/>
      <c r="CL621" s="59"/>
      <c r="CM621" s="59"/>
      <c r="CN621" s="59"/>
      <c r="CO621" s="59"/>
      <c r="CP621" s="59"/>
      <c r="CQ621" s="59"/>
      <c r="CR621" s="59"/>
      <c r="CS621" s="59"/>
      <c r="CT621" s="59"/>
      <c r="CU621" s="59"/>
      <c r="CV621" s="59"/>
      <c r="CW621" s="59"/>
      <c r="CX621" s="59"/>
      <c r="CY621" s="59"/>
      <c r="CZ621" s="59"/>
      <c r="DA621" s="59"/>
      <c r="DB621" s="59"/>
      <c r="DC621" s="59"/>
      <c r="DD621" s="59"/>
      <c r="DE621" s="59"/>
      <c r="DF621" s="59"/>
      <c r="DG621" s="59"/>
    </row>
    <row r="622" spans="1:111" ht="11.2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9"/>
      <c r="AW622" s="59"/>
      <c r="AX622" s="59"/>
      <c r="AY622" s="59"/>
      <c r="AZ622" s="59"/>
      <c r="BA622" s="59"/>
      <c r="BB622" s="59"/>
      <c r="BC622" s="59"/>
      <c r="BD622" s="59"/>
      <c r="BE622" s="59"/>
      <c r="BF622" s="59"/>
      <c r="BG622" s="59"/>
      <c r="BH622" s="59"/>
      <c r="BI622" s="59"/>
      <c r="BJ622" s="59"/>
      <c r="BK622" s="59"/>
      <c r="BL622" s="59"/>
      <c r="BM622" s="59"/>
      <c r="BN622" s="59"/>
      <c r="BO622" s="59"/>
      <c r="BP622" s="59"/>
      <c r="BQ622" s="59"/>
      <c r="BR622" s="59"/>
      <c r="BS622" s="59"/>
      <c r="BT622" s="59"/>
      <c r="BU622" s="59"/>
      <c r="BV622" s="59"/>
      <c r="BW622" s="59"/>
      <c r="BX622" s="59"/>
      <c r="BY622" s="59"/>
      <c r="BZ622" s="59"/>
      <c r="CA622" s="59"/>
      <c r="CB622" s="59"/>
      <c r="CC622" s="59"/>
      <c r="CD622" s="59"/>
      <c r="CE622" s="59"/>
      <c r="CF622" s="59"/>
      <c r="CG622" s="59"/>
      <c r="CH622" s="59"/>
      <c r="CI622" s="59"/>
      <c r="CJ622" s="59"/>
      <c r="CK622" s="59"/>
      <c r="CL622" s="59"/>
      <c r="CM622" s="59"/>
      <c r="CN622" s="59"/>
      <c r="CO622" s="59"/>
      <c r="CP622" s="59"/>
      <c r="CQ622" s="59"/>
      <c r="CR622" s="59"/>
      <c r="CS622" s="59"/>
      <c r="CT622" s="59"/>
      <c r="CU622" s="59"/>
      <c r="CV622" s="59"/>
      <c r="CW622" s="59"/>
      <c r="CX622" s="59"/>
      <c r="CY622" s="59"/>
      <c r="CZ622" s="59"/>
      <c r="DA622" s="59"/>
      <c r="DB622" s="59"/>
      <c r="DC622" s="59"/>
      <c r="DD622" s="59"/>
      <c r="DE622" s="59"/>
      <c r="DF622" s="59"/>
      <c r="DG622" s="59"/>
    </row>
    <row r="623" spans="1:111" ht="11.2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  <c r="AJ623" s="59"/>
      <c r="AK623" s="59"/>
      <c r="AL623" s="59"/>
      <c r="AM623" s="59"/>
      <c r="AN623" s="59"/>
      <c r="AO623" s="59"/>
      <c r="AP623" s="59"/>
      <c r="AQ623" s="59"/>
      <c r="AR623" s="59"/>
      <c r="AS623" s="59"/>
      <c r="AT623" s="59"/>
      <c r="AU623" s="59"/>
      <c r="AV623" s="59"/>
      <c r="AW623" s="59"/>
      <c r="AX623" s="59"/>
      <c r="AY623" s="59"/>
      <c r="AZ623" s="59"/>
      <c r="BA623" s="59"/>
      <c r="BB623" s="59"/>
      <c r="BC623" s="59"/>
      <c r="BD623" s="59"/>
      <c r="BE623" s="59"/>
      <c r="BF623" s="59"/>
      <c r="BG623" s="59"/>
      <c r="BH623" s="59"/>
      <c r="BI623" s="59"/>
      <c r="BJ623" s="59"/>
      <c r="BK623" s="59"/>
      <c r="BL623" s="59"/>
      <c r="BM623" s="59"/>
      <c r="BN623" s="59"/>
      <c r="BO623" s="59"/>
      <c r="BP623" s="59"/>
      <c r="BQ623" s="59"/>
      <c r="BR623" s="59"/>
      <c r="BS623" s="59"/>
      <c r="BT623" s="59"/>
      <c r="BU623" s="59"/>
      <c r="BV623" s="59"/>
      <c r="BW623" s="59"/>
      <c r="BX623" s="59"/>
      <c r="BY623" s="59"/>
      <c r="BZ623" s="59"/>
      <c r="CA623" s="59"/>
      <c r="CB623" s="59"/>
      <c r="CC623" s="59"/>
      <c r="CD623" s="59"/>
      <c r="CE623" s="59"/>
      <c r="CF623" s="59"/>
      <c r="CG623" s="59"/>
      <c r="CH623" s="59"/>
      <c r="CI623" s="59"/>
      <c r="CJ623" s="59"/>
      <c r="CK623" s="59"/>
      <c r="CL623" s="59"/>
      <c r="CM623" s="59"/>
      <c r="CN623" s="59"/>
      <c r="CO623" s="59"/>
      <c r="CP623" s="59"/>
      <c r="CQ623" s="59"/>
      <c r="CR623" s="59"/>
      <c r="CS623" s="59"/>
      <c r="CT623" s="59"/>
      <c r="CU623" s="59"/>
      <c r="CV623" s="59"/>
      <c r="CW623" s="59"/>
      <c r="CX623" s="59"/>
      <c r="CY623" s="59"/>
      <c r="CZ623" s="59"/>
      <c r="DA623" s="59"/>
      <c r="DB623" s="59"/>
      <c r="DC623" s="59"/>
      <c r="DD623" s="59"/>
      <c r="DE623" s="59"/>
      <c r="DF623" s="59"/>
      <c r="DG623" s="59"/>
    </row>
    <row r="624" spans="1:111" ht="11.2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9"/>
      <c r="AQ624" s="59"/>
      <c r="AR624" s="59"/>
      <c r="AS624" s="59"/>
      <c r="AT624" s="59"/>
      <c r="AU624" s="59"/>
      <c r="AV624" s="59"/>
      <c r="AW624" s="59"/>
      <c r="AX624" s="59"/>
      <c r="AY624" s="59"/>
      <c r="AZ624" s="59"/>
      <c r="BA624" s="59"/>
      <c r="BB624" s="59"/>
      <c r="BC624" s="59"/>
      <c r="BD624" s="59"/>
      <c r="BE624" s="59"/>
      <c r="BF624" s="59"/>
      <c r="BG624" s="59"/>
      <c r="BH624" s="59"/>
      <c r="BI624" s="59"/>
      <c r="BJ624" s="59"/>
      <c r="BK624" s="59"/>
      <c r="BL624" s="59"/>
      <c r="BM624" s="59"/>
      <c r="BN624" s="59"/>
      <c r="BO624" s="59"/>
      <c r="BP624" s="59"/>
      <c r="BQ624" s="59"/>
      <c r="BR624" s="59"/>
      <c r="BS624" s="59"/>
      <c r="BT624" s="59"/>
      <c r="BU624" s="59"/>
      <c r="BV624" s="59"/>
      <c r="BW624" s="59"/>
      <c r="BX624" s="59"/>
      <c r="BY624" s="59"/>
      <c r="BZ624" s="59"/>
      <c r="CA624" s="59"/>
      <c r="CB624" s="59"/>
      <c r="CC624" s="59"/>
      <c r="CD624" s="59"/>
      <c r="CE624" s="59"/>
      <c r="CF624" s="59"/>
      <c r="CG624" s="59"/>
      <c r="CH624" s="59"/>
      <c r="CI624" s="59"/>
      <c r="CJ624" s="59"/>
      <c r="CK624" s="59"/>
      <c r="CL624" s="59"/>
      <c r="CM624" s="59"/>
      <c r="CN624" s="59"/>
      <c r="CO624" s="59"/>
      <c r="CP624" s="59"/>
      <c r="CQ624" s="59"/>
      <c r="CR624" s="59"/>
      <c r="CS624" s="59"/>
      <c r="CT624" s="59"/>
      <c r="CU624" s="59"/>
      <c r="CV624" s="59"/>
      <c r="CW624" s="59"/>
      <c r="CX624" s="59"/>
      <c r="CY624" s="59"/>
      <c r="CZ624" s="59"/>
      <c r="DA624" s="59"/>
      <c r="DB624" s="59"/>
      <c r="DC624" s="59"/>
      <c r="DD624" s="59"/>
      <c r="DE624" s="59"/>
      <c r="DF624" s="59"/>
      <c r="DG624" s="59"/>
    </row>
    <row r="625" spans="1:111" ht="11.2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  <c r="BB625" s="59"/>
      <c r="BC625" s="59"/>
      <c r="BD625" s="59"/>
      <c r="BE625" s="59"/>
      <c r="BF625" s="59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59"/>
      <c r="BZ625" s="59"/>
      <c r="CA625" s="59"/>
      <c r="CB625" s="59"/>
      <c r="CC625" s="59"/>
      <c r="CD625" s="59"/>
      <c r="CE625" s="59"/>
      <c r="CF625" s="59"/>
      <c r="CG625" s="59"/>
      <c r="CH625" s="59"/>
      <c r="CI625" s="59"/>
      <c r="CJ625" s="59"/>
      <c r="CK625" s="59"/>
      <c r="CL625" s="59"/>
      <c r="CM625" s="59"/>
      <c r="CN625" s="59"/>
      <c r="CO625" s="59"/>
      <c r="CP625" s="59"/>
      <c r="CQ625" s="59"/>
      <c r="CR625" s="59"/>
      <c r="CS625" s="59"/>
      <c r="CT625" s="59"/>
      <c r="CU625" s="59"/>
      <c r="CV625" s="59"/>
      <c r="CW625" s="59"/>
      <c r="CX625" s="59"/>
      <c r="CY625" s="59"/>
      <c r="CZ625" s="59"/>
      <c r="DA625" s="59"/>
      <c r="DB625" s="59"/>
      <c r="DC625" s="59"/>
      <c r="DD625" s="59"/>
      <c r="DE625" s="59"/>
      <c r="DF625" s="59"/>
      <c r="DG625" s="59"/>
    </row>
    <row r="626" spans="1:111" ht="11.2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  <c r="BB626" s="59"/>
      <c r="BC626" s="59"/>
      <c r="BD626" s="59"/>
      <c r="BE626" s="59"/>
      <c r="BF626" s="59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59"/>
      <c r="BZ626" s="59"/>
      <c r="CA626" s="59"/>
      <c r="CB626" s="59"/>
      <c r="CC626" s="59"/>
      <c r="CD626" s="59"/>
      <c r="CE626" s="59"/>
      <c r="CF626" s="59"/>
      <c r="CG626" s="59"/>
      <c r="CH626" s="59"/>
      <c r="CI626" s="59"/>
      <c r="CJ626" s="59"/>
      <c r="CK626" s="59"/>
      <c r="CL626" s="59"/>
      <c r="CM626" s="59"/>
      <c r="CN626" s="59"/>
      <c r="CO626" s="59"/>
      <c r="CP626" s="59"/>
      <c r="CQ626" s="59"/>
      <c r="CR626" s="59"/>
      <c r="CS626" s="59"/>
      <c r="CT626" s="59"/>
      <c r="CU626" s="59"/>
      <c r="CV626" s="59"/>
      <c r="CW626" s="59"/>
      <c r="CX626" s="59"/>
      <c r="CY626" s="59"/>
      <c r="CZ626" s="59"/>
      <c r="DA626" s="59"/>
      <c r="DB626" s="59"/>
      <c r="DC626" s="59"/>
      <c r="DD626" s="59"/>
      <c r="DE626" s="59"/>
      <c r="DF626" s="59"/>
      <c r="DG626" s="59"/>
    </row>
    <row r="627" spans="1:111" ht="11.2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9"/>
      <c r="AW627" s="59"/>
      <c r="AX627" s="59"/>
      <c r="AY627" s="59"/>
      <c r="AZ627" s="59"/>
      <c r="BA627" s="59"/>
      <c r="BB627" s="59"/>
      <c r="BC627" s="59"/>
      <c r="BD627" s="59"/>
      <c r="BE627" s="59"/>
      <c r="BF627" s="59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59"/>
      <c r="BZ627" s="59"/>
      <c r="CA627" s="59"/>
      <c r="CB627" s="59"/>
      <c r="CC627" s="59"/>
      <c r="CD627" s="59"/>
      <c r="CE627" s="59"/>
      <c r="CF627" s="59"/>
      <c r="CG627" s="59"/>
      <c r="CH627" s="59"/>
      <c r="CI627" s="59"/>
      <c r="CJ627" s="59"/>
      <c r="CK627" s="59"/>
      <c r="CL627" s="59"/>
      <c r="CM627" s="59"/>
      <c r="CN627" s="59"/>
      <c r="CO627" s="59"/>
      <c r="CP627" s="59"/>
      <c r="CQ627" s="59"/>
      <c r="CR627" s="59"/>
      <c r="CS627" s="59"/>
      <c r="CT627" s="59"/>
      <c r="CU627" s="59"/>
      <c r="CV627" s="59"/>
      <c r="CW627" s="59"/>
      <c r="CX627" s="59"/>
      <c r="CY627" s="59"/>
      <c r="CZ627" s="59"/>
      <c r="DA627" s="59"/>
      <c r="DB627" s="59"/>
      <c r="DC627" s="59"/>
      <c r="DD627" s="59"/>
      <c r="DE627" s="59"/>
      <c r="DF627" s="59"/>
      <c r="DG627" s="59"/>
    </row>
    <row r="628" spans="1:111" ht="11.2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9"/>
      <c r="AW628" s="59"/>
      <c r="AX628" s="59"/>
      <c r="AY628" s="59"/>
      <c r="AZ628" s="59"/>
      <c r="BA628" s="59"/>
      <c r="BB628" s="59"/>
      <c r="BC628" s="59"/>
      <c r="BD628" s="59"/>
      <c r="BE628" s="59"/>
      <c r="BF628" s="59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59"/>
      <c r="BZ628" s="59"/>
      <c r="CA628" s="59"/>
      <c r="CB628" s="59"/>
      <c r="CC628" s="59"/>
      <c r="CD628" s="59"/>
      <c r="CE628" s="59"/>
      <c r="CF628" s="59"/>
      <c r="CG628" s="59"/>
      <c r="CH628" s="59"/>
      <c r="CI628" s="59"/>
      <c r="CJ628" s="59"/>
      <c r="CK628" s="59"/>
      <c r="CL628" s="59"/>
      <c r="CM628" s="59"/>
      <c r="CN628" s="59"/>
      <c r="CO628" s="59"/>
      <c r="CP628" s="59"/>
      <c r="CQ628" s="59"/>
      <c r="CR628" s="59"/>
      <c r="CS628" s="59"/>
      <c r="CT628" s="59"/>
      <c r="CU628" s="59"/>
      <c r="CV628" s="59"/>
      <c r="CW628" s="59"/>
      <c r="CX628" s="59"/>
      <c r="CY628" s="59"/>
      <c r="CZ628" s="59"/>
      <c r="DA628" s="59"/>
      <c r="DB628" s="59"/>
      <c r="DC628" s="59"/>
      <c r="DD628" s="59"/>
      <c r="DE628" s="59"/>
      <c r="DF628" s="59"/>
      <c r="DG628" s="59"/>
    </row>
    <row r="629" spans="1:111" ht="11.2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59"/>
      <c r="AO629" s="59"/>
      <c r="AP629" s="59"/>
      <c r="AQ629" s="59"/>
      <c r="AR629" s="59"/>
      <c r="AS629" s="59"/>
      <c r="AT629" s="59"/>
      <c r="AU629" s="59"/>
      <c r="AV629" s="59"/>
      <c r="AW629" s="59"/>
      <c r="AX629" s="59"/>
      <c r="AY629" s="59"/>
      <c r="AZ629" s="59"/>
      <c r="BA629" s="59"/>
      <c r="BB629" s="59"/>
      <c r="BC629" s="59"/>
      <c r="BD629" s="59"/>
      <c r="BE629" s="59"/>
      <c r="BF629" s="59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59"/>
      <c r="BZ629" s="59"/>
      <c r="CA629" s="59"/>
      <c r="CB629" s="59"/>
      <c r="CC629" s="59"/>
      <c r="CD629" s="59"/>
      <c r="CE629" s="59"/>
      <c r="CF629" s="59"/>
      <c r="CG629" s="59"/>
      <c r="CH629" s="59"/>
      <c r="CI629" s="59"/>
      <c r="CJ629" s="59"/>
      <c r="CK629" s="59"/>
      <c r="CL629" s="59"/>
      <c r="CM629" s="59"/>
      <c r="CN629" s="59"/>
      <c r="CO629" s="59"/>
      <c r="CP629" s="59"/>
      <c r="CQ629" s="59"/>
      <c r="CR629" s="59"/>
      <c r="CS629" s="59"/>
      <c r="CT629" s="59"/>
      <c r="CU629" s="59"/>
      <c r="CV629" s="59"/>
      <c r="CW629" s="59"/>
      <c r="CX629" s="59"/>
      <c r="CY629" s="59"/>
      <c r="CZ629" s="59"/>
      <c r="DA629" s="59"/>
      <c r="DB629" s="59"/>
      <c r="DC629" s="59"/>
      <c r="DD629" s="59"/>
      <c r="DE629" s="59"/>
      <c r="DF629" s="59"/>
      <c r="DG629" s="59"/>
    </row>
    <row r="630" spans="1:111" ht="11.2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59"/>
      <c r="AO630" s="59"/>
      <c r="AP630" s="59"/>
      <c r="AQ630" s="59"/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  <c r="BB630" s="59"/>
      <c r="BC630" s="59"/>
      <c r="BD630" s="59"/>
      <c r="BE630" s="59"/>
      <c r="BF630" s="59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59"/>
      <c r="BZ630" s="59"/>
      <c r="CA630" s="59"/>
      <c r="CB630" s="59"/>
      <c r="CC630" s="59"/>
      <c r="CD630" s="59"/>
      <c r="CE630" s="59"/>
      <c r="CF630" s="59"/>
      <c r="CG630" s="59"/>
      <c r="CH630" s="59"/>
      <c r="CI630" s="59"/>
      <c r="CJ630" s="59"/>
      <c r="CK630" s="59"/>
      <c r="CL630" s="59"/>
      <c r="CM630" s="59"/>
      <c r="CN630" s="59"/>
      <c r="CO630" s="59"/>
      <c r="CP630" s="59"/>
      <c r="CQ630" s="59"/>
      <c r="CR630" s="59"/>
      <c r="CS630" s="59"/>
      <c r="CT630" s="59"/>
      <c r="CU630" s="59"/>
      <c r="CV630" s="59"/>
      <c r="CW630" s="59"/>
      <c r="CX630" s="59"/>
      <c r="CY630" s="59"/>
      <c r="CZ630" s="59"/>
      <c r="DA630" s="59"/>
      <c r="DB630" s="59"/>
      <c r="DC630" s="59"/>
      <c r="DD630" s="59"/>
      <c r="DE630" s="59"/>
      <c r="DF630" s="59"/>
      <c r="DG630" s="59"/>
    </row>
    <row r="631" spans="1:111" ht="11.2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59"/>
      <c r="AO631" s="59"/>
      <c r="AP631" s="59"/>
      <c r="AQ631" s="59"/>
      <c r="AR631" s="59"/>
      <c r="AS631" s="59"/>
      <c r="AT631" s="59"/>
      <c r="AU631" s="59"/>
      <c r="AV631" s="59"/>
      <c r="AW631" s="59"/>
      <c r="AX631" s="59"/>
      <c r="AY631" s="59"/>
      <c r="AZ631" s="59"/>
      <c r="BA631" s="59"/>
      <c r="BB631" s="59"/>
      <c r="BC631" s="59"/>
      <c r="BD631" s="59"/>
      <c r="BE631" s="59"/>
      <c r="BF631" s="59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59"/>
      <c r="BZ631" s="59"/>
      <c r="CA631" s="59"/>
      <c r="CB631" s="59"/>
      <c r="CC631" s="59"/>
      <c r="CD631" s="59"/>
      <c r="CE631" s="59"/>
      <c r="CF631" s="59"/>
      <c r="CG631" s="59"/>
      <c r="CH631" s="59"/>
      <c r="CI631" s="59"/>
      <c r="CJ631" s="59"/>
      <c r="CK631" s="59"/>
      <c r="CL631" s="59"/>
      <c r="CM631" s="59"/>
      <c r="CN631" s="59"/>
      <c r="CO631" s="59"/>
      <c r="CP631" s="59"/>
      <c r="CQ631" s="59"/>
      <c r="CR631" s="59"/>
      <c r="CS631" s="59"/>
      <c r="CT631" s="59"/>
      <c r="CU631" s="59"/>
      <c r="CV631" s="59"/>
      <c r="CW631" s="59"/>
      <c r="CX631" s="59"/>
      <c r="CY631" s="59"/>
      <c r="CZ631" s="59"/>
      <c r="DA631" s="59"/>
      <c r="DB631" s="59"/>
      <c r="DC631" s="59"/>
      <c r="DD631" s="59"/>
      <c r="DE631" s="59"/>
      <c r="DF631" s="59"/>
      <c r="DG631" s="59"/>
    </row>
    <row r="632" spans="1:111" ht="11.2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  <c r="BB632" s="59"/>
      <c r="BC632" s="59"/>
      <c r="BD632" s="59"/>
      <c r="BE632" s="59"/>
      <c r="BF632" s="59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59"/>
      <c r="CA632" s="59"/>
      <c r="CB632" s="59"/>
      <c r="CC632" s="59"/>
      <c r="CD632" s="59"/>
      <c r="CE632" s="59"/>
      <c r="CF632" s="59"/>
      <c r="CG632" s="59"/>
      <c r="CH632" s="59"/>
      <c r="CI632" s="59"/>
      <c r="CJ632" s="59"/>
      <c r="CK632" s="59"/>
      <c r="CL632" s="59"/>
      <c r="CM632" s="59"/>
      <c r="CN632" s="59"/>
      <c r="CO632" s="59"/>
      <c r="CP632" s="59"/>
      <c r="CQ632" s="59"/>
      <c r="CR632" s="59"/>
      <c r="CS632" s="59"/>
      <c r="CT632" s="59"/>
      <c r="CU632" s="59"/>
      <c r="CV632" s="59"/>
      <c r="CW632" s="59"/>
      <c r="CX632" s="59"/>
      <c r="CY632" s="59"/>
      <c r="CZ632" s="59"/>
      <c r="DA632" s="59"/>
      <c r="DB632" s="59"/>
      <c r="DC632" s="59"/>
      <c r="DD632" s="59"/>
      <c r="DE632" s="59"/>
      <c r="DF632" s="59"/>
      <c r="DG632" s="59"/>
    </row>
    <row r="633" spans="1:111" ht="11.2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59"/>
      <c r="AO633" s="59"/>
      <c r="AP633" s="59"/>
      <c r="AQ633" s="59"/>
      <c r="AR633" s="59"/>
      <c r="AS633" s="59"/>
      <c r="AT633" s="59"/>
      <c r="AU633" s="59"/>
      <c r="AV633" s="59"/>
      <c r="AW633" s="59"/>
      <c r="AX633" s="59"/>
      <c r="AY633" s="59"/>
      <c r="AZ633" s="59"/>
      <c r="BA633" s="59"/>
      <c r="BB633" s="59"/>
      <c r="BC633" s="59"/>
      <c r="BD633" s="59"/>
      <c r="BE633" s="59"/>
      <c r="BF633" s="59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59"/>
      <c r="BZ633" s="59"/>
      <c r="CA633" s="59"/>
      <c r="CB633" s="59"/>
      <c r="CC633" s="59"/>
      <c r="CD633" s="59"/>
      <c r="CE633" s="59"/>
      <c r="CF633" s="59"/>
      <c r="CG633" s="59"/>
      <c r="CH633" s="59"/>
      <c r="CI633" s="59"/>
      <c r="CJ633" s="59"/>
      <c r="CK633" s="59"/>
      <c r="CL633" s="59"/>
      <c r="CM633" s="59"/>
      <c r="CN633" s="59"/>
      <c r="CO633" s="59"/>
      <c r="CP633" s="59"/>
      <c r="CQ633" s="59"/>
      <c r="CR633" s="59"/>
      <c r="CS633" s="59"/>
      <c r="CT633" s="59"/>
      <c r="CU633" s="59"/>
      <c r="CV633" s="59"/>
      <c r="CW633" s="59"/>
      <c r="CX633" s="59"/>
      <c r="CY633" s="59"/>
      <c r="CZ633" s="59"/>
      <c r="DA633" s="59"/>
      <c r="DB633" s="59"/>
      <c r="DC633" s="59"/>
      <c r="DD633" s="59"/>
      <c r="DE633" s="59"/>
      <c r="DF633" s="59"/>
      <c r="DG633" s="59"/>
    </row>
    <row r="634" spans="1:111" ht="11.2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  <c r="BB634" s="59"/>
      <c r="BC634" s="59"/>
      <c r="BD634" s="59"/>
      <c r="BE634" s="59"/>
      <c r="BF634" s="59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59"/>
      <c r="CA634" s="59"/>
      <c r="CB634" s="59"/>
      <c r="CC634" s="59"/>
      <c r="CD634" s="59"/>
      <c r="CE634" s="59"/>
      <c r="CF634" s="59"/>
      <c r="CG634" s="59"/>
      <c r="CH634" s="59"/>
      <c r="CI634" s="59"/>
      <c r="CJ634" s="59"/>
      <c r="CK634" s="59"/>
      <c r="CL634" s="59"/>
      <c r="CM634" s="59"/>
      <c r="CN634" s="59"/>
      <c r="CO634" s="59"/>
      <c r="CP634" s="59"/>
      <c r="CQ634" s="59"/>
      <c r="CR634" s="59"/>
      <c r="CS634" s="59"/>
      <c r="CT634" s="59"/>
      <c r="CU634" s="59"/>
      <c r="CV634" s="59"/>
      <c r="CW634" s="59"/>
      <c r="CX634" s="59"/>
      <c r="CY634" s="59"/>
      <c r="CZ634" s="59"/>
      <c r="DA634" s="59"/>
      <c r="DB634" s="59"/>
      <c r="DC634" s="59"/>
      <c r="DD634" s="59"/>
      <c r="DE634" s="59"/>
      <c r="DF634" s="59"/>
      <c r="DG634" s="59"/>
    </row>
    <row r="635" spans="1:111" ht="11.2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  <c r="BC635" s="59"/>
      <c r="BD635" s="59"/>
      <c r="BE635" s="59"/>
      <c r="BF635" s="59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  <c r="BZ635" s="59"/>
      <c r="CA635" s="59"/>
      <c r="CB635" s="59"/>
      <c r="CC635" s="59"/>
      <c r="CD635" s="59"/>
      <c r="CE635" s="59"/>
      <c r="CF635" s="59"/>
      <c r="CG635" s="59"/>
      <c r="CH635" s="59"/>
      <c r="CI635" s="59"/>
      <c r="CJ635" s="59"/>
      <c r="CK635" s="59"/>
      <c r="CL635" s="59"/>
      <c r="CM635" s="59"/>
      <c r="CN635" s="59"/>
      <c r="CO635" s="59"/>
      <c r="CP635" s="59"/>
      <c r="CQ635" s="59"/>
      <c r="CR635" s="59"/>
      <c r="CS635" s="59"/>
      <c r="CT635" s="59"/>
      <c r="CU635" s="59"/>
      <c r="CV635" s="59"/>
      <c r="CW635" s="59"/>
      <c r="CX635" s="59"/>
      <c r="CY635" s="59"/>
      <c r="CZ635" s="59"/>
      <c r="DA635" s="59"/>
      <c r="DB635" s="59"/>
      <c r="DC635" s="59"/>
      <c r="DD635" s="59"/>
      <c r="DE635" s="59"/>
      <c r="DF635" s="59"/>
      <c r="DG635" s="59"/>
    </row>
    <row r="636" spans="1:111" ht="11.2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  <c r="BC636" s="59"/>
      <c r="BD636" s="59"/>
      <c r="BE636" s="59"/>
      <c r="BF636" s="59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59"/>
      <c r="CA636" s="59"/>
      <c r="CB636" s="59"/>
      <c r="CC636" s="59"/>
      <c r="CD636" s="59"/>
      <c r="CE636" s="59"/>
      <c r="CF636" s="59"/>
      <c r="CG636" s="59"/>
      <c r="CH636" s="59"/>
      <c r="CI636" s="59"/>
      <c r="CJ636" s="59"/>
      <c r="CK636" s="59"/>
      <c r="CL636" s="59"/>
      <c r="CM636" s="59"/>
      <c r="CN636" s="59"/>
      <c r="CO636" s="59"/>
      <c r="CP636" s="59"/>
      <c r="CQ636" s="59"/>
      <c r="CR636" s="59"/>
      <c r="CS636" s="59"/>
      <c r="CT636" s="59"/>
      <c r="CU636" s="59"/>
      <c r="CV636" s="59"/>
      <c r="CW636" s="59"/>
      <c r="CX636" s="59"/>
      <c r="CY636" s="59"/>
      <c r="CZ636" s="59"/>
      <c r="DA636" s="59"/>
      <c r="DB636" s="59"/>
      <c r="DC636" s="59"/>
      <c r="DD636" s="59"/>
      <c r="DE636" s="59"/>
      <c r="DF636" s="59"/>
      <c r="DG636" s="59"/>
    </row>
    <row r="637" spans="1:111" ht="11.2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  <c r="AO637" s="59"/>
      <c r="AP637" s="59"/>
      <c r="AQ637" s="59"/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  <c r="BB637" s="59"/>
      <c r="BC637" s="59"/>
      <c r="BD637" s="59"/>
      <c r="BE637" s="59"/>
      <c r="BF637" s="59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  <c r="BZ637" s="59"/>
      <c r="CA637" s="59"/>
      <c r="CB637" s="59"/>
      <c r="CC637" s="59"/>
      <c r="CD637" s="59"/>
      <c r="CE637" s="59"/>
      <c r="CF637" s="59"/>
      <c r="CG637" s="59"/>
      <c r="CH637" s="59"/>
      <c r="CI637" s="59"/>
      <c r="CJ637" s="59"/>
      <c r="CK637" s="59"/>
      <c r="CL637" s="59"/>
      <c r="CM637" s="59"/>
      <c r="CN637" s="59"/>
      <c r="CO637" s="59"/>
      <c r="CP637" s="59"/>
      <c r="CQ637" s="59"/>
      <c r="CR637" s="59"/>
      <c r="CS637" s="59"/>
      <c r="CT637" s="59"/>
      <c r="CU637" s="59"/>
      <c r="CV637" s="59"/>
      <c r="CW637" s="59"/>
      <c r="CX637" s="59"/>
      <c r="CY637" s="59"/>
      <c r="CZ637" s="59"/>
      <c r="DA637" s="59"/>
      <c r="DB637" s="59"/>
      <c r="DC637" s="59"/>
      <c r="DD637" s="59"/>
      <c r="DE637" s="59"/>
      <c r="DF637" s="59"/>
      <c r="DG637" s="59"/>
    </row>
    <row r="638" spans="1:111" ht="11.2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  <c r="AO638" s="59"/>
      <c r="AP638" s="59"/>
      <c r="AQ638" s="59"/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  <c r="BB638" s="59"/>
      <c r="BC638" s="59"/>
      <c r="BD638" s="59"/>
      <c r="BE638" s="59"/>
      <c r="BF638" s="59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59"/>
      <c r="CA638" s="59"/>
      <c r="CB638" s="59"/>
      <c r="CC638" s="59"/>
      <c r="CD638" s="59"/>
      <c r="CE638" s="59"/>
      <c r="CF638" s="59"/>
      <c r="CG638" s="59"/>
      <c r="CH638" s="59"/>
      <c r="CI638" s="59"/>
      <c r="CJ638" s="59"/>
      <c r="CK638" s="59"/>
      <c r="CL638" s="59"/>
      <c r="CM638" s="59"/>
      <c r="CN638" s="59"/>
      <c r="CO638" s="59"/>
      <c r="CP638" s="59"/>
      <c r="CQ638" s="59"/>
      <c r="CR638" s="59"/>
      <c r="CS638" s="59"/>
      <c r="CT638" s="59"/>
      <c r="CU638" s="59"/>
      <c r="CV638" s="59"/>
      <c r="CW638" s="59"/>
      <c r="CX638" s="59"/>
      <c r="CY638" s="59"/>
      <c r="CZ638" s="59"/>
      <c r="DA638" s="59"/>
      <c r="DB638" s="59"/>
      <c r="DC638" s="59"/>
      <c r="DD638" s="59"/>
      <c r="DE638" s="59"/>
      <c r="DF638" s="59"/>
      <c r="DG638" s="59"/>
    </row>
    <row r="639" spans="1:111" ht="11.2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9"/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  <c r="BB639" s="59"/>
      <c r="BC639" s="59"/>
      <c r="BD639" s="59"/>
      <c r="BE639" s="59"/>
      <c r="BF639" s="59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59"/>
      <c r="CA639" s="59"/>
      <c r="CB639" s="59"/>
      <c r="CC639" s="59"/>
      <c r="CD639" s="59"/>
      <c r="CE639" s="59"/>
      <c r="CF639" s="59"/>
      <c r="CG639" s="59"/>
      <c r="CH639" s="59"/>
      <c r="CI639" s="59"/>
      <c r="CJ639" s="59"/>
      <c r="CK639" s="59"/>
      <c r="CL639" s="59"/>
      <c r="CM639" s="59"/>
      <c r="CN639" s="59"/>
      <c r="CO639" s="59"/>
      <c r="CP639" s="59"/>
      <c r="CQ639" s="59"/>
      <c r="CR639" s="59"/>
      <c r="CS639" s="59"/>
      <c r="CT639" s="59"/>
      <c r="CU639" s="59"/>
      <c r="CV639" s="59"/>
      <c r="CW639" s="59"/>
      <c r="CX639" s="59"/>
      <c r="CY639" s="59"/>
      <c r="CZ639" s="59"/>
      <c r="DA639" s="59"/>
      <c r="DB639" s="59"/>
      <c r="DC639" s="59"/>
      <c r="DD639" s="59"/>
      <c r="DE639" s="59"/>
      <c r="DF639" s="59"/>
      <c r="DG639" s="59"/>
    </row>
    <row r="640" spans="1:111" ht="11.2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  <c r="AO640" s="59"/>
      <c r="AP640" s="59"/>
      <c r="AQ640" s="59"/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  <c r="BB640" s="59"/>
      <c r="BC640" s="59"/>
      <c r="BD640" s="59"/>
      <c r="BE640" s="59"/>
      <c r="BF640" s="59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59"/>
      <c r="CA640" s="59"/>
      <c r="CB640" s="59"/>
      <c r="CC640" s="59"/>
      <c r="CD640" s="59"/>
      <c r="CE640" s="59"/>
      <c r="CF640" s="59"/>
      <c r="CG640" s="59"/>
      <c r="CH640" s="59"/>
      <c r="CI640" s="59"/>
      <c r="CJ640" s="59"/>
      <c r="CK640" s="59"/>
      <c r="CL640" s="59"/>
      <c r="CM640" s="59"/>
      <c r="CN640" s="59"/>
      <c r="CO640" s="59"/>
      <c r="CP640" s="59"/>
      <c r="CQ640" s="59"/>
      <c r="CR640" s="59"/>
      <c r="CS640" s="59"/>
      <c r="CT640" s="59"/>
      <c r="CU640" s="59"/>
      <c r="CV640" s="59"/>
      <c r="CW640" s="59"/>
      <c r="CX640" s="59"/>
      <c r="CY640" s="59"/>
      <c r="CZ640" s="59"/>
      <c r="DA640" s="59"/>
      <c r="DB640" s="59"/>
      <c r="DC640" s="59"/>
      <c r="DD640" s="59"/>
      <c r="DE640" s="59"/>
      <c r="DF640" s="59"/>
      <c r="DG640" s="59"/>
    </row>
    <row r="641" spans="1:111" ht="11.2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  <c r="AO641" s="59"/>
      <c r="AP641" s="59"/>
      <c r="AQ641" s="59"/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  <c r="BB641" s="59"/>
      <c r="BC641" s="59"/>
      <c r="BD641" s="59"/>
      <c r="BE641" s="59"/>
      <c r="BF641" s="59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  <c r="BZ641" s="59"/>
      <c r="CA641" s="59"/>
      <c r="CB641" s="59"/>
      <c r="CC641" s="59"/>
      <c r="CD641" s="59"/>
      <c r="CE641" s="59"/>
      <c r="CF641" s="59"/>
      <c r="CG641" s="59"/>
      <c r="CH641" s="59"/>
      <c r="CI641" s="59"/>
      <c r="CJ641" s="59"/>
      <c r="CK641" s="59"/>
      <c r="CL641" s="59"/>
      <c r="CM641" s="59"/>
      <c r="CN641" s="59"/>
      <c r="CO641" s="59"/>
      <c r="CP641" s="59"/>
      <c r="CQ641" s="59"/>
      <c r="CR641" s="59"/>
      <c r="CS641" s="59"/>
      <c r="CT641" s="59"/>
      <c r="CU641" s="59"/>
      <c r="CV641" s="59"/>
      <c r="CW641" s="59"/>
      <c r="CX641" s="59"/>
      <c r="CY641" s="59"/>
      <c r="CZ641" s="59"/>
      <c r="DA641" s="59"/>
      <c r="DB641" s="59"/>
      <c r="DC641" s="59"/>
      <c r="DD641" s="59"/>
      <c r="DE641" s="59"/>
      <c r="DF641" s="59"/>
      <c r="DG641" s="59"/>
    </row>
    <row r="642" spans="1:111" ht="11.2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9"/>
      <c r="AQ642" s="59"/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  <c r="BB642" s="59"/>
      <c r="BC642" s="59"/>
      <c r="BD642" s="59"/>
      <c r="BE642" s="59"/>
      <c r="BF642" s="59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59"/>
      <c r="CA642" s="59"/>
      <c r="CB642" s="59"/>
      <c r="CC642" s="59"/>
      <c r="CD642" s="59"/>
      <c r="CE642" s="59"/>
      <c r="CF642" s="59"/>
      <c r="CG642" s="59"/>
      <c r="CH642" s="59"/>
      <c r="CI642" s="59"/>
      <c r="CJ642" s="59"/>
      <c r="CK642" s="59"/>
      <c r="CL642" s="59"/>
      <c r="CM642" s="59"/>
      <c r="CN642" s="59"/>
      <c r="CO642" s="59"/>
      <c r="CP642" s="59"/>
      <c r="CQ642" s="59"/>
      <c r="CR642" s="59"/>
      <c r="CS642" s="59"/>
      <c r="CT642" s="59"/>
      <c r="CU642" s="59"/>
      <c r="CV642" s="59"/>
      <c r="CW642" s="59"/>
      <c r="CX642" s="59"/>
      <c r="CY642" s="59"/>
      <c r="CZ642" s="59"/>
      <c r="DA642" s="59"/>
      <c r="DB642" s="59"/>
      <c r="DC642" s="59"/>
      <c r="DD642" s="59"/>
      <c r="DE642" s="59"/>
      <c r="DF642" s="59"/>
      <c r="DG642" s="59"/>
    </row>
    <row r="643" spans="1:111" ht="11.2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  <c r="BC643" s="59"/>
      <c r="BD643" s="59"/>
      <c r="BE643" s="59"/>
      <c r="BF643" s="59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  <c r="CA643" s="59"/>
      <c r="CB643" s="59"/>
      <c r="CC643" s="59"/>
      <c r="CD643" s="59"/>
      <c r="CE643" s="59"/>
      <c r="CF643" s="59"/>
      <c r="CG643" s="59"/>
      <c r="CH643" s="59"/>
      <c r="CI643" s="59"/>
      <c r="CJ643" s="59"/>
      <c r="CK643" s="59"/>
      <c r="CL643" s="59"/>
      <c r="CM643" s="59"/>
      <c r="CN643" s="59"/>
      <c r="CO643" s="59"/>
      <c r="CP643" s="59"/>
      <c r="CQ643" s="59"/>
      <c r="CR643" s="59"/>
      <c r="CS643" s="59"/>
      <c r="CT643" s="59"/>
      <c r="CU643" s="59"/>
      <c r="CV643" s="59"/>
      <c r="CW643" s="59"/>
      <c r="CX643" s="59"/>
      <c r="CY643" s="59"/>
      <c r="CZ643" s="59"/>
      <c r="DA643" s="59"/>
      <c r="DB643" s="59"/>
      <c r="DC643" s="59"/>
      <c r="DD643" s="59"/>
      <c r="DE643" s="59"/>
      <c r="DF643" s="59"/>
      <c r="DG643" s="59"/>
    </row>
    <row r="644" spans="1:111" ht="11.2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  <c r="AO644" s="59"/>
      <c r="AP644" s="59"/>
      <c r="AQ644" s="59"/>
      <c r="AR644" s="59"/>
      <c r="AS644" s="59"/>
      <c r="AT644" s="59"/>
      <c r="AU644" s="59"/>
      <c r="AV644" s="59"/>
      <c r="AW644" s="59"/>
      <c r="AX644" s="59"/>
      <c r="AY644" s="59"/>
      <c r="AZ644" s="59"/>
      <c r="BA644" s="59"/>
      <c r="BB644" s="59"/>
      <c r="BC644" s="59"/>
      <c r="BD644" s="59"/>
      <c r="BE644" s="59"/>
      <c r="BF644" s="59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59"/>
      <c r="CA644" s="59"/>
      <c r="CB644" s="59"/>
      <c r="CC644" s="59"/>
      <c r="CD644" s="59"/>
      <c r="CE644" s="59"/>
      <c r="CF644" s="59"/>
      <c r="CG644" s="59"/>
      <c r="CH644" s="59"/>
      <c r="CI644" s="59"/>
      <c r="CJ644" s="59"/>
      <c r="CK644" s="59"/>
      <c r="CL644" s="59"/>
      <c r="CM644" s="59"/>
      <c r="CN644" s="59"/>
      <c r="CO644" s="59"/>
      <c r="CP644" s="59"/>
      <c r="CQ644" s="59"/>
      <c r="CR644" s="59"/>
      <c r="CS644" s="59"/>
      <c r="CT644" s="59"/>
      <c r="CU644" s="59"/>
      <c r="CV644" s="59"/>
      <c r="CW644" s="59"/>
      <c r="CX644" s="59"/>
      <c r="CY644" s="59"/>
      <c r="CZ644" s="59"/>
      <c r="DA644" s="59"/>
      <c r="DB644" s="59"/>
      <c r="DC644" s="59"/>
      <c r="DD644" s="59"/>
      <c r="DE644" s="59"/>
      <c r="DF644" s="59"/>
      <c r="DG644" s="59"/>
    </row>
    <row r="645" spans="1:111" ht="11.2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  <c r="BC645" s="59"/>
      <c r="BD645" s="59"/>
      <c r="BE645" s="59"/>
      <c r="BF645" s="59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59"/>
      <c r="CB645" s="59"/>
      <c r="CC645" s="59"/>
      <c r="CD645" s="59"/>
      <c r="CE645" s="59"/>
      <c r="CF645" s="59"/>
      <c r="CG645" s="59"/>
      <c r="CH645" s="59"/>
      <c r="CI645" s="59"/>
      <c r="CJ645" s="59"/>
      <c r="CK645" s="59"/>
      <c r="CL645" s="59"/>
      <c r="CM645" s="59"/>
      <c r="CN645" s="59"/>
      <c r="CO645" s="59"/>
      <c r="CP645" s="59"/>
      <c r="CQ645" s="59"/>
      <c r="CR645" s="59"/>
      <c r="CS645" s="59"/>
      <c r="CT645" s="59"/>
      <c r="CU645" s="59"/>
      <c r="CV645" s="59"/>
      <c r="CW645" s="59"/>
      <c r="CX645" s="59"/>
      <c r="CY645" s="59"/>
      <c r="CZ645" s="59"/>
      <c r="DA645" s="59"/>
      <c r="DB645" s="59"/>
      <c r="DC645" s="59"/>
      <c r="DD645" s="59"/>
      <c r="DE645" s="59"/>
      <c r="DF645" s="59"/>
      <c r="DG645" s="59"/>
    </row>
    <row r="646" spans="1:111" ht="11.2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  <c r="BC646" s="59"/>
      <c r="BD646" s="59"/>
      <c r="BE646" s="59"/>
      <c r="BF646" s="59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59"/>
      <c r="CB646" s="59"/>
      <c r="CC646" s="59"/>
      <c r="CD646" s="59"/>
      <c r="CE646" s="59"/>
      <c r="CF646" s="59"/>
      <c r="CG646" s="59"/>
      <c r="CH646" s="59"/>
      <c r="CI646" s="59"/>
      <c r="CJ646" s="59"/>
      <c r="CK646" s="59"/>
      <c r="CL646" s="59"/>
      <c r="CM646" s="59"/>
      <c r="CN646" s="59"/>
      <c r="CO646" s="59"/>
      <c r="CP646" s="59"/>
      <c r="CQ646" s="59"/>
      <c r="CR646" s="59"/>
      <c r="CS646" s="59"/>
      <c r="CT646" s="59"/>
      <c r="CU646" s="59"/>
      <c r="CV646" s="59"/>
      <c r="CW646" s="59"/>
      <c r="CX646" s="59"/>
      <c r="CY646" s="59"/>
      <c r="CZ646" s="59"/>
      <c r="DA646" s="59"/>
      <c r="DB646" s="59"/>
      <c r="DC646" s="59"/>
      <c r="DD646" s="59"/>
      <c r="DE646" s="59"/>
      <c r="DF646" s="59"/>
      <c r="DG646" s="59"/>
    </row>
    <row r="647" spans="1:111" ht="11.2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  <c r="AO647" s="59"/>
      <c r="AP647" s="59"/>
      <c r="AQ647" s="59"/>
      <c r="AR647" s="59"/>
      <c r="AS647" s="59"/>
      <c r="AT647" s="59"/>
      <c r="AU647" s="59"/>
      <c r="AV647" s="59"/>
      <c r="AW647" s="59"/>
      <c r="AX647" s="59"/>
      <c r="AY647" s="59"/>
      <c r="AZ647" s="59"/>
      <c r="BA647" s="59"/>
      <c r="BB647" s="59"/>
      <c r="BC647" s="59"/>
      <c r="BD647" s="59"/>
      <c r="BE647" s="59"/>
      <c r="BF647" s="59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59"/>
      <c r="CA647" s="59"/>
      <c r="CB647" s="59"/>
      <c r="CC647" s="59"/>
      <c r="CD647" s="59"/>
      <c r="CE647" s="59"/>
      <c r="CF647" s="59"/>
      <c r="CG647" s="59"/>
      <c r="CH647" s="59"/>
      <c r="CI647" s="59"/>
      <c r="CJ647" s="59"/>
      <c r="CK647" s="59"/>
      <c r="CL647" s="59"/>
      <c r="CM647" s="59"/>
      <c r="CN647" s="59"/>
      <c r="CO647" s="59"/>
      <c r="CP647" s="59"/>
      <c r="CQ647" s="59"/>
      <c r="CR647" s="59"/>
      <c r="CS647" s="59"/>
      <c r="CT647" s="59"/>
      <c r="CU647" s="59"/>
      <c r="CV647" s="59"/>
      <c r="CW647" s="59"/>
      <c r="CX647" s="59"/>
      <c r="CY647" s="59"/>
      <c r="CZ647" s="59"/>
      <c r="DA647" s="59"/>
      <c r="DB647" s="59"/>
      <c r="DC647" s="59"/>
      <c r="DD647" s="59"/>
      <c r="DE647" s="59"/>
      <c r="DF647" s="59"/>
      <c r="DG647" s="59"/>
    </row>
    <row r="648" spans="1:111" ht="11.2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  <c r="AO648" s="59"/>
      <c r="AP648" s="59"/>
      <c r="AQ648" s="59"/>
      <c r="AR648" s="59"/>
      <c r="AS648" s="59"/>
      <c r="AT648" s="59"/>
      <c r="AU648" s="59"/>
      <c r="AV648" s="59"/>
      <c r="AW648" s="59"/>
      <c r="AX648" s="59"/>
      <c r="AY648" s="59"/>
      <c r="AZ648" s="59"/>
      <c r="BA648" s="59"/>
      <c r="BB648" s="59"/>
      <c r="BC648" s="59"/>
      <c r="BD648" s="59"/>
      <c r="BE648" s="59"/>
      <c r="BF648" s="59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59"/>
      <c r="CA648" s="59"/>
      <c r="CB648" s="59"/>
      <c r="CC648" s="59"/>
      <c r="CD648" s="59"/>
      <c r="CE648" s="59"/>
      <c r="CF648" s="59"/>
      <c r="CG648" s="59"/>
      <c r="CH648" s="59"/>
      <c r="CI648" s="59"/>
      <c r="CJ648" s="59"/>
      <c r="CK648" s="59"/>
      <c r="CL648" s="59"/>
      <c r="CM648" s="59"/>
      <c r="CN648" s="59"/>
      <c r="CO648" s="59"/>
      <c r="CP648" s="59"/>
      <c r="CQ648" s="59"/>
      <c r="CR648" s="59"/>
      <c r="CS648" s="59"/>
      <c r="CT648" s="59"/>
      <c r="CU648" s="59"/>
      <c r="CV648" s="59"/>
      <c r="CW648" s="59"/>
      <c r="CX648" s="59"/>
      <c r="CY648" s="59"/>
      <c r="CZ648" s="59"/>
      <c r="DA648" s="59"/>
      <c r="DB648" s="59"/>
      <c r="DC648" s="59"/>
      <c r="DD648" s="59"/>
      <c r="DE648" s="59"/>
      <c r="DF648" s="59"/>
      <c r="DG648" s="59"/>
    </row>
    <row r="649" spans="1:111" ht="11.2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  <c r="AO649" s="59"/>
      <c r="AP649" s="59"/>
      <c r="AQ649" s="59"/>
      <c r="AR649" s="59"/>
      <c r="AS649" s="59"/>
      <c r="AT649" s="59"/>
      <c r="AU649" s="59"/>
      <c r="AV649" s="59"/>
      <c r="AW649" s="59"/>
      <c r="AX649" s="59"/>
      <c r="AY649" s="59"/>
      <c r="AZ649" s="59"/>
      <c r="BA649" s="59"/>
      <c r="BB649" s="59"/>
      <c r="BC649" s="59"/>
      <c r="BD649" s="59"/>
      <c r="BE649" s="59"/>
      <c r="BF649" s="59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  <c r="BZ649" s="59"/>
      <c r="CA649" s="59"/>
      <c r="CB649" s="59"/>
      <c r="CC649" s="59"/>
      <c r="CD649" s="59"/>
      <c r="CE649" s="59"/>
      <c r="CF649" s="59"/>
      <c r="CG649" s="59"/>
      <c r="CH649" s="59"/>
      <c r="CI649" s="59"/>
      <c r="CJ649" s="59"/>
      <c r="CK649" s="59"/>
      <c r="CL649" s="59"/>
      <c r="CM649" s="59"/>
      <c r="CN649" s="59"/>
      <c r="CO649" s="59"/>
      <c r="CP649" s="59"/>
      <c r="CQ649" s="59"/>
      <c r="CR649" s="59"/>
      <c r="CS649" s="59"/>
      <c r="CT649" s="59"/>
      <c r="CU649" s="59"/>
      <c r="CV649" s="59"/>
      <c r="CW649" s="59"/>
      <c r="CX649" s="59"/>
      <c r="CY649" s="59"/>
      <c r="CZ649" s="59"/>
      <c r="DA649" s="59"/>
      <c r="DB649" s="59"/>
      <c r="DC649" s="59"/>
      <c r="DD649" s="59"/>
      <c r="DE649" s="59"/>
      <c r="DF649" s="59"/>
      <c r="DG649" s="59"/>
    </row>
    <row r="650" spans="1:111" ht="11.2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  <c r="AO650" s="59"/>
      <c r="AP650" s="59"/>
      <c r="AQ650" s="59"/>
      <c r="AR650" s="59"/>
      <c r="AS650" s="59"/>
      <c r="AT650" s="59"/>
      <c r="AU650" s="59"/>
      <c r="AV650" s="59"/>
      <c r="AW650" s="59"/>
      <c r="AX650" s="59"/>
      <c r="AY650" s="59"/>
      <c r="AZ650" s="59"/>
      <c r="BA650" s="59"/>
      <c r="BB650" s="59"/>
      <c r="BC650" s="59"/>
      <c r="BD650" s="59"/>
      <c r="BE650" s="59"/>
      <c r="BF650" s="59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59"/>
      <c r="CA650" s="59"/>
      <c r="CB650" s="59"/>
      <c r="CC650" s="59"/>
      <c r="CD650" s="59"/>
      <c r="CE650" s="59"/>
      <c r="CF650" s="59"/>
      <c r="CG650" s="59"/>
      <c r="CH650" s="59"/>
      <c r="CI650" s="59"/>
      <c r="CJ650" s="59"/>
      <c r="CK650" s="59"/>
      <c r="CL650" s="59"/>
      <c r="CM650" s="59"/>
      <c r="CN650" s="59"/>
      <c r="CO650" s="59"/>
      <c r="CP650" s="59"/>
      <c r="CQ650" s="59"/>
      <c r="CR650" s="59"/>
      <c r="CS650" s="59"/>
      <c r="CT650" s="59"/>
      <c r="CU650" s="59"/>
      <c r="CV650" s="59"/>
      <c r="CW650" s="59"/>
      <c r="CX650" s="59"/>
      <c r="CY650" s="59"/>
      <c r="CZ650" s="59"/>
      <c r="DA650" s="59"/>
      <c r="DB650" s="59"/>
      <c r="DC650" s="59"/>
      <c r="DD650" s="59"/>
      <c r="DE650" s="59"/>
      <c r="DF650" s="59"/>
      <c r="DG650" s="59"/>
    </row>
    <row r="651" spans="1:111" ht="11.2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9"/>
      <c r="AQ651" s="59"/>
      <c r="AR651" s="59"/>
      <c r="AS651" s="59"/>
      <c r="AT651" s="59"/>
      <c r="AU651" s="59"/>
      <c r="AV651" s="59"/>
      <c r="AW651" s="59"/>
      <c r="AX651" s="59"/>
      <c r="AY651" s="59"/>
      <c r="AZ651" s="59"/>
      <c r="BA651" s="59"/>
      <c r="BB651" s="59"/>
      <c r="BC651" s="59"/>
      <c r="BD651" s="59"/>
      <c r="BE651" s="59"/>
      <c r="BF651" s="59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  <c r="BZ651" s="59"/>
      <c r="CA651" s="59"/>
      <c r="CB651" s="59"/>
      <c r="CC651" s="59"/>
      <c r="CD651" s="59"/>
      <c r="CE651" s="59"/>
      <c r="CF651" s="59"/>
      <c r="CG651" s="59"/>
      <c r="CH651" s="59"/>
      <c r="CI651" s="59"/>
      <c r="CJ651" s="59"/>
      <c r="CK651" s="59"/>
      <c r="CL651" s="59"/>
      <c r="CM651" s="59"/>
      <c r="CN651" s="59"/>
      <c r="CO651" s="59"/>
      <c r="CP651" s="59"/>
      <c r="CQ651" s="59"/>
      <c r="CR651" s="59"/>
      <c r="CS651" s="59"/>
      <c r="CT651" s="59"/>
      <c r="CU651" s="59"/>
      <c r="CV651" s="59"/>
      <c r="CW651" s="59"/>
      <c r="CX651" s="59"/>
      <c r="CY651" s="59"/>
      <c r="CZ651" s="59"/>
      <c r="DA651" s="59"/>
      <c r="DB651" s="59"/>
      <c r="DC651" s="59"/>
      <c r="DD651" s="59"/>
      <c r="DE651" s="59"/>
      <c r="DF651" s="59"/>
      <c r="DG651" s="59"/>
    </row>
    <row r="652" spans="1:111" ht="11.2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  <c r="AO652" s="59"/>
      <c r="AP652" s="59"/>
      <c r="AQ652" s="59"/>
      <c r="AR652" s="59"/>
      <c r="AS652" s="59"/>
      <c r="AT652" s="59"/>
      <c r="AU652" s="59"/>
      <c r="AV652" s="59"/>
      <c r="AW652" s="59"/>
      <c r="AX652" s="59"/>
      <c r="AY652" s="59"/>
      <c r="AZ652" s="59"/>
      <c r="BA652" s="59"/>
      <c r="BB652" s="59"/>
      <c r="BC652" s="59"/>
      <c r="BD652" s="59"/>
      <c r="BE652" s="59"/>
      <c r="BF652" s="59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59"/>
      <c r="CA652" s="59"/>
      <c r="CB652" s="59"/>
      <c r="CC652" s="59"/>
      <c r="CD652" s="59"/>
      <c r="CE652" s="59"/>
      <c r="CF652" s="59"/>
      <c r="CG652" s="59"/>
      <c r="CH652" s="59"/>
      <c r="CI652" s="59"/>
      <c r="CJ652" s="59"/>
      <c r="CK652" s="59"/>
      <c r="CL652" s="59"/>
      <c r="CM652" s="59"/>
      <c r="CN652" s="59"/>
      <c r="CO652" s="59"/>
      <c r="CP652" s="59"/>
      <c r="CQ652" s="59"/>
      <c r="CR652" s="59"/>
      <c r="CS652" s="59"/>
      <c r="CT652" s="59"/>
      <c r="CU652" s="59"/>
      <c r="CV652" s="59"/>
      <c r="CW652" s="59"/>
      <c r="CX652" s="59"/>
      <c r="CY652" s="59"/>
      <c r="CZ652" s="59"/>
      <c r="DA652" s="59"/>
      <c r="DB652" s="59"/>
      <c r="DC652" s="59"/>
      <c r="DD652" s="59"/>
      <c r="DE652" s="59"/>
      <c r="DF652" s="59"/>
      <c r="DG652" s="59"/>
    </row>
    <row r="653" spans="1:111" ht="11.2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9"/>
      <c r="AW653" s="59"/>
      <c r="AX653" s="59"/>
      <c r="AY653" s="59"/>
      <c r="AZ653" s="59"/>
      <c r="BA653" s="59"/>
      <c r="BB653" s="59"/>
      <c r="BC653" s="59"/>
      <c r="BD653" s="59"/>
      <c r="BE653" s="59"/>
      <c r="BF653" s="59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59"/>
      <c r="CA653" s="59"/>
      <c r="CB653" s="59"/>
      <c r="CC653" s="59"/>
      <c r="CD653" s="59"/>
      <c r="CE653" s="59"/>
      <c r="CF653" s="59"/>
      <c r="CG653" s="59"/>
      <c r="CH653" s="59"/>
      <c r="CI653" s="59"/>
      <c r="CJ653" s="59"/>
      <c r="CK653" s="59"/>
      <c r="CL653" s="59"/>
      <c r="CM653" s="59"/>
      <c r="CN653" s="59"/>
      <c r="CO653" s="59"/>
      <c r="CP653" s="59"/>
      <c r="CQ653" s="59"/>
      <c r="CR653" s="59"/>
      <c r="CS653" s="59"/>
      <c r="CT653" s="59"/>
      <c r="CU653" s="59"/>
      <c r="CV653" s="59"/>
      <c r="CW653" s="59"/>
      <c r="CX653" s="59"/>
      <c r="CY653" s="59"/>
      <c r="CZ653" s="59"/>
      <c r="DA653" s="59"/>
      <c r="DB653" s="59"/>
      <c r="DC653" s="59"/>
      <c r="DD653" s="59"/>
      <c r="DE653" s="59"/>
      <c r="DF653" s="59"/>
      <c r="DG653" s="59"/>
    </row>
    <row r="654" spans="1:111" ht="11.2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  <c r="BC654" s="59"/>
      <c r="BD654" s="59"/>
      <c r="BE654" s="59"/>
      <c r="BF654" s="59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59"/>
      <c r="CA654" s="59"/>
      <c r="CB654" s="59"/>
      <c r="CC654" s="59"/>
      <c r="CD654" s="59"/>
      <c r="CE654" s="59"/>
      <c r="CF654" s="59"/>
      <c r="CG654" s="59"/>
      <c r="CH654" s="59"/>
      <c r="CI654" s="59"/>
      <c r="CJ654" s="59"/>
      <c r="CK654" s="59"/>
      <c r="CL654" s="59"/>
      <c r="CM654" s="59"/>
      <c r="CN654" s="59"/>
      <c r="CO654" s="59"/>
      <c r="CP654" s="59"/>
      <c r="CQ654" s="59"/>
      <c r="CR654" s="59"/>
      <c r="CS654" s="59"/>
      <c r="CT654" s="59"/>
      <c r="CU654" s="59"/>
      <c r="CV654" s="59"/>
      <c r="CW654" s="59"/>
      <c r="CX654" s="59"/>
      <c r="CY654" s="59"/>
      <c r="CZ654" s="59"/>
      <c r="DA654" s="59"/>
      <c r="DB654" s="59"/>
      <c r="DC654" s="59"/>
      <c r="DD654" s="59"/>
      <c r="DE654" s="59"/>
      <c r="DF654" s="59"/>
      <c r="DG654" s="59"/>
    </row>
    <row r="655" spans="1:111" ht="11.2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9"/>
      <c r="AW655" s="59"/>
      <c r="AX655" s="59"/>
      <c r="AY655" s="59"/>
      <c r="AZ655" s="59"/>
      <c r="BA655" s="59"/>
      <c r="BB655" s="59"/>
      <c r="BC655" s="59"/>
      <c r="BD655" s="59"/>
      <c r="BE655" s="59"/>
      <c r="BF655" s="59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  <c r="BZ655" s="59"/>
      <c r="CA655" s="59"/>
      <c r="CB655" s="59"/>
      <c r="CC655" s="59"/>
      <c r="CD655" s="59"/>
      <c r="CE655" s="59"/>
      <c r="CF655" s="59"/>
      <c r="CG655" s="59"/>
      <c r="CH655" s="59"/>
      <c r="CI655" s="59"/>
      <c r="CJ655" s="59"/>
      <c r="CK655" s="59"/>
      <c r="CL655" s="59"/>
      <c r="CM655" s="59"/>
      <c r="CN655" s="59"/>
      <c r="CO655" s="59"/>
      <c r="CP655" s="59"/>
      <c r="CQ655" s="59"/>
      <c r="CR655" s="59"/>
      <c r="CS655" s="59"/>
      <c r="CT655" s="59"/>
      <c r="CU655" s="59"/>
      <c r="CV655" s="59"/>
      <c r="CW655" s="59"/>
      <c r="CX655" s="59"/>
      <c r="CY655" s="59"/>
      <c r="CZ655" s="59"/>
      <c r="DA655" s="59"/>
      <c r="DB655" s="59"/>
      <c r="DC655" s="59"/>
      <c r="DD655" s="59"/>
      <c r="DE655" s="59"/>
      <c r="DF655" s="59"/>
      <c r="DG655" s="59"/>
    </row>
    <row r="656" spans="1:111" ht="11.2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9"/>
      <c r="AW656" s="59"/>
      <c r="AX656" s="59"/>
      <c r="AY656" s="59"/>
      <c r="AZ656" s="59"/>
      <c r="BA656" s="59"/>
      <c r="BB656" s="59"/>
      <c r="BC656" s="59"/>
      <c r="BD656" s="59"/>
      <c r="BE656" s="59"/>
      <c r="BF656" s="59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59"/>
      <c r="BZ656" s="59"/>
      <c r="CA656" s="59"/>
      <c r="CB656" s="59"/>
      <c r="CC656" s="59"/>
      <c r="CD656" s="59"/>
      <c r="CE656" s="59"/>
      <c r="CF656" s="59"/>
      <c r="CG656" s="59"/>
      <c r="CH656" s="59"/>
      <c r="CI656" s="59"/>
      <c r="CJ656" s="59"/>
      <c r="CK656" s="59"/>
      <c r="CL656" s="59"/>
      <c r="CM656" s="59"/>
      <c r="CN656" s="59"/>
      <c r="CO656" s="59"/>
      <c r="CP656" s="59"/>
      <c r="CQ656" s="59"/>
      <c r="CR656" s="59"/>
      <c r="CS656" s="59"/>
      <c r="CT656" s="59"/>
      <c r="CU656" s="59"/>
      <c r="CV656" s="59"/>
      <c r="CW656" s="59"/>
      <c r="CX656" s="59"/>
      <c r="CY656" s="59"/>
      <c r="CZ656" s="59"/>
      <c r="DA656" s="59"/>
      <c r="DB656" s="59"/>
      <c r="DC656" s="59"/>
      <c r="DD656" s="59"/>
      <c r="DE656" s="59"/>
      <c r="DF656" s="59"/>
      <c r="DG656" s="59"/>
    </row>
    <row r="657" spans="1:111" ht="11.2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9"/>
      <c r="AW657" s="59"/>
      <c r="AX657" s="59"/>
      <c r="AY657" s="59"/>
      <c r="AZ657" s="59"/>
      <c r="BA657" s="59"/>
      <c r="BB657" s="59"/>
      <c r="BC657" s="59"/>
      <c r="BD657" s="59"/>
      <c r="BE657" s="59"/>
      <c r="BF657" s="59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  <c r="BZ657" s="59"/>
      <c r="CA657" s="59"/>
      <c r="CB657" s="59"/>
      <c r="CC657" s="59"/>
      <c r="CD657" s="59"/>
      <c r="CE657" s="59"/>
      <c r="CF657" s="59"/>
      <c r="CG657" s="59"/>
      <c r="CH657" s="59"/>
      <c r="CI657" s="59"/>
      <c r="CJ657" s="59"/>
      <c r="CK657" s="59"/>
      <c r="CL657" s="59"/>
      <c r="CM657" s="59"/>
      <c r="CN657" s="59"/>
      <c r="CO657" s="59"/>
      <c r="CP657" s="59"/>
      <c r="CQ657" s="59"/>
      <c r="CR657" s="59"/>
      <c r="CS657" s="59"/>
      <c r="CT657" s="59"/>
      <c r="CU657" s="59"/>
      <c r="CV657" s="59"/>
      <c r="CW657" s="59"/>
      <c r="CX657" s="59"/>
      <c r="CY657" s="59"/>
      <c r="CZ657" s="59"/>
      <c r="DA657" s="59"/>
      <c r="DB657" s="59"/>
      <c r="DC657" s="59"/>
      <c r="DD657" s="59"/>
      <c r="DE657" s="59"/>
      <c r="DF657" s="59"/>
      <c r="DG657" s="59"/>
    </row>
    <row r="658" spans="1:111" ht="11.2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  <c r="AO658" s="59"/>
      <c r="AP658" s="59"/>
      <c r="AQ658" s="59"/>
      <c r="AR658" s="59"/>
      <c r="AS658" s="59"/>
      <c r="AT658" s="59"/>
      <c r="AU658" s="59"/>
      <c r="AV658" s="59"/>
      <c r="AW658" s="59"/>
      <c r="AX658" s="59"/>
      <c r="AY658" s="59"/>
      <c r="AZ658" s="59"/>
      <c r="BA658" s="59"/>
      <c r="BB658" s="59"/>
      <c r="BC658" s="59"/>
      <c r="BD658" s="59"/>
      <c r="BE658" s="59"/>
      <c r="BF658" s="59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59"/>
      <c r="CA658" s="59"/>
      <c r="CB658" s="59"/>
      <c r="CC658" s="59"/>
      <c r="CD658" s="59"/>
      <c r="CE658" s="59"/>
      <c r="CF658" s="59"/>
      <c r="CG658" s="59"/>
      <c r="CH658" s="59"/>
      <c r="CI658" s="59"/>
      <c r="CJ658" s="59"/>
      <c r="CK658" s="59"/>
      <c r="CL658" s="59"/>
      <c r="CM658" s="59"/>
      <c r="CN658" s="59"/>
      <c r="CO658" s="59"/>
      <c r="CP658" s="59"/>
      <c r="CQ658" s="59"/>
      <c r="CR658" s="59"/>
      <c r="CS658" s="59"/>
      <c r="CT658" s="59"/>
      <c r="CU658" s="59"/>
      <c r="CV658" s="59"/>
      <c r="CW658" s="59"/>
      <c r="CX658" s="59"/>
      <c r="CY658" s="59"/>
      <c r="CZ658" s="59"/>
      <c r="DA658" s="59"/>
      <c r="DB658" s="59"/>
      <c r="DC658" s="59"/>
      <c r="DD658" s="59"/>
      <c r="DE658" s="59"/>
      <c r="DF658" s="59"/>
      <c r="DG658" s="59"/>
    </row>
    <row r="659" spans="1:111" ht="11.2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  <c r="AO659" s="59"/>
      <c r="AP659" s="59"/>
      <c r="AQ659" s="59"/>
      <c r="AR659" s="59"/>
      <c r="AS659" s="59"/>
      <c r="AT659" s="59"/>
      <c r="AU659" s="59"/>
      <c r="AV659" s="59"/>
      <c r="AW659" s="59"/>
      <c r="AX659" s="59"/>
      <c r="AY659" s="59"/>
      <c r="AZ659" s="59"/>
      <c r="BA659" s="59"/>
      <c r="BB659" s="59"/>
      <c r="BC659" s="59"/>
      <c r="BD659" s="59"/>
      <c r="BE659" s="59"/>
      <c r="BF659" s="59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  <c r="BZ659" s="59"/>
      <c r="CA659" s="59"/>
      <c r="CB659" s="59"/>
      <c r="CC659" s="59"/>
      <c r="CD659" s="59"/>
      <c r="CE659" s="59"/>
      <c r="CF659" s="59"/>
      <c r="CG659" s="59"/>
      <c r="CH659" s="59"/>
      <c r="CI659" s="59"/>
      <c r="CJ659" s="59"/>
      <c r="CK659" s="59"/>
      <c r="CL659" s="59"/>
      <c r="CM659" s="59"/>
      <c r="CN659" s="59"/>
      <c r="CO659" s="59"/>
      <c r="CP659" s="59"/>
      <c r="CQ659" s="59"/>
      <c r="CR659" s="59"/>
      <c r="CS659" s="59"/>
      <c r="CT659" s="59"/>
      <c r="CU659" s="59"/>
      <c r="CV659" s="59"/>
      <c r="CW659" s="59"/>
      <c r="CX659" s="59"/>
      <c r="CY659" s="59"/>
      <c r="CZ659" s="59"/>
      <c r="DA659" s="59"/>
      <c r="DB659" s="59"/>
      <c r="DC659" s="59"/>
      <c r="DD659" s="59"/>
      <c r="DE659" s="59"/>
      <c r="DF659" s="59"/>
      <c r="DG659" s="59"/>
    </row>
    <row r="660" spans="1:111" ht="11.2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  <c r="AO660" s="59"/>
      <c r="AP660" s="59"/>
      <c r="AQ660" s="59"/>
      <c r="AR660" s="59"/>
      <c r="AS660" s="59"/>
      <c r="AT660" s="59"/>
      <c r="AU660" s="59"/>
      <c r="AV660" s="59"/>
      <c r="AW660" s="59"/>
      <c r="AX660" s="59"/>
      <c r="AY660" s="59"/>
      <c r="AZ660" s="59"/>
      <c r="BA660" s="59"/>
      <c r="BB660" s="59"/>
      <c r="BC660" s="59"/>
      <c r="BD660" s="59"/>
      <c r="BE660" s="59"/>
      <c r="BF660" s="59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59"/>
      <c r="CA660" s="59"/>
      <c r="CB660" s="59"/>
      <c r="CC660" s="59"/>
      <c r="CD660" s="59"/>
      <c r="CE660" s="59"/>
      <c r="CF660" s="59"/>
      <c r="CG660" s="59"/>
      <c r="CH660" s="59"/>
      <c r="CI660" s="59"/>
      <c r="CJ660" s="59"/>
      <c r="CK660" s="59"/>
      <c r="CL660" s="59"/>
      <c r="CM660" s="59"/>
      <c r="CN660" s="59"/>
      <c r="CO660" s="59"/>
      <c r="CP660" s="59"/>
      <c r="CQ660" s="59"/>
      <c r="CR660" s="59"/>
      <c r="CS660" s="59"/>
      <c r="CT660" s="59"/>
      <c r="CU660" s="59"/>
      <c r="CV660" s="59"/>
      <c r="CW660" s="59"/>
      <c r="CX660" s="59"/>
      <c r="CY660" s="59"/>
      <c r="CZ660" s="59"/>
      <c r="DA660" s="59"/>
      <c r="DB660" s="59"/>
      <c r="DC660" s="59"/>
      <c r="DD660" s="59"/>
      <c r="DE660" s="59"/>
      <c r="DF660" s="59"/>
      <c r="DG660" s="59"/>
    </row>
    <row r="661" spans="1:111" ht="11.2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9"/>
      <c r="AW661" s="59"/>
      <c r="AX661" s="59"/>
      <c r="AY661" s="59"/>
      <c r="AZ661" s="59"/>
      <c r="BA661" s="59"/>
      <c r="BB661" s="59"/>
      <c r="BC661" s="59"/>
      <c r="BD661" s="59"/>
      <c r="BE661" s="59"/>
      <c r="BF661" s="59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  <c r="BZ661" s="59"/>
      <c r="CA661" s="59"/>
      <c r="CB661" s="59"/>
      <c r="CC661" s="59"/>
      <c r="CD661" s="59"/>
      <c r="CE661" s="59"/>
      <c r="CF661" s="59"/>
      <c r="CG661" s="59"/>
      <c r="CH661" s="59"/>
      <c r="CI661" s="59"/>
      <c r="CJ661" s="59"/>
      <c r="CK661" s="59"/>
      <c r="CL661" s="59"/>
      <c r="CM661" s="59"/>
      <c r="CN661" s="59"/>
      <c r="CO661" s="59"/>
      <c r="CP661" s="59"/>
      <c r="CQ661" s="59"/>
      <c r="CR661" s="59"/>
      <c r="CS661" s="59"/>
      <c r="CT661" s="59"/>
      <c r="CU661" s="59"/>
      <c r="CV661" s="59"/>
      <c r="CW661" s="59"/>
      <c r="CX661" s="59"/>
      <c r="CY661" s="59"/>
      <c r="CZ661" s="59"/>
      <c r="DA661" s="59"/>
      <c r="DB661" s="59"/>
      <c r="DC661" s="59"/>
      <c r="DD661" s="59"/>
      <c r="DE661" s="59"/>
      <c r="DF661" s="59"/>
      <c r="DG661" s="59"/>
    </row>
    <row r="662" spans="1:111" ht="11.2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  <c r="BC662" s="59"/>
      <c r="BD662" s="59"/>
      <c r="BE662" s="59"/>
      <c r="BF662" s="59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59"/>
      <c r="CA662" s="59"/>
      <c r="CB662" s="59"/>
      <c r="CC662" s="59"/>
      <c r="CD662" s="59"/>
      <c r="CE662" s="59"/>
      <c r="CF662" s="59"/>
      <c r="CG662" s="59"/>
      <c r="CH662" s="59"/>
      <c r="CI662" s="59"/>
      <c r="CJ662" s="59"/>
      <c r="CK662" s="59"/>
      <c r="CL662" s="59"/>
      <c r="CM662" s="59"/>
      <c r="CN662" s="59"/>
      <c r="CO662" s="59"/>
      <c r="CP662" s="59"/>
      <c r="CQ662" s="59"/>
      <c r="CR662" s="59"/>
      <c r="CS662" s="59"/>
      <c r="CT662" s="59"/>
      <c r="CU662" s="59"/>
      <c r="CV662" s="59"/>
      <c r="CW662" s="59"/>
      <c r="CX662" s="59"/>
      <c r="CY662" s="59"/>
      <c r="CZ662" s="59"/>
      <c r="DA662" s="59"/>
      <c r="DB662" s="59"/>
      <c r="DC662" s="59"/>
      <c r="DD662" s="59"/>
      <c r="DE662" s="59"/>
      <c r="DF662" s="59"/>
      <c r="DG662" s="59"/>
    </row>
    <row r="663" spans="1:111" ht="11.2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  <c r="BC663" s="59"/>
      <c r="BD663" s="59"/>
      <c r="BE663" s="59"/>
      <c r="BF663" s="59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  <c r="BZ663" s="59"/>
      <c r="CA663" s="59"/>
      <c r="CB663" s="59"/>
      <c r="CC663" s="59"/>
      <c r="CD663" s="59"/>
      <c r="CE663" s="59"/>
      <c r="CF663" s="59"/>
      <c r="CG663" s="59"/>
      <c r="CH663" s="59"/>
      <c r="CI663" s="59"/>
      <c r="CJ663" s="59"/>
      <c r="CK663" s="59"/>
      <c r="CL663" s="59"/>
      <c r="CM663" s="59"/>
      <c r="CN663" s="59"/>
      <c r="CO663" s="59"/>
      <c r="CP663" s="59"/>
      <c r="CQ663" s="59"/>
      <c r="CR663" s="59"/>
      <c r="CS663" s="59"/>
      <c r="CT663" s="59"/>
      <c r="CU663" s="59"/>
      <c r="CV663" s="59"/>
      <c r="CW663" s="59"/>
      <c r="CX663" s="59"/>
      <c r="CY663" s="59"/>
      <c r="CZ663" s="59"/>
      <c r="DA663" s="59"/>
      <c r="DB663" s="59"/>
      <c r="DC663" s="59"/>
      <c r="DD663" s="59"/>
      <c r="DE663" s="59"/>
      <c r="DF663" s="59"/>
      <c r="DG663" s="59"/>
    </row>
    <row r="664" spans="1:111" ht="11.2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  <c r="BC664" s="59"/>
      <c r="BD664" s="59"/>
      <c r="BE664" s="59"/>
      <c r="BF664" s="59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59"/>
      <c r="CA664" s="59"/>
      <c r="CB664" s="59"/>
      <c r="CC664" s="59"/>
      <c r="CD664" s="59"/>
      <c r="CE664" s="59"/>
      <c r="CF664" s="59"/>
      <c r="CG664" s="59"/>
      <c r="CH664" s="59"/>
      <c r="CI664" s="59"/>
      <c r="CJ664" s="59"/>
      <c r="CK664" s="59"/>
      <c r="CL664" s="59"/>
      <c r="CM664" s="59"/>
      <c r="CN664" s="59"/>
      <c r="CO664" s="59"/>
      <c r="CP664" s="59"/>
      <c r="CQ664" s="59"/>
      <c r="CR664" s="59"/>
      <c r="CS664" s="59"/>
      <c r="CT664" s="59"/>
      <c r="CU664" s="59"/>
      <c r="CV664" s="59"/>
      <c r="CW664" s="59"/>
      <c r="CX664" s="59"/>
      <c r="CY664" s="59"/>
      <c r="CZ664" s="59"/>
      <c r="DA664" s="59"/>
      <c r="DB664" s="59"/>
      <c r="DC664" s="59"/>
      <c r="DD664" s="59"/>
      <c r="DE664" s="59"/>
      <c r="DF664" s="59"/>
      <c r="DG664" s="59"/>
    </row>
    <row r="665" spans="1:111" ht="11.2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9"/>
      <c r="AW665" s="59"/>
      <c r="AX665" s="59"/>
      <c r="AY665" s="59"/>
      <c r="AZ665" s="59"/>
      <c r="BA665" s="59"/>
      <c r="BB665" s="59"/>
      <c r="BC665" s="59"/>
      <c r="BD665" s="59"/>
      <c r="BE665" s="59"/>
      <c r="BF665" s="59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  <c r="BZ665" s="59"/>
      <c r="CA665" s="59"/>
      <c r="CB665" s="59"/>
      <c r="CC665" s="59"/>
      <c r="CD665" s="59"/>
      <c r="CE665" s="59"/>
      <c r="CF665" s="59"/>
      <c r="CG665" s="59"/>
      <c r="CH665" s="59"/>
      <c r="CI665" s="59"/>
      <c r="CJ665" s="59"/>
      <c r="CK665" s="59"/>
      <c r="CL665" s="59"/>
      <c r="CM665" s="59"/>
      <c r="CN665" s="59"/>
      <c r="CO665" s="59"/>
      <c r="CP665" s="59"/>
      <c r="CQ665" s="59"/>
      <c r="CR665" s="59"/>
      <c r="CS665" s="59"/>
      <c r="CT665" s="59"/>
      <c r="CU665" s="59"/>
      <c r="CV665" s="59"/>
      <c r="CW665" s="59"/>
      <c r="CX665" s="59"/>
      <c r="CY665" s="59"/>
      <c r="CZ665" s="59"/>
      <c r="DA665" s="59"/>
      <c r="DB665" s="59"/>
      <c r="DC665" s="59"/>
      <c r="DD665" s="59"/>
      <c r="DE665" s="59"/>
      <c r="DF665" s="59"/>
      <c r="DG665" s="59"/>
    </row>
    <row r="666" spans="1:111" ht="11.2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9"/>
      <c r="AW666" s="59"/>
      <c r="AX666" s="59"/>
      <c r="AY666" s="59"/>
      <c r="AZ666" s="59"/>
      <c r="BA666" s="59"/>
      <c r="BB666" s="59"/>
      <c r="BC666" s="59"/>
      <c r="BD666" s="59"/>
      <c r="BE666" s="59"/>
      <c r="BF666" s="59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59"/>
      <c r="CA666" s="59"/>
      <c r="CB666" s="59"/>
      <c r="CC666" s="59"/>
      <c r="CD666" s="59"/>
      <c r="CE666" s="59"/>
      <c r="CF666" s="59"/>
      <c r="CG666" s="59"/>
      <c r="CH666" s="59"/>
      <c r="CI666" s="59"/>
      <c r="CJ666" s="59"/>
      <c r="CK666" s="59"/>
      <c r="CL666" s="59"/>
      <c r="CM666" s="59"/>
      <c r="CN666" s="59"/>
      <c r="CO666" s="59"/>
      <c r="CP666" s="59"/>
      <c r="CQ666" s="59"/>
      <c r="CR666" s="59"/>
      <c r="CS666" s="59"/>
      <c r="CT666" s="59"/>
      <c r="CU666" s="59"/>
      <c r="CV666" s="59"/>
      <c r="CW666" s="59"/>
      <c r="CX666" s="59"/>
      <c r="CY666" s="59"/>
      <c r="CZ666" s="59"/>
      <c r="DA666" s="59"/>
      <c r="DB666" s="59"/>
      <c r="DC666" s="59"/>
      <c r="DD666" s="59"/>
      <c r="DE666" s="59"/>
      <c r="DF666" s="59"/>
      <c r="DG666" s="59"/>
    </row>
    <row r="667" spans="1:111" ht="11.2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9"/>
      <c r="AW667" s="59"/>
      <c r="AX667" s="59"/>
      <c r="AY667" s="59"/>
      <c r="AZ667" s="59"/>
      <c r="BA667" s="59"/>
      <c r="BB667" s="59"/>
      <c r="BC667" s="59"/>
      <c r="BD667" s="59"/>
      <c r="BE667" s="59"/>
      <c r="BF667" s="59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  <c r="BZ667" s="59"/>
      <c r="CA667" s="59"/>
      <c r="CB667" s="59"/>
      <c r="CC667" s="59"/>
      <c r="CD667" s="59"/>
      <c r="CE667" s="59"/>
      <c r="CF667" s="59"/>
      <c r="CG667" s="59"/>
      <c r="CH667" s="59"/>
      <c r="CI667" s="59"/>
      <c r="CJ667" s="59"/>
      <c r="CK667" s="59"/>
      <c r="CL667" s="59"/>
      <c r="CM667" s="59"/>
      <c r="CN667" s="59"/>
      <c r="CO667" s="59"/>
      <c r="CP667" s="59"/>
      <c r="CQ667" s="59"/>
      <c r="CR667" s="59"/>
      <c r="CS667" s="59"/>
      <c r="CT667" s="59"/>
      <c r="CU667" s="59"/>
      <c r="CV667" s="59"/>
      <c r="CW667" s="59"/>
      <c r="CX667" s="59"/>
      <c r="CY667" s="59"/>
      <c r="CZ667" s="59"/>
      <c r="DA667" s="59"/>
      <c r="DB667" s="59"/>
      <c r="DC667" s="59"/>
      <c r="DD667" s="59"/>
      <c r="DE667" s="59"/>
      <c r="DF667" s="59"/>
      <c r="DG667" s="59"/>
    </row>
    <row r="668" spans="1:111" ht="11.2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59"/>
      <c r="AO668" s="59"/>
      <c r="AP668" s="59"/>
      <c r="AQ668" s="59"/>
      <c r="AR668" s="59"/>
      <c r="AS668" s="59"/>
      <c r="AT668" s="59"/>
      <c r="AU668" s="59"/>
      <c r="AV668" s="59"/>
      <c r="AW668" s="59"/>
      <c r="AX668" s="59"/>
      <c r="AY668" s="59"/>
      <c r="AZ668" s="59"/>
      <c r="BA668" s="59"/>
      <c r="BB668" s="59"/>
      <c r="BC668" s="59"/>
      <c r="BD668" s="59"/>
      <c r="BE668" s="59"/>
      <c r="BF668" s="59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59"/>
      <c r="CA668" s="59"/>
      <c r="CB668" s="59"/>
      <c r="CC668" s="59"/>
      <c r="CD668" s="59"/>
      <c r="CE668" s="59"/>
      <c r="CF668" s="59"/>
      <c r="CG668" s="59"/>
      <c r="CH668" s="59"/>
      <c r="CI668" s="59"/>
      <c r="CJ668" s="59"/>
      <c r="CK668" s="59"/>
      <c r="CL668" s="59"/>
      <c r="CM668" s="59"/>
      <c r="CN668" s="59"/>
      <c r="CO668" s="59"/>
      <c r="CP668" s="59"/>
      <c r="CQ668" s="59"/>
      <c r="CR668" s="59"/>
      <c r="CS668" s="59"/>
      <c r="CT668" s="59"/>
      <c r="CU668" s="59"/>
      <c r="CV668" s="59"/>
      <c r="CW668" s="59"/>
      <c r="CX668" s="59"/>
      <c r="CY668" s="59"/>
      <c r="CZ668" s="59"/>
      <c r="DA668" s="59"/>
      <c r="DB668" s="59"/>
      <c r="DC668" s="59"/>
      <c r="DD668" s="59"/>
      <c r="DE668" s="59"/>
      <c r="DF668" s="59"/>
      <c r="DG668" s="59"/>
    </row>
    <row r="669" spans="1:111" ht="11.2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59"/>
      <c r="AO669" s="59"/>
      <c r="AP669" s="59"/>
      <c r="AQ669" s="59"/>
      <c r="AR669" s="59"/>
      <c r="AS669" s="59"/>
      <c r="AT669" s="59"/>
      <c r="AU669" s="59"/>
      <c r="AV669" s="59"/>
      <c r="AW669" s="59"/>
      <c r="AX669" s="59"/>
      <c r="AY669" s="59"/>
      <c r="AZ669" s="59"/>
      <c r="BA669" s="59"/>
      <c r="BB669" s="59"/>
      <c r="BC669" s="59"/>
      <c r="BD669" s="59"/>
      <c r="BE669" s="59"/>
      <c r="BF669" s="59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  <c r="BZ669" s="59"/>
      <c r="CA669" s="59"/>
      <c r="CB669" s="59"/>
      <c r="CC669" s="59"/>
      <c r="CD669" s="59"/>
      <c r="CE669" s="59"/>
      <c r="CF669" s="59"/>
      <c r="CG669" s="59"/>
      <c r="CH669" s="59"/>
      <c r="CI669" s="59"/>
      <c r="CJ669" s="59"/>
      <c r="CK669" s="59"/>
      <c r="CL669" s="59"/>
      <c r="CM669" s="59"/>
      <c r="CN669" s="59"/>
      <c r="CO669" s="59"/>
      <c r="CP669" s="59"/>
      <c r="CQ669" s="59"/>
      <c r="CR669" s="59"/>
      <c r="CS669" s="59"/>
      <c r="CT669" s="59"/>
      <c r="CU669" s="59"/>
      <c r="CV669" s="59"/>
      <c r="CW669" s="59"/>
      <c r="CX669" s="59"/>
      <c r="CY669" s="59"/>
      <c r="CZ669" s="59"/>
      <c r="DA669" s="59"/>
      <c r="DB669" s="59"/>
      <c r="DC669" s="59"/>
      <c r="DD669" s="59"/>
      <c r="DE669" s="59"/>
      <c r="DF669" s="59"/>
      <c r="DG669" s="59"/>
    </row>
    <row r="670" spans="1:111" ht="11.2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9"/>
      <c r="AW670" s="59"/>
      <c r="AX670" s="59"/>
      <c r="AY670" s="59"/>
      <c r="AZ670" s="59"/>
      <c r="BA670" s="59"/>
      <c r="BB670" s="59"/>
      <c r="BC670" s="59"/>
      <c r="BD670" s="59"/>
      <c r="BE670" s="59"/>
      <c r="BF670" s="59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59"/>
      <c r="CA670" s="59"/>
      <c r="CB670" s="59"/>
      <c r="CC670" s="59"/>
      <c r="CD670" s="59"/>
      <c r="CE670" s="59"/>
      <c r="CF670" s="59"/>
      <c r="CG670" s="59"/>
      <c r="CH670" s="59"/>
      <c r="CI670" s="59"/>
      <c r="CJ670" s="59"/>
      <c r="CK670" s="59"/>
      <c r="CL670" s="59"/>
      <c r="CM670" s="59"/>
      <c r="CN670" s="59"/>
      <c r="CO670" s="59"/>
      <c r="CP670" s="59"/>
      <c r="CQ670" s="59"/>
      <c r="CR670" s="59"/>
      <c r="CS670" s="59"/>
      <c r="CT670" s="59"/>
      <c r="CU670" s="59"/>
      <c r="CV670" s="59"/>
      <c r="CW670" s="59"/>
      <c r="CX670" s="59"/>
      <c r="CY670" s="59"/>
      <c r="CZ670" s="59"/>
      <c r="DA670" s="59"/>
      <c r="DB670" s="59"/>
      <c r="DC670" s="59"/>
      <c r="DD670" s="59"/>
      <c r="DE670" s="59"/>
      <c r="DF670" s="59"/>
      <c r="DG670" s="59"/>
    </row>
    <row r="671" spans="1:111" ht="11.2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9"/>
      <c r="AW671" s="59"/>
      <c r="AX671" s="59"/>
      <c r="AY671" s="59"/>
      <c r="AZ671" s="59"/>
      <c r="BA671" s="59"/>
      <c r="BB671" s="59"/>
      <c r="BC671" s="59"/>
      <c r="BD671" s="59"/>
      <c r="BE671" s="59"/>
      <c r="BF671" s="59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  <c r="BZ671" s="59"/>
      <c r="CA671" s="59"/>
      <c r="CB671" s="59"/>
      <c r="CC671" s="59"/>
      <c r="CD671" s="59"/>
      <c r="CE671" s="59"/>
      <c r="CF671" s="59"/>
      <c r="CG671" s="59"/>
      <c r="CH671" s="59"/>
      <c r="CI671" s="59"/>
      <c r="CJ671" s="59"/>
      <c r="CK671" s="59"/>
      <c r="CL671" s="59"/>
      <c r="CM671" s="59"/>
      <c r="CN671" s="59"/>
      <c r="CO671" s="59"/>
      <c r="CP671" s="59"/>
      <c r="CQ671" s="59"/>
      <c r="CR671" s="59"/>
      <c r="CS671" s="59"/>
      <c r="CT671" s="59"/>
      <c r="CU671" s="59"/>
      <c r="CV671" s="59"/>
      <c r="CW671" s="59"/>
      <c r="CX671" s="59"/>
      <c r="CY671" s="59"/>
      <c r="CZ671" s="59"/>
      <c r="DA671" s="59"/>
      <c r="DB671" s="59"/>
      <c r="DC671" s="59"/>
      <c r="DD671" s="59"/>
      <c r="DE671" s="59"/>
      <c r="DF671" s="59"/>
      <c r="DG671" s="59"/>
    </row>
    <row r="672" spans="1:111" ht="11.2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9"/>
      <c r="AW672" s="59"/>
      <c r="AX672" s="59"/>
      <c r="AY672" s="59"/>
      <c r="AZ672" s="59"/>
      <c r="BA672" s="59"/>
      <c r="BB672" s="59"/>
      <c r="BC672" s="59"/>
      <c r="BD672" s="59"/>
      <c r="BE672" s="59"/>
      <c r="BF672" s="59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59"/>
      <c r="CA672" s="59"/>
      <c r="CB672" s="59"/>
      <c r="CC672" s="59"/>
      <c r="CD672" s="59"/>
      <c r="CE672" s="59"/>
      <c r="CF672" s="59"/>
      <c r="CG672" s="59"/>
      <c r="CH672" s="59"/>
      <c r="CI672" s="59"/>
      <c r="CJ672" s="59"/>
      <c r="CK672" s="59"/>
      <c r="CL672" s="59"/>
      <c r="CM672" s="59"/>
      <c r="CN672" s="59"/>
      <c r="CO672" s="59"/>
      <c r="CP672" s="59"/>
      <c r="CQ672" s="59"/>
      <c r="CR672" s="59"/>
      <c r="CS672" s="59"/>
      <c r="CT672" s="59"/>
      <c r="CU672" s="59"/>
      <c r="CV672" s="59"/>
      <c r="CW672" s="59"/>
      <c r="CX672" s="59"/>
      <c r="CY672" s="59"/>
      <c r="CZ672" s="59"/>
      <c r="DA672" s="59"/>
      <c r="DB672" s="59"/>
      <c r="DC672" s="59"/>
      <c r="DD672" s="59"/>
      <c r="DE672" s="59"/>
      <c r="DF672" s="59"/>
      <c r="DG672" s="59"/>
    </row>
    <row r="673" spans="1:111" ht="11.2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9"/>
      <c r="AW673" s="59"/>
      <c r="AX673" s="59"/>
      <c r="AY673" s="59"/>
      <c r="AZ673" s="59"/>
      <c r="BA673" s="59"/>
      <c r="BB673" s="59"/>
      <c r="BC673" s="59"/>
      <c r="BD673" s="59"/>
      <c r="BE673" s="59"/>
      <c r="BF673" s="59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  <c r="BZ673" s="59"/>
      <c r="CA673" s="59"/>
      <c r="CB673" s="59"/>
      <c r="CC673" s="59"/>
      <c r="CD673" s="59"/>
      <c r="CE673" s="59"/>
      <c r="CF673" s="59"/>
      <c r="CG673" s="59"/>
      <c r="CH673" s="59"/>
      <c r="CI673" s="59"/>
      <c r="CJ673" s="59"/>
      <c r="CK673" s="59"/>
      <c r="CL673" s="59"/>
      <c r="CM673" s="59"/>
      <c r="CN673" s="59"/>
      <c r="CO673" s="59"/>
      <c r="CP673" s="59"/>
      <c r="CQ673" s="59"/>
      <c r="CR673" s="59"/>
      <c r="CS673" s="59"/>
      <c r="CT673" s="59"/>
      <c r="CU673" s="59"/>
      <c r="CV673" s="59"/>
      <c r="CW673" s="59"/>
      <c r="CX673" s="59"/>
      <c r="CY673" s="59"/>
      <c r="CZ673" s="59"/>
      <c r="DA673" s="59"/>
      <c r="DB673" s="59"/>
      <c r="DC673" s="59"/>
      <c r="DD673" s="59"/>
      <c r="DE673" s="59"/>
      <c r="DF673" s="59"/>
      <c r="DG673" s="59"/>
    </row>
    <row r="674" spans="1:111" ht="11.2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9"/>
      <c r="AW674" s="59"/>
      <c r="AX674" s="59"/>
      <c r="AY674" s="59"/>
      <c r="AZ674" s="59"/>
      <c r="BA674" s="59"/>
      <c r="BB674" s="59"/>
      <c r="BC674" s="59"/>
      <c r="BD674" s="59"/>
      <c r="BE674" s="59"/>
      <c r="BF674" s="59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59"/>
      <c r="CA674" s="59"/>
      <c r="CB674" s="59"/>
      <c r="CC674" s="59"/>
      <c r="CD674" s="59"/>
      <c r="CE674" s="59"/>
      <c r="CF674" s="59"/>
      <c r="CG674" s="59"/>
      <c r="CH674" s="59"/>
      <c r="CI674" s="59"/>
      <c r="CJ674" s="59"/>
      <c r="CK674" s="59"/>
      <c r="CL674" s="59"/>
      <c r="CM674" s="59"/>
      <c r="CN674" s="59"/>
      <c r="CO674" s="59"/>
      <c r="CP674" s="59"/>
      <c r="CQ674" s="59"/>
      <c r="CR674" s="59"/>
      <c r="CS674" s="59"/>
      <c r="CT674" s="59"/>
      <c r="CU674" s="59"/>
      <c r="CV674" s="59"/>
      <c r="CW674" s="59"/>
      <c r="CX674" s="59"/>
      <c r="CY674" s="59"/>
      <c r="CZ674" s="59"/>
      <c r="DA674" s="59"/>
      <c r="DB674" s="59"/>
      <c r="DC674" s="59"/>
      <c r="DD674" s="59"/>
      <c r="DE674" s="59"/>
      <c r="DF674" s="59"/>
      <c r="DG674" s="59"/>
    </row>
    <row r="675" spans="1:111" ht="11.2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9"/>
      <c r="AW675" s="59"/>
      <c r="AX675" s="59"/>
      <c r="AY675" s="59"/>
      <c r="AZ675" s="59"/>
      <c r="BA675" s="59"/>
      <c r="BB675" s="59"/>
      <c r="BC675" s="59"/>
      <c r="BD675" s="59"/>
      <c r="BE675" s="59"/>
      <c r="BF675" s="59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59"/>
      <c r="CA675" s="59"/>
      <c r="CB675" s="59"/>
      <c r="CC675" s="59"/>
      <c r="CD675" s="59"/>
      <c r="CE675" s="59"/>
      <c r="CF675" s="59"/>
      <c r="CG675" s="59"/>
      <c r="CH675" s="59"/>
      <c r="CI675" s="59"/>
      <c r="CJ675" s="59"/>
      <c r="CK675" s="59"/>
      <c r="CL675" s="59"/>
      <c r="CM675" s="59"/>
      <c r="CN675" s="59"/>
      <c r="CO675" s="59"/>
      <c r="CP675" s="59"/>
      <c r="CQ675" s="59"/>
      <c r="CR675" s="59"/>
      <c r="CS675" s="59"/>
      <c r="CT675" s="59"/>
      <c r="CU675" s="59"/>
      <c r="CV675" s="59"/>
      <c r="CW675" s="59"/>
      <c r="CX675" s="59"/>
      <c r="CY675" s="59"/>
      <c r="CZ675" s="59"/>
      <c r="DA675" s="59"/>
      <c r="DB675" s="59"/>
      <c r="DC675" s="59"/>
      <c r="DD675" s="59"/>
      <c r="DE675" s="59"/>
      <c r="DF675" s="59"/>
      <c r="DG675" s="59"/>
    </row>
    <row r="676" spans="1:111" ht="11.2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  <c r="BC676" s="59"/>
      <c r="BD676" s="59"/>
      <c r="BE676" s="59"/>
      <c r="BF676" s="59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59"/>
      <c r="CA676" s="59"/>
      <c r="CB676" s="59"/>
      <c r="CC676" s="59"/>
      <c r="CD676" s="59"/>
      <c r="CE676" s="59"/>
      <c r="CF676" s="59"/>
      <c r="CG676" s="59"/>
      <c r="CH676" s="59"/>
      <c r="CI676" s="59"/>
      <c r="CJ676" s="59"/>
      <c r="CK676" s="59"/>
      <c r="CL676" s="59"/>
      <c r="CM676" s="59"/>
      <c r="CN676" s="59"/>
      <c r="CO676" s="59"/>
      <c r="CP676" s="59"/>
      <c r="CQ676" s="59"/>
      <c r="CR676" s="59"/>
      <c r="CS676" s="59"/>
      <c r="CT676" s="59"/>
      <c r="CU676" s="59"/>
      <c r="CV676" s="59"/>
      <c r="CW676" s="59"/>
      <c r="CX676" s="59"/>
      <c r="CY676" s="59"/>
      <c r="CZ676" s="59"/>
      <c r="DA676" s="59"/>
      <c r="DB676" s="59"/>
      <c r="DC676" s="59"/>
      <c r="DD676" s="59"/>
      <c r="DE676" s="59"/>
      <c r="DF676" s="59"/>
      <c r="DG676" s="59"/>
    </row>
    <row r="677" spans="1:111" ht="11.2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9"/>
      <c r="AW677" s="59"/>
      <c r="AX677" s="59"/>
      <c r="AY677" s="59"/>
      <c r="AZ677" s="59"/>
      <c r="BA677" s="59"/>
      <c r="BB677" s="59"/>
      <c r="BC677" s="59"/>
      <c r="BD677" s="59"/>
      <c r="BE677" s="59"/>
      <c r="BF677" s="59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59"/>
      <c r="BZ677" s="59"/>
      <c r="CA677" s="59"/>
      <c r="CB677" s="59"/>
      <c r="CC677" s="59"/>
      <c r="CD677" s="59"/>
      <c r="CE677" s="59"/>
      <c r="CF677" s="59"/>
      <c r="CG677" s="59"/>
      <c r="CH677" s="59"/>
      <c r="CI677" s="59"/>
      <c r="CJ677" s="59"/>
      <c r="CK677" s="59"/>
      <c r="CL677" s="59"/>
      <c r="CM677" s="59"/>
      <c r="CN677" s="59"/>
      <c r="CO677" s="59"/>
      <c r="CP677" s="59"/>
      <c r="CQ677" s="59"/>
      <c r="CR677" s="59"/>
      <c r="CS677" s="59"/>
      <c r="CT677" s="59"/>
      <c r="CU677" s="59"/>
      <c r="CV677" s="59"/>
      <c r="CW677" s="59"/>
      <c r="CX677" s="59"/>
      <c r="CY677" s="59"/>
      <c r="CZ677" s="59"/>
      <c r="DA677" s="59"/>
      <c r="DB677" s="59"/>
      <c r="DC677" s="59"/>
      <c r="DD677" s="59"/>
      <c r="DE677" s="59"/>
      <c r="DF677" s="59"/>
      <c r="DG677" s="59"/>
    </row>
    <row r="678" spans="1:111" ht="11.2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9"/>
      <c r="AW678" s="59"/>
      <c r="AX678" s="59"/>
      <c r="AY678" s="59"/>
      <c r="AZ678" s="59"/>
      <c r="BA678" s="59"/>
      <c r="BB678" s="59"/>
      <c r="BC678" s="59"/>
      <c r="BD678" s="59"/>
      <c r="BE678" s="59"/>
      <c r="BF678" s="59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59"/>
      <c r="BZ678" s="59"/>
      <c r="CA678" s="59"/>
      <c r="CB678" s="59"/>
      <c r="CC678" s="59"/>
      <c r="CD678" s="59"/>
      <c r="CE678" s="59"/>
      <c r="CF678" s="59"/>
      <c r="CG678" s="59"/>
      <c r="CH678" s="59"/>
      <c r="CI678" s="59"/>
      <c r="CJ678" s="59"/>
      <c r="CK678" s="59"/>
      <c r="CL678" s="59"/>
      <c r="CM678" s="59"/>
      <c r="CN678" s="59"/>
      <c r="CO678" s="59"/>
      <c r="CP678" s="59"/>
      <c r="CQ678" s="59"/>
      <c r="CR678" s="59"/>
      <c r="CS678" s="59"/>
      <c r="CT678" s="59"/>
      <c r="CU678" s="59"/>
      <c r="CV678" s="59"/>
      <c r="CW678" s="59"/>
      <c r="CX678" s="59"/>
      <c r="CY678" s="59"/>
      <c r="CZ678" s="59"/>
      <c r="DA678" s="59"/>
      <c r="DB678" s="59"/>
      <c r="DC678" s="59"/>
      <c r="DD678" s="59"/>
      <c r="DE678" s="59"/>
      <c r="DF678" s="59"/>
      <c r="DG678" s="59"/>
    </row>
    <row r="679" spans="1:111" ht="11.2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9"/>
      <c r="AW679" s="59"/>
      <c r="AX679" s="59"/>
      <c r="AY679" s="59"/>
      <c r="AZ679" s="59"/>
      <c r="BA679" s="59"/>
      <c r="BB679" s="59"/>
      <c r="BC679" s="59"/>
      <c r="BD679" s="59"/>
      <c r="BE679" s="59"/>
      <c r="BF679" s="59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59"/>
      <c r="BZ679" s="59"/>
      <c r="CA679" s="59"/>
      <c r="CB679" s="59"/>
      <c r="CC679" s="59"/>
      <c r="CD679" s="59"/>
      <c r="CE679" s="59"/>
      <c r="CF679" s="59"/>
      <c r="CG679" s="59"/>
      <c r="CH679" s="59"/>
      <c r="CI679" s="59"/>
      <c r="CJ679" s="59"/>
      <c r="CK679" s="59"/>
      <c r="CL679" s="59"/>
      <c r="CM679" s="59"/>
      <c r="CN679" s="59"/>
      <c r="CO679" s="59"/>
      <c r="CP679" s="59"/>
      <c r="CQ679" s="59"/>
      <c r="CR679" s="59"/>
      <c r="CS679" s="59"/>
      <c r="CT679" s="59"/>
      <c r="CU679" s="59"/>
      <c r="CV679" s="59"/>
      <c r="CW679" s="59"/>
      <c r="CX679" s="59"/>
      <c r="CY679" s="59"/>
      <c r="CZ679" s="59"/>
      <c r="DA679" s="59"/>
      <c r="DB679" s="59"/>
      <c r="DC679" s="59"/>
      <c r="DD679" s="59"/>
      <c r="DE679" s="59"/>
      <c r="DF679" s="59"/>
      <c r="DG679" s="59"/>
    </row>
    <row r="680" spans="1:111" ht="11.2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9"/>
      <c r="AW680" s="59"/>
      <c r="AX680" s="59"/>
      <c r="AY680" s="59"/>
      <c r="AZ680" s="59"/>
      <c r="BA680" s="59"/>
      <c r="BB680" s="59"/>
      <c r="BC680" s="59"/>
      <c r="BD680" s="59"/>
      <c r="BE680" s="59"/>
      <c r="BF680" s="59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59"/>
      <c r="BZ680" s="59"/>
      <c r="CA680" s="59"/>
      <c r="CB680" s="59"/>
      <c r="CC680" s="59"/>
      <c r="CD680" s="59"/>
      <c r="CE680" s="59"/>
      <c r="CF680" s="59"/>
      <c r="CG680" s="59"/>
      <c r="CH680" s="59"/>
      <c r="CI680" s="59"/>
      <c r="CJ680" s="59"/>
      <c r="CK680" s="59"/>
      <c r="CL680" s="59"/>
      <c r="CM680" s="59"/>
      <c r="CN680" s="59"/>
      <c r="CO680" s="59"/>
      <c r="CP680" s="59"/>
      <c r="CQ680" s="59"/>
      <c r="CR680" s="59"/>
      <c r="CS680" s="59"/>
      <c r="CT680" s="59"/>
      <c r="CU680" s="59"/>
      <c r="CV680" s="59"/>
      <c r="CW680" s="59"/>
      <c r="CX680" s="59"/>
      <c r="CY680" s="59"/>
      <c r="CZ680" s="59"/>
      <c r="DA680" s="59"/>
      <c r="DB680" s="59"/>
      <c r="DC680" s="59"/>
      <c r="DD680" s="59"/>
      <c r="DE680" s="59"/>
      <c r="DF680" s="59"/>
      <c r="DG680" s="59"/>
    </row>
    <row r="681" spans="1:111" ht="11.2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9"/>
      <c r="AW681" s="59"/>
      <c r="AX681" s="59"/>
      <c r="AY681" s="59"/>
      <c r="AZ681" s="59"/>
      <c r="BA681" s="59"/>
      <c r="BB681" s="59"/>
      <c r="BC681" s="59"/>
      <c r="BD681" s="59"/>
      <c r="BE681" s="59"/>
      <c r="BF681" s="59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59"/>
      <c r="BZ681" s="59"/>
      <c r="CA681" s="59"/>
      <c r="CB681" s="59"/>
      <c r="CC681" s="59"/>
      <c r="CD681" s="59"/>
      <c r="CE681" s="59"/>
      <c r="CF681" s="59"/>
      <c r="CG681" s="59"/>
      <c r="CH681" s="59"/>
      <c r="CI681" s="59"/>
      <c r="CJ681" s="59"/>
      <c r="CK681" s="59"/>
      <c r="CL681" s="59"/>
      <c r="CM681" s="59"/>
      <c r="CN681" s="59"/>
      <c r="CO681" s="59"/>
      <c r="CP681" s="59"/>
      <c r="CQ681" s="59"/>
      <c r="CR681" s="59"/>
      <c r="CS681" s="59"/>
      <c r="CT681" s="59"/>
      <c r="CU681" s="59"/>
      <c r="CV681" s="59"/>
      <c r="CW681" s="59"/>
      <c r="CX681" s="59"/>
      <c r="CY681" s="59"/>
      <c r="CZ681" s="59"/>
      <c r="DA681" s="59"/>
      <c r="DB681" s="59"/>
      <c r="DC681" s="59"/>
      <c r="DD681" s="59"/>
      <c r="DE681" s="59"/>
      <c r="DF681" s="59"/>
      <c r="DG681" s="59"/>
    </row>
    <row r="682" spans="1:111" ht="11.2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9"/>
      <c r="AW682" s="59"/>
      <c r="AX682" s="59"/>
      <c r="AY682" s="59"/>
      <c r="AZ682" s="59"/>
      <c r="BA682" s="59"/>
      <c r="BB682" s="59"/>
      <c r="BC682" s="59"/>
      <c r="BD682" s="59"/>
      <c r="BE682" s="59"/>
      <c r="BF682" s="59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59"/>
      <c r="BZ682" s="59"/>
      <c r="CA682" s="59"/>
      <c r="CB682" s="59"/>
      <c r="CC682" s="59"/>
      <c r="CD682" s="59"/>
      <c r="CE682" s="59"/>
      <c r="CF682" s="59"/>
      <c r="CG682" s="59"/>
      <c r="CH682" s="59"/>
      <c r="CI682" s="59"/>
      <c r="CJ682" s="59"/>
      <c r="CK682" s="59"/>
      <c r="CL682" s="59"/>
      <c r="CM682" s="59"/>
      <c r="CN682" s="59"/>
      <c r="CO682" s="59"/>
      <c r="CP682" s="59"/>
      <c r="CQ682" s="59"/>
      <c r="CR682" s="59"/>
      <c r="CS682" s="59"/>
      <c r="CT682" s="59"/>
      <c r="CU682" s="59"/>
      <c r="CV682" s="59"/>
      <c r="CW682" s="59"/>
      <c r="CX682" s="59"/>
      <c r="CY682" s="59"/>
      <c r="CZ682" s="59"/>
      <c r="DA682" s="59"/>
      <c r="DB682" s="59"/>
      <c r="DC682" s="59"/>
      <c r="DD682" s="59"/>
      <c r="DE682" s="59"/>
      <c r="DF682" s="59"/>
      <c r="DG682" s="59"/>
    </row>
    <row r="683" spans="1:111" ht="11.2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9"/>
      <c r="AW683" s="59"/>
      <c r="AX683" s="59"/>
      <c r="AY683" s="59"/>
      <c r="AZ683" s="59"/>
      <c r="BA683" s="59"/>
      <c r="BB683" s="59"/>
      <c r="BC683" s="59"/>
      <c r="BD683" s="59"/>
      <c r="BE683" s="59"/>
      <c r="BF683" s="59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59"/>
      <c r="BZ683" s="59"/>
      <c r="CA683" s="59"/>
      <c r="CB683" s="59"/>
      <c r="CC683" s="59"/>
      <c r="CD683" s="59"/>
      <c r="CE683" s="59"/>
      <c r="CF683" s="59"/>
      <c r="CG683" s="59"/>
      <c r="CH683" s="59"/>
      <c r="CI683" s="59"/>
      <c r="CJ683" s="59"/>
      <c r="CK683" s="59"/>
      <c r="CL683" s="59"/>
      <c r="CM683" s="59"/>
      <c r="CN683" s="59"/>
      <c r="CO683" s="59"/>
      <c r="CP683" s="59"/>
      <c r="CQ683" s="59"/>
      <c r="CR683" s="59"/>
      <c r="CS683" s="59"/>
      <c r="CT683" s="59"/>
      <c r="CU683" s="59"/>
      <c r="CV683" s="59"/>
      <c r="CW683" s="59"/>
      <c r="CX683" s="59"/>
      <c r="CY683" s="59"/>
      <c r="CZ683" s="59"/>
      <c r="DA683" s="59"/>
      <c r="DB683" s="59"/>
      <c r="DC683" s="59"/>
      <c r="DD683" s="59"/>
      <c r="DE683" s="59"/>
      <c r="DF683" s="59"/>
      <c r="DG683" s="59"/>
    </row>
    <row r="684" spans="1:111" ht="11.2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9"/>
      <c r="AW684" s="59"/>
      <c r="AX684" s="59"/>
      <c r="AY684" s="59"/>
      <c r="AZ684" s="59"/>
      <c r="BA684" s="59"/>
      <c r="BB684" s="59"/>
      <c r="BC684" s="59"/>
      <c r="BD684" s="59"/>
      <c r="BE684" s="59"/>
      <c r="BF684" s="59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59"/>
      <c r="BZ684" s="59"/>
      <c r="CA684" s="59"/>
      <c r="CB684" s="59"/>
      <c r="CC684" s="59"/>
      <c r="CD684" s="59"/>
      <c r="CE684" s="59"/>
      <c r="CF684" s="59"/>
      <c r="CG684" s="59"/>
      <c r="CH684" s="59"/>
      <c r="CI684" s="59"/>
      <c r="CJ684" s="59"/>
      <c r="CK684" s="59"/>
      <c r="CL684" s="59"/>
      <c r="CM684" s="59"/>
      <c r="CN684" s="59"/>
      <c r="CO684" s="59"/>
      <c r="CP684" s="59"/>
      <c r="CQ684" s="59"/>
      <c r="CR684" s="59"/>
      <c r="CS684" s="59"/>
      <c r="CT684" s="59"/>
      <c r="CU684" s="59"/>
      <c r="CV684" s="59"/>
      <c r="CW684" s="59"/>
      <c r="CX684" s="59"/>
      <c r="CY684" s="59"/>
      <c r="CZ684" s="59"/>
      <c r="DA684" s="59"/>
      <c r="DB684" s="59"/>
      <c r="DC684" s="59"/>
      <c r="DD684" s="59"/>
      <c r="DE684" s="59"/>
      <c r="DF684" s="59"/>
      <c r="DG684" s="59"/>
    </row>
    <row r="685" spans="1:111" ht="11.2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9"/>
      <c r="AW685" s="59"/>
      <c r="AX685" s="59"/>
      <c r="AY685" s="59"/>
      <c r="AZ685" s="59"/>
      <c r="BA685" s="59"/>
      <c r="BB685" s="59"/>
      <c r="BC685" s="59"/>
      <c r="BD685" s="59"/>
      <c r="BE685" s="59"/>
      <c r="BF685" s="59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59"/>
      <c r="BZ685" s="59"/>
      <c r="CA685" s="59"/>
      <c r="CB685" s="59"/>
      <c r="CC685" s="59"/>
      <c r="CD685" s="59"/>
      <c r="CE685" s="59"/>
      <c r="CF685" s="59"/>
      <c r="CG685" s="59"/>
      <c r="CH685" s="59"/>
      <c r="CI685" s="59"/>
      <c r="CJ685" s="59"/>
      <c r="CK685" s="59"/>
      <c r="CL685" s="59"/>
      <c r="CM685" s="59"/>
      <c r="CN685" s="59"/>
      <c r="CO685" s="59"/>
      <c r="CP685" s="59"/>
      <c r="CQ685" s="59"/>
      <c r="CR685" s="59"/>
      <c r="CS685" s="59"/>
      <c r="CT685" s="59"/>
      <c r="CU685" s="59"/>
      <c r="CV685" s="59"/>
      <c r="CW685" s="59"/>
      <c r="CX685" s="59"/>
      <c r="CY685" s="59"/>
      <c r="CZ685" s="59"/>
      <c r="DA685" s="59"/>
      <c r="DB685" s="59"/>
      <c r="DC685" s="59"/>
      <c r="DD685" s="59"/>
      <c r="DE685" s="59"/>
      <c r="DF685" s="59"/>
      <c r="DG685" s="59"/>
    </row>
    <row r="686" spans="1:111" ht="11.2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59"/>
      <c r="AO686" s="59"/>
      <c r="AP686" s="59"/>
      <c r="AQ686" s="59"/>
      <c r="AR686" s="59"/>
      <c r="AS686" s="59"/>
      <c r="AT686" s="59"/>
      <c r="AU686" s="59"/>
      <c r="AV686" s="59"/>
      <c r="AW686" s="59"/>
      <c r="AX686" s="59"/>
      <c r="AY686" s="59"/>
      <c r="AZ686" s="59"/>
      <c r="BA686" s="59"/>
      <c r="BB686" s="59"/>
      <c r="BC686" s="59"/>
      <c r="BD686" s="59"/>
      <c r="BE686" s="59"/>
      <c r="BF686" s="59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59"/>
      <c r="BZ686" s="59"/>
      <c r="CA686" s="59"/>
      <c r="CB686" s="59"/>
      <c r="CC686" s="59"/>
      <c r="CD686" s="59"/>
      <c r="CE686" s="59"/>
      <c r="CF686" s="59"/>
      <c r="CG686" s="59"/>
      <c r="CH686" s="59"/>
      <c r="CI686" s="59"/>
      <c r="CJ686" s="59"/>
      <c r="CK686" s="59"/>
      <c r="CL686" s="59"/>
      <c r="CM686" s="59"/>
      <c r="CN686" s="59"/>
      <c r="CO686" s="59"/>
      <c r="CP686" s="59"/>
      <c r="CQ686" s="59"/>
      <c r="CR686" s="59"/>
      <c r="CS686" s="59"/>
      <c r="CT686" s="59"/>
      <c r="CU686" s="59"/>
      <c r="CV686" s="59"/>
      <c r="CW686" s="59"/>
      <c r="CX686" s="59"/>
      <c r="CY686" s="59"/>
      <c r="CZ686" s="59"/>
      <c r="DA686" s="59"/>
      <c r="DB686" s="59"/>
      <c r="DC686" s="59"/>
      <c r="DD686" s="59"/>
      <c r="DE686" s="59"/>
      <c r="DF686" s="59"/>
      <c r="DG686" s="59"/>
    </row>
    <row r="687" spans="1:111" ht="11.2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59"/>
      <c r="AO687" s="59"/>
      <c r="AP687" s="59"/>
      <c r="AQ687" s="59"/>
      <c r="AR687" s="59"/>
      <c r="AS687" s="59"/>
      <c r="AT687" s="59"/>
      <c r="AU687" s="59"/>
      <c r="AV687" s="59"/>
      <c r="AW687" s="59"/>
      <c r="AX687" s="59"/>
      <c r="AY687" s="59"/>
      <c r="AZ687" s="59"/>
      <c r="BA687" s="59"/>
      <c r="BB687" s="59"/>
      <c r="BC687" s="59"/>
      <c r="BD687" s="59"/>
      <c r="BE687" s="59"/>
      <c r="BF687" s="59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59"/>
      <c r="BZ687" s="59"/>
      <c r="CA687" s="59"/>
      <c r="CB687" s="59"/>
      <c r="CC687" s="59"/>
      <c r="CD687" s="59"/>
      <c r="CE687" s="59"/>
      <c r="CF687" s="59"/>
      <c r="CG687" s="59"/>
      <c r="CH687" s="59"/>
      <c r="CI687" s="59"/>
      <c r="CJ687" s="59"/>
      <c r="CK687" s="59"/>
      <c r="CL687" s="59"/>
      <c r="CM687" s="59"/>
      <c r="CN687" s="59"/>
      <c r="CO687" s="59"/>
      <c r="CP687" s="59"/>
      <c r="CQ687" s="59"/>
      <c r="CR687" s="59"/>
      <c r="CS687" s="59"/>
      <c r="CT687" s="59"/>
      <c r="CU687" s="59"/>
      <c r="CV687" s="59"/>
      <c r="CW687" s="59"/>
      <c r="CX687" s="59"/>
      <c r="CY687" s="59"/>
      <c r="CZ687" s="59"/>
      <c r="DA687" s="59"/>
      <c r="DB687" s="59"/>
      <c r="DC687" s="59"/>
      <c r="DD687" s="59"/>
      <c r="DE687" s="59"/>
      <c r="DF687" s="59"/>
      <c r="DG687" s="59"/>
    </row>
    <row r="688" spans="1:111" ht="11.2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59"/>
      <c r="AO688" s="59"/>
      <c r="AP688" s="59"/>
      <c r="AQ688" s="59"/>
      <c r="AR688" s="59"/>
      <c r="AS688" s="59"/>
      <c r="AT688" s="59"/>
      <c r="AU688" s="59"/>
      <c r="AV688" s="59"/>
      <c r="AW688" s="59"/>
      <c r="AX688" s="59"/>
      <c r="AY688" s="59"/>
      <c r="AZ688" s="59"/>
      <c r="BA688" s="59"/>
      <c r="BB688" s="59"/>
      <c r="BC688" s="59"/>
      <c r="BD688" s="59"/>
      <c r="BE688" s="59"/>
      <c r="BF688" s="59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59"/>
      <c r="BZ688" s="59"/>
      <c r="CA688" s="59"/>
      <c r="CB688" s="59"/>
      <c r="CC688" s="59"/>
      <c r="CD688" s="59"/>
      <c r="CE688" s="59"/>
      <c r="CF688" s="59"/>
      <c r="CG688" s="59"/>
      <c r="CH688" s="59"/>
      <c r="CI688" s="59"/>
      <c r="CJ688" s="59"/>
      <c r="CK688" s="59"/>
      <c r="CL688" s="59"/>
      <c r="CM688" s="59"/>
      <c r="CN688" s="59"/>
      <c r="CO688" s="59"/>
      <c r="CP688" s="59"/>
      <c r="CQ688" s="59"/>
      <c r="CR688" s="59"/>
      <c r="CS688" s="59"/>
      <c r="CT688" s="59"/>
      <c r="CU688" s="59"/>
      <c r="CV688" s="59"/>
      <c r="CW688" s="59"/>
      <c r="CX688" s="59"/>
      <c r="CY688" s="59"/>
      <c r="CZ688" s="59"/>
      <c r="DA688" s="59"/>
      <c r="DB688" s="59"/>
      <c r="DC688" s="59"/>
      <c r="DD688" s="59"/>
      <c r="DE688" s="59"/>
      <c r="DF688" s="59"/>
      <c r="DG688" s="59"/>
    </row>
    <row r="689" spans="1:111" ht="11.2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59"/>
      <c r="AO689" s="59"/>
      <c r="AP689" s="59"/>
      <c r="AQ689" s="59"/>
      <c r="AR689" s="59"/>
      <c r="AS689" s="59"/>
      <c r="AT689" s="59"/>
      <c r="AU689" s="59"/>
      <c r="AV689" s="59"/>
      <c r="AW689" s="59"/>
      <c r="AX689" s="59"/>
      <c r="AY689" s="59"/>
      <c r="AZ689" s="59"/>
      <c r="BA689" s="59"/>
      <c r="BB689" s="59"/>
      <c r="BC689" s="59"/>
      <c r="BD689" s="59"/>
      <c r="BE689" s="59"/>
      <c r="BF689" s="59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59"/>
      <c r="BZ689" s="59"/>
      <c r="CA689" s="59"/>
      <c r="CB689" s="59"/>
      <c r="CC689" s="59"/>
      <c r="CD689" s="59"/>
      <c r="CE689" s="59"/>
      <c r="CF689" s="59"/>
      <c r="CG689" s="59"/>
      <c r="CH689" s="59"/>
      <c r="CI689" s="59"/>
      <c r="CJ689" s="59"/>
      <c r="CK689" s="59"/>
      <c r="CL689" s="59"/>
      <c r="CM689" s="59"/>
      <c r="CN689" s="59"/>
      <c r="CO689" s="59"/>
      <c r="CP689" s="59"/>
      <c r="CQ689" s="59"/>
      <c r="CR689" s="59"/>
      <c r="CS689" s="59"/>
      <c r="CT689" s="59"/>
      <c r="CU689" s="59"/>
      <c r="CV689" s="59"/>
      <c r="CW689" s="59"/>
      <c r="CX689" s="59"/>
      <c r="CY689" s="59"/>
      <c r="CZ689" s="59"/>
      <c r="DA689" s="59"/>
      <c r="DB689" s="59"/>
      <c r="DC689" s="59"/>
      <c r="DD689" s="59"/>
      <c r="DE689" s="59"/>
      <c r="DF689" s="59"/>
      <c r="DG689" s="59"/>
    </row>
    <row r="690" spans="1:111" ht="11.2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59"/>
      <c r="AO690" s="59"/>
      <c r="AP690" s="59"/>
      <c r="AQ690" s="59"/>
      <c r="AR690" s="59"/>
      <c r="AS690" s="59"/>
      <c r="AT690" s="59"/>
      <c r="AU690" s="59"/>
      <c r="AV690" s="59"/>
      <c r="AW690" s="59"/>
      <c r="AX690" s="59"/>
      <c r="AY690" s="59"/>
      <c r="AZ690" s="59"/>
      <c r="BA690" s="59"/>
      <c r="BB690" s="59"/>
      <c r="BC690" s="59"/>
      <c r="BD690" s="59"/>
      <c r="BE690" s="59"/>
      <c r="BF690" s="59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59"/>
      <c r="BZ690" s="59"/>
      <c r="CA690" s="59"/>
      <c r="CB690" s="59"/>
      <c r="CC690" s="59"/>
      <c r="CD690" s="59"/>
      <c r="CE690" s="59"/>
      <c r="CF690" s="59"/>
      <c r="CG690" s="59"/>
      <c r="CH690" s="59"/>
      <c r="CI690" s="59"/>
      <c r="CJ690" s="59"/>
      <c r="CK690" s="59"/>
      <c r="CL690" s="59"/>
      <c r="CM690" s="59"/>
      <c r="CN690" s="59"/>
      <c r="CO690" s="59"/>
      <c r="CP690" s="59"/>
      <c r="CQ690" s="59"/>
      <c r="CR690" s="59"/>
      <c r="CS690" s="59"/>
      <c r="CT690" s="59"/>
      <c r="CU690" s="59"/>
      <c r="CV690" s="59"/>
      <c r="CW690" s="59"/>
      <c r="CX690" s="59"/>
      <c r="CY690" s="59"/>
      <c r="CZ690" s="59"/>
      <c r="DA690" s="59"/>
      <c r="DB690" s="59"/>
      <c r="DC690" s="59"/>
      <c r="DD690" s="59"/>
      <c r="DE690" s="59"/>
      <c r="DF690" s="59"/>
      <c r="DG690" s="59"/>
    </row>
    <row r="691" spans="1:111" ht="11.2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9"/>
      <c r="AW691" s="59"/>
      <c r="AX691" s="59"/>
      <c r="AY691" s="59"/>
      <c r="AZ691" s="59"/>
      <c r="BA691" s="59"/>
      <c r="BB691" s="59"/>
      <c r="BC691" s="59"/>
      <c r="BD691" s="59"/>
      <c r="BE691" s="59"/>
      <c r="BF691" s="59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59"/>
      <c r="BZ691" s="59"/>
      <c r="CA691" s="59"/>
      <c r="CB691" s="59"/>
      <c r="CC691" s="59"/>
      <c r="CD691" s="59"/>
      <c r="CE691" s="59"/>
      <c r="CF691" s="59"/>
      <c r="CG691" s="59"/>
      <c r="CH691" s="59"/>
      <c r="CI691" s="59"/>
      <c r="CJ691" s="59"/>
      <c r="CK691" s="59"/>
      <c r="CL691" s="59"/>
      <c r="CM691" s="59"/>
      <c r="CN691" s="59"/>
      <c r="CO691" s="59"/>
      <c r="CP691" s="59"/>
      <c r="CQ691" s="59"/>
      <c r="CR691" s="59"/>
      <c r="CS691" s="59"/>
      <c r="CT691" s="59"/>
      <c r="CU691" s="59"/>
      <c r="CV691" s="59"/>
      <c r="CW691" s="59"/>
      <c r="CX691" s="59"/>
      <c r="CY691" s="59"/>
      <c r="CZ691" s="59"/>
      <c r="DA691" s="59"/>
      <c r="DB691" s="59"/>
      <c r="DC691" s="59"/>
      <c r="DD691" s="59"/>
      <c r="DE691" s="59"/>
      <c r="DF691" s="59"/>
      <c r="DG691" s="59"/>
    </row>
    <row r="692" spans="1:111" ht="11.2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  <c r="BC692" s="59"/>
      <c r="BD692" s="59"/>
      <c r="BE692" s="59"/>
      <c r="BF692" s="59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  <c r="BZ692" s="59"/>
      <c r="CA692" s="59"/>
      <c r="CB692" s="59"/>
      <c r="CC692" s="59"/>
      <c r="CD692" s="59"/>
      <c r="CE692" s="59"/>
      <c r="CF692" s="59"/>
      <c r="CG692" s="59"/>
      <c r="CH692" s="59"/>
      <c r="CI692" s="59"/>
      <c r="CJ692" s="59"/>
      <c r="CK692" s="59"/>
      <c r="CL692" s="59"/>
      <c r="CM692" s="59"/>
      <c r="CN692" s="59"/>
      <c r="CO692" s="59"/>
      <c r="CP692" s="59"/>
      <c r="CQ692" s="59"/>
      <c r="CR692" s="59"/>
      <c r="CS692" s="59"/>
      <c r="CT692" s="59"/>
      <c r="CU692" s="59"/>
      <c r="CV692" s="59"/>
      <c r="CW692" s="59"/>
      <c r="CX692" s="59"/>
      <c r="CY692" s="59"/>
      <c r="CZ692" s="59"/>
      <c r="DA692" s="59"/>
      <c r="DB692" s="59"/>
      <c r="DC692" s="59"/>
      <c r="DD692" s="59"/>
      <c r="DE692" s="59"/>
      <c r="DF692" s="59"/>
      <c r="DG692" s="59"/>
    </row>
    <row r="693" spans="1:111" ht="11.2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  <c r="BC693" s="59"/>
      <c r="BD693" s="59"/>
      <c r="BE693" s="59"/>
      <c r="BF693" s="59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59"/>
      <c r="BZ693" s="59"/>
      <c r="CA693" s="59"/>
      <c r="CB693" s="59"/>
      <c r="CC693" s="59"/>
      <c r="CD693" s="59"/>
      <c r="CE693" s="59"/>
      <c r="CF693" s="59"/>
      <c r="CG693" s="59"/>
      <c r="CH693" s="59"/>
      <c r="CI693" s="59"/>
      <c r="CJ693" s="59"/>
      <c r="CK693" s="59"/>
      <c r="CL693" s="59"/>
      <c r="CM693" s="59"/>
      <c r="CN693" s="59"/>
      <c r="CO693" s="59"/>
      <c r="CP693" s="59"/>
      <c r="CQ693" s="59"/>
      <c r="CR693" s="59"/>
      <c r="CS693" s="59"/>
      <c r="CT693" s="59"/>
      <c r="CU693" s="59"/>
      <c r="CV693" s="59"/>
      <c r="CW693" s="59"/>
      <c r="CX693" s="59"/>
      <c r="CY693" s="59"/>
      <c r="CZ693" s="59"/>
      <c r="DA693" s="59"/>
      <c r="DB693" s="59"/>
      <c r="DC693" s="59"/>
      <c r="DD693" s="59"/>
      <c r="DE693" s="59"/>
      <c r="DF693" s="59"/>
      <c r="DG693" s="59"/>
    </row>
    <row r="694" spans="1:111" ht="11.2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9"/>
      <c r="AW694" s="59"/>
      <c r="AX694" s="59"/>
      <c r="AY694" s="59"/>
      <c r="AZ694" s="59"/>
      <c r="BA694" s="59"/>
      <c r="BB694" s="59"/>
      <c r="BC694" s="59"/>
      <c r="BD694" s="59"/>
      <c r="BE694" s="59"/>
      <c r="BF694" s="59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59"/>
      <c r="BZ694" s="59"/>
      <c r="CA694" s="59"/>
      <c r="CB694" s="59"/>
      <c r="CC694" s="59"/>
      <c r="CD694" s="59"/>
      <c r="CE694" s="59"/>
      <c r="CF694" s="59"/>
      <c r="CG694" s="59"/>
      <c r="CH694" s="59"/>
      <c r="CI694" s="59"/>
      <c r="CJ694" s="59"/>
      <c r="CK694" s="59"/>
      <c r="CL694" s="59"/>
      <c r="CM694" s="59"/>
      <c r="CN694" s="59"/>
      <c r="CO694" s="59"/>
      <c r="CP694" s="59"/>
      <c r="CQ694" s="59"/>
      <c r="CR694" s="59"/>
      <c r="CS694" s="59"/>
      <c r="CT694" s="59"/>
      <c r="CU694" s="59"/>
      <c r="CV694" s="59"/>
      <c r="CW694" s="59"/>
      <c r="CX694" s="59"/>
      <c r="CY694" s="59"/>
      <c r="CZ694" s="59"/>
      <c r="DA694" s="59"/>
      <c r="DB694" s="59"/>
      <c r="DC694" s="59"/>
      <c r="DD694" s="59"/>
      <c r="DE694" s="59"/>
      <c r="DF694" s="59"/>
      <c r="DG694" s="59"/>
    </row>
    <row r="695" spans="1:111" ht="11.2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9"/>
      <c r="AW695" s="59"/>
      <c r="AX695" s="59"/>
      <c r="AY695" s="59"/>
      <c r="AZ695" s="59"/>
      <c r="BA695" s="59"/>
      <c r="BB695" s="59"/>
      <c r="BC695" s="59"/>
      <c r="BD695" s="59"/>
      <c r="BE695" s="59"/>
      <c r="BF695" s="59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59"/>
      <c r="BZ695" s="59"/>
      <c r="CA695" s="59"/>
      <c r="CB695" s="59"/>
      <c r="CC695" s="59"/>
      <c r="CD695" s="59"/>
      <c r="CE695" s="59"/>
      <c r="CF695" s="59"/>
      <c r="CG695" s="59"/>
      <c r="CH695" s="59"/>
      <c r="CI695" s="59"/>
      <c r="CJ695" s="59"/>
      <c r="CK695" s="59"/>
      <c r="CL695" s="59"/>
      <c r="CM695" s="59"/>
      <c r="CN695" s="59"/>
      <c r="CO695" s="59"/>
      <c r="CP695" s="59"/>
      <c r="CQ695" s="59"/>
      <c r="CR695" s="59"/>
      <c r="CS695" s="59"/>
      <c r="CT695" s="59"/>
      <c r="CU695" s="59"/>
      <c r="CV695" s="59"/>
      <c r="CW695" s="59"/>
      <c r="CX695" s="59"/>
      <c r="CY695" s="59"/>
      <c r="CZ695" s="59"/>
      <c r="DA695" s="59"/>
      <c r="DB695" s="59"/>
      <c r="DC695" s="59"/>
      <c r="DD695" s="59"/>
      <c r="DE695" s="59"/>
      <c r="DF695" s="59"/>
      <c r="DG695" s="59"/>
    </row>
    <row r="696" spans="1:111" ht="11.2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9"/>
      <c r="AW696" s="59"/>
      <c r="AX696" s="59"/>
      <c r="AY696" s="59"/>
      <c r="AZ696" s="59"/>
      <c r="BA696" s="59"/>
      <c r="BB696" s="59"/>
      <c r="BC696" s="59"/>
      <c r="BD696" s="59"/>
      <c r="BE696" s="59"/>
      <c r="BF696" s="59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59"/>
      <c r="BZ696" s="59"/>
      <c r="CA696" s="59"/>
      <c r="CB696" s="59"/>
      <c r="CC696" s="59"/>
      <c r="CD696" s="59"/>
      <c r="CE696" s="59"/>
      <c r="CF696" s="59"/>
      <c r="CG696" s="59"/>
      <c r="CH696" s="59"/>
      <c r="CI696" s="59"/>
      <c r="CJ696" s="59"/>
      <c r="CK696" s="59"/>
      <c r="CL696" s="59"/>
      <c r="CM696" s="59"/>
      <c r="CN696" s="59"/>
      <c r="CO696" s="59"/>
      <c r="CP696" s="59"/>
      <c r="CQ696" s="59"/>
      <c r="CR696" s="59"/>
      <c r="CS696" s="59"/>
      <c r="CT696" s="59"/>
      <c r="CU696" s="59"/>
      <c r="CV696" s="59"/>
      <c r="CW696" s="59"/>
      <c r="CX696" s="59"/>
      <c r="CY696" s="59"/>
      <c r="CZ696" s="59"/>
      <c r="DA696" s="59"/>
      <c r="DB696" s="59"/>
      <c r="DC696" s="59"/>
      <c r="DD696" s="59"/>
      <c r="DE696" s="59"/>
      <c r="DF696" s="59"/>
      <c r="DG696" s="59"/>
    </row>
    <row r="697" spans="1:111" ht="11.2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9"/>
      <c r="AW697" s="59"/>
      <c r="AX697" s="59"/>
      <c r="AY697" s="59"/>
      <c r="AZ697" s="59"/>
      <c r="BA697" s="59"/>
      <c r="BB697" s="59"/>
      <c r="BC697" s="59"/>
      <c r="BD697" s="59"/>
      <c r="BE697" s="59"/>
      <c r="BF697" s="59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59"/>
      <c r="BZ697" s="59"/>
      <c r="CA697" s="59"/>
      <c r="CB697" s="59"/>
      <c r="CC697" s="59"/>
      <c r="CD697" s="59"/>
      <c r="CE697" s="59"/>
      <c r="CF697" s="59"/>
      <c r="CG697" s="59"/>
      <c r="CH697" s="59"/>
      <c r="CI697" s="59"/>
      <c r="CJ697" s="59"/>
      <c r="CK697" s="59"/>
      <c r="CL697" s="59"/>
      <c r="CM697" s="59"/>
      <c r="CN697" s="59"/>
      <c r="CO697" s="59"/>
      <c r="CP697" s="59"/>
      <c r="CQ697" s="59"/>
      <c r="CR697" s="59"/>
      <c r="CS697" s="59"/>
      <c r="CT697" s="59"/>
      <c r="CU697" s="59"/>
      <c r="CV697" s="59"/>
      <c r="CW697" s="59"/>
      <c r="CX697" s="59"/>
      <c r="CY697" s="59"/>
      <c r="CZ697" s="59"/>
      <c r="DA697" s="59"/>
      <c r="DB697" s="59"/>
      <c r="DC697" s="59"/>
      <c r="DD697" s="59"/>
      <c r="DE697" s="59"/>
      <c r="DF697" s="59"/>
      <c r="DG697" s="59"/>
    </row>
    <row r="698" spans="1:111" ht="11.2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9"/>
      <c r="AR698" s="59"/>
      <c r="AS698" s="59"/>
      <c r="AT698" s="59"/>
      <c r="AU698" s="59"/>
      <c r="AV698" s="59"/>
      <c r="AW698" s="59"/>
      <c r="AX698" s="59"/>
      <c r="AY698" s="59"/>
      <c r="AZ698" s="59"/>
      <c r="BA698" s="59"/>
      <c r="BB698" s="59"/>
      <c r="BC698" s="59"/>
      <c r="BD698" s="59"/>
      <c r="BE698" s="59"/>
      <c r="BF698" s="59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59"/>
      <c r="BZ698" s="59"/>
      <c r="CA698" s="59"/>
      <c r="CB698" s="59"/>
      <c r="CC698" s="59"/>
      <c r="CD698" s="59"/>
      <c r="CE698" s="59"/>
      <c r="CF698" s="59"/>
      <c r="CG698" s="59"/>
      <c r="CH698" s="59"/>
      <c r="CI698" s="59"/>
      <c r="CJ698" s="59"/>
      <c r="CK698" s="59"/>
      <c r="CL698" s="59"/>
      <c r="CM698" s="59"/>
      <c r="CN698" s="59"/>
      <c r="CO698" s="59"/>
      <c r="CP698" s="59"/>
      <c r="CQ698" s="59"/>
      <c r="CR698" s="59"/>
      <c r="CS698" s="59"/>
      <c r="CT698" s="59"/>
      <c r="CU698" s="59"/>
      <c r="CV698" s="59"/>
      <c r="CW698" s="59"/>
      <c r="CX698" s="59"/>
      <c r="CY698" s="59"/>
      <c r="CZ698" s="59"/>
      <c r="DA698" s="59"/>
      <c r="DB698" s="59"/>
      <c r="DC698" s="59"/>
      <c r="DD698" s="59"/>
      <c r="DE698" s="59"/>
      <c r="DF698" s="59"/>
      <c r="DG698" s="59"/>
    </row>
    <row r="699" spans="1:111" ht="11.2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59"/>
      <c r="BB699" s="59"/>
      <c r="BC699" s="59"/>
      <c r="BD699" s="59"/>
      <c r="BE699" s="59"/>
      <c r="BF699" s="59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59"/>
      <c r="BZ699" s="59"/>
      <c r="CA699" s="59"/>
      <c r="CB699" s="59"/>
      <c r="CC699" s="59"/>
      <c r="CD699" s="59"/>
      <c r="CE699" s="59"/>
      <c r="CF699" s="59"/>
      <c r="CG699" s="59"/>
      <c r="CH699" s="59"/>
      <c r="CI699" s="59"/>
      <c r="CJ699" s="59"/>
      <c r="CK699" s="59"/>
      <c r="CL699" s="59"/>
      <c r="CM699" s="59"/>
      <c r="CN699" s="59"/>
      <c r="CO699" s="59"/>
      <c r="CP699" s="59"/>
      <c r="CQ699" s="59"/>
      <c r="CR699" s="59"/>
      <c r="CS699" s="59"/>
      <c r="CT699" s="59"/>
      <c r="CU699" s="59"/>
      <c r="CV699" s="59"/>
      <c r="CW699" s="59"/>
      <c r="CX699" s="59"/>
      <c r="CY699" s="59"/>
      <c r="CZ699" s="59"/>
      <c r="DA699" s="59"/>
      <c r="DB699" s="59"/>
      <c r="DC699" s="59"/>
      <c r="DD699" s="59"/>
      <c r="DE699" s="59"/>
      <c r="DF699" s="59"/>
      <c r="DG699" s="59"/>
    </row>
    <row r="700" spans="1:111" ht="11.2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  <c r="BC700" s="59"/>
      <c r="BD700" s="59"/>
      <c r="BE700" s="59"/>
      <c r="BF700" s="59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59"/>
      <c r="BZ700" s="59"/>
      <c r="CA700" s="59"/>
      <c r="CB700" s="59"/>
      <c r="CC700" s="59"/>
      <c r="CD700" s="59"/>
      <c r="CE700" s="59"/>
      <c r="CF700" s="59"/>
      <c r="CG700" s="59"/>
      <c r="CH700" s="59"/>
      <c r="CI700" s="59"/>
      <c r="CJ700" s="59"/>
      <c r="CK700" s="59"/>
      <c r="CL700" s="59"/>
      <c r="CM700" s="59"/>
      <c r="CN700" s="59"/>
      <c r="CO700" s="59"/>
      <c r="CP700" s="59"/>
      <c r="CQ700" s="59"/>
      <c r="CR700" s="59"/>
      <c r="CS700" s="59"/>
      <c r="CT700" s="59"/>
      <c r="CU700" s="59"/>
      <c r="CV700" s="59"/>
      <c r="CW700" s="59"/>
      <c r="CX700" s="59"/>
      <c r="CY700" s="59"/>
      <c r="CZ700" s="59"/>
      <c r="DA700" s="59"/>
      <c r="DB700" s="59"/>
      <c r="DC700" s="59"/>
      <c r="DD700" s="59"/>
      <c r="DE700" s="59"/>
      <c r="DF700" s="59"/>
      <c r="DG700" s="59"/>
    </row>
    <row r="701" spans="1:111" ht="11.2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59"/>
      <c r="BB701" s="59"/>
      <c r="BC701" s="59"/>
      <c r="BD701" s="59"/>
      <c r="BE701" s="59"/>
      <c r="BF701" s="59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59"/>
      <c r="BZ701" s="59"/>
      <c r="CA701" s="59"/>
      <c r="CB701" s="59"/>
      <c r="CC701" s="59"/>
      <c r="CD701" s="59"/>
      <c r="CE701" s="59"/>
      <c r="CF701" s="59"/>
      <c r="CG701" s="59"/>
      <c r="CH701" s="59"/>
      <c r="CI701" s="59"/>
      <c r="CJ701" s="59"/>
      <c r="CK701" s="59"/>
      <c r="CL701" s="59"/>
      <c r="CM701" s="59"/>
      <c r="CN701" s="59"/>
      <c r="CO701" s="59"/>
      <c r="CP701" s="59"/>
      <c r="CQ701" s="59"/>
      <c r="CR701" s="59"/>
      <c r="CS701" s="59"/>
      <c r="CT701" s="59"/>
      <c r="CU701" s="59"/>
      <c r="CV701" s="59"/>
      <c r="CW701" s="59"/>
      <c r="CX701" s="59"/>
      <c r="CY701" s="59"/>
      <c r="CZ701" s="59"/>
      <c r="DA701" s="59"/>
      <c r="DB701" s="59"/>
      <c r="DC701" s="59"/>
      <c r="DD701" s="59"/>
      <c r="DE701" s="59"/>
      <c r="DF701" s="59"/>
      <c r="DG701" s="59"/>
    </row>
    <row r="702" spans="1:111" ht="11.2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9"/>
      <c r="AW702" s="59"/>
      <c r="AX702" s="59"/>
      <c r="AY702" s="59"/>
      <c r="AZ702" s="59"/>
      <c r="BA702" s="59"/>
      <c r="BB702" s="59"/>
      <c r="BC702" s="59"/>
      <c r="BD702" s="59"/>
      <c r="BE702" s="59"/>
      <c r="BF702" s="59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59"/>
      <c r="BZ702" s="59"/>
      <c r="CA702" s="59"/>
      <c r="CB702" s="59"/>
      <c r="CC702" s="59"/>
      <c r="CD702" s="59"/>
      <c r="CE702" s="59"/>
      <c r="CF702" s="59"/>
      <c r="CG702" s="59"/>
      <c r="CH702" s="59"/>
      <c r="CI702" s="59"/>
      <c r="CJ702" s="59"/>
      <c r="CK702" s="59"/>
      <c r="CL702" s="59"/>
      <c r="CM702" s="59"/>
      <c r="CN702" s="59"/>
      <c r="CO702" s="59"/>
      <c r="CP702" s="59"/>
      <c r="CQ702" s="59"/>
      <c r="CR702" s="59"/>
      <c r="CS702" s="59"/>
      <c r="CT702" s="59"/>
      <c r="CU702" s="59"/>
      <c r="CV702" s="59"/>
      <c r="CW702" s="59"/>
      <c r="CX702" s="59"/>
      <c r="CY702" s="59"/>
      <c r="CZ702" s="59"/>
      <c r="DA702" s="59"/>
      <c r="DB702" s="59"/>
      <c r="DC702" s="59"/>
      <c r="DD702" s="59"/>
      <c r="DE702" s="59"/>
      <c r="DF702" s="59"/>
      <c r="DG702" s="59"/>
    </row>
    <row r="703" spans="1:111" ht="11.2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9"/>
      <c r="AW703" s="59"/>
      <c r="AX703" s="59"/>
      <c r="AY703" s="59"/>
      <c r="AZ703" s="59"/>
      <c r="BA703" s="59"/>
      <c r="BB703" s="59"/>
      <c r="BC703" s="59"/>
      <c r="BD703" s="59"/>
      <c r="BE703" s="59"/>
      <c r="BF703" s="59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59"/>
      <c r="BZ703" s="59"/>
      <c r="CA703" s="59"/>
      <c r="CB703" s="59"/>
      <c r="CC703" s="59"/>
      <c r="CD703" s="59"/>
      <c r="CE703" s="59"/>
      <c r="CF703" s="59"/>
      <c r="CG703" s="59"/>
      <c r="CH703" s="59"/>
      <c r="CI703" s="59"/>
      <c r="CJ703" s="59"/>
      <c r="CK703" s="59"/>
      <c r="CL703" s="59"/>
      <c r="CM703" s="59"/>
      <c r="CN703" s="59"/>
      <c r="CO703" s="59"/>
      <c r="CP703" s="59"/>
      <c r="CQ703" s="59"/>
      <c r="CR703" s="59"/>
      <c r="CS703" s="59"/>
      <c r="CT703" s="59"/>
      <c r="CU703" s="59"/>
      <c r="CV703" s="59"/>
      <c r="CW703" s="59"/>
      <c r="CX703" s="59"/>
      <c r="CY703" s="59"/>
      <c r="CZ703" s="59"/>
      <c r="DA703" s="59"/>
      <c r="DB703" s="59"/>
      <c r="DC703" s="59"/>
      <c r="DD703" s="59"/>
      <c r="DE703" s="59"/>
      <c r="DF703" s="59"/>
      <c r="DG703" s="59"/>
    </row>
    <row r="704" spans="1:111" ht="11.2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  <c r="AJ704" s="59"/>
      <c r="AK704" s="59"/>
      <c r="AL704" s="59"/>
      <c r="AM704" s="59"/>
      <c r="AN704" s="59"/>
      <c r="AO704" s="59"/>
      <c r="AP704" s="59"/>
      <c r="AQ704" s="59"/>
      <c r="AR704" s="59"/>
      <c r="AS704" s="59"/>
      <c r="AT704" s="59"/>
      <c r="AU704" s="59"/>
      <c r="AV704" s="59"/>
      <c r="AW704" s="59"/>
      <c r="AX704" s="59"/>
      <c r="AY704" s="59"/>
      <c r="AZ704" s="59"/>
      <c r="BA704" s="59"/>
      <c r="BB704" s="59"/>
      <c r="BC704" s="59"/>
      <c r="BD704" s="59"/>
      <c r="BE704" s="59"/>
      <c r="BF704" s="59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59"/>
      <c r="BZ704" s="59"/>
      <c r="CA704" s="59"/>
      <c r="CB704" s="59"/>
      <c r="CC704" s="59"/>
      <c r="CD704" s="59"/>
      <c r="CE704" s="59"/>
      <c r="CF704" s="59"/>
      <c r="CG704" s="59"/>
      <c r="CH704" s="59"/>
      <c r="CI704" s="59"/>
      <c r="CJ704" s="59"/>
      <c r="CK704" s="59"/>
      <c r="CL704" s="59"/>
      <c r="CM704" s="59"/>
      <c r="CN704" s="59"/>
      <c r="CO704" s="59"/>
      <c r="CP704" s="59"/>
      <c r="CQ704" s="59"/>
      <c r="CR704" s="59"/>
      <c r="CS704" s="59"/>
      <c r="CT704" s="59"/>
      <c r="CU704" s="59"/>
      <c r="CV704" s="59"/>
      <c r="CW704" s="59"/>
      <c r="CX704" s="59"/>
      <c r="CY704" s="59"/>
      <c r="CZ704" s="59"/>
      <c r="DA704" s="59"/>
      <c r="DB704" s="59"/>
      <c r="DC704" s="59"/>
      <c r="DD704" s="59"/>
      <c r="DE704" s="59"/>
      <c r="DF704" s="59"/>
      <c r="DG704" s="59"/>
    </row>
    <row r="705" spans="1:111" ht="11.2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59"/>
      <c r="AO705" s="59"/>
      <c r="AP705" s="59"/>
      <c r="AQ705" s="59"/>
      <c r="AR705" s="59"/>
      <c r="AS705" s="59"/>
      <c r="AT705" s="59"/>
      <c r="AU705" s="59"/>
      <c r="AV705" s="59"/>
      <c r="AW705" s="59"/>
      <c r="AX705" s="59"/>
      <c r="AY705" s="59"/>
      <c r="AZ705" s="59"/>
      <c r="BA705" s="59"/>
      <c r="BB705" s="59"/>
      <c r="BC705" s="59"/>
      <c r="BD705" s="59"/>
      <c r="BE705" s="59"/>
      <c r="BF705" s="59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59"/>
      <c r="BZ705" s="59"/>
      <c r="CA705" s="59"/>
      <c r="CB705" s="59"/>
      <c r="CC705" s="59"/>
      <c r="CD705" s="59"/>
      <c r="CE705" s="59"/>
      <c r="CF705" s="59"/>
      <c r="CG705" s="59"/>
      <c r="CH705" s="59"/>
      <c r="CI705" s="59"/>
      <c r="CJ705" s="59"/>
      <c r="CK705" s="59"/>
      <c r="CL705" s="59"/>
      <c r="CM705" s="59"/>
      <c r="CN705" s="59"/>
      <c r="CO705" s="59"/>
      <c r="CP705" s="59"/>
      <c r="CQ705" s="59"/>
      <c r="CR705" s="59"/>
      <c r="CS705" s="59"/>
      <c r="CT705" s="59"/>
      <c r="CU705" s="59"/>
      <c r="CV705" s="59"/>
      <c r="CW705" s="59"/>
      <c r="CX705" s="59"/>
      <c r="CY705" s="59"/>
      <c r="CZ705" s="59"/>
      <c r="DA705" s="59"/>
      <c r="DB705" s="59"/>
      <c r="DC705" s="59"/>
      <c r="DD705" s="59"/>
      <c r="DE705" s="59"/>
      <c r="DF705" s="59"/>
      <c r="DG705" s="59"/>
    </row>
    <row r="706" spans="1:111" ht="11.2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59"/>
      <c r="AO706" s="59"/>
      <c r="AP706" s="59"/>
      <c r="AQ706" s="59"/>
      <c r="AR706" s="59"/>
      <c r="AS706" s="59"/>
      <c r="AT706" s="59"/>
      <c r="AU706" s="59"/>
      <c r="AV706" s="59"/>
      <c r="AW706" s="59"/>
      <c r="AX706" s="59"/>
      <c r="AY706" s="59"/>
      <c r="AZ706" s="59"/>
      <c r="BA706" s="59"/>
      <c r="BB706" s="59"/>
      <c r="BC706" s="59"/>
      <c r="BD706" s="59"/>
      <c r="BE706" s="59"/>
      <c r="BF706" s="59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59"/>
      <c r="BZ706" s="59"/>
      <c r="CA706" s="59"/>
      <c r="CB706" s="59"/>
      <c r="CC706" s="59"/>
      <c r="CD706" s="59"/>
      <c r="CE706" s="59"/>
      <c r="CF706" s="59"/>
      <c r="CG706" s="59"/>
      <c r="CH706" s="59"/>
      <c r="CI706" s="59"/>
      <c r="CJ706" s="59"/>
      <c r="CK706" s="59"/>
      <c r="CL706" s="59"/>
      <c r="CM706" s="59"/>
      <c r="CN706" s="59"/>
      <c r="CO706" s="59"/>
      <c r="CP706" s="59"/>
      <c r="CQ706" s="59"/>
      <c r="CR706" s="59"/>
      <c r="CS706" s="59"/>
      <c r="CT706" s="59"/>
      <c r="CU706" s="59"/>
      <c r="CV706" s="59"/>
      <c r="CW706" s="59"/>
      <c r="CX706" s="59"/>
      <c r="CY706" s="59"/>
      <c r="CZ706" s="59"/>
      <c r="DA706" s="59"/>
      <c r="DB706" s="59"/>
      <c r="DC706" s="59"/>
      <c r="DD706" s="59"/>
      <c r="DE706" s="59"/>
      <c r="DF706" s="59"/>
      <c r="DG706" s="59"/>
    </row>
    <row r="707" spans="1:111" ht="11.2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59"/>
      <c r="AO707" s="59"/>
      <c r="AP707" s="59"/>
      <c r="AQ707" s="59"/>
      <c r="AR707" s="59"/>
      <c r="AS707" s="59"/>
      <c r="AT707" s="59"/>
      <c r="AU707" s="59"/>
      <c r="AV707" s="59"/>
      <c r="AW707" s="59"/>
      <c r="AX707" s="59"/>
      <c r="AY707" s="59"/>
      <c r="AZ707" s="59"/>
      <c r="BA707" s="59"/>
      <c r="BB707" s="59"/>
      <c r="BC707" s="59"/>
      <c r="BD707" s="59"/>
      <c r="BE707" s="59"/>
      <c r="BF707" s="59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59"/>
      <c r="BZ707" s="59"/>
      <c r="CA707" s="59"/>
      <c r="CB707" s="59"/>
      <c r="CC707" s="59"/>
      <c r="CD707" s="59"/>
      <c r="CE707" s="59"/>
      <c r="CF707" s="59"/>
      <c r="CG707" s="59"/>
      <c r="CH707" s="59"/>
      <c r="CI707" s="59"/>
      <c r="CJ707" s="59"/>
      <c r="CK707" s="59"/>
      <c r="CL707" s="59"/>
      <c r="CM707" s="59"/>
      <c r="CN707" s="59"/>
      <c r="CO707" s="59"/>
      <c r="CP707" s="59"/>
      <c r="CQ707" s="59"/>
      <c r="CR707" s="59"/>
      <c r="CS707" s="59"/>
      <c r="CT707" s="59"/>
      <c r="CU707" s="59"/>
      <c r="CV707" s="59"/>
      <c r="CW707" s="59"/>
      <c r="CX707" s="59"/>
      <c r="CY707" s="59"/>
      <c r="CZ707" s="59"/>
      <c r="DA707" s="59"/>
      <c r="DB707" s="59"/>
      <c r="DC707" s="59"/>
      <c r="DD707" s="59"/>
      <c r="DE707" s="59"/>
      <c r="DF707" s="59"/>
      <c r="DG707" s="59"/>
    </row>
    <row r="708" spans="1:111" ht="11.2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59"/>
      <c r="AO708" s="59"/>
      <c r="AP708" s="59"/>
      <c r="AQ708" s="59"/>
      <c r="AR708" s="59"/>
      <c r="AS708" s="59"/>
      <c r="AT708" s="59"/>
      <c r="AU708" s="59"/>
      <c r="AV708" s="59"/>
      <c r="AW708" s="59"/>
      <c r="AX708" s="59"/>
      <c r="AY708" s="59"/>
      <c r="AZ708" s="59"/>
      <c r="BA708" s="59"/>
      <c r="BB708" s="59"/>
      <c r="BC708" s="59"/>
      <c r="BD708" s="59"/>
      <c r="BE708" s="59"/>
      <c r="BF708" s="59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59"/>
      <c r="BZ708" s="59"/>
      <c r="CA708" s="59"/>
      <c r="CB708" s="59"/>
      <c r="CC708" s="59"/>
      <c r="CD708" s="59"/>
      <c r="CE708" s="59"/>
      <c r="CF708" s="59"/>
      <c r="CG708" s="59"/>
      <c r="CH708" s="59"/>
      <c r="CI708" s="59"/>
      <c r="CJ708" s="59"/>
      <c r="CK708" s="59"/>
      <c r="CL708" s="59"/>
      <c r="CM708" s="59"/>
      <c r="CN708" s="59"/>
      <c r="CO708" s="59"/>
      <c r="CP708" s="59"/>
      <c r="CQ708" s="59"/>
      <c r="CR708" s="59"/>
      <c r="CS708" s="59"/>
      <c r="CT708" s="59"/>
      <c r="CU708" s="59"/>
      <c r="CV708" s="59"/>
      <c r="CW708" s="59"/>
      <c r="CX708" s="59"/>
      <c r="CY708" s="59"/>
      <c r="CZ708" s="59"/>
      <c r="DA708" s="59"/>
      <c r="DB708" s="59"/>
      <c r="DC708" s="59"/>
      <c r="DD708" s="59"/>
      <c r="DE708" s="59"/>
      <c r="DF708" s="59"/>
      <c r="DG708" s="59"/>
    </row>
    <row r="709" spans="1:111" ht="11.2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59"/>
      <c r="AO709" s="59"/>
      <c r="AP709" s="59"/>
      <c r="AQ709" s="59"/>
      <c r="AR709" s="59"/>
      <c r="AS709" s="59"/>
      <c r="AT709" s="59"/>
      <c r="AU709" s="59"/>
      <c r="AV709" s="59"/>
      <c r="AW709" s="59"/>
      <c r="AX709" s="59"/>
      <c r="AY709" s="59"/>
      <c r="AZ709" s="59"/>
      <c r="BA709" s="59"/>
      <c r="BB709" s="59"/>
      <c r="BC709" s="59"/>
      <c r="BD709" s="59"/>
      <c r="BE709" s="59"/>
      <c r="BF709" s="59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59"/>
      <c r="BZ709" s="59"/>
      <c r="CA709" s="59"/>
      <c r="CB709" s="59"/>
      <c r="CC709" s="59"/>
      <c r="CD709" s="59"/>
      <c r="CE709" s="59"/>
      <c r="CF709" s="59"/>
      <c r="CG709" s="59"/>
      <c r="CH709" s="59"/>
      <c r="CI709" s="59"/>
      <c r="CJ709" s="59"/>
      <c r="CK709" s="59"/>
      <c r="CL709" s="59"/>
      <c r="CM709" s="59"/>
      <c r="CN709" s="59"/>
      <c r="CO709" s="59"/>
      <c r="CP709" s="59"/>
      <c r="CQ709" s="59"/>
      <c r="CR709" s="59"/>
      <c r="CS709" s="59"/>
      <c r="CT709" s="59"/>
      <c r="CU709" s="59"/>
      <c r="CV709" s="59"/>
      <c r="CW709" s="59"/>
      <c r="CX709" s="59"/>
      <c r="CY709" s="59"/>
      <c r="CZ709" s="59"/>
      <c r="DA709" s="59"/>
      <c r="DB709" s="59"/>
      <c r="DC709" s="59"/>
      <c r="DD709" s="59"/>
      <c r="DE709" s="59"/>
      <c r="DF709" s="59"/>
      <c r="DG709" s="59"/>
    </row>
    <row r="710" spans="1:111" ht="11.2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59"/>
      <c r="AO710" s="59"/>
      <c r="AP710" s="59"/>
      <c r="AQ710" s="59"/>
      <c r="AR710" s="59"/>
      <c r="AS710" s="59"/>
      <c r="AT710" s="59"/>
      <c r="AU710" s="59"/>
      <c r="AV710" s="59"/>
      <c r="AW710" s="59"/>
      <c r="AX710" s="59"/>
      <c r="AY710" s="59"/>
      <c r="AZ710" s="59"/>
      <c r="BA710" s="59"/>
      <c r="BB710" s="59"/>
      <c r="BC710" s="59"/>
      <c r="BD710" s="59"/>
      <c r="BE710" s="59"/>
      <c r="BF710" s="59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59"/>
      <c r="BZ710" s="59"/>
      <c r="CA710" s="59"/>
      <c r="CB710" s="59"/>
      <c r="CC710" s="59"/>
      <c r="CD710" s="59"/>
      <c r="CE710" s="59"/>
      <c r="CF710" s="59"/>
      <c r="CG710" s="59"/>
      <c r="CH710" s="59"/>
      <c r="CI710" s="59"/>
      <c r="CJ710" s="59"/>
      <c r="CK710" s="59"/>
      <c r="CL710" s="59"/>
      <c r="CM710" s="59"/>
      <c r="CN710" s="59"/>
      <c r="CO710" s="59"/>
      <c r="CP710" s="59"/>
      <c r="CQ710" s="59"/>
      <c r="CR710" s="59"/>
      <c r="CS710" s="59"/>
      <c r="CT710" s="59"/>
      <c r="CU710" s="59"/>
      <c r="CV710" s="59"/>
      <c r="CW710" s="59"/>
      <c r="CX710" s="59"/>
      <c r="CY710" s="59"/>
      <c r="CZ710" s="59"/>
      <c r="DA710" s="59"/>
      <c r="DB710" s="59"/>
      <c r="DC710" s="59"/>
      <c r="DD710" s="59"/>
      <c r="DE710" s="59"/>
      <c r="DF710" s="59"/>
      <c r="DG710" s="59"/>
    </row>
    <row r="711" spans="1:111" ht="11.2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  <c r="BC711" s="59"/>
      <c r="BD711" s="59"/>
      <c r="BE711" s="59"/>
      <c r="BF711" s="59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  <c r="BZ711" s="59"/>
      <c r="CA711" s="59"/>
      <c r="CB711" s="59"/>
      <c r="CC711" s="59"/>
      <c r="CD711" s="59"/>
      <c r="CE711" s="59"/>
      <c r="CF711" s="59"/>
      <c r="CG711" s="59"/>
      <c r="CH711" s="59"/>
      <c r="CI711" s="59"/>
      <c r="CJ711" s="59"/>
      <c r="CK711" s="59"/>
      <c r="CL711" s="59"/>
      <c r="CM711" s="59"/>
      <c r="CN711" s="59"/>
      <c r="CO711" s="59"/>
      <c r="CP711" s="59"/>
      <c r="CQ711" s="59"/>
      <c r="CR711" s="59"/>
      <c r="CS711" s="59"/>
      <c r="CT711" s="59"/>
      <c r="CU711" s="59"/>
      <c r="CV711" s="59"/>
      <c r="CW711" s="59"/>
      <c r="CX711" s="59"/>
      <c r="CY711" s="59"/>
      <c r="CZ711" s="59"/>
      <c r="DA711" s="59"/>
      <c r="DB711" s="59"/>
      <c r="DC711" s="59"/>
      <c r="DD711" s="59"/>
      <c r="DE711" s="59"/>
      <c r="DF711" s="59"/>
      <c r="DG711" s="59"/>
    </row>
    <row r="712" spans="1:111" ht="11.2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  <c r="BC712" s="59"/>
      <c r="BD712" s="59"/>
      <c r="BE712" s="59"/>
      <c r="BF712" s="59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59"/>
      <c r="BZ712" s="59"/>
      <c r="CA712" s="59"/>
      <c r="CB712" s="59"/>
      <c r="CC712" s="59"/>
      <c r="CD712" s="59"/>
      <c r="CE712" s="59"/>
      <c r="CF712" s="59"/>
      <c r="CG712" s="59"/>
      <c r="CH712" s="59"/>
      <c r="CI712" s="59"/>
      <c r="CJ712" s="59"/>
      <c r="CK712" s="59"/>
      <c r="CL712" s="59"/>
      <c r="CM712" s="59"/>
      <c r="CN712" s="59"/>
      <c r="CO712" s="59"/>
      <c r="CP712" s="59"/>
      <c r="CQ712" s="59"/>
      <c r="CR712" s="59"/>
      <c r="CS712" s="59"/>
      <c r="CT712" s="59"/>
      <c r="CU712" s="59"/>
      <c r="CV712" s="59"/>
      <c r="CW712" s="59"/>
      <c r="CX712" s="59"/>
      <c r="CY712" s="59"/>
      <c r="CZ712" s="59"/>
      <c r="DA712" s="59"/>
      <c r="DB712" s="59"/>
      <c r="DC712" s="59"/>
      <c r="DD712" s="59"/>
      <c r="DE712" s="59"/>
      <c r="DF712" s="59"/>
      <c r="DG712" s="59"/>
    </row>
    <row r="713" spans="1:111" ht="11.2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  <c r="BC713" s="59"/>
      <c r="BD713" s="59"/>
      <c r="BE713" s="59"/>
      <c r="BF713" s="59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59"/>
      <c r="CA713" s="59"/>
      <c r="CB713" s="59"/>
      <c r="CC713" s="59"/>
      <c r="CD713" s="59"/>
      <c r="CE713" s="59"/>
      <c r="CF713" s="59"/>
      <c r="CG713" s="59"/>
      <c r="CH713" s="59"/>
      <c r="CI713" s="59"/>
      <c r="CJ713" s="59"/>
      <c r="CK713" s="59"/>
      <c r="CL713" s="59"/>
      <c r="CM713" s="59"/>
      <c r="CN713" s="59"/>
      <c r="CO713" s="59"/>
      <c r="CP713" s="59"/>
      <c r="CQ713" s="59"/>
      <c r="CR713" s="59"/>
      <c r="CS713" s="59"/>
      <c r="CT713" s="59"/>
      <c r="CU713" s="59"/>
      <c r="CV713" s="59"/>
      <c r="CW713" s="59"/>
      <c r="CX713" s="59"/>
      <c r="CY713" s="59"/>
      <c r="CZ713" s="59"/>
      <c r="DA713" s="59"/>
      <c r="DB713" s="59"/>
      <c r="DC713" s="59"/>
      <c r="DD713" s="59"/>
      <c r="DE713" s="59"/>
      <c r="DF713" s="59"/>
      <c r="DG713" s="59"/>
    </row>
    <row r="714" spans="1:111" ht="11.2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9"/>
      <c r="AW714" s="59"/>
      <c r="AX714" s="59"/>
      <c r="AY714" s="59"/>
      <c r="AZ714" s="59"/>
      <c r="BA714" s="59"/>
      <c r="BB714" s="59"/>
      <c r="BC714" s="59"/>
      <c r="BD714" s="59"/>
      <c r="BE714" s="59"/>
      <c r="BF714" s="59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59"/>
      <c r="BZ714" s="59"/>
      <c r="CA714" s="59"/>
      <c r="CB714" s="59"/>
      <c r="CC714" s="59"/>
      <c r="CD714" s="59"/>
      <c r="CE714" s="59"/>
      <c r="CF714" s="59"/>
      <c r="CG714" s="59"/>
      <c r="CH714" s="59"/>
      <c r="CI714" s="59"/>
      <c r="CJ714" s="59"/>
      <c r="CK714" s="59"/>
      <c r="CL714" s="59"/>
      <c r="CM714" s="59"/>
      <c r="CN714" s="59"/>
      <c r="CO714" s="59"/>
      <c r="CP714" s="59"/>
      <c r="CQ714" s="59"/>
      <c r="CR714" s="59"/>
      <c r="CS714" s="59"/>
      <c r="CT714" s="59"/>
      <c r="CU714" s="59"/>
      <c r="CV714" s="59"/>
      <c r="CW714" s="59"/>
      <c r="CX714" s="59"/>
      <c r="CY714" s="59"/>
      <c r="CZ714" s="59"/>
      <c r="DA714" s="59"/>
      <c r="DB714" s="59"/>
      <c r="DC714" s="59"/>
      <c r="DD714" s="59"/>
      <c r="DE714" s="59"/>
      <c r="DF714" s="59"/>
      <c r="DG714" s="59"/>
    </row>
    <row r="715" spans="1:111" ht="11.2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9"/>
      <c r="AW715" s="59"/>
      <c r="AX715" s="59"/>
      <c r="AY715" s="59"/>
      <c r="AZ715" s="59"/>
      <c r="BA715" s="59"/>
      <c r="BB715" s="59"/>
      <c r="BC715" s="59"/>
      <c r="BD715" s="59"/>
      <c r="BE715" s="59"/>
      <c r="BF715" s="59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59"/>
      <c r="BZ715" s="59"/>
      <c r="CA715" s="59"/>
      <c r="CB715" s="59"/>
      <c r="CC715" s="59"/>
      <c r="CD715" s="59"/>
      <c r="CE715" s="59"/>
      <c r="CF715" s="59"/>
      <c r="CG715" s="59"/>
      <c r="CH715" s="59"/>
      <c r="CI715" s="59"/>
      <c r="CJ715" s="59"/>
      <c r="CK715" s="59"/>
      <c r="CL715" s="59"/>
      <c r="CM715" s="59"/>
      <c r="CN715" s="59"/>
      <c r="CO715" s="59"/>
      <c r="CP715" s="59"/>
      <c r="CQ715" s="59"/>
      <c r="CR715" s="59"/>
      <c r="CS715" s="59"/>
      <c r="CT715" s="59"/>
      <c r="CU715" s="59"/>
      <c r="CV715" s="59"/>
      <c r="CW715" s="59"/>
      <c r="CX715" s="59"/>
      <c r="CY715" s="59"/>
      <c r="CZ715" s="59"/>
      <c r="DA715" s="59"/>
      <c r="DB715" s="59"/>
      <c r="DC715" s="59"/>
      <c r="DD715" s="59"/>
      <c r="DE715" s="59"/>
      <c r="DF715" s="59"/>
      <c r="DG715" s="59"/>
    </row>
    <row r="716" spans="1:111" ht="11.2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9"/>
      <c r="AW716" s="59"/>
      <c r="AX716" s="59"/>
      <c r="AY716" s="59"/>
      <c r="AZ716" s="59"/>
      <c r="BA716" s="59"/>
      <c r="BB716" s="59"/>
      <c r="BC716" s="59"/>
      <c r="BD716" s="59"/>
      <c r="BE716" s="59"/>
      <c r="BF716" s="59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59"/>
      <c r="BZ716" s="59"/>
      <c r="CA716" s="59"/>
      <c r="CB716" s="59"/>
      <c r="CC716" s="59"/>
      <c r="CD716" s="59"/>
      <c r="CE716" s="59"/>
      <c r="CF716" s="59"/>
      <c r="CG716" s="59"/>
      <c r="CH716" s="59"/>
      <c r="CI716" s="59"/>
      <c r="CJ716" s="59"/>
      <c r="CK716" s="59"/>
      <c r="CL716" s="59"/>
      <c r="CM716" s="59"/>
      <c r="CN716" s="59"/>
      <c r="CO716" s="59"/>
      <c r="CP716" s="59"/>
      <c r="CQ716" s="59"/>
      <c r="CR716" s="59"/>
      <c r="CS716" s="59"/>
      <c r="CT716" s="59"/>
      <c r="CU716" s="59"/>
      <c r="CV716" s="59"/>
      <c r="CW716" s="59"/>
      <c r="CX716" s="59"/>
      <c r="CY716" s="59"/>
      <c r="CZ716" s="59"/>
      <c r="DA716" s="59"/>
      <c r="DB716" s="59"/>
      <c r="DC716" s="59"/>
      <c r="DD716" s="59"/>
      <c r="DE716" s="59"/>
      <c r="DF716" s="59"/>
      <c r="DG716" s="59"/>
    </row>
    <row r="717" spans="1:111" ht="11.2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  <c r="AJ717" s="59"/>
      <c r="AK717" s="59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9"/>
      <c r="AW717" s="59"/>
      <c r="AX717" s="59"/>
      <c r="AY717" s="59"/>
      <c r="AZ717" s="59"/>
      <c r="BA717" s="59"/>
      <c r="BB717" s="59"/>
      <c r="BC717" s="59"/>
      <c r="BD717" s="59"/>
      <c r="BE717" s="59"/>
      <c r="BF717" s="59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59"/>
      <c r="BZ717" s="59"/>
      <c r="CA717" s="59"/>
      <c r="CB717" s="59"/>
      <c r="CC717" s="59"/>
      <c r="CD717" s="59"/>
      <c r="CE717" s="59"/>
      <c r="CF717" s="59"/>
      <c r="CG717" s="59"/>
      <c r="CH717" s="59"/>
      <c r="CI717" s="59"/>
      <c r="CJ717" s="59"/>
      <c r="CK717" s="59"/>
      <c r="CL717" s="59"/>
      <c r="CM717" s="59"/>
      <c r="CN717" s="59"/>
      <c r="CO717" s="59"/>
      <c r="CP717" s="59"/>
      <c r="CQ717" s="59"/>
      <c r="CR717" s="59"/>
      <c r="CS717" s="59"/>
      <c r="CT717" s="59"/>
      <c r="CU717" s="59"/>
      <c r="CV717" s="59"/>
      <c r="CW717" s="59"/>
      <c r="CX717" s="59"/>
      <c r="CY717" s="59"/>
      <c r="CZ717" s="59"/>
      <c r="DA717" s="59"/>
      <c r="DB717" s="59"/>
      <c r="DC717" s="59"/>
      <c r="DD717" s="59"/>
      <c r="DE717" s="59"/>
      <c r="DF717" s="59"/>
      <c r="DG717" s="59"/>
    </row>
    <row r="718" spans="1:111" ht="11.2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  <c r="AJ718" s="59"/>
      <c r="AK718" s="59"/>
      <c r="AL718" s="59"/>
      <c r="AM718" s="59"/>
      <c r="AN718" s="59"/>
      <c r="AO718" s="59"/>
      <c r="AP718" s="59"/>
      <c r="AQ718" s="59"/>
      <c r="AR718" s="59"/>
      <c r="AS718" s="59"/>
      <c r="AT718" s="59"/>
      <c r="AU718" s="59"/>
      <c r="AV718" s="59"/>
      <c r="AW718" s="59"/>
      <c r="AX718" s="59"/>
      <c r="AY718" s="59"/>
      <c r="AZ718" s="59"/>
      <c r="BA718" s="59"/>
      <c r="BB718" s="59"/>
      <c r="BC718" s="59"/>
      <c r="BD718" s="59"/>
      <c r="BE718" s="59"/>
      <c r="BF718" s="59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59"/>
      <c r="BZ718" s="59"/>
      <c r="CA718" s="59"/>
      <c r="CB718" s="59"/>
      <c r="CC718" s="59"/>
      <c r="CD718" s="59"/>
      <c r="CE718" s="59"/>
      <c r="CF718" s="59"/>
      <c r="CG718" s="59"/>
      <c r="CH718" s="59"/>
      <c r="CI718" s="59"/>
      <c r="CJ718" s="59"/>
      <c r="CK718" s="59"/>
      <c r="CL718" s="59"/>
      <c r="CM718" s="59"/>
      <c r="CN718" s="59"/>
      <c r="CO718" s="59"/>
      <c r="CP718" s="59"/>
      <c r="CQ718" s="59"/>
      <c r="CR718" s="59"/>
      <c r="CS718" s="59"/>
      <c r="CT718" s="59"/>
      <c r="CU718" s="59"/>
      <c r="CV718" s="59"/>
      <c r="CW718" s="59"/>
      <c r="CX718" s="59"/>
      <c r="CY718" s="59"/>
      <c r="CZ718" s="59"/>
      <c r="DA718" s="59"/>
      <c r="DB718" s="59"/>
      <c r="DC718" s="59"/>
      <c r="DD718" s="59"/>
      <c r="DE718" s="59"/>
      <c r="DF718" s="59"/>
      <c r="DG718" s="59"/>
    </row>
    <row r="719" spans="1:111" ht="11.2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  <c r="AJ719" s="59"/>
      <c r="AK719" s="59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9"/>
      <c r="AW719" s="59"/>
      <c r="AX719" s="59"/>
      <c r="AY719" s="59"/>
      <c r="AZ719" s="59"/>
      <c r="BA719" s="59"/>
      <c r="BB719" s="59"/>
      <c r="BC719" s="59"/>
      <c r="BD719" s="59"/>
      <c r="BE719" s="59"/>
      <c r="BF719" s="59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59"/>
      <c r="BZ719" s="59"/>
      <c r="CA719" s="59"/>
      <c r="CB719" s="59"/>
      <c r="CC719" s="59"/>
      <c r="CD719" s="59"/>
      <c r="CE719" s="59"/>
      <c r="CF719" s="59"/>
      <c r="CG719" s="59"/>
      <c r="CH719" s="59"/>
      <c r="CI719" s="59"/>
      <c r="CJ719" s="59"/>
      <c r="CK719" s="59"/>
      <c r="CL719" s="59"/>
      <c r="CM719" s="59"/>
      <c r="CN719" s="59"/>
      <c r="CO719" s="59"/>
      <c r="CP719" s="59"/>
      <c r="CQ719" s="59"/>
      <c r="CR719" s="59"/>
      <c r="CS719" s="59"/>
      <c r="CT719" s="59"/>
      <c r="CU719" s="59"/>
      <c r="CV719" s="59"/>
      <c r="CW719" s="59"/>
      <c r="CX719" s="59"/>
      <c r="CY719" s="59"/>
      <c r="CZ719" s="59"/>
      <c r="DA719" s="59"/>
      <c r="DB719" s="59"/>
      <c r="DC719" s="59"/>
      <c r="DD719" s="59"/>
      <c r="DE719" s="59"/>
      <c r="DF719" s="59"/>
      <c r="DG719" s="59"/>
    </row>
    <row r="720" spans="1:111" ht="11.2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9"/>
      <c r="AW720" s="59"/>
      <c r="AX720" s="59"/>
      <c r="AY720" s="59"/>
      <c r="AZ720" s="59"/>
      <c r="BA720" s="59"/>
      <c r="BB720" s="59"/>
      <c r="BC720" s="59"/>
      <c r="BD720" s="59"/>
      <c r="BE720" s="59"/>
      <c r="BF720" s="59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59"/>
      <c r="BZ720" s="59"/>
      <c r="CA720" s="59"/>
      <c r="CB720" s="59"/>
      <c r="CC720" s="59"/>
      <c r="CD720" s="59"/>
      <c r="CE720" s="59"/>
      <c r="CF720" s="59"/>
      <c r="CG720" s="59"/>
      <c r="CH720" s="59"/>
      <c r="CI720" s="59"/>
      <c r="CJ720" s="59"/>
      <c r="CK720" s="59"/>
      <c r="CL720" s="59"/>
      <c r="CM720" s="59"/>
      <c r="CN720" s="59"/>
      <c r="CO720" s="59"/>
      <c r="CP720" s="59"/>
      <c r="CQ720" s="59"/>
      <c r="CR720" s="59"/>
      <c r="CS720" s="59"/>
      <c r="CT720" s="59"/>
      <c r="CU720" s="59"/>
      <c r="CV720" s="59"/>
      <c r="CW720" s="59"/>
      <c r="CX720" s="59"/>
      <c r="CY720" s="59"/>
      <c r="CZ720" s="59"/>
      <c r="DA720" s="59"/>
      <c r="DB720" s="59"/>
      <c r="DC720" s="59"/>
      <c r="DD720" s="59"/>
      <c r="DE720" s="59"/>
      <c r="DF720" s="59"/>
      <c r="DG720" s="59"/>
    </row>
    <row r="721" spans="1:111" ht="11.2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9"/>
      <c r="AW721" s="59"/>
      <c r="AX721" s="59"/>
      <c r="AY721" s="59"/>
      <c r="AZ721" s="59"/>
      <c r="BA721" s="59"/>
      <c r="BB721" s="59"/>
      <c r="BC721" s="59"/>
      <c r="BD721" s="59"/>
      <c r="BE721" s="59"/>
      <c r="BF721" s="59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59"/>
      <c r="BZ721" s="59"/>
      <c r="CA721" s="59"/>
      <c r="CB721" s="59"/>
      <c r="CC721" s="59"/>
      <c r="CD721" s="59"/>
      <c r="CE721" s="59"/>
      <c r="CF721" s="59"/>
      <c r="CG721" s="59"/>
      <c r="CH721" s="59"/>
      <c r="CI721" s="59"/>
      <c r="CJ721" s="59"/>
      <c r="CK721" s="59"/>
      <c r="CL721" s="59"/>
      <c r="CM721" s="59"/>
      <c r="CN721" s="59"/>
      <c r="CO721" s="59"/>
      <c r="CP721" s="59"/>
      <c r="CQ721" s="59"/>
      <c r="CR721" s="59"/>
      <c r="CS721" s="59"/>
      <c r="CT721" s="59"/>
      <c r="CU721" s="59"/>
      <c r="CV721" s="59"/>
      <c r="CW721" s="59"/>
      <c r="CX721" s="59"/>
      <c r="CY721" s="59"/>
      <c r="CZ721" s="59"/>
      <c r="DA721" s="59"/>
      <c r="DB721" s="59"/>
      <c r="DC721" s="59"/>
      <c r="DD721" s="59"/>
      <c r="DE721" s="59"/>
      <c r="DF721" s="59"/>
      <c r="DG721" s="59"/>
    </row>
    <row r="722" spans="1:111" ht="11.2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  <c r="AJ722" s="59"/>
      <c r="AK722" s="59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9"/>
      <c r="AW722" s="59"/>
      <c r="AX722" s="59"/>
      <c r="AY722" s="59"/>
      <c r="AZ722" s="59"/>
      <c r="BA722" s="59"/>
      <c r="BB722" s="59"/>
      <c r="BC722" s="59"/>
      <c r="BD722" s="59"/>
      <c r="BE722" s="59"/>
      <c r="BF722" s="59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59"/>
      <c r="BZ722" s="59"/>
      <c r="CA722" s="59"/>
      <c r="CB722" s="59"/>
      <c r="CC722" s="59"/>
      <c r="CD722" s="59"/>
      <c r="CE722" s="59"/>
      <c r="CF722" s="59"/>
      <c r="CG722" s="59"/>
      <c r="CH722" s="59"/>
      <c r="CI722" s="59"/>
      <c r="CJ722" s="59"/>
      <c r="CK722" s="59"/>
      <c r="CL722" s="59"/>
      <c r="CM722" s="59"/>
      <c r="CN722" s="59"/>
      <c r="CO722" s="59"/>
      <c r="CP722" s="59"/>
      <c r="CQ722" s="59"/>
      <c r="CR722" s="59"/>
      <c r="CS722" s="59"/>
      <c r="CT722" s="59"/>
      <c r="CU722" s="59"/>
      <c r="CV722" s="59"/>
      <c r="CW722" s="59"/>
      <c r="CX722" s="59"/>
      <c r="CY722" s="59"/>
      <c r="CZ722" s="59"/>
      <c r="DA722" s="59"/>
      <c r="DB722" s="59"/>
      <c r="DC722" s="59"/>
      <c r="DD722" s="59"/>
      <c r="DE722" s="59"/>
      <c r="DF722" s="59"/>
      <c r="DG722" s="59"/>
    </row>
    <row r="723" spans="1:111" ht="11.2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  <c r="AJ723" s="59"/>
      <c r="AK723" s="59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9"/>
      <c r="AW723" s="59"/>
      <c r="AX723" s="59"/>
      <c r="AY723" s="59"/>
      <c r="AZ723" s="59"/>
      <c r="BA723" s="59"/>
      <c r="BB723" s="59"/>
      <c r="BC723" s="59"/>
      <c r="BD723" s="59"/>
      <c r="BE723" s="59"/>
      <c r="BF723" s="59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59"/>
      <c r="BZ723" s="59"/>
      <c r="CA723" s="59"/>
      <c r="CB723" s="59"/>
      <c r="CC723" s="59"/>
      <c r="CD723" s="59"/>
      <c r="CE723" s="59"/>
      <c r="CF723" s="59"/>
      <c r="CG723" s="59"/>
      <c r="CH723" s="59"/>
      <c r="CI723" s="59"/>
      <c r="CJ723" s="59"/>
      <c r="CK723" s="59"/>
      <c r="CL723" s="59"/>
      <c r="CM723" s="59"/>
      <c r="CN723" s="59"/>
      <c r="CO723" s="59"/>
      <c r="CP723" s="59"/>
      <c r="CQ723" s="59"/>
      <c r="CR723" s="59"/>
      <c r="CS723" s="59"/>
      <c r="CT723" s="59"/>
      <c r="CU723" s="59"/>
      <c r="CV723" s="59"/>
      <c r="CW723" s="59"/>
      <c r="CX723" s="59"/>
      <c r="CY723" s="59"/>
      <c r="CZ723" s="59"/>
      <c r="DA723" s="59"/>
      <c r="DB723" s="59"/>
      <c r="DC723" s="59"/>
      <c r="DD723" s="59"/>
      <c r="DE723" s="59"/>
      <c r="DF723" s="59"/>
      <c r="DG723" s="59"/>
    </row>
    <row r="724" spans="1:111" ht="11.2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  <c r="AJ724" s="59"/>
      <c r="AK724" s="59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9"/>
      <c r="AW724" s="59"/>
      <c r="AX724" s="59"/>
      <c r="AY724" s="59"/>
      <c r="AZ724" s="59"/>
      <c r="BA724" s="59"/>
      <c r="BB724" s="59"/>
      <c r="BC724" s="59"/>
      <c r="BD724" s="59"/>
      <c r="BE724" s="59"/>
      <c r="BF724" s="59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59"/>
      <c r="BZ724" s="59"/>
      <c r="CA724" s="59"/>
      <c r="CB724" s="59"/>
      <c r="CC724" s="59"/>
      <c r="CD724" s="59"/>
      <c r="CE724" s="59"/>
      <c r="CF724" s="59"/>
      <c r="CG724" s="59"/>
      <c r="CH724" s="59"/>
      <c r="CI724" s="59"/>
      <c r="CJ724" s="59"/>
      <c r="CK724" s="59"/>
      <c r="CL724" s="59"/>
      <c r="CM724" s="59"/>
      <c r="CN724" s="59"/>
      <c r="CO724" s="59"/>
      <c r="CP724" s="59"/>
      <c r="CQ724" s="59"/>
      <c r="CR724" s="59"/>
      <c r="CS724" s="59"/>
      <c r="CT724" s="59"/>
      <c r="CU724" s="59"/>
      <c r="CV724" s="59"/>
      <c r="CW724" s="59"/>
      <c r="CX724" s="59"/>
      <c r="CY724" s="59"/>
      <c r="CZ724" s="59"/>
      <c r="DA724" s="59"/>
      <c r="DB724" s="59"/>
      <c r="DC724" s="59"/>
      <c r="DD724" s="59"/>
      <c r="DE724" s="59"/>
      <c r="DF724" s="59"/>
      <c r="DG724" s="59"/>
    </row>
    <row r="725" spans="1:111" ht="11.2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  <c r="AJ725" s="59"/>
      <c r="AK725" s="59"/>
      <c r="AL725" s="59"/>
      <c r="AM725" s="59"/>
      <c r="AN725" s="59"/>
      <c r="AO725" s="59"/>
      <c r="AP725" s="59"/>
      <c r="AQ725" s="59"/>
      <c r="AR725" s="59"/>
      <c r="AS725" s="59"/>
      <c r="AT725" s="59"/>
      <c r="AU725" s="59"/>
      <c r="AV725" s="59"/>
      <c r="AW725" s="59"/>
      <c r="AX725" s="59"/>
      <c r="AY725" s="59"/>
      <c r="AZ725" s="59"/>
      <c r="BA725" s="59"/>
      <c r="BB725" s="59"/>
      <c r="BC725" s="59"/>
      <c r="BD725" s="59"/>
      <c r="BE725" s="59"/>
      <c r="BF725" s="59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59"/>
      <c r="BZ725" s="59"/>
      <c r="CA725" s="59"/>
      <c r="CB725" s="59"/>
      <c r="CC725" s="59"/>
      <c r="CD725" s="59"/>
      <c r="CE725" s="59"/>
      <c r="CF725" s="59"/>
      <c r="CG725" s="59"/>
      <c r="CH725" s="59"/>
      <c r="CI725" s="59"/>
      <c r="CJ725" s="59"/>
      <c r="CK725" s="59"/>
      <c r="CL725" s="59"/>
      <c r="CM725" s="59"/>
      <c r="CN725" s="59"/>
      <c r="CO725" s="59"/>
      <c r="CP725" s="59"/>
      <c r="CQ725" s="59"/>
      <c r="CR725" s="59"/>
      <c r="CS725" s="59"/>
      <c r="CT725" s="59"/>
      <c r="CU725" s="59"/>
      <c r="CV725" s="59"/>
      <c r="CW725" s="59"/>
      <c r="CX725" s="59"/>
      <c r="CY725" s="59"/>
      <c r="CZ725" s="59"/>
      <c r="DA725" s="59"/>
      <c r="DB725" s="59"/>
      <c r="DC725" s="59"/>
      <c r="DD725" s="59"/>
      <c r="DE725" s="59"/>
      <c r="DF725" s="59"/>
      <c r="DG725" s="59"/>
    </row>
    <row r="726" spans="1:111" ht="11.2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  <c r="AJ726" s="59"/>
      <c r="AK726" s="59"/>
      <c r="AL726" s="59"/>
      <c r="AM726" s="59"/>
      <c r="AN726" s="59"/>
      <c r="AO726" s="59"/>
      <c r="AP726" s="59"/>
      <c r="AQ726" s="59"/>
      <c r="AR726" s="59"/>
      <c r="AS726" s="59"/>
      <c r="AT726" s="59"/>
      <c r="AU726" s="59"/>
      <c r="AV726" s="59"/>
      <c r="AW726" s="59"/>
      <c r="AX726" s="59"/>
      <c r="AY726" s="59"/>
      <c r="AZ726" s="59"/>
      <c r="BA726" s="59"/>
      <c r="BB726" s="59"/>
      <c r="BC726" s="59"/>
      <c r="BD726" s="59"/>
      <c r="BE726" s="59"/>
      <c r="BF726" s="59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59"/>
      <c r="BZ726" s="59"/>
      <c r="CA726" s="59"/>
      <c r="CB726" s="59"/>
      <c r="CC726" s="59"/>
      <c r="CD726" s="59"/>
      <c r="CE726" s="59"/>
      <c r="CF726" s="59"/>
      <c r="CG726" s="59"/>
      <c r="CH726" s="59"/>
      <c r="CI726" s="59"/>
      <c r="CJ726" s="59"/>
      <c r="CK726" s="59"/>
      <c r="CL726" s="59"/>
      <c r="CM726" s="59"/>
      <c r="CN726" s="59"/>
      <c r="CO726" s="59"/>
      <c r="CP726" s="59"/>
      <c r="CQ726" s="59"/>
      <c r="CR726" s="59"/>
      <c r="CS726" s="59"/>
      <c r="CT726" s="59"/>
      <c r="CU726" s="59"/>
      <c r="CV726" s="59"/>
      <c r="CW726" s="59"/>
      <c r="CX726" s="59"/>
      <c r="CY726" s="59"/>
      <c r="CZ726" s="59"/>
      <c r="DA726" s="59"/>
      <c r="DB726" s="59"/>
      <c r="DC726" s="59"/>
      <c r="DD726" s="59"/>
      <c r="DE726" s="59"/>
      <c r="DF726" s="59"/>
      <c r="DG726" s="59"/>
    </row>
    <row r="727" spans="1:111" ht="11.2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  <c r="AJ727" s="59"/>
      <c r="AK727" s="59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9"/>
      <c r="AW727" s="59"/>
      <c r="AX727" s="59"/>
      <c r="AY727" s="59"/>
      <c r="AZ727" s="59"/>
      <c r="BA727" s="59"/>
      <c r="BB727" s="59"/>
      <c r="BC727" s="59"/>
      <c r="BD727" s="59"/>
      <c r="BE727" s="59"/>
      <c r="BF727" s="59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59"/>
      <c r="BZ727" s="59"/>
      <c r="CA727" s="59"/>
      <c r="CB727" s="59"/>
      <c r="CC727" s="59"/>
      <c r="CD727" s="59"/>
      <c r="CE727" s="59"/>
      <c r="CF727" s="59"/>
      <c r="CG727" s="59"/>
      <c r="CH727" s="59"/>
      <c r="CI727" s="59"/>
      <c r="CJ727" s="59"/>
      <c r="CK727" s="59"/>
      <c r="CL727" s="59"/>
      <c r="CM727" s="59"/>
      <c r="CN727" s="59"/>
      <c r="CO727" s="59"/>
      <c r="CP727" s="59"/>
      <c r="CQ727" s="59"/>
      <c r="CR727" s="59"/>
      <c r="CS727" s="59"/>
      <c r="CT727" s="59"/>
      <c r="CU727" s="59"/>
      <c r="CV727" s="59"/>
      <c r="CW727" s="59"/>
      <c r="CX727" s="59"/>
      <c r="CY727" s="59"/>
      <c r="CZ727" s="59"/>
      <c r="DA727" s="59"/>
      <c r="DB727" s="59"/>
      <c r="DC727" s="59"/>
      <c r="DD727" s="59"/>
      <c r="DE727" s="59"/>
      <c r="DF727" s="59"/>
      <c r="DG727" s="59"/>
    </row>
    <row r="728" spans="1:111" ht="11.2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  <c r="AJ728" s="59"/>
      <c r="AK728" s="59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9"/>
      <c r="AW728" s="59"/>
      <c r="AX728" s="59"/>
      <c r="AY728" s="59"/>
      <c r="AZ728" s="59"/>
      <c r="BA728" s="59"/>
      <c r="BB728" s="59"/>
      <c r="BC728" s="59"/>
      <c r="BD728" s="59"/>
      <c r="BE728" s="59"/>
      <c r="BF728" s="59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59"/>
      <c r="BZ728" s="59"/>
      <c r="CA728" s="59"/>
      <c r="CB728" s="59"/>
      <c r="CC728" s="59"/>
      <c r="CD728" s="59"/>
      <c r="CE728" s="59"/>
      <c r="CF728" s="59"/>
      <c r="CG728" s="59"/>
      <c r="CH728" s="59"/>
      <c r="CI728" s="59"/>
      <c r="CJ728" s="59"/>
      <c r="CK728" s="59"/>
      <c r="CL728" s="59"/>
      <c r="CM728" s="59"/>
      <c r="CN728" s="59"/>
      <c r="CO728" s="59"/>
      <c r="CP728" s="59"/>
      <c r="CQ728" s="59"/>
      <c r="CR728" s="59"/>
      <c r="CS728" s="59"/>
      <c r="CT728" s="59"/>
      <c r="CU728" s="59"/>
      <c r="CV728" s="59"/>
      <c r="CW728" s="59"/>
      <c r="CX728" s="59"/>
      <c r="CY728" s="59"/>
      <c r="CZ728" s="59"/>
      <c r="DA728" s="59"/>
      <c r="DB728" s="59"/>
      <c r="DC728" s="59"/>
      <c r="DD728" s="59"/>
      <c r="DE728" s="59"/>
      <c r="DF728" s="59"/>
      <c r="DG728" s="59"/>
    </row>
    <row r="729" spans="1:111" ht="11.2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  <c r="AJ729" s="59"/>
      <c r="AK729" s="59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9"/>
      <c r="AW729" s="59"/>
      <c r="AX729" s="59"/>
      <c r="AY729" s="59"/>
      <c r="AZ729" s="59"/>
      <c r="BA729" s="59"/>
      <c r="BB729" s="59"/>
      <c r="BC729" s="59"/>
      <c r="BD729" s="59"/>
      <c r="BE729" s="59"/>
      <c r="BF729" s="59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59"/>
      <c r="BZ729" s="59"/>
      <c r="CA729" s="59"/>
      <c r="CB729" s="59"/>
      <c r="CC729" s="59"/>
      <c r="CD729" s="59"/>
      <c r="CE729" s="59"/>
      <c r="CF729" s="59"/>
      <c r="CG729" s="59"/>
      <c r="CH729" s="59"/>
      <c r="CI729" s="59"/>
      <c r="CJ729" s="59"/>
      <c r="CK729" s="59"/>
      <c r="CL729" s="59"/>
      <c r="CM729" s="59"/>
      <c r="CN729" s="59"/>
      <c r="CO729" s="59"/>
      <c r="CP729" s="59"/>
      <c r="CQ729" s="59"/>
      <c r="CR729" s="59"/>
      <c r="CS729" s="59"/>
      <c r="CT729" s="59"/>
      <c r="CU729" s="59"/>
      <c r="CV729" s="59"/>
      <c r="CW729" s="59"/>
      <c r="CX729" s="59"/>
      <c r="CY729" s="59"/>
      <c r="CZ729" s="59"/>
      <c r="DA729" s="59"/>
      <c r="DB729" s="59"/>
      <c r="DC729" s="59"/>
      <c r="DD729" s="59"/>
      <c r="DE729" s="59"/>
      <c r="DF729" s="59"/>
      <c r="DG729" s="59"/>
    </row>
    <row r="730" spans="1:111" ht="11.2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  <c r="AJ730" s="59"/>
      <c r="AK730" s="59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9"/>
      <c r="AW730" s="59"/>
      <c r="AX730" s="59"/>
      <c r="AY730" s="59"/>
      <c r="AZ730" s="59"/>
      <c r="BA730" s="59"/>
      <c r="BB730" s="59"/>
      <c r="BC730" s="59"/>
      <c r="BD730" s="59"/>
      <c r="BE730" s="59"/>
      <c r="BF730" s="59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59"/>
      <c r="BZ730" s="59"/>
      <c r="CA730" s="59"/>
      <c r="CB730" s="59"/>
      <c r="CC730" s="59"/>
      <c r="CD730" s="59"/>
      <c r="CE730" s="59"/>
      <c r="CF730" s="59"/>
      <c r="CG730" s="59"/>
      <c r="CH730" s="59"/>
      <c r="CI730" s="59"/>
      <c r="CJ730" s="59"/>
      <c r="CK730" s="59"/>
      <c r="CL730" s="59"/>
      <c r="CM730" s="59"/>
      <c r="CN730" s="59"/>
      <c r="CO730" s="59"/>
      <c r="CP730" s="59"/>
      <c r="CQ730" s="59"/>
      <c r="CR730" s="59"/>
      <c r="CS730" s="59"/>
      <c r="CT730" s="59"/>
      <c r="CU730" s="59"/>
      <c r="CV730" s="59"/>
      <c r="CW730" s="59"/>
      <c r="CX730" s="59"/>
      <c r="CY730" s="59"/>
      <c r="CZ730" s="59"/>
      <c r="DA730" s="59"/>
      <c r="DB730" s="59"/>
      <c r="DC730" s="59"/>
      <c r="DD730" s="59"/>
      <c r="DE730" s="59"/>
      <c r="DF730" s="59"/>
      <c r="DG730" s="59"/>
    </row>
    <row r="731" spans="1:111" ht="11.2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  <c r="AJ731" s="59"/>
      <c r="AK731" s="59"/>
      <c r="AL731" s="59"/>
      <c r="AM731" s="59"/>
      <c r="AN731" s="59"/>
      <c r="AO731" s="59"/>
      <c r="AP731" s="59"/>
      <c r="AQ731" s="59"/>
      <c r="AR731" s="59"/>
      <c r="AS731" s="59"/>
      <c r="AT731" s="59"/>
      <c r="AU731" s="59"/>
      <c r="AV731" s="59"/>
      <c r="AW731" s="59"/>
      <c r="AX731" s="59"/>
      <c r="AY731" s="59"/>
      <c r="AZ731" s="59"/>
      <c r="BA731" s="59"/>
      <c r="BB731" s="59"/>
      <c r="BC731" s="59"/>
      <c r="BD731" s="59"/>
      <c r="BE731" s="59"/>
      <c r="BF731" s="59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59"/>
      <c r="BZ731" s="59"/>
      <c r="CA731" s="59"/>
      <c r="CB731" s="59"/>
      <c r="CC731" s="59"/>
      <c r="CD731" s="59"/>
      <c r="CE731" s="59"/>
      <c r="CF731" s="59"/>
      <c r="CG731" s="59"/>
      <c r="CH731" s="59"/>
      <c r="CI731" s="59"/>
      <c r="CJ731" s="59"/>
      <c r="CK731" s="59"/>
      <c r="CL731" s="59"/>
      <c r="CM731" s="59"/>
      <c r="CN731" s="59"/>
      <c r="CO731" s="59"/>
      <c r="CP731" s="59"/>
      <c r="CQ731" s="59"/>
      <c r="CR731" s="59"/>
      <c r="CS731" s="59"/>
      <c r="CT731" s="59"/>
      <c r="CU731" s="59"/>
      <c r="CV731" s="59"/>
      <c r="CW731" s="59"/>
      <c r="CX731" s="59"/>
      <c r="CY731" s="59"/>
      <c r="CZ731" s="59"/>
      <c r="DA731" s="59"/>
      <c r="DB731" s="59"/>
      <c r="DC731" s="59"/>
      <c r="DD731" s="59"/>
      <c r="DE731" s="59"/>
      <c r="DF731" s="59"/>
      <c r="DG731" s="59"/>
    </row>
    <row r="732" spans="1:111" ht="11.2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  <c r="AJ732" s="59"/>
      <c r="AK732" s="59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9"/>
      <c r="AW732" s="59"/>
      <c r="AX732" s="59"/>
      <c r="AY732" s="59"/>
      <c r="AZ732" s="59"/>
      <c r="BA732" s="59"/>
      <c r="BB732" s="59"/>
      <c r="BC732" s="59"/>
      <c r="BD732" s="59"/>
      <c r="BE732" s="59"/>
      <c r="BF732" s="59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59"/>
      <c r="BZ732" s="59"/>
      <c r="CA732" s="59"/>
      <c r="CB732" s="59"/>
      <c r="CC732" s="59"/>
      <c r="CD732" s="59"/>
      <c r="CE732" s="59"/>
      <c r="CF732" s="59"/>
      <c r="CG732" s="59"/>
      <c r="CH732" s="59"/>
      <c r="CI732" s="59"/>
      <c r="CJ732" s="59"/>
      <c r="CK732" s="59"/>
      <c r="CL732" s="59"/>
      <c r="CM732" s="59"/>
      <c r="CN732" s="59"/>
      <c r="CO732" s="59"/>
      <c r="CP732" s="59"/>
      <c r="CQ732" s="59"/>
      <c r="CR732" s="59"/>
      <c r="CS732" s="59"/>
      <c r="CT732" s="59"/>
      <c r="CU732" s="59"/>
      <c r="CV732" s="59"/>
      <c r="CW732" s="59"/>
      <c r="CX732" s="59"/>
      <c r="CY732" s="59"/>
      <c r="CZ732" s="59"/>
      <c r="DA732" s="59"/>
      <c r="DB732" s="59"/>
      <c r="DC732" s="59"/>
      <c r="DD732" s="59"/>
      <c r="DE732" s="59"/>
      <c r="DF732" s="59"/>
      <c r="DG732" s="59"/>
    </row>
    <row r="733" spans="1:111" ht="11.2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  <c r="AJ733" s="59"/>
      <c r="AK733" s="59"/>
      <c r="AL733" s="59"/>
      <c r="AM733" s="59"/>
      <c r="AN733" s="59"/>
      <c r="AO733" s="59"/>
      <c r="AP733" s="59"/>
      <c r="AQ733" s="59"/>
      <c r="AR733" s="59"/>
      <c r="AS733" s="59"/>
      <c r="AT733" s="59"/>
      <c r="AU733" s="59"/>
      <c r="AV733" s="59"/>
      <c r="AW733" s="59"/>
      <c r="AX733" s="59"/>
      <c r="AY733" s="59"/>
      <c r="AZ733" s="59"/>
      <c r="BA733" s="59"/>
      <c r="BB733" s="59"/>
      <c r="BC733" s="59"/>
      <c r="BD733" s="59"/>
      <c r="BE733" s="59"/>
      <c r="BF733" s="59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59"/>
      <c r="BZ733" s="59"/>
      <c r="CA733" s="59"/>
      <c r="CB733" s="59"/>
      <c r="CC733" s="59"/>
      <c r="CD733" s="59"/>
      <c r="CE733" s="59"/>
      <c r="CF733" s="59"/>
      <c r="CG733" s="59"/>
      <c r="CH733" s="59"/>
      <c r="CI733" s="59"/>
      <c r="CJ733" s="59"/>
      <c r="CK733" s="59"/>
      <c r="CL733" s="59"/>
      <c r="CM733" s="59"/>
      <c r="CN733" s="59"/>
      <c r="CO733" s="59"/>
      <c r="CP733" s="59"/>
      <c r="CQ733" s="59"/>
      <c r="CR733" s="59"/>
      <c r="CS733" s="59"/>
      <c r="CT733" s="59"/>
      <c r="CU733" s="59"/>
      <c r="CV733" s="59"/>
      <c r="CW733" s="59"/>
      <c r="CX733" s="59"/>
      <c r="CY733" s="59"/>
      <c r="CZ733" s="59"/>
      <c r="DA733" s="59"/>
      <c r="DB733" s="59"/>
      <c r="DC733" s="59"/>
      <c r="DD733" s="59"/>
      <c r="DE733" s="59"/>
      <c r="DF733" s="59"/>
      <c r="DG733" s="59"/>
    </row>
    <row r="734" spans="1:111" ht="11.2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  <c r="AJ734" s="59"/>
      <c r="AK734" s="59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9"/>
      <c r="AW734" s="59"/>
      <c r="AX734" s="59"/>
      <c r="AY734" s="59"/>
      <c r="AZ734" s="59"/>
      <c r="BA734" s="59"/>
      <c r="BB734" s="59"/>
      <c r="BC734" s="59"/>
      <c r="BD734" s="59"/>
      <c r="BE734" s="59"/>
      <c r="BF734" s="59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59"/>
      <c r="BZ734" s="59"/>
      <c r="CA734" s="59"/>
      <c r="CB734" s="59"/>
      <c r="CC734" s="59"/>
      <c r="CD734" s="59"/>
      <c r="CE734" s="59"/>
      <c r="CF734" s="59"/>
      <c r="CG734" s="59"/>
      <c r="CH734" s="59"/>
      <c r="CI734" s="59"/>
      <c r="CJ734" s="59"/>
      <c r="CK734" s="59"/>
      <c r="CL734" s="59"/>
      <c r="CM734" s="59"/>
      <c r="CN734" s="59"/>
      <c r="CO734" s="59"/>
      <c r="CP734" s="59"/>
      <c r="CQ734" s="59"/>
      <c r="CR734" s="59"/>
      <c r="CS734" s="59"/>
      <c r="CT734" s="59"/>
      <c r="CU734" s="59"/>
      <c r="CV734" s="59"/>
      <c r="CW734" s="59"/>
      <c r="CX734" s="59"/>
      <c r="CY734" s="59"/>
      <c r="CZ734" s="59"/>
      <c r="DA734" s="59"/>
      <c r="DB734" s="59"/>
      <c r="DC734" s="59"/>
      <c r="DD734" s="59"/>
      <c r="DE734" s="59"/>
      <c r="DF734" s="59"/>
      <c r="DG734" s="59"/>
    </row>
    <row r="735" spans="1:111" ht="11.2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  <c r="AJ735" s="59"/>
      <c r="AK735" s="59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9"/>
      <c r="AW735" s="59"/>
      <c r="AX735" s="59"/>
      <c r="AY735" s="59"/>
      <c r="AZ735" s="59"/>
      <c r="BA735" s="59"/>
      <c r="BB735" s="59"/>
      <c r="BC735" s="59"/>
      <c r="BD735" s="59"/>
      <c r="BE735" s="59"/>
      <c r="BF735" s="59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59"/>
      <c r="BZ735" s="59"/>
      <c r="CA735" s="59"/>
      <c r="CB735" s="59"/>
      <c r="CC735" s="59"/>
      <c r="CD735" s="59"/>
      <c r="CE735" s="59"/>
      <c r="CF735" s="59"/>
      <c r="CG735" s="59"/>
      <c r="CH735" s="59"/>
      <c r="CI735" s="59"/>
      <c r="CJ735" s="59"/>
      <c r="CK735" s="59"/>
      <c r="CL735" s="59"/>
      <c r="CM735" s="59"/>
      <c r="CN735" s="59"/>
      <c r="CO735" s="59"/>
      <c r="CP735" s="59"/>
      <c r="CQ735" s="59"/>
      <c r="CR735" s="59"/>
      <c r="CS735" s="59"/>
      <c r="CT735" s="59"/>
      <c r="CU735" s="59"/>
      <c r="CV735" s="59"/>
      <c r="CW735" s="59"/>
      <c r="CX735" s="59"/>
      <c r="CY735" s="59"/>
      <c r="CZ735" s="59"/>
      <c r="DA735" s="59"/>
      <c r="DB735" s="59"/>
      <c r="DC735" s="59"/>
      <c r="DD735" s="59"/>
      <c r="DE735" s="59"/>
      <c r="DF735" s="59"/>
      <c r="DG735" s="59"/>
    </row>
    <row r="736" spans="1:111" ht="11.2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  <c r="AJ736" s="59"/>
      <c r="AK736" s="59"/>
      <c r="AL736" s="59"/>
      <c r="AM736" s="59"/>
      <c r="AN736" s="59"/>
      <c r="AO736" s="59"/>
      <c r="AP736" s="59"/>
      <c r="AQ736" s="59"/>
      <c r="AR736" s="59"/>
      <c r="AS736" s="59"/>
      <c r="AT736" s="59"/>
      <c r="AU736" s="59"/>
      <c r="AV736" s="59"/>
      <c r="AW736" s="59"/>
      <c r="AX736" s="59"/>
      <c r="AY736" s="59"/>
      <c r="AZ736" s="59"/>
      <c r="BA736" s="59"/>
      <c r="BB736" s="59"/>
      <c r="BC736" s="59"/>
      <c r="BD736" s="59"/>
      <c r="BE736" s="59"/>
      <c r="BF736" s="59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59"/>
      <c r="BZ736" s="59"/>
      <c r="CA736" s="59"/>
      <c r="CB736" s="59"/>
      <c r="CC736" s="59"/>
      <c r="CD736" s="59"/>
      <c r="CE736" s="59"/>
      <c r="CF736" s="59"/>
      <c r="CG736" s="59"/>
      <c r="CH736" s="59"/>
      <c r="CI736" s="59"/>
      <c r="CJ736" s="59"/>
      <c r="CK736" s="59"/>
      <c r="CL736" s="59"/>
      <c r="CM736" s="59"/>
      <c r="CN736" s="59"/>
      <c r="CO736" s="59"/>
      <c r="CP736" s="59"/>
      <c r="CQ736" s="59"/>
      <c r="CR736" s="59"/>
      <c r="CS736" s="59"/>
      <c r="CT736" s="59"/>
      <c r="CU736" s="59"/>
      <c r="CV736" s="59"/>
      <c r="CW736" s="59"/>
      <c r="CX736" s="59"/>
      <c r="CY736" s="59"/>
      <c r="CZ736" s="59"/>
      <c r="DA736" s="59"/>
      <c r="DB736" s="59"/>
      <c r="DC736" s="59"/>
      <c r="DD736" s="59"/>
      <c r="DE736" s="59"/>
      <c r="DF736" s="59"/>
      <c r="DG736" s="59"/>
    </row>
    <row r="737" spans="1:111" ht="11.2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9"/>
      <c r="AW737" s="59"/>
      <c r="AX737" s="59"/>
      <c r="AY737" s="59"/>
      <c r="AZ737" s="59"/>
      <c r="BA737" s="59"/>
      <c r="BB737" s="59"/>
      <c r="BC737" s="59"/>
      <c r="BD737" s="59"/>
      <c r="BE737" s="59"/>
      <c r="BF737" s="59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59"/>
      <c r="BZ737" s="59"/>
      <c r="CA737" s="59"/>
      <c r="CB737" s="59"/>
      <c r="CC737" s="59"/>
      <c r="CD737" s="59"/>
      <c r="CE737" s="59"/>
      <c r="CF737" s="59"/>
      <c r="CG737" s="59"/>
      <c r="CH737" s="59"/>
      <c r="CI737" s="59"/>
      <c r="CJ737" s="59"/>
      <c r="CK737" s="59"/>
      <c r="CL737" s="59"/>
      <c r="CM737" s="59"/>
      <c r="CN737" s="59"/>
      <c r="CO737" s="59"/>
      <c r="CP737" s="59"/>
      <c r="CQ737" s="59"/>
      <c r="CR737" s="59"/>
      <c r="CS737" s="59"/>
      <c r="CT737" s="59"/>
      <c r="CU737" s="59"/>
      <c r="CV737" s="59"/>
      <c r="CW737" s="59"/>
      <c r="CX737" s="59"/>
      <c r="CY737" s="59"/>
      <c r="CZ737" s="59"/>
      <c r="DA737" s="59"/>
      <c r="DB737" s="59"/>
      <c r="DC737" s="59"/>
      <c r="DD737" s="59"/>
      <c r="DE737" s="59"/>
      <c r="DF737" s="59"/>
      <c r="DG737" s="59"/>
    </row>
    <row r="738" spans="1:111" ht="11.2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9"/>
      <c r="AW738" s="59"/>
      <c r="AX738" s="59"/>
      <c r="AY738" s="59"/>
      <c r="AZ738" s="59"/>
      <c r="BA738" s="59"/>
      <c r="BB738" s="59"/>
      <c r="BC738" s="59"/>
      <c r="BD738" s="59"/>
      <c r="BE738" s="59"/>
      <c r="BF738" s="59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59"/>
      <c r="BZ738" s="59"/>
      <c r="CA738" s="59"/>
      <c r="CB738" s="59"/>
      <c r="CC738" s="59"/>
      <c r="CD738" s="59"/>
      <c r="CE738" s="59"/>
      <c r="CF738" s="59"/>
      <c r="CG738" s="59"/>
      <c r="CH738" s="59"/>
      <c r="CI738" s="59"/>
      <c r="CJ738" s="59"/>
      <c r="CK738" s="59"/>
      <c r="CL738" s="59"/>
      <c r="CM738" s="59"/>
      <c r="CN738" s="59"/>
      <c r="CO738" s="59"/>
      <c r="CP738" s="59"/>
      <c r="CQ738" s="59"/>
      <c r="CR738" s="59"/>
      <c r="CS738" s="59"/>
      <c r="CT738" s="59"/>
      <c r="CU738" s="59"/>
      <c r="CV738" s="59"/>
      <c r="CW738" s="59"/>
      <c r="CX738" s="59"/>
      <c r="CY738" s="59"/>
      <c r="CZ738" s="59"/>
      <c r="DA738" s="59"/>
      <c r="DB738" s="59"/>
      <c r="DC738" s="59"/>
      <c r="DD738" s="59"/>
      <c r="DE738" s="59"/>
      <c r="DF738" s="59"/>
      <c r="DG738" s="59"/>
    </row>
    <row r="739" spans="1:111" ht="11.2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9"/>
      <c r="AW739" s="59"/>
      <c r="AX739" s="59"/>
      <c r="AY739" s="59"/>
      <c r="AZ739" s="59"/>
      <c r="BA739" s="59"/>
      <c r="BB739" s="59"/>
      <c r="BC739" s="59"/>
      <c r="BD739" s="59"/>
      <c r="BE739" s="59"/>
      <c r="BF739" s="59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59"/>
      <c r="BZ739" s="59"/>
      <c r="CA739" s="59"/>
      <c r="CB739" s="59"/>
      <c r="CC739" s="59"/>
      <c r="CD739" s="59"/>
      <c r="CE739" s="59"/>
      <c r="CF739" s="59"/>
      <c r="CG739" s="59"/>
      <c r="CH739" s="59"/>
      <c r="CI739" s="59"/>
      <c r="CJ739" s="59"/>
      <c r="CK739" s="59"/>
      <c r="CL739" s="59"/>
      <c r="CM739" s="59"/>
      <c r="CN739" s="59"/>
      <c r="CO739" s="59"/>
      <c r="CP739" s="59"/>
      <c r="CQ739" s="59"/>
      <c r="CR739" s="59"/>
      <c r="CS739" s="59"/>
      <c r="CT739" s="59"/>
      <c r="CU739" s="59"/>
      <c r="CV739" s="59"/>
      <c r="CW739" s="59"/>
      <c r="CX739" s="59"/>
      <c r="CY739" s="59"/>
      <c r="CZ739" s="59"/>
      <c r="DA739" s="59"/>
      <c r="DB739" s="59"/>
      <c r="DC739" s="59"/>
      <c r="DD739" s="59"/>
      <c r="DE739" s="59"/>
      <c r="DF739" s="59"/>
      <c r="DG739" s="59"/>
    </row>
    <row r="740" spans="1:111" ht="11.2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9"/>
      <c r="AW740" s="59"/>
      <c r="AX740" s="59"/>
      <c r="AY740" s="59"/>
      <c r="AZ740" s="59"/>
      <c r="BA740" s="59"/>
      <c r="BB740" s="59"/>
      <c r="BC740" s="59"/>
      <c r="BD740" s="59"/>
      <c r="BE740" s="59"/>
      <c r="BF740" s="59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59"/>
      <c r="BZ740" s="59"/>
      <c r="CA740" s="59"/>
      <c r="CB740" s="59"/>
      <c r="CC740" s="59"/>
      <c r="CD740" s="59"/>
      <c r="CE740" s="59"/>
      <c r="CF740" s="59"/>
      <c r="CG740" s="59"/>
      <c r="CH740" s="59"/>
      <c r="CI740" s="59"/>
      <c r="CJ740" s="59"/>
      <c r="CK740" s="59"/>
      <c r="CL740" s="59"/>
      <c r="CM740" s="59"/>
      <c r="CN740" s="59"/>
      <c r="CO740" s="59"/>
      <c r="CP740" s="59"/>
      <c r="CQ740" s="59"/>
      <c r="CR740" s="59"/>
      <c r="CS740" s="59"/>
      <c r="CT740" s="59"/>
      <c r="CU740" s="59"/>
      <c r="CV740" s="59"/>
      <c r="CW740" s="59"/>
      <c r="CX740" s="59"/>
      <c r="CY740" s="59"/>
      <c r="CZ740" s="59"/>
      <c r="DA740" s="59"/>
      <c r="DB740" s="59"/>
      <c r="DC740" s="59"/>
      <c r="DD740" s="59"/>
      <c r="DE740" s="59"/>
      <c r="DF740" s="59"/>
      <c r="DG740" s="59"/>
    </row>
    <row r="741" spans="1:111" ht="11.2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9"/>
      <c r="AW741" s="59"/>
      <c r="AX741" s="59"/>
      <c r="AY741" s="59"/>
      <c r="AZ741" s="59"/>
      <c r="BA741" s="59"/>
      <c r="BB741" s="59"/>
      <c r="BC741" s="59"/>
      <c r="BD741" s="59"/>
      <c r="BE741" s="59"/>
      <c r="BF741" s="59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59"/>
      <c r="BZ741" s="59"/>
      <c r="CA741" s="59"/>
      <c r="CB741" s="59"/>
      <c r="CC741" s="59"/>
      <c r="CD741" s="59"/>
      <c r="CE741" s="59"/>
      <c r="CF741" s="59"/>
      <c r="CG741" s="59"/>
      <c r="CH741" s="59"/>
      <c r="CI741" s="59"/>
      <c r="CJ741" s="59"/>
      <c r="CK741" s="59"/>
      <c r="CL741" s="59"/>
      <c r="CM741" s="59"/>
      <c r="CN741" s="59"/>
      <c r="CO741" s="59"/>
      <c r="CP741" s="59"/>
      <c r="CQ741" s="59"/>
      <c r="CR741" s="59"/>
      <c r="CS741" s="59"/>
      <c r="CT741" s="59"/>
      <c r="CU741" s="59"/>
      <c r="CV741" s="59"/>
      <c r="CW741" s="59"/>
      <c r="CX741" s="59"/>
      <c r="CY741" s="59"/>
      <c r="CZ741" s="59"/>
      <c r="DA741" s="59"/>
      <c r="DB741" s="59"/>
      <c r="DC741" s="59"/>
      <c r="DD741" s="59"/>
      <c r="DE741" s="59"/>
      <c r="DF741" s="59"/>
      <c r="DG741" s="59"/>
    </row>
    <row r="742" spans="1:111" ht="11.2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  <c r="AJ742" s="59"/>
      <c r="AK742" s="59"/>
      <c r="AL742" s="59"/>
      <c r="AM742" s="59"/>
      <c r="AN742" s="59"/>
      <c r="AO742" s="59"/>
      <c r="AP742" s="59"/>
      <c r="AQ742" s="59"/>
      <c r="AR742" s="59"/>
      <c r="AS742" s="59"/>
      <c r="AT742" s="59"/>
      <c r="AU742" s="59"/>
      <c r="AV742" s="59"/>
      <c r="AW742" s="59"/>
      <c r="AX742" s="59"/>
      <c r="AY742" s="59"/>
      <c r="AZ742" s="59"/>
      <c r="BA742" s="59"/>
      <c r="BB742" s="59"/>
      <c r="BC742" s="59"/>
      <c r="BD742" s="59"/>
      <c r="BE742" s="59"/>
      <c r="BF742" s="59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59"/>
      <c r="BZ742" s="59"/>
      <c r="CA742" s="59"/>
      <c r="CB742" s="59"/>
      <c r="CC742" s="59"/>
      <c r="CD742" s="59"/>
      <c r="CE742" s="59"/>
      <c r="CF742" s="59"/>
      <c r="CG742" s="59"/>
      <c r="CH742" s="59"/>
      <c r="CI742" s="59"/>
      <c r="CJ742" s="59"/>
      <c r="CK742" s="59"/>
      <c r="CL742" s="59"/>
      <c r="CM742" s="59"/>
      <c r="CN742" s="59"/>
      <c r="CO742" s="59"/>
      <c r="CP742" s="59"/>
      <c r="CQ742" s="59"/>
      <c r="CR742" s="59"/>
      <c r="CS742" s="59"/>
      <c r="CT742" s="59"/>
      <c r="CU742" s="59"/>
      <c r="CV742" s="59"/>
      <c r="CW742" s="59"/>
      <c r="CX742" s="59"/>
      <c r="CY742" s="59"/>
      <c r="CZ742" s="59"/>
      <c r="DA742" s="59"/>
      <c r="DB742" s="59"/>
      <c r="DC742" s="59"/>
      <c r="DD742" s="59"/>
      <c r="DE742" s="59"/>
      <c r="DF742" s="59"/>
      <c r="DG742" s="59"/>
    </row>
    <row r="743" spans="1:111" ht="11.2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  <c r="AJ743" s="59"/>
      <c r="AK743" s="59"/>
      <c r="AL743" s="59"/>
      <c r="AM743" s="59"/>
      <c r="AN743" s="59"/>
      <c r="AO743" s="59"/>
      <c r="AP743" s="59"/>
      <c r="AQ743" s="59"/>
      <c r="AR743" s="59"/>
      <c r="AS743" s="59"/>
      <c r="AT743" s="59"/>
      <c r="AU743" s="59"/>
      <c r="AV743" s="59"/>
      <c r="AW743" s="59"/>
      <c r="AX743" s="59"/>
      <c r="AY743" s="59"/>
      <c r="AZ743" s="59"/>
      <c r="BA743" s="59"/>
      <c r="BB743" s="59"/>
      <c r="BC743" s="59"/>
      <c r="BD743" s="59"/>
      <c r="BE743" s="59"/>
      <c r="BF743" s="59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59"/>
      <c r="BZ743" s="59"/>
      <c r="CA743" s="59"/>
      <c r="CB743" s="59"/>
      <c r="CC743" s="59"/>
      <c r="CD743" s="59"/>
      <c r="CE743" s="59"/>
      <c r="CF743" s="59"/>
      <c r="CG743" s="59"/>
      <c r="CH743" s="59"/>
      <c r="CI743" s="59"/>
      <c r="CJ743" s="59"/>
      <c r="CK743" s="59"/>
      <c r="CL743" s="59"/>
      <c r="CM743" s="59"/>
      <c r="CN743" s="59"/>
      <c r="CO743" s="59"/>
      <c r="CP743" s="59"/>
      <c r="CQ743" s="59"/>
      <c r="CR743" s="59"/>
      <c r="CS743" s="59"/>
      <c r="CT743" s="59"/>
      <c r="CU743" s="59"/>
      <c r="CV743" s="59"/>
      <c r="CW743" s="59"/>
      <c r="CX743" s="59"/>
      <c r="CY743" s="59"/>
      <c r="CZ743" s="59"/>
      <c r="DA743" s="59"/>
      <c r="DB743" s="59"/>
      <c r="DC743" s="59"/>
      <c r="DD743" s="59"/>
      <c r="DE743" s="59"/>
      <c r="DF743" s="59"/>
      <c r="DG743" s="59"/>
    </row>
    <row r="744" spans="1:111" ht="11.2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  <c r="AJ744" s="59"/>
      <c r="AK744" s="59"/>
      <c r="AL744" s="59"/>
      <c r="AM744" s="59"/>
      <c r="AN744" s="59"/>
      <c r="AO744" s="59"/>
      <c r="AP744" s="59"/>
      <c r="AQ744" s="59"/>
      <c r="AR744" s="59"/>
      <c r="AS744" s="59"/>
      <c r="AT744" s="59"/>
      <c r="AU744" s="59"/>
      <c r="AV744" s="59"/>
      <c r="AW744" s="59"/>
      <c r="AX744" s="59"/>
      <c r="AY744" s="59"/>
      <c r="AZ744" s="59"/>
      <c r="BA744" s="59"/>
      <c r="BB744" s="59"/>
      <c r="BC744" s="59"/>
      <c r="BD744" s="59"/>
      <c r="BE744" s="59"/>
      <c r="BF744" s="59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59"/>
      <c r="BZ744" s="59"/>
      <c r="CA744" s="59"/>
      <c r="CB744" s="59"/>
      <c r="CC744" s="59"/>
      <c r="CD744" s="59"/>
      <c r="CE744" s="59"/>
      <c r="CF744" s="59"/>
      <c r="CG744" s="59"/>
      <c r="CH744" s="59"/>
      <c r="CI744" s="59"/>
      <c r="CJ744" s="59"/>
      <c r="CK744" s="59"/>
      <c r="CL744" s="59"/>
      <c r="CM744" s="59"/>
      <c r="CN744" s="59"/>
      <c r="CO744" s="59"/>
      <c r="CP744" s="59"/>
      <c r="CQ744" s="59"/>
      <c r="CR744" s="59"/>
      <c r="CS744" s="59"/>
      <c r="CT744" s="59"/>
      <c r="CU744" s="59"/>
      <c r="CV744" s="59"/>
      <c r="CW744" s="59"/>
      <c r="CX744" s="59"/>
      <c r="CY744" s="59"/>
      <c r="CZ744" s="59"/>
      <c r="DA744" s="59"/>
      <c r="DB744" s="59"/>
      <c r="DC744" s="59"/>
      <c r="DD744" s="59"/>
      <c r="DE744" s="59"/>
      <c r="DF744" s="59"/>
      <c r="DG744" s="59"/>
    </row>
    <row r="745" spans="1:111" ht="11.2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  <c r="AJ745" s="59"/>
      <c r="AK745" s="59"/>
      <c r="AL745" s="59"/>
      <c r="AM745" s="59"/>
      <c r="AN745" s="59"/>
      <c r="AO745" s="59"/>
      <c r="AP745" s="59"/>
      <c r="AQ745" s="59"/>
      <c r="AR745" s="59"/>
      <c r="AS745" s="59"/>
      <c r="AT745" s="59"/>
      <c r="AU745" s="59"/>
      <c r="AV745" s="59"/>
      <c r="AW745" s="59"/>
      <c r="AX745" s="59"/>
      <c r="AY745" s="59"/>
      <c r="AZ745" s="59"/>
      <c r="BA745" s="59"/>
      <c r="BB745" s="59"/>
      <c r="BC745" s="59"/>
      <c r="BD745" s="59"/>
      <c r="BE745" s="59"/>
      <c r="BF745" s="59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59"/>
      <c r="BZ745" s="59"/>
      <c r="CA745" s="59"/>
      <c r="CB745" s="59"/>
      <c r="CC745" s="59"/>
      <c r="CD745" s="59"/>
      <c r="CE745" s="59"/>
      <c r="CF745" s="59"/>
      <c r="CG745" s="59"/>
      <c r="CH745" s="59"/>
      <c r="CI745" s="59"/>
      <c r="CJ745" s="59"/>
      <c r="CK745" s="59"/>
      <c r="CL745" s="59"/>
      <c r="CM745" s="59"/>
      <c r="CN745" s="59"/>
      <c r="CO745" s="59"/>
      <c r="CP745" s="59"/>
      <c r="CQ745" s="59"/>
      <c r="CR745" s="59"/>
      <c r="CS745" s="59"/>
      <c r="CT745" s="59"/>
      <c r="CU745" s="59"/>
      <c r="CV745" s="59"/>
      <c r="CW745" s="59"/>
      <c r="CX745" s="59"/>
      <c r="CY745" s="59"/>
      <c r="CZ745" s="59"/>
      <c r="DA745" s="59"/>
      <c r="DB745" s="59"/>
      <c r="DC745" s="59"/>
      <c r="DD745" s="59"/>
      <c r="DE745" s="59"/>
      <c r="DF745" s="59"/>
      <c r="DG745" s="59"/>
    </row>
    <row r="746" spans="1:111" ht="11.2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  <c r="AJ746" s="59"/>
      <c r="AK746" s="59"/>
      <c r="AL746" s="59"/>
      <c r="AM746" s="59"/>
      <c r="AN746" s="59"/>
      <c r="AO746" s="59"/>
      <c r="AP746" s="59"/>
      <c r="AQ746" s="59"/>
      <c r="AR746" s="59"/>
      <c r="AS746" s="59"/>
      <c r="AT746" s="59"/>
      <c r="AU746" s="59"/>
      <c r="AV746" s="59"/>
      <c r="AW746" s="59"/>
      <c r="AX746" s="59"/>
      <c r="AY746" s="59"/>
      <c r="AZ746" s="59"/>
      <c r="BA746" s="59"/>
      <c r="BB746" s="59"/>
      <c r="BC746" s="59"/>
      <c r="BD746" s="59"/>
      <c r="BE746" s="59"/>
      <c r="BF746" s="59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59"/>
      <c r="BZ746" s="59"/>
      <c r="CA746" s="59"/>
      <c r="CB746" s="59"/>
      <c r="CC746" s="59"/>
      <c r="CD746" s="59"/>
      <c r="CE746" s="59"/>
      <c r="CF746" s="59"/>
      <c r="CG746" s="59"/>
      <c r="CH746" s="59"/>
      <c r="CI746" s="59"/>
      <c r="CJ746" s="59"/>
      <c r="CK746" s="59"/>
      <c r="CL746" s="59"/>
      <c r="CM746" s="59"/>
      <c r="CN746" s="59"/>
      <c r="CO746" s="59"/>
      <c r="CP746" s="59"/>
      <c r="CQ746" s="59"/>
      <c r="CR746" s="59"/>
      <c r="CS746" s="59"/>
      <c r="CT746" s="59"/>
      <c r="CU746" s="59"/>
      <c r="CV746" s="59"/>
      <c r="CW746" s="59"/>
      <c r="CX746" s="59"/>
      <c r="CY746" s="59"/>
      <c r="CZ746" s="59"/>
      <c r="DA746" s="59"/>
      <c r="DB746" s="59"/>
      <c r="DC746" s="59"/>
      <c r="DD746" s="59"/>
      <c r="DE746" s="59"/>
      <c r="DF746" s="59"/>
      <c r="DG746" s="59"/>
    </row>
    <row r="747" spans="1:111" ht="11.2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  <c r="AJ747" s="59"/>
      <c r="AK747" s="59"/>
      <c r="AL747" s="59"/>
      <c r="AM747" s="59"/>
      <c r="AN747" s="59"/>
      <c r="AO747" s="59"/>
      <c r="AP747" s="59"/>
      <c r="AQ747" s="59"/>
      <c r="AR747" s="59"/>
      <c r="AS747" s="59"/>
      <c r="AT747" s="59"/>
      <c r="AU747" s="59"/>
      <c r="AV747" s="59"/>
      <c r="AW747" s="59"/>
      <c r="AX747" s="59"/>
      <c r="AY747" s="59"/>
      <c r="AZ747" s="59"/>
      <c r="BA747" s="59"/>
      <c r="BB747" s="59"/>
      <c r="BC747" s="59"/>
      <c r="BD747" s="59"/>
      <c r="BE747" s="59"/>
      <c r="BF747" s="59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59"/>
      <c r="BZ747" s="59"/>
      <c r="CA747" s="59"/>
      <c r="CB747" s="59"/>
      <c r="CC747" s="59"/>
      <c r="CD747" s="59"/>
      <c r="CE747" s="59"/>
      <c r="CF747" s="59"/>
      <c r="CG747" s="59"/>
      <c r="CH747" s="59"/>
      <c r="CI747" s="59"/>
      <c r="CJ747" s="59"/>
      <c r="CK747" s="59"/>
      <c r="CL747" s="59"/>
      <c r="CM747" s="59"/>
      <c r="CN747" s="59"/>
      <c r="CO747" s="59"/>
      <c r="CP747" s="59"/>
      <c r="CQ747" s="59"/>
      <c r="CR747" s="59"/>
      <c r="CS747" s="59"/>
      <c r="CT747" s="59"/>
      <c r="CU747" s="59"/>
      <c r="CV747" s="59"/>
      <c r="CW747" s="59"/>
      <c r="CX747" s="59"/>
      <c r="CY747" s="59"/>
      <c r="CZ747" s="59"/>
      <c r="DA747" s="59"/>
      <c r="DB747" s="59"/>
      <c r="DC747" s="59"/>
      <c r="DD747" s="59"/>
      <c r="DE747" s="59"/>
      <c r="DF747" s="59"/>
      <c r="DG747" s="59"/>
    </row>
    <row r="748" spans="1:111" ht="11.2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  <c r="AJ748" s="59"/>
      <c r="AK748" s="59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9"/>
      <c r="AW748" s="59"/>
      <c r="AX748" s="59"/>
      <c r="AY748" s="59"/>
      <c r="AZ748" s="59"/>
      <c r="BA748" s="59"/>
      <c r="BB748" s="59"/>
      <c r="BC748" s="59"/>
      <c r="BD748" s="59"/>
      <c r="BE748" s="59"/>
      <c r="BF748" s="59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59"/>
      <c r="BZ748" s="59"/>
      <c r="CA748" s="59"/>
      <c r="CB748" s="59"/>
      <c r="CC748" s="59"/>
      <c r="CD748" s="59"/>
      <c r="CE748" s="59"/>
      <c r="CF748" s="59"/>
      <c r="CG748" s="59"/>
      <c r="CH748" s="59"/>
      <c r="CI748" s="59"/>
      <c r="CJ748" s="59"/>
      <c r="CK748" s="59"/>
      <c r="CL748" s="59"/>
      <c r="CM748" s="59"/>
      <c r="CN748" s="59"/>
      <c r="CO748" s="59"/>
      <c r="CP748" s="59"/>
      <c r="CQ748" s="59"/>
      <c r="CR748" s="59"/>
      <c r="CS748" s="59"/>
      <c r="CT748" s="59"/>
      <c r="CU748" s="59"/>
      <c r="CV748" s="59"/>
      <c r="CW748" s="59"/>
      <c r="CX748" s="59"/>
      <c r="CY748" s="59"/>
      <c r="CZ748" s="59"/>
      <c r="DA748" s="59"/>
      <c r="DB748" s="59"/>
      <c r="DC748" s="59"/>
      <c r="DD748" s="59"/>
      <c r="DE748" s="59"/>
      <c r="DF748" s="59"/>
      <c r="DG748" s="59"/>
    </row>
    <row r="749" spans="1:111" ht="11.2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  <c r="AJ749" s="59"/>
      <c r="AK749" s="59"/>
      <c r="AL749" s="59"/>
      <c r="AM749" s="59"/>
      <c r="AN749" s="59"/>
      <c r="AO749" s="59"/>
      <c r="AP749" s="59"/>
      <c r="AQ749" s="59"/>
      <c r="AR749" s="59"/>
      <c r="AS749" s="59"/>
      <c r="AT749" s="59"/>
      <c r="AU749" s="59"/>
      <c r="AV749" s="59"/>
      <c r="AW749" s="59"/>
      <c r="AX749" s="59"/>
      <c r="AY749" s="59"/>
      <c r="AZ749" s="59"/>
      <c r="BA749" s="59"/>
      <c r="BB749" s="59"/>
      <c r="BC749" s="59"/>
      <c r="BD749" s="59"/>
      <c r="BE749" s="59"/>
      <c r="BF749" s="59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59"/>
      <c r="BZ749" s="59"/>
      <c r="CA749" s="59"/>
      <c r="CB749" s="59"/>
      <c r="CC749" s="59"/>
      <c r="CD749" s="59"/>
      <c r="CE749" s="59"/>
      <c r="CF749" s="59"/>
      <c r="CG749" s="59"/>
      <c r="CH749" s="59"/>
      <c r="CI749" s="59"/>
      <c r="CJ749" s="59"/>
      <c r="CK749" s="59"/>
      <c r="CL749" s="59"/>
      <c r="CM749" s="59"/>
      <c r="CN749" s="59"/>
      <c r="CO749" s="59"/>
      <c r="CP749" s="59"/>
      <c r="CQ749" s="59"/>
      <c r="CR749" s="59"/>
      <c r="CS749" s="59"/>
      <c r="CT749" s="59"/>
      <c r="CU749" s="59"/>
      <c r="CV749" s="59"/>
      <c r="CW749" s="59"/>
      <c r="CX749" s="59"/>
      <c r="CY749" s="59"/>
      <c r="CZ749" s="59"/>
      <c r="DA749" s="59"/>
      <c r="DB749" s="59"/>
      <c r="DC749" s="59"/>
      <c r="DD749" s="59"/>
      <c r="DE749" s="59"/>
      <c r="DF749" s="59"/>
      <c r="DG749" s="59"/>
    </row>
    <row r="750" spans="1:111" ht="11.2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  <c r="AJ750" s="59"/>
      <c r="AK750" s="59"/>
      <c r="AL750" s="59"/>
      <c r="AM750" s="59"/>
      <c r="AN750" s="59"/>
      <c r="AO750" s="59"/>
      <c r="AP750" s="59"/>
      <c r="AQ750" s="59"/>
      <c r="AR750" s="59"/>
      <c r="AS750" s="59"/>
      <c r="AT750" s="59"/>
      <c r="AU750" s="59"/>
      <c r="AV750" s="59"/>
      <c r="AW750" s="59"/>
      <c r="AX750" s="59"/>
      <c r="AY750" s="59"/>
      <c r="AZ750" s="59"/>
      <c r="BA750" s="59"/>
      <c r="BB750" s="59"/>
      <c r="BC750" s="59"/>
      <c r="BD750" s="59"/>
      <c r="BE750" s="59"/>
      <c r="BF750" s="59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59"/>
      <c r="BZ750" s="59"/>
      <c r="CA750" s="59"/>
      <c r="CB750" s="59"/>
      <c r="CC750" s="59"/>
      <c r="CD750" s="59"/>
      <c r="CE750" s="59"/>
      <c r="CF750" s="59"/>
      <c r="CG750" s="59"/>
      <c r="CH750" s="59"/>
      <c r="CI750" s="59"/>
      <c r="CJ750" s="59"/>
      <c r="CK750" s="59"/>
      <c r="CL750" s="59"/>
      <c r="CM750" s="59"/>
      <c r="CN750" s="59"/>
      <c r="CO750" s="59"/>
      <c r="CP750" s="59"/>
      <c r="CQ750" s="59"/>
      <c r="CR750" s="59"/>
      <c r="CS750" s="59"/>
      <c r="CT750" s="59"/>
      <c r="CU750" s="59"/>
      <c r="CV750" s="59"/>
      <c r="CW750" s="59"/>
      <c r="CX750" s="59"/>
      <c r="CY750" s="59"/>
      <c r="CZ750" s="59"/>
      <c r="DA750" s="59"/>
      <c r="DB750" s="59"/>
      <c r="DC750" s="59"/>
      <c r="DD750" s="59"/>
      <c r="DE750" s="59"/>
      <c r="DF750" s="59"/>
      <c r="DG750" s="59"/>
    </row>
    <row r="751" spans="1:111" ht="11.2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  <c r="AJ751" s="59"/>
      <c r="AK751" s="59"/>
      <c r="AL751" s="59"/>
      <c r="AM751" s="59"/>
      <c r="AN751" s="59"/>
      <c r="AO751" s="59"/>
      <c r="AP751" s="59"/>
      <c r="AQ751" s="59"/>
      <c r="AR751" s="59"/>
      <c r="AS751" s="59"/>
      <c r="AT751" s="59"/>
      <c r="AU751" s="59"/>
      <c r="AV751" s="59"/>
      <c r="AW751" s="59"/>
      <c r="AX751" s="59"/>
      <c r="AY751" s="59"/>
      <c r="AZ751" s="59"/>
      <c r="BA751" s="59"/>
      <c r="BB751" s="59"/>
      <c r="BC751" s="59"/>
      <c r="BD751" s="59"/>
      <c r="BE751" s="59"/>
      <c r="BF751" s="59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59"/>
      <c r="BZ751" s="59"/>
      <c r="CA751" s="59"/>
      <c r="CB751" s="59"/>
      <c r="CC751" s="59"/>
      <c r="CD751" s="59"/>
      <c r="CE751" s="59"/>
      <c r="CF751" s="59"/>
      <c r="CG751" s="59"/>
      <c r="CH751" s="59"/>
      <c r="CI751" s="59"/>
      <c r="CJ751" s="59"/>
      <c r="CK751" s="59"/>
      <c r="CL751" s="59"/>
      <c r="CM751" s="59"/>
      <c r="CN751" s="59"/>
      <c r="CO751" s="59"/>
      <c r="CP751" s="59"/>
      <c r="CQ751" s="59"/>
      <c r="CR751" s="59"/>
      <c r="CS751" s="59"/>
      <c r="CT751" s="59"/>
      <c r="CU751" s="59"/>
      <c r="CV751" s="59"/>
      <c r="CW751" s="59"/>
      <c r="CX751" s="59"/>
      <c r="CY751" s="59"/>
      <c r="CZ751" s="59"/>
      <c r="DA751" s="59"/>
      <c r="DB751" s="59"/>
      <c r="DC751" s="59"/>
      <c r="DD751" s="59"/>
      <c r="DE751" s="59"/>
      <c r="DF751" s="59"/>
      <c r="DG751" s="59"/>
    </row>
    <row r="752" spans="1:111" ht="11.2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  <c r="AJ752" s="59"/>
      <c r="AK752" s="59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9"/>
      <c r="AW752" s="59"/>
      <c r="AX752" s="59"/>
      <c r="AY752" s="59"/>
      <c r="AZ752" s="59"/>
      <c r="BA752" s="59"/>
      <c r="BB752" s="59"/>
      <c r="BC752" s="59"/>
      <c r="BD752" s="59"/>
      <c r="BE752" s="59"/>
      <c r="BF752" s="59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59"/>
      <c r="BZ752" s="59"/>
      <c r="CA752" s="59"/>
      <c r="CB752" s="59"/>
      <c r="CC752" s="59"/>
      <c r="CD752" s="59"/>
      <c r="CE752" s="59"/>
      <c r="CF752" s="59"/>
      <c r="CG752" s="59"/>
      <c r="CH752" s="59"/>
      <c r="CI752" s="59"/>
      <c r="CJ752" s="59"/>
      <c r="CK752" s="59"/>
      <c r="CL752" s="59"/>
      <c r="CM752" s="59"/>
      <c r="CN752" s="59"/>
      <c r="CO752" s="59"/>
      <c r="CP752" s="59"/>
      <c r="CQ752" s="59"/>
      <c r="CR752" s="59"/>
      <c r="CS752" s="59"/>
      <c r="CT752" s="59"/>
      <c r="CU752" s="59"/>
      <c r="CV752" s="59"/>
      <c r="CW752" s="59"/>
      <c r="CX752" s="59"/>
      <c r="CY752" s="59"/>
      <c r="CZ752" s="59"/>
      <c r="DA752" s="59"/>
      <c r="DB752" s="59"/>
      <c r="DC752" s="59"/>
      <c r="DD752" s="59"/>
      <c r="DE752" s="59"/>
      <c r="DF752" s="59"/>
      <c r="DG752" s="59"/>
    </row>
    <row r="753" spans="1:111" ht="11.2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  <c r="AJ753" s="59"/>
      <c r="AK753" s="59"/>
      <c r="AL753" s="59"/>
      <c r="AM753" s="59"/>
      <c r="AN753" s="59"/>
      <c r="AO753" s="59"/>
      <c r="AP753" s="59"/>
      <c r="AQ753" s="59"/>
      <c r="AR753" s="59"/>
      <c r="AS753" s="59"/>
      <c r="AT753" s="59"/>
      <c r="AU753" s="59"/>
      <c r="AV753" s="59"/>
      <c r="AW753" s="59"/>
      <c r="AX753" s="59"/>
      <c r="AY753" s="59"/>
      <c r="AZ753" s="59"/>
      <c r="BA753" s="59"/>
      <c r="BB753" s="59"/>
      <c r="BC753" s="59"/>
      <c r="BD753" s="59"/>
      <c r="BE753" s="59"/>
      <c r="BF753" s="59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59"/>
      <c r="BZ753" s="59"/>
      <c r="CA753" s="59"/>
      <c r="CB753" s="59"/>
      <c r="CC753" s="59"/>
      <c r="CD753" s="59"/>
      <c r="CE753" s="59"/>
      <c r="CF753" s="59"/>
      <c r="CG753" s="59"/>
      <c r="CH753" s="59"/>
      <c r="CI753" s="59"/>
      <c r="CJ753" s="59"/>
      <c r="CK753" s="59"/>
      <c r="CL753" s="59"/>
      <c r="CM753" s="59"/>
      <c r="CN753" s="59"/>
      <c r="CO753" s="59"/>
      <c r="CP753" s="59"/>
      <c r="CQ753" s="59"/>
      <c r="CR753" s="59"/>
      <c r="CS753" s="59"/>
      <c r="CT753" s="59"/>
      <c r="CU753" s="59"/>
      <c r="CV753" s="59"/>
      <c r="CW753" s="59"/>
      <c r="CX753" s="59"/>
      <c r="CY753" s="59"/>
      <c r="CZ753" s="59"/>
      <c r="DA753" s="59"/>
      <c r="DB753" s="59"/>
      <c r="DC753" s="59"/>
      <c r="DD753" s="59"/>
      <c r="DE753" s="59"/>
      <c r="DF753" s="59"/>
      <c r="DG753" s="59"/>
    </row>
    <row r="754" spans="1:111" ht="11.2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  <c r="AJ754" s="59"/>
      <c r="AK754" s="59"/>
      <c r="AL754" s="59"/>
      <c r="AM754" s="59"/>
      <c r="AN754" s="59"/>
      <c r="AO754" s="59"/>
      <c r="AP754" s="59"/>
      <c r="AQ754" s="59"/>
      <c r="AR754" s="59"/>
      <c r="AS754" s="59"/>
      <c r="AT754" s="59"/>
      <c r="AU754" s="59"/>
      <c r="AV754" s="59"/>
      <c r="AW754" s="59"/>
      <c r="AX754" s="59"/>
      <c r="AY754" s="59"/>
      <c r="AZ754" s="59"/>
      <c r="BA754" s="59"/>
      <c r="BB754" s="59"/>
      <c r="BC754" s="59"/>
      <c r="BD754" s="59"/>
      <c r="BE754" s="59"/>
      <c r="BF754" s="59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59"/>
      <c r="BZ754" s="59"/>
      <c r="CA754" s="59"/>
      <c r="CB754" s="59"/>
      <c r="CC754" s="59"/>
      <c r="CD754" s="59"/>
      <c r="CE754" s="59"/>
      <c r="CF754" s="59"/>
      <c r="CG754" s="59"/>
      <c r="CH754" s="59"/>
      <c r="CI754" s="59"/>
      <c r="CJ754" s="59"/>
      <c r="CK754" s="59"/>
      <c r="CL754" s="59"/>
      <c r="CM754" s="59"/>
      <c r="CN754" s="59"/>
      <c r="CO754" s="59"/>
      <c r="CP754" s="59"/>
      <c r="CQ754" s="59"/>
      <c r="CR754" s="59"/>
      <c r="CS754" s="59"/>
      <c r="CT754" s="59"/>
      <c r="CU754" s="59"/>
      <c r="CV754" s="59"/>
      <c r="CW754" s="59"/>
      <c r="CX754" s="59"/>
      <c r="CY754" s="59"/>
      <c r="CZ754" s="59"/>
      <c r="DA754" s="59"/>
      <c r="DB754" s="59"/>
      <c r="DC754" s="59"/>
      <c r="DD754" s="59"/>
      <c r="DE754" s="59"/>
      <c r="DF754" s="59"/>
      <c r="DG754" s="59"/>
    </row>
    <row r="755" spans="1:111" ht="11.2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  <c r="AJ755" s="59"/>
      <c r="AK755" s="59"/>
      <c r="AL755" s="59"/>
      <c r="AM755" s="59"/>
      <c r="AN755" s="59"/>
      <c r="AO755" s="59"/>
      <c r="AP755" s="59"/>
      <c r="AQ755" s="59"/>
      <c r="AR755" s="59"/>
      <c r="AS755" s="59"/>
      <c r="AT755" s="59"/>
      <c r="AU755" s="59"/>
      <c r="AV755" s="59"/>
      <c r="AW755" s="59"/>
      <c r="AX755" s="59"/>
      <c r="AY755" s="59"/>
      <c r="AZ755" s="59"/>
      <c r="BA755" s="59"/>
      <c r="BB755" s="59"/>
      <c r="BC755" s="59"/>
      <c r="BD755" s="59"/>
      <c r="BE755" s="59"/>
      <c r="BF755" s="59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59"/>
      <c r="BZ755" s="59"/>
      <c r="CA755" s="59"/>
      <c r="CB755" s="59"/>
      <c r="CC755" s="59"/>
      <c r="CD755" s="59"/>
      <c r="CE755" s="59"/>
      <c r="CF755" s="59"/>
      <c r="CG755" s="59"/>
      <c r="CH755" s="59"/>
      <c r="CI755" s="59"/>
      <c r="CJ755" s="59"/>
      <c r="CK755" s="59"/>
      <c r="CL755" s="59"/>
      <c r="CM755" s="59"/>
      <c r="CN755" s="59"/>
      <c r="CO755" s="59"/>
      <c r="CP755" s="59"/>
      <c r="CQ755" s="59"/>
      <c r="CR755" s="59"/>
      <c r="CS755" s="59"/>
      <c r="CT755" s="59"/>
      <c r="CU755" s="59"/>
      <c r="CV755" s="59"/>
      <c r="CW755" s="59"/>
      <c r="CX755" s="59"/>
      <c r="CY755" s="59"/>
      <c r="CZ755" s="59"/>
      <c r="DA755" s="59"/>
      <c r="DB755" s="59"/>
      <c r="DC755" s="59"/>
      <c r="DD755" s="59"/>
      <c r="DE755" s="59"/>
      <c r="DF755" s="59"/>
      <c r="DG755" s="59"/>
    </row>
    <row r="756" spans="1:111" ht="11.2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  <c r="AB756" s="59"/>
      <c r="AC756" s="59"/>
      <c r="AD756" s="59"/>
      <c r="AE756" s="59"/>
      <c r="AF756" s="59"/>
      <c r="AG756" s="59"/>
      <c r="AH756" s="59"/>
      <c r="AI756" s="59"/>
      <c r="AJ756" s="59"/>
      <c r="AK756" s="59"/>
      <c r="AL756" s="59"/>
      <c r="AM756" s="59"/>
      <c r="AN756" s="59"/>
      <c r="AO756" s="59"/>
      <c r="AP756" s="59"/>
      <c r="AQ756" s="59"/>
      <c r="AR756" s="59"/>
      <c r="AS756" s="59"/>
      <c r="AT756" s="59"/>
      <c r="AU756" s="59"/>
      <c r="AV756" s="59"/>
      <c r="AW756" s="59"/>
      <c r="AX756" s="59"/>
      <c r="AY756" s="59"/>
      <c r="AZ756" s="59"/>
      <c r="BA756" s="59"/>
      <c r="BB756" s="59"/>
      <c r="BC756" s="59"/>
      <c r="BD756" s="59"/>
      <c r="BE756" s="59"/>
      <c r="BF756" s="59"/>
      <c r="BG756" s="59"/>
      <c r="BH756" s="59"/>
      <c r="BI756" s="59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BV756" s="59"/>
      <c r="BW756" s="59"/>
      <c r="BX756" s="59"/>
      <c r="BY756" s="59"/>
      <c r="BZ756" s="59"/>
      <c r="CA756" s="59"/>
      <c r="CB756" s="59"/>
      <c r="CC756" s="59"/>
      <c r="CD756" s="59"/>
      <c r="CE756" s="59"/>
      <c r="CF756" s="59"/>
      <c r="CG756" s="59"/>
      <c r="CH756" s="59"/>
      <c r="CI756" s="59"/>
      <c r="CJ756" s="59"/>
      <c r="CK756" s="59"/>
      <c r="CL756" s="59"/>
      <c r="CM756" s="59"/>
      <c r="CN756" s="59"/>
      <c r="CO756" s="59"/>
      <c r="CP756" s="59"/>
      <c r="CQ756" s="59"/>
      <c r="CR756" s="59"/>
      <c r="CS756" s="59"/>
      <c r="CT756" s="59"/>
      <c r="CU756" s="59"/>
      <c r="CV756" s="59"/>
      <c r="CW756" s="59"/>
      <c r="CX756" s="59"/>
      <c r="CY756" s="59"/>
      <c r="CZ756" s="59"/>
      <c r="DA756" s="59"/>
      <c r="DB756" s="59"/>
      <c r="DC756" s="59"/>
      <c r="DD756" s="59"/>
      <c r="DE756" s="59"/>
      <c r="DF756" s="59"/>
      <c r="DG756" s="59"/>
    </row>
    <row r="757" spans="1:111" ht="11.2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  <c r="AI757" s="59"/>
      <c r="AJ757" s="59"/>
      <c r="AK757" s="59"/>
      <c r="AL757" s="59"/>
      <c r="AM757" s="59"/>
      <c r="AN757" s="59"/>
      <c r="AO757" s="59"/>
      <c r="AP757" s="59"/>
      <c r="AQ757" s="59"/>
      <c r="AR757" s="59"/>
      <c r="AS757" s="59"/>
      <c r="AT757" s="59"/>
      <c r="AU757" s="59"/>
      <c r="AV757" s="59"/>
      <c r="AW757" s="59"/>
      <c r="AX757" s="59"/>
      <c r="AY757" s="59"/>
      <c r="AZ757" s="59"/>
      <c r="BA757" s="59"/>
      <c r="BB757" s="59"/>
      <c r="BC757" s="59"/>
      <c r="BD757" s="59"/>
      <c r="BE757" s="59"/>
      <c r="BF757" s="59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59"/>
      <c r="BZ757" s="59"/>
      <c r="CA757" s="59"/>
      <c r="CB757" s="59"/>
      <c r="CC757" s="59"/>
      <c r="CD757" s="59"/>
      <c r="CE757" s="59"/>
      <c r="CF757" s="59"/>
      <c r="CG757" s="59"/>
      <c r="CH757" s="59"/>
      <c r="CI757" s="59"/>
      <c r="CJ757" s="59"/>
      <c r="CK757" s="59"/>
      <c r="CL757" s="59"/>
      <c r="CM757" s="59"/>
      <c r="CN757" s="59"/>
      <c r="CO757" s="59"/>
      <c r="CP757" s="59"/>
      <c r="CQ757" s="59"/>
      <c r="CR757" s="59"/>
      <c r="CS757" s="59"/>
      <c r="CT757" s="59"/>
      <c r="CU757" s="59"/>
      <c r="CV757" s="59"/>
      <c r="CW757" s="59"/>
      <c r="CX757" s="59"/>
      <c r="CY757" s="59"/>
      <c r="CZ757" s="59"/>
      <c r="DA757" s="59"/>
      <c r="DB757" s="59"/>
      <c r="DC757" s="59"/>
      <c r="DD757" s="59"/>
      <c r="DE757" s="59"/>
      <c r="DF757" s="59"/>
      <c r="DG757" s="59"/>
    </row>
    <row r="758" spans="1:111" ht="11.2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  <c r="AB758" s="59"/>
      <c r="AC758" s="59"/>
      <c r="AD758" s="59"/>
      <c r="AE758" s="59"/>
      <c r="AF758" s="59"/>
      <c r="AG758" s="59"/>
      <c r="AH758" s="59"/>
      <c r="AI758" s="59"/>
      <c r="AJ758" s="59"/>
      <c r="AK758" s="59"/>
      <c r="AL758" s="59"/>
      <c r="AM758" s="59"/>
      <c r="AN758" s="59"/>
      <c r="AO758" s="59"/>
      <c r="AP758" s="59"/>
      <c r="AQ758" s="59"/>
      <c r="AR758" s="59"/>
      <c r="AS758" s="59"/>
      <c r="AT758" s="59"/>
      <c r="AU758" s="59"/>
      <c r="AV758" s="59"/>
      <c r="AW758" s="59"/>
      <c r="AX758" s="59"/>
      <c r="AY758" s="59"/>
      <c r="AZ758" s="59"/>
      <c r="BA758" s="59"/>
      <c r="BB758" s="59"/>
      <c r="BC758" s="59"/>
      <c r="BD758" s="59"/>
      <c r="BE758" s="59"/>
      <c r="BF758" s="59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59"/>
      <c r="BZ758" s="59"/>
      <c r="CA758" s="59"/>
      <c r="CB758" s="59"/>
      <c r="CC758" s="59"/>
      <c r="CD758" s="59"/>
      <c r="CE758" s="59"/>
      <c r="CF758" s="59"/>
      <c r="CG758" s="59"/>
      <c r="CH758" s="59"/>
      <c r="CI758" s="59"/>
      <c r="CJ758" s="59"/>
      <c r="CK758" s="59"/>
      <c r="CL758" s="59"/>
      <c r="CM758" s="59"/>
      <c r="CN758" s="59"/>
      <c r="CO758" s="59"/>
      <c r="CP758" s="59"/>
      <c r="CQ758" s="59"/>
      <c r="CR758" s="59"/>
      <c r="CS758" s="59"/>
      <c r="CT758" s="59"/>
      <c r="CU758" s="59"/>
      <c r="CV758" s="59"/>
      <c r="CW758" s="59"/>
      <c r="CX758" s="59"/>
      <c r="CY758" s="59"/>
      <c r="CZ758" s="59"/>
      <c r="DA758" s="59"/>
      <c r="DB758" s="59"/>
      <c r="DC758" s="59"/>
      <c r="DD758" s="59"/>
      <c r="DE758" s="59"/>
      <c r="DF758" s="59"/>
      <c r="DG758" s="59"/>
    </row>
    <row r="759" spans="1:111" ht="11.2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59"/>
      <c r="AI759" s="59"/>
      <c r="AJ759" s="59"/>
      <c r="AK759" s="59"/>
      <c r="AL759" s="59"/>
      <c r="AM759" s="59"/>
      <c r="AN759" s="59"/>
      <c r="AO759" s="59"/>
      <c r="AP759" s="59"/>
      <c r="AQ759" s="59"/>
      <c r="AR759" s="59"/>
      <c r="AS759" s="59"/>
      <c r="AT759" s="59"/>
      <c r="AU759" s="59"/>
      <c r="AV759" s="59"/>
      <c r="AW759" s="59"/>
      <c r="AX759" s="59"/>
      <c r="AY759" s="59"/>
      <c r="AZ759" s="59"/>
      <c r="BA759" s="59"/>
      <c r="BB759" s="59"/>
      <c r="BC759" s="59"/>
      <c r="BD759" s="59"/>
      <c r="BE759" s="59"/>
      <c r="BF759" s="59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59"/>
      <c r="BZ759" s="59"/>
      <c r="CA759" s="59"/>
      <c r="CB759" s="59"/>
      <c r="CC759" s="59"/>
      <c r="CD759" s="59"/>
      <c r="CE759" s="59"/>
      <c r="CF759" s="59"/>
      <c r="CG759" s="59"/>
      <c r="CH759" s="59"/>
      <c r="CI759" s="59"/>
      <c r="CJ759" s="59"/>
      <c r="CK759" s="59"/>
      <c r="CL759" s="59"/>
      <c r="CM759" s="59"/>
      <c r="CN759" s="59"/>
      <c r="CO759" s="59"/>
      <c r="CP759" s="59"/>
      <c r="CQ759" s="59"/>
      <c r="CR759" s="59"/>
      <c r="CS759" s="59"/>
      <c r="CT759" s="59"/>
      <c r="CU759" s="59"/>
      <c r="CV759" s="59"/>
      <c r="CW759" s="59"/>
      <c r="CX759" s="59"/>
      <c r="CY759" s="59"/>
      <c r="CZ759" s="59"/>
      <c r="DA759" s="59"/>
      <c r="DB759" s="59"/>
      <c r="DC759" s="59"/>
      <c r="DD759" s="59"/>
      <c r="DE759" s="59"/>
      <c r="DF759" s="59"/>
      <c r="DG759" s="59"/>
    </row>
    <row r="760" spans="1:111" ht="11.2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  <c r="AB760" s="59"/>
      <c r="AC760" s="59"/>
      <c r="AD760" s="59"/>
      <c r="AE760" s="59"/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9"/>
      <c r="AW760" s="59"/>
      <c r="AX760" s="59"/>
      <c r="AY760" s="59"/>
      <c r="AZ760" s="59"/>
      <c r="BA760" s="59"/>
      <c r="BB760" s="59"/>
      <c r="BC760" s="59"/>
      <c r="BD760" s="59"/>
      <c r="BE760" s="59"/>
      <c r="BF760" s="59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59"/>
      <c r="BZ760" s="59"/>
      <c r="CA760" s="59"/>
      <c r="CB760" s="59"/>
      <c r="CC760" s="59"/>
      <c r="CD760" s="59"/>
      <c r="CE760" s="59"/>
      <c r="CF760" s="59"/>
      <c r="CG760" s="59"/>
      <c r="CH760" s="59"/>
      <c r="CI760" s="59"/>
      <c r="CJ760" s="59"/>
      <c r="CK760" s="59"/>
      <c r="CL760" s="59"/>
      <c r="CM760" s="59"/>
      <c r="CN760" s="59"/>
      <c r="CO760" s="59"/>
      <c r="CP760" s="59"/>
      <c r="CQ760" s="59"/>
      <c r="CR760" s="59"/>
      <c r="CS760" s="59"/>
      <c r="CT760" s="59"/>
      <c r="CU760" s="59"/>
      <c r="CV760" s="59"/>
      <c r="CW760" s="59"/>
      <c r="CX760" s="59"/>
      <c r="CY760" s="59"/>
      <c r="CZ760" s="59"/>
      <c r="DA760" s="59"/>
      <c r="DB760" s="59"/>
      <c r="DC760" s="59"/>
      <c r="DD760" s="59"/>
      <c r="DE760" s="59"/>
      <c r="DF760" s="59"/>
      <c r="DG760" s="59"/>
    </row>
    <row r="761" spans="1:111" ht="11.2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  <c r="AB761" s="59"/>
      <c r="AC761" s="59"/>
      <c r="AD761" s="59"/>
      <c r="AE761" s="59"/>
      <c r="AF761" s="59"/>
      <c r="AG761" s="59"/>
      <c r="AH761" s="59"/>
      <c r="AI761" s="59"/>
      <c r="AJ761" s="59"/>
      <c r="AK761" s="59"/>
      <c r="AL761" s="59"/>
      <c r="AM761" s="59"/>
      <c r="AN761" s="59"/>
      <c r="AO761" s="59"/>
      <c r="AP761" s="59"/>
      <c r="AQ761" s="59"/>
      <c r="AR761" s="59"/>
      <c r="AS761" s="59"/>
      <c r="AT761" s="59"/>
      <c r="AU761" s="59"/>
      <c r="AV761" s="59"/>
      <c r="AW761" s="59"/>
      <c r="AX761" s="59"/>
      <c r="AY761" s="59"/>
      <c r="AZ761" s="59"/>
      <c r="BA761" s="59"/>
      <c r="BB761" s="59"/>
      <c r="BC761" s="59"/>
      <c r="BD761" s="59"/>
      <c r="BE761" s="59"/>
      <c r="BF761" s="59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59"/>
      <c r="BZ761" s="59"/>
      <c r="CA761" s="59"/>
      <c r="CB761" s="59"/>
      <c r="CC761" s="59"/>
      <c r="CD761" s="59"/>
      <c r="CE761" s="59"/>
      <c r="CF761" s="59"/>
      <c r="CG761" s="59"/>
      <c r="CH761" s="59"/>
      <c r="CI761" s="59"/>
      <c r="CJ761" s="59"/>
      <c r="CK761" s="59"/>
      <c r="CL761" s="59"/>
      <c r="CM761" s="59"/>
      <c r="CN761" s="59"/>
      <c r="CO761" s="59"/>
      <c r="CP761" s="59"/>
      <c r="CQ761" s="59"/>
      <c r="CR761" s="59"/>
      <c r="CS761" s="59"/>
      <c r="CT761" s="59"/>
      <c r="CU761" s="59"/>
      <c r="CV761" s="59"/>
      <c r="CW761" s="59"/>
      <c r="CX761" s="59"/>
      <c r="CY761" s="59"/>
      <c r="CZ761" s="59"/>
      <c r="DA761" s="59"/>
      <c r="DB761" s="59"/>
      <c r="DC761" s="59"/>
      <c r="DD761" s="59"/>
      <c r="DE761" s="59"/>
      <c r="DF761" s="59"/>
      <c r="DG761" s="59"/>
    </row>
    <row r="762" spans="1:111" ht="11.2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  <c r="AB762" s="59"/>
      <c r="AC762" s="59"/>
      <c r="AD762" s="59"/>
      <c r="AE762" s="59"/>
      <c r="AF762" s="59"/>
      <c r="AG762" s="59"/>
      <c r="AH762" s="59"/>
      <c r="AI762" s="59"/>
      <c r="AJ762" s="59"/>
      <c r="AK762" s="59"/>
      <c r="AL762" s="59"/>
      <c r="AM762" s="59"/>
      <c r="AN762" s="59"/>
      <c r="AO762" s="59"/>
      <c r="AP762" s="59"/>
      <c r="AQ762" s="59"/>
      <c r="AR762" s="59"/>
      <c r="AS762" s="59"/>
      <c r="AT762" s="59"/>
      <c r="AU762" s="59"/>
      <c r="AV762" s="59"/>
      <c r="AW762" s="59"/>
      <c r="AX762" s="59"/>
      <c r="AY762" s="59"/>
      <c r="AZ762" s="59"/>
      <c r="BA762" s="59"/>
      <c r="BB762" s="59"/>
      <c r="BC762" s="59"/>
      <c r="BD762" s="59"/>
      <c r="BE762" s="59"/>
      <c r="BF762" s="59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59"/>
      <c r="BZ762" s="59"/>
      <c r="CA762" s="59"/>
      <c r="CB762" s="59"/>
      <c r="CC762" s="59"/>
      <c r="CD762" s="59"/>
      <c r="CE762" s="59"/>
      <c r="CF762" s="59"/>
      <c r="CG762" s="59"/>
      <c r="CH762" s="59"/>
      <c r="CI762" s="59"/>
      <c r="CJ762" s="59"/>
      <c r="CK762" s="59"/>
      <c r="CL762" s="59"/>
      <c r="CM762" s="59"/>
      <c r="CN762" s="59"/>
      <c r="CO762" s="59"/>
      <c r="CP762" s="59"/>
      <c r="CQ762" s="59"/>
      <c r="CR762" s="59"/>
      <c r="CS762" s="59"/>
      <c r="CT762" s="59"/>
      <c r="CU762" s="59"/>
      <c r="CV762" s="59"/>
      <c r="CW762" s="59"/>
      <c r="CX762" s="59"/>
      <c r="CY762" s="59"/>
      <c r="CZ762" s="59"/>
      <c r="DA762" s="59"/>
      <c r="DB762" s="59"/>
      <c r="DC762" s="59"/>
      <c r="DD762" s="59"/>
      <c r="DE762" s="59"/>
      <c r="DF762" s="59"/>
      <c r="DG762" s="59"/>
    </row>
    <row r="763" spans="1:111" ht="11.2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  <c r="AB763" s="59"/>
      <c r="AC763" s="59"/>
      <c r="AD763" s="59"/>
      <c r="AE763" s="59"/>
      <c r="AF763" s="59"/>
      <c r="AG763" s="59"/>
      <c r="AH763" s="59"/>
      <c r="AI763" s="59"/>
      <c r="AJ763" s="59"/>
      <c r="AK763" s="59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9"/>
      <c r="AW763" s="59"/>
      <c r="AX763" s="59"/>
      <c r="AY763" s="59"/>
      <c r="AZ763" s="59"/>
      <c r="BA763" s="59"/>
      <c r="BB763" s="59"/>
      <c r="BC763" s="59"/>
      <c r="BD763" s="59"/>
      <c r="BE763" s="59"/>
      <c r="BF763" s="59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59"/>
      <c r="BZ763" s="59"/>
      <c r="CA763" s="59"/>
      <c r="CB763" s="59"/>
      <c r="CC763" s="59"/>
      <c r="CD763" s="59"/>
      <c r="CE763" s="59"/>
      <c r="CF763" s="59"/>
      <c r="CG763" s="59"/>
      <c r="CH763" s="59"/>
      <c r="CI763" s="59"/>
      <c r="CJ763" s="59"/>
      <c r="CK763" s="59"/>
      <c r="CL763" s="59"/>
      <c r="CM763" s="59"/>
      <c r="CN763" s="59"/>
      <c r="CO763" s="59"/>
      <c r="CP763" s="59"/>
      <c r="CQ763" s="59"/>
      <c r="CR763" s="59"/>
      <c r="CS763" s="59"/>
      <c r="CT763" s="59"/>
      <c r="CU763" s="59"/>
      <c r="CV763" s="59"/>
      <c r="CW763" s="59"/>
      <c r="CX763" s="59"/>
      <c r="CY763" s="59"/>
      <c r="CZ763" s="59"/>
      <c r="DA763" s="59"/>
      <c r="DB763" s="59"/>
      <c r="DC763" s="59"/>
      <c r="DD763" s="59"/>
      <c r="DE763" s="59"/>
      <c r="DF763" s="59"/>
      <c r="DG763" s="59"/>
    </row>
    <row r="764" spans="1:111" ht="11.2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  <c r="AB764" s="59"/>
      <c r="AC764" s="59"/>
      <c r="AD764" s="59"/>
      <c r="AE764" s="59"/>
      <c r="AF764" s="59"/>
      <c r="AG764" s="59"/>
      <c r="AH764" s="59"/>
      <c r="AI764" s="59"/>
      <c r="AJ764" s="59"/>
      <c r="AK764" s="59"/>
      <c r="AL764" s="59"/>
      <c r="AM764" s="59"/>
      <c r="AN764" s="59"/>
      <c r="AO764" s="59"/>
      <c r="AP764" s="59"/>
      <c r="AQ764" s="59"/>
      <c r="AR764" s="59"/>
      <c r="AS764" s="59"/>
      <c r="AT764" s="59"/>
      <c r="AU764" s="59"/>
      <c r="AV764" s="59"/>
      <c r="AW764" s="59"/>
      <c r="AX764" s="59"/>
      <c r="AY764" s="59"/>
      <c r="AZ764" s="59"/>
      <c r="BA764" s="59"/>
      <c r="BB764" s="59"/>
      <c r="BC764" s="59"/>
      <c r="BD764" s="59"/>
      <c r="BE764" s="59"/>
      <c r="BF764" s="59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59"/>
      <c r="BZ764" s="59"/>
      <c r="CA764" s="59"/>
      <c r="CB764" s="59"/>
      <c r="CC764" s="59"/>
      <c r="CD764" s="59"/>
      <c r="CE764" s="59"/>
      <c r="CF764" s="59"/>
      <c r="CG764" s="59"/>
      <c r="CH764" s="59"/>
      <c r="CI764" s="59"/>
      <c r="CJ764" s="59"/>
      <c r="CK764" s="59"/>
      <c r="CL764" s="59"/>
      <c r="CM764" s="59"/>
      <c r="CN764" s="59"/>
      <c r="CO764" s="59"/>
      <c r="CP764" s="59"/>
      <c r="CQ764" s="59"/>
      <c r="CR764" s="59"/>
      <c r="CS764" s="59"/>
      <c r="CT764" s="59"/>
      <c r="CU764" s="59"/>
      <c r="CV764" s="59"/>
      <c r="CW764" s="59"/>
      <c r="CX764" s="59"/>
      <c r="CY764" s="59"/>
      <c r="CZ764" s="59"/>
      <c r="DA764" s="59"/>
      <c r="DB764" s="59"/>
      <c r="DC764" s="59"/>
      <c r="DD764" s="59"/>
      <c r="DE764" s="59"/>
      <c r="DF764" s="59"/>
      <c r="DG764" s="59"/>
    </row>
    <row r="765" spans="1:111" ht="11.2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  <c r="AB765" s="59"/>
      <c r="AC765" s="59"/>
      <c r="AD765" s="59"/>
      <c r="AE765" s="59"/>
      <c r="AF765" s="59"/>
      <c r="AG765" s="59"/>
      <c r="AH765" s="59"/>
      <c r="AI765" s="59"/>
      <c r="AJ765" s="59"/>
      <c r="AK765" s="59"/>
      <c r="AL765" s="59"/>
      <c r="AM765" s="59"/>
      <c r="AN765" s="59"/>
      <c r="AO765" s="59"/>
      <c r="AP765" s="59"/>
      <c r="AQ765" s="59"/>
      <c r="AR765" s="59"/>
      <c r="AS765" s="59"/>
      <c r="AT765" s="59"/>
      <c r="AU765" s="59"/>
      <c r="AV765" s="59"/>
      <c r="AW765" s="59"/>
      <c r="AX765" s="59"/>
      <c r="AY765" s="59"/>
      <c r="AZ765" s="59"/>
      <c r="BA765" s="59"/>
      <c r="BB765" s="59"/>
      <c r="BC765" s="59"/>
      <c r="BD765" s="59"/>
      <c r="BE765" s="59"/>
      <c r="BF765" s="59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59"/>
      <c r="BZ765" s="59"/>
      <c r="CA765" s="59"/>
      <c r="CB765" s="59"/>
      <c r="CC765" s="59"/>
      <c r="CD765" s="59"/>
      <c r="CE765" s="59"/>
      <c r="CF765" s="59"/>
      <c r="CG765" s="59"/>
      <c r="CH765" s="59"/>
      <c r="CI765" s="59"/>
      <c r="CJ765" s="59"/>
      <c r="CK765" s="59"/>
      <c r="CL765" s="59"/>
      <c r="CM765" s="59"/>
      <c r="CN765" s="59"/>
      <c r="CO765" s="59"/>
      <c r="CP765" s="59"/>
      <c r="CQ765" s="59"/>
      <c r="CR765" s="59"/>
      <c r="CS765" s="59"/>
      <c r="CT765" s="59"/>
      <c r="CU765" s="59"/>
      <c r="CV765" s="59"/>
      <c r="CW765" s="59"/>
      <c r="CX765" s="59"/>
      <c r="CY765" s="59"/>
      <c r="CZ765" s="59"/>
      <c r="DA765" s="59"/>
      <c r="DB765" s="59"/>
      <c r="DC765" s="59"/>
      <c r="DD765" s="59"/>
      <c r="DE765" s="59"/>
      <c r="DF765" s="59"/>
      <c r="DG765" s="59"/>
    </row>
    <row r="766" spans="1:111" ht="11.2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  <c r="AB766" s="59"/>
      <c r="AC766" s="59"/>
      <c r="AD766" s="59"/>
      <c r="AE766" s="59"/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  <c r="AR766" s="59"/>
      <c r="AS766" s="59"/>
      <c r="AT766" s="59"/>
      <c r="AU766" s="59"/>
      <c r="AV766" s="59"/>
      <c r="AW766" s="59"/>
      <c r="AX766" s="59"/>
      <c r="AY766" s="59"/>
      <c r="AZ766" s="59"/>
      <c r="BA766" s="59"/>
      <c r="BB766" s="59"/>
      <c r="BC766" s="59"/>
      <c r="BD766" s="59"/>
      <c r="BE766" s="59"/>
      <c r="BF766" s="59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59"/>
      <c r="BZ766" s="59"/>
      <c r="CA766" s="59"/>
      <c r="CB766" s="59"/>
      <c r="CC766" s="59"/>
      <c r="CD766" s="59"/>
      <c r="CE766" s="59"/>
      <c r="CF766" s="59"/>
      <c r="CG766" s="59"/>
      <c r="CH766" s="59"/>
      <c r="CI766" s="59"/>
      <c r="CJ766" s="59"/>
      <c r="CK766" s="59"/>
      <c r="CL766" s="59"/>
      <c r="CM766" s="59"/>
      <c r="CN766" s="59"/>
      <c r="CO766" s="59"/>
      <c r="CP766" s="59"/>
      <c r="CQ766" s="59"/>
      <c r="CR766" s="59"/>
      <c r="CS766" s="59"/>
      <c r="CT766" s="59"/>
      <c r="CU766" s="59"/>
      <c r="CV766" s="59"/>
      <c r="CW766" s="59"/>
      <c r="CX766" s="59"/>
      <c r="CY766" s="59"/>
      <c r="CZ766" s="59"/>
      <c r="DA766" s="59"/>
      <c r="DB766" s="59"/>
      <c r="DC766" s="59"/>
      <c r="DD766" s="59"/>
      <c r="DE766" s="59"/>
      <c r="DF766" s="59"/>
      <c r="DG766" s="59"/>
    </row>
    <row r="767" spans="1:111" ht="11.2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  <c r="AB767" s="59"/>
      <c r="AC767" s="59"/>
      <c r="AD767" s="59"/>
      <c r="AE767" s="59"/>
      <c r="AF767" s="59"/>
      <c r="AG767" s="59"/>
      <c r="AH767" s="59"/>
      <c r="AI767" s="59"/>
      <c r="AJ767" s="59"/>
      <c r="AK767" s="59"/>
      <c r="AL767" s="59"/>
      <c r="AM767" s="59"/>
      <c r="AN767" s="59"/>
      <c r="AO767" s="59"/>
      <c r="AP767" s="59"/>
      <c r="AQ767" s="59"/>
      <c r="AR767" s="59"/>
      <c r="AS767" s="59"/>
      <c r="AT767" s="59"/>
      <c r="AU767" s="59"/>
      <c r="AV767" s="59"/>
      <c r="AW767" s="59"/>
      <c r="AX767" s="59"/>
      <c r="AY767" s="59"/>
      <c r="AZ767" s="59"/>
      <c r="BA767" s="59"/>
      <c r="BB767" s="59"/>
      <c r="BC767" s="59"/>
      <c r="BD767" s="59"/>
      <c r="BE767" s="59"/>
      <c r="BF767" s="59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59"/>
      <c r="BZ767" s="59"/>
      <c r="CA767" s="59"/>
      <c r="CB767" s="59"/>
      <c r="CC767" s="59"/>
      <c r="CD767" s="59"/>
      <c r="CE767" s="59"/>
      <c r="CF767" s="59"/>
      <c r="CG767" s="59"/>
      <c r="CH767" s="59"/>
      <c r="CI767" s="59"/>
      <c r="CJ767" s="59"/>
      <c r="CK767" s="59"/>
      <c r="CL767" s="59"/>
      <c r="CM767" s="59"/>
      <c r="CN767" s="59"/>
      <c r="CO767" s="59"/>
      <c r="CP767" s="59"/>
      <c r="CQ767" s="59"/>
      <c r="CR767" s="59"/>
      <c r="CS767" s="59"/>
      <c r="CT767" s="59"/>
      <c r="CU767" s="59"/>
      <c r="CV767" s="59"/>
      <c r="CW767" s="59"/>
      <c r="CX767" s="59"/>
      <c r="CY767" s="59"/>
      <c r="CZ767" s="59"/>
      <c r="DA767" s="59"/>
      <c r="DB767" s="59"/>
      <c r="DC767" s="59"/>
      <c r="DD767" s="59"/>
      <c r="DE767" s="59"/>
      <c r="DF767" s="59"/>
      <c r="DG767" s="59"/>
    </row>
    <row r="768" spans="1:111" ht="11.2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  <c r="AB768" s="59"/>
      <c r="AC768" s="59"/>
      <c r="AD768" s="59"/>
      <c r="AE768" s="59"/>
      <c r="AF768" s="59"/>
      <c r="AG768" s="59"/>
      <c r="AH768" s="59"/>
      <c r="AI768" s="59"/>
      <c r="AJ768" s="59"/>
      <c r="AK768" s="59"/>
      <c r="AL768" s="59"/>
      <c r="AM768" s="59"/>
      <c r="AN768" s="59"/>
      <c r="AO768" s="59"/>
      <c r="AP768" s="59"/>
      <c r="AQ768" s="59"/>
      <c r="AR768" s="59"/>
      <c r="AS768" s="59"/>
      <c r="AT768" s="59"/>
      <c r="AU768" s="59"/>
      <c r="AV768" s="59"/>
      <c r="AW768" s="59"/>
      <c r="AX768" s="59"/>
      <c r="AY768" s="59"/>
      <c r="AZ768" s="59"/>
      <c r="BA768" s="59"/>
      <c r="BB768" s="59"/>
      <c r="BC768" s="59"/>
      <c r="BD768" s="59"/>
      <c r="BE768" s="59"/>
      <c r="BF768" s="59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59"/>
      <c r="BZ768" s="59"/>
      <c r="CA768" s="59"/>
      <c r="CB768" s="59"/>
      <c r="CC768" s="59"/>
      <c r="CD768" s="59"/>
      <c r="CE768" s="59"/>
      <c r="CF768" s="59"/>
      <c r="CG768" s="59"/>
      <c r="CH768" s="59"/>
      <c r="CI768" s="59"/>
      <c r="CJ768" s="59"/>
      <c r="CK768" s="59"/>
      <c r="CL768" s="59"/>
      <c r="CM768" s="59"/>
      <c r="CN768" s="59"/>
      <c r="CO768" s="59"/>
      <c r="CP768" s="59"/>
      <c r="CQ768" s="59"/>
      <c r="CR768" s="59"/>
      <c r="CS768" s="59"/>
      <c r="CT768" s="59"/>
      <c r="CU768" s="59"/>
      <c r="CV768" s="59"/>
      <c r="CW768" s="59"/>
      <c r="CX768" s="59"/>
      <c r="CY768" s="59"/>
      <c r="CZ768" s="59"/>
      <c r="DA768" s="59"/>
      <c r="DB768" s="59"/>
      <c r="DC768" s="59"/>
      <c r="DD768" s="59"/>
      <c r="DE768" s="59"/>
      <c r="DF768" s="59"/>
      <c r="DG768" s="59"/>
    </row>
    <row r="769" spans="1:111" ht="11.2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  <c r="AB769" s="59"/>
      <c r="AC769" s="59"/>
      <c r="AD769" s="59"/>
      <c r="AE769" s="59"/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9"/>
      <c r="AW769" s="59"/>
      <c r="AX769" s="59"/>
      <c r="AY769" s="59"/>
      <c r="AZ769" s="59"/>
      <c r="BA769" s="59"/>
      <c r="BB769" s="59"/>
      <c r="BC769" s="59"/>
      <c r="BD769" s="59"/>
      <c r="BE769" s="59"/>
      <c r="BF769" s="59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59"/>
      <c r="BZ769" s="59"/>
      <c r="CA769" s="59"/>
      <c r="CB769" s="59"/>
      <c r="CC769" s="59"/>
      <c r="CD769" s="59"/>
      <c r="CE769" s="59"/>
      <c r="CF769" s="59"/>
      <c r="CG769" s="59"/>
      <c r="CH769" s="59"/>
      <c r="CI769" s="59"/>
      <c r="CJ769" s="59"/>
      <c r="CK769" s="59"/>
      <c r="CL769" s="59"/>
      <c r="CM769" s="59"/>
      <c r="CN769" s="59"/>
      <c r="CO769" s="59"/>
      <c r="CP769" s="59"/>
      <c r="CQ769" s="59"/>
      <c r="CR769" s="59"/>
      <c r="CS769" s="59"/>
      <c r="CT769" s="59"/>
      <c r="CU769" s="59"/>
      <c r="CV769" s="59"/>
      <c r="CW769" s="59"/>
      <c r="CX769" s="59"/>
      <c r="CY769" s="59"/>
      <c r="CZ769" s="59"/>
      <c r="DA769" s="59"/>
      <c r="DB769" s="59"/>
      <c r="DC769" s="59"/>
      <c r="DD769" s="59"/>
      <c r="DE769" s="59"/>
      <c r="DF769" s="59"/>
      <c r="DG769" s="59"/>
    </row>
    <row r="770" spans="1:111" ht="11.2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  <c r="AB770" s="59"/>
      <c r="AC770" s="59"/>
      <c r="AD770" s="59"/>
      <c r="AE770" s="59"/>
      <c r="AF770" s="59"/>
      <c r="AG770" s="59"/>
      <c r="AH770" s="59"/>
      <c r="AI770" s="59"/>
      <c r="AJ770" s="59"/>
      <c r="AK770" s="59"/>
      <c r="AL770" s="59"/>
      <c r="AM770" s="59"/>
      <c r="AN770" s="59"/>
      <c r="AO770" s="59"/>
      <c r="AP770" s="59"/>
      <c r="AQ770" s="59"/>
      <c r="AR770" s="59"/>
      <c r="AS770" s="59"/>
      <c r="AT770" s="59"/>
      <c r="AU770" s="59"/>
      <c r="AV770" s="59"/>
      <c r="AW770" s="59"/>
      <c r="AX770" s="59"/>
      <c r="AY770" s="59"/>
      <c r="AZ770" s="59"/>
      <c r="BA770" s="59"/>
      <c r="BB770" s="59"/>
      <c r="BC770" s="59"/>
      <c r="BD770" s="59"/>
      <c r="BE770" s="59"/>
      <c r="BF770" s="59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59"/>
      <c r="BZ770" s="59"/>
      <c r="CA770" s="59"/>
      <c r="CB770" s="59"/>
      <c r="CC770" s="59"/>
      <c r="CD770" s="59"/>
      <c r="CE770" s="59"/>
      <c r="CF770" s="59"/>
      <c r="CG770" s="59"/>
      <c r="CH770" s="59"/>
      <c r="CI770" s="59"/>
      <c r="CJ770" s="59"/>
      <c r="CK770" s="59"/>
      <c r="CL770" s="59"/>
      <c r="CM770" s="59"/>
      <c r="CN770" s="59"/>
      <c r="CO770" s="59"/>
      <c r="CP770" s="59"/>
      <c r="CQ770" s="59"/>
      <c r="CR770" s="59"/>
      <c r="CS770" s="59"/>
      <c r="CT770" s="59"/>
      <c r="CU770" s="59"/>
      <c r="CV770" s="59"/>
      <c r="CW770" s="59"/>
      <c r="CX770" s="59"/>
      <c r="CY770" s="59"/>
      <c r="CZ770" s="59"/>
      <c r="DA770" s="59"/>
      <c r="DB770" s="59"/>
      <c r="DC770" s="59"/>
      <c r="DD770" s="59"/>
      <c r="DE770" s="59"/>
      <c r="DF770" s="59"/>
      <c r="DG770" s="59"/>
    </row>
    <row r="771" spans="1:111" ht="11.2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  <c r="AB771" s="59"/>
      <c r="AC771" s="59"/>
      <c r="AD771" s="59"/>
      <c r="AE771" s="59"/>
      <c r="AF771" s="59"/>
      <c r="AG771" s="59"/>
      <c r="AH771" s="59"/>
      <c r="AI771" s="59"/>
      <c r="AJ771" s="59"/>
      <c r="AK771" s="59"/>
      <c r="AL771" s="59"/>
      <c r="AM771" s="59"/>
      <c r="AN771" s="59"/>
      <c r="AO771" s="59"/>
      <c r="AP771" s="59"/>
      <c r="AQ771" s="59"/>
      <c r="AR771" s="59"/>
      <c r="AS771" s="59"/>
      <c r="AT771" s="59"/>
      <c r="AU771" s="59"/>
      <c r="AV771" s="59"/>
      <c r="AW771" s="59"/>
      <c r="AX771" s="59"/>
      <c r="AY771" s="59"/>
      <c r="AZ771" s="59"/>
      <c r="BA771" s="59"/>
      <c r="BB771" s="59"/>
      <c r="BC771" s="59"/>
      <c r="BD771" s="59"/>
      <c r="BE771" s="59"/>
      <c r="BF771" s="59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59"/>
      <c r="BZ771" s="59"/>
      <c r="CA771" s="59"/>
      <c r="CB771" s="59"/>
      <c r="CC771" s="59"/>
      <c r="CD771" s="59"/>
      <c r="CE771" s="59"/>
      <c r="CF771" s="59"/>
      <c r="CG771" s="59"/>
      <c r="CH771" s="59"/>
      <c r="CI771" s="59"/>
      <c r="CJ771" s="59"/>
      <c r="CK771" s="59"/>
      <c r="CL771" s="59"/>
      <c r="CM771" s="59"/>
      <c r="CN771" s="59"/>
      <c r="CO771" s="59"/>
      <c r="CP771" s="59"/>
      <c r="CQ771" s="59"/>
      <c r="CR771" s="59"/>
      <c r="CS771" s="59"/>
      <c r="CT771" s="59"/>
      <c r="CU771" s="59"/>
      <c r="CV771" s="59"/>
      <c r="CW771" s="59"/>
      <c r="CX771" s="59"/>
      <c r="CY771" s="59"/>
      <c r="CZ771" s="59"/>
      <c r="DA771" s="59"/>
      <c r="DB771" s="59"/>
      <c r="DC771" s="59"/>
      <c r="DD771" s="59"/>
      <c r="DE771" s="59"/>
      <c r="DF771" s="59"/>
      <c r="DG771" s="59"/>
    </row>
    <row r="772" spans="1:111" ht="11.2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  <c r="AB772" s="59"/>
      <c r="AC772" s="59"/>
      <c r="AD772" s="59"/>
      <c r="AE772" s="59"/>
      <c r="AF772" s="59"/>
      <c r="AG772" s="59"/>
      <c r="AH772" s="59"/>
      <c r="AI772" s="59"/>
      <c r="AJ772" s="59"/>
      <c r="AK772" s="59"/>
      <c r="AL772" s="59"/>
      <c r="AM772" s="59"/>
      <c r="AN772" s="59"/>
      <c r="AO772" s="59"/>
      <c r="AP772" s="59"/>
      <c r="AQ772" s="59"/>
      <c r="AR772" s="59"/>
      <c r="AS772" s="59"/>
      <c r="AT772" s="59"/>
      <c r="AU772" s="59"/>
      <c r="AV772" s="59"/>
      <c r="AW772" s="59"/>
      <c r="AX772" s="59"/>
      <c r="AY772" s="59"/>
      <c r="AZ772" s="59"/>
      <c r="BA772" s="59"/>
      <c r="BB772" s="59"/>
      <c r="BC772" s="59"/>
      <c r="BD772" s="59"/>
      <c r="BE772" s="59"/>
      <c r="BF772" s="59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59"/>
      <c r="BZ772" s="59"/>
      <c r="CA772" s="59"/>
      <c r="CB772" s="59"/>
      <c r="CC772" s="59"/>
      <c r="CD772" s="59"/>
      <c r="CE772" s="59"/>
      <c r="CF772" s="59"/>
      <c r="CG772" s="59"/>
      <c r="CH772" s="59"/>
      <c r="CI772" s="59"/>
      <c r="CJ772" s="59"/>
      <c r="CK772" s="59"/>
      <c r="CL772" s="59"/>
      <c r="CM772" s="59"/>
      <c r="CN772" s="59"/>
      <c r="CO772" s="59"/>
      <c r="CP772" s="59"/>
      <c r="CQ772" s="59"/>
      <c r="CR772" s="59"/>
      <c r="CS772" s="59"/>
      <c r="CT772" s="59"/>
      <c r="CU772" s="59"/>
      <c r="CV772" s="59"/>
      <c r="CW772" s="59"/>
      <c r="CX772" s="59"/>
      <c r="CY772" s="59"/>
      <c r="CZ772" s="59"/>
      <c r="DA772" s="59"/>
      <c r="DB772" s="59"/>
      <c r="DC772" s="59"/>
      <c r="DD772" s="59"/>
      <c r="DE772" s="59"/>
      <c r="DF772" s="59"/>
      <c r="DG772" s="59"/>
    </row>
    <row r="773" spans="1:111" ht="11.2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  <c r="AB773" s="59"/>
      <c r="AC773" s="59"/>
      <c r="AD773" s="59"/>
      <c r="AE773" s="59"/>
      <c r="AF773" s="59"/>
      <c r="AG773" s="59"/>
      <c r="AH773" s="59"/>
      <c r="AI773" s="59"/>
      <c r="AJ773" s="59"/>
      <c r="AK773" s="59"/>
      <c r="AL773" s="59"/>
      <c r="AM773" s="59"/>
      <c r="AN773" s="59"/>
      <c r="AO773" s="59"/>
      <c r="AP773" s="59"/>
      <c r="AQ773" s="59"/>
      <c r="AR773" s="59"/>
      <c r="AS773" s="59"/>
      <c r="AT773" s="59"/>
      <c r="AU773" s="59"/>
      <c r="AV773" s="59"/>
      <c r="AW773" s="59"/>
      <c r="AX773" s="59"/>
      <c r="AY773" s="59"/>
      <c r="AZ773" s="59"/>
      <c r="BA773" s="59"/>
      <c r="BB773" s="59"/>
      <c r="BC773" s="59"/>
      <c r="BD773" s="59"/>
      <c r="BE773" s="59"/>
      <c r="BF773" s="59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59"/>
      <c r="BZ773" s="59"/>
      <c r="CA773" s="59"/>
      <c r="CB773" s="59"/>
      <c r="CC773" s="59"/>
      <c r="CD773" s="59"/>
      <c r="CE773" s="59"/>
      <c r="CF773" s="59"/>
      <c r="CG773" s="59"/>
      <c r="CH773" s="59"/>
      <c r="CI773" s="59"/>
      <c r="CJ773" s="59"/>
      <c r="CK773" s="59"/>
      <c r="CL773" s="59"/>
      <c r="CM773" s="59"/>
      <c r="CN773" s="59"/>
      <c r="CO773" s="59"/>
      <c r="CP773" s="59"/>
      <c r="CQ773" s="59"/>
      <c r="CR773" s="59"/>
      <c r="CS773" s="59"/>
      <c r="CT773" s="59"/>
      <c r="CU773" s="59"/>
      <c r="CV773" s="59"/>
      <c r="CW773" s="59"/>
      <c r="CX773" s="59"/>
      <c r="CY773" s="59"/>
      <c r="CZ773" s="59"/>
      <c r="DA773" s="59"/>
      <c r="DB773" s="59"/>
      <c r="DC773" s="59"/>
      <c r="DD773" s="59"/>
      <c r="DE773" s="59"/>
      <c r="DF773" s="59"/>
      <c r="DG773" s="59"/>
    </row>
    <row r="774" spans="1:111" ht="11.2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  <c r="AB774" s="59"/>
      <c r="AC774" s="59"/>
      <c r="AD774" s="59"/>
      <c r="AE774" s="59"/>
      <c r="AF774" s="59"/>
      <c r="AG774" s="59"/>
      <c r="AH774" s="59"/>
      <c r="AI774" s="59"/>
      <c r="AJ774" s="59"/>
      <c r="AK774" s="59"/>
      <c r="AL774" s="59"/>
      <c r="AM774" s="59"/>
      <c r="AN774" s="59"/>
      <c r="AO774" s="59"/>
      <c r="AP774" s="59"/>
      <c r="AQ774" s="59"/>
      <c r="AR774" s="59"/>
      <c r="AS774" s="59"/>
      <c r="AT774" s="59"/>
      <c r="AU774" s="59"/>
      <c r="AV774" s="59"/>
      <c r="AW774" s="59"/>
      <c r="AX774" s="59"/>
      <c r="AY774" s="59"/>
      <c r="AZ774" s="59"/>
      <c r="BA774" s="59"/>
      <c r="BB774" s="59"/>
      <c r="BC774" s="59"/>
      <c r="BD774" s="59"/>
      <c r="BE774" s="59"/>
      <c r="BF774" s="59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59"/>
      <c r="BZ774" s="59"/>
      <c r="CA774" s="59"/>
      <c r="CB774" s="59"/>
      <c r="CC774" s="59"/>
      <c r="CD774" s="59"/>
      <c r="CE774" s="59"/>
      <c r="CF774" s="59"/>
      <c r="CG774" s="59"/>
      <c r="CH774" s="59"/>
      <c r="CI774" s="59"/>
      <c r="CJ774" s="59"/>
      <c r="CK774" s="59"/>
      <c r="CL774" s="59"/>
      <c r="CM774" s="59"/>
      <c r="CN774" s="59"/>
      <c r="CO774" s="59"/>
      <c r="CP774" s="59"/>
      <c r="CQ774" s="59"/>
      <c r="CR774" s="59"/>
      <c r="CS774" s="59"/>
      <c r="CT774" s="59"/>
      <c r="CU774" s="59"/>
      <c r="CV774" s="59"/>
      <c r="CW774" s="59"/>
      <c r="CX774" s="59"/>
      <c r="CY774" s="59"/>
      <c r="CZ774" s="59"/>
      <c r="DA774" s="59"/>
      <c r="DB774" s="59"/>
      <c r="DC774" s="59"/>
      <c r="DD774" s="59"/>
      <c r="DE774" s="59"/>
      <c r="DF774" s="59"/>
      <c r="DG774" s="59"/>
    </row>
    <row r="775" spans="1:111" ht="11.2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  <c r="AJ775" s="59"/>
      <c r="AK775" s="59"/>
      <c r="AL775" s="59"/>
      <c r="AM775" s="59"/>
      <c r="AN775" s="59"/>
      <c r="AO775" s="59"/>
      <c r="AP775" s="59"/>
      <c r="AQ775" s="59"/>
      <c r="AR775" s="59"/>
      <c r="AS775" s="59"/>
      <c r="AT775" s="59"/>
      <c r="AU775" s="59"/>
      <c r="AV775" s="59"/>
      <c r="AW775" s="59"/>
      <c r="AX775" s="59"/>
      <c r="AY775" s="59"/>
      <c r="AZ775" s="59"/>
      <c r="BA775" s="59"/>
      <c r="BB775" s="59"/>
      <c r="BC775" s="59"/>
      <c r="BD775" s="59"/>
      <c r="BE775" s="59"/>
      <c r="BF775" s="59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59"/>
      <c r="BZ775" s="59"/>
      <c r="CA775" s="59"/>
      <c r="CB775" s="59"/>
      <c r="CC775" s="59"/>
      <c r="CD775" s="59"/>
      <c r="CE775" s="59"/>
      <c r="CF775" s="59"/>
      <c r="CG775" s="59"/>
      <c r="CH775" s="59"/>
      <c r="CI775" s="59"/>
      <c r="CJ775" s="59"/>
      <c r="CK775" s="59"/>
      <c r="CL775" s="59"/>
      <c r="CM775" s="59"/>
      <c r="CN775" s="59"/>
      <c r="CO775" s="59"/>
      <c r="CP775" s="59"/>
      <c r="CQ775" s="59"/>
      <c r="CR775" s="59"/>
      <c r="CS775" s="59"/>
      <c r="CT775" s="59"/>
      <c r="CU775" s="59"/>
      <c r="CV775" s="59"/>
      <c r="CW775" s="59"/>
      <c r="CX775" s="59"/>
      <c r="CY775" s="59"/>
      <c r="CZ775" s="59"/>
      <c r="DA775" s="59"/>
      <c r="DB775" s="59"/>
      <c r="DC775" s="59"/>
      <c r="DD775" s="59"/>
      <c r="DE775" s="59"/>
      <c r="DF775" s="59"/>
      <c r="DG775" s="59"/>
    </row>
    <row r="776" spans="1:111" ht="11.2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  <c r="AB776" s="59"/>
      <c r="AC776" s="59"/>
      <c r="AD776" s="59"/>
      <c r="AE776" s="59"/>
      <c r="AF776" s="59"/>
      <c r="AG776" s="59"/>
      <c r="AH776" s="59"/>
      <c r="AI776" s="59"/>
      <c r="AJ776" s="59"/>
      <c r="AK776" s="59"/>
      <c r="AL776" s="59"/>
      <c r="AM776" s="59"/>
      <c r="AN776" s="59"/>
      <c r="AO776" s="59"/>
      <c r="AP776" s="59"/>
      <c r="AQ776" s="59"/>
      <c r="AR776" s="59"/>
      <c r="AS776" s="59"/>
      <c r="AT776" s="59"/>
      <c r="AU776" s="59"/>
      <c r="AV776" s="59"/>
      <c r="AW776" s="59"/>
      <c r="AX776" s="59"/>
      <c r="AY776" s="59"/>
      <c r="AZ776" s="59"/>
      <c r="BA776" s="59"/>
      <c r="BB776" s="59"/>
      <c r="BC776" s="59"/>
      <c r="BD776" s="59"/>
      <c r="BE776" s="59"/>
      <c r="BF776" s="59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59"/>
      <c r="BZ776" s="59"/>
      <c r="CA776" s="59"/>
      <c r="CB776" s="59"/>
      <c r="CC776" s="59"/>
      <c r="CD776" s="59"/>
      <c r="CE776" s="59"/>
      <c r="CF776" s="59"/>
      <c r="CG776" s="59"/>
      <c r="CH776" s="59"/>
      <c r="CI776" s="59"/>
      <c r="CJ776" s="59"/>
      <c r="CK776" s="59"/>
      <c r="CL776" s="59"/>
      <c r="CM776" s="59"/>
      <c r="CN776" s="59"/>
      <c r="CO776" s="59"/>
      <c r="CP776" s="59"/>
      <c r="CQ776" s="59"/>
      <c r="CR776" s="59"/>
      <c r="CS776" s="59"/>
      <c r="CT776" s="59"/>
      <c r="CU776" s="59"/>
      <c r="CV776" s="59"/>
      <c r="CW776" s="59"/>
      <c r="CX776" s="59"/>
      <c r="CY776" s="59"/>
      <c r="CZ776" s="59"/>
      <c r="DA776" s="59"/>
      <c r="DB776" s="59"/>
      <c r="DC776" s="59"/>
      <c r="DD776" s="59"/>
      <c r="DE776" s="59"/>
      <c r="DF776" s="59"/>
      <c r="DG776" s="59"/>
    </row>
    <row r="777" spans="1:111" ht="11.2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  <c r="AB777" s="59"/>
      <c r="AC777" s="59"/>
      <c r="AD777" s="59"/>
      <c r="AE777" s="59"/>
      <c r="AF777" s="59"/>
      <c r="AG777" s="59"/>
      <c r="AH777" s="59"/>
      <c r="AI777" s="59"/>
      <c r="AJ777" s="59"/>
      <c r="AK777" s="59"/>
      <c r="AL777" s="59"/>
      <c r="AM777" s="59"/>
      <c r="AN777" s="59"/>
      <c r="AO777" s="59"/>
      <c r="AP777" s="59"/>
      <c r="AQ777" s="59"/>
      <c r="AR777" s="59"/>
      <c r="AS777" s="59"/>
      <c r="AT777" s="59"/>
      <c r="AU777" s="59"/>
      <c r="AV777" s="59"/>
      <c r="AW777" s="59"/>
      <c r="AX777" s="59"/>
      <c r="AY777" s="59"/>
      <c r="AZ777" s="59"/>
      <c r="BA777" s="59"/>
      <c r="BB777" s="59"/>
      <c r="BC777" s="59"/>
      <c r="BD777" s="59"/>
      <c r="BE777" s="59"/>
      <c r="BF777" s="59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59"/>
      <c r="BZ777" s="59"/>
      <c r="CA777" s="59"/>
      <c r="CB777" s="59"/>
      <c r="CC777" s="59"/>
      <c r="CD777" s="59"/>
      <c r="CE777" s="59"/>
      <c r="CF777" s="59"/>
      <c r="CG777" s="59"/>
      <c r="CH777" s="59"/>
      <c r="CI777" s="59"/>
      <c r="CJ777" s="59"/>
      <c r="CK777" s="59"/>
      <c r="CL777" s="59"/>
      <c r="CM777" s="59"/>
      <c r="CN777" s="59"/>
      <c r="CO777" s="59"/>
      <c r="CP777" s="59"/>
      <c r="CQ777" s="59"/>
      <c r="CR777" s="59"/>
      <c r="CS777" s="59"/>
      <c r="CT777" s="59"/>
      <c r="CU777" s="59"/>
      <c r="CV777" s="59"/>
      <c r="CW777" s="59"/>
      <c r="CX777" s="59"/>
      <c r="CY777" s="59"/>
      <c r="CZ777" s="59"/>
      <c r="DA777" s="59"/>
      <c r="DB777" s="59"/>
      <c r="DC777" s="59"/>
      <c r="DD777" s="59"/>
      <c r="DE777" s="59"/>
      <c r="DF777" s="59"/>
      <c r="DG777" s="59"/>
    </row>
    <row r="778" spans="1:111" ht="11.2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  <c r="AB778" s="59"/>
      <c r="AC778" s="59"/>
      <c r="AD778" s="59"/>
      <c r="AE778" s="59"/>
      <c r="AF778" s="59"/>
      <c r="AG778" s="59"/>
      <c r="AH778" s="59"/>
      <c r="AI778" s="59"/>
      <c r="AJ778" s="59"/>
      <c r="AK778" s="59"/>
      <c r="AL778" s="59"/>
      <c r="AM778" s="59"/>
      <c r="AN778" s="59"/>
      <c r="AO778" s="59"/>
      <c r="AP778" s="59"/>
      <c r="AQ778" s="59"/>
      <c r="AR778" s="59"/>
      <c r="AS778" s="59"/>
      <c r="AT778" s="59"/>
      <c r="AU778" s="59"/>
      <c r="AV778" s="59"/>
      <c r="AW778" s="59"/>
      <c r="AX778" s="59"/>
      <c r="AY778" s="59"/>
      <c r="AZ778" s="59"/>
      <c r="BA778" s="59"/>
      <c r="BB778" s="59"/>
      <c r="BC778" s="59"/>
      <c r="BD778" s="59"/>
      <c r="BE778" s="59"/>
      <c r="BF778" s="59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59"/>
      <c r="BZ778" s="59"/>
      <c r="CA778" s="59"/>
      <c r="CB778" s="59"/>
      <c r="CC778" s="59"/>
      <c r="CD778" s="59"/>
      <c r="CE778" s="59"/>
      <c r="CF778" s="59"/>
      <c r="CG778" s="59"/>
      <c r="CH778" s="59"/>
      <c r="CI778" s="59"/>
      <c r="CJ778" s="59"/>
      <c r="CK778" s="59"/>
      <c r="CL778" s="59"/>
      <c r="CM778" s="59"/>
      <c r="CN778" s="59"/>
      <c r="CO778" s="59"/>
      <c r="CP778" s="59"/>
      <c r="CQ778" s="59"/>
      <c r="CR778" s="59"/>
      <c r="CS778" s="59"/>
      <c r="CT778" s="59"/>
      <c r="CU778" s="59"/>
      <c r="CV778" s="59"/>
      <c r="CW778" s="59"/>
      <c r="CX778" s="59"/>
      <c r="CY778" s="59"/>
      <c r="CZ778" s="59"/>
      <c r="DA778" s="59"/>
      <c r="DB778" s="59"/>
      <c r="DC778" s="59"/>
      <c r="DD778" s="59"/>
      <c r="DE778" s="59"/>
      <c r="DF778" s="59"/>
      <c r="DG778" s="59"/>
    </row>
    <row r="779" spans="1:111" ht="11.2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  <c r="AB779" s="59"/>
      <c r="AC779" s="59"/>
      <c r="AD779" s="59"/>
      <c r="AE779" s="59"/>
      <c r="AF779" s="59"/>
      <c r="AG779" s="59"/>
      <c r="AH779" s="59"/>
      <c r="AI779" s="59"/>
      <c r="AJ779" s="59"/>
      <c r="AK779" s="59"/>
      <c r="AL779" s="59"/>
      <c r="AM779" s="59"/>
      <c r="AN779" s="59"/>
      <c r="AO779" s="59"/>
      <c r="AP779" s="59"/>
      <c r="AQ779" s="59"/>
      <c r="AR779" s="59"/>
      <c r="AS779" s="59"/>
      <c r="AT779" s="59"/>
      <c r="AU779" s="59"/>
      <c r="AV779" s="59"/>
      <c r="AW779" s="59"/>
      <c r="AX779" s="59"/>
      <c r="AY779" s="59"/>
      <c r="AZ779" s="59"/>
      <c r="BA779" s="59"/>
      <c r="BB779" s="59"/>
      <c r="BC779" s="59"/>
      <c r="BD779" s="59"/>
      <c r="BE779" s="59"/>
      <c r="BF779" s="59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59"/>
      <c r="BZ779" s="59"/>
      <c r="CA779" s="59"/>
      <c r="CB779" s="59"/>
      <c r="CC779" s="59"/>
      <c r="CD779" s="59"/>
      <c r="CE779" s="59"/>
      <c r="CF779" s="59"/>
      <c r="CG779" s="59"/>
      <c r="CH779" s="59"/>
      <c r="CI779" s="59"/>
      <c r="CJ779" s="59"/>
      <c r="CK779" s="59"/>
      <c r="CL779" s="59"/>
      <c r="CM779" s="59"/>
      <c r="CN779" s="59"/>
      <c r="CO779" s="59"/>
      <c r="CP779" s="59"/>
      <c r="CQ779" s="59"/>
      <c r="CR779" s="59"/>
      <c r="CS779" s="59"/>
      <c r="CT779" s="59"/>
      <c r="CU779" s="59"/>
      <c r="CV779" s="59"/>
      <c r="CW779" s="59"/>
      <c r="CX779" s="59"/>
      <c r="CY779" s="59"/>
      <c r="CZ779" s="59"/>
      <c r="DA779" s="59"/>
      <c r="DB779" s="59"/>
      <c r="DC779" s="59"/>
      <c r="DD779" s="59"/>
      <c r="DE779" s="59"/>
      <c r="DF779" s="59"/>
      <c r="DG779" s="59"/>
    </row>
    <row r="780" spans="1:111" ht="11.2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  <c r="AJ780" s="59"/>
      <c r="AK780" s="59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59"/>
      <c r="BB780" s="59"/>
      <c r="BC780" s="59"/>
      <c r="BD780" s="59"/>
      <c r="BE780" s="59"/>
      <c r="BF780" s="59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59"/>
      <c r="BZ780" s="59"/>
      <c r="CA780" s="59"/>
      <c r="CB780" s="59"/>
      <c r="CC780" s="59"/>
      <c r="CD780" s="59"/>
      <c r="CE780" s="59"/>
      <c r="CF780" s="59"/>
      <c r="CG780" s="59"/>
      <c r="CH780" s="59"/>
      <c r="CI780" s="59"/>
      <c r="CJ780" s="59"/>
      <c r="CK780" s="59"/>
      <c r="CL780" s="59"/>
      <c r="CM780" s="59"/>
      <c r="CN780" s="59"/>
      <c r="CO780" s="59"/>
      <c r="CP780" s="59"/>
      <c r="CQ780" s="59"/>
      <c r="CR780" s="59"/>
      <c r="CS780" s="59"/>
      <c r="CT780" s="59"/>
      <c r="CU780" s="59"/>
      <c r="CV780" s="59"/>
      <c r="CW780" s="59"/>
      <c r="CX780" s="59"/>
      <c r="CY780" s="59"/>
      <c r="CZ780" s="59"/>
      <c r="DA780" s="59"/>
      <c r="DB780" s="59"/>
      <c r="DC780" s="59"/>
      <c r="DD780" s="59"/>
      <c r="DE780" s="59"/>
      <c r="DF780" s="59"/>
      <c r="DG780" s="59"/>
    </row>
    <row r="781" spans="1:111" ht="11.2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  <c r="BC781" s="59"/>
      <c r="BD781" s="59"/>
      <c r="BE781" s="59"/>
      <c r="BF781" s="59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59"/>
      <c r="BZ781" s="59"/>
      <c r="CA781" s="59"/>
      <c r="CB781" s="59"/>
      <c r="CC781" s="59"/>
      <c r="CD781" s="59"/>
      <c r="CE781" s="59"/>
      <c r="CF781" s="59"/>
      <c r="CG781" s="59"/>
      <c r="CH781" s="59"/>
      <c r="CI781" s="59"/>
      <c r="CJ781" s="59"/>
      <c r="CK781" s="59"/>
      <c r="CL781" s="59"/>
      <c r="CM781" s="59"/>
      <c r="CN781" s="59"/>
      <c r="CO781" s="59"/>
      <c r="CP781" s="59"/>
      <c r="CQ781" s="59"/>
      <c r="CR781" s="59"/>
      <c r="CS781" s="59"/>
      <c r="CT781" s="59"/>
      <c r="CU781" s="59"/>
      <c r="CV781" s="59"/>
      <c r="CW781" s="59"/>
      <c r="CX781" s="59"/>
      <c r="CY781" s="59"/>
      <c r="CZ781" s="59"/>
      <c r="DA781" s="59"/>
      <c r="DB781" s="59"/>
      <c r="DC781" s="59"/>
      <c r="DD781" s="59"/>
      <c r="DE781" s="59"/>
      <c r="DF781" s="59"/>
      <c r="DG781" s="59"/>
    </row>
    <row r="782" spans="1:111" ht="11.2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  <c r="AB782" s="59"/>
      <c r="AC782" s="59"/>
      <c r="AD782" s="59"/>
      <c r="AE782" s="59"/>
      <c r="AF782" s="59"/>
      <c r="AG782" s="59"/>
      <c r="AH782" s="59"/>
      <c r="AI782" s="59"/>
      <c r="AJ782" s="59"/>
      <c r="AK782" s="59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9"/>
      <c r="AW782" s="59"/>
      <c r="AX782" s="59"/>
      <c r="AY782" s="59"/>
      <c r="AZ782" s="59"/>
      <c r="BA782" s="59"/>
      <c r="BB782" s="59"/>
      <c r="BC782" s="59"/>
      <c r="BD782" s="59"/>
      <c r="BE782" s="59"/>
      <c r="BF782" s="59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59"/>
      <c r="BZ782" s="59"/>
      <c r="CA782" s="59"/>
      <c r="CB782" s="59"/>
      <c r="CC782" s="59"/>
      <c r="CD782" s="59"/>
      <c r="CE782" s="59"/>
      <c r="CF782" s="59"/>
      <c r="CG782" s="59"/>
      <c r="CH782" s="59"/>
      <c r="CI782" s="59"/>
      <c r="CJ782" s="59"/>
      <c r="CK782" s="59"/>
      <c r="CL782" s="59"/>
      <c r="CM782" s="59"/>
      <c r="CN782" s="59"/>
      <c r="CO782" s="59"/>
      <c r="CP782" s="59"/>
      <c r="CQ782" s="59"/>
      <c r="CR782" s="59"/>
      <c r="CS782" s="59"/>
      <c r="CT782" s="59"/>
      <c r="CU782" s="59"/>
      <c r="CV782" s="59"/>
      <c r="CW782" s="59"/>
      <c r="CX782" s="59"/>
      <c r="CY782" s="59"/>
      <c r="CZ782" s="59"/>
      <c r="DA782" s="59"/>
      <c r="DB782" s="59"/>
      <c r="DC782" s="59"/>
      <c r="DD782" s="59"/>
      <c r="DE782" s="59"/>
      <c r="DF782" s="59"/>
      <c r="DG782" s="59"/>
    </row>
    <row r="783" spans="1:111" ht="11.2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  <c r="AB783" s="59"/>
      <c r="AC783" s="59"/>
      <c r="AD783" s="59"/>
      <c r="AE783" s="59"/>
      <c r="AF783" s="59"/>
      <c r="AG783" s="59"/>
      <c r="AH783" s="59"/>
      <c r="AI783" s="59"/>
      <c r="AJ783" s="59"/>
      <c r="AK783" s="59"/>
      <c r="AL783" s="59"/>
      <c r="AM783" s="59"/>
      <c r="AN783" s="59"/>
      <c r="AO783" s="59"/>
      <c r="AP783" s="59"/>
      <c r="AQ783" s="59"/>
      <c r="AR783" s="59"/>
      <c r="AS783" s="59"/>
      <c r="AT783" s="59"/>
      <c r="AU783" s="59"/>
      <c r="AV783" s="59"/>
      <c r="AW783" s="59"/>
      <c r="AX783" s="59"/>
      <c r="AY783" s="59"/>
      <c r="AZ783" s="59"/>
      <c r="BA783" s="59"/>
      <c r="BB783" s="59"/>
      <c r="BC783" s="59"/>
      <c r="BD783" s="59"/>
      <c r="BE783" s="59"/>
      <c r="BF783" s="59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59"/>
      <c r="BZ783" s="59"/>
      <c r="CA783" s="59"/>
      <c r="CB783" s="59"/>
      <c r="CC783" s="59"/>
      <c r="CD783" s="59"/>
      <c r="CE783" s="59"/>
      <c r="CF783" s="59"/>
      <c r="CG783" s="59"/>
      <c r="CH783" s="59"/>
      <c r="CI783" s="59"/>
      <c r="CJ783" s="59"/>
      <c r="CK783" s="59"/>
      <c r="CL783" s="59"/>
      <c r="CM783" s="59"/>
      <c r="CN783" s="59"/>
      <c r="CO783" s="59"/>
      <c r="CP783" s="59"/>
      <c r="CQ783" s="59"/>
      <c r="CR783" s="59"/>
      <c r="CS783" s="59"/>
      <c r="CT783" s="59"/>
      <c r="CU783" s="59"/>
      <c r="CV783" s="59"/>
      <c r="CW783" s="59"/>
      <c r="CX783" s="59"/>
      <c r="CY783" s="59"/>
      <c r="CZ783" s="59"/>
      <c r="DA783" s="59"/>
      <c r="DB783" s="59"/>
      <c r="DC783" s="59"/>
      <c r="DD783" s="59"/>
      <c r="DE783" s="59"/>
      <c r="DF783" s="59"/>
      <c r="DG783" s="59"/>
    </row>
    <row r="784" spans="1:111" ht="11.2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  <c r="AB784" s="59"/>
      <c r="AC784" s="59"/>
      <c r="AD784" s="59"/>
      <c r="AE784" s="59"/>
      <c r="AF784" s="59"/>
      <c r="AG784" s="59"/>
      <c r="AH784" s="59"/>
      <c r="AI784" s="59"/>
      <c r="AJ784" s="59"/>
      <c r="AK784" s="59"/>
      <c r="AL784" s="59"/>
      <c r="AM784" s="59"/>
      <c r="AN784" s="59"/>
      <c r="AO784" s="59"/>
      <c r="AP784" s="59"/>
      <c r="AQ784" s="59"/>
      <c r="AR784" s="59"/>
      <c r="AS784" s="59"/>
      <c r="AT784" s="59"/>
      <c r="AU784" s="59"/>
      <c r="AV784" s="59"/>
      <c r="AW784" s="59"/>
      <c r="AX784" s="59"/>
      <c r="AY784" s="59"/>
      <c r="AZ784" s="59"/>
      <c r="BA784" s="59"/>
      <c r="BB784" s="59"/>
      <c r="BC784" s="59"/>
      <c r="BD784" s="59"/>
      <c r="BE784" s="59"/>
      <c r="BF784" s="59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59"/>
      <c r="BZ784" s="59"/>
      <c r="CA784" s="59"/>
      <c r="CB784" s="59"/>
      <c r="CC784" s="59"/>
      <c r="CD784" s="59"/>
      <c r="CE784" s="59"/>
      <c r="CF784" s="59"/>
      <c r="CG784" s="59"/>
      <c r="CH784" s="59"/>
      <c r="CI784" s="59"/>
      <c r="CJ784" s="59"/>
      <c r="CK784" s="59"/>
      <c r="CL784" s="59"/>
      <c r="CM784" s="59"/>
      <c r="CN784" s="59"/>
      <c r="CO784" s="59"/>
      <c r="CP784" s="59"/>
      <c r="CQ784" s="59"/>
      <c r="CR784" s="59"/>
      <c r="CS784" s="59"/>
      <c r="CT784" s="59"/>
      <c r="CU784" s="59"/>
      <c r="CV784" s="59"/>
      <c r="CW784" s="59"/>
      <c r="CX784" s="59"/>
      <c r="CY784" s="59"/>
      <c r="CZ784" s="59"/>
      <c r="DA784" s="59"/>
      <c r="DB784" s="59"/>
      <c r="DC784" s="59"/>
      <c r="DD784" s="59"/>
      <c r="DE784" s="59"/>
      <c r="DF784" s="59"/>
      <c r="DG784" s="59"/>
    </row>
    <row r="785" spans="1:111" ht="11.2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  <c r="AJ785" s="59"/>
      <c r="AK785" s="59"/>
      <c r="AL785" s="59"/>
      <c r="AM785" s="59"/>
      <c r="AN785" s="59"/>
      <c r="AO785" s="59"/>
      <c r="AP785" s="59"/>
      <c r="AQ785" s="59"/>
      <c r="AR785" s="59"/>
      <c r="AS785" s="59"/>
      <c r="AT785" s="59"/>
      <c r="AU785" s="59"/>
      <c r="AV785" s="59"/>
      <c r="AW785" s="59"/>
      <c r="AX785" s="59"/>
      <c r="AY785" s="59"/>
      <c r="AZ785" s="59"/>
      <c r="BA785" s="59"/>
      <c r="BB785" s="59"/>
      <c r="BC785" s="59"/>
      <c r="BD785" s="59"/>
      <c r="BE785" s="59"/>
      <c r="BF785" s="59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59"/>
      <c r="BZ785" s="59"/>
      <c r="CA785" s="59"/>
      <c r="CB785" s="59"/>
      <c r="CC785" s="59"/>
      <c r="CD785" s="59"/>
      <c r="CE785" s="59"/>
      <c r="CF785" s="59"/>
      <c r="CG785" s="59"/>
      <c r="CH785" s="59"/>
      <c r="CI785" s="59"/>
      <c r="CJ785" s="59"/>
      <c r="CK785" s="59"/>
      <c r="CL785" s="59"/>
      <c r="CM785" s="59"/>
      <c r="CN785" s="59"/>
      <c r="CO785" s="59"/>
      <c r="CP785" s="59"/>
      <c r="CQ785" s="59"/>
      <c r="CR785" s="59"/>
      <c r="CS785" s="59"/>
      <c r="CT785" s="59"/>
      <c r="CU785" s="59"/>
      <c r="CV785" s="59"/>
      <c r="CW785" s="59"/>
      <c r="CX785" s="59"/>
      <c r="CY785" s="59"/>
      <c r="CZ785" s="59"/>
      <c r="DA785" s="59"/>
      <c r="DB785" s="59"/>
      <c r="DC785" s="59"/>
      <c r="DD785" s="59"/>
      <c r="DE785" s="59"/>
      <c r="DF785" s="59"/>
      <c r="DG785" s="59"/>
    </row>
    <row r="786" spans="1:111" ht="11.2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  <c r="AB786" s="59"/>
      <c r="AC786" s="59"/>
      <c r="AD786" s="59"/>
      <c r="AE786" s="59"/>
      <c r="AF786" s="59"/>
      <c r="AG786" s="59"/>
      <c r="AH786" s="59"/>
      <c r="AI786" s="59"/>
      <c r="AJ786" s="59"/>
      <c r="AK786" s="59"/>
      <c r="AL786" s="59"/>
      <c r="AM786" s="59"/>
      <c r="AN786" s="59"/>
      <c r="AO786" s="59"/>
      <c r="AP786" s="59"/>
      <c r="AQ786" s="59"/>
      <c r="AR786" s="59"/>
      <c r="AS786" s="59"/>
      <c r="AT786" s="59"/>
      <c r="AU786" s="59"/>
      <c r="AV786" s="59"/>
      <c r="AW786" s="59"/>
      <c r="AX786" s="59"/>
      <c r="AY786" s="59"/>
      <c r="AZ786" s="59"/>
      <c r="BA786" s="59"/>
      <c r="BB786" s="59"/>
      <c r="BC786" s="59"/>
      <c r="BD786" s="59"/>
      <c r="BE786" s="59"/>
      <c r="BF786" s="59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59"/>
      <c r="BZ786" s="59"/>
      <c r="CA786" s="59"/>
      <c r="CB786" s="59"/>
      <c r="CC786" s="59"/>
      <c r="CD786" s="59"/>
      <c r="CE786" s="59"/>
      <c r="CF786" s="59"/>
      <c r="CG786" s="59"/>
      <c r="CH786" s="59"/>
      <c r="CI786" s="59"/>
      <c r="CJ786" s="59"/>
      <c r="CK786" s="59"/>
      <c r="CL786" s="59"/>
      <c r="CM786" s="59"/>
      <c r="CN786" s="59"/>
      <c r="CO786" s="59"/>
      <c r="CP786" s="59"/>
      <c r="CQ786" s="59"/>
      <c r="CR786" s="59"/>
      <c r="CS786" s="59"/>
      <c r="CT786" s="59"/>
      <c r="CU786" s="59"/>
      <c r="CV786" s="59"/>
      <c r="CW786" s="59"/>
      <c r="CX786" s="59"/>
      <c r="CY786" s="59"/>
      <c r="CZ786" s="59"/>
      <c r="DA786" s="59"/>
      <c r="DB786" s="59"/>
      <c r="DC786" s="59"/>
      <c r="DD786" s="59"/>
      <c r="DE786" s="59"/>
      <c r="DF786" s="59"/>
      <c r="DG786" s="59"/>
    </row>
    <row r="787" spans="1:111" ht="11.2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  <c r="AB787" s="59"/>
      <c r="AC787" s="59"/>
      <c r="AD787" s="59"/>
      <c r="AE787" s="59"/>
      <c r="AF787" s="59"/>
      <c r="AG787" s="59"/>
      <c r="AH787" s="59"/>
      <c r="AI787" s="59"/>
      <c r="AJ787" s="59"/>
      <c r="AK787" s="59"/>
      <c r="AL787" s="59"/>
      <c r="AM787" s="59"/>
      <c r="AN787" s="59"/>
      <c r="AO787" s="59"/>
      <c r="AP787" s="59"/>
      <c r="AQ787" s="59"/>
      <c r="AR787" s="59"/>
      <c r="AS787" s="59"/>
      <c r="AT787" s="59"/>
      <c r="AU787" s="59"/>
      <c r="AV787" s="59"/>
      <c r="AW787" s="59"/>
      <c r="AX787" s="59"/>
      <c r="AY787" s="59"/>
      <c r="AZ787" s="59"/>
      <c r="BA787" s="59"/>
      <c r="BB787" s="59"/>
      <c r="BC787" s="59"/>
      <c r="BD787" s="59"/>
      <c r="BE787" s="59"/>
      <c r="BF787" s="59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59"/>
      <c r="BZ787" s="59"/>
      <c r="CA787" s="59"/>
      <c r="CB787" s="59"/>
      <c r="CC787" s="59"/>
      <c r="CD787" s="59"/>
      <c r="CE787" s="59"/>
      <c r="CF787" s="59"/>
      <c r="CG787" s="59"/>
      <c r="CH787" s="59"/>
      <c r="CI787" s="59"/>
      <c r="CJ787" s="59"/>
      <c r="CK787" s="59"/>
      <c r="CL787" s="59"/>
      <c r="CM787" s="59"/>
      <c r="CN787" s="59"/>
      <c r="CO787" s="59"/>
      <c r="CP787" s="59"/>
      <c r="CQ787" s="59"/>
      <c r="CR787" s="59"/>
      <c r="CS787" s="59"/>
      <c r="CT787" s="59"/>
      <c r="CU787" s="59"/>
      <c r="CV787" s="59"/>
      <c r="CW787" s="59"/>
      <c r="CX787" s="59"/>
      <c r="CY787" s="59"/>
      <c r="CZ787" s="59"/>
      <c r="DA787" s="59"/>
      <c r="DB787" s="59"/>
      <c r="DC787" s="59"/>
      <c r="DD787" s="59"/>
      <c r="DE787" s="59"/>
      <c r="DF787" s="59"/>
      <c r="DG787" s="59"/>
    </row>
    <row r="788" spans="1:111" ht="11.2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  <c r="AB788" s="59"/>
      <c r="AC788" s="59"/>
      <c r="AD788" s="59"/>
      <c r="AE788" s="59"/>
      <c r="AF788" s="59"/>
      <c r="AG788" s="59"/>
      <c r="AH788" s="59"/>
      <c r="AI788" s="59"/>
      <c r="AJ788" s="59"/>
      <c r="AK788" s="59"/>
      <c r="AL788" s="59"/>
      <c r="AM788" s="59"/>
      <c r="AN788" s="59"/>
      <c r="AO788" s="59"/>
      <c r="AP788" s="59"/>
      <c r="AQ788" s="59"/>
      <c r="AR788" s="59"/>
      <c r="AS788" s="59"/>
      <c r="AT788" s="59"/>
      <c r="AU788" s="59"/>
      <c r="AV788" s="59"/>
      <c r="AW788" s="59"/>
      <c r="AX788" s="59"/>
      <c r="AY788" s="59"/>
      <c r="AZ788" s="59"/>
      <c r="BA788" s="59"/>
      <c r="BB788" s="59"/>
      <c r="BC788" s="59"/>
      <c r="BD788" s="59"/>
      <c r="BE788" s="59"/>
      <c r="BF788" s="59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59"/>
      <c r="BZ788" s="59"/>
      <c r="CA788" s="59"/>
      <c r="CB788" s="59"/>
      <c r="CC788" s="59"/>
      <c r="CD788" s="59"/>
      <c r="CE788" s="59"/>
      <c r="CF788" s="59"/>
      <c r="CG788" s="59"/>
      <c r="CH788" s="59"/>
      <c r="CI788" s="59"/>
      <c r="CJ788" s="59"/>
      <c r="CK788" s="59"/>
      <c r="CL788" s="59"/>
      <c r="CM788" s="59"/>
      <c r="CN788" s="59"/>
      <c r="CO788" s="59"/>
      <c r="CP788" s="59"/>
      <c r="CQ788" s="59"/>
      <c r="CR788" s="59"/>
      <c r="CS788" s="59"/>
      <c r="CT788" s="59"/>
      <c r="CU788" s="59"/>
      <c r="CV788" s="59"/>
      <c r="CW788" s="59"/>
      <c r="CX788" s="59"/>
      <c r="CY788" s="59"/>
      <c r="CZ788" s="59"/>
      <c r="DA788" s="59"/>
      <c r="DB788" s="59"/>
      <c r="DC788" s="59"/>
      <c r="DD788" s="59"/>
      <c r="DE788" s="59"/>
      <c r="DF788" s="59"/>
      <c r="DG788" s="59"/>
    </row>
    <row r="789" spans="1:111" ht="11.2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  <c r="AB789" s="59"/>
      <c r="AC789" s="59"/>
      <c r="AD789" s="59"/>
      <c r="AE789" s="59"/>
      <c r="AF789" s="59"/>
      <c r="AG789" s="59"/>
      <c r="AH789" s="59"/>
      <c r="AI789" s="59"/>
      <c r="AJ789" s="59"/>
      <c r="AK789" s="59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9"/>
      <c r="AW789" s="59"/>
      <c r="AX789" s="59"/>
      <c r="AY789" s="59"/>
      <c r="AZ789" s="59"/>
      <c r="BA789" s="59"/>
      <c r="BB789" s="59"/>
      <c r="BC789" s="59"/>
      <c r="BD789" s="59"/>
      <c r="BE789" s="59"/>
      <c r="BF789" s="59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59"/>
      <c r="BZ789" s="59"/>
      <c r="CA789" s="59"/>
      <c r="CB789" s="59"/>
      <c r="CC789" s="59"/>
      <c r="CD789" s="59"/>
      <c r="CE789" s="59"/>
      <c r="CF789" s="59"/>
      <c r="CG789" s="59"/>
      <c r="CH789" s="59"/>
      <c r="CI789" s="59"/>
      <c r="CJ789" s="59"/>
      <c r="CK789" s="59"/>
      <c r="CL789" s="59"/>
      <c r="CM789" s="59"/>
      <c r="CN789" s="59"/>
      <c r="CO789" s="59"/>
      <c r="CP789" s="59"/>
      <c r="CQ789" s="59"/>
      <c r="CR789" s="59"/>
      <c r="CS789" s="59"/>
      <c r="CT789" s="59"/>
      <c r="CU789" s="59"/>
      <c r="CV789" s="59"/>
      <c r="CW789" s="59"/>
      <c r="CX789" s="59"/>
      <c r="CY789" s="59"/>
      <c r="CZ789" s="59"/>
      <c r="DA789" s="59"/>
      <c r="DB789" s="59"/>
      <c r="DC789" s="59"/>
      <c r="DD789" s="59"/>
      <c r="DE789" s="59"/>
      <c r="DF789" s="59"/>
      <c r="DG789" s="59"/>
    </row>
    <row r="790" spans="1:111" ht="11.2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  <c r="AB790" s="59"/>
      <c r="AC790" s="59"/>
      <c r="AD790" s="59"/>
      <c r="AE790" s="59"/>
      <c r="AF790" s="59"/>
      <c r="AG790" s="59"/>
      <c r="AH790" s="59"/>
      <c r="AI790" s="59"/>
      <c r="AJ790" s="59"/>
      <c r="AK790" s="59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9"/>
      <c r="AW790" s="59"/>
      <c r="AX790" s="59"/>
      <c r="AY790" s="59"/>
      <c r="AZ790" s="59"/>
      <c r="BA790" s="59"/>
      <c r="BB790" s="59"/>
      <c r="BC790" s="59"/>
      <c r="BD790" s="59"/>
      <c r="BE790" s="59"/>
      <c r="BF790" s="59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59"/>
      <c r="BZ790" s="59"/>
      <c r="CA790" s="59"/>
      <c r="CB790" s="59"/>
      <c r="CC790" s="59"/>
      <c r="CD790" s="59"/>
      <c r="CE790" s="59"/>
      <c r="CF790" s="59"/>
      <c r="CG790" s="59"/>
      <c r="CH790" s="59"/>
      <c r="CI790" s="59"/>
      <c r="CJ790" s="59"/>
      <c r="CK790" s="59"/>
      <c r="CL790" s="59"/>
      <c r="CM790" s="59"/>
      <c r="CN790" s="59"/>
      <c r="CO790" s="59"/>
      <c r="CP790" s="59"/>
      <c r="CQ790" s="59"/>
      <c r="CR790" s="59"/>
      <c r="CS790" s="59"/>
      <c r="CT790" s="59"/>
      <c r="CU790" s="59"/>
      <c r="CV790" s="59"/>
      <c r="CW790" s="59"/>
      <c r="CX790" s="59"/>
      <c r="CY790" s="59"/>
      <c r="CZ790" s="59"/>
      <c r="DA790" s="59"/>
      <c r="DB790" s="59"/>
      <c r="DC790" s="59"/>
      <c r="DD790" s="59"/>
      <c r="DE790" s="59"/>
      <c r="DF790" s="59"/>
      <c r="DG790" s="59"/>
    </row>
    <row r="791" spans="1:111" ht="11.2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  <c r="AB791" s="59"/>
      <c r="AC791" s="59"/>
      <c r="AD791" s="59"/>
      <c r="AE791" s="59"/>
      <c r="AF791" s="59"/>
      <c r="AG791" s="59"/>
      <c r="AH791" s="59"/>
      <c r="AI791" s="59"/>
      <c r="AJ791" s="59"/>
      <c r="AK791" s="59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9"/>
      <c r="AW791" s="59"/>
      <c r="AX791" s="59"/>
      <c r="AY791" s="59"/>
      <c r="AZ791" s="59"/>
      <c r="BA791" s="59"/>
      <c r="BB791" s="59"/>
      <c r="BC791" s="59"/>
      <c r="BD791" s="59"/>
      <c r="BE791" s="59"/>
      <c r="BF791" s="59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59"/>
      <c r="BZ791" s="59"/>
      <c r="CA791" s="59"/>
      <c r="CB791" s="59"/>
      <c r="CC791" s="59"/>
      <c r="CD791" s="59"/>
      <c r="CE791" s="59"/>
      <c r="CF791" s="59"/>
      <c r="CG791" s="59"/>
      <c r="CH791" s="59"/>
      <c r="CI791" s="59"/>
      <c r="CJ791" s="59"/>
      <c r="CK791" s="59"/>
      <c r="CL791" s="59"/>
      <c r="CM791" s="59"/>
      <c r="CN791" s="59"/>
      <c r="CO791" s="59"/>
      <c r="CP791" s="59"/>
      <c r="CQ791" s="59"/>
      <c r="CR791" s="59"/>
      <c r="CS791" s="59"/>
      <c r="CT791" s="59"/>
      <c r="CU791" s="59"/>
      <c r="CV791" s="59"/>
      <c r="CW791" s="59"/>
      <c r="CX791" s="59"/>
      <c r="CY791" s="59"/>
      <c r="CZ791" s="59"/>
      <c r="DA791" s="59"/>
      <c r="DB791" s="59"/>
      <c r="DC791" s="59"/>
      <c r="DD791" s="59"/>
      <c r="DE791" s="59"/>
      <c r="DF791" s="59"/>
      <c r="DG791" s="59"/>
    </row>
    <row r="792" spans="1:111" ht="11.2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  <c r="AJ792" s="59"/>
      <c r="AK792" s="59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  <c r="BC792" s="59"/>
      <c r="BD792" s="59"/>
      <c r="BE792" s="59"/>
      <c r="BF792" s="59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59"/>
      <c r="BZ792" s="59"/>
      <c r="CA792" s="59"/>
      <c r="CB792" s="59"/>
      <c r="CC792" s="59"/>
      <c r="CD792" s="59"/>
      <c r="CE792" s="59"/>
      <c r="CF792" s="59"/>
      <c r="CG792" s="59"/>
      <c r="CH792" s="59"/>
      <c r="CI792" s="59"/>
      <c r="CJ792" s="59"/>
      <c r="CK792" s="59"/>
      <c r="CL792" s="59"/>
      <c r="CM792" s="59"/>
      <c r="CN792" s="59"/>
      <c r="CO792" s="59"/>
      <c r="CP792" s="59"/>
      <c r="CQ792" s="59"/>
      <c r="CR792" s="59"/>
      <c r="CS792" s="59"/>
      <c r="CT792" s="59"/>
      <c r="CU792" s="59"/>
      <c r="CV792" s="59"/>
      <c r="CW792" s="59"/>
      <c r="CX792" s="59"/>
      <c r="CY792" s="59"/>
      <c r="CZ792" s="59"/>
      <c r="DA792" s="59"/>
      <c r="DB792" s="59"/>
      <c r="DC792" s="59"/>
      <c r="DD792" s="59"/>
      <c r="DE792" s="59"/>
      <c r="DF792" s="59"/>
      <c r="DG792" s="59"/>
    </row>
    <row r="793" spans="1:111" ht="11.2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  <c r="AB793" s="59"/>
      <c r="AC793" s="59"/>
      <c r="AD793" s="59"/>
      <c r="AE793" s="59"/>
      <c r="AF793" s="59"/>
      <c r="AG793" s="59"/>
      <c r="AH793" s="59"/>
      <c r="AI793" s="59"/>
      <c r="AJ793" s="59"/>
      <c r="AK793" s="59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9"/>
      <c r="AW793" s="59"/>
      <c r="AX793" s="59"/>
      <c r="AY793" s="59"/>
      <c r="AZ793" s="59"/>
      <c r="BA793" s="59"/>
      <c r="BB793" s="59"/>
      <c r="BC793" s="59"/>
      <c r="BD793" s="59"/>
      <c r="BE793" s="59"/>
      <c r="BF793" s="59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59"/>
      <c r="BZ793" s="59"/>
      <c r="CA793" s="59"/>
      <c r="CB793" s="59"/>
      <c r="CC793" s="59"/>
      <c r="CD793" s="59"/>
      <c r="CE793" s="59"/>
      <c r="CF793" s="59"/>
      <c r="CG793" s="59"/>
      <c r="CH793" s="59"/>
      <c r="CI793" s="59"/>
      <c r="CJ793" s="59"/>
      <c r="CK793" s="59"/>
      <c r="CL793" s="59"/>
      <c r="CM793" s="59"/>
      <c r="CN793" s="59"/>
      <c r="CO793" s="59"/>
      <c r="CP793" s="59"/>
      <c r="CQ793" s="59"/>
      <c r="CR793" s="59"/>
      <c r="CS793" s="59"/>
      <c r="CT793" s="59"/>
      <c r="CU793" s="59"/>
      <c r="CV793" s="59"/>
      <c r="CW793" s="59"/>
      <c r="CX793" s="59"/>
      <c r="CY793" s="59"/>
      <c r="CZ793" s="59"/>
      <c r="DA793" s="59"/>
      <c r="DB793" s="59"/>
      <c r="DC793" s="59"/>
      <c r="DD793" s="59"/>
      <c r="DE793" s="59"/>
      <c r="DF793" s="59"/>
      <c r="DG793" s="59"/>
    </row>
    <row r="794" spans="1:111" ht="11.2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  <c r="AB794" s="59"/>
      <c r="AC794" s="59"/>
      <c r="AD794" s="59"/>
      <c r="AE794" s="59"/>
      <c r="AF794" s="59"/>
      <c r="AG794" s="59"/>
      <c r="AH794" s="59"/>
      <c r="AI794" s="59"/>
      <c r="AJ794" s="59"/>
      <c r="AK794" s="59"/>
      <c r="AL794" s="59"/>
      <c r="AM794" s="59"/>
      <c r="AN794" s="59"/>
      <c r="AO794" s="59"/>
      <c r="AP794" s="59"/>
      <c r="AQ794" s="59"/>
      <c r="AR794" s="59"/>
      <c r="AS794" s="59"/>
      <c r="AT794" s="59"/>
      <c r="AU794" s="59"/>
      <c r="AV794" s="59"/>
      <c r="AW794" s="59"/>
      <c r="AX794" s="59"/>
      <c r="AY794" s="59"/>
      <c r="AZ794" s="59"/>
      <c r="BA794" s="59"/>
      <c r="BB794" s="59"/>
      <c r="BC794" s="59"/>
      <c r="BD794" s="59"/>
      <c r="BE794" s="59"/>
      <c r="BF794" s="59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59"/>
      <c r="BZ794" s="59"/>
      <c r="CA794" s="59"/>
      <c r="CB794" s="59"/>
      <c r="CC794" s="59"/>
      <c r="CD794" s="59"/>
      <c r="CE794" s="59"/>
      <c r="CF794" s="59"/>
      <c r="CG794" s="59"/>
      <c r="CH794" s="59"/>
      <c r="CI794" s="59"/>
      <c r="CJ794" s="59"/>
      <c r="CK794" s="59"/>
      <c r="CL794" s="59"/>
      <c r="CM794" s="59"/>
      <c r="CN794" s="59"/>
      <c r="CO794" s="59"/>
      <c r="CP794" s="59"/>
      <c r="CQ794" s="59"/>
      <c r="CR794" s="59"/>
      <c r="CS794" s="59"/>
      <c r="CT794" s="59"/>
      <c r="CU794" s="59"/>
      <c r="CV794" s="59"/>
      <c r="CW794" s="59"/>
      <c r="CX794" s="59"/>
      <c r="CY794" s="59"/>
      <c r="CZ794" s="59"/>
      <c r="DA794" s="59"/>
      <c r="DB794" s="59"/>
      <c r="DC794" s="59"/>
      <c r="DD794" s="59"/>
      <c r="DE794" s="59"/>
      <c r="DF794" s="59"/>
      <c r="DG794" s="59"/>
    </row>
    <row r="795" spans="1:111" ht="11.2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  <c r="AJ795" s="59"/>
      <c r="AK795" s="59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9"/>
      <c r="AW795" s="59"/>
      <c r="AX795" s="59"/>
      <c r="AY795" s="59"/>
      <c r="AZ795" s="59"/>
      <c r="BA795" s="59"/>
      <c r="BB795" s="59"/>
      <c r="BC795" s="59"/>
      <c r="BD795" s="59"/>
      <c r="BE795" s="59"/>
      <c r="BF795" s="59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59"/>
      <c r="BZ795" s="59"/>
      <c r="CA795" s="59"/>
      <c r="CB795" s="59"/>
      <c r="CC795" s="59"/>
      <c r="CD795" s="59"/>
      <c r="CE795" s="59"/>
      <c r="CF795" s="59"/>
      <c r="CG795" s="59"/>
      <c r="CH795" s="59"/>
      <c r="CI795" s="59"/>
      <c r="CJ795" s="59"/>
      <c r="CK795" s="59"/>
      <c r="CL795" s="59"/>
      <c r="CM795" s="59"/>
      <c r="CN795" s="59"/>
      <c r="CO795" s="59"/>
      <c r="CP795" s="59"/>
      <c r="CQ795" s="59"/>
      <c r="CR795" s="59"/>
      <c r="CS795" s="59"/>
      <c r="CT795" s="59"/>
      <c r="CU795" s="59"/>
      <c r="CV795" s="59"/>
      <c r="CW795" s="59"/>
      <c r="CX795" s="59"/>
      <c r="CY795" s="59"/>
      <c r="CZ795" s="59"/>
      <c r="DA795" s="59"/>
      <c r="DB795" s="59"/>
      <c r="DC795" s="59"/>
      <c r="DD795" s="59"/>
      <c r="DE795" s="59"/>
      <c r="DF795" s="59"/>
      <c r="DG795" s="59"/>
    </row>
    <row r="796" spans="1:111" ht="11.2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  <c r="AB796" s="59"/>
      <c r="AC796" s="59"/>
      <c r="AD796" s="59"/>
      <c r="AE796" s="59"/>
      <c r="AF796" s="59"/>
      <c r="AG796" s="59"/>
      <c r="AH796" s="59"/>
      <c r="AI796" s="59"/>
      <c r="AJ796" s="59"/>
      <c r="AK796" s="59"/>
      <c r="AL796" s="59"/>
      <c r="AM796" s="59"/>
      <c r="AN796" s="59"/>
      <c r="AO796" s="59"/>
      <c r="AP796" s="59"/>
      <c r="AQ796" s="59"/>
      <c r="AR796" s="59"/>
      <c r="AS796" s="59"/>
      <c r="AT796" s="59"/>
      <c r="AU796" s="59"/>
      <c r="AV796" s="59"/>
      <c r="AW796" s="59"/>
      <c r="AX796" s="59"/>
      <c r="AY796" s="59"/>
      <c r="AZ796" s="59"/>
      <c r="BA796" s="59"/>
      <c r="BB796" s="59"/>
      <c r="BC796" s="59"/>
      <c r="BD796" s="59"/>
      <c r="BE796" s="59"/>
      <c r="BF796" s="59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59"/>
      <c r="BZ796" s="59"/>
      <c r="CA796" s="59"/>
      <c r="CB796" s="59"/>
      <c r="CC796" s="59"/>
      <c r="CD796" s="59"/>
      <c r="CE796" s="59"/>
      <c r="CF796" s="59"/>
      <c r="CG796" s="59"/>
      <c r="CH796" s="59"/>
      <c r="CI796" s="59"/>
      <c r="CJ796" s="59"/>
      <c r="CK796" s="59"/>
      <c r="CL796" s="59"/>
      <c r="CM796" s="59"/>
      <c r="CN796" s="59"/>
      <c r="CO796" s="59"/>
      <c r="CP796" s="59"/>
      <c r="CQ796" s="59"/>
      <c r="CR796" s="59"/>
      <c r="CS796" s="59"/>
      <c r="CT796" s="59"/>
      <c r="CU796" s="59"/>
      <c r="CV796" s="59"/>
      <c r="CW796" s="59"/>
      <c r="CX796" s="59"/>
      <c r="CY796" s="59"/>
      <c r="CZ796" s="59"/>
      <c r="DA796" s="59"/>
      <c r="DB796" s="59"/>
      <c r="DC796" s="59"/>
      <c r="DD796" s="59"/>
      <c r="DE796" s="59"/>
      <c r="DF796" s="59"/>
      <c r="DG796" s="59"/>
    </row>
    <row r="797" spans="1:111" ht="11.2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  <c r="AB797" s="59"/>
      <c r="AC797" s="59"/>
      <c r="AD797" s="59"/>
      <c r="AE797" s="59"/>
      <c r="AF797" s="59"/>
      <c r="AG797" s="59"/>
      <c r="AH797" s="59"/>
      <c r="AI797" s="59"/>
      <c r="AJ797" s="59"/>
      <c r="AK797" s="59"/>
      <c r="AL797" s="59"/>
      <c r="AM797" s="59"/>
      <c r="AN797" s="59"/>
      <c r="AO797" s="59"/>
      <c r="AP797" s="59"/>
      <c r="AQ797" s="59"/>
      <c r="AR797" s="59"/>
      <c r="AS797" s="59"/>
      <c r="AT797" s="59"/>
      <c r="AU797" s="59"/>
      <c r="AV797" s="59"/>
      <c r="AW797" s="59"/>
      <c r="AX797" s="59"/>
      <c r="AY797" s="59"/>
      <c r="AZ797" s="59"/>
      <c r="BA797" s="59"/>
      <c r="BB797" s="59"/>
      <c r="BC797" s="59"/>
      <c r="BD797" s="59"/>
      <c r="BE797" s="59"/>
      <c r="BF797" s="59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59"/>
      <c r="BZ797" s="59"/>
      <c r="CA797" s="59"/>
      <c r="CB797" s="59"/>
      <c r="CC797" s="59"/>
      <c r="CD797" s="59"/>
      <c r="CE797" s="59"/>
      <c r="CF797" s="59"/>
      <c r="CG797" s="59"/>
      <c r="CH797" s="59"/>
      <c r="CI797" s="59"/>
      <c r="CJ797" s="59"/>
      <c r="CK797" s="59"/>
      <c r="CL797" s="59"/>
      <c r="CM797" s="59"/>
      <c r="CN797" s="59"/>
      <c r="CO797" s="59"/>
      <c r="CP797" s="59"/>
      <c r="CQ797" s="59"/>
      <c r="CR797" s="59"/>
      <c r="CS797" s="59"/>
      <c r="CT797" s="59"/>
      <c r="CU797" s="59"/>
      <c r="CV797" s="59"/>
      <c r="CW797" s="59"/>
      <c r="CX797" s="59"/>
      <c r="CY797" s="59"/>
      <c r="CZ797" s="59"/>
      <c r="DA797" s="59"/>
      <c r="DB797" s="59"/>
      <c r="DC797" s="59"/>
      <c r="DD797" s="59"/>
      <c r="DE797" s="59"/>
      <c r="DF797" s="59"/>
      <c r="DG797" s="59"/>
    </row>
    <row r="798" spans="1:111" ht="11.2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  <c r="AB798" s="59"/>
      <c r="AC798" s="59"/>
      <c r="AD798" s="59"/>
      <c r="AE798" s="59"/>
      <c r="AF798" s="59"/>
      <c r="AG798" s="59"/>
      <c r="AH798" s="59"/>
      <c r="AI798" s="59"/>
      <c r="AJ798" s="59"/>
      <c r="AK798" s="59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9"/>
      <c r="AW798" s="59"/>
      <c r="AX798" s="59"/>
      <c r="AY798" s="59"/>
      <c r="AZ798" s="59"/>
      <c r="BA798" s="59"/>
      <c r="BB798" s="59"/>
      <c r="BC798" s="59"/>
      <c r="BD798" s="59"/>
      <c r="BE798" s="59"/>
      <c r="BF798" s="59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59"/>
      <c r="BZ798" s="59"/>
      <c r="CA798" s="59"/>
      <c r="CB798" s="59"/>
      <c r="CC798" s="59"/>
      <c r="CD798" s="59"/>
      <c r="CE798" s="59"/>
      <c r="CF798" s="59"/>
      <c r="CG798" s="59"/>
      <c r="CH798" s="59"/>
      <c r="CI798" s="59"/>
      <c r="CJ798" s="59"/>
      <c r="CK798" s="59"/>
      <c r="CL798" s="59"/>
      <c r="CM798" s="59"/>
      <c r="CN798" s="59"/>
      <c r="CO798" s="59"/>
      <c r="CP798" s="59"/>
      <c r="CQ798" s="59"/>
      <c r="CR798" s="59"/>
      <c r="CS798" s="59"/>
      <c r="CT798" s="59"/>
      <c r="CU798" s="59"/>
      <c r="CV798" s="59"/>
      <c r="CW798" s="59"/>
      <c r="CX798" s="59"/>
      <c r="CY798" s="59"/>
      <c r="CZ798" s="59"/>
      <c r="DA798" s="59"/>
      <c r="DB798" s="59"/>
      <c r="DC798" s="59"/>
      <c r="DD798" s="59"/>
      <c r="DE798" s="59"/>
      <c r="DF798" s="59"/>
      <c r="DG798" s="59"/>
    </row>
    <row r="799" spans="1:111" ht="11.2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  <c r="AB799" s="59"/>
      <c r="AC799" s="59"/>
      <c r="AD799" s="59"/>
      <c r="AE799" s="59"/>
      <c r="AF799" s="59"/>
      <c r="AG799" s="59"/>
      <c r="AH799" s="59"/>
      <c r="AI799" s="59"/>
      <c r="AJ799" s="59"/>
      <c r="AK799" s="59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9"/>
      <c r="AW799" s="59"/>
      <c r="AX799" s="59"/>
      <c r="AY799" s="59"/>
      <c r="AZ799" s="59"/>
      <c r="BA799" s="59"/>
      <c r="BB799" s="59"/>
      <c r="BC799" s="59"/>
      <c r="BD799" s="59"/>
      <c r="BE799" s="59"/>
      <c r="BF799" s="59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59"/>
      <c r="BZ799" s="59"/>
      <c r="CA799" s="59"/>
      <c r="CB799" s="59"/>
      <c r="CC799" s="59"/>
      <c r="CD799" s="59"/>
      <c r="CE799" s="59"/>
      <c r="CF799" s="59"/>
      <c r="CG799" s="59"/>
      <c r="CH799" s="59"/>
      <c r="CI799" s="59"/>
      <c r="CJ799" s="59"/>
      <c r="CK799" s="59"/>
      <c r="CL799" s="59"/>
      <c r="CM799" s="59"/>
      <c r="CN799" s="59"/>
      <c r="CO799" s="59"/>
      <c r="CP799" s="59"/>
      <c r="CQ799" s="59"/>
      <c r="CR799" s="59"/>
      <c r="CS799" s="59"/>
      <c r="CT799" s="59"/>
      <c r="CU799" s="59"/>
      <c r="CV799" s="59"/>
      <c r="CW799" s="59"/>
      <c r="CX799" s="59"/>
      <c r="CY799" s="59"/>
      <c r="CZ799" s="59"/>
      <c r="DA799" s="59"/>
      <c r="DB799" s="59"/>
      <c r="DC799" s="59"/>
      <c r="DD799" s="59"/>
      <c r="DE799" s="59"/>
      <c r="DF799" s="59"/>
      <c r="DG799" s="59"/>
    </row>
    <row r="800" spans="1:111" ht="11.2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  <c r="AB800" s="59"/>
      <c r="AC800" s="59"/>
      <c r="AD800" s="59"/>
      <c r="AE800" s="59"/>
      <c r="AF800" s="59"/>
      <c r="AG800" s="59"/>
      <c r="AH800" s="59"/>
      <c r="AI800" s="59"/>
      <c r="AJ800" s="59"/>
      <c r="AK800" s="59"/>
      <c r="AL800" s="59"/>
      <c r="AM800" s="59"/>
      <c r="AN800" s="59"/>
      <c r="AO800" s="59"/>
      <c r="AP800" s="59"/>
      <c r="AQ800" s="59"/>
      <c r="AR800" s="59"/>
      <c r="AS800" s="59"/>
      <c r="AT800" s="59"/>
      <c r="AU800" s="59"/>
      <c r="AV800" s="59"/>
      <c r="AW800" s="59"/>
      <c r="AX800" s="59"/>
      <c r="AY800" s="59"/>
      <c r="AZ800" s="59"/>
      <c r="BA800" s="59"/>
      <c r="BB800" s="59"/>
      <c r="BC800" s="59"/>
      <c r="BD800" s="59"/>
      <c r="BE800" s="59"/>
      <c r="BF800" s="59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59"/>
      <c r="BZ800" s="59"/>
      <c r="CA800" s="59"/>
      <c r="CB800" s="59"/>
      <c r="CC800" s="59"/>
      <c r="CD800" s="59"/>
      <c r="CE800" s="59"/>
      <c r="CF800" s="59"/>
      <c r="CG800" s="59"/>
      <c r="CH800" s="59"/>
      <c r="CI800" s="59"/>
      <c r="CJ800" s="59"/>
      <c r="CK800" s="59"/>
      <c r="CL800" s="59"/>
      <c r="CM800" s="59"/>
      <c r="CN800" s="59"/>
      <c r="CO800" s="59"/>
      <c r="CP800" s="59"/>
      <c r="CQ800" s="59"/>
      <c r="CR800" s="59"/>
      <c r="CS800" s="59"/>
      <c r="CT800" s="59"/>
      <c r="CU800" s="59"/>
      <c r="CV800" s="59"/>
      <c r="CW800" s="59"/>
      <c r="CX800" s="59"/>
      <c r="CY800" s="59"/>
      <c r="CZ800" s="59"/>
      <c r="DA800" s="59"/>
      <c r="DB800" s="59"/>
      <c r="DC800" s="59"/>
      <c r="DD800" s="59"/>
      <c r="DE800" s="59"/>
      <c r="DF800" s="59"/>
      <c r="DG800" s="59"/>
    </row>
    <row r="801" spans="1:111" ht="11.2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  <c r="AB801" s="59"/>
      <c r="AC801" s="59"/>
      <c r="AD801" s="59"/>
      <c r="AE801" s="59"/>
      <c r="AF801" s="59"/>
      <c r="AG801" s="59"/>
      <c r="AH801" s="59"/>
      <c r="AI801" s="59"/>
      <c r="AJ801" s="59"/>
      <c r="AK801" s="59"/>
      <c r="AL801" s="59"/>
      <c r="AM801" s="59"/>
      <c r="AN801" s="59"/>
      <c r="AO801" s="59"/>
      <c r="AP801" s="59"/>
      <c r="AQ801" s="59"/>
      <c r="AR801" s="59"/>
      <c r="AS801" s="59"/>
      <c r="AT801" s="59"/>
      <c r="AU801" s="59"/>
      <c r="AV801" s="59"/>
      <c r="AW801" s="59"/>
      <c r="AX801" s="59"/>
      <c r="AY801" s="59"/>
      <c r="AZ801" s="59"/>
      <c r="BA801" s="59"/>
      <c r="BB801" s="59"/>
      <c r="BC801" s="59"/>
      <c r="BD801" s="59"/>
      <c r="BE801" s="59"/>
      <c r="BF801" s="59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59"/>
      <c r="BZ801" s="59"/>
      <c r="CA801" s="59"/>
      <c r="CB801" s="59"/>
      <c r="CC801" s="59"/>
      <c r="CD801" s="59"/>
      <c r="CE801" s="59"/>
      <c r="CF801" s="59"/>
      <c r="CG801" s="59"/>
      <c r="CH801" s="59"/>
      <c r="CI801" s="59"/>
      <c r="CJ801" s="59"/>
      <c r="CK801" s="59"/>
      <c r="CL801" s="59"/>
      <c r="CM801" s="59"/>
      <c r="CN801" s="59"/>
      <c r="CO801" s="59"/>
      <c r="CP801" s="59"/>
      <c r="CQ801" s="59"/>
      <c r="CR801" s="59"/>
      <c r="CS801" s="59"/>
      <c r="CT801" s="59"/>
      <c r="CU801" s="59"/>
      <c r="CV801" s="59"/>
      <c r="CW801" s="59"/>
      <c r="CX801" s="59"/>
      <c r="CY801" s="59"/>
      <c r="CZ801" s="59"/>
      <c r="DA801" s="59"/>
      <c r="DB801" s="59"/>
      <c r="DC801" s="59"/>
      <c r="DD801" s="59"/>
      <c r="DE801" s="59"/>
      <c r="DF801" s="59"/>
      <c r="DG801" s="59"/>
    </row>
    <row r="802" spans="1:111" ht="11.2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  <c r="AI802" s="59"/>
      <c r="AJ802" s="59"/>
      <c r="AK802" s="59"/>
      <c r="AL802" s="59"/>
      <c r="AM802" s="59"/>
      <c r="AN802" s="59"/>
      <c r="AO802" s="59"/>
      <c r="AP802" s="59"/>
      <c r="AQ802" s="59"/>
      <c r="AR802" s="59"/>
      <c r="AS802" s="59"/>
      <c r="AT802" s="59"/>
      <c r="AU802" s="59"/>
      <c r="AV802" s="59"/>
      <c r="AW802" s="59"/>
      <c r="AX802" s="59"/>
      <c r="AY802" s="59"/>
      <c r="AZ802" s="59"/>
      <c r="BA802" s="59"/>
      <c r="BB802" s="59"/>
      <c r="BC802" s="59"/>
      <c r="BD802" s="59"/>
      <c r="BE802" s="59"/>
      <c r="BF802" s="59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59"/>
      <c r="BZ802" s="59"/>
      <c r="CA802" s="59"/>
      <c r="CB802" s="59"/>
      <c r="CC802" s="59"/>
      <c r="CD802" s="59"/>
      <c r="CE802" s="59"/>
      <c r="CF802" s="59"/>
      <c r="CG802" s="59"/>
      <c r="CH802" s="59"/>
      <c r="CI802" s="59"/>
      <c r="CJ802" s="59"/>
      <c r="CK802" s="59"/>
      <c r="CL802" s="59"/>
      <c r="CM802" s="59"/>
      <c r="CN802" s="59"/>
      <c r="CO802" s="59"/>
      <c r="CP802" s="59"/>
      <c r="CQ802" s="59"/>
      <c r="CR802" s="59"/>
      <c r="CS802" s="59"/>
      <c r="CT802" s="59"/>
      <c r="CU802" s="59"/>
      <c r="CV802" s="59"/>
      <c r="CW802" s="59"/>
      <c r="CX802" s="59"/>
      <c r="CY802" s="59"/>
      <c r="CZ802" s="59"/>
      <c r="DA802" s="59"/>
      <c r="DB802" s="59"/>
      <c r="DC802" s="59"/>
      <c r="DD802" s="59"/>
      <c r="DE802" s="59"/>
      <c r="DF802" s="59"/>
      <c r="DG802" s="59"/>
    </row>
    <row r="803" spans="1:111" ht="11.2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  <c r="AI803" s="59"/>
      <c r="AJ803" s="59"/>
      <c r="AK803" s="59"/>
      <c r="AL803" s="59"/>
      <c r="AM803" s="59"/>
      <c r="AN803" s="59"/>
      <c r="AO803" s="59"/>
      <c r="AP803" s="59"/>
      <c r="AQ803" s="59"/>
      <c r="AR803" s="59"/>
      <c r="AS803" s="59"/>
      <c r="AT803" s="59"/>
      <c r="AU803" s="59"/>
      <c r="AV803" s="59"/>
      <c r="AW803" s="59"/>
      <c r="AX803" s="59"/>
      <c r="AY803" s="59"/>
      <c r="AZ803" s="59"/>
      <c r="BA803" s="59"/>
      <c r="BB803" s="59"/>
      <c r="BC803" s="59"/>
      <c r="BD803" s="59"/>
      <c r="BE803" s="59"/>
      <c r="BF803" s="59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59"/>
      <c r="BZ803" s="59"/>
      <c r="CA803" s="59"/>
      <c r="CB803" s="59"/>
      <c r="CC803" s="59"/>
      <c r="CD803" s="59"/>
      <c r="CE803" s="59"/>
      <c r="CF803" s="59"/>
      <c r="CG803" s="59"/>
      <c r="CH803" s="59"/>
      <c r="CI803" s="59"/>
      <c r="CJ803" s="59"/>
      <c r="CK803" s="59"/>
      <c r="CL803" s="59"/>
      <c r="CM803" s="59"/>
      <c r="CN803" s="59"/>
      <c r="CO803" s="59"/>
      <c r="CP803" s="59"/>
      <c r="CQ803" s="59"/>
      <c r="CR803" s="59"/>
      <c r="CS803" s="59"/>
      <c r="CT803" s="59"/>
      <c r="CU803" s="59"/>
      <c r="CV803" s="59"/>
      <c r="CW803" s="59"/>
      <c r="CX803" s="59"/>
      <c r="CY803" s="59"/>
      <c r="CZ803" s="59"/>
      <c r="DA803" s="59"/>
      <c r="DB803" s="59"/>
      <c r="DC803" s="59"/>
      <c r="DD803" s="59"/>
      <c r="DE803" s="59"/>
      <c r="DF803" s="59"/>
      <c r="DG803" s="59"/>
    </row>
    <row r="804" spans="1:111" ht="11.2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  <c r="AI804" s="59"/>
      <c r="AJ804" s="59"/>
      <c r="AK804" s="59"/>
      <c r="AL804" s="59"/>
      <c r="AM804" s="59"/>
      <c r="AN804" s="59"/>
      <c r="AO804" s="59"/>
      <c r="AP804" s="59"/>
      <c r="AQ804" s="59"/>
      <c r="AR804" s="59"/>
      <c r="AS804" s="59"/>
      <c r="AT804" s="59"/>
      <c r="AU804" s="59"/>
      <c r="AV804" s="59"/>
      <c r="AW804" s="59"/>
      <c r="AX804" s="59"/>
      <c r="AY804" s="59"/>
      <c r="AZ804" s="59"/>
      <c r="BA804" s="59"/>
      <c r="BB804" s="59"/>
      <c r="BC804" s="59"/>
      <c r="BD804" s="59"/>
      <c r="BE804" s="59"/>
      <c r="BF804" s="59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59"/>
      <c r="BZ804" s="59"/>
      <c r="CA804" s="59"/>
      <c r="CB804" s="59"/>
      <c r="CC804" s="59"/>
      <c r="CD804" s="59"/>
      <c r="CE804" s="59"/>
      <c r="CF804" s="59"/>
      <c r="CG804" s="59"/>
      <c r="CH804" s="59"/>
      <c r="CI804" s="59"/>
      <c r="CJ804" s="59"/>
      <c r="CK804" s="59"/>
      <c r="CL804" s="59"/>
      <c r="CM804" s="59"/>
      <c r="CN804" s="59"/>
      <c r="CO804" s="59"/>
      <c r="CP804" s="59"/>
      <c r="CQ804" s="59"/>
      <c r="CR804" s="59"/>
      <c r="CS804" s="59"/>
      <c r="CT804" s="59"/>
      <c r="CU804" s="59"/>
      <c r="CV804" s="59"/>
      <c r="CW804" s="59"/>
      <c r="CX804" s="59"/>
      <c r="CY804" s="59"/>
      <c r="CZ804" s="59"/>
      <c r="DA804" s="59"/>
      <c r="DB804" s="59"/>
      <c r="DC804" s="59"/>
      <c r="DD804" s="59"/>
      <c r="DE804" s="59"/>
      <c r="DF804" s="59"/>
      <c r="DG804" s="59"/>
    </row>
    <row r="805" spans="1:111" ht="11.2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  <c r="AI805" s="59"/>
      <c r="AJ805" s="59"/>
      <c r="AK805" s="59"/>
      <c r="AL805" s="59"/>
      <c r="AM805" s="59"/>
      <c r="AN805" s="59"/>
      <c r="AO805" s="59"/>
      <c r="AP805" s="59"/>
      <c r="AQ805" s="59"/>
      <c r="AR805" s="59"/>
      <c r="AS805" s="59"/>
      <c r="AT805" s="59"/>
      <c r="AU805" s="59"/>
      <c r="AV805" s="59"/>
      <c r="AW805" s="59"/>
      <c r="AX805" s="59"/>
      <c r="AY805" s="59"/>
      <c r="AZ805" s="59"/>
      <c r="BA805" s="59"/>
      <c r="BB805" s="59"/>
      <c r="BC805" s="59"/>
      <c r="BD805" s="59"/>
      <c r="BE805" s="59"/>
      <c r="BF805" s="59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59"/>
      <c r="BZ805" s="59"/>
      <c r="CA805" s="59"/>
      <c r="CB805" s="59"/>
      <c r="CC805" s="59"/>
      <c r="CD805" s="59"/>
      <c r="CE805" s="59"/>
      <c r="CF805" s="59"/>
      <c r="CG805" s="59"/>
      <c r="CH805" s="59"/>
      <c r="CI805" s="59"/>
      <c r="CJ805" s="59"/>
      <c r="CK805" s="59"/>
      <c r="CL805" s="59"/>
      <c r="CM805" s="59"/>
      <c r="CN805" s="59"/>
      <c r="CO805" s="59"/>
      <c r="CP805" s="59"/>
      <c r="CQ805" s="59"/>
      <c r="CR805" s="59"/>
      <c r="CS805" s="59"/>
      <c r="CT805" s="59"/>
      <c r="CU805" s="59"/>
      <c r="CV805" s="59"/>
      <c r="CW805" s="59"/>
      <c r="CX805" s="59"/>
      <c r="CY805" s="59"/>
      <c r="CZ805" s="59"/>
      <c r="DA805" s="59"/>
      <c r="DB805" s="59"/>
      <c r="DC805" s="59"/>
      <c r="DD805" s="59"/>
      <c r="DE805" s="59"/>
      <c r="DF805" s="59"/>
      <c r="DG805" s="59"/>
    </row>
    <row r="806" spans="1:111" ht="11.2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  <c r="AB806" s="59"/>
      <c r="AC806" s="59"/>
      <c r="AD806" s="59"/>
      <c r="AE806" s="59"/>
      <c r="AF806" s="59"/>
      <c r="AG806" s="59"/>
      <c r="AH806" s="59"/>
      <c r="AI806" s="59"/>
      <c r="AJ806" s="59"/>
      <c r="AK806" s="59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9"/>
      <c r="AW806" s="59"/>
      <c r="AX806" s="59"/>
      <c r="AY806" s="59"/>
      <c r="AZ806" s="59"/>
      <c r="BA806" s="59"/>
      <c r="BB806" s="59"/>
      <c r="BC806" s="59"/>
      <c r="BD806" s="59"/>
      <c r="BE806" s="59"/>
      <c r="BF806" s="59"/>
      <c r="BG806" s="59"/>
      <c r="BH806" s="59"/>
      <c r="BI806" s="59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59"/>
      <c r="BW806" s="59"/>
      <c r="BX806" s="59"/>
      <c r="BY806" s="59"/>
      <c r="BZ806" s="59"/>
      <c r="CA806" s="59"/>
      <c r="CB806" s="59"/>
      <c r="CC806" s="59"/>
      <c r="CD806" s="59"/>
      <c r="CE806" s="59"/>
      <c r="CF806" s="59"/>
      <c r="CG806" s="59"/>
      <c r="CH806" s="59"/>
      <c r="CI806" s="59"/>
      <c r="CJ806" s="59"/>
      <c r="CK806" s="59"/>
      <c r="CL806" s="59"/>
      <c r="CM806" s="59"/>
      <c r="CN806" s="59"/>
      <c r="CO806" s="59"/>
      <c r="CP806" s="59"/>
      <c r="CQ806" s="59"/>
      <c r="CR806" s="59"/>
      <c r="CS806" s="59"/>
      <c r="CT806" s="59"/>
      <c r="CU806" s="59"/>
      <c r="CV806" s="59"/>
      <c r="CW806" s="59"/>
      <c r="CX806" s="59"/>
      <c r="CY806" s="59"/>
      <c r="CZ806" s="59"/>
      <c r="DA806" s="59"/>
      <c r="DB806" s="59"/>
      <c r="DC806" s="59"/>
      <c r="DD806" s="59"/>
      <c r="DE806" s="59"/>
      <c r="DF806" s="59"/>
      <c r="DG806" s="59"/>
    </row>
    <row r="807" spans="1:111" ht="11.2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  <c r="AB807" s="59"/>
      <c r="AC807" s="59"/>
      <c r="AD807" s="59"/>
      <c r="AE807" s="59"/>
      <c r="AF807" s="59"/>
      <c r="AG807" s="59"/>
      <c r="AH807" s="59"/>
      <c r="AI807" s="59"/>
      <c r="AJ807" s="59"/>
      <c r="AK807" s="59"/>
      <c r="AL807" s="59"/>
      <c r="AM807" s="59"/>
      <c r="AN807" s="59"/>
      <c r="AO807" s="59"/>
      <c r="AP807" s="59"/>
      <c r="AQ807" s="59"/>
      <c r="AR807" s="59"/>
      <c r="AS807" s="59"/>
      <c r="AT807" s="59"/>
      <c r="AU807" s="59"/>
      <c r="AV807" s="59"/>
      <c r="AW807" s="59"/>
      <c r="AX807" s="59"/>
      <c r="AY807" s="59"/>
      <c r="AZ807" s="59"/>
      <c r="BA807" s="59"/>
      <c r="BB807" s="59"/>
      <c r="BC807" s="59"/>
      <c r="BD807" s="59"/>
      <c r="BE807" s="59"/>
      <c r="BF807" s="59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59"/>
      <c r="BZ807" s="59"/>
      <c r="CA807" s="59"/>
      <c r="CB807" s="59"/>
      <c r="CC807" s="59"/>
      <c r="CD807" s="59"/>
      <c r="CE807" s="59"/>
      <c r="CF807" s="59"/>
      <c r="CG807" s="59"/>
      <c r="CH807" s="59"/>
      <c r="CI807" s="59"/>
      <c r="CJ807" s="59"/>
      <c r="CK807" s="59"/>
      <c r="CL807" s="59"/>
      <c r="CM807" s="59"/>
      <c r="CN807" s="59"/>
      <c r="CO807" s="59"/>
      <c r="CP807" s="59"/>
      <c r="CQ807" s="59"/>
      <c r="CR807" s="59"/>
      <c r="CS807" s="59"/>
      <c r="CT807" s="59"/>
      <c r="CU807" s="59"/>
      <c r="CV807" s="59"/>
      <c r="CW807" s="59"/>
      <c r="CX807" s="59"/>
      <c r="CY807" s="59"/>
      <c r="CZ807" s="59"/>
      <c r="DA807" s="59"/>
      <c r="DB807" s="59"/>
      <c r="DC807" s="59"/>
      <c r="DD807" s="59"/>
      <c r="DE807" s="59"/>
      <c r="DF807" s="59"/>
      <c r="DG807" s="59"/>
    </row>
    <row r="808" spans="1:111" ht="11.2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  <c r="AB808" s="59"/>
      <c r="AC808" s="59"/>
      <c r="AD808" s="59"/>
      <c r="AE808" s="59"/>
      <c r="AF808" s="59"/>
      <c r="AG808" s="59"/>
      <c r="AH808" s="59"/>
      <c r="AI808" s="59"/>
      <c r="AJ808" s="59"/>
      <c r="AK808" s="59"/>
      <c r="AL808" s="59"/>
      <c r="AM808" s="59"/>
      <c r="AN808" s="59"/>
      <c r="AO808" s="59"/>
      <c r="AP808" s="59"/>
      <c r="AQ808" s="59"/>
      <c r="AR808" s="59"/>
      <c r="AS808" s="59"/>
      <c r="AT808" s="59"/>
      <c r="AU808" s="59"/>
      <c r="AV808" s="59"/>
      <c r="AW808" s="59"/>
      <c r="AX808" s="59"/>
      <c r="AY808" s="59"/>
      <c r="AZ808" s="59"/>
      <c r="BA808" s="59"/>
      <c r="BB808" s="59"/>
      <c r="BC808" s="59"/>
      <c r="BD808" s="59"/>
      <c r="BE808" s="59"/>
      <c r="BF808" s="59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59"/>
      <c r="BZ808" s="59"/>
      <c r="CA808" s="59"/>
      <c r="CB808" s="59"/>
      <c r="CC808" s="59"/>
      <c r="CD808" s="59"/>
      <c r="CE808" s="59"/>
      <c r="CF808" s="59"/>
      <c r="CG808" s="59"/>
      <c r="CH808" s="59"/>
      <c r="CI808" s="59"/>
      <c r="CJ808" s="59"/>
      <c r="CK808" s="59"/>
      <c r="CL808" s="59"/>
      <c r="CM808" s="59"/>
      <c r="CN808" s="59"/>
      <c r="CO808" s="59"/>
      <c r="CP808" s="59"/>
      <c r="CQ808" s="59"/>
      <c r="CR808" s="59"/>
      <c r="CS808" s="59"/>
      <c r="CT808" s="59"/>
      <c r="CU808" s="59"/>
      <c r="CV808" s="59"/>
      <c r="CW808" s="59"/>
      <c r="CX808" s="59"/>
      <c r="CY808" s="59"/>
      <c r="CZ808" s="59"/>
      <c r="DA808" s="59"/>
      <c r="DB808" s="59"/>
      <c r="DC808" s="59"/>
      <c r="DD808" s="59"/>
      <c r="DE808" s="59"/>
      <c r="DF808" s="59"/>
      <c r="DG808" s="59"/>
    </row>
    <row r="809" spans="1:111" ht="11.2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  <c r="AB809" s="59"/>
      <c r="AC809" s="59"/>
      <c r="AD809" s="59"/>
      <c r="AE809" s="59"/>
      <c r="AF809" s="59"/>
      <c r="AG809" s="59"/>
      <c r="AH809" s="59"/>
      <c r="AI809" s="59"/>
      <c r="AJ809" s="59"/>
      <c r="AK809" s="59"/>
      <c r="AL809" s="59"/>
      <c r="AM809" s="59"/>
      <c r="AN809" s="59"/>
      <c r="AO809" s="59"/>
      <c r="AP809" s="59"/>
      <c r="AQ809" s="59"/>
      <c r="AR809" s="59"/>
      <c r="AS809" s="59"/>
      <c r="AT809" s="59"/>
      <c r="AU809" s="59"/>
      <c r="AV809" s="59"/>
      <c r="AW809" s="59"/>
      <c r="AX809" s="59"/>
      <c r="AY809" s="59"/>
      <c r="AZ809" s="59"/>
      <c r="BA809" s="59"/>
      <c r="BB809" s="59"/>
      <c r="BC809" s="59"/>
      <c r="BD809" s="59"/>
      <c r="BE809" s="59"/>
      <c r="BF809" s="59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59"/>
      <c r="BZ809" s="59"/>
      <c r="CA809" s="59"/>
      <c r="CB809" s="59"/>
      <c r="CC809" s="59"/>
      <c r="CD809" s="59"/>
      <c r="CE809" s="59"/>
      <c r="CF809" s="59"/>
      <c r="CG809" s="59"/>
      <c r="CH809" s="59"/>
      <c r="CI809" s="59"/>
      <c r="CJ809" s="59"/>
      <c r="CK809" s="59"/>
      <c r="CL809" s="59"/>
      <c r="CM809" s="59"/>
      <c r="CN809" s="59"/>
      <c r="CO809" s="59"/>
      <c r="CP809" s="59"/>
      <c r="CQ809" s="59"/>
      <c r="CR809" s="59"/>
      <c r="CS809" s="59"/>
      <c r="CT809" s="59"/>
      <c r="CU809" s="59"/>
      <c r="CV809" s="59"/>
      <c r="CW809" s="59"/>
      <c r="CX809" s="59"/>
      <c r="CY809" s="59"/>
      <c r="CZ809" s="59"/>
      <c r="DA809" s="59"/>
      <c r="DB809" s="59"/>
      <c r="DC809" s="59"/>
      <c r="DD809" s="59"/>
      <c r="DE809" s="59"/>
      <c r="DF809" s="59"/>
      <c r="DG809" s="59"/>
    </row>
    <row r="810" spans="1:111" ht="11.2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  <c r="AB810" s="59"/>
      <c r="AC810" s="59"/>
      <c r="AD810" s="59"/>
      <c r="AE810" s="59"/>
      <c r="AF810" s="59"/>
      <c r="AG810" s="59"/>
      <c r="AH810" s="59"/>
      <c r="AI810" s="59"/>
      <c r="AJ810" s="59"/>
      <c r="AK810" s="59"/>
      <c r="AL810" s="59"/>
      <c r="AM810" s="59"/>
      <c r="AN810" s="59"/>
      <c r="AO810" s="59"/>
      <c r="AP810" s="59"/>
      <c r="AQ810" s="59"/>
      <c r="AR810" s="59"/>
      <c r="AS810" s="59"/>
      <c r="AT810" s="59"/>
      <c r="AU810" s="59"/>
      <c r="AV810" s="59"/>
      <c r="AW810" s="59"/>
      <c r="AX810" s="59"/>
      <c r="AY810" s="59"/>
      <c r="AZ810" s="59"/>
      <c r="BA810" s="59"/>
      <c r="BB810" s="59"/>
      <c r="BC810" s="59"/>
      <c r="BD810" s="59"/>
      <c r="BE810" s="59"/>
      <c r="BF810" s="59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59"/>
      <c r="BZ810" s="59"/>
      <c r="CA810" s="59"/>
      <c r="CB810" s="59"/>
      <c r="CC810" s="59"/>
      <c r="CD810" s="59"/>
      <c r="CE810" s="59"/>
      <c r="CF810" s="59"/>
      <c r="CG810" s="59"/>
      <c r="CH810" s="59"/>
      <c r="CI810" s="59"/>
      <c r="CJ810" s="59"/>
      <c r="CK810" s="59"/>
      <c r="CL810" s="59"/>
      <c r="CM810" s="59"/>
      <c r="CN810" s="59"/>
      <c r="CO810" s="59"/>
      <c r="CP810" s="59"/>
      <c r="CQ810" s="59"/>
      <c r="CR810" s="59"/>
      <c r="CS810" s="59"/>
      <c r="CT810" s="59"/>
      <c r="CU810" s="59"/>
      <c r="CV810" s="59"/>
      <c r="CW810" s="59"/>
      <c r="CX810" s="59"/>
      <c r="CY810" s="59"/>
      <c r="CZ810" s="59"/>
      <c r="DA810" s="59"/>
      <c r="DB810" s="59"/>
      <c r="DC810" s="59"/>
      <c r="DD810" s="59"/>
      <c r="DE810" s="59"/>
      <c r="DF810" s="59"/>
      <c r="DG810" s="59"/>
    </row>
    <row r="811" spans="1:111" ht="11.2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  <c r="AI811" s="59"/>
      <c r="AJ811" s="59"/>
      <c r="AK811" s="59"/>
      <c r="AL811" s="59"/>
      <c r="AM811" s="59"/>
      <c r="AN811" s="59"/>
      <c r="AO811" s="59"/>
      <c r="AP811" s="59"/>
      <c r="AQ811" s="59"/>
      <c r="AR811" s="59"/>
      <c r="AS811" s="59"/>
      <c r="AT811" s="59"/>
      <c r="AU811" s="59"/>
      <c r="AV811" s="59"/>
      <c r="AW811" s="59"/>
      <c r="AX811" s="59"/>
      <c r="AY811" s="59"/>
      <c r="AZ811" s="59"/>
      <c r="BA811" s="59"/>
      <c r="BB811" s="59"/>
      <c r="BC811" s="59"/>
      <c r="BD811" s="59"/>
      <c r="BE811" s="59"/>
      <c r="BF811" s="59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59"/>
      <c r="BZ811" s="59"/>
      <c r="CA811" s="59"/>
      <c r="CB811" s="59"/>
      <c r="CC811" s="59"/>
      <c r="CD811" s="59"/>
      <c r="CE811" s="59"/>
      <c r="CF811" s="59"/>
      <c r="CG811" s="59"/>
      <c r="CH811" s="59"/>
      <c r="CI811" s="59"/>
      <c r="CJ811" s="59"/>
      <c r="CK811" s="59"/>
      <c r="CL811" s="59"/>
      <c r="CM811" s="59"/>
      <c r="CN811" s="59"/>
      <c r="CO811" s="59"/>
      <c r="CP811" s="59"/>
      <c r="CQ811" s="59"/>
      <c r="CR811" s="59"/>
      <c r="CS811" s="59"/>
      <c r="CT811" s="59"/>
      <c r="CU811" s="59"/>
      <c r="CV811" s="59"/>
      <c r="CW811" s="59"/>
      <c r="CX811" s="59"/>
      <c r="CY811" s="59"/>
      <c r="CZ811" s="59"/>
      <c r="DA811" s="59"/>
      <c r="DB811" s="59"/>
      <c r="DC811" s="59"/>
      <c r="DD811" s="59"/>
      <c r="DE811" s="59"/>
      <c r="DF811" s="59"/>
      <c r="DG811" s="59"/>
    </row>
    <row r="812" spans="1:111" ht="11.2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  <c r="BC812" s="59"/>
      <c r="BD812" s="59"/>
      <c r="BE812" s="59"/>
      <c r="BF812" s="59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59"/>
      <c r="BZ812" s="59"/>
      <c r="CA812" s="59"/>
      <c r="CB812" s="59"/>
      <c r="CC812" s="59"/>
      <c r="CD812" s="59"/>
      <c r="CE812" s="59"/>
      <c r="CF812" s="59"/>
      <c r="CG812" s="59"/>
      <c r="CH812" s="59"/>
      <c r="CI812" s="59"/>
      <c r="CJ812" s="59"/>
      <c r="CK812" s="59"/>
      <c r="CL812" s="59"/>
      <c r="CM812" s="59"/>
      <c r="CN812" s="59"/>
      <c r="CO812" s="59"/>
      <c r="CP812" s="59"/>
      <c r="CQ812" s="59"/>
      <c r="CR812" s="59"/>
      <c r="CS812" s="59"/>
      <c r="CT812" s="59"/>
      <c r="CU812" s="59"/>
      <c r="CV812" s="59"/>
      <c r="CW812" s="59"/>
      <c r="CX812" s="59"/>
      <c r="CY812" s="59"/>
      <c r="CZ812" s="59"/>
      <c r="DA812" s="59"/>
      <c r="DB812" s="59"/>
      <c r="DC812" s="59"/>
      <c r="DD812" s="59"/>
      <c r="DE812" s="59"/>
      <c r="DF812" s="59"/>
      <c r="DG812" s="59"/>
    </row>
    <row r="813" spans="1:111" ht="11.2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  <c r="AB813" s="59"/>
      <c r="AC813" s="59"/>
      <c r="AD813" s="59"/>
      <c r="AE813" s="59"/>
      <c r="AF813" s="59"/>
      <c r="AG813" s="59"/>
      <c r="AH813" s="59"/>
      <c r="AI813" s="59"/>
      <c r="AJ813" s="59"/>
      <c r="AK813" s="59"/>
      <c r="AL813" s="59"/>
      <c r="AM813" s="59"/>
      <c r="AN813" s="59"/>
      <c r="AO813" s="59"/>
      <c r="AP813" s="59"/>
      <c r="AQ813" s="59"/>
      <c r="AR813" s="59"/>
      <c r="AS813" s="59"/>
      <c r="AT813" s="59"/>
      <c r="AU813" s="59"/>
      <c r="AV813" s="59"/>
      <c r="AW813" s="59"/>
      <c r="AX813" s="59"/>
      <c r="AY813" s="59"/>
      <c r="AZ813" s="59"/>
      <c r="BA813" s="59"/>
      <c r="BB813" s="59"/>
      <c r="BC813" s="59"/>
      <c r="BD813" s="59"/>
      <c r="BE813" s="59"/>
      <c r="BF813" s="59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59"/>
      <c r="BZ813" s="59"/>
      <c r="CA813" s="59"/>
      <c r="CB813" s="59"/>
      <c r="CC813" s="59"/>
      <c r="CD813" s="59"/>
      <c r="CE813" s="59"/>
      <c r="CF813" s="59"/>
      <c r="CG813" s="59"/>
      <c r="CH813" s="59"/>
      <c r="CI813" s="59"/>
      <c r="CJ813" s="59"/>
      <c r="CK813" s="59"/>
      <c r="CL813" s="59"/>
      <c r="CM813" s="59"/>
      <c r="CN813" s="59"/>
      <c r="CO813" s="59"/>
      <c r="CP813" s="59"/>
      <c r="CQ813" s="59"/>
      <c r="CR813" s="59"/>
      <c r="CS813" s="59"/>
      <c r="CT813" s="59"/>
      <c r="CU813" s="59"/>
      <c r="CV813" s="59"/>
      <c r="CW813" s="59"/>
      <c r="CX813" s="59"/>
      <c r="CY813" s="59"/>
      <c r="CZ813" s="59"/>
      <c r="DA813" s="59"/>
      <c r="DB813" s="59"/>
      <c r="DC813" s="59"/>
      <c r="DD813" s="59"/>
      <c r="DE813" s="59"/>
      <c r="DF813" s="59"/>
      <c r="DG813" s="59"/>
    </row>
    <row r="814" spans="1:111" ht="11.2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  <c r="AB814" s="59"/>
      <c r="AC814" s="59"/>
      <c r="AD814" s="59"/>
      <c r="AE814" s="59"/>
      <c r="AF814" s="59"/>
      <c r="AG814" s="59"/>
      <c r="AH814" s="59"/>
      <c r="AI814" s="59"/>
      <c r="AJ814" s="59"/>
      <c r="AK814" s="59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9"/>
      <c r="AW814" s="59"/>
      <c r="AX814" s="59"/>
      <c r="AY814" s="59"/>
      <c r="AZ814" s="59"/>
      <c r="BA814" s="59"/>
      <c r="BB814" s="59"/>
      <c r="BC814" s="59"/>
      <c r="BD814" s="59"/>
      <c r="BE814" s="59"/>
      <c r="BF814" s="59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59"/>
      <c r="BZ814" s="59"/>
      <c r="CA814" s="59"/>
      <c r="CB814" s="59"/>
      <c r="CC814" s="59"/>
      <c r="CD814" s="59"/>
      <c r="CE814" s="59"/>
      <c r="CF814" s="59"/>
      <c r="CG814" s="59"/>
      <c r="CH814" s="59"/>
      <c r="CI814" s="59"/>
      <c r="CJ814" s="59"/>
      <c r="CK814" s="59"/>
      <c r="CL814" s="59"/>
      <c r="CM814" s="59"/>
      <c r="CN814" s="59"/>
      <c r="CO814" s="59"/>
      <c r="CP814" s="59"/>
      <c r="CQ814" s="59"/>
      <c r="CR814" s="59"/>
      <c r="CS814" s="59"/>
      <c r="CT814" s="59"/>
      <c r="CU814" s="59"/>
      <c r="CV814" s="59"/>
      <c r="CW814" s="59"/>
      <c r="CX814" s="59"/>
      <c r="CY814" s="59"/>
      <c r="CZ814" s="59"/>
      <c r="DA814" s="59"/>
      <c r="DB814" s="59"/>
      <c r="DC814" s="59"/>
      <c r="DD814" s="59"/>
      <c r="DE814" s="59"/>
      <c r="DF814" s="59"/>
      <c r="DG814" s="59"/>
    </row>
    <row r="815" spans="1:111" ht="11.2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  <c r="AB815" s="59"/>
      <c r="AC815" s="59"/>
      <c r="AD815" s="59"/>
      <c r="AE815" s="59"/>
      <c r="AF815" s="59"/>
      <c r="AG815" s="59"/>
      <c r="AH815" s="59"/>
      <c r="AI815" s="59"/>
      <c r="AJ815" s="59"/>
      <c r="AK815" s="59"/>
      <c r="AL815" s="59"/>
      <c r="AM815" s="59"/>
      <c r="AN815" s="59"/>
      <c r="AO815" s="59"/>
      <c r="AP815" s="59"/>
      <c r="AQ815" s="59"/>
      <c r="AR815" s="59"/>
      <c r="AS815" s="59"/>
      <c r="AT815" s="59"/>
      <c r="AU815" s="59"/>
      <c r="AV815" s="59"/>
      <c r="AW815" s="59"/>
      <c r="AX815" s="59"/>
      <c r="AY815" s="59"/>
      <c r="AZ815" s="59"/>
      <c r="BA815" s="59"/>
      <c r="BB815" s="59"/>
      <c r="BC815" s="59"/>
      <c r="BD815" s="59"/>
      <c r="BE815" s="59"/>
      <c r="BF815" s="59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59"/>
      <c r="BZ815" s="59"/>
      <c r="CA815" s="59"/>
      <c r="CB815" s="59"/>
      <c r="CC815" s="59"/>
      <c r="CD815" s="59"/>
      <c r="CE815" s="59"/>
      <c r="CF815" s="59"/>
      <c r="CG815" s="59"/>
      <c r="CH815" s="59"/>
      <c r="CI815" s="59"/>
      <c r="CJ815" s="59"/>
      <c r="CK815" s="59"/>
      <c r="CL815" s="59"/>
      <c r="CM815" s="59"/>
      <c r="CN815" s="59"/>
      <c r="CO815" s="59"/>
      <c r="CP815" s="59"/>
      <c r="CQ815" s="59"/>
      <c r="CR815" s="59"/>
      <c r="CS815" s="59"/>
      <c r="CT815" s="59"/>
      <c r="CU815" s="59"/>
      <c r="CV815" s="59"/>
      <c r="CW815" s="59"/>
      <c r="CX815" s="59"/>
      <c r="CY815" s="59"/>
      <c r="CZ815" s="59"/>
      <c r="DA815" s="59"/>
      <c r="DB815" s="59"/>
      <c r="DC815" s="59"/>
      <c r="DD815" s="59"/>
      <c r="DE815" s="59"/>
      <c r="DF815" s="59"/>
      <c r="DG815" s="59"/>
    </row>
    <row r="816" spans="1:111" ht="11.2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9"/>
      <c r="AW816" s="59"/>
      <c r="AX816" s="59"/>
      <c r="AY816" s="59"/>
      <c r="AZ816" s="59"/>
      <c r="BA816" s="59"/>
      <c r="BB816" s="59"/>
      <c r="BC816" s="59"/>
      <c r="BD816" s="59"/>
      <c r="BE816" s="59"/>
      <c r="BF816" s="59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59"/>
      <c r="BZ816" s="59"/>
      <c r="CA816" s="59"/>
      <c r="CB816" s="59"/>
      <c r="CC816" s="59"/>
      <c r="CD816" s="59"/>
      <c r="CE816" s="59"/>
      <c r="CF816" s="59"/>
      <c r="CG816" s="59"/>
      <c r="CH816" s="59"/>
      <c r="CI816" s="59"/>
      <c r="CJ816" s="59"/>
      <c r="CK816" s="59"/>
      <c r="CL816" s="59"/>
      <c r="CM816" s="59"/>
      <c r="CN816" s="59"/>
      <c r="CO816" s="59"/>
      <c r="CP816" s="59"/>
      <c r="CQ816" s="59"/>
      <c r="CR816" s="59"/>
      <c r="CS816" s="59"/>
      <c r="CT816" s="59"/>
      <c r="CU816" s="59"/>
      <c r="CV816" s="59"/>
      <c r="CW816" s="59"/>
      <c r="CX816" s="59"/>
      <c r="CY816" s="59"/>
      <c r="CZ816" s="59"/>
      <c r="DA816" s="59"/>
      <c r="DB816" s="59"/>
      <c r="DC816" s="59"/>
      <c r="DD816" s="59"/>
      <c r="DE816" s="59"/>
      <c r="DF816" s="59"/>
      <c r="DG816" s="59"/>
    </row>
    <row r="817" spans="1:111" ht="11.2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  <c r="AB817" s="59"/>
      <c r="AC817" s="59"/>
      <c r="AD817" s="59"/>
      <c r="AE817" s="59"/>
      <c r="AF817" s="59"/>
      <c r="AG817" s="59"/>
      <c r="AH817" s="59"/>
      <c r="AI817" s="59"/>
      <c r="AJ817" s="59"/>
      <c r="AK817" s="59"/>
      <c r="AL817" s="59"/>
      <c r="AM817" s="59"/>
      <c r="AN817" s="59"/>
      <c r="AO817" s="59"/>
      <c r="AP817" s="59"/>
      <c r="AQ817" s="59"/>
      <c r="AR817" s="59"/>
      <c r="AS817" s="59"/>
      <c r="AT817" s="59"/>
      <c r="AU817" s="59"/>
      <c r="AV817" s="59"/>
      <c r="AW817" s="59"/>
      <c r="AX817" s="59"/>
      <c r="AY817" s="59"/>
      <c r="AZ817" s="59"/>
      <c r="BA817" s="59"/>
      <c r="BB817" s="59"/>
      <c r="BC817" s="59"/>
      <c r="BD817" s="59"/>
      <c r="BE817" s="59"/>
      <c r="BF817" s="59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59"/>
      <c r="BZ817" s="59"/>
      <c r="CA817" s="59"/>
      <c r="CB817" s="59"/>
      <c r="CC817" s="59"/>
      <c r="CD817" s="59"/>
      <c r="CE817" s="59"/>
      <c r="CF817" s="59"/>
      <c r="CG817" s="59"/>
      <c r="CH817" s="59"/>
      <c r="CI817" s="59"/>
      <c r="CJ817" s="59"/>
      <c r="CK817" s="59"/>
      <c r="CL817" s="59"/>
      <c r="CM817" s="59"/>
      <c r="CN817" s="59"/>
      <c r="CO817" s="59"/>
      <c r="CP817" s="59"/>
      <c r="CQ817" s="59"/>
      <c r="CR817" s="59"/>
      <c r="CS817" s="59"/>
      <c r="CT817" s="59"/>
      <c r="CU817" s="59"/>
      <c r="CV817" s="59"/>
      <c r="CW817" s="59"/>
      <c r="CX817" s="59"/>
      <c r="CY817" s="59"/>
      <c r="CZ817" s="59"/>
      <c r="DA817" s="59"/>
      <c r="DB817" s="59"/>
      <c r="DC817" s="59"/>
      <c r="DD817" s="59"/>
      <c r="DE817" s="59"/>
      <c r="DF817" s="59"/>
      <c r="DG817" s="59"/>
    </row>
    <row r="818" spans="1:111" ht="11.2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  <c r="AJ818" s="59"/>
      <c r="AK818" s="59"/>
      <c r="AL818" s="59"/>
      <c r="AM818" s="59"/>
      <c r="AN818" s="59"/>
      <c r="AO818" s="59"/>
      <c r="AP818" s="59"/>
      <c r="AQ818" s="59"/>
      <c r="AR818" s="59"/>
      <c r="AS818" s="59"/>
      <c r="AT818" s="59"/>
      <c r="AU818" s="59"/>
      <c r="AV818" s="59"/>
      <c r="AW818" s="59"/>
      <c r="AX818" s="59"/>
      <c r="AY818" s="59"/>
      <c r="AZ818" s="59"/>
      <c r="BA818" s="59"/>
      <c r="BB818" s="59"/>
      <c r="BC818" s="59"/>
      <c r="BD818" s="59"/>
      <c r="BE818" s="59"/>
      <c r="BF818" s="59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59"/>
      <c r="BZ818" s="59"/>
      <c r="CA818" s="59"/>
      <c r="CB818" s="59"/>
      <c r="CC818" s="59"/>
      <c r="CD818" s="59"/>
      <c r="CE818" s="59"/>
      <c r="CF818" s="59"/>
      <c r="CG818" s="59"/>
      <c r="CH818" s="59"/>
      <c r="CI818" s="59"/>
      <c r="CJ818" s="59"/>
      <c r="CK818" s="59"/>
      <c r="CL818" s="59"/>
      <c r="CM818" s="59"/>
      <c r="CN818" s="59"/>
      <c r="CO818" s="59"/>
      <c r="CP818" s="59"/>
      <c r="CQ818" s="59"/>
      <c r="CR818" s="59"/>
      <c r="CS818" s="59"/>
      <c r="CT818" s="59"/>
      <c r="CU818" s="59"/>
      <c r="CV818" s="59"/>
      <c r="CW818" s="59"/>
      <c r="CX818" s="59"/>
      <c r="CY818" s="59"/>
      <c r="CZ818" s="59"/>
      <c r="DA818" s="59"/>
      <c r="DB818" s="59"/>
      <c r="DC818" s="59"/>
      <c r="DD818" s="59"/>
      <c r="DE818" s="59"/>
      <c r="DF818" s="59"/>
      <c r="DG818" s="59"/>
    </row>
    <row r="819" spans="1:111" ht="11.2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  <c r="AB819" s="59"/>
      <c r="AC819" s="59"/>
      <c r="AD819" s="59"/>
      <c r="AE819" s="59"/>
      <c r="AF819" s="59"/>
      <c r="AG819" s="59"/>
      <c r="AH819" s="59"/>
      <c r="AI819" s="59"/>
      <c r="AJ819" s="59"/>
      <c r="AK819" s="59"/>
      <c r="AL819" s="59"/>
      <c r="AM819" s="59"/>
      <c r="AN819" s="59"/>
      <c r="AO819" s="59"/>
      <c r="AP819" s="59"/>
      <c r="AQ819" s="59"/>
      <c r="AR819" s="59"/>
      <c r="AS819" s="59"/>
      <c r="AT819" s="59"/>
      <c r="AU819" s="59"/>
      <c r="AV819" s="59"/>
      <c r="AW819" s="59"/>
      <c r="AX819" s="59"/>
      <c r="AY819" s="59"/>
      <c r="AZ819" s="59"/>
      <c r="BA819" s="59"/>
      <c r="BB819" s="59"/>
      <c r="BC819" s="59"/>
      <c r="BD819" s="59"/>
      <c r="BE819" s="59"/>
      <c r="BF819" s="59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59"/>
      <c r="BZ819" s="59"/>
      <c r="CA819" s="59"/>
      <c r="CB819" s="59"/>
      <c r="CC819" s="59"/>
      <c r="CD819" s="59"/>
      <c r="CE819" s="59"/>
      <c r="CF819" s="59"/>
      <c r="CG819" s="59"/>
      <c r="CH819" s="59"/>
      <c r="CI819" s="59"/>
      <c r="CJ819" s="59"/>
      <c r="CK819" s="59"/>
      <c r="CL819" s="59"/>
      <c r="CM819" s="59"/>
      <c r="CN819" s="59"/>
      <c r="CO819" s="59"/>
      <c r="CP819" s="59"/>
      <c r="CQ819" s="59"/>
      <c r="CR819" s="59"/>
      <c r="CS819" s="59"/>
      <c r="CT819" s="59"/>
      <c r="CU819" s="59"/>
      <c r="CV819" s="59"/>
      <c r="CW819" s="59"/>
      <c r="CX819" s="59"/>
      <c r="CY819" s="59"/>
      <c r="CZ819" s="59"/>
      <c r="DA819" s="59"/>
      <c r="DB819" s="59"/>
      <c r="DC819" s="59"/>
      <c r="DD819" s="59"/>
      <c r="DE819" s="59"/>
      <c r="DF819" s="59"/>
      <c r="DG819" s="59"/>
    </row>
    <row r="820" spans="1:111" ht="11.2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  <c r="AB820" s="59"/>
      <c r="AC820" s="59"/>
      <c r="AD820" s="59"/>
      <c r="AE820" s="59"/>
      <c r="AF820" s="59"/>
      <c r="AG820" s="59"/>
      <c r="AH820" s="59"/>
      <c r="AI820" s="59"/>
      <c r="AJ820" s="59"/>
      <c r="AK820" s="59"/>
      <c r="AL820" s="59"/>
      <c r="AM820" s="59"/>
      <c r="AN820" s="59"/>
      <c r="AO820" s="59"/>
      <c r="AP820" s="59"/>
      <c r="AQ820" s="59"/>
      <c r="AR820" s="59"/>
      <c r="AS820" s="59"/>
      <c r="AT820" s="59"/>
      <c r="AU820" s="59"/>
      <c r="AV820" s="59"/>
      <c r="AW820" s="59"/>
      <c r="AX820" s="59"/>
      <c r="AY820" s="59"/>
      <c r="AZ820" s="59"/>
      <c r="BA820" s="59"/>
      <c r="BB820" s="59"/>
      <c r="BC820" s="59"/>
      <c r="BD820" s="59"/>
      <c r="BE820" s="59"/>
      <c r="BF820" s="59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59"/>
      <c r="BZ820" s="59"/>
      <c r="CA820" s="59"/>
      <c r="CB820" s="59"/>
      <c r="CC820" s="59"/>
      <c r="CD820" s="59"/>
      <c r="CE820" s="59"/>
      <c r="CF820" s="59"/>
      <c r="CG820" s="59"/>
      <c r="CH820" s="59"/>
      <c r="CI820" s="59"/>
      <c r="CJ820" s="59"/>
      <c r="CK820" s="59"/>
      <c r="CL820" s="59"/>
      <c r="CM820" s="59"/>
      <c r="CN820" s="59"/>
      <c r="CO820" s="59"/>
      <c r="CP820" s="59"/>
      <c r="CQ820" s="59"/>
      <c r="CR820" s="59"/>
      <c r="CS820" s="59"/>
      <c r="CT820" s="59"/>
      <c r="CU820" s="59"/>
      <c r="CV820" s="59"/>
      <c r="CW820" s="59"/>
      <c r="CX820" s="59"/>
      <c r="CY820" s="59"/>
      <c r="CZ820" s="59"/>
      <c r="DA820" s="59"/>
      <c r="DB820" s="59"/>
      <c r="DC820" s="59"/>
      <c r="DD820" s="59"/>
      <c r="DE820" s="59"/>
      <c r="DF820" s="59"/>
      <c r="DG820" s="59"/>
    </row>
    <row r="821" spans="1:111" ht="11.2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  <c r="AB821" s="59"/>
      <c r="AC821" s="59"/>
      <c r="AD821" s="59"/>
      <c r="AE821" s="59"/>
      <c r="AF821" s="59"/>
      <c r="AG821" s="59"/>
      <c r="AH821" s="59"/>
      <c r="AI821" s="59"/>
      <c r="AJ821" s="59"/>
      <c r="AK821" s="59"/>
      <c r="AL821" s="59"/>
      <c r="AM821" s="59"/>
      <c r="AN821" s="59"/>
      <c r="AO821" s="59"/>
      <c r="AP821" s="59"/>
      <c r="AQ821" s="59"/>
      <c r="AR821" s="59"/>
      <c r="AS821" s="59"/>
      <c r="AT821" s="59"/>
      <c r="AU821" s="59"/>
      <c r="AV821" s="59"/>
      <c r="AW821" s="59"/>
      <c r="AX821" s="59"/>
      <c r="AY821" s="59"/>
      <c r="AZ821" s="59"/>
      <c r="BA821" s="59"/>
      <c r="BB821" s="59"/>
      <c r="BC821" s="59"/>
      <c r="BD821" s="59"/>
      <c r="BE821" s="59"/>
      <c r="BF821" s="59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59"/>
      <c r="BZ821" s="59"/>
      <c r="CA821" s="59"/>
      <c r="CB821" s="59"/>
      <c r="CC821" s="59"/>
      <c r="CD821" s="59"/>
      <c r="CE821" s="59"/>
      <c r="CF821" s="59"/>
      <c r="CG821" s="59"/>
      <c r="CH821" s="59"/>
      <c r="CI821" s="59"/>
      <c r="CJ821" s="59"/>
      <c r="CK821" s="59"/>
      <c r="CL821" s="59"/>
      <c r="CM821" s="59"/>
      <c r="CN821" s="59"/>
      <c r="CO821" s="59"/>
      <c r="CP821" s="59"/>
      <c r="CQ821" s="59"/>
      <c r="CR821" s="59"/>
      <c r="CS821" s="59"/>
      <c r="CT821" s="59"/>
      <c r="CU821" s="59"/>
      <c r="CV821" s="59"/>
      <c r="CW821" s="59"/>
      <c r="CX821" s="59"/>
      <c r="CY821" s="59"/>
      <c r="CZ821" s="59"/>
      <c r="DA821" s="59"/>
      <c r="DB821" s="59"/>
      <c r="DC821" s="59"/>
      <c r="DD821" s="59"/>
      <c r="DE821" s="59"/>
      <c r="DF821" s="59"/>
      <c r="DG821" s="59"/>
    </row>
    <row r="822" spans="1:111" ht="11.2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  <c r="AJ822" s="59"/>
      <c r="AK822" s="59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9"/>
      <c r="AW822" s="59"/>
      <c r="AX822" s="59"/>
      <c r="AY822" s="59"/>
      <c r="AZ822" s="59"/>
      <c r="BA822" s="59"/>
      <c r="BB822" s="59"/>
      <c r="BC822" s="59"/>
      <c r="BD822" s="59"/>
      <c r="BE822" s="59"/>
      <c r="BF822" s="59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59"/>
      <c r="BZ822" s="59"/>
      <c r="CA822" s="59"/>
      <c r="CB822" s="59"/>
      <c r="CC822" s="59"/>
      <c r="CD822" s="59"/>
      <c r="CE822" s="59"/>
      <c r="CF822" s="59"/>
      <c r="CG822" s="59"/>
      <c r="CH822" s="59"/>
      <c r="CI822" s="59"/>
      <c r="CJ822" s="59"/>
      <c r="CK822" s="59"/>
      <c r="CL822" s="59"/>
      <c r="CM822" s="59"/>
      <c r="CN822" s="59"/>
      <c r="CO822" s="59"/>
      <c r="CP822" s="59"/>
      <c r="CQ822" s="59"/>
      <c r="CR822" s="59"/>
      <c r="CS822" s="59"/>
      <c r="CT822" s="59"/>
      <c r="CU822" s="59"/>
      <c r="CV822" s="59"/>
      <c r="CW822" s="59"/>
      <c r="CX822" s="59"/>
      <c r="CY822" s="59"/>
      <c r="CZ822" s="59"/>
      <c r="DA822" s="59"/>
      <c r="DB822" s="59"/>
      <c r="DC822" s="59"/>
      <c r="DD822" s="59"/>
      <c r="DE822" s="59"/>
      <c r="DF822" s="59"/>
      <c r="DG822" s="59"/>
    </row>
    <row r="823" spans="1:111" ht="11.2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  <c r="AB823" s="59"/>
      <c r="AC823" s="59"/>
      <c r="AD823" s="59"/>
      <c r="AE823" s="59"/>
      <c r="AF823" s="59"/>
      <c r="AG823" s="59"/>
      <c r="AH823" s="59"/>
      <c r="AI823" s="59"/>
      <c r="AJ823" s="59"/>
      <c r="AK823" s="59"/>
      <c r="AL823" s="59"/>
      <c r="AM823" s="59"/>
      <c r="AN823" s="59"/>
      <c r="AO823" s="59"/>
      <c r="AP823" s="59"/>
      <c r="AQ823" s="59"/>
      <c r="AR823" s="59"/>
      <c r="AS823" s="59"/>
      <c r="AT823" s="59"/>
      <c r="AU823" s="59"/>
      <c r="AV823" s="59"/>
      <c r="AW823" s="59"/>
      <c r="AX823" s="59"/>
      <c r="AY823" s="59"/>
      <c r="AZ823" s="59"/>
      <c r="BA823" s="59"/>
      <c r="BB823" s="59"/>
      <c r="BC823" s="59"/>
      <c r="BD823" s="59"/>
      <c r="BE823" s="59"/>
      <c r="BF823" s="59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59"/>
      <c r="BZ823" s="59"/>
      <c r="CA823" s="59"/>
      <c r="CB823" s="59"/>
      <c r="CC823" s="59"/>
      <c r="CD823" s="59"/>
      <c r="CE823" s="59"/>
      <c r="CF823" s="59"/>
      <c r="CG823" s="59"/>
      <c r="CH823" s="59"/>
      <c r="CI823" s="59"/>
      <c r="CJ823" s="59"/>
      <c r="CK823" s="59"/>
      <c r="CL823" s="59"/>
      <c r="CM823" s="59"/>
      <c r="CN823" s="59"/>
      <c r="CO823" s="59"/>
      <c r="CP823" s="59"/>
      <c r="CQ823" s="59"/>
      <c r="CR823" s="59"/>
      <c r="CS823" s="59"/>
      <c r="CT823" s="59"/>
      <c r="CU823" s="59"/>
      <c r="CV823" s="59"/>
      <c r="CW823" s="59"/>
      <c r="CX823" s="59"/>
      <c r="CY823" s="59"/>
      <c r="CZ823" s="59"/>
      <c r="DA823" s="59"/>
      <c r="DB823" s="59"/>
      <c r="DC823" s="59"/>
      <c r="DD823" s="59"/>
      <c r="DE823" s="59"/>
      <c r="DF823" s="59"/>
      <c r="DG823" s="59"/>
    </row>
    <row r="824" spans="1:111" ht="11.2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  <c r="AI824" s="59"/>
      <c r="AJ824" s="59"/>
      <c r="AK824" s="59"/>
      <c r="AL824" s="59"/>
      <c r="AM824" s="59"/>
      <c r="AN824" s="59"/>
      <c r="AO824" s="59"/>
      <c r="AP824" s="59"/>
      <c r="AQ824" s="59"/>
      <c r="AR824" s="59"/>
      <c r="AS824" s="59"/>
      <c r="AT824" s="59"/>
      <c r="AU824" s="59"/>
      <c r="AV824" s="59"/>
      <c r="AW824" s="59"/>
      <c r="AX824" s="59"/>
      <c r="AY824" s="59"/>
      <c r="AZ824" s="59"/>
      <c r="BA824" s="59"/>
      <c r="BB824" s="59"/>
      <c r="BC824" s="59"/>
      <c r="BD824" s="59"/>
      <c r="BE824" s="59"/>
      <c r="BF824" s="59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59"/>
      <c r="BZ824" s="59"/>
      <c r="CA824" s="59"/>
      <c r="CB824" s="59"/>
      <c r="CC824" s="59"/>
      <c r="CD824" s="59"/>
      <c r="CE824" s="59"/>
      <c r="CF824" s="59"/>
      <c r="CG824" s="59"/>
      <c r="CH824" s="59"/>
      <c r="CI824" s="59"/>
      <c r="CJ824" s="59"/>
      <c r="CK824" s="59"/>
      <c r="CL824" s="59"/>
      <c r="CM824" s="59"/>
      <c r="CN824" s="59"/>
      <c r="CO824" s="59"/>
      <c r="CP824" s="59"/>
      <c r="CQ824" s="59"/>
      <c r="CR824" s="59"/>
      <c r="CS824" s="59"/>
      <c r="CT824" s="59"/>
      <c r="CU824" s="59"/>
      <c r="CV824" s="59"/>
      <c r="CW824" s="59"/>
      <c r="CX824" s="59"/>
      <c r="CY824" s="59"/>
      <c r="CZ824" s="59"/>
      <c r="DA824" s="59"/>
      <c r="DB824" s="59"/>
      <c r="DC824" s="59"/>
      <c r="DD824" s="59"/>
      <c r="DE824" s="59"/>
      <c r="DF824" s="59"/>
      <c r="DG824" s="59"/>
    </row>
    <row r="825" spans="1:111" ht="11.2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  <c r="AB825" s="59"/>
      <c r="AC825" s="59"/>
      <c r="AD825" s="59"/>
      <c r="AE825" s="59"/>
      <c r="AF825" s="59"/>
      <c r="AG825" s="59"/>
      <c r="AH825" s="59"/>
      <c r="AI825" s="59"/>
      <c r="AJ825" s="59"/>
      <c r="AK825" s="59"/>
      <c r="AL825" s="59"/>
      <c r="AM825" s="59"/>
      <c r="AN825" s="59"/>
      <c r="AO825" s="59"/>
      <c r="AP825" s="59"/>
      <c r="AQ825" s="59"/>
      <c r="AR825" s="59"/>
      <c r="AS825" s="59"/>
      <c r="AT825" s="59"/>
      <c r="AU825" s="59"/>
      <c r="AV825" s="59"/>
      <c r="AW825" s="59"/>
      <c r="AX825" s="59"/>
      <c r="AY825" s="59"/>
      <c r="AZ825" s="59"/>
      <c r="BA825" s="59"/>
      <c r="BB825" s="59"/>
      <c r="BC825" s="59"/>
      <c r="BD825" s="59"/>
      <c r="BE825" s="59"/>
      <c r="BF825" s="59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59"/>
      <c r="BZ825" s="59"/>
      <c r="CA825" s="59"/>
      <c r="CB825" s="59"/>
      <c r="CC825" s="59"/>
      <c r="CD825" s="59"/>
      <c r="CE825" s="59"/>
      <c r="CF825" s="59"/>
      <c r="CG825" s="59"/>
      <c r="CH825" s="59"/>
      <c r="CI825" s="59"/>
      <c r="CJ825" s="59"/>
      <c r="CK825" s="59"/>
      <c r="CL825" s="59"/>
      <c r="CM825" s="59"/>
      <c r="CN825" s="59"/>
      <c r="CO825" s="59"/>
      <c r="CP825" s="59"/>
      <c r="CQ825" s="59"/>
      <c r="CR825" s="59"/>
      <c r="CS825" s="59"/>
      <c r="CT825" s="59"/>
      <c r="CU825" s="59"/>
      <c r="CV825" s="59"/>
      <c r="CW825" s="59"/>
      <c r="CX825" s="59"/>
      <c r="CY825" s="59"/>
      <c r="CZ825" s="59"/>
      <c r="DA825" s="59"/>
      <c r="DB825" s="59"/>
      <c r="DC825" s="59"/>
      <c r="DD825" s="59"/>
      <c r="DE825" s="59"/>
      <c r="DF825" s="59"/>
      <c r="DG825" s="59"/>
    </row>
    <row r="826" spans="1:111" ht="11.2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  <c r="AB826" s="59"/>
      <c r="AC826" s="59"/>
      <c r="AD826" s="59"/>
      <c r="AE826" s="59"/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9"/>
      <c r="AW826" s="59"/>
      <c r="AX826" s="59"/>
      <c r="AY826" s="59"/>
      <c r="AZ826" s="59"/>
      <c r="BA826" s="59"/>
      <c r="BB826" s="59"/>
      <c r="BC826" s="59"/>
      <c r="BD826" s="59"/>
      <c r="BE826" s="59"/>
      <c r="BF826" s="59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59"/>
      <c r="BZ826" s="59"/>
      <c r="CA826" s="59"/>
      <c r="CB826" s="59"/>
      <c r="CC826" s="59"/>
      <c r="CD826" s="59"/>
      <c r="CE826" s="59"/>
      <c r="CF826" s="59"/>
      <c r="CG826" s="59"/>
      <c r="CH826" s="59"/>
      <c r="CI826" s="59"/>
      <c r="CJ826" s="59"/>
      <c r="CK826" s="59"/>
      <c r="CL826" s="59"/>
      <c r="CM826" s="59"/>
      <c r="CN826" s="59"/>
      <c r="CO826" s="59"/>
      <c r="CP826" s="59"/>
      <c r="CQ826" s="59"/>
      <c r="CR826" s="59"/>
      <c r="CS826" s="59"/>
      <c r="CT826" s="59"/>
      <c r="CU826" s="59"/>
      <c r="CV826" s="59"/>
      <c r="CW826" s="59"/>
      <c r="CX826" s="59"/>
      <c r="CY826" s="59"/>
      <c r="CZ826" s="59"/>
      <c r="DA826" s="59"/>
      <c r="DB826" s="59"/>
      <c r="DC826" s="59"/>
      <c r="DD826" s="59"/>
      <c r="DE826" s="59"/>
      <c r="DF826" s="59"/>
      <c r="DG826" s="59"/>
    </row>
    <row r="827" spans="1:111" ht="11.2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  <c r="AB827" s="59"/>
      <c r="AC827" s="59"/>
      <c r="AD827" s="59"/>
      <c r="AE827" s="59"/>
      <c r="AF827" s="59"/>
      <c r="AG827" s="59"/>
      <c r="AH827" s="59"/>
      <c r="AI827" s="59"/>
      <c r="AJ827" s="59"/>
      <c r="AK827" s="59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9"/>
      <c r="AW827" s="59"/>
      <c r="AX827" s="59"/>
      <c r="AY827" s="59"/>
      <c r="AZ827" s="59"/>
      <c r="BA827" s="59"/>
      <c r="BB827" s="59"/>
      <c r="BC827" s="59"/>
      <c r="BD827" s="59"/>
      <c r="BE827" s="59"/>
      <c r="BF827" s="59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59"/>
      <c r="BZ827" s="59"/>
      <c r="CA827" s="59"/>
      <c r="CB827" s="59"/>
      <c r="CC827" s="59"/>
      <c r="CD827" s="59"/>
      <c r="CE827" s="59"/>
      <c r="CF827" s="59"/>
      <c r="CG827" s="59"/>
      <c r="CH827" s="59"/>
      <c r="CI827" s="59"/>
      <c r="CJ827" s="59"/>
      <c r="CK827" s="59"/>
      <c r="CL827" s="59"/>
      <c r="CM827" s="59"/>
      <c r="CN827" s="59"/>
      <c r="CO827" s="59"/>
      <c r="CP827" s="59"/>
      <c r="CQ827" s="59"/>
      <c r="CR827" s="59"/>
      <c r="CS827" s="59"/>
      <c r="CT827" s="59"/>
      <c r="CU827" s="59"/>
      <c r="CV827" s="59"/>
      <c r="CW827" s="59"/>
      <c r="CX827" s="59"/>
      <c r="CY827" s="59"/>
      <c r="CZ827" s="59"/>
      <c r="DA827" s="59"/>
      <c r="DB827" s="59"/>
      <c r="DC827" s="59"/>
      <c r="DD827" s="59"/>
      <c r="DE827" s="59"/>
      <c r="DF827" s="59"/>
      <c r="DG827" s="59"/>
    </row>
    <row r="828" spans="1:111" ht="11.2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  <c r="AB828" s="59"/>
      <c r="AC828" s="59"/>
      <c r="AD828" s="59"/>
      <c r="AE828" s="59"/>
      <c r="AF828" s="59"/>
      <c r="AG828" s="59"/>
      <c r="AH828" s="59"/>
      <c r="AI828" s="59"/>
      <c r="AJ828" s="59"/>
      <c r="AK828" s="59"/>
      <c r="AL828" s="59"/>
      <c r="AM828" s="59"/>
      <c r="AN828" s="59"/>
      <c r="AO828" s="59"/>
      <c r="AP828" s="59"/>
      <c r="AQ828" s="59"/>
      <c r="AR828" s="59"/>
      <c r="AS828" s="59"/>
      <c r="AT828" s="59"/>
      <c r="AU828" s="59"/>
      <c r="AV828" s="59"/>
      <c r="AW828" s="59"/>
      <c r="AX828" s="59"/>
      <c r="AY828" s="59"/>
      <c r="AZ828" s="59"/>
      <c r="BA828" s="59"/>
      <c r="BB828" s="59"/>
      <c r="BC828" s="59"/>
      <c r="BD828" s="59"/>
      <c r="BE828" s="59"/>
      <c r="BF828" s="59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59"/>
      <c r="BZ828" s="59"/>
      <c r="CA828" s="59"/>
      <c r="CB828" s="59"/>
      <c r="CC828" s="59"/>
      <c r="CD828" s="59"/>
      <c r="CE828" s="59"/>
      <c r="CF828" s="59"/>
      <c r="CG828" s="59"/>
      <c r="CH828" s="59"/>
      <c r="CI828" s="59"/>
      <c r="CJ828" s="59"/>
      <c r="CK828" s="59"/>
      <c r="CL828" s="59"/>
      <c r="CM828" s="59"/>
      <c r="CN828" s="59"/>
      <c r="CO828" s="59"/>
      <c r="CP828" s="59"/>
      <c r="CQ828" s="59"/>
      <c r="CR828" s="59"/>
      <c r="CS828" s="59"/>
      <c r="CT828" s="59"/>
      <c r="CU828" s="59"/>
      <c r="CV828" s="59"/>
      <c r="CW828" s="59"/>
      <c r="CX828" s="59"/>
      <c r="CY828" s="59"/>
      <c r="CZ828" s="59"/>
      <c r="DA828" s="59"/>
      <c r="DB828" s="59"/>
      <c r="DC828" s="59"/>
      <c r="DD828" s="59"/>
      <c r="DE828" s="59"/>
      <c r="DF828" s="59"/>
      <c r="DG828" s="59"/>
    </row>
    <row r="829" spans="1:111" ht="11.2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  <c r="AB829" s="59"/>
      <c r="AC829" s="59"/>
      <c r="AD829" s="59"/>
      <c r="AE829" s="59"/>
      <c r="AF829" s="59"/>
      <c r="AG829" s="59"/>
      <c r="AH829" s="59"/>
      <c r="AI829" s="59"/>
      <c r="AJ829" s="59"/>
      <c r="AK829" s="59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9"/>
      <c r="AW829" s="59"/>
      <c r="AX829" s="59"/>
      <c r="AY829" s="59"/>
      <c r="AZ829" s="59"/>
      <c r="BA829" s="59"/>
      <c r="BB829" s="59"/>
      <c r="BC829" s="59"/>
      <c r="BD829" s="59"/>
      <c r="BE829" s="59"/>
      <c r="BF829" s="59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59"/>
      <c r="BZ829" s="59"/>
      <c r="CA829" s="59"/>
      <c r="CB829" s="59"/>
      <c r="CC829" s="59"/>
      <c r="CD829" s="59"/>
      <c r="CE829" s="59"/>
      <c r="CF829" s="59"/>
      <c r="CG829" s="59"/>
      <c r="CH829" s="59"/>
      <c r="CI829" s="59"/>
      <c r="CJ829" s="59"/>
      <c r="CK829" s="59"/>
      <c r="CL829" s="59"/>
      <c r="CM829" s="59"/>
      <c r="CN829" s="59"/>
      <c r="CO829" s="59"/>
      <c r="CP829" s="59"/>
      <c r="CQ829" s="59"/>
      <c r="CR829" s="59"/>
      <c r="CS829" s="59"/>
      <c r="CT829" s="59"/>
      <c r="CU829" s="59"/>
      <c r="CV829" s="59"/>
      <c r="CW829" s="59"/>
      <c r="CX829" s="59"/>
      <c r="CY829" s="59"/>
      <c r="CZ829" s="59"/>
      <c r="DA829" s="59"/>
      <c r="DB829" s="59"/>
      <c r="DC829" s="59"/>
      <c r="DD829" s="59"/>
      <c r="DE829" s="59"/>
      <c r="DF829" s="59"/>
      <c r="DG829" s="59"/>
    </row>
    <row r="830" spans="1:111" ht="11.2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  <c r="AB830" s="59"/>
      <c r="AC830" s="59"/>
      <c r="AD830" s="59"/>
      <c r="AE830" s="59"/>
      <c r="AF830" s="59"/>
      <c r="AG830" s="59"/>
      <c r="AH830" s="59"/>
      <c r="AI830" s="59"/>
      <c r="AJ830" s="59"/>
      <c r="AK830" s="59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9"/>
      <c r="AW830" s="59"/>
      <c r="AX830" s="59"/>
      <c r="AY830" s="59"/>
      <c r="AZ830" s="59"/>
      <c r="BA830" s="59"/>
      <c r="BB830" s="59"/>
      <c r="BC830" s="59"/>
      <c r="BD830" s="59"/>
      <c r="BE830" s="59"/>
      <c r="BF830" s="59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59"/>
      <c r="BZ830" s="59"/>
      <c r="CA830" s="59"/>
      <c r="CB830" s="59"/>
      <c r="CC830" s="59"/>
      <c r="CD830" s="59"/>
      <c r="CE830" s="59"/>
      <c r="CF830" s="59"/>
      <c r="CG830" s="59"/>
      <c r="CH830" s="59"/>
      <c r="CI830" s="59"/>
      <c r="CJ830" s="59"/>
      <c r="CK830" s="59"/>
      <c r="CL830" s="59"/>
      <c r="CM830" s="59"/>
      <c r="CN830" s="59"/>
      <c r="CO830" s="59"/>
      <c r="CP830" s="59"/>
      <c r="CQ830" s="59"/>
      <c r="CR830" s="59"/>
      <c r="CS830" s="59"/>
      <c r="CT830" s="59"/>
      <c r="CU830" s="59"/>
      <c r="CV830" s="59"/>
      <c r="CW830" s="59"/>
      <c r="CX830" s="59"/>
      <c r="CY830" s="59"/>
      <c r="CZ830" s="59"/>
      <c r="DA830" s="59"/>
      <c r="DB830" s="59"/>
      <c r="DC830" s="59"/>
      <c r="DD830" s="59"/>
      <c r="DE830" s="59"/>
      <c r="DF830" s="59"/>
      <c r="DG830" s="59"/>
    </row>
    <row r="831" spans="1:111" ht="11.2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  <c r="AB831" s="59"/>
      <c r="AC831" s="59"/>
      <c r="AD831" s="59"/>
      <c r="AE831" s="59"/>
      <c r="AF831" s="59"/>
      <c r="AG831" s="59"/>
      <c r="AH831" s="59"/>
      <c r="AI831" s="59"/>
      <c r="AJ831" s="59"/>
      <c r="AK831" s="59"/>
      <c r="AL831" s="59"/>
      <c r="AM831" s="59"/>
      <c r="AN831" s="59"/>
      <c r="AO831" s="59"/>
      <c r="AP831" s="59"/>
      <c r="AQ831" s="59"/>
      <c r="AR831" s="59"/>
      <c r="AS831" s="59"/>
      <c r="AT831" s="59"/>
      <c r="AU831" s="59"/>
      <c r="AV831" s="59"/>
      <c r="AW831" s="59"/>
      <c r="AX831" s="59"/>
      <c r="AY831" s="59"/>
      <c r="AZ831" s="59"/>
      <c r="BA831" s="59"/>
      <c r="BB831" s="59"/>
      <c r="BC831" s="59"/>
      <c r="BD831" s="59"/>
      <c r="BE831" s="59"/>
      <c r="BF831" s="59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59"/>
      <c r="BZ831" s="59"/>
      <c r="CA831" s="59"/>
      <c r="CB831" s="59"/>
      <c r="CC831" s="59"/>
      <c r="CD831" s="59"/>
      <c r="CE831" s="59"/>
      <c r="CF831" s="59"/>
      <c r="CG831" s="59"/>
      <c r="CH831" s="59"/>
      <c r="CI831" s="59"/>
      <c r="CJ831" s="59"/>
      <c r="CK831" s="59"/>
      <c r="CL831" s="59"/>
      <c r="CM831" s="59"/>
      <c r="CN831" s="59"/>
      <c r="CO831" s="59"/>
      <c r="CP831" s="59"/>
      <c r="CQ831" s="59"/>
      <c r="CR831" s="59"/>
      <c r="CS831" s="59"/>
      <c r="CT831" s="59"/>
      <c r="CU831" s="59"/>
      <c r="CV831" s="59"/>
      <c r="CW831" s="59"/>
      <c r="CX831" s="59"/>
      <c r="CY831" s="59"/>
      <c r="CZ831" s="59"/>
      <c r="DA831" s="59"/>
      <c r="DB831" s="59"/>
      <c r="DC831" s="59"/>
      <c r="DD831" s="59"/>
      <c r="DE831" s="59"/>
      <c r="DF831" s="59"/>
      <c r="DG831" s="59"/>
    </row>
    <row r="832" spans="1:111" ht="11.2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  <c r="AB832" s="59"/>
      <c r="AC832" s="59"/>
      <c r="AD832" s="59"/>
      <c r="AE832" s="59"/>
      <c r="AF832" s="59"/>
      <c r="AG832" s="59"/>
      <c r="AH832" s="59"/>
      <c r="AI832" s="59"/>
      <c r="AJ832" s="59"/>
      <c r="AK832" s="59"/>
      <c r="AL832" s="59"/>
      <c r="AM832" s="59"/>
      <c r="AN832" s="59"/>
      <c r="AO832" s="59"/>
      <c r="AP832" s="59"/>
      <c r="AQ832" s="59"/>
      <c r="AR832" s="59"/>
      <c r="AS832" s="59"/>
      <c r="AT832" s="59"/>
      <c r="AU832" s="59"/>
      <c r="AV832" s="59"/>
      <c r="AW832" s="59"/>
      <c r="AX832" s="59"/>
      <c r="AY832" s="59"/>
      <c r="AZ832" s="59"/>
      <c r="BA832" s="59"/>
      <c r="BB832" s="59"/>
      <c r="BC832" s="59"/>
      <c r="BD832" s="59"/>
      <c r="BE832" s="59"/>
      <c r="BF832" s="59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59"/>
      <c r="BZ832" s="59"/>
      <c r="CA832" s="59"/>
      <c r="CB832" s="59"/>
      <c r="CC832" s="59"/>
      <c r="CD832" s="59"/>
      <c r="CE832" s="59"/>
      <c r="CF832" s="59"/>
      <c r="CG832" s="59"/>
      <c r="CH832" s="59"/>
      <c r="CI832" s="59"/>
      <c r="CJ832" s="59"/>
      <c r="CK832" s="59"/>
      <c r="CL832" s="59"/>
      <c r="CM832" s="59"/>
      <c r="CN832" s="59"/>
      <c r="CO832" s="59"/>
      <c r="CP832" s="59"/>
      <c r="CQ832" s="59"/>
      <c r="CR832" s="59"/>
      <c r="CS832" s="59"/>
      <c r="CT832" s="59"/>
      <c r="CU832" s="59"/>
      <c r="CV832" s="59"/>
      <c r="CW832" s="59"/>
      <c r="CX832" s="59"/>
      <c r="CY832" s="59"/>
      <c r="CZ832" s="59"/>
      <c r="DA832" s="59"/>
      <c r="DB832" s="59"/>
      <c r="DC832" s="59"/>
      <c r="DD832" s="59"/>
      <c r="DE832" s="59"/>
      <c r="DF832" s="59"/>
      <c r="DG832" s="59"/>
    </row>
    <row r="833" spans="1:111" ht="11.2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  <c r="AB833" s="59"/>
      <c r="AC833" s="59"/>
      <c r="AD833" s="59"/>
      <c r="AE833" s="59"/>
      <c r="AF833" s="59"/>
      <c r="AG833" s="59"/>
      <c r="AH833" s="59"/>
      <c r="AI833" s="59"/>
      <c r="AJ833" s="59"/>
      <c r="AK833" s="59"/>
      <c r="AL833" s="59"/>
      <c r="AM833" s="59"/>
      <c r="AN833" s="59"/>
      <c r="AO833" s="59"/>
      <c r="AP833" s="59"/>
      <c r="AQ833" s="59"/>
      <c r="AR833" s="59"/>
      <c r="AS833" s="59"/>
      <c r="AT833" s="59"/>
      <c r="AU833" s="59"/>
      <c r="AV833" s="59"/>
      <c r="AW833" s="59"/>
      <c r="AX833" s="59"/>
      <c r="AY833" s="59"/>
      <c r="AZ833" s="59"/>
      <c r="BA833" s="59"/>
      <c r="BB833" s="59"/>
      <c r="BC833" s="59"/>
      <c r="BD833" s="59"/>
      <c r="BE833" s="59"/>
      <c r="BF833" s="59"/>
      <c r="BG833" s="59"/>
      <c r="BH833" s="59"/>
      <c r="BI833" s="59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59"/>
      <c r="BZ833" s="59"/>
      <c r="CA833" s="59"/>
      <c r="CB833" s="59"/>
      <c r="CC833" s="59"/>
      <c r="CD833" s="59"/>
      <c r="CE833" s="59"/>
      <c r="CF833" s="59"/>
      <c r="CG833" s="59"/>
      <c r="CH833" s="59"/>
      <c r="CI833" s="59"/>
      <c r="CJ833" s="59"/>
      <c r="CK833" s="59"/>
      <c r="CL833" s="59"/>
      <c r="CM833" s="59"/>
      <c r="CN833" s="59"/>
      <c r="CO833" s="59"/>
      <c r="CP833" s="59"/>
      <c r="CQ833" s="59"/>
      <c r="CR833" s="59"/>
      <c r="CS833" s="59"/>
      <c r="CT833" s="59"/>
      <c r="CU833" s="59"/>
      <c r="CV833" s="59"/>
      <c r="CW833" s="59"/>
      <c r="CX833" s="59"/>
      <c r="CY833" s="59"/>
      <c r="CZ833" s="59"/>
      <c r="DA833" s="59"/>
      <c r="DB833" s="59"/>
      <c r="DC833" s="59"/>
      <c r="DD833" s="59"/>
      <c r="DE833" s="59"/>
      <c r="DF833" s="59"/>
      <c r="DG833" s="59"/>
    </row>
    <row r="834" spans="1:111" ht="11.2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  <c r="AB834" s="59"/>
      <c r="AC834" s="59"/>
      <c r="AD834" s="59"/>
      <c r="AE834" s="59"/>
      <c r="AF834" s="59"/>
      <c r="AG834" s="59"/>
      <c r="AH834" s="59"/>
      <c r="AI834" s="59"/>
      <c r="AJ834" s="59"/>
      <c r="AK834" s="59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9"/>
      <c r="AW834" s="59"/>
      <c r="AX834" s="59"/>
      <c r="AY834" s="59"/>
      <c r="AZ834" s="59"/>
      <c r="BA834" s="59"/>
      <c r="BB834" s="59"/>
      <c r="BC834" s="59"/>
      <c r="BD834" s="59"/>
      <c r="BE834" s="59"/>
      <c r="BF834" s="59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59"/>
      <c r="BZ834" s="59"/>
      <c r="CA834" s="59"/>
      <c r="CB834" s="59"/>
      <c r="CC834" s="59"/>
      <c r="CD834" s="59"/>
      <c r="CE834" s="59"/>
      <c r="CF834" s="59"/>
      <c r="CG834" s="59"/>
      <c r="CH834" s="59"/>
      <c r="CI834" s="59"/>
      <c r="CJ834" s="59"/>
      <c r="CK834" s="59"/>
      <c r="CL834" s="59"/>
      <c r="CM834" s="59"/>
      <c r="CN834" s="59"/>
      <c r="CO834" s="59"/>
      <c r="CP834" s="59"/>
      <c r="CQ834" s="59"/>
      <c r="CR834" s="59"/>
      <c r="CS834" s="59"/>
      <c r="CT834" s="59"/>
      <c r="CU834" s="59"/>
      <c r="CV834" s="59"/>
      <c r="CW834" s="59"/>
      <c r="CX834" s="59"/>
      <c r="CY834" s="59"/>
      <c r="CZ834" s="59"/>
      <c r="DA834" s="59"/>
      <c r="DB834" s="59"/>
      <c r="DC834" s="59"/>
      <c r="DD834" s="59"/>
      <c r="DE834" s="59"/>
      <c r="DF834" s="59"/>
      <c r="DG834" s="59"/>
    </row>
    <row r="835" spans="1:111" ht="11.2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  <c r="AB835" s="59"/>
      <c r="AC835" s="59"/>
      <c r="AD835" s="59"/>
      <c r="AE835" s="59"/>
      <c r="AF835" s="59"/>
      <c r="AG835" s="59"/>
      <c r="AH835" s="59"/>
      <c r="AI835" s="59"/>
      <c r="AJ835" s="59"/>
      <c r="AK835" s="59"/>
      <c r="AL835" s="59"/>
      <c r="AM835" s="59"/>
      <c r="AN835" s="59"/>
      <c r="AO835" s="59"/>
      <c r="AP835" s="59"/>
      <c r="AQ835" s="59"/>
      <c r="AR835" s="59"/>
      <c r="AS835" s="59"/>
      <c r="AT835" s="59"/>
      <c r="AU835" s="59"/>
      <c r="AV835" s="59"/>
      <c r="AW835" s="59"/>
      <c r="AX835" s="59"/>
      <c r="AY835" s="59"/>
      <c r="AZ835" s="59"/>
      <c r="BA835" s="59"/>
      <c r="BB835" s="59"/>
      <c r="BC835" s="59"/>
      <c r="BD835" s="59"/>
      <c r="BE835" s="59"/>
      <c r="BF835" s="59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59"/>
      <c r="BZ835" s="59"/>
      <c r="CA835" s="59"/>
      <c r="CB835" s="59"/>
      <c r="CC835" s="59"/>
      <c r="CD835" s="59"/>
      <c r="CE835" s="59"/>
      <c r="CF835" s="59"/>
      <c r="CG835" s="59"/>
      <c r="CH835" s="59"/>
      <c r="CI835" s="59"/>
      <c r="CJ835" s="59"/>
      <c r="CK835" s="59"/>
      <c r="CL835" s="59"/>
      <c r="CM835" s="59"/>
      <c r="CN835" s="59"/>
      <c r="CO835" s="59"/>
      <c r="CP835" s="59"/>
      <c r="CQ835" s="59"/>
      <c r="CR835" s="59"/>
      <c r="CS835" s="59"/>
      <c r="CT835" s="59"/>
      <c r="CU835" s="59"/>
      <c r="CV835" s="59"/>
      <c r="CW835" s="59"/>
      <c r="CX835" s="59"/>
      <c r="CY835" s="59"/>
      <c r="CZ835" s="59"/>
      <c r="DA835" s="59"/>
      <c r="DB835" s="59"/>
      <c r="DC835" s="59"/>
      <c r="DD835" s="59"/>
      <c r="DE835" s="59"/>
      <c r="DF835" s="59"/>
      <c r="DG835" s="59"/>
    </row>
    <row r="836" spans="1:111" ht="11.2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  <c r="AB836" s="59"/>
      <c r="AC836" s="59"/>
      <c r="AD836" s="59"/>
      <c r="AE836" s="59"/>
      <c r="AF836" s="59"/>
      <c r="AG836" s="59"/>
      <c r="AH836" s="59"/>
      <c r="AI836" s="59"/>
      <c r="AJ836" s="59"/>
      <c r="AK836" s="59"/>
      <c r="AL836" s="59"/>
      <c r="AM836" s="59"/>
      <c r="AN836" s="59"/>
      <c r="AO836" s="59"/>
      <c r="AP836" s="59"/>
      <c r="AQ836" s="59"/>
      <c r="AR836" s="59"/>
      <c r="AS836" s="59"/>
      <c r="AT836" s="59"/>
      <c r="AU836" s="59"/>
      <c r="AV836" s="59"/>
      <c r="AW836" s="59"/>
      <c r="AX836" s="59"/>
      <c r="AY836" s="59"/>
      <c r="AZ836" s="59"/>
      <c r="BA836" s="59"/>
      <c r="BB836" s="59"/>
      <c r="BC836" s="59"/>
      <c r="BD836" s="59"/>
      <c r="BE836" s="59"/>
      <c r="BF836" s="59"/>
      <c r="BG836" s="59"/>
      <c r="BH836" s="59"/>
      <c r="BI836" s="59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59"/>
      <c r="BZ836" s="59"/>
      <c r="CA836" s="59"/>
      <c r="CB836" s="59"/>
      <c r="CC836" s="59"/>
      <c r="CD836" s="59"/>
      <c r="CE836" s="59"/>
      <c r="CF836" s="59"/>
      <c r="CG836" s="59"/>
      <c r="CH836" s="59"/>
      <c r="CI836" s="59"/>
      <c r="CJ836" s="59"/>
      <c r="CK836" s="59"/>
      <c r="CL836" s="59"/>
      <c r="CM836" s="59"/>
      <c r="CN836" s="59"/>
      <c r="CO836" s="59"/>
      <c r="CP836" s="59"/>
      <c r="CQ836" s="59"/>
      <c r="CR836" s="59"/>
      <c r="CS836" s="59"/>
      <c r="CT836" s="59"/>
      <c r="CU836" s="59"/>
      <c r="CV836" s="59"/>
      <c r="CW836" s="59"/>
      <c r="CX836" s="59"/>
      <c r="CY836" s="59"/>
      <c r="CZ836" s="59"/>
      <c r="DA836" s="59"/>
      <c r="DB836" s="59"/>
      <c r="DC836" s="59"/>
      <c r="DD836" s="59"/>
      <c r="DE836" s="59"/>
      <c r="DF836" s="59"/>
      <c r="DG836" s="59"/>
    </row>
    <row r="837" spans="1:111" ht="11.2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  <c r="AB837" s="59"/>
      <c r="AC837" s="59"/>
      <c r="AD837" s="59"/>
      <c r="AE837" s="59"/>
      <c r="AF837" s="59"/>
      <c r="AG837" s="59"/>
      <c r="AH837" s="59"/>
      <c r="AI837" s="59"/>
      <c r="AJ837" s="59"/>
      <c r="AK837" s="59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9"/>
      <c r="AW837" s="59"/>
      <c r="AX837" s="59"/>
      <c r="AY837" s="59"/>
      <c r="AZ837" s="59"/>
      <c r="BA837" s="59"/>
      <c r="BB837" s="59"/>
      <c r="BC837" s="59"/>
      <c r="BD837" s="59"/>
      <c r="BE837" s="59"/>
      <c r="BF837" s="59"/>
      <c r="BG837" s="59"/>
      <c r="BH837" s="59"/>
      <c r="BI837" s="59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59"/>
      <c r="BZ837" s="59"/>
      <c r="CA837" s="59"/>
      <c r="CB837" s="59"/>
      <c r="CC837" s="59"/>
      <c r="CD837" s="59"/>
      <c r="CE837" s="59"/>
      <c r="CF837" s="59"/>
      <c r="CG837" s="59"/>
      <c r="CH837" s="59"/>
      <c r="CI837" s="59"/>
      <c r="CJ837" s="59"/>
      <c r="CK837" s="59"/>
      <c r="CL837" s="59"/>
      <c r="CM837" s="59"/>
      <c r="CN837" s="59"/>
      <c r="CO837" s="59"/>
      <c r="CP837" s="59"/>
      <c r="CQ837" s="59"/>
      <c r="CR837" s="59"/>
      <c r="CS837" s="59"/>
      <c r="CT837" s="59"/>
      <c r="CU837" s="59"/>
      <c r="CV837" s="59"/>
      <c r="CW837" s="59"/>
      <c r="CX837" s="59"/>
      <c r="CY837" s="59"/>
      <c r="CZ837" s="59"/>
      <c r="DA837" s="59"/>
      <c r="DB837" s="59"/>
      <c r="DC837" s="59"/>
      <c r="DD837" s="59"/>
      <c r="DE837" s="59"/>
      <c r="DF837" s="59"/>
      <c r="DG837" s="59"/>
    </row>
    <row r="838" spans="1:111" ht="11.2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  <c r="AB838" s="59"/>
      <c r="AC838" s="59"/>
      <c r="AD838" s="59"/>
      <c r="AE838" s="59"/>
      <c r="AF838" s="59"/>
      <c r="AG838" s="59"/>
      <c r="AH838" s="59"/>
      <c r="AI838" s="59"/>
      <c r="AJ838" s="59"/>
      <c r="AK838" s="59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9"/>
      <c r="AW838" s="59"/>
      <c r="AX838" s="59"/>
      <c r="AY838" s="59"/>
      <c r="AZ838" s="59"/>
      <c r="BA838" s="59"/>
      <c r="BB838" s="59"/>
      <c r="BC838" s="59"/>
      <c r="BD838" s="59"/>
      <c r="BE838" s="59"/>
      <c r="BF838" s="59"/>
      <c r="BG838" s="59"/>
      <c r="BH838" s="59"/>
      <c r="BI838" s="59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59"/>
      <c r="BZ838" s="59"/>
      <c r="CA838" s="59"/>
      <c r="CB838" s="59"/>
      <c r="CC838" s="59"/>
      <c r="CD838" s="59"/>
      <c r="CE838" s="59"/>
      <c r="CF838" s="59"/>
      <c r="CG838" s="59"/>
      <c r="CH838" s="59"/>
      <c r="CI838" s="59"/>
      <c r="CJ838" s="59"/>
      <c r="CK838" s="59"/>
      <c r="CL838" s="59"/>
      <c r="CM838" s="59"/>
      <c r="CN838" s="59"/>
      <c r="CO838" s="59"/>
      <c r="CP838" s="59"/>
      <c r="CQ838" s="59"/>
      <c r="CR838" s="59"/>
      <c r="CS838" s="59"/>
      <c r="CT838" s="59"/>
      <c r="CU838" s="59"/>
      <c r="CV838" s="59"/>
      <c r="CW838" s="59"/>
      <c r="CX838" s="59"/>
      <c r="CY838" s="59"/>
      <c r="CZ838" s="59"/>
      <c r="DA838" s="59"/>
      <c r="DB838" s="59"/>
      <c r="DC838" s="59"/>
      <c r="DD838" s="59"/>
      <c r="DE838" s="59"/>
      <c r="DF838" s="59"/>
      <c r="DG838" s="59"/>
    </row>
    <row r="839" spans="1:111" ht="11.2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  <c r="AB839" s="59"/>
      <c r="AC839" s="59"/>
      <c r="AD839" s="59"/>
      <c r="AE839" s="59"/>
      <c r="AF839" s="59"/>
      <c r="AG839" s="59"/>
      <c r="AH839" s="59"/>
      <c r="AI839" s="59"/>
      <c r="AJ839" s="59"/>
      <c r="AK839" s="59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9"/>
      <c r="AW839" s="59"/>
      <c r="AX839" s="59"/>
      <c r="AY839" s="59"/>
      <c r="AZ839" s="59"/>
      <c r="BA839" s="59"/>
      <c r="BB839" s="59"/>
      <c r="BC839" s="59"/>
      <c r="BD839" s="59"/>
      <c r="BE839" s="59"/>
      <c r="BF839" s="59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59"/>
      <c r="BZ839" s="59"/>
      <c r="CA839" s="59"/>
      <c r="CB839" s="59"/>
      <c r="CC839" s="59"/>
      <c r="CD839" s="59"/>
      <c r="CE839" s="59"/>
      <c r="CF839" s="59"/>
      <c r="CG839" s="59"/>
      <c r="CH839" s="59"/>
      <c r="CI839" s="59"/>
      <c r="CJ839" s="59"/>
      <c r="CK839" s="59"/>
      <c r="CL839" s="59"/>
      <c r="CM839" s="59"/>
      <c r="CN839" s="59"/>
      <c r="CO839" s="59"/>
      <c r="CP839" s="59"/>
      <c r="CQ839" s="59"/>
      <c r="CR839" s="59"/>
      <c r="CS839" s="59"/>
      <c r="CT839" s="59"/>
      <c r="CU839" s="59"/>
      <c r="CV839" s="59"/>
      <c r="CW839" s="59"/>
      <c r="CX839" s="59"/>
      <c r="CY839" s="59"/>
      <c r="CZ839" s="59"/>
      <c r="DA839" s="59"/>
      <c r="DB839" s="59"/>
      <c r="DC839" s="59"/>
      <c r="DD839" s="59"/>
      <c r="DE839" s="59"/>
      <c r="DF839" s="59"/>
      <c r="DG839" s="59"/>
    </row>
    <row r="840" spans="1:111" ht="11.2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  <c r="AB840" s="59"/>
      <c r="AC840" s="59"/>
      <c r="AD840" s="59"/>
      <c r="AE840" s="59"/>
      <c r="AF840" s="59"/>
      <c r="AG840" s="59"/>
      <c r="AH840" s="59"/>
      <c r="AI840" s="59"/>
      <c r="AJ840" s="59"/>
      <c r="AK840" s="59"/>
      <c r="AL840" s="59"/>
      <c r="AM840" s="59"/>
      <c r="AN840" s="59"/>
      <c r="AO840" s="59"/>
      <c r="AP840" s="59"/>
      <c r="AQ840" s="59"/>
      <c r="AR840" s="59"/>
      <c r="AS840" s="59"/>
      <c r="AT840" s="59"/>
      <c r="AU840" s="59"/>
      <c r="AV840" s="59"/>
      <c r="AW840" s="59"/>
      <c r="AX840" s="59"/>
      <c r="AY840" s="59"/>
      <c r="AZ840" s="59"/>
      <c r="BA840" s="59"/>
      <c r="BB840" s="59"/>
      <c r="BC840" s="59"/>
      <c r="BD840" s="59"/>
      <c r="BE840" s="59"/>
      <c r="BF840" s="59"/>
      <c r="BG840" s="59"/>
      <c r="BH840" s="59"/>
      <c r="BI840" s="59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59"/>
      <c r="BZ840" s="59"/>
      <c r="CA840" s="59"/>
      <c r="CB840" s="59"/>
      <c r="CC840" s="59"/>
      <c r="CD840" s="59"/>
      <c r="CE840" s="59"/>
      <c r="CF840" s="59"/>
      <c r="CG840" s="59"/>
      <c r="CH840" s="59"/>
      <c r="CI840" s="59"/>
      <c r="CJ840" s="59"/>
      <c r="CK840" s="59"/>
      <c r="CL840" s="59"/>
      <c r="CM840" s="59"/>
      <c r="CN840" s="59"/>
      <c r="CO840" s="59"/>
      <c r="CP840" s="59"/>
      <c r="CQ840" s="59"/>
      <c r="CR840" s="59"/>
      <c r="CS840" s="59"/>
      <c r="CT840" s="59"/>
      <c r="CU840" s="59"/>
      <c r="CV840" s="59"/>
      <c r="CW840" s="59"/>
      <c r="CX840" s="59"/>
      <c r="CY840" s="59"/>
      <c r="CZ840" s="59"/>
      <c r="DA840" s="59"/>
      <c r="DB840" s="59"/>
      <c r="DC840" s="59"/>
      <c r="DD840" s="59"/>
      <c r="DE840" s="59"/>
      <c r="DF840" s="59"/>
      <c r="DG840" s="59"/>
    </row>
    <row r="841" spans="1:111" ht="11.2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  <c r="AB841" s="59"/>
      <c r="AC841" s="59"/>
      <c r="AD841" s="59"/>
      <c r="AE841" s="59"/>
      <c r="AF841" s="59"/>
      <c r="AG841" s="59"/>
      <c r="AH841" s="59"/>
      <c r="AI841" s="59"/>
      <c r="AJ841" s="59"/>
      <c r="AK841" s="59"/>
      <c r="AL841" s="59"/>
      <c r="AM841" s="59"/>
      <c r="AN841" s="59"/>
      <c r="AO841" s="59"/>
      <c r="AP841" s="59"/>
      <c r="AQ841" s="59"/>
      <c r="AR841" s="59"/>
      <c r="AS841" s="59"/>
      <c r="AT841" s="59"/>
      <c r="AU841" s="59"/>
      <c r="AV841" s="59"/>
      <c r="AW841" s="59"/>
      <c r="AX841" s="59"/>
      <c r="AY841" s="59"/>
      <c r="AZ841" s="59"/>
      <c r="BA841" s="59"/>
      <c r="BB841" s="59"/>
      <c r="BC841" s="59"/>
      <c r="BD841" s="59"/>
      <c r="BE841" s="59"/>
      <c r="BF841" s="59"/>
      <c r="BG841" s="59"/>
      <c r="BH841" s="59"/>
      <c r="BI841" s="59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59"/>
      <c r="BZ841" s="59"/>
      <c r="CA841" s="59"/>
      <c r="CB841" s="59"/>
      <c r="CC841" s="59"/>
      <c r="CD841" s="59"/>
      <c r="CE841" s="59"/>
      <c r="CF841" s="59"/>
      <c r="CG841" s="59"/>
      <c r="CH841" s="59"/>
      <c r="CI841" s="59"/>
      <c r="CJ841" s="59"/>
      <c r="CK841" s="59"/>
      <c r="CL841" s="59"/>
      <c r="CM841" s="59"/>
      <c r="CN841" s="59"/>
      <c r="CO841" s="59"/>
      <c r="CP841" s="59"/>
      <c r="CQ841" s="59"/>
      <c r="CR841" s="59"/>
      <c r="CS841" s="59"/>
      <c r="CT841" s="59"/>
      <c r="CU841" s="59"/>
      <c r="CV841" s="59"/>
      <c r="CW841" s="59"/>
      <c r="CX841" s="59"/>
      <c r="CY841" s="59"/>
      <c r="CZ841" s="59"/>
      <c r="DA841" s="59"/>
      <c r="DB841" s="59"/>
      <c r="DC841" s="59"/>
      <c r="DD841" s="59"/>
      <c r="DE841" s="59"/>
      <c r="DF841" s="59"/>
      <c r="DG841" s="59"/>
    </row>
    <row r="842" spans="1:111" ht="11.2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  <c r="AB842" s="59"/>
      <c r="AC842" s="59"/>
      <c r="AD842" s="59"/>
      <c r="AE842" s="59"/>
      <c r="AF842" s="59"/>
      <c r="AG842" s="59"/>
      <c r="AH842" s="59"/>
      <c r="AI842" s="59"/>
      <c r="AJ842" s="59"/>
      <c r="AK842" s="59"/>
      <c r="AL842" s="59"/>
      <c r="AM842" s="59"/>
      <c r="AN842" s="59"/>
      <c r="AO842" s="59"/>
      <c r="AP842" s="59"/>
      <c r="AQ842" s="59"/>
      <c r="AR842" s="59"/>
      <c r="AS842" s="59"/>
      <c r="AT842" s="59"/>
      <c r="AU842" s="59"/>
      <c r="AV842" s="59"/>
      <c r="AW842" s="59"/>
      <c r="AX842" s="59"/>
      <c r="AY842" s="59"/>
      <c r="AZ842" s="59"/>
      <c r="BA842" s="59"/>
      <c r="BB842" s="59"/>
      <c r="BC842" s="59"/>
      <c r="BD842" s="59"/>
      <c r="BE842" s="59"/>
      <c r="BF842" s="59"/>
      <c r="BG842" s="59"/>
      <c r="BH842" s="59"/>
      <c r="BI842" s="59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59"/>
      <c r="BZ842" s="59"/>
      <c r="CA842" s="59"/>
      <c r="CB842" s="59"/>
      <c r="CC842" s="59"/>
      <c r="CD842" s="59"/>
      <c r="CE842" s="59"/>
      <c r="CF842" s="59"/>
      <c r="CG842" s="59"/>
      <c r="CH842" s="59"/>
      <c r="CI842" s="59"/>
      <c r="CJ842" s="59"/>
      <c r="CK842" s="59"/>
      <c r="CL842" s="59"/>
      <c r="CM842" s="59"/>
      <c r="CN842" s="59"/>
      <c r="CO842" s="59"/>
      <c r="CP842" s="59"/>
      <c r="CQ842" s="59"/>
      <c r="CR842" s="59"/>
      <c r="CS842" s="59"/>
      <c r="CT842" s="59"/>
      <c r="CU842" s="59"/>
      <c r="CV842" s="59"/>
      <c r="CW842" s="59"/>
      <c r="CX842" s="59"/>
      <c r="CY842" s="59"/>
      <c r="CZ842" s="59"/>
      <c r="DA842" s="59"/>
      <c r="DB842" s="59"/>
      <c r="DC842" s="59"/>
      <c r="DD842" s="59"/>
      <c r="DE842" s="59"/>
      <c r="DF842" s="59"/>
      <c r="DG842" s="59"/>
    </row>
    <row r="843" spans="1:111" ht="11.2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  <c r="AB843" s="59"/>
      <c r="AC843" s="59"/>
      <c r="AD843" s="59"/>
      <c r="AE843" s="59"/>
      <c r="AF843" s="59"/>
      <c r="AG843" s="59"/>
      <c r="AH843" s="59"/>
      <c r="AI843" s="59"/>
      <c r="AJ843" s="59"/>
      <c r="AK843" s="59"/>
      <c r="AL843" s="59"/>
      <c r="AM843" s="59"/>
      <c r="AN843" s="59"/>
      <c r="AO843" s="59"/>
      <c r="AP843" s="59"/>
      <c r="AQ843" s="59"/>
      <c r="AR843" s="59"/>
      <c r="AS843" s="59"/>
      <c r="AT843" s="59"/>
      <c r="AU843" s="59"/>
      <c r="AV843" s="59"/>
      <c r="AW843" s="59"/>
      <c r="AX843" s="59"/>
      <c r="AY843" s="59"/>
      <c r="AZ843" s="59"/>
      <c r="BA843" s="59"/>
      <c r="BB843" s="59"/>
      <c r="BC843" s="59"/>
      <c r="BD843" s="59"/>
      <c r="BE843" s="59"/>
      <c r="BF843" s="59"/>
      <c r="BG843" s="59"/>
      <c r="BH843" s="59"/>
      <c r="BI843" s="59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59"/>
      <c r="BZ843" s="59"/>
      <c r="CA843" s="59"/>
      <c r="CB843" s="59"/>
      <c r="CC843" s="59"/>
      <c r="CD843" s="59"/>
      <c r="CE843" s="59"/>
      <c r="CF843" s="59"/>
      <c r="CG843" s="59"/>
      <c r="CH843" s="59"/>
      <c r="CI843" s="59"/>
      <c r="CJ843" s="59"/>
      <c r="CK843" s="59"/>
      <c r="CL843" s="59"/>
      <c r="CM843" s="59"/>
      <c r="CN843" s="59"/>
      <c r="CO843" s="59"/>
      <c r="CP843" s="59"/>
      <c r="CQ843" s="59"/>
      <c r="CR843" s="59"/>
      <c r="CS843" s="59"/>
      <c r="CT843" s="59"/>
      <c r="CU843" s="59"/>
      <c r="CV843" s="59"/>
      <c r="CW843" s="59"/>
      <c r="CX843" s="59"/>
      <c r="CY843" s="59"/>
      <c r="CZ843" s="59"/>
      <c r="DA843" s="59"/>
      <c r="DB843" s="59"/>
      <c r="DC843" s="59"/>
      <c r="DD843" s="59"/>
      <c r="DE843" s="59"/>
      <c r="DF843" s="59"/>
      <c r="DG843" s="59"/>
    </row>
    <row r="844" spans="1:111" ht="11.2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  <c r="AI844" s="59"/>
      <c r="AJ844" s="59"/>
      <c r="AK844" s="59"/>
      <c r="AL844" s="59"/>
      <c r="AM844" s="59"/>
      <c r="AN844" s="59"/>
      <c r="AO844" s="59"/>
      <c r="AP844" s="59"/>
      <c r="AQ844" s="59"/>
      <c r="AR844" s="59"/>
      <c r="AS844" s="59"/>
      <c r="AT844" s="59"/>
      <c r="AU844" s="59"/>
      <c r="AV844" s="59"/>
      <c r="AW844" s="59"/>
      <c r="AX844" s="59"/>
      <c r="AY844" s="59"/>
      <c r="AZ844" s="59"/>
      <c r="BA844" s="59"/>
      <c r="BB844" s="59"/>
      <c r="BC844" s="59"/>
      <c r="BD844" s="59"/>
      <c r="BE844" s="59"/>
      <c r="BF844" s="59"/>
      <c r="BG844" s="59"/>
      <c r="BH844" s="59"/>
      <c r="BI844" s="59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59"/>
      <c r="BZ844" s="59"/>
      <c r="CA844" s="59"/>
      <c r="CB844" s="59"/>
      <c r="CC844" s="59"/>
      <c r="CD844" s="59"/>
      <c r="CE844" s="59"/>
      <c r="CF844" s="59"/>
      <c r="CG844" s="59"/>
      <c r="CH844" s="59"/>
      <c r="CI844" s="59"/>
      <c r="CJ844" s="59"/>
      <c r="CK844" s="59"/>
      <c r="CL844" s="59"/>
      <c r="CM844" s="59"/>
      <c r="CN844" s="59"/>
      <c r="CO844" s="59"/>
      <c r="CP844" s="59"/>
      <c r="CQ844" s="59"/>
      <c r="CR844" s="59"/>
      <c r="CS844" s="59"/>
      <c r="CT844" s="59"/>
      <c r="CU844" s="59"/>
      <c r="CV844" s="59"/>
      <c r="CW844" s="59"/>
      <c r="CX844" s="59"/>
      <c r="CY844" s="59"/>
      <c r="CZ844" s="59"/>
      <c r="DA844" s="59"/>
      <c r="DB844" s="59"/>
      <c r="DC844" s="59"/>
      <c r="DD844" s="59"/>
      <c r="DE844" s="59"/>
      <c r="DF844" s="59"/>
      <c r="DG844" s="59"/>
    </row>
    <row r="845" spans="1:111" ht="11.2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  <c r="AI845" s="59"/>
      <c r="AJ845" s="59"/>
      <c r="AK845" s="59"/>
      <c r="AL845" s="59"/>
      <c r="AM845" s="59"/>
      <c r="AN845" s="59"/>
      <c r="AO845" s="59"/>
      <c r="AP845" s="59"/>
      <c r="AQ845" s="59"/>
      <c r="AR845" s="59"/>
      <c r="AS845" s="59"/>
      <c r="AT845" s="59"/>
      <c r="AU845" s="59"/>
      <c r="AV845" s="59"/>
      <c r="AW845" s="59"/>
      <c r="AX845" s="59"/>
      <c r="AY845" s="59"/>
      <c r="AZ845" s="59"/>
      <c r="BA845" s="59"/>
      <c r="BB845" s="59"/>
      <c r="BC845" s="59"/>
      <c r="BD845" s="59"/>
      <c r="BE845" s="59"/>
      <c r="BF845" s="59"/>
      <c r="BG845" s="59"/>
      <c r="BH845" s="59"/>
      <c r="BI845" s="59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59"/>
      <c r="BZ845" s="59"/>
      <c r="CA845" s="59"/>
      <c r="CB845" s="59"/>
      <c r="CC845" s="59"/>
      <c r="CD845" s="59"/>
      <c r="CE845" s="59"/>
      <c r="CF845" s="59"/>
      <c r="CG845" s="59"/>
      <c r="CH845" s="59"/>
      <c r="CI845" s="59"/>
      <c r="CJ845" s="59"/>
      <c r="CK845" s="59"/>
      <c r="CL845" s="59"/>
      <c r="CM845" s="59"/>
      <c r="CN845" s="59"/>
      <c r="CO845" s="59"/>
      <c r="CP845" s="59"/>
      <c r="CQ845" s="59"/>
      <c r="CR845" s="59"/>
      <c r="CS845" s="59"/>
      <c r="CT845" s="59"/>
      <c r="CU845" s="59"/>
      <c r="CV845" s="59"/>
      <c r="CW845" s="59"/>
      <c r="CX845" s="59"/>
      <c r="CY845" s="59"/>
      <c r="CZ845" s="59"/>
      <c r="DA845" s="59"/>
      <c r="DB845" s="59"/>
      <c r="DC845" s="59"/>
      <c r="DD845" s="59"/>
      <c r="DE845" s="59"/>
      <c r="DF845" s="59"/>
      <c r="DG845" s="59"/>
    </row>
    <row r="846" spans="1:111" ht="11.2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  <c r="AI846" s="59"/>
      <c r="AJ846" s="59"/>
      <c r="AK846" s="59"/>
      <c r="AL846" s="59"/>
      <c r="AM846" s="59"/>
      <c r="AN846" s="59"/>
      <c r="AO846" s="59"/>
      <c r="AP846" s="59"/>
      <c r="AQ846" s="59"/>
      <c r="AR846" s="59"/>
      <c r="AS846" s="59"/>
      <c r="AT846" s="59"/>
      <c r="AU846" s="59"/>
      <c r="AV846" s="59"/>
      <c r="AW846" s="59"/>
      <c r="AX846" s="59"/>
      <c r="AY846" s="59"/>
      <c r="AZ846" s="59"/>
      <c r="BA846" s="59"/>
      <c r="BB846" s="59"/>
      <c r="BC846" s="59"/>
      <c r="BD846" s="59"/>
      <c r="BE846" s="59"/>
      <c r="BF846" s="59"/>
      <c r="BG846" s="59"/>
      <c r="BH846" s="59"/>
      <c r="BI846" s="59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59"/>
      <c r="BZ846" s="59"/>
      <c r="CA846" s="59"/>
      <c r="CB846" s="59"/>
      <c r="CC846" s="59"/>
      <c r="CD846" s="59"/>
      <c r="CE846" s="59"/>
      <c r="CF846" s="59"/>
      <c r="CG846" s="59"/>
      <c r="CH846" s="59"/>
      <c r="CI846" s="59"/>
      <c r="CJ846" s="59"/>
      <c r="CK846" s="59"/>
      <c r="CL846" s="59"/>
      <c r="CM846" s="59"/>
      <c r="CN846" s="59"/>
      <c r="CO846" s="59"/>
      <c r="CP846" s="59"/>
      <c r="CQ846" s="59"/>
      <c r="CR846" s="59"/>
      <c r="CS846" s="59"/>
      <c r="CT846" s="59"/>
      <c r="CU846" s="59"/>
      <c r="CV846" s="59"/>
      <c r="CW846" s="59"/>
      <c r="CX846" s="59"/>
      <c r="CY846" s="59"/>
      <c r="CZ846" s="59"/>
      <c r="DA846" s="59"/>
      <c r="DB846" s="59"/>
      <c r="DC846" s="59"/>
      <c r="DD846" s="59"/>
      <c r="DE846" s="59"/>
      <c r="DF846" s="59"/>
      <c r="DG846" s="59"/>
    </row>
    <row r="847" spans="1:111" ht="11.2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  <c r="AB847" s="59"/>
      <c r="AC847" s="59"/>
      <c r="AD847" s="59"/>
      <c r="AE847" s="59"/>
      <c r="AF847" s="59"/>
      <c r="AG847" s="59"/>
      <c r="AH847" s="59"/>
      <c r="AI847" s="59"/>
      <c r="AJ847" s="59"/>
      <c r="AK847" s="59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9"/>
      <c r="AW847" s="59"/>
      <c r="AX847" s="59"/>
      <c r="AY847" s="59"/>
      <c r="AZ847" s="59"/>
      <c r="BA847" s="59"/>
      <c r="BB847" s="59"/>
      <c r="BC847" s="59"/>
      <c r="BD847" s="59"/>
      <c r="BE847" s="59"/>
      <c r="BF847" s="59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59"/>
      <c r="BZ847" s="59"/>
      <c r="CA847" s="59"/>
      <c r="CB847" s="59"/>
      <c r="CC847" s="59"/>
      <c r="CD847" s="59"/>
      <c r="CE847" s="59"/>
      <c r="CF847" s="59"/>
      <c r="CG847" s="59"/>
      <c r="CH847" s="59"/>
      <c r="CI847" s="59"/>
      <c r="CJ847" s="59"/>
      <c r="CK847" s="59"/>
      <c r="CL847" s="59"/>
      <c r="CM847" s="59"/>
      <c r="CN847" s="59"/>
      <c r="CO847" s="59"/>
      <c r="CP847" s="59"/>
      <c r="CQ847" s="59"/>
      <c r="CR847" s="59"/>
      <c r="CS847" s="59"/>
      <c r="CT847" s="59"/>
      <c r="CU847" s="59"/>
      <c r="CV847" s="59"/>
      <c r="CW847" s="59"/>
      <c r="CX847" s="59"/>
      <c r="CY847" s="59"/>
      <c r="CZ847" s="59"/>
      <c r="DA847" s="59"/>
      <c r="DB847" s="59"/>
      <c r="DC847" s="59"/>
      <c r="DD847" s="59"/>
      <c r="DE847" s="59"/>
      <c r="DF847" s="59"/>
      <c r="DG847" s="59"/>
    </row>
    <row r="848" spans="1:111" ht="11.2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  <c r="AB848" s="59"/>
      <c r="AC848" s="59"/>
      <c r="AD848" s="59"/>
      <c r="AE848" s="59"/>
      <c r="AF848" s="59"/>
      <c r="AG848" s="59"/>
      <c r="AH848" s="59"/>
      <c r="AI848" s="59"/>
      <c r="AJ848" s="59"/>
      <c r="AK848" s="59"/>
      <c r="AL848" s="59"/>
      <c r="AM848" s="59"/>
      <c r="AN848" s="59"/>
      <c r="AO848" s="59"/>
      <c r="AP848" s="59"/>
      <c r="AQ848" s="59"/>
      <c r="AR848" s="59"/>
      <c r="AS848" s="59"/>
      <c r="AT848" s="59"/>
      <c r="AU848" s="59"/>
      <c r="AV848" s="59"/>
      <c r="AW848" s="59"/>
      <c r="AX848" s="59"/>
      <c r="AY848" s="59"/>
      <c r="AZ848" s="59"/>
      <c r="BA848" s="59"/>
      <c r="BB848" s="59"/>
      <c r="BC848" s="59"/>
      <c r="BD848" s="59"/>
      <c r="BE848" s="59"/>
      <c r="BF848" s="59"/>
      <c r="BG848" s="59"/>
      <c r="BH848" s="59"/>
      <c r="BI848" s="59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59"/>
      <c r="BZ848" s="59"/>
      <c r="CA848" s="59"/>
      <c r="CB848" s="59"/>
      <c r="CC848" s="59"/>
      <c r="CD848" s="59"/>
      <c r="CE848" s="59"/>
      <c r="CF848" s="59"/>
      <c r="CG848" s="59"/>
      <c r="CH848" s="59"/>
      <c r="CI848" s="59"/>
      <c r="CJ848" s="59"/>
      <c r="CK848" s="59"/>
      <c r="CL848" s="59"/>
      <c r="CM848" s="59"/>
      <c r="CN848" s="59"/>
      <c r="CO848" s="59"/>
      <c r="CP848" s="59"/>
      <c r="CQ848" s="59"/>
      <c r="CR848" s="59"/>
      <c r="CS848" s="59"/>
      <c r="CT848" s="59"/>
      <c r="CU848" s="59"/>
      <c r="CV848" s="59"/>
      <c r="CW848" s="59"/>
      <c r="CX848" s="59"/>
      <c r="CY848" s="59"/>
      <c r="CZ848" s="59"/>
      <c r="DA848" s="59"/>
      <c r="DB848" s="59"/>
      <c r="DC848" s="59"/>
      <c r="DD848" s="59"/>
      <c r="DE848" s="59"/>
      <c r="DF848" s="59"/>
      <c r="DG848" s="59"/>
    </row>
    <row r="849" spans="1:111" ht="11.2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  <c r="AB849" s="59"/>
      <c r="AC849" s="59"/>
      <c r="AD849" s="59"/>
      <c r="AE849" s="59"/>
      <c r="AF849" s="59"/>
      <c r="AG849" s="59"/>
      <c r="AH849" s="59"/>
      <c r="AI849" s="59"/>
      <c r="AJ849" s="59"/>
      <c r="AK849" s="59"/>
      <c r="AL849" s="59"/>
      <c r="AM849" s="59"/>
      <c r="AN849" s="59"/>
      <c r="AO849" s="59"/>
      <c r="AP849" s="59"/>
      <c r="AQ849" s="59"/>
      <c r="AR849" s="59"/>
      <c r="AS849" s="59"/>
      <c r="AT849" s="59"/>
      <c r="AU849" s="59"/>
      <c r="AV849" s="59"/>
      <c r="AW849" s="59"/>
      <c r="AX849" s="59"/>
      <c r="AY849" s="59"/>
      <c r="AZ849" s="59"/>
      <c r="BA849" s="59"/>
      <c r="BB849" s="59"/>
      <c r="BC849" s="59"/>
      <c r="BD849" s="59"/>
      <c r="BE849" s="59"/>
      <c r="BF849" s="59"/>
      <c r="BG849" s="59"/>
      <c r="BH849" s="59"/>
      <c r="BI849" s="59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59"/>
      <c r="BZ849" s="59"/>
      <c r="CA849" s="59"/>
      <c r="CB849" s="59"/>
      <c r="CC849" s="59"/>
      <c r="CD849" s="59"/>
      <c r="CE849" s="59"/>
      <c r="CF849" s="59"/>
      <c r="CG849" s="59"/>
      <c r="CH849" s="59"/>
      <c r="CI849" s="59"/>
      <c r="CJ849" s="59"/>
      <c r="CK849" s="59"/>
      <c r="CL849" s="59"/>
      <c r="CM849" s="59"/>
      <c r="CN849" s="59"/>
      <c r="CO849" s="59"/>
      <c r="CP849" s="59"/>
      <c r="CQ849" s="59"/>
      <c r="CR849" s="59"/>
      <c r="CS849" s="59"/>
      <c r="CT849" s="59"/>
      <c r="CU849" s="59"/>
      <c r="CV849" s="59"/>
      <c r="CW849" s="59"/>
      <c r="CX849" s="59"/>
      <c r="CY849" s="59"/>
      <c r="CZ849" s="59"/>
      <c r="DA849" s="59"/>
      <c r="DB849" s="59"/>
      <c r="DC849" s="59"/>
      <c r="DD849" s="59"/>
      <c r="DE849" s="59"/>
      <c r="DF849" s="59"/>
      <c r="DG849" s="59"/>
    </row>
    <row r="850" spans="1:111" ht="11.2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  <c r="AI850" s="59"/>
      <c r="AJ850" s="59"/>
      <c r="AK850" s="59"/>
      <c r="AL850" s="59"/>
      <c r="AM850" s="59"/>
      <c r="AN850" s="59"/>
      <c r="AO850" s="59"/>
      <c r="AP850" s="59"/>
      <c r="AQ850" s="59"/>
      <c r="AR850" s="59"/>
      <c r="AS850" s="59"/>
      <c r="AT850" s="59"/>
      <c r="AU850" s="59"/>
      <c r="AV850" s="59"/>
      <c r="AW850" s="59"/>
      <c r="AX850" s="59"/>
      <c r="AY850" s="59"/>
      <c r="AZ850" s="59"/>
      <c r="BA850" s="59"/>
      <c r="BB850" s="59"/>
      <c r="BC850" s="59"/>
      <c r="BD850" s="59"/>
      <c r="BE850" s="59"/>
      <c r="BF850" s="59"/>
      <c r="BG850" s="59"/>
      <c r="BH850" s="59"/>
      <c r="BI850" s="59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59"/>
      <c r="BZ850" s="59"/>
      <c r="CA850" s="59"/>
      <c r="CB850" s="59"/>
      <c r="CC850" s="59"/>
      <c r="CD850" s="59"/>
      <c r="CE850" s="59"/>
      <c r="CF850" s="59"/>
      <c r="CG850" s="59"/>
      <c r="CH850" s="59"/>
      <c r="CI850" s="59"/>
      <c r="CJ850" s="59"/>
      <c r="CK850" s="59"/>
      <c r="CL850" s="59"/>
      <c r="CM850" s="59"/>
      <c r="CN850" s="59"/>
      <c r="CO850" s="59"/>
      <c r="CP850" s="59"/>
      <c r="CQ850" s="59"/>
      <c r="CR850" s="59"/>
      <c r="CS850" s="59"/>
      <c r="CT850" s="59"/>
      <c r="CU850" s="59"/>
      <c r="CV850" s="59"/>
      <c r="CW850" s="59"/>
      <c r="CX850" s="59"/>
      <c r="CY850" s="59"/>
      <c r="CZ850" s="59"/>
      <c r="DA850" s="59"/>
      <c r="DB850" s="59"/>
      <c r="DC850" s="59"/>
      <c r="DD850" s="59"/>
      <c r="DE850" s="59"/>
      <c r="DF850" s="59"/>
      <c r="DG850" s="59"/>
    </row>
    <row r="851" spans="1:111" ht="11.2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  <c r="AB851" s="59"/>
      <c r="AC851" s="59"/>
      <c r="AD851" s="59"/>
      <c r="AE851" s="59"/>
      <c r="AF851" s="59"/>
      <c r="AG851" s="59"/>
      <c r="AH851" s="59"/>
      <c r="AI851" s="59"/>
      <c r="AJ851" s="59"/>
      <c r="AK851" s="59"/>
      <c r="AL851" s="59"/>
      <c r="AM851" s="59"/>
      <c r="AN851" s="59"/>
      <c r="AO851" s="59"/>
      <c r="AP851" s="59"/>
      <c r="AQ851" s="59"/>
      <c r="AR851" s="59"/>
      <c r="AS851" s="59"/>
      <c r="AT851" s="59"/>
      <c r="AU851" s="59"/>
      <c r="AV851" s="59"/>
      <c r="AW851" s="59"/>
      <c r="AX851" s="59"/>
      <c r="AY851" s="59"/>
      <c r="AZ851" s="59"/>
      <c r="BA851" s="59"/>
      <c r="BB851" s="59"/>
      <c r="BC851" s="59"/>
      <c r="BD851" s="59"/>
      <c r="BE851" s="59"/>
      <c r="BF851" s="59"/>
      <c r="BG851" s="59"/>
      <c r="BH851" s="59"/>
      <c r="BI851" s="59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59"/>
      <c r="BZ851" s="59"/>
      <c r="CA851" s="59"/>
      <c r="CB851" s="59"/>
      <c r="CC851" s="59"/>
      <c r="CD851" s="59"/>
      <c r="CE851" s="59"/>
      <c r="CF851" s="59"/>
      <c r="CG851" s="59"/>
      <c r="CH851" s="59"/>
      <c r="CI851" s="59"/>
      <c r="CJ851" s="59"/>
      <c r="CK851" s="59"/>
      <c r="CL851" s="59"/>
      <c r="CM851" s="59"/>
      <c r="CN851" s="59"/>
      <c r="CO851" s="59"/>
      <c r="CP851" s="59"/>
      <c r="CQ851" s="59"/>
      <c r="CR851" s="59"/>
      <c r="CS851" s="59"/>
      <c r="CT851" s="59"/>
      <c r="CU851" s="59"/>
      <c r="CV851" s="59"/>
      <c r="CW851" s="59"/>
      <c r="CX851" s="59"/>
      <c r="CY851" s="59"/>
      <c r="CZ851" s="59"/>
      <c r="DA851" s="59"/>
      <c r="DB851" s="59"/>
      <c r="DC851" s="59"/>
      <c r="DD851" s="59"/>
      <c r="DE851" s="59"/>
      <c r="DF851" s="59"/>
      <c r="DG851" s="59"/>
    </row>
    <row r="852" spans="1:111" ht="11.2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  <c r="AB852" s="59"/>
      <c r="AC852" s="59"/>
      <c r="AD852" s="59"/>
      <c r="AE852" s="59"/>
      <c r="AF852" s="59"/>
      <c r="AG852" s="59"/>
      <c r="AH852" s="59"/>
      <c r="AI852" s="59"/>
      <c r="AJ852" s="59"/>
      <c r="AK852" s="59"/>
      <c r="AL852" s="59"/>
      <c r="AM852" s="59"/>
      <c r="AN852" s="59"/>
      <c r="AO852" s="59"/>
      <c r="AP852" s="59"/>
      <c r="AQ852" s="59"/>
      <c r="AR852" s="59"/>
      <c r="AS852" s="59"/>
      <c r="AT852" s="59"/>
      <c r="AU852" s="59"/>
      <c r="AV852" s="59"/>
      <c r="AW852" s="59"/>
      <c r="AX852" s="59"/>
      <c r="AY852" s="59"/>
      <c r="AZ852" s="59"/>
      <c r="BA852" s="59"/>
      <c r="BB852" s="59"/>
      <c r="BC852" s="59"/>
      <c r="BD852" s="59"/>
      <c r="BE852" s="59"/>
      <c r="BF852" s="59"/>
      <c r="BG852" s="59"/>
      <c r="BH852" s="59"/>
      <c r="BI852" s="59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59"/>
      <c r="BZ852" s="59"/>
      <c r="CA852" s="59"/>
      <c r="CB852" s="59"/>
      <c r="CC852" s="59"/>
      <c r="CD852" s="59"/>
      <c r="CE852" s="59"/>
      <c r="CF852" s="59"/>
      <c r="CG852" s="59"/>
      <c r="CH852" s="59"/>
      <c r="CI852" s="59"/>
      <c r="CJ852" s="59"/>
      <c r="CK852" s="59"/>
      <c r="CL852" s="59"/>
      <c r="CM852" s="59"/>
      <c r="CN852" s="59"/>
      <c r="CO852" s="59"/>
      <c r="CP852" s="59"/>
      <c r="CQ852" s="59"/>
      <c r="CR852" s="59"/>
      <c r="CS852" s="59"/>
      <c r="CT852" s="59"/>
      <c r="CU852" s="59"/>
      <c r="CV852" s="59"/>
      <c r="CW852" s="59"/>
      <c r="CX852" s="59"/>
      <c r="CY852" s="59"/>
      <c r="CZ852" s="59"/>
      <c r="DA852" s="59"/>
      <c r="DB852" s="59"/>
      <c r="DC852" s="59"/>
      <c r="DD852" s="59"/>
      <c r="DE852" s="59"/>
      <c r="DF852" s="59"/>
      <c r="DG852" s="59"/>
    </row>
    <row r="853" spans="1:111" ht="11.2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  <c r="AB853" s="59"/>
      <c r="AC853" s="59"/>
      <c r="AD853" s="59"/>
      <c r="AE853" s="59"/>
      <c r="AF853" s="59"/>
      <c r="AG853" s="59"/>
      <c r="AH853" s="59"/>
      <c r="AI853" s="59"/>
      <c r="AJ853" s="59"/>
      <c r="AK853" s="59"/>
      <c r="AL853" s="59"/>
      <c r="AM853" s="59"/>
      <c r="AN853" s="59"/>
      <c r="AO853" s="59"/>
      <c r="AP853" s="59"/>
      <c r="AQ853" s="59"/>
      <c r="AR853" s="59"/>
      <c r="AS853" s="59"/>
      <c r="AT853" s="59"/>
      <c r="AU853" s="59"/>
      <c r="AV853" s="59"/>
      <c r="AW853" s="59"/>
      <c r="AX853" s="59"/>
      <c r="AY853" s="59"/>
      <c r="AZ853" s="59"/>
      <c r="BA853" s="59"/>
      <c r="BB853" s="59"/>
      <c r="BC853" s="59"/>
      <c r="BD853" s="59"/>
      <c r="BE853" s="59"/>
      <c r="BF853" s="59"/>
      <c r="BG853" s="59"/>
      <c r="BH853" s="59"/>
      <c r="BI853" s="59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59"/>
      <c r="BZ853" s="59"/>
      <c r="CA853" s="59"/>
      <c r="CB853" s="59"/>
      <c r="CC853" s="59"/>
      <c r="CD853" s="59"/>
      <c r="CE853" s="59"/>
      <c r="CF853" s="59"/>
      <c r="CG853" s="59"/>
      <c r="CH853" s="59"/>
      <c r="CI853" s="59"/>
      <c r="CJ853" s="59"/>
      <c r="CK853" s="59"/>
      <c r="CL853" s="59"/>
      <c r="CM853" s="59"/>
      <c r="CN853" s="59"/>
      <c r="CO853" s="59"/>
      <c r="CP853" s="59"/>
      <c r="CQ853" s="59"/>
      <c r="CR853" s="59"/>
      <c r="CS853" s="59"/>
      <c r="CT853" s="59"/>
      <c r="CU853" s="59"/>
      <c r="CV853" s="59"/>
      <c r="CW853" s="59"/>
      <c r="CX853" s="59"/>
      <c r="CY853" s="59"/>
      <c r="CZ853" s="59"/>
      <c r="DA853" s="59"/>
      <c r="DB853" s="59"/>
      <c r="DC853" s="59"/>
      <c r="DD853" s="59"/>
      <c r="DE853" s="59"/>
      <c r="DF853" s="59"/>
      <c r="DG853" s="59"/>
    </row>
    <row r="854" spans="1:111" ht="11.2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  <c r="AB854" s="59"/>
      <c r="AC854" s="59"/>
      <c r="AD854" s="59"/>
      <c r="AE854" s="59"/>
      <c r="AF854" s="59"/>
      <c r="AG854" s="59"/>
      <c r="AH854" s="59"/>
      <c r="AI854" s="59"/>
      <c r="AJ854" s="59"/>
      <c r="AK854" s="59"/>
      <c r="AL854" s="59"/>
      <c r="AM854" s="59"/>
      <c r="AN854" s="59"/>
      <c r="AO854" s="59"/>
      <c r="AP854" s="59"/>
      <c r="AQ854" s="59"/>
      <c r="AR854" s="59"/>
      <c r="AS854" s="59"/>
      <c r="AT854" s="59"/>
      <c r="AU854" s="59"/>
      <c r="AV854" s="59"/>
      <c r="AW854" s="59"/>
      <c r="AX854" s="59"/>
      <c r="AY854" s="59"/>
      <c r="AZ854" s="59"/>
      <c r="BA854" s="59"/>
      <c r="BB854" s="59"/>
      <c r="BC854" s="59"/>
      <c r="BD854" s="59"/>
      <c r="BE854" s="59"/>
      <c r="BF854" s="59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59"/>
      <c r="BZ854" s="59"/>
      <c r="CA854" s="59"/>
      <c r="CB854" s="59"/>
      <c r="CC854" s="59"/>
      <c r="CD854" s="59"/>
      <c r="CE854" s="59"/>
      <c r="CF854" s="59"/>
      <c r="CG854" s="59"/>
      <c r="CH854" s="59"/>
      <c r="CI854" s="59"/>
      <c r="CJ854" s="59"/>
      <c r="CK854" s="59"/>
      <c r="CL854" s="59"/>
      <c r="CM854" s="59"/>
      <c r="CN854" s="59"/>
      <c r="CO854" s="59"/>
      <c r="CP854" s="59"/>
      <c r="CQ854" s="59"/>
      <c r="CR854" s="59"/>
      <c r="CS854" s="59"/>
      <c r="CT854" s="59"/>
      <c r="CU854" s="59"/>
      <c r="CV854" s="59"/>
      <c r="CW854" s="59"/>
      <c r="CX854" s="59"/>
      <c r="CY854" s="59"/>
      <c r="CZ854" s="59"/>
      <c r="DA854" s="59"/>
      <c r="DB854" s="59"/>
      <c r="DC854" s="59"/>
      <c r="DD854" s="59"/>
      <c r="DE854" s="59"/>
      <c r="DF854" s="59"/>
      <c r="DG854" s="59"/>
    </row>
    <row r="855" spans="1:111" ht="11.2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  <c r="AB855" s="59"/>
      <c r="AC855" s="59"/>
      <c r="AD855" s="59"/>
      <c r="AE855" s="59"/>
      <c r="AF855" s="59"/>
      <c r="AG855" s="59"/>
      <c r="AH855" s="59"/>
      <c r="AI855" s="59"/>
      <c r="AJ855" s="59"/>
      <c r="AK855" s="59"/>
      <c r="AL855" s="59"/>
      <c r="AM855" s="59"/>
      <c r="AN855" s="59"/>
      <c r="AO855" s="59"/>
      <c r="AP855" s="59"/>
      <c r="AQ855" s="59"/>
      <c r="AR855" s="59"/>
      <c r="AS855" s="59"/>
      <c r="AT855" s="59"/>
      <c r="AU855" s="59"/>
      <c r="AV855" s="59"/>
      <c r="AW855" s="59"/>
      <c r="AX855" s="59"/>
      <c r="AY855" s="59"/>
      <c r="AZ855" s="59"/>
      <c r="BA855" s="59"/>
      <c r="BB855" s="59"/>
      <c r="BC855" s="59"/>
      <c r="BD855" s="59"/>
      <c r="BE855" s="59"/>
      <c r="BF855" s="59"/>
      <c r="BG855" s="59"/>
      <c r="BH855" s="59"/>
      <c r="BI855" s="59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59"/>
      <c r="BZ855" s="59"/>
      <c r="CA855" s="59"/>
      <c r="CB855" s="59"/>
      <c r="CC855" s="59"/>
      <c r="CD855" s="59"/>
      <c r="CE855" s="59"/>
      <c r="CF855" s="59"/>
      <c r="CG855" s="59"/>
      <c r="CH855" s="59"/>
      <c r="CI855" s="59"/>
      <c r="CJ855" s="59"/>
      <c r="CK855" s="59"/>
      <c r="CL855" s="59"/>
      <c r="CM855" s="59"/>
      <c r="CN855" s="59"/>
      <c r="CO855" s="59"/>
      <c r="CP855" s="59"/>
      <c r="CQ855" s="59"/>
      <c r="CR855" s="59"/>
      <c r="CS855" s="59"/>
      <c r="CT855" s="59"/>
      <c r="CU855" s="59"/>
      <c r="CV855" s="59"/>
      <c r="CW855" s="59"/>
      <c r="CX855" s="59"/>
      <c r="CY855" s="59"/>
      <c r="CZ855" s="59"/>
      <c r="DA855" s="59"/>
      <c r="DB855" s="59"/>
      <c r="DC855" s="59"/>
      <c r="DD855" s="59"/>
      <c r="DE855" s="59"/>
      <c r="DF855" s="59"/>
      <c r="DG855" s="59"/>
    </row>
    <row r="856" spans="1:111" ht="11.2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  <c r="AB856" s="59"/>
      <c r="AC856" s="59"/>
      <c r="AD856" s="59"/>
      <c r="AE856" s="59"/>
      <c r="AF856" s="59"/>
      <c r="AG856" s="59"/>
      <c r="AH856" s="59"/>
      <c r="AI856" s="59"/>
      <c r="AJ856" s="59"/>
      <c r="AK856" s="59"/>
      <c r="AL856" s="59"/>
      <c r="AM856" s="59"/>
      <c r="AN856" s="59"/>
      <c r="AO856" s="59"/>
      <c r="AP856" s="59"/>
      <c r="AQ856" s="59"/>
      <c r="AR856" s="59"/>
      <c r="AS856" s="59"/>
      <c r="AT856" s="59"/>
      <c r="AU856" s="59"/>
      <c r="AV856" s="59"/>
      <c r="AW856" s="59"/>
      <c r="AX856" s="59"/>
      <c r="AY856" s="59"/>
      <c r="AZ856" s="59"/>
      <c r="BA856" s="59"/>
      <c r="BB856" s="59"/>
      <c r="BC856" s="59"/>
      <c r="BD856" s="59"/>
      <c r="BE856" s="59"/>
      <c r="BF856" s="59"/>
      <c r="BG856" s="59"/>
      <c r="BH856" s="59"/>
      <c r="BI856" s="59"/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59"/>
      <c r="BW856" s="59"/>
      <c r="BX856" s="59"/>
      <c r="BY856" s="59"/>
      <c r="BZ856" s="59"/>
      <c r="CA856" s="59"/>
      <c r="CB856" s="59"/>
      <c r="CC856" s="59"/>
      <c r="CD856" s="59"/>
      <c r="CE856" s="59"/>
      <c r="CF856" s="59"/>
      <c r="CG856" s="59"/>
      <c r="CH856" s="59"/>
      <c r="CI856" s="59"/>
      <c r="CJ856" s="59"/>
      <c r="CK856" s="59"/>
      <c r="CL856" s="59"/>
      <c r="CM856" s="59"/>
      <c r="CN856" s="59"/>
      <c r="CO856" s="59"/>
      <c r="CP856" s="59"/>
      <c r="CQ856" s="59"/>
      <c r="CR856" s="59"/>
      <c r="CS856" s="59"/>
      <c r="CT856" s="59"/>
      <c r="CU856" s="59"/>
      <c r="CV856" s="59"/>
      <c r="CW856" s="59"/>
      <c r="CX856" s="59"/>
      <c r="CY856" s="59"/>
      <c r="CZ856" s="59"/>
      <c r="DA856" s="59"/>
      <c r="DB856" s="59"/>
      <c r="DC856" s="59"/>
      <c r="DD856" s="59"/>
      <c r="DE856" s="59"/>
      <c r="DF856" s="59"/>
      <c r="DG856" s="59"/>
    </row>
    <row r="857" spans="1:111" ht="11.2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  <c r="AB857" s="59"/>
      <c r="AC857" s="59"/>
      <c r="AD857" s="59"/>
      <c r="AE857" s="59"/>
      <c r="AF857" s="59"/>
      <c r="AG857" s="59"/>
      <c r="AH857" s="59"/>
      <c r="AI857" s="59"/>
      <c r="AJ857" s="59"/>
      <c r="AK857" s="59"/>
      <c r="AL857" s="59"/>
      <c r="AM857" s="59"/>
      <c r="AN857" s="59"/>
      <c r="AO857" s="59"/>
      <c r="AP857" s="59"/>
      <c r="AQ857" s="59"/>
      <c r="AR857" s="59"/>
      <c r="AS857" s="59"/>
      <c r="AT857" s="59"/>
      <c r="AU857" s="59"/>
      <c r="AV857" s="59"/>
      <c r="AW857" s="59"/>
      <c r="AX857" s="59"/>
      <c r="AY857" s="59"/>
      <c r="AZ857" s="59"/>
      <c r="BA857" s="59"/>
      <c r="BB857" s="59"/>
      <c r="BC857" s="59"/>
      <c r="BD857" s="59"/>
      <c r="BE857" s="59"/>
      <c r="BF857" s="59"/>
      <c r="BG857" s="59"/>
      <c r="BH857" s="59"/>
      <c r="BI857" s="59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59"/>
      <c r="BZ857" s="59"/>
      <c r="CA857" s="59"/>
      <c r="CB857" s="59"/>
      <c r="CC857" s="59"/>
      <c r="CD857" s="59"/>
      <c r="CE857" s="59"/>
      <c r="CF857" s="59"/>
      <c r="CG857" s="59"/>
      <c r="CH857" s="59"/>
      <c r="CI857" s="59"/>
      <c r="CJ857" s="59"/>
      <c r="CK857" s="59"/>
      <c r="CL857" s="59"/>
      <c r="CM857" s="59"/>
      <c r="CN857" s="59"/>
      <c r="CO857" s="59"/>
      <c r="CP857" s="59"/>
      <c r="CQ857" s="59"/>
      <c r="CR857" s="59"/>
      <c r="CS857" s="59"/>
      <c r="CT857" s="59"/>
      <c r="CU857" s="59"/>
      <c r="CV857" s="59"/>
      <c r="CW857" s="59"/>
      <c r="CX857" s="59"/>
      <c r="CY857" s="59"/>
      <c r="CZ857" s="59"/>
      <c r="DA857" s="59"/>
      <c r="DB857" s="59"/>
      <c r="DC857" s="59"/>
      <c r="DD857" s="59"/>
      <c r="DE857" s="59"/>
      <c r="DF857" s="59"/>
      <c r="DG857" s="59"/>
    </row>
    <row r="858" spans="1:111" ht="11.2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  <c r="AB858" s="59"/>
      <c r="AC858" s="59"/>
      <c r="AD858" s="59"/>
      <c r="AE858" s="59"/>
      <c r="AF858" s="59"/>
      <c r="AG858" s="59"/>
      <c r="AH858" s="59"/>
      <c r="AI858" s="59"/>
      <c r="AJ858" s="59"/>
      <c r="AK858" s="59"/>
      <c r="AL858" s="59"/>
      <c r="AM858" s="59"/>
      <c r="AN858" s="59"/>
      <c r="AO858" s="59"/>
      <c r="AP858" s="59"/>
      <c r="AQ858" s="59"/>
      <c r="AR858" s="59"/>
      <c r="AS858" s="59"/>
      <c r="AT858" s="59"/>
      <c r="AU858" s="59"/>
      <c r="AV858" s="59"/>
      <c r="AW858" s="59"/>
      <c r="AX858" s="59"/>
      <c r="AY858" s="59"/>
      <c r="AZ858" s="59"/>
      <c r="BA858" s="59"/>
      <c r="BB858" s="59"/>
      <c r="BC858" s="59"/>
      <c r="BD858" s="59"/>
      <c r="BE858" s="59"/>
      <c r="BF858" s="59"/>
      <c r="BG858" s="59"/>
      <c r="BH858" s="59"/>
      <c r="BI858" s="59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59"/>
      <c r="BZ858" s="59"/>
      <c r="CA858" s="59"/>
      <c r="CB858" s="59"/>
      <c r="CC858" s="59"/>
      <c r="CD858" s="59"/>
      <c r="CE858" s="59"/>
      <c r="CF858" s="59"/>
      <c r="CG858" s="59"/>
      <c r="CH858" s="59"/>
      <c r="CI858" s="59"/>
      <c r="CJ858" s="59"/>
      <c r="CK858" s="59"/>
      <c r="CL858" s="59"/>
      <c r="CM858" s="59"/>
      <c r="CN858" s="59"/>
      <c r="CO858" s="59"/>
      <c r="CP858" s="59"/>
      <c r="CQ858" s="59"/>
      <c r="CR858" s="59"/>
      <c r="CS858" s="59"/>
      <c r="CT858" s="59"/>
      <c r="CU858" s="59"/>
      <c r="CV858" s="59"/>
      <c r="CW858" s="59"/>
      <c r="CX858" s="59"/>
      <c r="CY858" s="59"/>
      <c r="CZ858" s="59"/>
      <c r="DA858" s="59"/>
      <c r="DB858" s="59"/>
      <c r="DC858" s="59"/>
      <c r="DD858" s="59"/>
      <c r="DE858" s="59"/>
      <c r="DF858" s="59"/>
      <c r="DG858" s="59"/>
    </row>
    <row r="859" spans="1:111" ht="11.2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  <c r="AB859" s="59"/>
      <c r="AC859" s="59"/>
      <c r="AD859" s="59"/>
      <c r="AE859" s="59"/>
      <c r="AF859" s="59"/>
      <c r="AG859" s="59"/>
      <c r="AH859" s="59"/>
      <c r="AI859" s="59"/>
      <c r="AJ859" s="59"/>
      <c r="AK859" s="59"/>
      <c r="AL859" s="59"/>
      <c r="AM859" s="59"/>
      <c r="AN859" s="59"/>
      <c r="AO859" s="59"/>
      <c r="AP859" s="59"/>
      <c r="AQ859" s="59"/>
      <c r="AR859" s="59"/>
      <c r="AS859" s="59"/>
      <c r="AT859" s="59"/>
      <c r="AU859" s="59"/>
      <c r="AV859" s="59"/>
      <c r="AW859" s="59"/>
      <c r="AX859" s="59"/>
      <c r="AY859" s="59"/>
      <c r="AZ859" s="59"/>
      <c r="BA859" s="59"/>
      <c r="BB859" s="59"/>
      <c r="BC859" s="59"/>
      <c r="BD859" s="59"/>
      <c r="BE859" s="59"/>
      <c r="BF859" s="59"/>
      <c r="BG859" s="59"/>
      <c r="BH859" s="59"/>
      <c r="BI859" s="59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59"/>
      <c r="BZ859" s="59"/>
      <c r="CA859" s="59"/>
      <c r="CB859" s="59"/>
      <c r="CC859" s="59"/>
      <c r="CD859" s="59"/>
      <c r="CE859" s="59"/>
      <c r="CF859" s="59"/>
      <c r="CG859" s="59"/>
      <c r="CH859" s="59"/>
      <c r="CI859" s="59"/>
      <c r="CJ859" s="59"/>
      <c r="CK859" s="59"/>
      <c r="CL859" s="59"/>
      <c r="CM859" s="59"/>
      <c r="CN859" s="59"/>
      <c r="CO859" s="59"/>
      <c r="CP859" s="59"/>
      <c r="CQ859" s="59"/>
      <c r="CR859" s="59"/>
      <c r="CS859" s="59"/>
      <c r="CT859" s="59"/>
      <c r="CU859" s="59"/>
      <c r="CV859" s="59"/>
      <c r="CW859" s="59"/>
      <c r="CX859" s="59"/>
      <c r="CY859" s="59"/>
      <c r="CZ859" s="59"/>
      <c r="DA859" s="59"/>
      <c r="DB859" s="59"/>
      <c r="DC859" s="59"/>
      <c r="DD859" s="59"/>
      <c r="DE859" s="59"/>
      <c r="DF859" s="59"/>
      <c r="DG859" s="59"/>
    </row>
    <row r="860" spans="1:111" ht="11.2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  <c r="AB860" s="59"/>
      <c r="AC860" s="59"/>
      <c r="AD860" s="59"/>
      <c r="AE860" s="59"/>
      <c r="AF860" s="59"/>
      <c r="AG860" s="59"/>
      <c r="AH860" s="59"/>
      <c r="AI860" s="59"/>
      <c r="AJ860" s="59"/>
      <c r="AK860" s="59"/>
      <c r="AL860" s="59"/>
      <c r="AM860" s="59"/>
      <c r="AN860" s="59"/>
      <c r="AO860" s="59"/>
      <c r="AP860" s="59"/>
      <c r="AQ860" s="59"/>
      <c r="AR860" s="59"/>
      <c r="AS860" s="59"/>
      <c r="AT860" s="59"/>
      <c r="AU860" s="59"/>
      <c r="AV860" s="59"/>
      <c r="AW860" s="59"/>
      <c r="AX860" s="59"/>
      <c r="AY860" s="59"/>
      <c r="AZ860" s="59"/>
      <c r="BA860" s="59"/>
      <c r="BB860" s="59"/>
      <c r="BC860" s="59"/>
      <c r="BD860" s="59"/>
      <c r="BE860" s="59"/>
      <c r="BF860" s="59"/>
      <c r="BG860" s="59"/>
      <c r="BH860" s="59"/>
      <c r="BI860" s="59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59"/>
      <c r="BZ860" s="59"/>
      <c r="CA860" s="59"/>
      <c r="CB860" s="59"/>
      <c r="CC860" s="59"/>
      <c r="CD860" s="59"/>
      <c r="CE860" s="59"/>
      <c r="CF860" s="59"/>
      <c r="CG860" s="59"/>
      <c r="CH860" s="59"/>
      <c r="CI860" s="59"/>
      <c r="CJ860" s="59"/>
      <c r="CK860" s="59"/>
      <c r="CL860" s="59"/>
      <c r="CM860" s="59"/>
      <c r="CN860" s="59"/>
      <c r="CO860" s="59"/>
      <c r="CP860" s="59"/>
      <c r="CQ860" s="59"/>
      <c r="CR860" s="59"/>
      <c r="CS860" s="59"/>
      <c r="CT860" s="59"/>
      <c r="CU860" s="59"/>
      <c r="CV860" s="59"/>
      <c r="CW860" s="59"/>
      <c r="CX860" s="59"/>
      <c r="CY860" s="59"/>
      <c r="CZ860" s="59"/>
      <c r="DA860" s="59"/>
      <c r="DB860" s="59"/>
      <c r="DC860" s="59"/>
      <c r="DD860" s="59"/>
      <c r="DE860" s="59"/>
      <c r="DF860" s="59"/>
      <c r="DG860" s="59"/>
    </row>
    <row r="861" spans="1:111" ht="11.2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  <c r="AB861" s="59"/>
      <c r="AC861" s="59"/>
      <c r="AD861" s="59"/>
      <c r="AE861" s="59"/>
      <c r="AF861" s="59"/>
      <c r="AG861" s="59"/>
      <c r="AH861" s="59"/>
      <c r="AI861" s="59"/>
      <c r="AJ861" s="59"/>
      <c r="AK861" s="59"/>
      <c r="AL861" s="59"/>
      <c r="AM861" s="59"/>
      <c r="AN861" s="59"/>
      <c r="AO861" s="59"/>
      <c r="AP861" s="59"/>
      <c r="AQ861" s="59"/>
      <c r="AR861" s="59"/>
      <c r="AS861" s="59"/>
      <c r="AT861" s="59"/>
      <c r="AU861" s="59"/>
      <c r="AV861" s="59"/>
      <c r="AW861" s="59"/>
      <c r="AX861" s="59"/>
      <c r="AY861" s="59"/>
      <c r="AZ861" s="59"/>
      <c r="BA861" s="59"/>
      <c r="BB861" s="59"/>
      <c r="BC861" s="59"/>
      <c r="BD861" s="59"/>
      <c r="BE861" s="59"/>
      <c r="BF861" s="59"/>
      <c r="BG861" s="59"/>
      <c r="BH861" s="59"/>
      <c r="BI861" s="59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59"/>
      <c r="BZ861" s="59"/>
      <c r="CA861" s="59"/>
      <c r="CB861" s="59"/>
      <c r="CC861" s="59"/>
      <c r="CD861" s="59"/>
      <c r="CE861" s="59"/>
      <c r="CF861" s="59"/>
      <c r="CG861" s="59"/>
      <c r="CH861" s="59"/>
      <c r="CI861" s="59"/>
      <c r="CJ861" s="59"/>
      <c r="CK861" s="59"/>
      <c r="CL861" s="59"/>
      <c r="CM861" s="59"/>
      <c r="CN861" s="59"/>
      <c r="CO861" s="59"/>
      <c r="CP861" s="59"/>
      <c r="CQ861" s="59"/>
      <c r="CR861" s="59"/>
      <c r="CS861" s="59"/>
      <c r="CT861" s="59"/>
      <c r="CU861" s="59"/>
      <c r="CV861" s="59"/>
      <c r="CW861" s="59"/>
      <c r="CX861" s="59"/>
      <c r="CY861" s="59"/>
      <c r="CZ861" s="59"/>
      <c r="DA861" s="59"/>
      <c r="DB861" s="59"/>
      <c r="DC861" s="59"/>
      <c r="DD861" s="59"/>
      <c r="DE861" s="59"/>
      <c r="DF861" s="59"/>
      <c r="DG861" s="59"/>
    </row>
    <row r="862" spans="1:111" ht="11.2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  <c r="AB862" s="59"/>
      <c r="AC862" s="59"/>
      <c r="AD862" s="59"/>
      <c r="AE862" s="59"/>
      <c r="AF862" s="59"/>
      <c r="AG862" s="59"/>
      <c r="AH862" s="59"/>
      <c r="AI862" s="59"/>
      <c r="AJ862" s="59"/>
      <c r="AK862" s="59"/>
      <c r="AL862" s="59"/>
      <c r="AM862" s="59"/>
      <c r="AN862" s="59"/>
      <c r="AO862" s="59"/>
      <c r="AP862" s="59"/>
      <c r="AQ862" s="59"/>
      <c r="AR862" s="59"/>
      <c r="AS862" s="59"/>
      <c r="AT862" s="59"/>
      <c r="AU862" s="59"/>
      <c r="AV862" s="59"/>
      <c r="AW862" s="59"/>
      <c r="AX862" s="59"/>
      <c r="AY862" s="59"/>
      <c r="AZ862" s="59"/>
      <c r="BA862" s="59"/>
      <c r="BB862" s="59"/>
      <c r="BC862" s="59"/>
      <c r="BD862" s="59"/>
      <c r="BE862" s="59"/>
      <c r="BF862" s="59"/>
      <c r="BG862" s="59"/>
      <c r="BH862" s="59"/>
      <c r="BI862" s="59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59"/>
      <c r="BZ862" s="59"/>
      <c r="CA862" s="59"/>
      <c r="CB862" s="59"/>
      <c r="CC862" s="59"/>
      <c r="CD862" s="59"/>
      <c r="CE862" s="59"/>
      <c r="CF862" s="59"/>
      <c r="CG862" s="59"/>
      <c r="CH862" s="59"/>
      <c r="CI862" s="59"/>
      <c r="CJ862" s="59"/>
      <c r="CK862" s="59"/>
      <c r="CL862" s="59"/>
      <c r="CM862" s="59"/>
      <c r="CN862" s="59"/>
      <c r="CO862" s="59"/>
      <c r="CP862" s="59"/>
      <c r="CQ862" s="59"/>
      <c r="CR862" s="59"/>
      <c r="CS862" s="59"/>
      <c r="CT862" s="59"/>
      <c r="CU862" s="59"/>
      <c r="CV862" s="59"/>
      <c r="CW862" s="59"/>
      <c r="CX862" s="59"/>
      <c r="CY862" s="59"/>
      <c r="CZ862" s="59"/>
      <c r="DA862" s="59"/>
      <c r="DB862" s="59"/>
      <c r="DC862" s="59"/>
      <c r="DD862" s="59"/>
      <c r="DE862" s="59"/>
      <c r="DF862" s="59"/>
      <c r="DG862" s="59"/>
    </row>
    <row r="863" spans="1:111" ht="11.2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  <c r="AB863" s="59"/>
      <c r="AC863" s="59"/>
      <c r="AD863" s="59"/>
      <c r="AE863" s="59"/>
      <c r="AF863" s="59"/>
      <c r="AG863" s="59"/>
      <c r="AH863" s="59"/>
      <c r="AI863" s="59"/>
      <c r="AJ863" s="59"/>
      <c r="AK863" s="59"/>
      <c r="AL863" s="59"/>
      <c r="AM863" s="59"/>
      <c r="AN863" s="59"/>
      <c r="AO863" s="59"/>
      <c r="AP863" s="59"/>
      <c r="AQ863" s="59"/>
      <c r="AR863" s="59"/>
      <c r="AS863" s="59"/>
      <c r="AT863" s="59"/>
      <c r="AU863" s="59"/>
      <c r="AV863" s="59"/>
      <c r="AW863" s="59"/>
      <c r="AX863" s="59"/>
      <c r="AY863" s="59"/>
      <c r="AZ863" s="59"/>
      <c r="BA863" s="59"/>
      <c r="BB863" s="59"/>
      <c r="BC863" s="59"/>
      <c r="BD863" s="59"/>
      <c r="BE863" s="59"/>
      <c r="BF863" s="59"/>
      <c r="BG863" s="59"/>
      <c r="BH863" s="59"/>
      <c r="BI863" s="59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59"/>
      <c r="BZ863" s="59"/>
      <c r="CA863" s="59"/>
      <c r="CB863" s="59"/>
      <c r="CC863" s="59"/>
      <c r="CD863" s="59"/>
      <c r="CE863" s="59"/>
      <c r="CF863" s="59"/>
      <c r="CG863" s="59"/>
      <c r="CH863" s="59"/>
      <c r="CI863" s="59"/>
      <c r="CJ863" s="59"/>
      <c r="CK863" s="59"/>
      <c r="CL863" s="59"/>
      <c r="CM863" s="59"/>
      <c r="CN863" s="59"/>
      <c r="CO863" s="59"/>
      <c r="CP863" s="59"/>
      <c r="CQ863" s="59"/>
      <c r="CR863" s="59"/>
      <c r="CS863" s="59"/>
      <c r="CT863" s="59"/>
      <c r="CU863" s="59"/>
      <c r="CV863" s="59"/>
      <c r="CW863" s="59"/>
      <c r="CX863" s="59"/>
      <c r="CY863" s="59"/>
      <c r="CZ863" s="59"/>
      <c r="DA863" s="59"/>
      <c r="DB863" s="59"/>
      <c r="DC863" s="59"/>
      <c r="DD863" s="59"/>
      <c r="DE863" s="59"/>
      <c r="DF863" s="59"/>
      <c r="DG863" s="59"/>
    </row>
    <row r="864" spans="1:111" ht="11.2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  <c r="AB864" s="59"/>
      <c r="AC864" s="59"/>
      <c r="AD864" s="59"/>
      <c r="AE864" s="59"/>
      <c r="AF864" s="59"/>
      <c r="AG864" s="59"/>
      <c r="AH864" s="59"/>
      <c r="AI864" s="59"/>
      <c r="AJ864" s="59"/>
      <c r="AK864" s="59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9"/>
      <c r="AW864" s="59"/>
      <c r="AX864" s="59"/>
      <c r="AY864" s="59"/>
      <c r="AZ864" s="59"/>
      <c r="BA864" s="59"/>
      <c r="BB864" s="59"/>
      <c r="BC864" s="59"/>
      <c r="BD864" s="59"/>
      <c r="BE864" s="59"/>
      <c r="BF864" s="59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59"/>
      <c r="BZ864" s="59"/>
      <c r="CA864" s="59"/>
      <c r="CB864" s="59"/>
      <c r="CC864" s="59"/>
      <c r="CD864" s="59"/>
      <c r="CE864" s="59"/>
      <c r="CF864" s="59"/>
      <c r="CG864" s="59"/>
      <c r="CH864" s="59"/>
      <c r="CI864" s="59"/>
      <c r="CJ864" s="59"/>
      <c r="CK864" s="59"/>
      <c r="CL864" s="59"/>
      <c r="CM864" s="59"/>
      <c r="CN864" s="59"/>
      <c r="CO864" s="59"/>
      <c r="CP864" s="59"/>
      <c r="CQ864" s="59"/>
      <c r="CR864" s="59"/>
      <c r="CS864" s="59"/>
      <c r="CT864" s="59"/>
      <c r="CU864" s="59"/>
      <c r="CV864" s="59"/>
      <c r="CW864" s="59"/>
      <c r="CX864" s="59"/>
      <c r="CY864" s="59"/>
      <c r="CZ864" s="59"/>
      <c r="DA864" s="59"/>
      <c r="DB864" s="59"/>
      <c r="DC864" s="59"/>
      <c r="DD864" s="59"/>
      <c r="DE864" s="59"/>
      <c r="DF864" s="59"/>
      <c r="DG864" s="59"/>
    </row>
    <row r="865" spans="1:111" ht="11.2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  <c r="AB865" s="59"/>
      <c r="AC865" s="59"/>
      <c r="AD865" s="59"/>
      <c r="AE865" s="59"/>
      <c r="AF865" s="59"/>
      <c r="AG865" s="59"/>
      <c r="AH865" s="59"/>
      <c r="AI865" s="59"/>
      <c r="AJ865" s="59"/>
      <c r="AK865" s="59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9"/>
      <c r="AW865" s="59"/>
      <c r="AX865" s="59"/>
      <c r="AY865" s="59"/>
      <c r="AZ865" s="59"/>
      <c r="BA865" s="59"/>
      <c r="BB865" s="59"/>
      <c r="BC865" s="59"/>
      <c r="BD865" s="59"/>
      <c r="BE865" s="59"/>
      <c r="BF865" s="59"/>
      <c r="BG865" s="59"/>
      <c r="BH865" s="59"/>
      <c r="BI865" s="59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59"/>
      <c r="BZ865" s="59"/>
      <c r="CA865" s="59"/>
      <c r="CB865" s="59"/>
      <c r="CC865" s="59"/>
      <c r="CD865" s="59"/>
      <c r="CE865" s="59"/>
      <c r="CF865" s="59"/>
      <c r="CG865" s="59"/>
      <c r="CH865" s="59"/>
      <c r="CI865" s="59"/>
      <c r="CJ865" s="59"/>
      <c r="CK865" s="59"/>
      <c r="CL865" s="59"/>
      <c r="CM865" s="59"/>
      <c r="CN865" s="59"/>
      <c r="CO865" s="59"/>
      <c r="CP865" s="59"/>
      <c r="CQ865" s="59"/>
      <c r="CR865" s="59"/>
      <c r="CS865" s="59"/>
      <c r="CT865" s="59"/>
      <c r="CU865" s="59"/>
      <c r="CV865" s="59"/>
      <c r="CW865" s="59"/>
      <c r="CX865" s="59"/>
      <c r="CY865" s="59"/>
      <c r="CZ865" s="59"/>
      <c r="DA865" s="59"/>
      <c r="DB865" s="59"/>
      <c r="DC865" s="59"/>
      <c r="DD865" s="59"/>
      <c r="DE865" s="59"/>
      <c r="DF865" s="59"/>
      <c r="DG865" s="59"/>
    </row>
    <row r="866" spans="1:111" ht="11.2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  <c r="AB866" s="59"/>
      <c r="AC866" s="59"/>
      <c r="AD866" s="59"/>
      <c r="AE866" s="59"/>
      <c r="AF866" s="59"/>
      <c r="AG866" s="59"/>
      <c r="AH866" s="59"/>
      <c r="AI866" s="59"/>
      <c r="AJ866" s="59"/>
      <c r="AK866" s="59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9"/>
      <c r="AW866" s="59"/>
      <c r="AX866" s="59"/>
      <c r="AY866" s="59"/>
      <c r="AZ866" s="59"/>
      <c r="BA866" s="59"/>
      <c r="BB866" s="59"/>
      <c r="BC866" s="59"/>
      <c r="BD866" s="59"/>
      <c r="BE866" s="59"/>
      <c r="BF866" s="59"/>
      <c r="BG866" s="59"/>
      <c r="BH866" s="59"/>
      <c r="BI866" s="59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59"/>
      <c r="BZ866" s="59"/>
      <c r="CA866" s="59"/>
      <c r="CB866" s="59"/>
      <c r="CC866" s="59"/>
      <c r="CD866" s="59"/>
      <c r="CE866" s="59"/>
      <c r="CF866" s="59"/>
      <c r="CG866" s="59"/>
      <c r="CH866" s="59"/>
      <c r="CI866" s="59"/>
      <c r="CJ866" s="59"/>
      <c r="CK866" s="59"/>
      <c r="CL866" s="59"/>
      <c r="CM866" s="59"/>
      <c r="CN866" s="59"/>
      <c r="CO866" s="59"/>
      <c r="CP866" s="59"/>
      <c r="CQ866" s="59"/>
      <c r="CR866" s="59"/>
      <c r="CS866" s="59"/>
      <c r="CT866" s="59"/>
      <c r="CU866" s="59"/>
      <c r="CV866" s="59"/>
      <c r="CW866" s="59"/>
      <c r="CX866" s="59"/>
      <c r="CY866" s="59"/>
      <c r="CZ866" s="59"/>
      <c r="DA866" s="59"/>
      <c r="DB866" s="59"/>
      <c r="DC866" s="59"/>
      <c r="DD866" s="59"/>
      <c r="DE866" s="59"/>
      <c r="DF866" s="59"/>
      <c r="DG866" s="59"/>
    </row>
    <row r="867" spans="1:111" ht="11.2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  <c r="AB867" s="59"/>
      <c r="AC867" s="59"/>
      <c r="AD867" s="59"/>
      <c r="AE867" s="59"/>
      <c r="AF867" s="59"/>
      <c r="AG867" s="59"/>
      <c r="AH867" s="59"/>
      <c r="AI867" s="59"/>
      <c r="AJ867" s="59"/>
      <c r="AK867" s="59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9"/>
      <c r="AW867" s="59"/>
      <c r="AX867" s="59"/>
      <c r="AY867" s="59"/>
      <c r="AZ867" s="59"/>
      <c r="BA867" s="59"/>
      <c r="BB867" s="59"/>
      <c r="BC867" s="59"/>
      <c r="BD867" s="59"/>
      <c r="BE867" s="59"/>
      <c r="BF867" s="59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59"/>
      <c r="BZ867" s="59"/>
      <c r="CA867" s="59"/>
      <c r="CB867" s="59"/>
      <c r="CC867" s="59"/>
      <c r="CD867" s="59"/>
      <c r="CE867" s="59"/>
      <c r="CF867" s="59"/>
      <c r="CG867" s="59"/>
      <c r="CH867" s="59"/>
      <c r="CI867" s="59"/>
      <c r="CJ867" s="59"/>
      <c r="CK867" s="59"/>
      <c r="CL867" s="59"/>
      <c r="CM867" s="59"/>
      <c r="CN867" s="59"/>
      <c r="CO867" s="59"/>
      <c r="CP867" s="59"/>
      <c r="CQ867" s="59"/>
      <c r="CR867" s="59"/>
      <c r="CS867" s="59"/>
      <c r="CT867" s="59"/>
      <c r="CU867" s="59"/>
      <c r="CV867" s="59"/>
      <c r="CW867" s="59"/>
      <c r="CX867" s="59"/>
      <c r="CY867" s="59"/>
      <c r="CZ867" s="59"/>
      <c r="DA867" s="59"/>
      <c r="DB867" s="59"/>
      <c r="DC867" s="59"/>
      <c r="DD867" s="59"/>
      <c r="DE867" s="59"/>
      <c r="DF867" s="59"/>
      <c r="DG867" s="59"/>
    </row>
    <row r="868" spans="1:111" ht="11.2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  <c r="AB868" s="59"/>
      <c r="AC868" s="59"/>
      <c r="AD868" s="59"/>
      <c r="AE868" s="59"/>
      <c r="AF868" s="59"/>
      <c r="AG868" s="59"/>
      <c r="AH868" s="59"/>
      <c r="AI868" s="59"/>
      <c r="AJ868" s="59"/>
      <c r="AK868" s="59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9"/>
      <c r="AW868" s="59"/>
      <c r="AX868" s="59"/>
      <c r="AY868" s="59"/>
      <c r="AZ868" s="59"/>
      <c r="BA868" s="59"/>
      <c r="BB868" s="59"/>
      <c r="BC868" s="59"/>
      <c r="BD868" s="59"/>
      <c r="BE868" s="59"/>
      <c r="BF868" s="59"/>
      <c r="BG868" s="59"/>
      <c r="BH868" s="59"/>
      <c r="BI868" s="59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59"/>
      <c r="BZ868" s="59"/>
      <c r="CA868" s="59"/>
      <c r="CB868" s="59"/>
      <c r="CC868" s="59"/>
      <c r="CD868" s="59"/>
      <c r="CE868" s="59"/>
      <c r="CF868" s="59"/>
      <c r="CG868" s="59"/>
      <c r="CH868" s="59"/>
      <c r="CI868" s="59"/>
      <c r="CJ868" s="59"/>
      <c r="CK868" s="59"/>
      <c r="CL868" s="59"/>
      <c r="CM868" s="59"/>
      <c r="CN868" s="59"/>
      <c r="CO868" s="59"/>
      <c r="CP868" s="59"/>
      <c r="CQ868" s="59"/>
      <c r="CR868" s="59"/>
      <c r="CS868" s="59"/>
      <c r="CT868" s="59"/>
      <c r="CU868" s="59"/>
      <c r="CV868" s="59"/>
      <c r="CW868" s="59"/>
      <c r="CX868" s="59"/>
      <c r="CY868" s="59"/>
      <c r="CZ868" s="59"/>
      <c r="DA868" s="59"/>
      <c r="DB868" s="59"/>
      <c r="DC868" s="59"/>
      <c r="DD868" s="59"/>
      <c r="DE868" s="59"/>
      <c r="DF868" s="59"/>
      <c r="DG868" s="59"/>
    </row>
    <row r="869" spans="1:111" ht="11.2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  <c r="AB869" s="59"/>
      <c r="AC869" s="59"/>
      <c r="AD869" s="59"/>
      <c r="AE869" s="59"/>
      <c r="AF869" s="59"/>
      <c r="AG869" s="59"/>
      <c r="AH869" s="59"/>
      <c r="AI869" s="59"/>
      <c r="AJ869" s="59"/>
      <c r="AK869" s="59"/>
      <c r="AL869" s="59"/>
      <c r="AM869" s="59"/>
      <c r="AN869" s="59"/>
      <c r="AO869" s="59"/>
      <c r="AP869" s="59"/>
      <c r="AQ869" s="59"/>
      <c r="AR869" s="59"/>
      <c r="AS869" s="59"/>
      <c r="AT869" s="59"/>
      <c r="AU869" s="59"/>
      <c r="AV869" s="59"/>
      <c r="AW869" s="59"/>
      <c r="AX869" s="59"/>
      <c r="AY869" s="59"/>
      <c r="AZ869" s="59"/>
      <c r="BA869" s="59"/>
      <c r="BB869" s="59"/>
      <c r="BC869" s="59"/>
      <c r="BD869" s="59"/>
      <c r="BE869" s="59"/>
      <c r="BF869" s="59"/>
      <c r="BG869" s="59"/>
      <c r="BH869" s="59"/>
      <c r="BI869" s="59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59"/>
      <c r="BZ869" s="59"/>
      <c r="CA869" s="59"/>
      <c r="CB869" s="59"/>
      <c r="CC869" s="59"/>
      <c r="CD869" s="59"/>
      <c r="CE869" s="59"/>
      <c r="CF869" s="59"/>
      <c r="CG869" s="59"/>
      <c r="CH869" s="59"/>
      <c r="CI869" s="59"/>
      <c r="CJ869" s="59"/>
      <c r="CK869" s="59"/>
      <c r="CL869" s="59"/>
      <c r="CM869" s="59"/>
      <c r="CN869" s="59"/>
      <c r="CO869" s="59"/>
      <c r="CP869" s="59"/>
      <c r="CQ869" s="59"/>
      <c r="CR869" s="59"/>
      <c r="CS869" s="59"/>
      <c r="CT869" s="59"/>
      <c r="CU869" s="59"/>
      <c r="CV869" s="59"/>
      <c r="CW869" s="59"/>
      <c r="CX869" s="59"/>
      <c r="CY869" s="59"/>
      <c r="CZ869" s="59"/>
      <c r="DA869" s="59"/>
      <c r="DB869" s="59"/>
      <c r="DC869" s="59"/>
      <c r="DD869" s="59"/>
      <c r="DE869" s="59"/>
      <c r="DF869" s="59"/>
      <c r="DG869" s="59"/>
    </row>
    <row r="870" spans="1:111" ht="11.2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  <c r="AB870" s="59"/>
      <c r="AC870" s="59"/>
      <c r="AD870" s="59"/>
      <c r="AE870" s="59"/>
      <c r="AF870" s="59"/>
      <c r="AG870" s="59"/>
      <c r="AH870" s="59"/>
      <c r="AI870" s="59"/>
      <c r="AJ870" s="59"/>
      <c r="AK870" s="59"/>
      <c r="AL870" s="59"/>
      <c r="AM870" s="59"/>
      <c r="AN870" s="59"/>
      <c r="AO870" s="59"/>
      <c r="AP870" s="59"/>
      <c r="AQ870" s="59"/>
      <c r="AR870" s="59"/>
      <c r="AS870" s="59"/>
      <c r="AT870" s="59"/>
      <c r="AU870" s="59"/>
      <c r="AV870" s="59"/>
      <c r="AW870" s="59"/>
      <c r="AX870" s="59"/>
      <c r="AY870" s="59"/>
      <c r="AZ870" s="59"/>
      <c r="BA870" s="59"/>
      <c r="BB870" s="59"/>
      <c r="BC870" s="59"/>
      <c r="BD870" s="59"/>
      <c r="BE870" s="59"/>
      <c r="BF870" s="59"/>
      <c r="BG870" s="59"/>
      <c r="BH870" s="59"/>
      <c r="BI870" s="59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59"/>
      <c r="BZ870" s="59"/>
      <c r="CA870" s="59"/>
      <c r="CB870" s="59"/>
      <c r="CC870" s="59"/>
      <c r="CD870" s="59"/>
      <c r="CE870" s="59"/>
      <c r="CF870" s="59"/>
      <c r="CG870" s="59"/>
      <c r="CH870" s="59"/>
      <c r="CI870" s="59"/>
      <c r="CJ870" s="59"/>
      <c r="CK870" s="59"/>
      <c r="CL870" s="59"/>
      <c r="CM870" s="59"/>
      <c r="CN870" s="59"/>
      <c r="CO870" s="59"/>
      <c r="CP870" s="59"/>
      <c r="CQ870" s="59"/>
      <c r="CR870" s="59"/>
      <c r="CS870" s="59"/>
      <c r="CT870" s="59"/>
      <c r="CU870" s="59"/>
      <c r="CV870" s="59"/>
      <c r="CW870" s="59"/>
      <c r="CX870" s="59"/>
      <c r="CY870" s="59"/>
      <c r="CZ870" s="59"/>
      <c r="DA870" s="59"/>
      <c r="DB870" s="59"/>
      <c r="DC870" s="59"/>
      <c r="DD870" s="59"/>
      <c r="DE870" s="59"/>
      <c r="DF870" s="59"/>
      <c r="DG870" s="59"/>
    </row>
    <row r="871" spans="1:111" ht="11.2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  <c r="AB871" s="59"/>
      <c r="AC871" s="59"/>
      <c r="AD871" s="59"/>
      <c r="AE871" s="59"/>
      <c r="AF871" s="59"/>
      <c r="AG871" s="59"/>
      <c r="AH871" s="59"/>
      <c r="AI871" s="59"/>
      <c r="AJ871" s="59"/>
      <c r="AK871" s="59"/>
      <c r="AL871" s="59"/>
      <c r="AM871" s="59"/>
      <c r="AN871" s="59"/>
      <c r="AO871" s="59"/>
      <c r="AP871" s="59"/>
      <c r="AQ871" s="59"/>
      <c r="AR871" s="59"/>
      <c r="AS871" s="59"/>
      <c r="AT871" s="59"/>
      <c r="AU871" s="59"/>
      <c r="AV871" s="59"/>
      <c r="AW871" s="59"/>
      <c r="AX871" s="59"/>
      <c r="AY871" s="59"/>
      <c r="AZ871" s="59"/>
      <c r="BA871" s="59"/>
      <c r="BB871" s="59"/>
      <c r="BC871" s="59"/>
      <c r="BD871" s="59"/>
      <c r="BE871" s="59"/>
      <c r="BF871" s="59"/>
      <c r="BG871" s="59"/>
      <c r="BH871" s="59"/>
      <c r="BI871" s="59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59"/>
      <c r="BZ871" s="59"/>
      <c r="CA871" s="59"/>
      <c r="CB871" s="59"/>
      <c r="CC871" s="59"/>
      <c r="CD871" s="59"/>
      <c r="CE871" s="59"/>
      <c r="CF871" s="59"/>
      <c r="CG871" s="59"/>
      <c r="CH871" s="59"/>
      <c r="CI871" s="59"/>
      <c r="CJ871" s="59"/>
      <c r="CK871" s="59"/>
      <c r="CL871" s="59"/>
      <c r="CM871" s="59"/>
      <c r="CN871" s="59"/>
      <c r="CO871" s="59"/>
      <c r="CP871" s="59"/>
      <c r="CQ871" s="59"/>
      <c r="CR871" s="59"/>
      <c r="CS871" s="59"/>
      <c r="CT871" s="59"/>
      <c r="CU871" s="59"/>
      <c r="CV871" s="59"/>
      <c r="CW871" s="59"/>
      <c r="CX871" s="59"/>
      <c r="CY871" s="59"/>
      <c r="CZ871" s="59"/>
      <c r="DA871" s="59"/>
      <c r="DB871" s="59"/>
      <c r="DC871" s="59"/>
      <c r="DD871" s="59"/>
      <c r="DE871" s="59"/>
      <c r="DF871" s="59"/>
      <c r="DG871" s="59"/>
    </row>
    <row r="872" spans="1:111" ht="11.2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  <c r="AB872" s="59"/>
      <c r="AC872" s="59"/>
      <c r="AD872" s="59"/>
      <c r="AE872" s="59"/>
      <c r="AF872" s="59"/>
      <c r="AG872" s="59"/>
      <c r="AH872" s="59"/>
      <c r="AI872" s="59"/>
      <c r="AJ872" s="59"/>
      <c r="AK872" s="59"/>
      <c r="AL872" s="59"/>
      <c r="AM872" s="59"/>
      <c r="AN872" s="59"/>
      <c r="AO872" s="59"/>
      <c r="AP872" s="59"/>
      <c r="AQ872" s="59"/>
      <c r="AR872" s="59"/>
      <c r="AS872" s="59"/>
      <c r="AT872" s="59"/>
      <c r="AU872" s="59"/>
      <c r="AV872" s="59"/>
      <c r="AW872" s="59"/>
      <c r="AX872" s="59"/>
      <c r="AY872" s="59"/>
      <c r="AZ872" s="59"/>
      <c r="BA872" s="59"/>
      <c r="BB872" s="59"/>
      <c r="BC872" s="59"/>
      <c r="BD872" s="59"/>
      <c r="BE872" s="59"/>
      <c r="BF872" s="59"/>
      <c r="BG872" s="59"/>
      <c r="BH872" s="59"/>
      <c r="BI872" s="59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59"/>
      <c r="BZ872" s="59"/>
      <c r="CA872" s="59"/>
      <c r="CB872" s="59"/>
      <c r="CC872" s="59"/>
      <c r="CD872" s="59"/>
      <c r="CE872" s="59"/>
      <c r="CF872" s="59"/>
      <c r="CG872" s="59"/>
      <c r="CH872" s="59"/>
      <c r="CI872" s="59"/>
      <c r="CJ872" s="59"/>
      <c r="CK872" s="59"/>
      <c r="CL872" s="59"/>
      <c r="CM872" s="59"/>
      <c r="CN872" s="59"/>
      <c r="CO872" s="59"/>
      <c r="CP872" s="59"/>
      <c r="CQ872" s="59"/>
      <c r="CR872" s="59"/>
      <c r="CS872" s="59"/>
      <c r="CT872" s="59"/>
      <c r="CU872" s="59"/>
      <c r="CV872" s="59"/>
      <c r="CW872" s="59"/>
      <c r="CX872" s="59"/>
      <c r="CY872" s="59"/>
      <c r="CZ872" s="59"/>
      <c r="DA872" s="59"/>
      <c r="DB872" s="59"/>
      <c r="DC872" s="59"/>
      <c r="DD872" s="59"/>
      <c r="DE872" s="59"/>
      <c r="DF872" s="59"/>
      <c r="DG872" s="59"/>
    </row>
    <row r="873" spans="1:111" ht="11.2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  <c r="AB873" s="59"/>
      <c r="AC873" s="59"/>
      <c r="AD873" s="59"/>
      <c r="AE873" s="59"/>
      <c r="AF873" s="59"/>
      <c r="AG873" s="59"/>
      <c r="AH873" s="59"/>
      <c r="AI873" s="59"/>
      <c r="AJ873" s="59"/>
      <c r="AK873" s="59"/>
      <c r="AL873" s="59"/>
      <c r="AM873" s="59"/>
      <c r="AN873" s="59"/>
      <c r="AO873" s="59"/>
      <c r="AP873" s="59"/>
      <c r="AQ873" s="59"/>
      <c r="AR873" s="59"/>
      <c r="AS873" s="59"/>
      <c r="AT873" s="59"/>
      <c r="AU873" s="59"/>
      <c r="AV873" s="59"/>
      <c r="AW873" s="59"/>
      <c r="AX873" s="59"/>
      <c r="AY873" s="59"/>
      <c r="AZ873" s="59"/>
      <c r="BA873" s="59"/>
      <c r="BB873" s="59"/>
      <c r="BC873" s="59"/>
      <c r="BD873" s="59"/>
      <c r="BE873" s="59"/>
      <c r="BF873" s="59"/>
      <c r="BG873" s="59"/>
      <c r="BH873" s="59"/>
      <c r="BI873" s="59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59"/>
      <c r="BZ873" s="59"/>
      <c r="CA873" s="59"/>
      <c r="CB873" s="59"/>
      <c r="CC873" s="59"/>
      <c r="CD873" s="59"/>
      <c r="CE873" s="59"/>
      <c r="CF873" s="59"/>
      <c r="CG873" s="59"/>
      <c r="CH873" s="59"/>
      <c r="CI873" s="59"/>
      <c r="CJ873" s="59"/>
      <c r="CK873" s="59"/>
      <c r="CL873" s="59"/>
      <c r="CM873" s="59"/>
      <c r="CN873" s="59"/>
      <c r="CO873" s="59"/>
      <c r="CP873" s="59"/>
      <c r="CQ873" s="59"/>
      <c r="CR873" s="59"/>
      <c r="CS873" s="59"/>
      <c r="CT873" s="59"/>
      <c r="CU873" s="59"/>
      <c r="CV873" s="59"/>
      <c r="CW873" s="59"/>
      <c r="CX873" s="59"/>
      <c r="CY873" s="59"/>
      <c r="CZ873" s="59"/>
      <c r="DA873" s="59"/>
      <c r="DB873" s="59"/>
      <c r="DC873" s="59"/>
      <c r="DD873" s="59"/>
      <c r="DE873" s="59"/>
      <c r="DF873" s="59"/>
      <c r="DG873" s="59"/>
    </row>
    <row r="874" spans="1:111" ht="11.2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9"/>
      <c r="AW874" s="59"/>
      <c r="AX874" s="59"/>
      <c r="AY874" s="59"/>
      <c r="AZ874" s="59"/>
      <c r="BA874" s="59"/>
      <c r="BB874" s="59"/>
      <c r="BC874" s="59"/>
      <c r="BD874" s="59"/>
      <c r="BE874" s="59"/>
      <c r="BF874" s="59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59"/>
      <c r="BZ874" s="59"/>
      <c r="CA874" s="59"/>
      <c r="CB874" s="59"/>
      <c r="CC874" s="59"/>
      <c r="CD874" s="59"/>
      <c r="CE874" s="59"/>
      <c r="CF874" s="59"/>
      <c r="CG874" s="59"/>
      <c r="CH874" s="59"/>
      <c r="CI874" s="59"/>
      <c r="CJ874" s="59"/>
      <c r="CK874" s="59"/>
      <c r="CL874" s="59"/>
      <c r="CM874" s="59"/>
      <c r="CN874" s="59"/>
      <c r="CO874" s="59"/>
      <c r="CP874" s="59"/>
      <c r="CQ874" s="59"/>
      <c r="CR874" s="59"/>
      <c r="CS874" s="59"/>
      <c r="CT874" s="59"/>
      <c r="CU874" s="59"/>
      <c r="CV874" s="59"/>
      <c r="CW874" s="59"/>
      <c r="CX874" s="59"/>
      <c r="CY874" s="59"/>
      <c r="CZ874" s="59"/>
      <c r="DA874" s="59"/>
      <c r="DB874" s="59"/>
      <c r="DC874" s="59"/>
      <c r="DD874" s="59"/>
      <c r="DE874" s="59"/>
      <c r="DF874" s="59"/>
      <c r="DG874" s="59"/>
    </row>
    <row r="875" spans="1:111" ht="11.2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  <c r="AL875" s="59"/>
      <c r="AM875" s="59"/>
      <c r="AN875" s="59"/>
      <c r="AO875" s="59"/>
      <c r="AP875" s="59"/>
      <c r="AQ875" s="59"/>
      <c r="AR875" s="59"/>
      <c r="AS875" s="59"/>
      <c r="AT875" s="59"/>
      <c r="AU875" s="59"/>
      <c r="AV875" s="59"/>
      <c r="AW875" s="59"/>
      <c r="AX875" s="59"/>
      <c r="AY875" s="59"/>
      <c r="AZ875" s="59"/>
      <c r="BA875" s="59"/>
      <c r="BB875" s="59"/>
      <c r="BC875" s="59"/>
      <c r="BD875" s="59"/>
      <c r="BE875" s="59"/>
      <c r="BF875" s="59"/>
      <c r="BG875" s="59"/>
      <c r="BH875" s="59"/>
      <c r="BI875" s="59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59"/>
      <c r="BZ875" s="59"/>
      <c r="CA875" s="59"/>
      <c r="CB875" s="59"/>
      <c r="CC875" s="59"/>
      <c r="CD875" s="59"/>
      <c r="CE875" s="59"/>
      <c r="CF875" s="59"/>
      <c r="CG875" s="59"/>
      <c r="CH875" s="59"/>
      <c r="CI875" s="59"/>
      <c r="CJ875" s="59"/>
      <c r="CK875" s="59"/>
      <c r="CL875" s="59"/>
      <c r="CM875" s="59"/>
      <c r="CN875" s="59"/>
      <c r="CO875" s="59"/>
      <c r="CP875" s="59"/>
      <c r="CQ875" s="59"/>
      <c r="CR875" s="59"/>
      <c r="CS875" s="59"/>
      <c r="CT875" s="59"/>
      <c r="CU875" s="59"/>
      <c r="CV875" s="59"/>
      <c r="CW875" s="59"/>
      <c r="CX875" s="59"/>
      <c r="CY875" s="59"/>
      <c r="CZ875" s="59"/>
      <c r="DA875" s="59"/>
      <c r="DB875" s="59"/>
      <c r="DC875" s="59"/>
      <c r="DD875" s="59"/>
      <c r="DE875" s="59"/>
      <c r="DF875" s="59"/>
      <c r="DG875" s="59"/>
    </row>
    <row r="876" spans="1:111" ht="11.2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  <c r="AL876" s="59"/>
      <c r="AM876" s="59"/>
      <c r="AN876" s="59"/>
      <c r="AO876" s="59"/>
      <c r="AP876" s="59"/>
      <c r="AQ876" s="59"/>
      <c r="AR876" s="59"/>
      <c r="AS876" s="59"/>
      <c r="AT876" s="59"/>
      <c r="AU876" s="59"/>
      <c r="AV876" s="59"/>
      <c r="AW876" s="59"/>
      <c r="AX876" s="59"/>
      <c r="AY876" s="59"/>
      <c r="AZ876" s="59"/>
      <c r="BA876" s="59"/>
      <c r="BB876" s="59"/>
      <c r="BC876" s="59"/>
      <c r="BD876" s="59"/>
      <c r="BE876" s="59"/>
      <c r="BF876" s="59"/>
      <c r="BG876" s="59"/>
      <c r="BH876" s="59"/>
      <c r="BI876" s="59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59"/>
      <c r="BZ876" s="59"/>
      <c r="CA876" s="59"/>
      <c r="CB876" s="59"/>
      <c r="CC876" s="59"/>
      <c r="CD876" s="59"/>
      <c r="CE876" s="59"/>
      <c r="CF876" s="59"/>
      <c r="CG876" s="59"/>
      <c r="CH876" s="59"/>
      <c r="CI876" s="59"/>
      <c r="CJ876" s="59"/>
      <c r="CK876" s="59"/>
      <c r="CL876" s="59"/>
      <c r="CM876" s="59"/>
      <c r="CN876" s="59"/>
      <c r="CO876" s="59"/>
      <c r="CP876" s="59"/>
      <c r="CQ876" s="59"/>
      <c r="CR876" s="59"/>
      <c r="CS876" s="59"/>
      <c r="CT876" s="59"/>
      <c r="CU876" s="59"/>
      <c r="CV876" s="59"/>
      <c r="CW876" s="59"/>
      <c r="CX876" s="59"/>
      <c r="CY876" s="59"/>
      <c r="CZ876" s="59"/>
      <c r="DA876" s="59"/>
      <c r="DB876" s="59"/>
      <c r="DC876" s="59"/>
      <c r="DD876" s="59"/>
      <c r="DE876" s="59"/>
      <c r="DF876" s="59"/>
      <c r="DG876" s="59"/>
    </row>
    <row r="877" spans="1:111" ht="11.2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  <c r="AB877" s="59"/>
      <c r="AC877" s="59"/>
      <c r="AD877" s="59"/>
      <c r="AE877" s="59"/>
      <c r="AF877" s="59"/>
      <c r="AG877" s="59"/>
      <c r="AH877" s="59"/>
      <c r="AI877" s="59"/>
      <c r="AJ877" s="59"/>
      <c r="AK877" s="59"/>
      <c r="AL877" s="59"/>
      <c r="AM877" s="59"/>
      <c r="AN877" s="59"/>
      <c r="AO877" s="59"/>
      <c r="AP877" s="59"/>
      <c r="AQ877" s="59"/>
      <c r="AR877" s="59"/>
      <c r="AS877" s="59"/>
      <c r="AT877" s="59"/>
      <c r="AU877" s="59"/>
      <c r="AV877" s="59"/>
      <c r="AW877" s="59"/>
      <c r="AX877" s="59"/>
      <c r="AY877" s="59"/>
      <c r="AZ877" s="59"/>
      <c r="BA877" s="59"/>
      <c r="BB877" s="59"/>
      <c r="BC877" s="59"/>
      <c r="BD877" s="59"/>
      <c r="BE877" s="59"/>
      <c r="BF877" s="59"/>
      <c r="BG877" s="59"/>
      <c r="BH877" s="59"/>
      <c r="BI877" s="59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59"/>
      <c r="BZ877" s="59"/>
      <c r="CA877" s="59"/>
      <c r="CB877" s="59"/>
      <c r="CC877" s="59"/>
      <c r="CD877" s="59"/>
      <c r="CE877" s="59"/>
      <c r="CF877" s="59"/>
      <c r="CG877" s="59"/>
      <c r="CH877" s="59"/>
      <c r="CI877" s="59"/>
      <c r="CJ877" s="59"/>
      <c r="CK877" s="59"/>
      <c r="CL877" s="59"/>
      <c r="CM877" s="59"/>
      <c r="CN877" s="59"/>
      <c r="CO877" s="59"/>
      <c r="CP877" s="59"/>
      <c r="CQ877" s="59"/>
      <c r="CR877" s="59"/>
      <c r="CS877" s="59"/>
      <c r="CT877" s="59"/>
      <c r="CU877" s="59"/>
      <c r="CV877" s="59"/>
      <c r="CW877" s="59"/>
      <c r="CX877" s="59"/>
      <c r="CY877" s="59"/>
      <c r="CZ877" s="59"/>
      <c r="DA877" s="59"/>
      <c r="DB877" s="59"/>
      <c r="DC877" s="59"/>
      <c r="DD877" s="59"/>
      <c r="DE877" s="59"/>
      <c r="DF877" s="59"/>
      <c r="DG877" s="59"/>
    </row>
    <row r="878" spans="1:111" ht="11.2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  <c r="AB878" s="59"/>
      <c r="AC878" s="59"/>
      <c r="AD878" s="59"/>
      <c r="AE878" s="59"/>
      <c r="AF878" s="59"/>
      <c r="AG878" s="59"/>
      <c r="AH878" s="59"/>
      <c r="AI878" s="59"/>
      <c r="AJ878" s="59"/>
      <c r="AK878" s="59"/>
      <c r="AL878" s="59"/>
      <c r="AM878" s="59"/>
      <c r="AN878" s="59"/>
      <c r="AO878" s="59"/>
      <c r="AP878" s="59"/>
      <c r="AQ878" s="59"/>
      <c r="AR878" s="59"/>
      <c r="AS878" s="59"/>
      <c r="AT878" s="59"/>
      <c r="AU878" s="59"/>
      <c r="AV878" s="59"/>
      <c r="AW878" s="59"/>
      <c r="AX878" s="59"/>
      <c r="AY878" s="59"/>
      <c r="AZ878" s="59"/>
      <c r="BA878" s="59"/>
      <c r="BB878" s="59"/>
      <c r="BC878" s="59"/>
      <c r="BD878" s="59"/>
      <c r="BE878" s="59"/>
      <c r="BF878" s="59"/>
      <c r="BG878" s="59"/>
      <c r="BH878" s="59"/>
      <c r="BI878" s="59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59"/>
      <c r="BZ878" s="59"/>
      <c r="CA878" s="59"/>
      <c r="CB878" s="59"/>
      <c r="CC878" s="59"/>
      <c r="CD878" s="59"/>
      <c r="CE878" s="59"/>
      <c r="CF878" s="59"/>
      <c r="CG878" s="59"/>
      <c r="CH878" s="59"/>
      <c r="CI878" s="59"/>
      <c r="CJ878" s="59"/>
      <c r="CK878" s="59"/>
      <c r="CL878" s="59"/>
      <c r="CM878" s="59"/>
      <c r="CN878" s="59"/>
      <c r="CO878" s="59"/>
      <c r="CP878" s="59"/>
      <c r="CQ878" s="59"/>
      <c r="CR878" s="59"/>
      <c r="CS878" s="59"/>
      <c r="CT878" s="59"/>
      <c r="CU878" s="59"/>
      <c r="CV878" s="59"/>
      <c r="CW878" s="59"/>
      <c r="CX878" s="59"/>
      <c r="CY878" s="59"/>
      <c r="CZ878" s="59"/>
      <c r="DA878" s="59"/>
      <c r="DB878" s="59"/>
      <c r="DC878" s="59"/>
      <c r="DD878" s="59"/>
      <c r="DE878" s="59"/>
      <c r="DF878" s="59"/>
      <c r="DG878" s="59"/>
    </row>
    <row r="879" spans="1:111" ht="11.2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  <c r="AB879" s="59"/>
      <c r="AC879" s="59"/>
      <c r="AD879" s="59"/>
      <c r="AE879" s="59"/>
      <c r="AF879" s="59"/>
      <c r="AG879" s="59"/>
      <c r="AH879" s="59"/>
      <c r="AI879" s="59"/>
      <c r="AJ879" s="59"/>
      <c r="AK879" s="59"/>
      <c r="AL879" s="59"/>
      <c r="AM879" s="59"/>
      <c r="AN879" s="59"/>
      <c r="AO879" s="59"/>
      <c r="AP879" s="59"/>
      <c r="AQ879" s="59"/>
      <c r="AR879" s="59"/>
      <c r="AS879" s="59"/>
      <c r="AT879" s="59"/>
      <c r="AU879" s="59"/>
      <c r="AV879" s="59"/>
      <c r="AW879" s="59"/>
      <c r="AX879" s="59"/>
      <c r="AY879" s="59"/>
      <c r="AZ879" s="59"/>
      <c r="BA879" s="59"/>
      <c r="BB879" s="59"/>
      <c r="BC879" s="59"/>
      <c r="BD879" s="59"/>
      <c r="BE879" s="59"/>
      <c r="BF879" s="59"/>
      <c r="BG879" s="59"/>
      <c r="BH879" s="59"/>
      <c r="BI879" s="59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59"/>
      <c r="BZ879" s="59"/>
      <c r="CA879" s="59"/>
      <c r="CB879" s="59"/>
      <c r="CC879" s="59"/>
      <c r="CD879" s="59"/>
      <c r="CE879" s="59"/>
      <c r="CF879" s="59"/>
      <c r="CG879" s="59"/>
      <c r="CH879" s="59"/>
      <c r="CI879" s="59"/>
      <c r="CJ879" s="59"/>
      <c r="CK879" s="59"/>
      <c r="CL879" s="59"/>
      <c r="CM879" s="59"/>
      <c r="CN879" s="59"/>
      <c r="CO879" s="59"/>
      <c r="CP879" s="59"/>
      <c r="CQ879" s="59"/>
      <c r="CR879" s="59"/>
      <c r="CS879" s="59"/>
      <c r="CT879" s="59"/>
      <c r="CU879" s="59"/>
      <c r="CV879" s="59"/>
      <c r="CW879" s="59"/>
      <c r="CX879" s="59"/>
      <c r="CY879" s="59"/>
      <c r="CZ879" s="59"/>
      <c r="DA879" s="59"/>
      <c r="DB879" s="59"/>
      <c r="DC879" s="59"/>
      <c r="DD879" s="59"/>
      <c r="DE879" s="59"/>
      <c r="DF879" s="59"/>
      <c r="DG879" s="59"/>
    </row>
    <row r="880" spans="1:111" ht="11.2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  <c r="AB880" s="59"/>
      <c r="AC880" s="59"/>
      <c r="AD880" s="59"/>
      <c r="AE880" s="59"/>
      <c r="AF880" s="59"/>
      <c r="AG880" s="59"/>
      <c r="AH880" s="59"/>
      <c r="AI880" s="59"/>
      <c r="AJ880" s="59"/>
      <c r="AK880" s="59"/>
      <c r="AL880" s="59"/>
      <c r="AM880" s="59"/>
      <c r="AN880" s="59"/>
      <c r="AO880" s="59"/>
      <c r="AP880" s="59"/>
      <c r="AQ880" s="59"/>
      <c r="AR880" s="59"/>
      <c r="AS880" s="59"/>
      <c r="AT880" s="59"/>
      <c r="AU880" s="59"/>
      <c r="AV880" s="59"/>
      <c r="AW880" s="59"/>
      <c r="AX880" s="59"/>
      <c r="AY880" s="59"/>
      <c r="AZ880" s="59"/>
      <c r="BA880" s="59"/>
      <c r="BB880" s="59"/>
      <c r="BC880" s="59"/>
      <c r="BD880" s="59"/>
      <c r="BE880" s="59"/>
      <c r="BF880" s="59"/>
      <c r="BG880" s="59"/>
      <c r="BH880" s="59"/>
      <c r="BI880" s="59"/>
      <c r="BJ880" s="59"/>
      <c r="BK880" s="59"/>
      <c r="BL880" s="59"/>
      <c r="BM880" s="59"/>
      <c r="BN880" s="59"/>
      <c r="BO880" s="59"/>
      <c r="BP880" s="59"/>
      <c r="BQ880" s="59"/>
      <c r="BR880" s="59"/>
      <c r="BS880" s="59"/>
      <c r="BT880" s="59"/>
      <c r="BU880" s="59"/>
      <c r="BV880" s="59"/>
      <c r="BW880" s="59"/>
      <c r="BX880" s="59"/>
      <c r="BY880" s="59"/>
      <c r="BZ880" s="59"/>
      <c r="CA880" s="59"/>
      <c r="CB880" s="59"/>
      <c r="CC880" s="59"/>
      <c r="CD880" s="59"/>
      <c r="CE880" s="59"/>
      <c r="CF880" s="59"/>
      <c r="CG880" s="59"/>
      <c r="CH880" s="59"/>
      <c r="CI880" s="59"/>
      <c r="CJ880" s="59"/>
      <c r="CK880" s="59"/>
      <c r="CL880" s="59"/>
      <c r="CM880" s="59"/>
      <c r="CN880" s="59"/>
      <c r="CO880" s="59"/>
      <c r="CP880" s="59"/>
      <c r="CQ880" s="59"/>
      <c r="CR880" s="59"/>
      <c r="CS880" s="59"/>
      <c r="CT880" s="59"/>
      <c r="CU880" s="59"/>
      <c r="CV880" s="59"/>
      <c r="CW880" s="59"/>
      <c r="CX880" s="59"/>
      <c r="CY880" s="59"/>
      <c r="CZ880" s="59"/>
      <c r="DA880" s="59"/>
      <c r="DB880" s="59"/>
      <c r="DC880" s="59"/>
      <c r="DD880" s="59"/>
      <c r="DE880" s="59"/>
      <c r="DF880" s="59"/>
      <c r="DG880" s="59"/>
    </row>
    <row r="881" spans="1:111" ht="11.2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  <c r="AB881" s="59"/>
      <c r="AC881" s="59"/>
      <c r="AD881" s="59"/>
      <c r="AE881" s="59"/>
      <c r="AF881" s="59"/>
      <c r="AG881" s="59"/>
      <c r="AH881" s="59"/>
      <c r="AI881" s="59"/>
      <c r="AJ881" s="59"/>
      <c r="AK881" s="59"/>
      <c r="AL881" s="59"/>
      <c r="AM881" s="59"/>
      <c r="AN881" s="59"/>
      <c r="AO881" s="59"/>
      <c r="AP881" s="59"/>
      <c r="AQ881" s="59"/>
      <c r="AR881" s="59"/>
      <c r="AS881" s="59"/>
      <c r="AT881" s="59"/>
      <c r="AU881" s="59"/>
      <c r="AV881" s="59"/>
      <c r="AW881" s="59"/>
      <c r="AX881" s="59"/>
      <c r="AY881" s="59"/>
      <c r="AZ881" s="59"/>
      <c r="BA881" s="59"/>
      <c r="BB881" s="59"/>
      <c r="BC881" s="59"/>
      <c r="BD881" s="59"/>
      <c r="BE881" s="59"/>
      <c r="BF881" s="59"/>
      <c r="BG881" s="59"/>
      <c r="BH881" s="59"/>
      <c r="BI881" s="59"/>
      <c r="BJ881" s="59"/>
      <c r="BK881" s="59"/>
      <c r="BL881" s="59"/>
      <c r="BM881" s="59"/>
      <c r="BN881" s="59"/>
      <c r="BO881" s="59"/>
      <c r="BP881" s="59"/>
      <c r="BQ881" s="59"/>
      <c r="BR881" s="59"/>
      <c r="BS881" s="59"/>
      <c r="BT881" s="59"/>
      <c r="BU881" s="59"/>
      <c r="BV881" s="59"/>
      <c r="BW881" s="59"/>
      <c r="BX881" s="59"/>
      <c r="BY881" s="59"/>
      <c r="BZ881" s="59"/>
      <c r="CA881" s="59"/>
      <c r="CB881" s="59"/>
      <c r="CC881" s="59"/>
      <c r="CD881" s="59"/>
      <c r="CE881" s="59"/>
      <c r="CF881" s="59"/>
      <c r="CG881" s="59"/>
      <c r="CH881" s="59"/>
      <c r="CI881" s="59"/>
      <c r="CJ881" s="59"/>
      <c r="CK881" s="59"/>
      <c r="CL881" s="59"/>
      <c r="CM881" s="59"/>
      <c r="CN881" s="59"/>
      <c r="CO881" s="59"/>
      <c r="CP881" s="59"/>
      <c r="CQ881" s="59"/>
      <c r="CR881" s="59"/>
      <c r="CS881" s="59"/>
      <c r="CT881" s="59"/>
      <c r="CU881" s="59"/>
      <c r="CV881" s="59"/>
      <c r="CW881" s="59"/>
      <c r="CX881" s="59"/>
      <c r="CY881" s="59"/>
      <c r="CZ881" s="59"/>
      <c r="DA881" s="59"/>
      <c r="DB881" s="59"/>
      <c r="DC881" s="59"/>
      <c r="DD881" s="59"/>
      <c r="DE881" s="59"/>
      <c r="DF881" s="59"/>
      <c r="DG881" s="59"/>
    </row>
    <row r="882" spans="1:111" ht="11.2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  <c r="AB882" s="59"/>
      <c r="AC882" s="59"/>
      <c r="AD882" s="59"/>
      <c r="AE882" s="59"/>
      <c r="AF882" s="59"/>
      <c r="AG882" s="59"/>
      <c r="AH882" s="59"/>
      <c r="AI882" s="59"/>
      <c r="AJ882" s="59"/>
      <c r="AK882" s="59"/>
      <c r="AL882" s="59"/>
      <c r="AM882" s="59"/>
      <c r="AN882" s="59"/>
      <c r="AO882" s="59"/>
      <c r="AP882" s="59"/>
      <c r="AQ882" s="59"/>
      <c r="AR882" s="59"/>
      <c r="AS882" s="59"/>
      <c r="AT882" s="59"/>
      <c r="AU882" s="59"/>
      <c r="AV882" s="59"/>
      <c r="AW882" s="59"/>
      <c r="AX882" s="59"/>
      <c r="AY882" s="59"/>
      <c r="AZ882" s="59"/>
      <c r="BA882" s="59"/>
      <c r="BB882" s="59"/>
      <c r="BC882" s="59"/>
      <c r="BD882" s="59"/>
      <c r="BE882" s="59"/>
      <c r="BF882" s="59"/>
      <c r="BG882" s="59"/>
      <c r="BH882" s="59"/>
      <c r="BI882" s="59"/>
      <c r="BJ882" s="59"/>
      <c r="BK882" s="59"/>
      <c r="BL882" s="59"/>
      <c r="BM882" s="59"/>
      <c r="BN882" s="59"/>
      <c r="BO882" s="59"/>
      <c r="BP882" s="59"/>
      <c r="BQ882" s="59"/>
      <c r="BR882" s="59"/>
      <c r="BS882" s="59"/>
      <c r="BT882" s="59"/>
      <c r="BU882" s="59"/>
      <c r="BV882" s="59"/>
      <c r="BW882" s="59"/>
      <c r="BX882" s="59"/>
      <c r="BY882" s="59"/>
      <c r="BZ882" s="59"/>
      <c r="CA882" s="59"/>
      <c r="CB882" s="59"/>
      <c r="CC882" s="59"/>
      <c r="CD882" s="59"/>
      <c r="CE882" s="59"/>
      <c r="CF882" s="59"/>
      <c r="CG882" s="59"/>
      <c r="CH882" s="59"/>
      <c r="CI882" s="59"/>
      <c r="CJ882" s="59"/>
      <c r="CK882" s="59"/>
      <c r="CL882" s="59"/>
      <c r="CM882" s="59"/>
      <c r="CN882" s="59"/>
      <c r="CO882" s="59"/>
      <c r="CP882" s="59"/>
      <c r="CQ882" s="59"/>
      <c r="CR882" s="59"/>
      <c r="CS882" s="59"/>
      <c r="CT882" s="59"/>
      <c r="CU882" s="59"/>
      <c r="CV882" s="59"/>
      <c r="CW882" s="59"/>
      <c r="CX882" s="59"/>
      <c r="CY882" s="59"/>
      <c r="CZ882" s="59"/>
      <c r="DA882" s="59"/>
      <c r="DB882" s="59"/>
      <c r="DC882" s="59"/>
      <c r="DD882" s="59"/>
      <c r="DE882" s="59"/>
      <c r="DF882" s="59"/>
      <c r="DG882" s="59"/>
    </row>
    <row r="883" spans="1:111" ht="11.2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  <c r="AB883" s="59"/>
      <c r="AC883" s="59"/>
      <c r="AD883" s="59"/>
      <c r="AE883" s="59"/>
      <c r="AF883" s="59"/>
      <c r="AG883" s="59"/>
      <c r="AH883" s="59"/>
      <c r="AI883" s="59"/>
      <c r="AJ883" s="59"/>
      <c r="AK883" s="59"/>
      <c r="AL883" s="59"/>
      <c r="AM883" s="59"/>
      <c r="AN883" s="59"/>
      <c r="AO883" s="59"/>
      <c r="AP883" s="59"/>
      <c r="AQ883" s="59"/>
      <c r="AR883" s="59"/>
      <c r="AS883" s="59"/>
      <c r="AT883" s="59"/>
      <c r="AU883" s="59"/>
      <c r="AV883" s="59"/>
      <c r="AW883" s="59"/>
      <c r="AX883" s="59"/>
      <c r="AY883" s="59"/>
      <c r="AZ883" s="59"/>
      <c r="BA883" s="59"/>
      <c r="BB883" s="59"/>
      <c r="BC883" s="59"/>
      <c r="BD883" s="59"/>
      <c r="BE883" s="59"/>
      <c r="BF883" s="59"/>
      <c r="BG883" s="59"/>
      <c r="BH883" s="59"/>
      <c r="BI883" s="59"/>
      <c r="BJ883" s="59"/>
      <c r="BK883" s="59"/>
      <c r="BL883" s="59"/>
      <c r="BM883" s="59"/>
      <c r="BN883" s="59"/>
      <c r="BO883" s="59"/>
      <c r="BP883" s="59"/>
      <c r="BQ883" s="59"/>
      <c r="BR883" s="59"/>
      <c r="BS883" s="59"/>
      <c r="BT883" s="59"/>
      <c r="BU883" s="59"/>
      <c r="BV883" s="59"/>
      <c r="BW883" s="59"/>
      <c r="BX883" s="59"/>
      <c r="BY883" s="59"/>
      <c r="BZ883" s="59"/>
      <c r="CA883" s="59"/>
      <c r="CB883" s="59"/>
      <c r="CC883" s="59"/>
      <c r="CD883" s="59"/>
      <c r="CE883" s="59"/>
      <c r="CF883" s="59"/>
      <c r="CG883" s="59"/>
      <c r="CH883" s="59"/>
      <c r="CI883" s="59"/>
      <c r="CJ883" s="59"/>
      <c r="CK883" s="59"/>
      <c r="CL883" s="59"/>
      <c r="CM883" s="59"/>
      <c r="CN883" s="59"/>
      <c r="CO883" s="59"/>
      <c r="CP883" s="59"/>
      <c r="CQ883" s="59"/>
      <c r="CR883" s="59"/>
      <c r="CS883" s="59"/>
      <c r="CT883" s="59"/>
      <c r="CU883" s="59"/>
      <c r="CV883" s="59"/>
      <c r="CW883" s="59"/>
      <c r="CX883" s="59"/>
      <c r="CY883" s="59"/>
      <c r="CZ883" s="59"/>
      <c r="DA883" s="59"/>
      <c r="DB883" s="59"/>
      <c r="DC883" s="59"/>
      <c r="DD883" s="59"/>
      <c r="DE883" s="59"/>
      <c r="DF883" s="59"/>
      <c r="DG883" s="59"/>
    </row>
    <row r="884" spans="1:111" ht="11.2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  <c r="AB884" s="59"/>
      <c r="AC884" s="59"/>
      <c r="AD884" s="59"/>
      <c r="AE884" s="59"/>
      <c r="AF884" s="59"/>
      <c r="AG884" s="59"/>
      <c r="AH884" s="59"/>
      <c r="AI884" s="59"/>
      <c r="AJ884" s="59"/>
      <c r="AK884" s="59"/>
      <c r="AL884" s="59"/>
      <c r="AM884" s="59"/>
      <c r="AN884" s="59"/>
      <c r="AO884" s="59"/>
      <c r="AP884" s="59"/>
      <c r="AQ884" s="59"/>
      <c r="AR884" s="59"/>
      <c r="AS884" s="59"/>
      <c r="AT884" s="59"/>
      <c r="AU884" s="59"/>
      <c r="AV884" s="59"/>
      <c r="AW884" s="59"/>
      <c r="AX884" s="59"/>
      <c r="AY884" s="59"/>
      <c r="AZ884" s="59"/>
      <c r="BA884" s="59"/>
      <c r="BB884" s="59"/>
      <c r="BC884" s="59"/>
      <c r="BD884" s="59"/>
      <c r="BE884" s="59"/>
      <c r="BF884" s="59"/>
      <c r="BG884" s="59"/>
      <c r="BH884" s="59"/>
      <c r="BI884" s="59"/>
      <c r="BJ884" s="59"/>
      <c r="BK884" s="59"/>
      <c r="BL884" s="59"/>
      <c r="BM884" s="59"/>
      <c r="BN884" s="59"/>
      <c r="BO884" s="59"/>
      <c r="BP884" s="59"/>
      <c r="BQ884" s="59"/>
      <c r="BR884" s="59"/>
      <c r="BS884" s="59"/>
      <c r="BT884" s="59"/>
      <c r="BU884" s="59"/>
      <c r="BV884" s="59"/>
      <c r="BW884" s="59"/>
      <c r="BX884" s="59"/>
      <c r="BY884" s="59"/>
      <c r="BZ884" s="59"/>
      <c r="CA884" s="59"/>
      <c r="CB884" s="59"/>
      <c r="CC884" s="59"/>
      <c r="CD884" s="59"/>
      <c r="CE884" s="59"/>
      <c r="CF884" s="59"/>
      <c r="CG884" s="59"/>
      <c r="CH884" s="59"/>
      <c r="CI884" s="59"/>
      <c r="CJ884" s="59"/>
      <c r="CK884" s="59"/>
      <c r="CL884" s="59"/>
      <c r="CM884" s="59"/>
      <c r="CN884" s="59"/>
      <c r="CO884" s="59"/>
      <c r="CP884" s="59"/>
      <c r="CQ884" s="59"/>
      <c r="CR884" s="59"/>
      <c r="CS884" s="59"/>
      <c r="CT884" s="59"/>
      <c r="CU884" s="59"/>
      <c r="CV884" s="59"/>
      <c r="CW884" s="59"/>
      <c r="CX884" s="59"/>
      <c r="CY884" s="59"/>
      <c r="CZ884" s="59"/>
      <c r="DA884" s="59"/>
      <c r="DB884" s="59"/>
      <c r="DC884" s="59"/>
      <c r="DD884" s="59"/>
      <c r="DE884" s="59"/>
      <c r="DF884" s="59"/>
      <c r="DG884" s="59"/>
    </row>
    <row r="885" spans="1:111" ht="11.2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  <c r="AB885" s="59"/>
      <c r="AC885" s="59"/>
      <c r="AD885" s="59"/>
      <c r="AE885" s="59"/>
      <c r="AF885" s="59"/>
      <c r="AG885" s="59"/>
      <c r="AH885" s="59"/>
      <c r="AI885" s="59"/>
      <c r="AJ885" s="59"/>
      <c r="AK885" s="59"/>
      <c r="AL885" s="59"/>
      <c r="AM885" s="59"/>
      <c r="AN885" s="59"/>
      <c r="AO885" s="59"/>
      <c r="AP885" s="59"/>
      <c r="AQ885" s="59"/>
      <c r="AR885" s="59"/>
      <c r="AS885" s="59"/>
      <c r="AT885" s="59"/>
      <c r="AU885" s="59"/>
      <c r="AV885" s="59"/>
      <c r="AW885" s="59"/>
      <c r="AX885" s="59"/>
      <c r="AY885" s="59"/>
      <c r="AZ885" s="59"/>
      <c r="BA885" s="59"/>
      <c r="BB885" s="59"/>
      <c r="BC885" s="59"/>
      <c r="BD885" s="59"/>
      <c r="BE885" s="59"/>
      <c r="BF885" s="59"/>
      <c r="BG885" s="59"/>
      <c r="BH885" s="59"/>
      <c r="BI885" s="59"/>
      <c r="BJ885" s="59"/>
      <c r="BK885" s="59"/>
      <c r="BL885" s="59"/>
      <c r="BM885" s="59"/>
      <c r="BN885" s="59"/>
      <c r="BO885" s="59"/>
      <c r="BP885" s="59"/>
      <c r="BQ885" s="59"/>
      <c r="BR885" s="59"/>
      <c r="BS885" s="59"/>
      <c r="BT885" s="59"/>
      <c r="BU885" s="59"/>
      <c r="BV885" s="59"/>
      <c r="BW885" s="59"/>
      <c r="BX885" s="59"/>
      <c r="BY885" s="59"/>
      <c r="BZ885" s="59"/>
      <c r="CA885" s="59"/>
      <c r="CB885" s="59"/>
      <c r="CC885" s="59"/>
      <c r="CD885" s="59"/>
      <c r="CE885" s="59"/>
      <c r="CF885" s="59"/>
      <c r="CG885" s="59"/>
      <c r="CH885" s="59"/>
      <c r="CI885" s="59"/>
      <c r="CJ885" s="59"/>
      <c r="CK885" s="59"/>
      <c r="CL885" s="59"/>
      <c r="CM885" s="59"/>
      <c r="CN885" s="59"/>
      <c r="CO885" s="59"/>
      <c r="CP885" s="59"/>
      <c r="CQ885" s="59"/>
      <c r="CR885" s="59"/>
      <c r="CS885" s="59"/>
      <c r="CT885" s="59"/>
      <c r="CU885" s="59"/>
      <c r="CV885" s="59"/>
      <c r="CW885" s="59"/>
      <c r="CX885" s="59"/>
      <c r="CY885" s="59"/>
      <c r="CZ885" s="59"/>
      <c r="DA885" s="59"/>
      <c r="DB885" s="59"/>
      <c r="DC885" s="59"/>
      <c r="DD885" s="59"/>
      <c r="DE885" s="59"/>
      <c r="DF885" s="59"/>
      <c r="DG885" s="59"/>
    </row>
    <row r="886" spans="1:111" ht="11.2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  <c r="AB886" s="59"/>
      <c r="AC886" s="59"/>
      <c r="AD886" s="59"/>
      <c r="AE886" s="59"/>
      <c r="AF886" s="59"/>
      <c r="AG886" s="59"/>
      <c r="AH886" s="59"/>
      <c r="AI886" s="59"/>
      <c r="AJ886" s="59"/>
      <c r="AK886" s="59"/>
      <c r="AL886" s="59"/>
      <c r="AM886" s="59"/>
      <c r="AN886" s="59"/>
      <c r="AO886" s="59"/>
      <c r="AP886" s="59"/>
      <c r="AQ886" s="59"/>
      <c r="AR886" s="59"/>
      <c r="AS886" s="59"/>
      <c r="AT886" s="59"/>
      <c r="AU886" s="59"/>
      <c r="AV886" s="59"/>
      <c r="AW886" s="59"/>
      <c r="AX886" s="59"/>
      <c r="AY886" s="59"/>
      <c r="AZ886" s="59"/>
      <c r="BA886" s="59"/>
      <c r="BB886" s="59"/>
      <c r="BC886" s="59"/>
      <c r="BD886" s="59"/>
      <c r="BE886" s="59"/>
      <c r="BF886" s="59"/>
      <c r="BG886" s="59"/>
      <c r="BH886" s="59"/>
      <c r="BI886" s="59"/>
      <c r="BJ886" s="59"/>
      <c r="BK886" s="59"/>
      <c r="BL886" s="59"/>
      <c r="BM886" s="59"/>
      <c r="BN886" s="59"/>
      <c r="BO886" s="59"/>
      <c r="BP886" s="59"/>
      <c r="BQ886" s="59"/>
      <c r="BR886" s="59"/>
      <c r="BS886" s="59"/>
      <c r="BT886" s="59"/>
      <c r="BU886" s="59"/>
      <c r="BV886" s="59"/>
      <c r="BW886" s="59"/>
      <c r="BX886" s="59"/>
      <c r="BY886" s="59"/>
      <c r="BZ886" s="59"/>
      <c r="CA886" s="59"/>
      <c r="CB886" s="59"/>
      <c r="CC886" s="59"/>
      <c r="CD886" s="59"/>
      <c r="CE886" s="59"/>
      <c r="CF886" s="59"/>
      <c r="CG886" s="59"/>
      <c r="CH886" s="59"/>
      <c r="CI886" s="59"/>
      <c r="CJ886" s="59"/>
      <c r="CK886" s="59"/>
      <c r="CL886" s="59"/>
      <c r="CM886" s="59"/>
      <c r="CN886" s="59"/>
      <c r="CO886" s="59"/>
      <c r="CP886" s="59"/>
      <c r="CQ886" s="59"/>
      <c r="CR886" s="59"/>
      <c r="CS886" s="59"/>
      <c r="CT886" s="59"/>
      <c r="CU886" s="59"/>
      <c r="CV886" s="59"/>
      <c r="CW886" s="59"/>
      <c r="CX886" s="59"/>
      <c r="CY886" s="59"/>
      <c r="CZ886" s="59"/>
      <c r="DA886" s="59"/>
      <c r="DB886" s="59"/>
      <c r="DC886" s="59"/>
      <c r="DD886" s="59"/>
      <c r="DE886" s="59"/>
      <c r="DF886" s="59"/>
      <c r="DG886" s="59"/>
    </row>
    <row r="887" spans="1:111" ht="11.2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  <c r="AB887" s="59"/>
      <c r="AC887" s="59"/>
      <c r="AD887" s="59"/>
      <c r="AE887" s="59"/>
      <c r="AF887" s="59"/>
      <c r="AG887" s="59"/>
      <c r="AH887" s="59"/>
      <c r="AI887" s="59"/>
      <c r="AJ887" s="59"/>
      <c r="AK887" s="59"/>
      <c r="AL887" s="59"/>
      <c r="AM887" s="59"/>
      <c r="AN887" s="59"/>
      <c r="AO887" s="59"/>
      <c r="AP887" s="59"/>
      <c r="AQ887" s="59"/>
      <c r="AR887" s="59"/>
      <c r="AS887" s="59"/>
      <c r="AT887" s="59"/>
      <c r="AU887" s="59"/>
      <c r="AV887" s="59"/>
      <c r="AW887" s="59"/>
      <c r="AX887" s="59"/>
      <c r="AY887" s="59"/>
      <c r="AZ887" s="59"/>
      <c r="BA887" s="59"/>
      <c r="BB887" s="59"/>
      <c r="BC887" s="59"/>
      <c r="BD887" s="59"/>
      <c r="BE887" s="59"/>
      <c r="BF887" s="59"/>
      <c r="BG887" s="59"/>
      <c r="BH887" s="59"/>
      <c r="BI887" s="59"/>
      <c r="BJ887" s="59"/>
      <c r="BK887" s="59"/>
      <c r="BL887" s="59"/>
      <c r="BM887" s="59"/>
      <c r="BN887" s="59"/>
      <c r="BO887" s="59"/>
      <c r="BP887" s="59"/>
      <c r="BQ887" s="59"/>
      <c r="BR887" s="59"/>
      <c r="BS887" s="59"/>
      <c r="BT887" s="59"/>
      <c r="BU887" s="59"/>
      <c r="BV887" s="59"/>
      <c r="BW887" s="59"/>
      <c r="BX887" s="59"/>
      <c r="BY887" s="59"/>
      <c r="BZ887" s="59"/>
      <c r="CA887" s="59"/>
      <c r="CB887" s="59"/>
      <c r="CC887" s="59"/>
      <c r="CD887" s="59"/>
      <c r="CE887" s="59"/>
      <c r="CF887" s="59"/>
      <c r="CG887" s="59"/>
      <c r="CH887" s="59"/>
      <c r="CI887" s="59"/>
      <c r="CJ887" s="59"/>
      <c r="CK887" s="59"/>
      <c r="CL887" s="59"/>
      <c r="CM887" s="59"/>
      <c r="CN887" s="59"/>
      <c r="CO887" s="59"/>
      <c r="CP887" s="59"/>
      <c r="CQ887" s="59"/>
      <c r="CR887" s="59"/>
      <c r="CS887" s="59"/>
      <c r="CT887" s="59"/>
      <c r="CU887" s="59"/>
      <c r="CV887" s="59"/>
      <c r="CW887" s="59"/>
      <c r="CX887" s="59"/>
      <c r="CY887" s="59"/>
      <c r="CZ887" s="59"/>
      <c r="DA887" s="59"/>
      <c r="DB887" s="59"/>
      <c r="DC887" s="59"/>
      <c r="DD887" s="59"/>
      <c r="DE887" s="59"/>
      <c r="DF887" s="59"/>
      <c r="DG887" s="59"/>
    </row>
    <row r="888" spans="1:111" ht="11.2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  <c r="AB888" s="59"/>
      <c r="AC888" s="59"/>
      <c r="AD888" s="59"/>
      <c r="AE888" s="59"/>
      <c r="AF888" s="59"/>
      <c r="AG888" s="59"/>
      <c r="AH888" s="59"/>
      <c r="AI888" s="59"/>
      <c r="AJ888" s="59"/>
      <c r="AK888" s="59"/>
      <c r="AL888" s="59"/>
      <c r="AM888" s="59"/>
      <c r="AN888" s="59"/>
      <c r="AO888" s="59"/>
      <c r="AP888" s="59"/>
      <c r="AQ888" s="59"/>
      <c r="AR888" s="59"/>
      <c r="AS888" s="59"/>
      <c r="AT888" s="59"/>
      <c r="AU888" s="59"/>
      <c r="AV888" s="59"/>
      <c r="AW888" s="59"/>
      <c r="AX888" s="59"/>
      <c r="AY888" s="59"/>
      <c r="AZ888" s="59"/>
      <c r="BA888" s="59"/>
      <c r="BB888" s="59"/>
      <c r="BC888" s="59"/>
      <c r="BD888" s="59"/>
      <c r="BE888" s="59"/>
      <c r="BF888" s="59"/>
      <c r="BG888" s="59"/>
      <c r="BH888" s="59"/>
      <c r="BI888" s="59"/>
      <c r="BJ888" s="59"/>
      <c r="BK888" s="59"/>
      <c r="BL888" s="59"/>
      <c r="BM888" s="59"/>
      <c r="BN888" s="59"/>
      <c r="BO888" s="59"/>
      <c r="BP888" s="59"/>
      <c r="BQ888" s="59"/>
      <c r="BR888" s="59"/>
      <c r="BS888" s="59"/>
      <c r="BT888" s="59"/>
      <c r="BU888" s="59"/>
      <c r="BV888" s="59"/>
      <c r="BW888" s="59"/>
      <c r="BX888" s="59"/>
      <c r="BY888" s="59"/>
      <c r="BZ888" s="59"/>
      <c r="CA888" s="59"/>
      <c r="CB888" s="59"/>
      <c r="CC888" s="59"/>
      <c r="CD888" s="59"/>
      <c r="CE888" s="59"/>
      <c r="CF888" s="59"/>
      <c r="CG888" s="59"/>
      <c r="CH888" s="59"/>
      <c r="CI888" s="59"/>
      <c r="CJ888" s="59"/>
      <c r="CK888" s="59"/>
      <c r="CL888" s="59"/>
      <c r="CM888" s="59"/>
      <c r="CN888" s="59"/>
      <c r="CO888" s="59"/>
      <c r="CP888" s="59"/>
      <c r="CQ888" s="59"/>
      <c r="CR888" s="59"/>
      <c r="CS888" s="59"/>
      <c r="CT888" s="59"/>
      <c r="CU888" s="59"/>
      <c r="CV888" s="59"/>
      <c r="CW888" s="59"/>
      <c r="CX888" s="59"/>
      <c r="CY888" s="59"/>
      <c r="CZ888" s="59"/>
      <c r="DA888" s="59"/>
      <c r="DB888" s="59"/>
      <c r="DC888" s="59"/>
      <c r="DD888" s="59"/>
      <c r="DE888" s="59"/>
      <c r="DF888" s="59"/>
      <c r="DG888" s="59"/>
    </row>
    <row r="889" spans="1:111" ht="11.2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  <c r="AB889" s="59"/>
      <c r="AC889" s="59"/>
      <c r="AD889" s="59"/>
      <c r="AE889" s="59"/>
      <c r="AF889" s="59"/>
      <c r="AG889" s="59"/>
      <c r="AH889" s="59"/>
      <c r="AI889" s="59"/>
      <c r="AJ889" s="59"/>
      <c r="AK889" s="59"/>
      <c r="AL889" s="59"/>
      <c r="AM889" s="59"/>
      <c r="AN889" s="59"/>
      <c r="AO889" s="59"/>
      <c r="AP889" s="59"/>
      <c r="AQ889" s="59"/>
      <c r="AR889" s="59"/>
      <c r="AS889" s="59"/>
      <c r="AT889" s="59"/>
      <c r="AU889" s="59"/>
      <c r="AV889" s="59"/>
      <c r="AW889" s="59"/>
      <c r="AX889" s="59"/>
      <c r="AY889" s="59"/>
      <c r="AZ889" s="59"/>
      <c r="BA889" s="59"/>
      <c r="BB889" s="59"/>
      <c r="BC889" s="59"/>
      <c r="BD889" s="59"/>
      <c r="BE889" s="59"/>
      <c r="BF889" s="59"/>
      <c r="BG889" s="59"/>
      <c r="BH889" s="59"/>
      <c r="BI889" s="59"/>
      <c r="BJ889" s="59"/>
      <c r="BK889" s="59"/>
      <c r="BL889" s="59"/>
      <c r="BM889" s="59"/>
      <c r="BN889" s="59"/>
      <c r="BO889" s="59"/>
      <c r="BP889" s="59"/>
      <c r="BQ889" s="59"/>
      <c r="BR889" s="59"/>
      <c r="BS889" s="59"/>
      <c r="BT889" s="59"/>
      <c r="BU889" s="59"/>
      <c r="BV889" s="59"/>
      <c r="BW889" s="59"/>
      <c r="BX889" s="59"/>
      <c r="BY889" s="59"/>
      <c r="BZ889" s="59"/>
      <c r="CA889" s="59"/>
      <c r="CB889" s="59"/>
      <c r="CC889" s="59"/>
      <c r="CD889" s="59"/>
      <c r="CE889" s="59"/>
      <c r="CF889" s="59"/>
      <c r="CG889" s="59"/>
      <c r="CH889" s="59"/>
      <c r="CI889" s="59"/>
      <c r="CJ889" s="59"/>
      <c r="CK889" s="59"/>
      <c r="CL889" s="59"/>
      <c r="CM889" s="59"/>
      <c r="CN889" s="59"/>
      <c r="CO889" s="59"/>
      <c r="CP889" s="59"/>
      <c r="CQ889" s="59"/>
      <c r="CR889" s="59"/>
      <c r="CS889" s="59"/>
      <c r="CT889" s="59"/>
      <c r="CU889" s="59"/>
      <c r="CV889" s="59"/>
      <c r="CW889" s="59"/>
      <c r="CX889" s="59"/>
      <c r="CY889" s="59"/>
      <c r="CZ889" s="59"/>
      <c r="DA889" s="59"/>
      <c r="DB889" s="59"/>
      <c r="DC889" s="59"/>
      <c r="DD889" s="59"/>
      <c r="DE889" s="59"/>
      <c r="DF889" s="59"/>
      <c r="DG889" s="59"/>
    </row>
    <row r="890" spans="1:111" ht="11.2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  <c r="AB890" s="59"/>
      <c r="AC890" s="59"/>
      <c r="AD890" s="59"/>
      <c r="AE890" s="59"/>
      <c r="AF890" s="59"/>
      <c r="AG890" s="59"/>
      <c r="AH890" s="59"/>
      <c r="AI890" s="59"/>
      <c r="AJ890" s="59"/>
      <c r="AK890" s="59"/>
      <c r="AL890" s="59"/>
      <c r="AM890" s="59"/>
      <c r="AN890" s="59"/>
      <c r="AO890" s="59"/>
      <c r="AP890" s="59"/>
      <c r="AQ890" s="59"/>
      <c r="AR890" s="59"/>
      <c r="AS890" s="59"/>
      <c r="AT890" s="59"/>
      <c r="AU890" s="59"/>
      <c r="AV890" s="59"/>
      <c r="AW890" s="59"/>
      <c r="AX890" s="59"/>
      <c r="AY890" s="59"/>
      <c r="AZ890" s="59"/>
      <c r="BA890" s="59"/>
      <c r="BB890" s="59"/>
      <c r="BC890" s="59"/>
      <c r="BD890" s="59"/>
      <c r="BE890" s="59"/>
      <c r="BF890" s="59"/>
      <c r="BG890" s="59"/>
      <c r="BH890" s="59"/>
      <c r="BI890" s="59"/>
      <c r="BJ890" s="59"/>
      <c r="BK890" s="59"/>
      <c r="BL890" s="59"/>
      <c r="BM890" s="59"/>
      <c r="BN890" s="59"/>
      <c r="BO890" s="59"/>
      <c r="BP890" s="59"/>
      <c r="BQ890" s="59"/>
      <c r="BR890" s="59"/>
      <c r="BS890" s="59"/>
      <c r="BT890" s="59"/>
      <c r="BU890" s="59"/>
      <c r="BV890" s="59"/>
      <c r="BW890" s="59"/>
      <c r="BX890" s="59"/>
      <c r="BY890" s="59"/>
      <c r="BZ890" s="59"/>
      <c r="CA890" s="59"/>
      <c r="CB890" s="59"/>
      <c r="CC890" s="59"/>
      <c r="CD890" s="59"/>
      <c r="CE890" s="59"/>
      <c r="CF890" s="59"/>
      <c r="CG890" s="59"/>
      <c r="CH890" s="59"/>
      <c r="CI890" s="59"/>
      <c r="CJ890" s="59"/>
      <c r="CK890" s="59"/>
      <c r="CL890" s="59"/>
      <c r="CM890" s="59"/>
      <c r="CN890" s="59"/>
      <c r="CO890" s="59"/>
      <c r="CP890" s="59"/>
      <c r="CQ890" s="59"/>
      <c r="CR890" s="59"/>
      <c r="CS890" s="59"/>
      <c r="CT890" s="59"/>
      <c r="CU890" s="59"/>
      <c r="CV890" s="59"/>
      <c r="CW890" s="59"/>
      <c r="CX890" s="59"/>
      <c r="CY890" s="59"/>
      <c r="CZ890" s="59"/>
      <c r="DA890" s="59"/>
      <c r="DB890" s="59"/>
      <c r="DC890" s="59"/>
      <c r="DD890" s="59"/>
      <c r="DE890" s="59"/>
      <c r="DF890" s="59"/>
      <c r="DG890" s="59"/>
    </row>
    <row r="891" spans="1:111" ht="11.2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  <c r="AB891" s="59"/>
      <c r="AC891" s="59"/>
      <c r="AD891" s="59"/>
      <c r="AE891" s="59"/>
      <c r="AF891" s="59"/>
      <c r="AG891" s="59"/>
      <c r="AH891" s="59"/>
      <c r="AI891" s="59"/>
      <c r="AJ891" s="59"/>
      <c r="AK891" s="59"/>
      <c r="AL891" s="59"/>
      <c r="AM891" s="59"/>
      <c r="AN891" s="59"/>
      <c r="AO891" s="59"/>
      <c r="AP891" s="59"/>
      <c r="AQ891" s="59"/>
      <c r="AR891" s="59"/>
      <c r="AS891" s="59"/>
      <c r="AT891" s="59"/>
      <c r="AU891" s="59"/>
      <c r="AV891" s="59"/>
      <c r="AW891" s="59"/>
      <c r="AX891" s="59"/>
      <c r="AY891" s="59"/>
      <c r="AZ891" s="59"/>
      <c r="BA891" s="59"/>
      <c r="BB891" s="59"/>
      <c r="BC891" s="59"/>
      <c r="BD891" s="59"/>
      <c r="BE891" s="59"/>
      <c r="BF891" s="59"/>
      <c r="BG891" s="59"/>
      <c r="BH891" s="59"/>
      <c r="BI891" s="59"/>
      <c r="BJ891" s="59"/>
      <c r="BK891" s="59"/>
      <c r="BL891" s="59"/>
      <c r="BM891" s="59"/>
      <c r="BN891" s="59"/>
      <c r="BO891" s="59"/>
      <c r="BP891" s="59"/>
      <c r="BQ891" s="59"/>
      <c r="BR891" s="59"/>
      <c r="BS891" s="59"/>
      <c r="BT891" s="59"/>
      <c r="BU891" s="59"/>
      <c r="BV891" s="59"/>
      <c r="BW891" s="59"/>
      <c r="BX891" s="59"/>
      <c r="BY891" s="59"/>
      <c r="BZ891" s="59"/>
      <c r="CA891" s="59"/>
      <c r="CB891" s="59"/>
      <c r="CC891" s="59"/>
      <c r="CD891" s="59"/>
      <c r="CE891" s="59"/>
      <c r="CF891" s="59"/>
      <c r="CG891" s="59"/>
      <c r="CH891" s="59"/>
      <c r="CI891" s="59"/>
      <c r="CJ891" s="59"/>
      <c r="CK891" s="59"/>
      <c r="CL891" s="59"/>
      <c r="CM891" s="59"/>
      <c r="CN891" s="59"/>
      <c r="CO891" s="59"/>
      <c r="CP891" s="59"/>
      <c r="CQ891" s="59"/>
      <c r="CR891" s="59"/>
      <c r="CS891" s="59"/>
      <c r="CT891" s="59"/>
      <c r="CU891" s="59"/>
      <c r="CV891" s="59"/>
      <c r="CW891" s="59"/>
      <c r="CX891" s="59"/>
      <c r="CY891" s="59"/>
      <c r="CZ891" s="59"/>
      <c r="DA891" s="59"/>
      <c r="DB891" s="59"/>
      <c r="DC891" s="59"/>
      <c r="DD891" s="59"/>
      <c r="DE891" s="59"/>
      <c r="DF891" s="59"/>
      <c r="DG891" s="59"/>
    </row>
    <row r="892" spans="1:111" ht="11.2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  <c r="AB892" s="59"/>
      <c r="AC892" s="59"/>
      <c r="AD892" s="59"/>
      <c r="AE892" s="59"/>
      <c r="AF892" s="59"/>
      <c r="AG892" s="59"/>
      <c r="AH892" s="59"/>
      <c r="AI892" s="59"/>
      <c r="AJ892" s="59"/>
      <c r="AK892" s="59"/>
      <c r="AL892" s="59"/>
      <c r="AM892" s="59"/>
      <c r="AN892" s="59"/>
      <c r="AO892" s="59"/>
      <c r="AP892" s="59"/>
      <c r="AQ892" s="59"/>
      <c r="AR892" s="59"/>
      <c r="AS892" s="59"/>
      <c r="AT892" s="59"/>
      <c r="AU892" s="59"/>
      <c r="AV892" s="59"/>
      <c r="AW892" s="59"/>
      <c r="AX892" s="59"/>
      <c r="AY892" s="59"/>
      <c r="AZ892" s="59"/>
      <c r="BA892" s="59"/>
      <c r="BB892" s="59"/>
      <c r="BC892" s="59"/>
      <c r="BD892" s="59"/>
      <c r="BE892" s="59"/>
      <c r="BF892" s="59"/>
      <c r="BG892" s="59"/>
      <c r="BH892" s="59"/>
      <c r="BI892" s="59"/>
      <c r="BJ892" s="59"/>
      <c r="BK892" s="59"/>
      <c r="BL892" s="59"/>
      <c r="BM892" s="59"/>
      <c r="BN892" s="59"/>
      <c r="BO892" s="59"/>
      <c r="BP892" s="59"/>
      <c r="BQ892" s="59"/>
      <c r="BR892" s="59"/>
      <c r="BS892" s="59"/>
      <c r="BT892" s="59"/>
      <c r="BU892" s="59"/>
      <c r="BV892" s="59"/>
      <c r="BW892" s="59"/>
      <c r="BX892" s="59"/>
      <c r="BY892" s="59"/>
      <c r="BZ892" s="59"/>
      <c r="CA892" s="59"/>
      <c r="CB892" s="59"/>
      <c r="CC892" s="59"/>
      <c r="CD892" s="59"/>
      <c r="CE892" s="59"/>
      <c r="CF892" s="59"/>
      <c r="CG892" s="59"/>
      <c r="CH892" s="59"/>
      <c r="CI892" s="59"/>
      <c r="CJ892" s="59"/>
      <c r="CK892" s="59"/>
      <c r="CL892" s="59"/>
      <c r="CM892" s="59"/>
      <c r="CN892" s="59"/>
      <c r="CO892" s="59"/>
      <c r="CP892" s="59"/>
      <c r="CQ892" s="59"/>
      <c r="CR892" s="59"/>
      <c r="CS892" s="59"/>
      <c r="CT892" s="59"/>
      <c r="CU892" s="59"/>
      <c r="CV892" s="59"/>
      <c r="CW892" s="59"/>
      <c r="CX892" s="59"/>
      <c r="CY892" s="59"/>
      <c r="CZ892" s="59"/>
      <c r="DA892" s="59"/>
      <c r="DB892" s="59"/>
      <c r="DC892" s="59"/>
      <c r="DD892" s="59"/>
      <c r="DE892" s="59"/>
      <c r="DF892" s="59"/>
      <c r="DG892" s="59"/>
    </row>
    <row r="893" spans="1:111" ht="11.2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  <c r="AB893" s="59"/>
      <c r="AC893" s="59"/>
      <c r="AD893" s="59"/>
      <c r="AE893" s="59"/>
      <c r="AF893" s="59"/>
      <c r="AG893" s="59"/>
      <c r="AH893" s="59"/>
      <c r="AI893" s="59"/>
      <c r="AJ893" s="59"/>
      <c r="AK893" s="59"/>
      <c r="AL893" s="59"/>
      <c r="AM893" s="59"/>
      <c r="AN893" s="59"/>
      <c r="AO893" s="59"/>
      <c r="AP893" s="59"/>
      <c r="AQ893" s="59"/>
      <c r="AR893" s="59"/>
      <c r="AS893" s="59"/>
      <c r="AT893" s="59"/>
      <c r="AU893" s="59"/>
      <c r="AV893" s="59"/>
      <c r="AW893" s="59"/>
      <c r="AX893" s="59"/>
      <c r="AY893" s="59"/>
      <c r="AZ893" s="59"/>
      <c r="BA893" s="59"/>
      <c r="BB893" s="59"/>
      <c r="BC893" s="59"/>
      <c r="BD893" s="59"/>
      <c r="BE893" s="59"/>
      <c r="BF893" s="59"/>
      <c r="BG893" s="59"/>
      <c r="BH893" s="59"/>
      <c r="BI893" s="59"/>
      <c r="BJ893" s="59"/>
      <c r="BK893" s="59"/>
      <c r="BL893" s="59"/>
      <c r="BM893" s="59"/>
      <c r="BN893" s="59"/>
      <c r="BO893" s="59"/>
      <c r="BP893" s="59"/>
      <c r="BQ893" s="59"/>
      <c r="BR893" s="59"/>
      <c r="BS893" s="59"/>
      <c r="BT893" s="59"/>
      <c r="BU893" s="59"/>
      <c r="BV893" s="59"/>
      <c r="BW893" s="59"/>
      <c r="BX893" s="59"/>
      <c r="BY893" s="59"/>
      <c r="BZ893" s="59"/>
      <c r="CA893" s="59"/>
      <c r="CB893" s="59"/>
      <c r="CC893" s="59"/>
      <c r="CD893" s="59"/>
      <c r="CE893" s="59"/>
      <c r="CF893" s="59"/>
      <c r="CG893" s="59"/>
      <c r="CH893" s="59"/>
      <c r="CI893" s="59"/>
      <c r="CJ893" s="59"/>
      <c r="CK893" s="59"/>
      <c r="CL893" s="59"/>
      <c r="CM893" s="59"/>
      <c r="CN893" s="59"/>
      <c r="CO893" s="59"/>
      <c r="CP893" s="59"/>
      <c r="CQ893" s="59"/>
      <c r="CR893" s="59"/>
      <c r="CS893" s="59"/>
      <c r="CT893" s="59"/>
      <c r="CU893" s="59"/>
      <c r="CV893" s="59"/>
      <c r="CW893" s="59"/>
      <c r="CX893" s="59"/>
      <c r="CY893" s="59"/>
      <c r="CZ893" s="59"/>
      <c r="DA893" s="59"/>
      <c r="DB893" s="59"/>
      <c r="DC893" s="59"/>
      <c r="DD893" s="59"/>
      <c r="DE893" s="59"/>
      <c r="DF893" s="59"/>
      <c r="DG893" s="59"/>
    </row>
    <row r="894" spans="1:111" ht="11.2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  <c r="AB894" s="59"/>
      <c r="AC894" s="59"/>
      <c r="AD894" s="59"/>
      <c r="AE894" s="59"/>
      <c r="AF894" s="59"/>
      <c r="AG894" s="59"/>
      <c r="AH894" s="59"/>
      <c r="AI894" s="59"/>
      <c r="AJ894" s="59"/>
      <c r="AK894" s="59"/>
      <c r="AL894" s="59"/>
      <c r="AM894" s="59"/>
      <c r="AN894" s="59"/>
      <c r="AO894" s="59"/>
      <c r="AP894" s="59"/>
      <c r="AQ894" s="59"/>
      <c r="AR894" s="59"/>
      <c r="AS894" s="59"/>
      <c r="AT894" s="59"/>
      <c r="AU894" s="59"/>
      <c r="AV894" s="59"/>
      <c r="AW894" s="59"/>
      <c r="AX894" s="59"/>
      <c r="AY894" s="59"/>
      <c r="AZ894" s="59"/>
      <c r="BA894" s="59"/>
      <c r="BB894" s="59"/>
      <c r="BC894" s="59"/>
      <c r="BD894" s="59"/>
      <c r="BE894" s="59"/>
      <c r="BF894" s="59"/>
      <c r="BG894" s="59"/>
      <c r="BH894" s="59"/>
      <c r="BI894" s="59"/>
      <c r="BJ894" s="59"/>
      <c r="BK894" s="59"/>
      <c r="BL894" s="59"/>
      <c r="BM894" s="59"/>
      <c r="BN894" s="59"/>
      <c r="BO894" s="59"/>
      <c r="BP894" s="59"/>
      <c r="BQ894" s="59"/>
      <c r="BR894" s="59"/>
      <c r="BS894" s="59"/>
      <c r="BT894" s="59"/>
      <c r="BU894" s="59"/>
      <c r="BV894" s="59"/>
      <c r="BW894" s="59"/>
      <c r="BX894" s="59"/>
      <c r="BY894" s="59"/>
      <c r="BZ894" s="59"/>
      <c r="CA894" s="59"/>
      <c r="CB894" s="59"/>
      <c r="CC894" s="59"/>
      <c r="CD894" s="59"/>
      <c r="CE894" s="59"/>
      <c r="CF894" s="59"/>
      <c r="CG894" s="59"/>
      <c r="CH894" s="59"/>
      <c r="CI894" s="59"/>
      <c r="CJ894" s="59"/>
      <c r="CK894" s="59"/>
      <c r="CL894" s="59"/>
      <c r="CM894" s="59"/>
      <c r="CN894" s="59"/>
      <c r="CO894" s="59"/>
      <c r="CP894" s="59"/>
      <c r="CQ894" s="59"/>
      <c r="CR894" s="59"/>
      <c r="CS894" s="59"/>
      <c r="CT894" s="59"/>
      <c r="CU894" s="59"/>
      <c r="CV894" s="59"/>
      <c r="CW894" s="59"/>
      <c r="CX894" s="59"/>
      <c r="CY894" s="59"/>
      <c r="CZ894" s="59"/>
      <c r="DA894" s="59"/>
      <c r="DB894" s="59"/>
      <c r="DC894" s="59"/>
      <c r="DD894" s="59"/>
      <c r="DE894" s="59"/>
      <c r="DF894" s="59"/>
      <c r="DG894" s="59"/>
    </row>
    <row r="895" spans="1:111" ht="11.2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  <c r="AB895" s="59"/>
      <c r="AC895" s="59"/>
      <c r="AD895" s="59"/>
      <c r="AE895" s="59"/>
      <c r="AF895" s="59"/>
      <c r="AG895" s="59"/>
      <c r="AH895" s="59"/>
      <c r="AI895" s="59"/>
      <c r="AJ895" s="59"/>
      <c r="AK895" s="59"/>
      <c r="AL895" s="59"/>
      <c r="AM895" s="59"/>
      <c r="AN895" s="59"/>
      <c r="AO895" s="59"/>
      <c r="AP895" s="59"/>
      <c r="AQ895" s="59"/>
      <c r="AR895" s="59"/>
      <c r="AS895" s="59"/>
      <c r="AT895" s="59"/>
      <c r="AU895" s="59"/>
      <c r="AV895" s="59"/>
      <c r="AW895" s="59"/>
      <c r="AX895" s="59"/>
      <c r="AY895" s="59"/>
      <c r="AZ895" s="59"/>
      <c r="BA895" s="59"/>
      <c r="BB895" s="59"/>
      <c r="BC895" s="59"/>
      <c r="BD895" s="59"/>
      <c r="BE895" s="59"/>
      <c r="BF895" s="59"/>
      <c r="BG895" s="59"/>
      <c r="BH895" s="59"/>
      <c r="BI895" s="59"/>
      <c r="BJ895" s="59"/>
      <c r="BK895" s="59"/>
      <c r="BL895" s="59"/>
      <c r="BM895" s="59"/>
      <c r="BN895" s="59"/>
      <c r="BO895" s="59"/>
      <c r="BP895" s="59"/>
      <c r="BQ895" s="59"/>
      <c r="BR895" s="59"/>
      <c r="BS895" s="59"/>
      <c r="BT895" s="59"/>
      <c r="BU895" s="59"/>
      <c r="BV895" s="59"/>
      <c r="BW895" s="59"/>
      <c r="BX895" s="59"/>
      <c r="BY895" s="59"/>
      <c r="BZ895" s="59"/>
      <c r="CA895" s="59"/>
      <c r="CB895" s="59"/>
      <c r="CC895" s="59"/>
      <c r="CD895" s="59"/>
      <c r="CE895" s="59"/>
      <c r="CF895" s="59"/>
      <c r="CG895" s="59"/>
      <c r="CH895" s="59"/>
      <c r="CI895" s="59"/>
      <c r="CJ895" s="59"/>
      <c r="CK895" s="59"/>
      <c r="CL895" s="59"/>
      <c r="CM895" s="59"/>
      <c r="CN895" s="59"/>
      <c r="CO895" s="59"/>
      <c r="CP895" s="59"/>
      <c r="CQ895" s="59"/>
      <c r="CR895" s="59"/>
      <c r="CS895" s="59"/>
      <c r="CT895" s="59"/>
      <c r="CU895" s="59"/>
      <c r="CV895" s="59"/>
      <c r="CW895" s="59"/>
      <c r="CX895" s="59"/>
      <c r="CY895" s="59"/>
      <c r="CZ895" s="59"/>
      <c r="DA895" s="59"/>
      <c r="DB895" s="59"/>
      <c r="DC895" s="59"/>
      <c r="DD895" s="59"/>
      <c r="DE895" s="59"/>
      <c r="DF895" s="59"/>
      <c r="DG895" s="59"/>
    </row>
    <row r="896" spans="1:111" ht="11.2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  <c r="AB896" s="59"/>
      <c r="AC896" s="59"/>
      <c r="AD896" s="59"/>
      <c r="AE896" s="59"/>
      <c r="AF896" s="59"/>
      <c r="AG896" s="59"/>
      <c r="AH896" s="59"/>
      <c r="AI896" s="59"/>
      <c r="AJ896" s="59"/>
      <c r="AK896" s="59"/>
      <c r="AL896" s="59"/>
      <c r="AM896" s="59"/>
      <c r="AN896" s="59"/>
      <c r="AO896" s="59"/>
      <c r="AP896" s="59"/>
      <c r="AQ896" s="59"/>
      <c r="AR896" s="59"/>
      <c r="AS896" s="59"/>
      <c r="AT896" s="59"/>
      <c r="AU896" s="59"/>
      <c r="AV896" s="59"/>
      <c r="AW896" s="59"/>
      <c r="AX896" s="59"/>
      <c r="AY896" s="59"/>
      <c r="AZ896" s="59"/>
      <c r="BA896" s="59"/>
      <c r="BB896" s="59"/>
      <c r="BC896" s="59"/>
      <c r="BD896" s="59"/>
      <c r="BE896" s="59"/>
      <c r="BF896" s="59"/>
      <c r="BG896" s="59"/>
      <c r="BH896" s="59"/>
      <c r="BI896" s="59"/>
      <c r="BJ896" s="59"/>
      <c r="BK896" s="59"/>
      <c r="BL896" s="59"/>
      <c r="BM896" s="59"/>
      <c r="BN896" s="59"/>
      <c r="BO896" s="59"/>
      <c r="BP896" s="59"/>
      <c r="BQ896" s="59"/>
      <c r="BR896" s="59"/>
      <c r="BS896" s="59"/>
      <c r="BT896" s="59"/>
      <c r="BU896" s="59"/>
      <c r="BV896" s="59"/>
      <c r="BW896" s="59"/>
      <c r="BX896" s="59"/>
      <c r="BY896" s="59"/>
      <c r="BZ896" s="59"/>
      <c r="CA896" s="59"/>
      <c r="CB896" s="59"/>
      <c r="CC896" s="59"/>
      <c r="CD896" s="59"/>
      <c r="CE896" s="59"/>
      <c r="CF896" s="59"/>
      <c r="CG896" s="59"/>
      <c r="CH896" s="59"/>
      <c r="CI896" s="59"/>
      <c r="CJ896" s="59"/>
      <c r="CK896" s="59"/>
      <c r="CL896" s="59"/>
      <c r="CM896" s="59"/>
      <c r="CN896" s="59"/>
      <c r="CO896" s="59"/>
      <c r="CP896" s="59"/>
      <c r="CQ896" s="59"/>
      <c r="CR896" s="59"/>
      <c r="CS896" s="59"/>
      <c r="CT896" s="59"/>
      <c r="CU896" s="59"/>
      <c r="CV896" s="59"/>
      <c r="CW896" s="59"/>
      <c r="CX896" s="59"/>
      <c r="CY896" s="59"/>
      <c r="CZ896" s="59"/>
      <c r="DA896" s="59"/>
      <c r="DB896" s="59"/>
      <c r="DC896" s="59"/>
      <c r="DD896" s="59"/>
      <c r="DE896" s="59"/>
      <c r="DF896" s="59"/>
      <c r="DG896" s="59"/>
    </row>
    <row r="897" spans="1:111" ht="11.2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  <c r="AB897" s="59"/>
      <c r="AC897" s="59"/>
      <c r="AD897" s="59"/>
      <c r="AE897" s="59"/>
      <c r="AF897" s="59"/>
      <c r="AG897" s="59"/>
      <c r="AH897" s="59"/>
      <c r="AI897" s="59"/>
      <c r="AJ897" s="59"/>
      <c r="AK897" s="59"/>
      <c r="AL897" s="59"/>
      <c r="AM897" s="59"/>
      <c r="AN897" s="59"/>
      <c r="AO897" s="59"/>
      <c r="AP897" s="59"/>
      <c r="AQ897" s="59"/>
      <c r="AR897" s="59"/>
      <c r="AS897" s="59"/>
      <c r="AT897" s="59"/>
      <c r="AU897" s="59"/>
      <c r="AV897" s="59"/>
      <c r="AW897" s="59"/>
      <c r="AX897" s="59"/>
      <c r="AY897" s="59"/>
      <c r="AZ897" s="59"/>
      <c r="BA897" s="59"/>
      <c r="BB897" s="59"/>
      <c r="BC897" s="59"/>
      <c r="BD897" s="59"/>
      <c r="BE897" s="59"/>
      <c r="BF897" s="59"/>
      <c r="BG897" s="59"/>
      <c r="BH897" s="59"/>
      <c r="BI897" s="59"/>
      <c r="BJ897" s="59"/>
      <c r="BK897" s="59"/>
      <c r="BL897" s="59"/>
      <c r="BM897" s="59"/>
      <c r="BN897" s="59"/>
      <c r="BO897" s="59"/>
      <c r="BP897" s="59"/>
      <c r="BQ897" s="59"/>
      <c r="BR897" s="59"/>
      <c r="BS897" s="59"/>
      <c r="BT897" s="59"/>
      <c r="BU897" s="59"/>
      <c r="BV897" s="59"/>
      <c r="BW897" s="59"/>
      <c r="BX897" s="59"/>
      <c r="BY897" s="59"/>
      <c r="BZ897" s="59"/>
      <c r="CA897" s="59"/>
      <c r="CB897" s="59"/>
      <c r="CC897" s="59"/>
      <c r="CD897" s="59"/>
      <c r="CE897" s="59"/>
      <c r="CF897" s="59"/>
      <c r="CG897" s="59"/>
      <c r="CH897" s="59"/>
      <c r="CI897" s="59"/>
      <c r="CJ897" s="59"/>
      <c r="CK897" s="59"/>
      <c r="CL897" s="59"/>
      <c r="CM897" s="59"/>
      <c r="CN897" s="59"/>
      <c r="CO897" s="59"/>
      <c r="CP897" s="59"/>
      <c r="CQ897" s="59"/>
      <c r="CR897" s="59"/>
      <c r="CS897" s="59"/>
      <c r="CT897" s="59"/>
      <c r="CU897" s="59"/>
      <c r="CV897" s="59"/>
      <c r="CW897" s="59"/>
      <c r="CX897" s="59"/>
      <c r="CY897" s="59"/>
      <c r="CZ897" s="59"/>
      <c r="DA897" s="59"/>
      <c r="DB897" s="59"/>
      <c r="DC897" s="59"/>
      <c r="DD897" s="59"/>
      <c r="DE897" s="59"/>
      <c r="DF897" s="59"/>
      <c r="DG897" s="59"/>
    </row>
    <row r="898" spans="1:111" ht="11.2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  <c r="AB898" s="59"/>
      <c r="AC898" s="59"/>
      <c r="AD898" s="59"/>
      <c r="AE898" s="59"/>
      <c r="AF898" s="59"/>
      <c r="AG898" s="59"/>
      <c r="AH898" s="59"/>
      <c r="AI898" s="59"/>
      <c r="AJ898" s="59"/>
      <c r="AK898" s="59"/>
      <c r="AL898" s="59"/>
      <c r="AM898" s="59"/>
      <c r="AN898" s="59"/>
      <c r="AO898" s="59"/>
      <c r="AP898" s="59"/>
      <c r="AQ898" s="59"/>
      <c r="AR898" s="59"/>
      <c r="AS898" s="59"/>
      <c r="AT898" s="59"/>
      <c r="AU898" s="59"/>
      <c r="AV898" s="59"/>
      <c r="AW898" s="59"/>
      <c r="AX898" s="59"/>
      <c r="AY898" s="59"/>
      <c r="AZ898" s="59"/>
      <c r="BA898" s="59"/>
      <c r="BB898" s="59"/>
      <c r="BC898" s="59"/>
      <c r="BD898" s="59"/>
      <c r="BE898" s="59"/>
      <c r="BF898" s="59"/>
      <c r="BG898" s="59"/>
      <c r="BH898" s="59"/>
      <c r="BI898" s="59"/>
      <c r="BJ898" s="59"/>
      <c r="BK898" s="59"/>
      <c r="BL898" s="59"/>
      <c r="BM898" s="59"/>
      <c r="BN898" s="59"/>
      <c r="BO898" s="59"/>
      <c r="BP898" s="59"/>
      <c r="BQ898" s="59"/>
      <c r="BR898" s="59"/>
      <c r="BS898" s="59"/>
      <c r="BT898" s="59"/>
      <c r="BU898" s="59"/>
      <c r="BV898" s="59"/>
      <c r="BW898" s="59"/>
      <c r="BX898" s="59"/>
      <c r="BY898" s="59"/>
      <c r="BZ898" s="59"/>
      <c r="CA898" s="59"/>
      <c r="CB898" s="59"/>
      <c r="CC898" s="59"/>
      <c r="CD898" s="59"/>
      <c r="CE898" s="59"/>
      <c r="CF898" s="59"/>
      <c r="CG898" s="59"/>
      <c r="CH898" s="59"/>
      <c r="CI898" s="59"/>
      <c r="CJ898" s="59"/>
      <c r="CK898" s="59"/>
      <c r="CL898" s="59"/>
      <c r="CM898" s="59"/>
      <c r="CN898" s="59"/>
      <c r="CO898" s="59"/>
      <c r="CP898" s="59"/>
      <c r="CQ898" s="59"/>
      <c r="CR898" s="59"/>
      <c r="CS898" s="59"/>
      <c r="CT898" s="59"/>
      <c r="CU898" s="59"/>
      <c r="CV898" s="59"/>
      <c r="CW898" s="59"/>
      <c r="CX898" s="59"/>
      <c r="CY898" s="59"/>
      <c r="CZ898" s="59"/>
      <c r="DA898" s="59"/>
      <c r="DB898" s="59"/>
      <c r="DC898" s="59"/>
      <c r="DD898" s="59"/>
      <c r="DE898" s="59"/>
      <c r="DF898" s="59"/>
      <c r="DG898" s="59"/>
    </row>
    <row r="899" spans="1:111" ht="11.2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  <c r="AB899" s="59"/>
      <c r="AC899" s="59"/>
      <c r="AD899" s="59"/>
      <c r="AE899" s="59"/>
      <c r="AF899" s="59"/>
      <c r="AG899" s="59"/>
      <c r="AH899" s="59"/>
      <c r="AI899" s="59"/>
      <c r="AJ899" s="59"/>
      <c r="AK899" s="59"/>
      <c r="AL899" s="59"/>
      <c r="AM899" s="59"/>
      <c r="AN899" s="59"/>
      <c r="AO899" s="59"/>
      <c r="AP899" s="59"/>
      <c r="AQ899" s="59"/>
      <c r="AR899" s="59"/>
      <c r="AS899" s="59"/>
      <c r="AT899" s="59"/>
      <c r="AU899" s="59"/>
      <c r="AV899" s="59"/>
      <c r="AW899" s="59"/>
      <c r="AX899" s="59"/>
      <c r="AY899" s="59"/>
      <c r="AZ899" s="59"/>
      <c r="BA899" s="59"/>
      <c r="BB899" s="59"/>
      <c r="BC899" s="59"/>
      <c r="BD899" s="59"/>
      <c r="BE899" s="59"/>
      <c r="BF899" s="59"/>
      <c r="BG899" s="59"/>
      <c r="BH899" s="59"/>
      <c r="BI899" s="59"/>
      <c r="BJ899" s="59"/>
      <c r="BK899" s="59"/>
      <c r="BL899" s="59"/>
      <c r="BM899" s="59"/>
      <c r="BN899" s="59"/>
      <c r="BO899" s="59"/>
      <c r="BP899" s="59"/>
      <c r="BQ899" s="59"/>
      <c r="BR899" s="59"/>
      <c r="BS899" s="59"/>
      <c r="BT899" s="59"/>
      <c r="BU899" s="59"/>
      <c r="BV899" s="59"/>
      <c r="BW899" s="59"/>
      <c r="BX899" s="59"/>
      <c r="BY899" s="59"/>
      <c r="BZ899" s="59"/>
      <c r="CA899" s="59"/>
      <c r="CB899" s="59"/>
      <c r="CC899" s="59"/>
      <c r="CD899" s="59"/>
      <c r="CE899" s="59"/>
      <c r="CF899" s="59"/>
      <c r="CG899" s="59"/>
      <c r="CH899" s="59"/>
      <c r="CI899" s="59"/>
      <c r="CJ899" s="59"/>
      <c r="CK899" s="59"/>
      <c r="CL899" s="59"/>
      <c r="CM899" s="59"/>
      <c r="CN899" s="59"/>
      <c r="CO899" s="59"/>
      <c r="CP899" s="59"/>
      <c r="CQ899" s="59"/>
      <c r="CR899" s="59"/>
      <c r="CS899" s="59"/>
      <c r="CT899" s="59"/>
      <c r="CU899" s="59"/>
      <c r="CV899" s="59"/>
      <c r="CW899" s="59"/>
      <c r="CX899" s="59"/>
      <c r="CY899" s="59"/>
      <c r="CZ899" s="59"/>
      <c r="DA899" s="59"/>
      <c r="DB899" s="59"/>
      <c r="DC899" s="59"/>
      <c r="DD899" s="59"/>
      <c r="DE899" s="59"/>
      <c r="DF899" s="59"/>
      <c r="DG899" s="59"/>
    </row>
    <row r="900" spans="1:111" ht="11.2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  <c r="AB900" s="59"/>
      <c r="AC900" s="59"/>
      <c r="AD900" s="59"/>
      <c r="AE900" s="59"/>
      <c r="AF900" s="59"/>
      <c r="AG900" s="59"/>
      <c r="AH900" s="59"/>
      <c r="AI900" s="59"/>
      <c r="AJ900" s="59"/>
      <c r="AK900" s="59"/>
      <c r="AL900" s="59"/>
      <c r="AM900" s="59"/>
      <c r="AN900" s="59"/>
      <c r="AO900" s="59"/>
      <c r="AP900" s="59"/>
      <c r="AQ900" s="59"/>
      <c r="AR900" s="59"/>
      <c r="AS900" s="59"/>
      <c r="AT900" s="59"/>
      <c r="AU900" s="59"/>
      <c r="AV900" s="59"/>
      <c r="AW900" s="59"/>
      <c r="AX900" s="59"/>
      <c r="AY900" s="59"/>
      <c r="AZ900" s="59"/>
      <c r="BA900" s="59"/>
      <c r="BB900" s="59"/>
      <c r="BC900" s="59"/>
      <c r="BD900" s="59"/>
      <c r="BE900" s="59"/>
      <c r="BF900" s="59"/>
      <c r="BG900" s="59"/>
      <c r="BH900" s="59"/>
      <c r="BI900" s="59"/>
      <c r="BJ900" s="59"/>
      <c r="BK900" s="59"/>
      <c r="BL900" s="59"/>
      <c r="BM900" s="59"/>
      <c r="BN900" s="59"/>
      <c r="BO900" s="59"/>
      <c r="BP900" s="59"/>
      <c r="BQ900" s="59"/>
      <c r="BR900" s="59"/>
      <c r="BS900" s="59"/>
      <c r="BT900" s="59"/>
      <c r="BU900" s="59"/>
      <c r="BV900" s="59"/>
      <c r="BW900" s="59"/>
      <c r="BX900" s="59"/>
      <c r="BY900" s="59"/>
      <c r="BZ900" s="59"/>
      <c r="CA900" s="59"/>
      <c r="CB900" s="59"/>
      <c r="CC900" s="59"/>
      <c r="CD900" s="59"/>
      <c r="CE900" s="59"/>
      <c r="CF900" s="59"/>
      <c r="CG900" s="59"/>
      <c r="CH900" s="59"/>
      <c r="CI900" s="59"/>
      <c r="CJ900" s="59"/>
      <c r="CK900" s="59"/>
      <c r="CL900" s="59"/>
      <c r="CM900" s="59"/>
      <c r="CN900" s="59"/>
      <c r="CO900" s="59"/>
      <c r="CP900" s="59"/>
      <c r="CQ900" s="59"/>
      <c r="CR900" s="59"/>
      <c r="CS900" s="59"/>
      <c r="CT900" s="59"/>
      <c r="CU900" s="59"/>
      <c r="CV900" s="59"/>
      <c r="CW900" s="59"/>
      <c r="CX900" s="59"/>
      <c r="CY900" s="59"/>
      <c r="CZ900" s="59"/>
      <c r="DA900" s="59"/>
      <c r="DB900" s="59"/>
      <c r="DC900" s="59"/>
      <c r="DD900" s="59"/>
      <c r="DE900" s="59"/>
      <c r="DF900" s="59"/>
      <c r="DG900" s="59"/>
    </row>
    <row r="901" spans="1:111" ht="11.2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  <c r="AB901" s="59"/>
      <c r="AC901" s="59"/>
      <c r="AD901" s="59"/>
      <c r="AE901" s="59"/>
      <c r="AF901" s="59"/>
      <c r="AG901" s="59"/>
      <c r="AH901" s="59"/>
      <c r="AI901" s="59"/>
      <c r="AJ901" s="59"/>
      <c r="AK901" s="59"/>
      <c r="AL901" s="59"/>
      <c r="AM901" s="59"/>
      <c r="AN901" s="59"/>
      <c r="AO901" s="59"/>
      <c r="AP901" s="59"/>
      <c r="AQ901" s="59"/>
      <c r="AR901" s="59"/>
      <c r="AS901" s="59"/>
      <c r="AT901" s="59"/>
      <c r="AU901" s="59"/>
      <c r="AV901" s="59"/>
      <c r="AW901" s="59"/>
      <c r="AX901" s="59"/>
      <c r="AY901" s="59"/>
      <c r="AZ901" s="59"/>
      <c r="BA901" s="59"/>
      <c r="BB901" s="59"/>
      <c r="BC901" s="59"/>
      <c r="BD901" s="59"/>
      <c r="BE901" s="59"/>
      <c r="BF901" s="59"/>
      <c r="BG901" s="59"/>
      <c r="BH901" s="59"/>
      <c r="BI901" s="59"/>
      <c r="BJ901" s="59"/>
      <c r="BK901" s="59"/>
      <c r="BL901" s="59"/>
      <c r="BM901" s="59"/>
      <c r="BN901" s="59"/>
      <c r="BO901" s="59"/>
      <c r="BP901" s="59"/>
      <c r="BQ901" s="59"/>
      <c r="BR901" s="59"/>
      <c r="BS901" s="59"/>
      <c r="BT901" s="59"/>
      <c r="BU901" s="59"/>
      <c r="BV901" s="59"/>
      <c r="BW901" s="59"/>
      <c r="BX901" s="59"/>
      <c r="BY901" s="59"/>
      <c r="BZ901" s="59"/>
      <c r="CA901" s="59"/>
      <c r="CB901" s="59"/>
      <c r="CC901" s="59"/>
      <c r="CD901" s="59"/>
      <c r="CE901" s="59"/>
      <c r="CF901" s="59"/>
      <c r="CG901" s="59"/>
      <c r="CH901" s="59"/>
      <c r="CI901" s="59"/>
      <c r="CJ901" s="59"/>
      <c r="CK901" s="59"/>
      <c r="CL901" s="59"/>
      <c r="CM901" s="59"/>
      <c r="CN901" s="59"/>
      <c r="CO901" s="59"/>
      <c r="CP901" s="59"/>
      <c r="CQ901" s="59"/>
      <c r="CR901" s="59"/>
      <c r="CS901" s="59"/>
      <c r="CT901" s="59"/>
      <c r="CU901" s="59"/>
      <c r="CV901" s="59"/>
      <c r="CW901" s="59"/>
      <c r="CX901" s="59"/>
      <c r="CY901" s="59"/>
      <c r="CZ901" s="59"/>
      <c r="DA901" s="59"/>
      <c r="DB901" s="59"/>
      <c r="DC901" s="59"/>
      <c r="DD901" s="59"/>
      <c r="DE901" s="59"/>
      <c r="DF901" s="59"/>
      <c r="DG901" s="59"/>
    </row>
    <row r="902" spans="1:111" ht="11.2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  <c r="AB902" s="59"/>
      <c r="AC902" s="59"/>
      <c r="AD902" s="59"/>
      <c r="AE902" s="59"/>
      <c r="AF902" s="59"/>
      <c r="AG902" s="59"/>
      <c r="AH902" s="59"/>
      <c r="AI902" s="59"/>
      <c r="AJ902" s="59"/>
      <c r="AK902" s="59"/>
      <c r="AL902" s="59"/>
      <c r="AM902" s="59"/>
      <c r="AN902" s="59"/>
      <c r="AO902" s="59"/>
      <c r="AP902" s="59"/>
      <c r="AQ902" s="59"/>
      <c r="AR902" s="59"/>
      <c r="AS902" s="59"/>
      <c r="AT902" s="59"/>
      <c r="AU902" s="59"/>
      <c r="AV902" s="59"/>
      <c r="AW902" s="59"/>
      <c r="AX902" s="59"/>
      <c r="AY902" s="59"/>
      <c r="AZ902" s="59"/>
      <c r="BA902" s="59"/>
      <c r="BB902" s="59"/>
      <c r="BC902" s="59"/>
      <c r="BD902" s="59"/>
      <c r="BE902" s="59"/>
      <c r="BF902" s="59"/>
      <c r="BG902" s="59"/>
      <c r="BH902" s="59"/>
      <c r="BI902" s="59"/>
      <c r="BJ902" s="59"/>
      <c r="BK902" s="59"/>
      <c r="BL902" s="59"/>
      <c r="BM902" s="59"/>
      <c r="BN902" s="59"/>
      <c r="BO902" s="59"/>
      <c r="BP902" s="59"/>
      <c r="BQ902" s="59"/>
      <c r="BR902" s="59"/>
      <c r="BS902" s="59"/>
      <c r="BT902" s="59"/>
      <c r="BU902" s="59"/>
      <c r="BV902" s="59"/>
      <c r="BW902" s="59"/>
      <c r="BX902" s="59"/>
      <c r="BY902" s="59"/>
      <c r="BZ902" s="59"/>
      <c r="CA902" s="59"/>
      <c r="CB902" s="59"/>
      <c r="CC902" s="59"/>
      <c r="CD902" s="59"/>
      <c r="CE902" s="59"/>
      <c r="CF902" s="59"/>
      <c r="CG902" s="59"/>
      <c r="CH902" s="59"/>
      <c r="CI902" s="59"/>
      <c r="CJ902" s="59"/>
      <c r="CK902" s="59"/>
      <c r="CL902" s="59"/>
      <c r="CM902" s="59"/>
      <c r="CN902" s="59"/>
      <c r="CO902" s="59"/>
      <c r="CP902" s="59"/>
      <c r="CQ902" s="59"/>
      <c r="CR902" s="59"/>
      <c r="CS902" s="59"/>
      <c r="CT902" s="59"/>
      <c r="CU902" s="59"/>
      <c r="CV902" s="59"/>
      <c r="CW902" s="59"/>
      <c r="CX902" s="59"/>
      <c r="CY902" s="59"/>
      <c r="CZ902" s="59"/>
      <c r="DA902" s="59"/>
      <c r="DB902" s="59"/>
      <c r="DC902" s="59"/>
      <c r="DD902" s="59"/>
      <c r="DE902" s="59"/>
      <c r="DF902" s="59"/>
      <c r="DG902" s="59"/>
    </row>
    <row r="903" spans="1:111" ht="11.2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  <c r="AB903" s="59"/>
      <c r="AC903" s="59"/>
      <c r="AD903" s="59"/>
      <c r="AE903" s="59"/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9"/>
      <c r="AR903" s="59"/>
      <c r="AS903" s="59"/>
      <c r="AT903" s="59"/>
      <c r="AU903" s="59"/>
      <c r="AV903" s="59"/>
      <c r="AW903" s="59"/>
      <c r="AX903" s="59"/>
      <c r="AY903" s="59"/>
      <c r="AZ903" s="59"/>
      <c r="BA903" s="59"/>
      <c r="BB903" s="59"/>
      <c r="BC903" s="59"/>
      <c r="BD903" s="59"/>
      <c r="BE903" s="59"/>
      <c r="BF903" s="59"/>
      <c r="BG903" s="59"/>
      <c r="BH903" s="59"/>
      <c r="BI903" s="59"/>
      <c r="BJ903" s="59"/>
      <c r="BK903" s="59"/>
      <c r="BL903" s="59"/>
      <c r="BM903" s="59"/>
      <c r="BN903" s="59"/>
      <c r="BO903" s="59"/>
      <c r="BP903" s="59"/>
      <c r="BQ903" s="59"/>
      <c r="BR903" s="59"/>
      <c r="BS903" s="59"/>
      <c r="BT903" s="59"/>
      <c r="BU903" s="59"/>
      <c r="BV903" s="59"/>
      <c r="BW903" s="59"/>
      <c r="BX903" s="59"/>
      <c r="BY903" s="59"/>
      <c r="BZ903" s="59"/>
      <c r="CA903" s="59"/>
      <c r="CB903" s="59"/>
      <c r="CC903" s="59"/>
      <c r="CD903" s="59"/>
      <c r="CE903" s="59"/>
      <c r="CF903" s="59"/>
      <c r="CG903" s="59"/>
      <c r="CH903" s="59"/>
      <c r="CI903" s="59"/>
      <c r="CJ903" s="59"/>
      <c r="CK903" s="59"/>
      <c r="CL903" s="59"/>
      <c r="CM903" s="59"/>
      <c r="CN903" s="59"/>
      <c r="CO903" s="59"/>
      <c r="CP903" s="59"/>
      <c r="CQ903" s="59"/>
      <c r="CR903" s="59"/>
      <c r="CS903" s="59"/>
      <c r="CT903" s="59"/>
      <c r="CU903" s="59"/>
      <c r="CV903" s="59"/>
      <c r="CW903" s="59"/>
      <c r="CX903" s="59"/>
      <c r="CY903" s="59"/>
      <c r="CZ903" s="59"/>
      <c r="DA903" s="59"/>
      <c r="DB903" s="59"/>
      <c r="DC903" s="59"/>
      <c r="DD903" s="59"/>
      <c r="DE903" s="59"/>
      <c r="DF903" s="59"/>
      <c r="DG903" s="59"/>
    </row>
    <row r="904" spans="1:111" ht="11.2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  <c r="AB904" s="59"/>
      <c r="AC904" s="59"/>
      <c r="AD904" s="59"/>
      <c r="AE904" s="59"/>
      <c r="AF904" s="59"/>
      <c r="AG904" s="59"/>
      <c r="AH904" s="59"/>
      <c r="AI904" s="59"/>
      <c r="AJ904" s="59"/>
      <c r="AK904" s="59"/>
      <c r="AL904" s="59"/>
      <c r="AM904" s="59"/>
      <c r="AN904" s="59"/>
      <c r="AO904" s="59"/>
      <c r="AP904" s="59"/>
      <c r="AQ904" s="59"/>
      <c r="AR904" s="59"/>
      <c r="AS904" s="59"/>
      <c r="AT904" s="59"/>
      <c r="AU904" s="59"/>
      <c r="AV904" s="59"/>
      <c r="AW904" s="59"/>
      <c r="AX904" s="59"/>
      <c r="AY904" s="59"/>
      <c r="AZ904" s="59"/>
      <c r="BA904" s="59"/>
      <c r="BB904" s="59"/>
      <c r="BC904" s="59"/>
      <c r="BD904" s="59"/>
      <c r="BE904" s="59"/>
      <c r="BF904" s="59"/>
      <c r="BG904" s="59"/>
      <c r="BH904" s="59"/>
      <c r="BI904" s="59"/>
      <c r="BJ904" s="59"/>
      <c r="BK904" s="59"/>
      <c r="BL904" s="59"/>
      <c r="BM904" s="59"/>
      <c r="BN904" s="59"/>
      <c r="BO904" s="59"/>
      <c r="BP904" s="59"/>
      <c r="BQ904" s="59"/>
      <c r="BR904" s="59"/>
      <c r="BS904" s="59"/>
      <c r="BT904" s="59"/>
      <c r="BU904" s="59"/>
      <c r="BV904" s="59"/>
      <c r="BW904" s="59"/>
      <c r="BX904" s="59"/>
      <c r="BY904" s="59"/>
      <c r="BZ904" s="59"/>
      <c r="CA904" s="59"/>
      <c r="CB904" s="59"/>
      <c r="CC904" s="59"/>
      <c r="CD904" s="59"/>
      <c r="CE904" s="59"/>
      <c r="CF904" s="59"/>
      <c r="CG904" s="59"/>
      <c r="CH904" s="59"/>
      <c r="CI904" s="59"/>
      <c r="CJ904" s="59"/>
      <c r="CK904" s="59"/>
      <c r="CL904" s="59"/>
      <c r="CM904" s="59"/>
      <c r="CN904" s="59"/>
      <c r="CO904" s="59"/>
      <c r="CP904" s="59"/>
      <c r="CQ904" s="59"/>
      <c r="CR904" s="59"/>
      <c r="CS904" s="59"/>
      <c r="CT904" s="59"/>
      <c r="CU904" s="59"/>
      <c r="CV904" s="59"/>
      <c r="CW904" s="59"/>
      <c r="CX904" s="59"/>
      <c r="CY904" s="59"/>
      <c r="CZ904" s="59"/>
      <c r="DA904" s="59"/>
      <c r="DB904" s="59"/>
      <c r="DC904" s="59"/>
      <c r="DD904" s="59"/>
      <c r="DE904" s="59"/>
      <c r="DF904" s="59"/>
      <c r="DG904" s="59"/>
    </row>
    <row r="905" spans="1:111" ht="11.2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  <c r="AI905" s="59"/>
      <c r="AJ905" s="59"/>
      <c r="AK905" s="59"/>
      <c r="AL905" s="59"/>
      <c r="AM905" s="59"/>
      <c r="AN905" s="59"/>
      <c r="AO905" s="59"/>
      <c r="AP905" s="59"/>
      <c r="AQ905" s="59"/>
      <c r="AR905" s="59"/>
      <c r="AS905" s="59"/>
      <c r="AT905" s="59"/>
      <c r="AU905" s="59"/>
      <c r="AV905" s="59"/>
      <c r="AW905" s="59"/>
      <c r="AX905" s="59"/>
      <c r="AY905" s="59"/>
      <c r="AZ905" s="59"/>
      <c r="BA905" s="59"/>
      <c r="BB905" s="59"/>
      <c r="BC905" s="59"/>
      <c r="BD905" s="59"/>
      <c r="BE905" s="59"/>
      <c r="BF905" s="59"/>
      <c r="BG905" s="59"/>
      <c r="BH905" s="59"/>
      <c r="BI905" s="59"/>
      <c r="BJ905" s="59"/>
      <c r="BK905" s="59"/>
      <c r="BL905" s="59"/>
      <c r="BM905" s="59"/>
      <c r="BN905" s="59"/>
      <c r="BO905" s="59"/>
      <c r="BP905" s="59"/>
      <c r="BQ905" s="59"/>
      <c r="BR905" s="59"/>
      <c r="BS905" s="59"/>
      <c r="BT905" s="59"/>
      <c r="BU905" s="59"/>
      <c r="BV905" s="59"/>
      <c r="BW905" s="59"/>
      <c r="BX905" s="59"/>
      <c r="BY905" s="59"/>
      <c r="BZ905" s="59"/>
      <c r="CA905" s="59"/>
      <c r="CB905" s="59"/>
      <c r="CC905" s="59"/>
      <c r="CD905" s="59"/>
      <c r="CE905" s="59"/>
      <c r="CF905" s="59"/>
      <c r="CG905" s="59"/>
      <c r="CH905" s="59"/>
      <c r="CI905" s="59"/>
      <c r="CJ905" s="59"/>
      <c r="CK905" s="59"/>
      <c r="CL905" s="59"/>
      <c r="CM905" s="59"/>
      <c r="CN905" s="59"/>
      <c r="CO905" s="59"/>
      <c r="CP905" s="59"/>
      <c r="CQ905" s="59"/>
      <c r="CR905" s="59"/>
      <c r="CS905" s="59"/>
      <c r="CT905" s="59"/>
      <c r="CU905" s="59"/>
      <c r="CV905" s="59"/>
      <c r="CW905" s="59"/>
      <c r="CX905" s="59"/>
      <c r="CY905" s="59"/>
      <c r="CZ905" s="59"/>
      <c r="DA905" s="59"/>
      <c r="DB905" s="59"/>
      <c r="DC905" s="59"/>
      <c r="DD905" s="59"/>
      <c r="DE905" s="59"/>
      <c r="DF905" s="59"/>
      <c r="DG905" s="59"/>
    </row>
    <row r="906" spans="1:111" ht="11.2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  <c r="AI906" s="59"/>
      <c r="AJ906" s="59"/>
      <c r="AK906" s="59"/>
      <c r="AL906" s="59"/>
      <c r="AM906" s="59"/>
      <c r="AN906" s="59"/>
      <c r="AO906" s="59"/>
      <c r="AP906" s="59"/>
      <c r="AQ906" s="59"/>
      <c r="AR906" s="59"/>
      <c r="AS906" s="59"/>
      <c r="AT906" s="59"/>
      <c r="AU906" s="59"/>
      <c r="AV906" s="59"/>
      <c r="AW906" s="59"/>
      <c r="AX906" s="59"/>
      <c r="AY906" s="59"/>
      <c r="AZ906" s="59"/>
      <c r="BA906" s="59"/>
      <c r="BB906" s="59"/>
      <c r="BC906" s="59"/>
      <c r="BD906" s="59"/>
      <c r="BE906" s="59"/>
      <c r="BF906" s="59"/>
      <c r="BG906" s="59"/>
      <c r="BH906" s="59"/>
      <c r="BI906" s="59"/>
      <c r="BJ906" s="59"/>
      <c r="BK906" s="59"/>
      <c r="BL906" s="59"/>
      <c r="BM906" s="59"/>
      <c r="BN906" s="59"/>
      <c r="BO906" s="59"/>
      <c r="BP906" s="59"/>
      <c r="BQ906" s="59"/>
      <c r="BR906" s="59"/>
      <c r="BS906" s="59"/>
      <c r="BT906" s="59"/>
      <c r="BU906" s="59"/>
      <c r="BV906" s="59"/>
      <c r="BW906" s="59"/>
      <c r="BX906" s="59"/>
      <c r="BY906" s="59"/>
      <c r="BZ906" s="59"/>
      <c r="CA906" s="59"/>
      <c r="CB906" s="59"/>
      <c r="CC906" s="59"/>
      <c r="CD906" s="59"/>
      <c r="CE906" s="59"/>
      <c r="CF906" s="59"/>
      <c r="CG906" s="59"/>
      <c r="CH906" s="59"/>
      <c r="CI906" s="59"/>
      <c r="CJ906" s="59"/>
      <c r="CK906" s="59"/>
      <c r="CL906" s="59"/>
      <c r="CM906" s="59"/>
      <c r="CN906" s="59"/>
      <c r="CO906" s="59"/>
      <c r="CP906" s="59"/>
      <c r="CQ906" s="59"/>
      <c r="CR906" s="59"/>
      <c r="CS906" s="59"/>
      <c r="CT906" s="59"/>
      <c r="CU906" s="59"/>
      <c r="CV906" s="59"/>
      <c r="CW906" s="59"/>
      <c r="CX906" s="59"/>
      <c r="CY906" s="59"/>
      <c r="CZ906" s="59"/>
      <c r="DA906" s="59"/>
      <c r="DB906" s="59"/>
      <c r="DC906" s="59"/>
      <c r="DD906" s="59"/>
      <c r="DE906" s="59"/>
      <c r="DF906" s="59"/>
      <c r="DG906" s="59"/>
    </row>
    <row r="907" spans="1:111" ht="11.2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  <c r="AI907" s="59"/>
      <c r="AJ907" s="59"/>
      <c r="AK907" s="59"/>
      <c r="AL907" s="59"/>
      <c r="AM907" s="59"/>
      <c r="AN907" s="59"/>
      <c r="AO907" s="59"/>
      <c r="AP907" s="59"/>
      <c r="AQ907" s="59"/>
      <c r="AR907" s="59"/>
      <c r="AS907" s="59"/>
      <c r="AT907" s="59"/>
      <c r="AU907" s="59"/>
      <c r="AV907" s="59"/>
      <c r="AW907" s="59"/>
      <c r="AX907" s="59"/>
      <c r="AY907" s="59"/>
      <c r="AZ907" s="59"/>
      <c r="BA907" s="59"/>
      <c r="BB907" s="59"/>
      <c r="BC907" s="59"/>
      <c r="BD907" s="59"/>
      <c r="BE907" s="59"/>
      <c r="BF907" s="59"/>
      <c r="BG907" s="59"/>
      <c r="BH907" s="59"/>
      <c r="BI907" s="59"/>
      <c r="BJ907" s="59"/>
      <c r="BK907" s="59"/>
      <c r="BL907" s="59"/>
      <c r="BM907" s="59"/>
      <c r="BN907" s="59"/>
      <c r="BO907" s="59"/>
      <c r="BP907" s="59"/>
      <c r="BQ907" s="59"/>
      <c r="BR907" s="59"/>
      <c r="BS907" s="59"/>
      <c r="BT907" s="59"/>
      <c r="BU907" s="59"/>
      <c r="BV907" s="59"/>
      <c r="BW907" s="59"/>
      <c r="BX907" s="59"/>
      <c r="BY907" s="59"/>
      <c r="BZ907" s="59"/>
      <c r="CA907" s="59"/>
      <c r="CB907" s="59"/>
      <c r="CC907" s="59"/>
      <c r="CD907" s="59"/>
      <c r="CE907" s="59"/>
      <c r="CF907" s="59"/>
      <c r="CG907" s="59"/>
      <c r="CH907" s="59"/>
      <c r="CI907" s="59"/>
      <c r="CJ907" s="59"/>
      <c r="CK907" s="59"/>
      <c r="CL907" s="59"/>
      <c r="CM907" s="59"/>
      <c r="CN907" s="59"/>
      <c r="CO907" s="59"/>
      <c r="CP907" s="59"/>
      <c r="CQ907" s="59"/>
      <c r="CR907" s="59"/>
      <c r="CS907" s="59"/>
      <c r="CT907" s="59"/>
      <c r="CU907" s="59"/>
      <c r="CV907" s="59"/>
      <c r="CW907" s="59"/>
      <c r="CX907" s="59"/>
      <c r="CY907" s="59"/>
      <c r="CZ907" s="59"/>
      <c r="DA907" s="59"/>
      <c r="DB907" s="59"/>
      <c r="DC907" s="59"/>
      <c r="DD907" s="59"/>
      <c r="DE907" s="59"/>
      <c r="DF907" s="59"/>
      <c r="DG907" s="59"/>
    </row>
    <row r="908" spans="1:111" ht="11.2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  <c r="AB908" s="59"/>
      <c r="AC908" s="59"/>
      <c r="AD908" s="59"/>
      <c r="AE908" s="59"/>
      <c r="AF908" s="59"/>
      <c r="AG908" s="59"/>
      <c r="AH908" s="59"/>
      <c r="AI908" s="59"/>
      <c r="AJ908" s="59"/>
      <c r="AK908" s="59"/>
      <c r="AL908" s="59"/>
      <c r="AM908" s="59"/>
      <c r="AN908" s="59"/>
      <c r="AO908" s="59"/>
      <c r="AP908" s="59"/>
      <c r="AQ908" s="59"/>
      <c r="AR908" s="59"/>
      <c r="AS908" s="59"/>
      <c r="AT908" s="59"/>
      <c r="AU908" s="59"/>
      <c r="AV908" s="59"/>
      <c r="AW908" s="59"/>
      <c r="AX908" s="59"/>
      <c r="AY908" s="59"/>
      <c r="AZ908" s="59"/>
      <c r="BA908" s="59"/>
      <c r="BB908" s="59"/>
      <c r="BC908" s="59"/>
      <c r="BD908" s="59"/>
      <c r="BE908" s="59"/>
      <c r="BF908" s="59"/>
      <c r="BG908" s="59"/>
      <c r="BH908" s="59"/>
      <c r="BI908" s="59"/>
      <c r="BJ908" s="59"/>
      <c r="BK908" s="59"/>
      <c r="BL908" s="59"/>
      <c r="BM908" s="59"/>
      <c r="BN908" s="59"/>
      <c r="BO908" s="59"/>
      <c r="BP908" s="59"/>
      <c r="BQ908" s="59"/>
      <c r="BR908" s="59"/>
      <c r="BS908" s="59"/>
      <c r="BT908" s="59"/>
      <c r="BU908" s="59"/>
      <c r="BV908" s="59"/>
      <c r="BW908" s="59"/>
      <c r="BX908" s="59"/>
      <c r="BY908" s="59"/>
      <c r="BZ908" s="59"/>
      <c r="CA908" s="59"/>
      <c r="CB908" s="59"/>
      <c r="CC908" s="59"/>
      <c r="CD908" s="59"/>
      <c r="CE908" s="59"/>
      <c r="CF908" s="59"/>
      <c r="CG908" s="59"/>
      <c r="CH908" s="59"/>
      <c r="CI908" s="59"/>
      <c r="CJ908" s="59"/>
      <c r="CK908" s="59"/>
      <c r="CL908" s="59"/>
      <c r="CM908" s="59"/>
      <c r="CN908" s="59"/>
      <c r="CO908" s="59"/>
      <c r="CP908" s="59"/>
      <c r="CQ908" s="59"/>
      <c r="CR908" s="59"/>
      <c r="CS908" s="59"/>
      <c r="CT908" s="59"/>
      <c r="CU908" s="59"/>
      <c r="CV908" s="59"/>
      <c r="CW908" s="59"/>
      <c r="CX908" s="59"/>
      <c r="CY908" s="59"/>
      <c r="CZ908" s="59"/>
      <c r="DA908" s="59"/>
      <c r="DB908" s="59"/>
      <c r="DC908" s="59"/>
      <c r="DD908" s="59"/>
      <c r="DE908" s="59"/>
      <c r="DF908" s="59"/>
      <c r="DG908" s="59"/>
    </row>
    <row r="909" spans="1:111" ht="11.2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  <c r="AB909" s="59"/>
      <c r="AC909" s="59"/>
      <c r="AD909" s="59"/>
      <c r="AE909" s="59"/>
      <c r="AF909" s="59"/>
      <c r="AG909" s="59"/>
      <c r="AH909" s="59"/>
      <c r="AI909" s="59"/>
      <c r="AJ909" s="59"/>
      <c r="AK909" s="59"/>
      <c r="AL909" s="59"/>
      <c r="AM909" s="59"/>
      <c r="AN909" s="59"/>
      <c r="AO909" s="59"/>
      <c r="AP909" s="59"/>
      <c r="AQ909" s="59"/>
      <c r="AR909" s="59"/>
      <c r="AS909" s="59"/>
      <c r="AT909" s="59"/>
      <c r="AU909" s="59"/>
      <c r="AV909" s="59"/>
      <c r="AW909" s="59"/>
      <c r="AX909" s="59"/>
      <c r="AY909" s="59"/>
      <c r="AZ909" s="59"/>
      <c r="BA909" s="59"/>
      <c r="BB909" s="59"/>
      <c r="BC909" s="59"/>
      <c r="BD909" s="59"/>
      <c r="BE909" s="59"/>
      <c r="BF909" s="59"/>
      <c r="BG909" s="59"/>
      <c r="BH909" s="59"/>
      <c r="BI909" s="59"/>
      <c r="BJ909" s="59"/>
      <c r="BK909" s="59"/>
      <c r="BL909" s="59"/>
      <c r="BM909" s="59"/>
      <c r="BN909" s="59"/>
      <c r="BO909" s="59"/>
      <c r="BP909" s="59"/>
      <c r="BQ909" s="59"/>
      <c r="BR909" s="59"/>
      <c r="BS909" s="59"/>
      <c r="BT909" s="59"/>
      <c r="BU909" s="59"/>
      <c r="BV909" s="59"/>
      <c r="BW909" s="59"/>
      <c r="BX909" s="59"/>
      <c r="BY909" s="59"/>
      <c r="BZ909" s="59"/>
      <c r="CA909" s="59"/>
      <c r="CB909" s="59"/>
      <c r="CC909" s="59"/>
      <c r="CD909" s="59"/>
      <c r="CE909" s="59"/>
      <c r="CF909" s="59"/>
      <c r="CG909" s="59"/>
      <c r="CH909" s="59"/>
      <c r="CI909" s="59"/>
      <c r="CJ909" s="59"/>
      <c r="CK909" s="59"/>
      <c r="CL909" s="59"/>
      <c r="CM909" s="59"/>
      <c r="CN909" s="59"/>
      <c r="CO909" s="59"/>
      <c r="CP909" s="59"/>
      <c r="CQ909" s="59"/>
      <c r="CR909" s="59"/>
      <c r="CS909" s="59"/>
      <c r="CT909" s="59"/>
      <c r="CU909" s="59"/>
      <c r="CV909" s="59"/>
      <c r="CW909" s="59"/>
      <c r="CX909" s="59"/>
      <c r="CY909" s="59"/>
      <c r="CZ909" s="59"/>
      <c r="DA909" s="59"/>
      <c r="DB909" s="59"/>
      <c r="DC909" s="59"/>
      <c r="DD909" s="59"/>
      <c r="DE909" s="59"/>
      <c r="DF909" s="59"/>
      <c r="DG909" s="59"/>
    </row>
    <row r="910" spans="1:111" ht="11.2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  <c r="AB910" s="59"/>
      <c r="AC910" s="59"/>
      <c r="AD910" s="59"/>
      <c r="AE910" s="59"/>
      <c r="AF910" s="59"/>
      <c r="AG910" s="59"/>
      <c r="AH910" s="59"/>
      <c r="AI910" s="59"/>
      <c r="AJ910" s="59"/>
      <c r="AK910" s="59"/>
      <c r="AL910" s="59"/>
      <c r="AM910" s="59"/>
      <c r="AN910" s="59"/>
      <c r="AO910" s="59"/>
      <c r="AP910" s="59"/>
      <c r="AQ910" s="59"/>
      <c r="AR910" s="59"/>
      <c r="AS910" s="59"/>
      <c r="AT910" s="59"/>
      <c r="AU910" s="59"/>
      <c r="AV910" s="59"/>
      <c r="AW910" s="59"/>
      <c r="AX910" s="59"/>
      <c r="AY910" s="59"/>
      <c r="AZ910" s="59"/>
      <c r="BA910" s="59"/>
      <c r="BB910" s="59"/>
      <c r="BC910" s="59"/>
      <c r="BD910" s="59"/>
      <c r="BE910" s="59"/>
      <c r="BF910" s="59"/>
      <c r="BG910" s="59"/>
      <c r="BH910" s="59"/>
      <c r="BI910" s="59"/>
      <c r="BJ910" s="59"/>
      <c r="BK910" s="59"/>
      <c r="BL910" s="59"/>
      <c r="BM910" s="59"/>
      <c r="BN910" s="59"/>
      <c r="BO910" s="59"/>
      <c r="BP910" s="59"/>
      <c r="BQ910" s="59"/>
      <c r="BR910" s="59"/>
      <c r="BS910" s="59"/>
      <c r="BT910" s="59"/>
      <c r="BU910" s="59"/>
      <c r="BV910" s="59"/>
      <c r="BW910" s="59"/>
      <c r="BX910" s="59"/>
      <c r="BY910" s="59"/>
      <c r="BZ910" s="59"/>
      <c r="CA910" s="59"/>
      <c r="CB910" s="59"/>
      <c r="CC910" s="59"/>
      <c r="CD910" s="59"/>
      <c r="CE910" s="59"/>
      <c r="CF910" s="59"/>
      <c r="CG910" s="59"/>
      <c r="CH910" s="59"/>
      <c r="CI910" s="59"/>
      <c r="CJ910" s="59"/>
      <c r="CK910" s="59"/>
      <c r="CL910" s="59"/>
      <c r="CM910" s="59"/>
      <c r="CN910" s="59"/>
      <c r="CO910" s="59"/>
      <c r="CP910" s="59"/>
      <c r="CQ910" s="59"/>
      <c r="CR910" s="59"/>
      <c r="CS910" s="59"/>
      <c r="CT910" s="59"/>
      <c r="CU910" s="59"/>
      <c r="CV910" s="59"/>
      <c r="CW910" s="59"/>
      <c r="CX910" s="59"/>
      <c r="CY910" s="59"/>
      <c r="CZ910" s="59"/>
      <c r="DA910" s="59"/>
      <c r="DB910" s="59"/>
      <c r="DC910" s="59"/>
      <c r="DD910" s="59"/>
      <c r="DE910" s="59"/>
      <c r="DF910" s="59"/>
      <c r="DG910" s="59"/>
    </row>
    <row r="911" spans="1:111" ht="11.2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  <c r="AB911" s="59"/>
      <c r="AC911" s="59"/>
      <c r="AD911" s="59"/>
      <c r="AE911" s="59"/>
      <c r="AF911" s="59"/>
      <c r="AG911" s="59"/>
      <c r="AH911" s="59"/>
      <c r="AI911" s="59"/>
      <c r="AJ911" s="59"/>
      <c r="AK911" s="59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9"/>
      <c r="AW911" s="59"/>
      <c r="AX911" s="59"/>
      <c r="AY911" s="59"/>
      <c r="AZ911" s="59"/>
      <c r="BA911" s="59"/>
      <c r="BB911" s="59"/>
      <c r="BC911" s="59"/>
      <c r="BD911" s="59"/>
      <c r="BE911" s="59"/>
      <c r="BF911" s="59"/>
      <c r="BG911" s="59"/>
      <c r="BH911" s="59"/>
      <c r="BI911" s="59"/>
      <c r="BJ911" s="59"/>
      <c r="BK911" s="59"/>
      <c r="BL911" s="59"/>
      <c r="BM911" s="59"/>
      <c r="BN911" s="59"/>
      <c r="BO911" s="59"/>
      <c r="BP911" s="59"/>
      <c r="BQ911" s="59"/>
      <c r="BR911" s="59"/>
      <c r="BS911" s="59"/>
      <c r="BT911" s="59"/>
      <c r="BU911" s="59"/>
      <c r="BV911" s="59"/>
      <c r="BW911" s="59"/>
      <c r="BX911" s="59"/>
      <c r="BY911" s="59"/>
      <c r="BZ911" s="59"/>
      <c r="CA911" s="59"/>
      <c r="CB911" s="59"/>
      <c r="CC911" s="59"/>
      <c r="CD911" s="59"/>
      <c r="CE911" s="59"/>
      <c r="CF911" s="59"/>
      <c r="CG911" s="59"/>
      <c r="CH911" s="59"/>
      <c r="CI911" s="59"/>
      <c r="CJ911" s="59"/>
      <c r="CK911" s="59"/>
      <c r="CL911" s="59"/>
      <c r="CM911" s="59"/>
      <c r="CN911" s="59"/>
      <c r="CO911" s="59"/>
      <c r="CP911" s="59"/>
      <c r="CQ911" s="59"/>
      <c r="CR911" s="59"/>
      <c r="CS911" s="59"/>
      <c r="CT911" s="59"/>
      <c r="CU911" s="59"/>
      <c r="CV911" s="59"/>
      <c r="CW911" s="59"/>
      <c r="CX911" s="59"/>
      <c r="CY911" s="59"/>
      <c r="CZ911" s="59"/>
      <c r="DA911" s="59"/>
      <c r="DB911" s="59"/>
      <c r="DC911" s="59"/>
      <c r="DD911" s="59"/>
      <c r="DE911" s="59"/>
      <c r="DF911" s="59"/>
      <c r="DG911" s="59"/>
    </row>
    <row r="912" spans="1:111" ht="11.2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  <c r="AB912" s="59"/>
      <c r="AC912" s="59"/>
      <c r="AD912" s="59"/>
      <c r="AE912" s="59"/>
      <c r="AF912" s="59"/>
      <c r="AG912" s="59"/>
      <c r="AH912" s="59"/>
      <c r="AI912" s="59"/>
      <c r="AJ912" s="59"/>
      <c r="AK912" s="59"/>
      <c r="AL912" s="59"/>
      <c r="AM912" s="59"/>
      <c r="AN912" s="59"/>
      <c r="AO912" s="59"/>
      <c r="AP912" s="59"/>
      <c r="AQ912" s="59"/>
      <c r="AR912" s="59"/>
      <c r="AS912" s="59"/>
      <c r="AT912" s="59"/>
      <c r="AU912" s="59"/>
      <c r="AV912" s="59"/>
      <c r="AW912" s="59"/>
      <c r="AX912" s="59"/>
      <c r="AY912" s="59"/>
      <c r="AZ912" s="59"/>
      <c r="BA912" s="59"/>
      <c r="BB912" s="59"/>
      <c r="BC912" s="59"/>
      <c r="BD912" s="59"/>
      <c r="BE912" s="59"/>
      <c r="BF912" s="59"/>
      <c r="BG912" s="59"/>
      <c r="BH912" s="59"/>
      <c r="BI912" s="59"/>
      <c r="BJ912" s="59"/>
      <c r="BK912" s="59"/>
      <c r="BL912" s="59"/>
      <c r="BM912" s="59"/>
      <c r="BN912" s="59"/>
      <c r="BO912" s="59"/>
      <c r="BP912" s="59"/>
      <c r="BQ912" s="59"/>
      <c r="BR912" s="59"/>
      <c r="BS912" s="59"/>
      <c r="BT912" s="59"/>
      <c r="BU912" s="59"/>
      <c r="BV912" s="59"/>
      <c r="BW912" s="59"/>
      <c r="BX912" s="59"/>
      <c r="BY912" s="59"/>
      <c r="BZ912" s="59"/>
      <c r="CA912" s="59"/>
      <c r="CB912" s="59"/>
      <c r="CC912" s="59"/>
      <c r="CD912" s="59"/>
      <c r="CE912" s="59"/>
      <c r="CF912" s="59"/>
      <c r="CG912" s="59"/>
      <c r="CH912" s="59"/>
      <c r="CI912" s="59"/>
      <c r="CJ912" s="59"/>
      <c r="CK912" s="59"/>
      <c r="CL912" s="59"/>
      <c r="CM912" s="59"/>
      <c r="CN912" s="59"/>
      <c r="CO912" s="59"/>
      <c r="CP912" s="59"/>
      <c r="CQ912" s="59"/>
      <c r="CR912" s="59"/>
      <c r="CS912" s="59"/>
      <c r="CT912" s="59"/>
      <c r="CU912" s="59"/>
      <c r="CV912" s="59"/>
      <c r="CW912" s="59"/>
      <c r="CX912" s="59"/>
      <c r="CY912" s="59"/>
      <c r="CZ912" s="59"/>
      <c r="DA912" s="59"/>
      <c r="DB912" s="59"/>
      <c r="DC912" s="59"/>
      <c r="DD912" s="59"/>
      <c r="DE912" s="59"/>
      <c r="DF912" s="59"/>
      <c r="DG912" s="59"/>
    </row>
    <row r="913" spans="1:111" ht="11.2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  <c r="AB913" s="59"/>
      <c r="AC913" s="59"/>
      <c r="AD913" s="59"/>
      <c r="AE913" s="59"/>
      <c r="AF913" s="59"/>
      <c r="AG913" s="59"/>
      <c r="AH913" s="59"/>
      <c r="AI913" s="59"/>
      <c r="AJ913" s="59"/>
      <c r="AK913" s="59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9"/>
      <c r="AW913" s="59"/>
      <c r="AX913" s="59"/>
      <c r="AY913" s="59"/>
      <c r="AZ913" s="59"/>
      <c r="BA913" s="59"/>
      <c r="BB913" s="59"/>
      <c r="BC913" s="59"/>
      <c r="BD913" s="59"/>
      <c r="BE913" s="59"/>
      <c r="BF913" s="59"/>
      <c r="BG913" s="59"/>
      <c r="BH913" s="59"/>
      <c r="BI913" s="59"/>
      <c r="BJ913" s="59"/>
      <c r="BK913" s="59"/>
      <c r="BL913" s="59"/>
      <c r="BM913" s="59"/>
      <c r="BN913" s="59"/>
      <c r="BO913" s="59"/>
      <c r="BP913" s="59"/>
      <c r="BQ913" s="59"/>
      <c r="BR913" s="59"/>
      <c r="BS913" s="59"/>
      <c r="BT913" s="59"/>
      <c r="BU913" s="59"/>
      <c r="BV913" s="59"/>
      <c r="BW913" s="59"/>
      <c r="BX913" s="59"/>
      <c r="BY913" s="59"/>
      <c r="BZ913" s="59"/>
      <c r="CA913" s="59"/>
      <c r="CB913" s="59"/>
      <c r="CC913" s="59"/>
      <c r="CD913" s="59"/>
      <c r="CE913" s="59"/>
      <c r="CF913" s="59"/>
      <c r="CG913" s="59"/>
      <c r="CH913" s="59"/>
      <c r="CI913" s="59"/>
      <c r="CJ913" s="59"/>
      <c r="CK913" s="59"/>
      <c r="CL913" s="59"/>
      <c r="CM913" s="59"/>
      <c r="CN913" s="59"/>
      <c r="CO913" s="59"/>
      <c r="CP913" s="59"/>
      <c r="CQ913" s="59"/>
      <c r="CR913" s="59"/>
      <c r="CS913" s="59"/>
      <c r="CT913" s="59"/>
      <c r="CU913" s="59"/>
      <c r="CV913" s="59"/>
      <c r="CW913" s="59"/>
      <c r="CX913" s="59"/>
      <c r="CY913" s="59"/>
      <c r="CZ913" s="59"/>
      <c r="DA913" s="59"/>
      <c r="DB913" s="59"/>
      <c r="DC913" s="59"/>
      <c r="DD913" s="59"/>
      <c r="DE913" s="59"/>
      <c r="DF913" s="59"/>
      <c r="DG913" s="59"/>
    </row>
    <row r="914" spans="1:111" ht="11.2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  <c r="AB914" s="59"/>
      <c r="AC914" s="59"/>
      <c r="AD914" s="59"/>
      <c r="AE914" s="59"/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9"/>
      <c r="AW914" s="59"/>
      <c r="AX914" s="59"/>
      <c r="AY914" s="59"/>
      <c r="AZ914" s="59"/>
      <c r="BA914" s="59"/>
      <c r="BB914" s="59"/>
      <c r="BC914" s="59"/>
      <c r="BD914" s="59"/>
      <c r="BE914" s="59"/>
      <c r="BF914" s="59"/>
      <c r="BG914" s="59"/>
      <c r="BH914" s="59"/>
      <c r="BI914" s="59"/>
      <c r="BJ914" s="59"/>
      <c r="BK914" s="59"/>
      <c r="BL914" s="59"/>
      <c r="BM914" s="59"/>
      <c r="BN914" s="59"/>
      <c r="BO914" s="59"/>
      <c r="BP914" s="59"/>
      <c r="BQ914" s="59"/>
      <c r="BR914" s="59"/>
      <c r="BS914" s="59"/>
      <c r="BT914" s="59"/>
      <c r="BU914" s="59"/>
      <c r="BV914" s="59"/>
      <c r="BW914" s="59"/>
      <c r="BX914" s="59"/>
      <c r="BY914" s="59"/>
      <c r="BZ914" s="59"/>
      <c r="CA914" s="59"/>
      <c r="CB914" s="59"/>
      <c r="CC914" s="59"/>
      <c r="CD914" s="59"/>
      <c r="CE914" s="59"/>
      <c r="CF914" s="59"/>
      <c r="CG914" s="59"/>
      <c r="CH914" s="59"/>
      <c r="CI914" s="59"/>
      <c r="CJ914" s="59"/>
      <c r="CK914" s="59"/>
      <c r="CL914" s="59"/>
      <c r="CM914" s="59"/>
      <c r="CN914" s="59"/>
      <c r="CO914" s="59"/>
      <c r="CP914" s="59"/>
      <c r="CQ914" s="59"/>
      <c r="CR914" s="59"/>
      <c r="CS914" s="59"/>
      <c r="CT914" s="59"/>
      <c r="CU914" s="59"/>
      <c r="CV914" s="59"/>
      <c r="CW914" s="59"/>
      <c r="CX914" s="59"/>
      <c r="CY914" s="59"/>
      <c r="CZ914" s="59"/>
      <c r="DA914" s="59"/>
      <c r="DB914" s="59"/>
      <c r="DC914" s="59"/>
      <c r="DD914" s="59"/>
      <c r="DE914" s="59"/>
      <c r="DF914" s="59"/>
      <c r="DG914" s="59"/>
    </row>
    <row r="915" spans="1:111" ht="11.2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  <c r="AB915" s="59"/>
      <c r="AC915" s="59"/>
      <c r="AD915" s="59"/>
      <c r="AE915" s="59"/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9"/>
      <c r="AW915" s="59"/>
      <c r="AX915" s="59"/>
      <c r="AY915" s="59"/>
      <c r="AZ915" s="59"/>
      <c r="BA915" s="59"/>
      <c r="BB915" s="59"/>
      <c r="BC915" s="59"/>
      <c r="BD915" s="59"/>
      <c r="BE915" s="59"/>
      <c r="BF915" s="59"/>
      <c r="BG915" s="59"/>
      <c r="BH915" s="59"/>
      <c r="BI915" s="59"/>
      <c r="BJ915" s="59"/>
      <c r="BK915" s="59"/>
      <c r="BL915" s="59"/>
      <c r="BM915" s="59"/>
      <c r="BN915" s="59"/>
      <c r="BO915" s="59"/>
      <c r="BP915" s="59"/>
      <c r="BQ915" s="59"/>
      <c r="BR915" s="59"/>
      <c r="BS915" s="59"/>
      <c r="BT915" s="59"/>
      <c r="BU915" s="59"/>
      <c r="BV915" s="59"/>
      <c r="BW915" s="59"/>
      <c r="BX915" s="59"/>
      <c r="BY915" s="59"/>
      <c r="BZ915" s="59"/>
      <c r="CA915" s="59"/>
      <c r="CB915" s="59"/>
      <c r="CC915" s="59"/>
      <c r="CD915" s="59"/>
      <c r="CE915" s="59"/>
      <c r="CF915" s="59"/>
      <c r="CG915" s="59"/>
      <c r="CH915" s="59"/>
      <c r="CI915" s="59"/>
      <c r="CJ915" s="59"/>
      <c r="CK915" s="59"/>
      <c r="CL915" s="59"/>
      <c r="CM915" s="59"/>
      <c r="CN915" s="59"/>
      <c r="CO915" s="59"/>
      <c r="CP915" s="59"/>
      <c r="CQ915" s="59"/>
      <c r="CR915" s="59"/>
      <c r="CS915" s="59"/>
      <c r="CT915" s="59"/>
      <c r="CU915" s="59"/>
      <c r="CV915" s="59"/>
      <c r="CW915" s="59"/>
      <c r="CX915" s="59"/>
      <c r="CY915" s="59"/>
      <c r="CZ915" s="59"/>
      <c r="DA915" s="59"/>
      <c r="DB915" s="59"/>
      <c r="DC915" s="59"/>
      <c r="DD915" s="59"/>
      <c r="DE915" s="59"/>
      <c r="DF915" s="59"/>
      <c r="DG915" s="59"/>
    </row>
    <row r="916" spans="1:111" ht="11.2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  <c r="AB916" s="59"/>
      <c r="AC916" s="59"/>
      <c r="AD916" s="59"/>
      <c r="AE916" s="59"/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9"/>
      <c r="AQ916" s="59"/>
      <c r="AR916" s="59"/>
      <c r="AS916" s="59"/>
      <c r="AT916" s="59"/>
      <c r="AU916" s="59"/>
      <c r="AV916" s="59"/>
      <c r="AW916" s="59"/>
      <c r="AX916" s="59"/>
      <c r="AY916" s="59"/>
      <c r="AZ916" s="59"/>
      <c r="BA916" s="59"/>
      <c r="BB916" s="59"/>
      <c r="BC916" s="59"/>
      <c r="BD916" s="59"/>
      <c r="BE916" s="59"/>
      <c r="BF916" s="59"/>
      <c r="BG916" s="59"/>
      <c r="BH916" s="59"/>
      <c r="BI916" s="59"/>
      <c r="BJ916" s="59"/>
      <c r="BK916" s="59"/>
      <c r="BL916" s="59"/>
      <c r="BM916" s="59"/>
      <c r="BN916" s="59"/>
      <c r="BO916" s="59"/>
      <c r="BP916" s="59"/>
      <c r="BQ916" s="59"/>
      <c r="BR916" s="59"/>
      <c r="BS916" s="59"/>
      <c r="BT916" s="59"/>
      <c r="BU916" s="59"/>
      <c r="BV916" s="59"/>
      <c r="BW916" s="59"/>
      <c r="BX916" s="59"/>
      <c r="BY916" s="59"/>
      <c r="BZ916" s="59"/>
      <c r="CA916" s="59"/>
      <c r="CB916" s="59"/>
      <c r="CC916" s="59"/>
      <c r="CD916" s="59"/>
      <c r="CE916" s="59"/>
      <c r="CF916" s="59"/>
      <c r="CG916" s="59"/>
      <c r="CH916" s="59"/>
      <c r="CI916" s="59"/>
      <c r="CJ916" s="59"/>
      <c r="CK916" s="59"/>
      <c r="CL916" s="59"/>
      <c r="CM916" s="59"/>
      <c r="CN916" s="59"/>
      <c r="CO916" s="59"/>
      <c r="CP916" s="59"/>
      <c r="CQ916" s="59"/>
      <c r="CR916" s="59"/>
      <c r="CS916" s="59"/>
      <c r="CT916" s="59"/>
      <c r="CU916" s="59"/>
      <c r="CV916" s="59"/>
      <c r="CW916" s="59"/>
      <c r="CX916" s="59"/>
      <c r="CY916" s="59"/>
      <c r="CZ916" s="59"/>
      <c r="DA916" s="59"/>
      <c r="DB916" s="59"/>
      <c r="DC916" s="59"/>
      <c r="DD916" s="59"/>
      <c r="DE916" s="59"/>
      <c r="DF916" s="59"/>
      <c r="DG916" s="59"/>
    </row>
    <row r="917" spans="1:111" ht="11.2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  <c r="AB917" s="59"/>
      <c r="AC917" s="59"/>
      <c r="AD917" s="59"/>
      <c r="AE917" s="59"/>
      <c r="AF917" s="59"/>
      <c r="AG917" s="59"/>
      <c r="AH917" s="59"/>
      <c r="AI917" s="59"/>
      <c r="AJ917" s="59"/>
      <c r="AK917" s="59"/>
      <c r="AL917" s="59"/>
      <c r="AM917" s="59"/>
      <c r="AN917" s="59"/>
      <c r="AO917" s="59"/>
      <c r="AP917" s="59"/>
      <c r="AQ917" s="59"/>
      <c r="AR917" s="59"/>
      <c r="AS917" s="59"/>
      <c r="AT917" s="59"/>
      <c r="AU917" s="59"/>
      <c r="AV917" s="59"/>
      <c r="AW917" s="59"/>
      <c r="AX917" s="59"/>
      <c r="AY917" s="59"/>
      <c r="AZ917" s="59"/>
      <c r="BA917" s="59"/>
      <c r="BB917" s="59"/>
      <c r="BC917" s="59"/>
      <c r="BD917" s="59"/>
      <c r="BE917" s="59"/>
      <c r="BF917" s="59"/>
      <c r="BG917" s="59"/>
      <c r="BH917" s="59"/>
      <c r="BI917" s="59"/>
      <c r="BJ917" s="59"/>
      <c r="BK917" s="59"/>
      <c r="BL917" s="59"/>
      <c r="BM917" s="59"/>
      <c r="BN917" s="59"/>
      <c r="BO917" s="59"/>
      <c r="BP917" s="59"/>
      <c r="BQ917" s="59"/>
      <c r="BR917" s="59"/>
      <c r="BS917" s="59"/>
      <c r="BT917" s="59"/>
      <c r="BU917" s="59"/>
      <c r="BV917" s="59"/>
      <c r="BW917" s="59"/>
      <c r="BX917" s="59"/>
      <c r="BY917" s="59"/>
      <c r="BZ917" s="59"/>
      <c r="CA917" s="59"/>
      <c r="CB917" s="59"/>
      <c r="CC917" s="59"/>
      <c r="CD917" s="59"/>
      <c r="CE917" s="59"/>
      <c r="CF917" s="59"/>
      <c r="CG917" s="59"/>
      <c r="CH917" s="59"/>
      <c r="CI917" s="59"/>
      <c r="CJ917" s="59"/>
      <c r="CK917" s="59"/>
      <c r="CL917" s="59"/>
      <c r="CM917" s="59"/>
      <c r="CN917" s="59"/>
      <c r="CO917" s="59"/>
      <c r="CP917" s="59"/>
      <c r="CQ917" s="59"/>
      <c r="CR917" s="59"/>
      <c r="CS917" s="59"/>
      <c r="CT917" s="59"/>
      <c r="CU917" s="59"/>
      <c r="CV917" s="59"/>
      <c r="CW917" s="59"/>
      <c r="CX917" s="59"/>
      <c r="CY917" s="59"/>
      <c r="CZ917" s="59"/>
      <c r="DA917" s="59"/>
      <c r="DB917" s="59"/>
      <c r="DC917" s="59"/>
      <c r="DD917" s="59"/>
      <c r="DE917" s="59"/>
      <c r="DF917" s="59"/>
      <c r="DG917" s="59"/>
    </row>
    <row r="918" spans="1:111" ht="11.2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  <c r="AB918" s="59"/>
      <c r="AC918" s="59"/>
      <c r="AD918" s="59"/>
      <c r="AE918" s="59"/>
      <c r="AF918" s="59"/>
      <c r="AG918" s="59"/>
      <c r="AH918" s="59"/>
      <c r="AI918" s="59"/>
      <c r="AJ918" s="59"/>
      <c r="AK918" s="59"/>
      <c r="AL918" s="59"/>
      <c r="AM918" s="59"/>
      <c r="AN918" s="59"/>
      <c r="AO918" s="59"/>
      <c r="AP918" s="59"/>
      <c r="AQ918" s="59"/>
      <c r="AR918" s="59"/>
      <c r="AS918" s="59"/>
      <c r="AT918" s="59"/>
      <c r="AU918" s="59"/>
      <c r="AV918" s="59"/>
      <c r="AW918" s="59"/>
      <c r="AX918" s="59"/>
      <c r="AY918" s="59"/>
      <c r="AZ918" s="59"/>
      <c r="BA918" s="59"/>
      <c r="BB918" s="59"/>
      <c r="BC918" s="59"/>
      <c r="BD918" s="59"/>
      <c r="BE918" s="59"/>
      <c r="BF918" s="59"/>
      <c r="BG918" s="59"/>
      <c r="BH918" s="59"/>
      <c r="BI918" s="59"/>
      <c r="BJ918" s="59"/>
      <c r="BK918" s="59"/>
      <c r="BL918" s="59"/>
      <c r="BM918" s="59"/>
      <c r="BN918" s="59"/>
      <c r="BO918" s="59"/>
      <c r="BP918" s="59"/>
      <c r="BQ918" s="59"/>
      <c r="BR918" s="59"/>
      <c r="BS918" s="59"/>
      <c r="BT918" s="59"/>
      <c r="BU918" s="59"/>
      <c r="BV918" s="59"/>
      <c r="BW918" s="59"/>
      <c r="BX918" s="59"/>
      <c r="BY918" s="59"/>
      <c r="BZ918" s="59"/>
      <c r="CA918" s="59"/>
      <c r="CB918" s="59"/>
      <c r="CC918" s="59"/>
      <c r="CD918" s="59"/>
      <c r="CE918" s="59"/>
      <c r="CF918" s="59"/>
      <c r="CG918" s="59"/>
      <c r="CH918" s="59"/>
      <c r="CI918" s="59"/>
      <c r="CJ918" s="59"/>
      <c r="CK918" s="59"/>
      <c r="CL918" s="59"/>
      <c r="CM918" s="59"/>
      <c r="CN918" s="59"/>
      <c r="CO918" s="59"/>
      <c r="CP918" s="59"/>
      <c r="CQ918" s="59"/>
      <c r="CR918" s="59"/>
      <c r="CS918" s="59"/>
      <c r="CT918" s="59"/>
      <c r="CU918" s="59"/>
      <c r="CV918" s="59"/>
      <c r="CW918" s="59"/>
      <c r="CX918" s="59"/>
      <c r="CY918" s="59"/>
      <c r="CZ918" s="59"/>
      <c r="DA918" s="59"/>
      <c r="DB918" s="59"/>
      <c r="DC918" s="59"/>
      <c r="DD918" s="59"/>
      <c r="DE918" s="59"/>
      <c r="DF918" s="59"/>
      <c r="DG918" s="59"/>
    </row>
    <row r="919" spans="1:111" ht="11.2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  <c r="AB919" s="59"/>
      <c r="AC919" s="59"/>
      <c r="AD919" s="59"/>
      <c r="AE919" s="59"/>
      <c r="AF919" s="59"/>
      <c r="AG919" s="59"/>
      <c r="AH919" s="59"/>
      <c r="AI919" s="59"/>
      <c r="AJ919" s="59"/>
      <c r="AK919" s="59"/>
      <c r="AL919" s="59"/>
      <c r="AM919" s="59"/>
      <c r="AN919" s="59"/>
      <c r="AO919" s="59"/>
      <c r="AP919" s="59"/>
      <c r="AQ919" s="59"/>
      <c r="AR919" s="59"/>
      <c r="AS919" s="59"/>
      <c r="AT919" s="59"/>
      <c r="AU919" s="59"/>
      <c r="AV919" s="59"/>
      <c r="AW919" s="59"/>
      <c r="AX919" s="59"/>
      <c r="AY919" s="59"/>
      <c r="AZ919" s="59"/>
      <c r="BA919" s="59"/>
      <c r="BB919" s="59"/>
      <c r="BC919" s="59"/>
      <c r="BD919" s="59"/>
      <c r="BE919" s="59"/>
      <c r="BF919" s="59"/>
      <c r="BG919" s="59"/>
      <c r="BH919" s="59"/>
      <c r="BI919" s="59"/>
      <c r="BJ919" s="59"/>
      <c r="BK919" s="59"/>
      <c r="BL919" s="59"/>
      <c r="BM919" s="59"/>
      <c r="BN919" s="59"/>
      <c r="BO919" s="59"/>
      <c r="BP919" s="59"/>
      <c r="BQ919" s="59"/>
      <c r="BR919" s="59"/>
      <c r="BS919" s="59"/>
      <c r="BT919" s="59"/>
      <c r="BU919" s="59"/>
      <c r="BV919" s="59"/>
      <c r="BW919" s="59"/>
      <c r="BX919" s="59"/>
      <c r="BY919" s="59"/>
      <c r="BZ919" s="59"/>
      <c r="CA919" s="59"/>
      <c r="CB919" s="59"/>
      <c r="CC919" s="59"/>
      <c r="CD919" s="59"/>
      <c r="CE919" s="59"/>
      <c r="CF919" s="59"/>
      <c r="CG919" s="59"/>
      <c r="CH919" s="59"/>
      <c r="CI919" s="59"/>
      <c r="CJ919" s="59"/>
      <c r="CK919" s="59"/>
      <c r="CL919" s="59"/>
      <c r="CM919" s="59"/>
      <c r="CN919" s="59"/>
      <c r="CO919" s="59"/>
      <c r="CP919" s="59"/>
      <c r="CQ919" s="59"/>
      <c r="CR919" s="59"/>
      <c r="CS919" s="59"/>
      <c r="CT919" s="59"/>
      <c r="CU919" s="59"/>
      <c r="CV919" s="59"/>
      <c r="CW919" s="59"/>
      <c r="CX919" s="59"/>
      <c r="CY919" s="59"/>
      <c r="CZ919" s="59"/>
      <c r="DA919" s="59"/>
      <c r="DB919" s="59"/>
      <c r="DC919" s="59"/>
      <c r="DD919" s="59"/>
      <c r="DE919" s="59"/>
      <c r="DF919" s="59"/>
      <c r="DG919" s="59"/>
    </row>
    <row r="920" spans="1:111" ht="11.2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  <c r="AB920" s="59"/>
      <c r="AC920" s="59"/>
      <c r="AD920" s="59"/>
      <c r="AE920" s="59"/>
      <c r="AF920" s="59"/>
      <c r="AG920" s="59"/>
      <c r="AH920" s="59"/>
      <c r="AI920" s="59"/>
      <c r="AJ920" s="59"/>
      <c r="AK920" s="59"/>
      <c r="AL920" s="59"/>
      <c r="AM920" s="59"/>
      <c r="AN920" s="59"/>
      <c r="AO920" s="59"/>
      <c r="AP920" s="59"/>
      <c r="AQ920" s="59"/>
      <c r="AR920" s="59"/>
      <c r="AS920" s="59"/>
      <c r="AT920" s="59"/>
      <c r="AU920" s="59"/>
      <c r="AV920" s="59"/>
      <c r="AW920" s="59"/>
      <c r="AX920" s="59"/>
      <c r="AY920" s="59"/>
      <c r="AZ920" s="59"/>
      <c r="BA920" s="59"/>
      <c r="BB920" s="59"/>
      <c r="BC920" s="59"/>
      <c r="BD920" s="59"/>
      <c r="BE920" s="59"/>
      <c r="BF920" s="59"/>
      <c r="BG920" s="59"/>
      <c r="BH920" s="59"/>
      <c r="BI920" s="59"/>
      <c r="BJ920" s="59"/>
      <c r="BK920" s="59"/>
      <c r="BL920" s="59"/>
      <c r="BM920" s="59"/>
      <c r="BN920" s="59"/>
      <c r="BO920" s="59"/>
      <c r="BP920" s="59"/>
      <c r="BQ920" s="59"/>
      <c r="BR920" s="59"/>
      <c r="BS920" s="59"/>
      <c r="BT920" s="59"/>
      <c r="BU920" s="59"/>
      <c r="BV920" s="59"/>
      <c r="BW920" s="59"/>
      <c r="BX920" s="59"/>
      <c r="BY920" s="59"/>
      <c r="BZ920" s="59"/>
      <c r="CA920" s="59"/>
      <c r="CB920" s="59"/>
      <c r="CC920" s="59"/>
      <c r="CD920" s="59"/>
      <c r="CE920" s="59"/>
      <c r="CF920" s="59"/>
      <c r="CG920" s="59"/>
      <c r="CH920" s="59"/>
      <c r="CI920" s="59"/>
      <c r="CJ920" s="59"/>
      <c r="CK920" s="59"/>
      <c r="CL920" s="59"/>
      <c r="CM920" s="59"/>
      <c r="CN920" s="59"/>
      <c r="CO920" s="59"/>
      <c r="CP920" s="59"/>
      <c r="CQ920" s="59"/>
      <c r="CR920" s="59"/>
      <c r="CS920" s="59"/>
      <c r="CT920" s="59"/>
      <c r="CU920" s="59"/>
      <c r="CV920" s="59"/>
      <c r="CW920" s="59"/>
      <c r="CX920" s="59"/>
      <c r="CY920" s="59"/>
      <c r="CZ920" s="59"/>
      <c r="DA920" s="59"/>
      <c r="DB920" s="59"/>
      <c r="DC920" s="59"/>
      <c r="DD920" s="59"/>
      <c r="DE920" s="59"/>
      <c r="DF920" s="59"/>
      <c r="DG920" s="59"/>
    </row>
    <row r="921" spans="1:111" ht="11.2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  <c r="AB921" s="59"/>
      <c r="AC921" s="59"/>
      <c r="AD921" s="59"/>
      <c r="AE921" s="59"/>
      <c r="AF921" s="59"/>
      <c r="AG921" s="59"/>
      <c r="AH921" s="59"/>
      <c r="AI921" s="59"/>
      <c r="AJ921" s="59"/>
      <c r="AK921" s="59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9"/>
      <c r="AW921" s="59"/>
      <c r="AX921" s="59"/>
      <c r="AY921" s="59"/>
      <c r="AZ921" s="59"/>
      <c r="BA921" s="59"/>
      <c r="BB921" s="59"/>
      <c r="BC921" s="59"/>
      <c r="BD921" s="59"/>
      <c r="BE921" s="59"/>
      <c r="BF921" s="59"/>
      <c r="BG921" s="59"/>
      <c r="BH921" s="59"/>
      <c r="BI921" s="59"/>
      <c r="BJ921" s="59"/>
      <c r="BK921" s="59"/>
      <c r="BL921" s="59"/>
      <c r="BM921" s="59"/>
      <c r="BN921" s="59"/>
      <c r="BO921" s="59"/>
      <c r="BP921" s="59"/>
      <c r="BQ921" s="59"/>
      <c r="BR921" s="59"/>
      <c r="BS921" s="59"/>
      <c r="BT921" s="59"/>
      <c r="BU921" s="59"/>
      <c r="BV921" s="59"/>
      <c r="BW921" s="59"/>
      <c r="BX921" s="59"/>
      <c r="BY921" s="59"/>
      <c r="BZ921" s="59"/>
      <c r="CA921" s="59"/>
      <c r="CB921" s="59"/>
      <c r="CC921" s="59"/>
      <c r="CD921" s="59"/>
      <c r="CE921" s="59"/>
      <c r="CF921" s="59"/>
      <c r="CG921" s="59"/>
      <c r="CH921" s="59"/>
      <c r="CI921" s="59"/>
      <c r="CJ921" s="59"/>
      <c r="CK921" s="59"/>
      <c r="CL921" s="59"/>
      <c r="CM921" s="59"/>
      <c r="CN921" s="59"/>
      <c r="CO921" s="59"/>
      <c r="CP921" s="59"/>
      <c r="CQ921" s="59"/>
      <c r="CR921" s="59"/>
      <c r="CS921" s="59"/>
      <c r="CT921" s="59"/>
      <c r="CU921" s="59"/>
      <c r="CV921" s="59"/>
      <c r="CW921" s="59"/>
      <c r="CX921" s="59"/>
      <c r="CY921" s="59"/>
      <c r="CZ921" s="59"/>
      <c r="DA921" s="59"/>
      <c r="DB921" s="59"/>
      <c r="DC921" s="59"/>
      <c r="DD921" s="59"/>
      <c r="DE921" s="59"/>
      <c r="DF921" s="59"/>
      <c r="DG921" s="59"/>
    </row>
    <row r="922" spans="1:111" ht="11.2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  <c r="AB922" s="59"/>
      <c r="AC922" s="59"/>
      <c r="AD922" s="59"/>
      <c r="AE922" s="59"/>
      <c r="AF922" s="59"/>
      <c r="AG922" s="59"/>
      <c r="AH922" s="59"/>
      <c r="AI922" s="59"/>
      <c r="AJ922" s="59"/>
      <c r="AK922" s="59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9"/>
      <c r="AW922" s="59"/>
      <c r="AX922" s="59"/>
      <c r="AY922" s="59"/>
      <c r="AZ922" s="59"/>
      <c r="BA922" s="59"/>
      <c r="BB922" s="59"/>
      <c r="BC922" s="59"/>
      <c r="BD922" s="59"/>
      <c r="BE922" s="59"/>
      <c r="BF922" s="59"/>
      <c r="BG922" s="59"/>
      <c r="BH922" s="59"/>
      <c r="BI922" s="59"/>
      <c r="BJ922" s="59"/>
      <c r="BK922" s="59"/>
      <c r="BL922" s="59"/>
      <c r="BM922" s="59"/>
      <c r="BN922" s="59"/>
      <c r="BO922" s="59"/>
      <c r="BP922" s="59"/>
      <c r="BQ922" s="59"/>
      <c r="BR922" s="59"/>
      <c r="BS922" s="59"/>
      <c r="BT922" s="59"/>
      <c r="BU922" s="59"/>
      <c r="BV922" s="59"/>
      <c r="BW922" s="59"/>
      <c r="BX922" s="59"/>
      <c r="BY922" s="59"/>
      <c r="BZ922" s="59"/>
      <c r="CA922" s="59"/>
      <c r="CB922" s="59"/>
      <c r="CC922" s="59"/>
      <c r="CD922" s="59"/>
      <c r="CE922" s="59"/>
      <c r="CF922" s="59"/>
      <c r="CG922" s="59"/>
      <c r="CH922" s="59"/>
      <c r="CI922" s="59"/>
      <c r="CJ922" s="59"/>
      <c r="CK922" s="59"/>
      <c r="CL922" s="59"/>
      <c r="CM922" s="59"/>
      <c r="CN922" s="59"/>
      <c r="CO922" s="59"/>
      <c r="CP922" s="59"/>
      <c r="CQ922" s="59"/>
      <c r="CR922" s="59"/>
      <c r="CS922" s="59"/>
      <c r="CT922" s="59"/>
      <c r="CU922" s="59"/>
      <c r="CV922" s="59"/>
      <c r="CW922" s="59"/>
      <c r="CX922" s="59"/>
      <c r="CY922" s="59"/>
      <c r="CZ922" s="59"/>
      <c r="DA922" s="59"/>
      <c r="DB922" s="59"/>
      <c r="DC922" s="59"/>
      <c r="DD922" s="59"/>
      <c r="DE922" s="59"/>
      <c r="DF922" s="59"/>
      <c r="DG922" s="59"/>
    </row>
    <row r="923" spans="1:111" ht="11.2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  <c r="AB923" s="59"/>
      <c r="AC923" s="59"/>
      <c r="AD923" s="59"/>
      <c r="AE923" s="59"/>
      <c r="AF923" s="59"/>
      <c r="AG923" s="59"/>
      <c r="AH923" s="59"/>
      <c r="AI923" s="59"/>
      <c r="AJ923" s="59"/>
      <c r="AK923" s="59"/>
      <c r="AL923" s="59"/>
      <c r="AM923" s="59"/>
      <c r="AN923" s="59"/>
      <c r="AO923" s="59"/>
      <c r="AP923" s="59"/>
      <c r="AQ923" s="59"/>
      <c r="AR923" s="59"/>
      <c r="AS923" s="59"/>
      <c r="AT923" s="59"/>
      <c r="AU923" s="59"/>
      <c r="AV923" s="59"/>
      <c r="AW923" s="59"/>
      <c r="AX923" s="59"/>
      <c r="AY923" s="59"/>
      <c r="AZ923" s="59"/>
      <c r="BA923" s="59"/>
      <c r="BB923" s="59"/>
      <c r="BC923" s="59"/>
      <c r="BD923" s="59"/>
      <c r="BE923" s="59"/>
      <c r="BF923" s="59"/>
      <c r="BG923" s="59"/>
      <c r="BH923" s="59"/>
      <c r="BI923" s="59"/>
      <c r="BJ923" s="59"/>
      <c r="BK923" s="59"/>
      <c r="BL923" s="59"/>
      <c r="BM923" s="59"/>
      <c r="BN923" s="59"/>
      <c r="BO923" s="59"/>
      <c r="BP923" s="59"/>
      <c r="BQ923" s="59"/>
      <c r="BR923" s="59"/>
      <c r="BS923" s="59"/>
      <c r="BT923" s="59"/>
      <c r="BU923" s="59"/>
      <c r="BV923" s="59"/>
      <c r="BW923" s="59"/>
      <c r="BX923" s="59"/>
      <c r="BY923" s="59"/>
      <c r="BZ923" s="59"/>
      <c r="CA923" s="59"/>
      <c r="CB923" s="59"/>
      <c r="CC923" s="59"/>
      <c r="CD923" s="59"/>
      <c r="CE923" s="59"/>
      <c r="CF923" s="59"/>
      <c r="CG923" s="59"/>
      <c r="CH923" s="59"/>
      <c r="CI923" s="59"/>
      <c r="CJ923" s="59"/>
      <c r="CK923" s="59"/>
      <c r="CL923" s="59"/>
      <c r="CM923" s="59"/>
      <c r="CN923" s="59"/>
      <c r="CO923" s="59"/>
      <c r="CP923" s="59"/>
      <c r="CQ923" s="59"/>
      <c r="CR923" s="59"/>
      <c r="CS923" s="59"/>
      <c r="CT923" s="59"/>
      <c r="CU923" s="59"/>
      <c r="CV923" s="59"/>
      <c r="CW923" s="59"/>
      <c r="CX923" s="59"/>
      <c r="CY923" s="59"/>
      <c r="CZ923" s="59"/>
      <c r="DA923" s="59"/>
      <c r="DB923" s="59"/>
      <c r="DC923" s="59"/>
      <c r="DD923" s="59"/>
      <c r="DE923" s="59"/>
      <c r="DF923" s="59"/>
      <c r="DG923" s="59"/>
    </row>
    <row r="924" spans="1:111" ht="11.2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  <c r="AB924" s="59"/>
      <c r="AC924" s="59"/>
      <c r="AD924" s="59"/>
      <c r="AE924" s="59"/>
      <c r="AF924" s="59"/>
      <c r="AG924" s="59"/>
      <c r="AH924" s="59"/>
      <c r="AI924" s="59"/>
      <c r="AJ924" s="59"/>
      <c r="AK924" s="59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9"/>
      <c r="AW924" s="59"/>
      <c r="AX924" s="59"/>
      <c r="AY924" s="59"/>
      <c r="AZ924" s="59"/>
      <c r="BA924" s="59"/>
      <c r="BB924" s="59"/>
      <c r="BC924" s="59"/>
      <c r="BD924" s="59"/>
      <c r="BE924" s="59"/>
      <c r="BF924" s="59"/>
      <c r="BG924" s="59"/>
      <c r="BH924" s="59"/>
      <c r="BI924" s="59"/>
      <c r="BJ924" s="59"/>
      <c r="BK924" s="59"/>
      <c r="BL924" s="59"/>
      <c r="BM924" s="59"/>
      <c r="BN924" s="59"/>
      <c r="BO924" s="59"/>
      <c r="BP924" s="59"/>
      <c r="BQ924" s="59"/>
      <c r="BR924" s="59"/>
      <c r="BS924" s="59"/>
      <c r="BT924" s="59"/>
      <c r="BU924" s="59"/>
      <c r="BV924" s="59"/>
      <c r="BW924" s="59"/>
      <c r="BX924" s="59"/>
      <c r="BY924" s="59"/>
      <c r="BZ924" s="59"/>
      <c r="CA924" s="59"/>
      <c r="CB924" s="59"/>
      <c r="CC924" s="59"/>
      <c r="CD924" s="59"/>
      <c r="CE924" s="59"/>
      <c r="CF924" s="59"/>
      <c r="CG924" s="59"/>
      <c r="CH924" s="59"/>
      <c r="CI924" s="59"/>
      <c r="CJ924" s="59"/>
      <c r="CK924" s="59"/>
      <c r="CL924" s="59"/>
      <c r="CM924" s="59"/>
      <c r="CN924" s="59"/>
      <c r="CO924" s="59"/>
      <c r="CP924" s="59"/>
      <c r="CQ924" s="59"/>
      <c r="CR924" s="59"/>
      <c r="CS924" s="59"/>
      <c r="CT924" s="59"/>
      <c r="CU924" s="59"/>
      <c r="CV924" s="59"/>
      <c r="CW924" s="59"/>
      <c r="CX924" s="59"/>
      <c r="CY924" s="59"/>
      <c r="CZ924" s="59"/>
      <c r="DA924" s="59"/>
      <c r="DB924" s="59"/>
      <c r="DC924" s="59"/>
      <c r="DD924" s="59"/>
      <c r="DE924" s="59"/>
      <c r="DF924" s="59"/>
      <c r="DG924" s="59"/>
    </row>
    <row r="925" spans="1:111" ht="11.2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  <c r="AB925" s="59"/>
      <c r="AC925" s="59"/>
      <c r="AD925" s="59"/>
      <c r="AE925" s="59"/>
      <c r="AF925" s="59"/>
      <c r="AG925" s="59"/>
      <c r="AH925" s="59"/>
      <c r="AI925" s="59"/>
      <c r="AJ925" s="59"/>
      <c r="AK925" s="59"/>
      <c r="AL925" s="59"/>
      <c r="AM925" s="59"/>
      <c r="AN925" s="59"/>
      <c r="AO925" s="59"/>
      <c r="AP925" s="59"/>
      <c r="AQ925" s="59"/>
      <c r="AR925" s="59"/>
      <c r="AS925" s="59"/>
      <c r="AT925" s="59"/>
      <c r="AU925" s="59"/>
      <c r="AV925" s="59"/>
      <c r="AW925" s="59"/>
      <c r="AX925" s="59"/>
      <c r="AY925" s="59"/>
      <c r="AZ925" s="59"/>
      <c r="BA925" s="59"/>
      <c r="BB925" s="59"/>
      <c r="BC925" s="59"/>
      <c r="BD925" s="59"/>
      <c r="BE925" s="59"/>
      <c r="BF925" s="59"/>
      <c r="BG925" s="59"/>
      <c r="BH925" s="59"/>
      <c r="BI925" s="59"/>
      <c r="BJ925" s="59"/>
      <c r="BK925" s="59"/>
      <c r="BL925" s="59"/>
      <c r="BM925" s="59"/>
      <c r="BN925" s="59"/>
      <c r="BO925" s="59"/>
      <c r="BP925" s="59"/>
      <c r="BQ925" s="59"/>
      <c r="BR925" s="59"/>
      <c r="BS925" s="59"/>
      <c r="BT925" s="59"/>
      <c r="BU925" s="59"/>
      <c r="BV925" s="59"/>
      <c r="BW925" s="59"/>
      <c r="BX925" s="59"/>
      <c r="BY925" s="59"/>
      <c r="BZ925" s="59"/>
      <c r="CA925" s="59"/>
      <c r="CB925" s="59"/>
      <c r="CC925" s="59"/>
      <c r="CD925" s="59"/>
      <c r="CE925" s="59"/>
      <c r="CF925" s="59"/>
      <c r="CG925" s="59"/>
      <c r="CH925" s="59"/>
      <c r="CI925" s="59"/>
      <c r="CJ925" s="59"/>
      <c r="CK925" s="59"/>
      <c r="CL925" s="59"/>
      <c r="CM925" s="59"/>
      <c r="CN925" s="59"/>
      <c r="CO925" s="59"/>
      <c r="CP925" s="59"/>
      <c r="CQ925" s="59"/>
      <c r="CR925" s="59"/>
      <c r="CS925" s="59"/>
      <c r="CT925" s="59"/>
      <c r="CU925" s="59"/>
      <c r="CV925" s="59"/>
      <c r="CW925" s="59"/>
      <c r="CX925" s="59"/>
      <c r="CY925" s="59"/>
      <c r="CZ925" s="59"/>
      <c r="DA925" s="59"/>
      <c r="DB925" s="59"/>
      <c r="DC925" s="59"/>
      <c r="DD925" s="59"/>
      <c r="DE925" s="59"/>
      <c r="DF925" s="59"/>
      <c r="DG925" s="59"/>
    </row>
    <row r="926" spans="1:111" ht="11.2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  <c r="AB926" s="59"/>
      <c r="AC926" s="59"/>
      <c r="AD926" s="59"/>
      <c r="AE926" s="59"/>
      <c r="AF926" s="59"/>
      <c r="AG926" s="59"/>
      <c r="AH926" s="59"/>
      <c r="AI926" s="59"/>
      <c r="AJ926" s="59"/>
      <c r="AK926" s="59"/>
      <c r="AL926" s="59"/>
      <c r="AM926" s="59"/>
      <c r="AN926" s="59"/>
      <c r="AO926" s="59"/>
      <c r="AP926" s="59"/>
      <c r="AQ926" s="59"/>
      <c r="AR926" s="59"/>
      <c r="AS926" s="59"/>
      <c r="AT926" s="59"/>
      <c r="AU926" s="59"/>
      <c r="AV926" s="59"/>
      <c r="AW926" s="59"/>
      <c r="AX926" s="59"/>
      <c r="AY926" s="59"/>
      <c r="AZ926" s="59"/>
      <c r="BA926" s="59"/>
      <c r="BB926" s="59"/>
      <c r="BC926" s="59"/>
      <c r="BD926" s="59"/>
      <c r="BE926" s="59"/>
      <c r="BF926" s="59"/>
      <c r="BG926" s="59"/>
      <c r="BH926" s="59"/>
      <c r="BI926" s="59"/>
      <c r="BJ926" s="59"/>
      <c r="BK926" s="59"/>
      <c r="BL926" s="59"/>
      <c r="BM926" s="59"/>
      <c r="BN926" s="59"/>
      <c r="BO926" s="59"/>
      <c r="BP926" s="59"/>
      <c r="BQ926" s="59"/>
      <c r="BR926" s="59"/>
      <c r="BS926" s="59"/>
      <c r="BT926" s="59"/>
      <c r="BU926" s="59"/>
      <c r="BV926" s="59"/>
      <c r="BW926" s="59"/>
      <c r="BX926" s="59"/>
      <c r="BY926" s="59"/>
      <c r="BZ926" s="59"/>
      <c r="CA926" s="59"/>
      <c r="CB926" s="59"/>
      <c r="CC926" s="59"/>
      <c r="CD926" s="59"/>
      <c r="CE926" s="59"/>
      <c r="CF926" s="59"/>
      <c r="CG926" s="59"/>
      <c r="CH926" s="59"/>
      <c r="CI926" s="59"/>
      <c r="CJ926" s="59"/>
      <c r="CK926" s="59"/>
      <c r="CL926" s="59"/>
      <c r="CM926" s="59"/>
      <c r="CN926" s="59"/>
      <c r="CO926" s="59"/>
      <c r="CP926" s="59"/>
      <c r="CQ926" s="59"/>
      <c r="CR926" s="59"/>
      <c r="CS926" s="59"/>
      <c r="CT926" s="59"/>
      <c r="CU926" s="59"/>
      <c r="CV926" s="59"/>
      <c r="CW926" s="59"/>
      <c r="CX926" s="59"/>
      <c r="CY926" s="59"/>
      <c r="CZ926" s="59"/>
      <c r="DA926" s="59"/>
      <c r="DB926" s="59"/>
      <c r="DC926" s="59"/>
      <c r="DD926" s="59"/>
      <c r="DE926" s="59"/>
      <c r="DF926" s="59"/>
      <c r="DG926" s="59"/>
    </row>
    <row r="927" spans="1:111" ht="11.2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  <c r="AB927" s="59"/>
      <c r="AC927" s="59"/>
      <c r="AD927" s="59"/>
      <c r="AE927" s="59"/>
      <c r="AF927" s="59"/>
      <c r="AG927" s="59"/>
      <c r="AH927" s="59"/>
      <c r="AI927" s="59"/>
      <c r="AJ927" s="59"/>
      <c r="AK927" s="59"/>
      <c r="AL927" s="59"/>
      <c r="AM927" s="59"/>
      <c r="AN927" s="59"/>
      <c r="AO927" s="59"/>
      <c r="AP927" s="59"/>
      <c r="AQ927" s="59"/>
      <c r="AR927" s="59"/>
      <c r="AS927" s="59"/>
      <c r="AT927" s="59"/>
      <c r="AU927" s="59"/>
      <c r="AV927" s="59"/>
      <c r="AW927" s="59"/>
      <c r="AX927" s="59"/>
      <c r="AY927" s="59"/>
      <c r="AZ927" s="59"/>
      <c r="BA927" s="59"/>
      <c r="BB927" s="59"/>
      <c r="BC927" s="59"/>
      <c r="BD927" s="59"/>
      <c r="BE927" s="59"/>
      <c r="BF927" s="59"/>
      <c r="BG927" s="59"/>
      <c r="BH927" s="59"/>
      <c r="BI927" s="59"/>
      <c r="BJ927" s="59"/>
      <c r="BK927" s="59"/>
      <c r="BL927" s="59"/>
      <c r="BM927" s="59"/>
      <c r="BN927" s="59"/>
      <c r="BO927" s="59"/>
      <c r="BP927" s="59"/>
      <c r="BQ927" s="59"/>
      <c r="BR927" s="59"/>
      <c r="BS927" s="59"/>
      <c r="BT927" s="59"/>
      <c r="BU927" s="59"/>
      <c r="BV927" s="59"/>
      <c r="BW927" s="59"/>
      <c r="BX927" s="59"/>
      <c r="BY927" s="59"/>
      <c r="BZ927" s="59"/>
      <c r="CA927" s="59"/>
      <c r="CB927" s="59"/>
      <c r="CC927" s="59"/>
      <c r="CD927" s="59"/>
      <c r="CE927" s="59"/>
      <c r="CF927" s="59"/>
      <c r="CG927" s="59"/>
      <c r="CH927" s="59"/>
      <c r="CI927" s="59"/>
      <c r="CJ927" s="59"/>
      <c r="CK927" s="59"/>
      <c r="CL927" s="59"/>
      <c r="CM927" s="59"/>
      <c r="CN927" s="59"/>
      <c r="CO927" s="59"/>
      <c r="CP927" s="59"/>
      <c r="CQ927" s="59"/>
      <c r="CR927" s="59"/>
      <c r="CS927" s="59"/>
      <c r="CT927" s="59"/>
      <c r="CU927" s="59"/>
      <c r="CV927" s="59"/>
      <c r="CW927" s="59"/>
      <c r="CX927" s="59"/>
      <c r="CY927" s="59"/>
      <c r="CZ927" s="59"/>
      <c r="DA927" s="59"/>
      <c r="DB927" s="59"/>
      <c r="DC927" s="59"/>
      <c r="DD927" s="59"/>
      <c r="DE927" s="59"/>
      <c r="DF927" s="59"/>
      <c r="DG927" s="59"/>
    </row>
    <row r="928" spans="1:111" ht="11.2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  <c r="AB928" s="59"/>
      <c r="AC928" s="59"/>
      <c r="AD928" s="59"/>
      <c r="AE928" s="59"/>
      <c r="AF928" s="59"/>
      <c r="AG928" s="59"/>
      <c r="AH928" s="59"/>
      <c r="AI928" s="59"/>
      <c r="AJ928" s="59"/>
      <c r="AK928" s="59"/>
      <c r="AL928" s="59"/>
      <c r="AM928" s="59"/>
      <c r="AN928" s="59"/>
      <c r="AO928" s="59"/>
      <c r="AP928" s="59"/>
      <c r="AQ928" s="59"/>
      <c r="AR928" s="59"/>
      <c r="AS928" s="59"/>
      <c r="AT928" s="59"/>
      <c r="AU928" s="59"/>
      <c r="AV928" s="59"/>
      <c r="AW928" s="59"/>
      <c r="AX928" s="59"/>
      <c r="AY928" s="59"/>
      <c r="AZ928" s="59"/>
      <c r="BA928" s="59"/>
      <c r="BB928" s="59"/>
      <c r="BC928" s="59"/>
      <c r="BD928" s="59"/>
      <c r="BE928" s="59"/>
      <c r="BF928" s="59"/>
      <c r="BG928" s="59"/>
      <c r="BH928" s="59"/>
      <c r="BI928" s="59"/>
      <c r="BJ928" s="59"/>
      <c r="BK928" s="59"/>
      <c r="BL928" s="59"/>
      <c r="BM928" s="59"/>
      <c r="BN928" s="59"/>
      <c r="BO928" s="59"/>
      <c r="BP928" s="59"/>
      <c r="BQ928" s="59"/>
      <c r="BR928" s="59"/>
      <c r="BS928" s="59"/>
      <c r="BT928" s="59"/>
      <c r="BU928" s="59"/>
      <c r="BV928" s="59"/>
      <c r="BW928" s="59"/>
      <c r="BX928" s="59"/>
      <c r="BY928" s="59"/>
      <c r="BZ928" s="59"/>
      <c r="CA928" s="59"/>
      <c r="CB928" s="59"/>
      <c r="CC928" s="59"/>
      <c r="CD928" s="59"/>
      <c r="CE928" s="59"/>
      <c r="CF928" s="59"/>
      <c r="CG928" s="59"/>
      <c r="CH928" s="59"/>
      <c r="CI928" s="59"/>
      <c r="CJ928" s="59"/>
      <c r="CK928" s="59"/>
      <c r="CL928" s="59"/>
      <c r="CM928" s="59"/>
      <c r="CN928" s="59"/>
      <c r="CO928" s="59"/>
      <c r="CP928" s="59"/>
      <c r="CQ928" s="59"/>
      <c r="CR928" s="59"/>
      <c r="CS928" s="59"/>
      <c r="CT928" s="59"/>
      <c r="CU928" s="59"/>
      <c r="CV928" s="59"/>
      <c r="CW928" s="59"/>
      <c r="CX928" s="59"/>
      <c r="CY928" s="59"/>
      <c r="CZ928" s="59"/>
      <c r="DA928" s="59"/>
      <c r="DB928" s="59"/>
      <c r="DC928" s="59"/>
      <c r="DD928" s="59"/>
      <c r="DE928" s="59"/>
      <c r="DF928" s="59"/>
      <c r="DG928" s="59"/>
    </row>
    <row r="929" spans="1:111" ht="11.2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  <c r="AI929" s="59"/>
      <c r="AJ929" s="59"/>
      <c r="AK929" s="59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9"/>
      <c r="AW929" s="59"/>
      <c r="AX929" s="59"/>
      <c r="AY929" s="59"/>
      <c r="AZ929" s="59"/>
      <c r="BA929" s="59"/>
      <c r="BB929" s="59"/>
      <c r="BC929" s="59"/>
      <c r="BD929" s="59"/>
      <c r="BE929" s="59"/>
      <c r="BF929" s="59"/>
      <c r="BG929" s="59"/>
      <c r="BH929" s="59"/>
      <c r="BI929" s="59"/>
      <c r="BJ929" s="59"/>
      <c r="BK929" s="59"/>
      <c r="BL929" s="59"/>
      <c r="BM929" s="59"/>
      <c r="BN929" s="59"/>
      <c r="BO929" s="59"/>
      <c r="BP929" s="59"/>
      <c r="BQ929" s="59"/>
      <c r="BR929" s="59"/>
      <c r="BS929" s="59"/>
      <c r="BT929" s="59"/>
      <c r="BU929" s="59"/>
      <c r="BV929" s="59"/>
      <c r="BW929" s="59"/>
      <c r="BX929" s="59"/>
      <c r="BY929" s="59"/>
      <c r="BZ929" s="59"/>
      <c r="CA929" s="59"/>
      <c r="CB929" s="59"/>
      <c r="CC929" s="59"/>
      <c r="CD929" s="59"/>
      <c r="CE929" s="59"/>
      <c r="CF929" s="59"/>
      <c r="CG929" s="59"/>
      <c r="CH929" s="59"/>
      <c r="CI929" s="59"/>
      <c r="CJ929" s="59"/>
      <c r="CK929" s="59"/>
      <c r="CL929" s="59"/>
      <c r="CM929" s="59"/>
      <c r="CN929" s="59"/>
      <c r="CO929" s="59"/>
      <c r="CP929" s="59"/>
      <c r="CQ929" s="59"/>
      <c r="CR929" s="59"/>
      <c r="CS929" s="59"/>
      <c r="CT929" s="59"/>
      <c r="CU929" s="59"/>
      <c r="CV929" s="59"/>
      <c r="CW929" s="59"/>
      <c r="CX929" s="59"/>
      <c r="CY929" s="59"/>
      <c r="CZ929" s="59"/>
      <c r="DA929" s="59"/>
      <c r="DB929" s="59"/>
      <c r="DC929" s="59"/>
      <c r="DD929" s="59"/>
      <c r="DE929" s="59"/>
      <c r="DF929" s="59"/>
      <c r="DG929" s="59"/>
    </row>
    <row r="930" spans="1:111" ht="11.2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  <c r="AI930" s="59"/>
      <c r="AJ930" s="59"/>
      <c r="AK930" s="59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  <c r="BC930" s="59"/>
      <c r="BD930" s="59"/>
      <c r="BE930" s="59"/>
      <c r="BF930" s="59"/>
      <c r="BG930" s="59"/>
      <c r="BH930" s="59"/>
      <c r="BI930" s="59"/>
      <c r="BJ930" s="59"/>
      <c r="BK930" s="59"/>
      <c r="BL930" s="59"/>
      <c r="BM930" s="59"/>
      <c r="BN930" s="59"/>
      <c r="BO930" s="59"/>
      <c r="BP930" s="59"/>
      <c r="BQ930" s="59"/>
      <c r="BR930" s="59"/>
      <c r="BS930" s="59"/>
      <c r="BT930" s="59"/>
      <c r="BU930" s="59"/>
      <c r="BV930" s="59"/>
      <c r="BW930" s="59"/>
      <c r="BX930" s="59"/>
      <c r="BY930" s="59"/>
      <c r="BZ930" s="59"/>
      <c r="CA930" s="59"/>
      <c r="CB930" s="59"/>
      <c r="CC930" s="59"/>
      <c r="CD930" s="59"/>
      <c r="CE930" s="59"/>
      <c r="CF930" s="59"/>
      <c r="CG930" s="59"/>
      <c r="CH930" s="59"/>
      <c r="CI930" s="59"/>
      <c r="CJ930" s="59"/>
      <c r="CK930" s="59"/>
      <c r="CL930" s="59"/>
      <c r="CM930" s="59"/>
      <c r="CN930" s="59"/>
      <c r="CO930" s="59"/>
      <c r="CP930" s="59"/>
      <c r="CQ930" s="59"/>
      <c r="CR930" s="59"/>
      <c r="CS930" s="59"/>
      <c r="CT930" s="59"/>
      <c r="CU930" s="59"/>
      <c r="CV930" s="59"/>
      <c r="CW930" s="59"/>
      <c r="CX930" s="59"/>
      <c r="CY930" s="59"/>
      <c r="CZ930" s="59"/>
      <c r="DA930" s="59"/>
      <c r="DB930" s="59"/>
      <c r="DC930" s="59"/>
      <c r="DD930" s="59"/>
      <c r="DE930" s="59"/>
      <c r="DF930" s="59"/>
      <c r="DG930" s="59"/>
    </row>
    <row r="931" spans="1:111" ht="11.2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  <c r="AB931" s="59"/>
      <c r="AC931" s="59"/>
      <c r="AD931" s="59"/>
      <c r="AE931" s="59"/>
      <c r="AF931" s="59"/>
      <c r="AG931" s="59"/>
      <c r="AH931" s="59"/>
      <c r="AI931" s="59"/>
      <c r="AJ931" s="59"/>
      <c r="AK931" s="59"/>
      <c r="AL931" s="59"/>
      <c r="AM931" s="59"/>
      <c r="AN931" s="59"/>
      <c r="AO931" s="59"/>
      <c r="AP931" s="59"/>
      <c r="AQ931" s="59"/>
      <c r="AR931" s="59"/>
      <c r="AS931" s="59"/>
      <c r="AT931" s="59"/>
      <c r="AU931" s="59"/>
      <c r="AV931" s="59"/>
      <c r="AW931" s="59"/>
      <c r="AX931" s="59"/>
      <c r="AY931" s="59"/>
      <c r="AZ931" s="59"/>
      <c r="BA931" s="59"/>
      <c r="BB931" s="59"/>
      <c r="BC931" s="59"/>
      <c r="BD931" s="59"/>
      <c r="BE931" s="59"/>
      <c r="BF931" s="59"/>
      <c r="BG931" s="59"/>
      <c r="BH931" s="59"/>
      <c r="BI931" s="59"/>
      <c r="BJ931" s="59"/>
      <c r="BK931" s="59"/>
      <c r="BL931" s="59"/>
      <c r="BM931" s="59"/>
      <c r="BN931" s="59"/>
      <c r="BO931" s="59"/>
      <c r="BP931" s="59"/>
      <c r="BQ931" s="59"/>
      <c r="BR931" s="59"/>
      <c r="BS931" s="59"/>
      <c r="BT931" s="59"/>
      <c r="BU931" s="59"/>
      <c r="BV931" s="59"/>
      <c r="BW931" s="59"/>
      <c r="BX931" s="59"/>
      <c r="BY931" s="59"/>
      <c r="BZ931" s="59"/>
      <c r="CA931" s="59"/>
      <c r="CB931" s="59"/>
      <c r="CC931" s="59"/>
      <c r="CD931" s="59"/>
      <c r="CE931" s="59"/>
      <c r="CF931" s="59"/>
      <c r="CG931" s="59"/>
      <c r="CH931" s="59"/>
      <c r="CI931" s="59"/>
      <c r="CJ931" s="59"/>
      <c r="CK931" s="59"/>
      <c r="CL931" s="59"/>
      <c r="CM931" s="59"/>
      <c r="CN931" s="59"/>
      <c r="CO931" s="59"/>
      <c r="CP931" s="59"/>
      <c r="CQ931" s="59"/>
      <c r="CR931" s="59"/>
      <c r="CS931" s="59"/>
      <c r="CT931" s="59"/>
      <c r="CU931" s="59"/>
      <c r="CV931" s="59"/>
      <c r="CW931" s="59"/>
      <c r="CX931" s="59"/>
      <c r="CY931" s="59"/>
      <c r="CZ931" s="59"/>
      <c r="DA931" s="59"/>
      <c r="DB931" s="59"/>
      <c r="DC931" s="59"/>
      <c r="DD931" s="59"/>
      <c r="DE931" s="59"/>
      <c r="DF931" s="59"/>
      <c r="DG931" s="59"/>
    </row>
    <row r="932" spans="1:111" ht="11.2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  <c r="AB932" s="59"/>
      <c r="AC932" s="59"/>
      <c r="AD932" s="59"/>
      <c r="AE932" s="59"/>
      <c r="AF932" s="59"/>
      <c r="AG932" s="59"/>
      <c r="AH932" s="59"/>
      <c r="AI932" s="59"/>
      <c r="AJ932" s="59"/>
      <c r="AK932" s="59"/>
      <c r="AL932" s="59"/>
      <c r="AM932" s="59"/>
      <c r="AN932" s="59"/>
      <c r="AO932" s="59"/>
      <c r="AP932" s="59"/>
      <c r="AQ932" s="59"/>
      <c r="AR932" s="59"/>
      <c r="AS932" s="59"/>
      <c r="AT932" s="59"/>
      <c r="AU932" s="59"/>
      <c r="AV932" s="59"/>
      <c r="AW932" s="59"/>
      <c r="AX932" s="59"/>
      <c r="AY932" s="59"/>
      <c r="AZ932" s="59"/>
      <c r="BA932" s="59"/>
      <c r="BB932" s="59"/>
      <c r="BC932" s="59"/>
      <c r="BD932" s="59"/>
      <c r="BE932" s="59"/>
      <c r="BF932" s="59"/>
      <c r="BG932" s="59"/>
      <c r="BH932" s="59"/>
      <c r="BI932" s="59"/>
      <c r="BJ932" s="59"/>
      <c r="BK932" s="59"/>
      <c r="BL932" s="59"/>
      <c r="BM932" s="59"/>
      <c r="BN932" s="59"/>
      <c r="BO932" s="59"/>
      <c r="BP932" s="59"/>
      <c r="BQ932" s="59"/>
      <c r="BR932" s="59"/>
      <c r="BS932" s="59"/>
      <c r="BT932" s="59"/>
      <c r="BU932" s="59"/>
      <c r="BV932" s="59"/>
      <c r="BW932" s="59"/>
      <c r="BX932" s="59"/>
      <c r="BY932" s="59"/>
      <c r="BZ932" s="59"/>
      <c r="CA932" s="59"/>
      <c r="CB932" s="59"/>
      <c r="CC932" s="59"/>
      <c r="CD932" s="59"/>
      <c r="CE932" s="59"/>
      <c r="CF932" s="59"/>
      <c r="CG932" s="59"/>
      <c r="CH932" s="59"/>
      <c r="CI932" s="59"/>
      <c r="CJ932" s="59"/>
      <c r="CK932" s="59"/>
      <c r="CL932" s="59"/>
      <c r="CM932" s="59"/>
      <c r="CN932" s="59"/>
      <c r="CO932" s="59"/>
      <c r="CP932" s="59"/>
      <c r="CQ932" s="59"/>
      <c r="CR932" s="59"/>
      <c r="CS932" s="59"/>
      <c r="CT932" s="59"/>
      <c r="CU932" s="59"/>
      <c r="CV932" s="59"/>
      <c r="CW932" s="59"/>
      <c r="CX932" s="59"/>
      <c r="CY932" s="59"/>
      <c r="CZ932" s="59"/>
      <c r="DA932" s="59"/>
      <c r="DB932" s="59"/>
      <c r="DC932" s="59"/>
      <c r="DD932" s="59"/>
      <c r="DE932" s="59"/>
      <c r="DF932" s="59"/>
      <c r="DG932" s="59"/>
    </row>
    <row r="933" spans="1:111" ht="11.2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9"/>
      <c r="AR933" s="59"/>
      <c r="AS933" s="59"/>
      <c r="AT933" s="59"/>
      <c r="AU933" s="59"/>
      <c r="AV933" s="59"/>
      <c r="AW933" s="59"/>
      <c r="AX933" s="59"/>
      <c r="AY933" s="59"/>
      <c r="AZ933" s="59"/>
      <c r="BA933" s="59"/>
      <c r="BB933" s="59"/>
      <c r="BC933" s="59"/>
      <c r="BD933" s="59"/>
      <c r="BE933" s="59"/>
      <c r="BF933" s="59"/>
      <c r="BG933" s="59"/>
      <c r="BH933" s="59"/>
      <c r="BI933" s="59"/>
      <c r="BJ933" s="59"/>
      <c r="BK933" s="59"/>
      <c r="BL933" s="59"/>
      <c r="BM933" s="59"/>
      <c r="BN933" s="59"/>
      <c r="BO933" s="59"/>
      <c r="BP933" s="59"/>
      <c r="BQ933" s="59"/>
      <c r="BR933" s="59"/>
      <c r="BS933" s="59"/>
      <c r="BT933" s="59"/>
      <c r="BU933" s="59"/>
      <c r="BV933" s="59"/>
      <c r="BW933" s="59"/>
      <c r="BX933" s="59"/>
      <c r="BY933" s="59"/>
      <c r="BZ933" s="59"/>
      <c r="CA933" s="59"/>
      <c r="CB933" s="59"/>
      <c r="CC933" s="59"/>
      <c r="CD933" s="59"/>
      <c r="CE933" s="59"/>
      <c r="CF933" s="59"/>
      <c r="CG933" s="59"/>
      <c r="CH933" s="59"/>
      <c r="CI933" s="59"/>
      <c r="CJ933" s="59"/>
      <c r="CK933" s="59"/>
      <c r="CL933" s="59"/>
      <c r="CM933" s="59"/>
      <c r="CN933" s="59"/>
      <c r="CO933" s="59"/>
      <c r="CP933" s="59"/>
      <c r="CQ933" s="59"/>
      <c r="CR933" s="59"/>
      <c r="CS933" s="59"/>
      <c r="CT933" s="59"/>
      <c r="CU933" s="59"/>
      <c r="CV933" s="59"/>
      <c r="CW933" s="59"/>
      <c r="CX933" s="59"/>
      <c r="CY933" s="59"/>
      <c r="CZ933" s="59"/>
      <c r="DA933" s="59"/>
      <c r="DB933" s="59"/>
      <c r="DC933" s="59"/>
      <c r="DD933" s="59"/>
      <c r="DE933" s="59"/>
      <c r="DF933" s="59"/>
      <c r="DG933" s="59"/>
    </row>
    <row r="934" spans="1:111" ht="11.2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  <c r="AB934" s="59"/>
      <c r="AC934" s="59"/>
      <c r="AD934" s="59"/>
      <c r="AE934" s="59"/>
      <c r="AF934" s="59"/>
      <c r="AG934" s="59"/>
      <c r="AH934" s="59"/>
      <c r="AI934" s="59"/>
      <c r="AJ934" s="59"/>
      <c r="AK934" s="59"/>
      <c r="AL934" s="59"/>
      <c r="AM934" s="59"/>
      <c r="AN934" s="59"/>
      <c r="AO934" s="59"/>
      <c r="AP934" s="59"/>
      <c r="AQ934" s="59"/>
      <c r="AR934" s="59"/>
      <c r="AS934" s="59"/>
      <c r="AT934" s="59"/>
      <c r="AU934" s="59"/>
      <c r="AV934" s="59"/>
      <c r="AW934" s="59"/>
      <c r="AX934" s="59"/>
      <c r="AY934" s="59"/>
      <c r="AZ934" s="59"/>
      <c r="BA934" s="59"/>
      <c r="BB934" s="59"/>
      <c r="BC934" s="59"/>
      <c r="BD934" s="59"/>
      <c r="BE934" s="59"/>
      <c r="BF934" s="59"/>
      <c r="BG934" s="59"/>
      <c r="BH934" s="59"/>
      <c r="BI934" s="59"/>
      <c r="BJ934" s="59"/>
      <c r="BK934" s="59"/>
      <c r="BL934" s="59"/>
      <c r="BM934" s="59"/>
      <c r="BN934" s="59"/>
      <c r="BO934" s="59"/>
      <c r="BP934" s="59"/>
      <c r="BQ934" s="59"/>
      <c r="BR934" s="59"/>
      <c r="BS934" s="59"/>
      <c r="BT934" s="59"/>
      <c r="BU934" s="59"/>
      <c r="BV934" s="59"/>
      <c r="BW934" s="59"/>
      <c r="BX934" s="59"/>
      <c r="BY934" s="59"/>
      <c r="BZ934" s="59"/>
      <c r="CA934" s="59"/>
      <c r="CB934" s="59"/>
      <c r="CC934" s="59"/>
      <c r="CD934" s="59"/>
      <c r="CE934" s="59"/>
      <c r="CF934" s="59"/>
      <c r="CG934" s="59"/>
      <c r="CH934" s="59"/>
      <c r="CI934" s="59"/>
      <c r="CJ934" s="59"/>
      <c r="CK934" s="59"/>
      <c r="CL934" s="59"/>
      <c r="CM934" s="59"/>
      <c r="CN934" s="59"/>
      <c r="CO934" s="59"/>
      <c r="CP934" s="59"/>
      <c r="CQ934" s="59"/>
      <c r="CR934" s="59"/>
      <c r="CS934" s="59"/>
      <c r="CT934" s="59"/>
      <c r="CU934" s="59"/>
      <c r="CV934" s="59"/>
      <c r="CW934" s="59"/>
      <c r="CX934" s="59"/>
      <c r="CY934" s="59"/>
      <c r="CZ934" s="59"/>
      <c r="DA934" s="59"/>
      <c r="DB934" s="59"/>
      <c r="DC934" s="59"/>
      <c r="DD934" s="59"/>
      <c r="DE934" s="59"/>
      <c r="DF934" s="59"/>
      <c r="DG934" s="59"/>
    </row>
    <row r="935" spans="1:111" ht="11.2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  <c r="AI935" s="59"/>
      <c r="AJ935" s="59"/>
      <c r="AK935" s="59"/>
      <c r="AL935" s="59"/>
      <c r="AM935" s="59"/>
      <c r="AN935" s="59"/>
      <c r="AO935" s="59"/>
      <c r="AP935" s="59"/>
      <c r="AQ935" s="59"/>
      <c r="AR935" s="59"/>
      <c r="AS935" s="59"/>
      <c r="AT935" s="59"/>
      <c r="AU935" s="59"/>
      <c r="AV935" s="59"/>
      <c r="AW935" s="59"/>
      <c r="AX935" s="59"/>
      <c r="AY935" s="59"/>
      <c r="AZ935" s="59"/>
      <c r="BA935" s="59"/>
      <c r="BB935" s="59"/>
      <c r="BC935" s="59"/>
      <c r="BD935" s="59"/>
      <c r="BE935" s="59"/>
      <c r="BF935" s="59"/>
      <c r="BG935" s="59"/>
      <c r="BH935" s="59"/>
      <c r="BI935" s="59"/>
      <c r="BJ935" s="59"/>
      <c r="BK935" s="59"/>
      <c r="BL935" s="59"/>
      <c r="BM935" s="59"/>
      <c r="BN935" s="59"/>
      <c r="BO935" s="59"/>
      <c r="BP935" s="59"/>
      <c r="BQ935" s="59"/>
      <c r="BR935" s="59"/>
      <c r="BS935" s="59"/>
      <c r="BT935" s="59"/>
      <c r="BU935" s="59"/>
      <c r="BV935" s="59"/>
      <c r="BW935" s="59"/>
      <c r="BX935" s="59"/>
      <c r="BY935" s="59"/>
      <c r="BZ935" s="59"/>
      <c r="CA935" s="59"/>
      <c r="CB935" s="59"/>
      <c r="CC935" s="59"/>
      <c r="CD935" s="59"/>
      <c r="CE935" s="59"/>
      <c r="CF935" s="59"/>
      <c r="CG935" s="59"/>
      <c r="CH935" s="59"/>
      <c r="CI935" s="59"/>
      <c r="CJ935" s="59"/>
      <c r="CK935" s="59"/>
      <c r="CL935" s="59"/>
      <c r="CM935" s="59"/>
      <c r="CN935" s="59"/>
      <c r="CO935" s="59"/>
      <c r="CP935" s="59"/>
      <c r="CQ935" s="59"/>
      <c r="CR935" s="59"/>
      <c r="CS935" s="59"/>
      <c r="CT935" s="59"/>
      <c r="CU935" s="59"/>
      <c r="CV935" s="59"/>
      <c r="CW935" s="59"/>
      <c r="CX935" s="59"/>
      <c r="CY935" s="59"/>
      <c r="CZ935" s="59"/>
      <c r="DA935" s="59"/>
      <c r="DB935" s="59"/>
      <c r="DC935" s="59"/>
      <c r="DD935" s="59"/>
      <c r="DE935" s="59"/>
      <c r="DF935" s="59"/>
      <c r="DG935" s="59"/>
    </row>
    <row r="936" spans="1:111" ht="11.2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  <c r="AB936" s="59"/>
      <c r="AC936" s="59"/>
      <c r="AD936" s="59"/>
      <c r="AE936" s="59"/>
      <c r="AF936" s="59"/>
      <c r="AG936" s="59"/>
      <c r="AH936" s="59"/>
      <c r="AI936" s="59"/>
      <c r="AJ936" s="59"/>
      <c r="AK936" s="59"/>
      <c r="AL936" s="59"/>
      <c r="AM936" s="59"/>
      <c r="AN936" s="59"/>
      <c r="AO936" s="59"/>
      <c r="AP936" s="59"/>
      <c r="AQ936" s="59"/>
      <c r="AR936" s="59"/>
      <c r="AS936" s="59"/>
      <c r="AT936" s="59"/>
      <c r="AU936" s="59"/>
      <c r="AV936" s="59"/>
      <c r="AW936" s="59"/>
      <c r="AX936" s="59"/>
      <c r="AY936" s="59"/>
      <c r="AZ936" s="59"/>
      <c r="BA936" s="59"/>
      <c r="BB936" s="59"/>
      <c r="BC936" s="59"/>
      <c r="BD936" s="59"/>
      <c r="BE936" s="59"/>
      <c r="BF936" s="59"/>
      <c r="BG936" s="59"/>
      <c r="BH936" s="59"/>
      <c r="BI936" s="59"/>
      <c r="BJ936" s="59"/>
      <c r="BK936" s="59"/>
      <c r="BL936" s="59"/>
      <c r="BM936" s="59"/>
      <c r="BN936" s="59"/>
      <c r="BO936" s="59"/>
      <c r="BP936" s="59"/>
      <c r="BQ936" s="59"/>
      <c r="BR936" s="59"/>
      <c r="BS936" s="59"/>
      <c r="BT936" s="59"/>
      <c r="BU936" s="59"/>
      <c r="BV936" s="59"/>
      <c r="BW936" s="59"/>
      <c r="BX936" s="59"/>
      <c r="BY936" s="59"/>
      <c r="BZ936" s="59"/>
      <c r="CA936" s="59"/>
      <c r="CB936" s="59"/>
      <c r="CC936" s="59"/>
      <c r="CD936" s="59"/>
      <c r="CE936" s="59"/>
      <c r="CF936" s="59"/>
      <c r="CG936" s="59"/>
      <c r="CH936" s="59"/>
      <c r="CI936" s="59"/>
      <c r="CJ936" s="59"/>
      <c r="CK936" s="59"/>
      <c r="CL936" s="59"/>
      <c r="CM936" s="59"/>
      <c r="CN936" s="59"/>
      <c r="CO936" s="59"/>
      <c r="CP936" s="59"/>
      <c r="CQ936" s="59"/>
      <c r="CR936" s="59"/>
      <c r="CS936" s="59"/>
      <c r="CT936" s="59"/>
      <c r="CU936" s="59"/>
      <c r="CV936" s="59"/>
      <c r="CW936" s="59"/>
      <c r="CX936" s="59"/>
      <c r="CY936" s="59"/>
      <c r="CZ936" s="59"/>
      <c r="DA936" s="59"/>
      <c r="DB936" s="59"/>
      <c r="DC936" s="59"/>
      <c r="DD936" s="59"/>
      <c r="DE936" s="59"/>
      <c r="DF936" s="59"/>
      <c r="DG936" s="59"/>
    </row>
    <row r="937" spans="1:111" ht="11.2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  <c r="AB937" s="59"/>
      <c r="AC937" s="59"/>
      <c r="AD937" s="59"/>
      <c r="AE937" s="59"/>
      <c r="AF937" s="59"/>
      <c r="AG937" s="59"/>
      <c r="AH937" s="59"/>
      <c r="AI937" s="59"/>
      <c r="AJ937" s="59"/>
      <c r="AK937" s="59"/>
      <c r="AL937" s="59"/>
      <c r="AM937" s="59"/>
      <c r="AN937" s="59"/>
      <c r="AO937" s="59"/>
      <c r="AP937" s="59"/>
      <c r="AQ937" s="59"/>
      <c r="AR937" s="59"/>
      <c r="AS937" s="59"/>
      <c r="AT937" s="59"/>
      <c r="AU937" s="59"/>
      <c r="AV937" s="59"/>
      <c r="AW937" s="59"/>
      <c r="AX937" s="59"/>
      <c r="AY937" s="59"/>
      <c r="AZ937" s="59"/>
      <c r="BA937" s="59"/>
      <c r="BB937" s="59"/>
      <c r="BC937" s="59"/>
      <c r="BD937" s="59"/>
      <c r="BE937" s="59"/>
      <c r="BF937" s="59"/>
      <c r="BG937" s="59"/>
      <c r="BH937" s="59"/>
      <c r="BI937" s="59"/>
      <c r="BJ937" s="59"/>
      <c r="BK937" s="59"/>
      <c r="BL937" s="59"/>
      <c r="BM937" s="59"/>
      <c r="BN937" s="59"/>
      <c r="BO937" s="59"/>
      <c r="BP937" s="59"/>
      <c r="BQ937" s="59"/>
      <c r="BR937" s="59"/>
      <c r="BS937" s="59"/>
      <c r="BT937" s="59"/>
      <c r="BU937" s="59"/>
      <c r="BV937" s="59"/>
      <c r="BW937" s="59"/>
      <c r="BX937" s="59"/>
      <c r="BY937" s="59"/>
      <c r="BZ937" s="59"/>
      <c r="CA937" s="59"/>
      <c r="CB937" s="59"/>
      <c r="CC937" s="59"/>
      <c r="CD937" s="59"/>
      <c r="CE937" s="59"/>
      <c r="CF937" s="59"/>
      <c r="CG937" s="59"/>
      <c r="CH937" s="59"/>
      <c r="CI937" s="59"/>
      <c r="CJ937" s="59"/>
      <c r="CK937" s="59"/>
      <c r="CL937" s="59"/>
      <c r="CM937" s="59"/>
      <c r="CN937" s="59"/>
      <c r="CO937" s="59"/>
      <c r="CP937" s="59"/>
      <c r="CQ937" s="59"/>
      <c r="CR937" s="59"/>
      <c r="CS937" s="59"/>
      <c r="CT937" s="59"/>
      <c r="CU937" s="59"/>
      <c r="CV937" s="59"/>
      <c r="CW937" s="59"/>
      <c r="CX937" s="59"/>
      <c r="CY937" s="59"/>
      <c r="CZ937" s="59"/>
      <c r="DA937" s="59"/>
      <c r="DB937" s="59"/>
      <c r="DC937" s="59"/>
      <c r="DD937" s="59"/>
      <c r="DE937" s="59"/>
      <c r="DF937" s="59"/>
      <c r="DG937" s="59"/>
    </row>
    <row r="938" spans="1:111" ht="11.2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  <c r="AB938" s="59"/>
      <c r="AC938" s="59"/>
      <c r="AD938" s="59"/>
      <c r="AE938" s="59"/>
      <c r="AF938" s="59"/>
      <c r="AG938" s="59"/>
      <c r="AH938" s="59"/>
      <c r="AI938" s="59"/>
      <c r="AJ938" s="59"/>
      <c r="AK938" s="59"/>
      <c r="AL938" s="59"/>
      <c r="AM938" s="59"/>
      <c r="AN938" s="59"/>
      <c r="AO938" s="59"/>
      <c r="AP938" s="59"/>
      <c r="AQ938" s="59"/>
      <c r="AR938" s="59"/>
      <c r="AS938" s="59"/>
      <c r="AT938" s="59"/>
      <c r="AU938" s="59"/>
      <c r="AV938" s="59"/>
      <c r="AW938" s="59"/>
      <c r="AX938" s="59"/>
      <c r="AY938" s="59"/>
      <c r="AZ938" s="59"/>
      <c r="BA938" s="59"/>
      <c r="BB938" s="59"/>
      <c r="BC938" s="59"/>
      <c r="BD938" s="59"/>
      <c r="BE938" s="59"/>
      <c r="BF938" s="59"/>
      <c r="BG938" s="59"/>
      <c r="BH938" s="59"/>
      <c r="BI938" s="59"/>
      <c r="BJ938" s="59"/>
      <c r="BK938" s="59"/>
      <c r="BL938" s="59"/>
      <c r="BM938" s="59"/>
      <c r="BN938" s="59"/>
      <c r="BO938" s="59"/>
      <c r="BP938" s="59"/>
      <c r="BQ938" s="59"/>
      <c r="BR938" s="59"/>
      <c r="BS938" s="59"/>
      <c r="BT938" s="59"/>
      <c r="BU938" s="59"/>
      <c r="BV938" s="59"/>
      <c r="BW938" s="59"/>
      <c r="BX938" s="59"/>
      <c r="BY938" s="59"/>
      <c r="BZ938" s="59"/>
      <c r="CA938" s="59"/>
      <c r="CB938" s="59"/>
      <c r="CC938" s="59"/>
      <c r="CD938" s="59"/>
      <c r="CE938" s="59"/>
      <c r="CF938" s="59"/>
      <c r="CG938" s="59"/>
      <c r="CH938" s="59"/>
      <c r="CI938" s="59"/>
      <c r="CJ938" s="59"/>
      <c r="CK938" s="59"/>
      <c r="CL938" s="59"/>
      <c r="CM938" s="59"/>
      <c r="CN938" s="59"/>
      <c r="CO938" s="59"/>
      <c r="CP938" s="59"/>
      <c r="CQ938" s="59"/>
      <c r="CR938" s="59"/>
      <c r="CS938" s="59"/>
      <c r="CT938" s="59"/>
      <c r="CU938" s="59"/>
      <c r="CV938" s="59"/>
      <c r="CW938" s="59"/>
      <c r="CX938" s="59"/>
      <c r="CY938" s="59"/>
      <c r="CZ938" s="59"/>
      <c r="DA938" s="59"/>
      <c r="DB938" s="59"/>
      <c r="DC938" s="59"/>
      <c r="DD938" s="59"/>
      <c r="DE938" s="59"/>
      <c r="DF938" s="59"/>
      <c r="DG938" s="59"/>
    </row>
    <row r="939" spans="1:111" ht="11.2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  <c r="AB939" s="59"/>
      <c r="AC939" s="59"/>
      <c r="AD939" s="59"/>
      <c r="AE939" s="59"/>
      <c r="AF939" s="59"/>
      <c r="AG939" s="59"/>
      <c r="AH939" s="59"/>
      <c r="AI939" s="59"/>
      <c r="AJ939" s="59"/>
      <c r="AK939" s="59"/>
      <c r="AL939" s="59"/>
      <c r="AM939" s="59"/>
      <c r="AN939" s="59"/>
      <c r="AO939" s="59"/>
      <c r="AP939" s="59"/>
      <c r="AQ939" s="59"/>
      <c r="AR939" s="59"/>
      <c r="AS939" s="59"/>
      <c r="AT939" s="59"/>
      <c r="AU939" s="59"/>
      <c r="AV939" s="59"/>
      <c r="AW939" s="59"/>
      <c r="AX939" s="59"/>
      <c r="AY939" s="59"/>
      <c r="AZ939" s="59"/>
      <c r="BA939" s="59"/>
      <c r="BB939" s="59"/>
      <c r="BC939" s="59"/>
      <c r="BD939" s="59"/>
      <c r="BE939" s="59"/>
      <c r="BF939" s="59"/>
      <c r="BG939" s="59"/>
      <c r="BH939" s="59"/>
      <c r="BI939" s="59"/>
      <c r="BJ939" s="59"/>
      <c r="BK939" s="59"/>
      <c r="BL939" s="59"/>
      <c r="BM939" s="59"/>
      <c r="BN939" s="59"/>
      <c r="BO939" s="59"/>
      <c r="BP939" s="59"/>
      <c r="BQ939" s="59"/>
      <c r="BR939" s="59"/>
      <c r="BS939" s="59"/>
      <c r="BT939" s="59"/>
      <c r="BU939" s="59"/>
      <c r="BV939" s="59"/>
      <c r="BW939" s="59"/>
      <c r="BX939" s="59"/>
      <c r="BY939" s="59"/>
      <c r="BZ939" s="59"/>
      <c r="CA939" s="59"/>
      <c r="CB939" s="59"/>
      <c r="CC939" s="59"/>
      <c r="CD939" s="59"/>
      <c r="CE939" s="59"/>
      <c r="CF939" s="59"/>
      <c r="CG939" s="59"/>
      <c r="CH939" s="59"/>
      <c r="CI939" s="59"/>
      <c r="CJ939" s="59"/>
      <c r="CK939" s="59"/>
      <c r="CL939" s="59"/>
      <c r="CM939" s="59"/>
      <c r="CN939" s="59"/>
      <c r="CO939" s="59"/>
      <c r="CP939" s="59"/>
      <c r="CQ939" s="59"/>
      <c r="CR939" s="59"/>
      <c r="CS939" s="59"/>
      <c r="CT939" s="59"/>
      <c r="CU939" s="59"/>
      <c r="CV939" s="59"/>
      <c r="CW939" s="59"/>
      <c r="CX939" s="59"/>
      <c r="CY939" s="59"/>
      <c r="CZ939" s="59"/>
      <c r="DA939" s="59"/>
      <c r="DB939" s="59"/>
      <c r="DC939" s="59"/>
      <c r="DD939" s="59"/>
      <c r="DE939" s="59"/>
      <c r="DF939" s="59"/>
      <c r="DG939" s="59"/>
    </row>
    <row r="940" spans="1:111" ht="11.2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  <c r="AB940" s="59"/>
      <c r="AC940" s="59"/>
      <c r="AD940" s="59"/>
      <c r="AE940" s="59"/>
      <c r="AF940" s="59"/>
      <c r="AG940" s="59"/>
      <c r="AH940" s="59"/>
      <c r="AI940" s="59"/>
      <c r="AJ940" s="59"/>
      <c r="AK940" s="59"/>
      <c r="AL940" s="59"/>
      <c r="AM940" s="59"/>
      <c r="AN940" s="59"/>
      <c r="AO940" s="59"/>
      <c r="AP940" s="59"/>
      <c r="AQ940" s="59"/>
      <c r="AR940" s="59"/>
      <c r="AS940" s="59"/>
      <c r="AT940" s="59"/>
      <c r="AU940" s="59"/>
      <c r="AV940" s="59"/>
      <c r="AW940" s="59"/>
      <c r="AX940" s="59"/>
      <c r="AY940" s="59"/>
      <c r="AZ940" s="59"/>
      <c r="BA940" s="59"/>
      <c r="BB940" s="59"/>
      <c r="BC940" s="59"/>
      <c r="BD940" s="59"/>
      <c r="BE940" s="59"/>
      <c r="BF940" s="59"/>
      <c r="BG940" s="59"/>
      <c r="BH940" s="59"/>
      <c r="BI940" s="59"/>
      <c r="BJ940" s="59"/>
      <c r="BK940" s="59"/>
      <c r="BL940" s="59"/>
      <c r="BM940" s="59"/>
      <c r="BN940" s="59"/>
      <c r="BO940" s="59"/>
      <c r="BP940" s="59"/>
      <c r="BQ940" s="59"/>
      <c r="BR940" s="59"/>
      <c r="BS940" s="59"/>
      <c r="BT940" s="59"/>
      <c r="BU940" s="59"/>
      <c r="BV940" s="59"/>
      <c r="BW940" s="59"/>
      <c r="BX940" s="59"/>
      <c r="BY940" s="59"/>
      <c r="BZ940" s="59"/>
      <c r="CA940" s="59"/>
      <c r="CB940" s="59"/>
      <c r="CC940" s="59"/>
      <c r="CD940" s="59"/>
      <c r="CE940" s="59"/>
      <c r="CF940" s="59"/>
      <c r="CG940" s="59"/>
      <c r="CH940" s="59"/>
      <c r="CI940" s="59"/>
      <c r="CJ940" s="59"/>
      <c r="CK940" s="59"/>
      <c r="CL940" s="59"/>
      <c r="CM940" s="59"/>
      <c r="CN940" s="59"/>
      <c r="CO940" s="59"/>
      <c r="CP940" s="59"/>
      <c r="CQ940" s="59"/>
      <c r="CR940" s="59"/>
      <c r="CS940" s="59"/>
      <c r="CT940" s="59"/>
      <c r="CU940" s="59"/>
      <c r="CV940" s="59"/>
      <c r="CW940" s="59"/>
      <c r="CX940" s="59"/>
      <c r="CY940" s="59"/>
      <c r="CZ940" s="59"/>
      <c r="DA940" s="59"/>
      <c r="DB940" s="59"/>
      <c r="DC940" s="59"/>
      <c r="DD940" s="59"/>
      <c r="DE940" s="59"/>
      <c r="DF940" s="59"/>
      <c r="DG940" s="59"/>
    </row>
    <row r="941" spans="1:111" ht="11.2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  <c r="AB941" s="59"/>
      <c r="AC941" s="59"/>
      <c r="AD941" s="59"/>
      <c r="AE941" s="59"/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9"/>
      <c r="AW941" s="59"/>
      <c r="AX941" s="59"/>
      <c r="AY941" s="59"/>
      <c r="AZ941" s="59"/>
      <c r="BA941" s="59"/>
      <c r="BB941" s="59"/>
      <c r="BC941" s="59"/>
      <c r="BD941" s="59"/>
      <c r="BE941" s="59"/>
      <c r="BF941" s="59"/>
      <c r="BG941" s="59"/>
      <c r="BH941" s="59"/>
      <c r="BI941" s="59"/>
      <c r="BJ941" s="59"/>
      <c r="BK941" s="59"/>
      <c r="BL941" s="59"/>
      <c r="BM941" s="59"/>
      <c r="BN941" s="59"/>
      <c r="BO941" s="59"/>
      <c r="BP941" s="59"/>
      <c r="BQ941" s="59"/>
      <c r="BR941" s="59"/>
      <c r="BS941" s="59"/>
      <c r="BT941" s="59"/>
      <c r="BU941" s="59"/>
      <c r="BV941" s="59"/>
      <c r="BW941" s="59"/>
      <c r="BX941" s="59"/>
      <c r="BY941" s="59"/>
      <c r="BZ941" s="59"/>
      <c r="CA941" s="59"/>
      <c r="CB941" s="59"/>
      <c r="CC941" s="59"/>
      <c r="CD941" s="59"/>
      <c r="CE941" s="59"/>
      <c r="CF941" s="59"/>
      <c r="CG941" s="59"/>
      <c r="CH941" s="59"/>
      <c r="CI941" s="59"/>
      <c r="CJ941" s="59"/>
      <c r="CK941" s="59"/>
      <c r="CL941" s="59"/>
      <c r="CM941" s="59"/>
      <c r="CN941" s="59"/>
      <c r="CO941" s="59"/>
      <c r="CP941" s="59"/>
      <c r="CQ941" s="59"/>
      <c r="CR941" s="59"/>
      <c r="CS941" s="59"/>
      <c r="CT941" s="59"/>
      <c r="CU941" s="59"/>
      <c r="CV941" s="59"/>
      <c r="CW941" s="59"/>
      <c r="CX941" s="59"/>
      <c r="CY941" s="59"/>
      <c r="CZ941" s="59"/>
      <c r="DA941" s="59"/>
      <c r="DB941" s="59"/>
      <c r="DC941" s="59"/>
      <c r="DD941" s="59"/>
      <c r="DE941" s="59"/>
      <c r="DF941" s="59"/>
      <c r="DG941" s="59"/>
    </row>
    <row r="942" spans="1:111" ht="11.2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  <c r="AB942" s="59"/>
      <c r="AC942" s="59"/>
      <c r="AD942" s="59"/>
      <c r="AE942" s="59"/>
      <c r="AF942" s="59"/>
      <c r="AG942" s="59"/>
      <c r="AH942" s="59"/>
      <c r="AI942" s="59"/>
      <c r="AJ942" s="59"/>
      <c r="AK942" s="59"/>
      <c r="AL942" s="59"/>
      <c r="AM942" s="59"/>
      <c r="AN942" s="59"/>
      <c r="AO942" s="59"/>
      <c r="AP942" s="59"/>
      <c r="AQ942" s="59"/>
      <c r="AR942" s="59"/>
      <c r="AS942" s="59"/>
      <c r="AT942" s="59"/>
      <c r="AU942" s="59"/>
      <c r="AV942" s="59"/>
      <c r="AW942" s="59"/>
      <c r="AX942" s="59"/>
      <c r="AY942" s="59"/>
      <c r="AZ942" s="59"/>
      <c r="BA942" s="59"/>
      <c r="BB942" s="59"/>
      <c r="BC942" s="59"/>
      <c r="BD942" s="59"/>
      <c r="BE942" s="59"/>
      <c r="BF942" s="59"/>
      <c r="BG942" s="59"/>
      <c r="BH942" s="59"/>
      <c r="BI942" s="59"/>
      <c r="BJ942" s="59"/>
      <c r="BK942" s="59"/>
      <c r="BL942" s="59"/>
      <c r="BM942" s="59"/>
      <c r="BN942" s="59"/>
      <c r="BO942" s="59"/>
      <c r="BP942" s="59"/>
      <c r="BQ942" s="59"/>
      <c r="BR942" s="59"/>
      <c r="BS942" s="59"/>
      <c r="BT942" s="59"/>
      <c r="BU942" s="59"/>
      <c r="BV942" s="59"/>
      <c r="BW942" s="59"/>
      <c r="BX942" s="59"/>
      <c r="BY942" s="59"/>
      <c r="BZ942" s="59"/>
      <c r="CA942" s="59"/>
      <c r="CB942" s="59"/>
      <c r="CC942" s="59"/>
      <c r="CD942" s="59"/>
      <c r="CE942" s="59"/>
      <c r="CF942" s="59"/>
      <c r="CG942" s="59"/>
      <c r="CH942" s="59"/>
      <c r="CI942" s="59"/>
      <c r="CJ942" s="59"/>
      <c r="CK942" s="59"/>
      <c r="CL942" s="59"/>
      <c r="CM942" s="59"/>
      <c r="CN942" s="59"/>
      <c r="CO942" s="59"/>
      <c r="CP942" s="59"/>
      <c r="CQ942" s="59"/>
      <c r="CR942" s="59"/>
      <c r="CS942" s="59"/>
      <c r="CT942" s="59"/>
      <c r="CU942" s="59"/>
      <c r="CV942" s="59"/>
      <c r="CW942" s="59"/>
      <c r="CX942" s="59"/>
      <c r="CY942" s="59"/>
      <c r="CZ942" s="59"/>
      <c r="DA942" s="59"/>
      <c r="DB942" s="59"/>
      <c r="DC942" s="59"/>
      <c r="DD942" s="59"/>
      <c r="DE942" s="59"/>
      <c r="DF942" s="59"/>
      <c r="DG942" s="59"/>
    </row>
    <row r="943" spans="1:111" ht="11.25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  <c r="AB943" s="59"/>
      <c r="AC943" s="59"/>
      <c r="AD943" s="59"/>
      <c r="AE943" s="59"/>
      <c r="AF943" s="59"/>
      <c r="AG943" s="59"/>
      <c r="AH943" s="59"/>
      <c r="AI943" s="59"/>
      <c r="AJ943" s="59"/>
      <c r="AK943" s="59"/>
      <c r="AL943" s="59"/>
      <c r="AM943" s="59"/>
      <c r="AN943" s="59"/>
      <c r="AO943" s="59"/>
      <c r="AP943" s="59"/>
      <c r="AQ943" s="59"/>
      <c r="AR943" s="59"/>
      <c r="AS943" s="59"/>
      <c r="AT943" s="59"/>
      <c r="AU943" s="59"/>
      <c r="AV943" s="59"/>
      <c r="AW943" s="59"/>
      <c r="AX943" s="59"/>
      <c r="AY943" s="59"/>
      <c r="AZ943" s="59"/>
      <c r="BA943" s="59"/>
      <c r="BB943" s="59"/>
      <c r="BC943" s="59"/>
      <c r="BD943" s="59"/>
      <c r="BE943" s="59"/>
      <c r="BF943" s="59"/>
      <c r="BG943" s="59"/>
      <c r="BH943" s="59"/>
      <c r="BI943" s="59"/>
      <c r="BJ943" s="59"/>
      <c r="BK943" s="59"/>
      <c r="BL943" s="59"/>
      <c r="BM943" s="59"/>
      <c r="BN943" s="59"/>
      <c r="BO943" s="59"/>
      <c r="BP943" s="59"/>
      <c r="BQ943" s="59"/>
      <c r="BR943" s="59"/>
      <c r="BS943" s="59"/>
      <c r="BT943" s="59"/>
      <c r="BU943" s="59"/>
      <c r="BV943" s="59"/>
      <c r="BW943" s="59"/>
      <c r="BX943" s="59"/>
      <c r="BY943" s="59"/>
      <c r="BZ943" s="59"/>
      <c r="CA943" s="59"/>
      <c r="CB943" s="59"/>
      <c r="CC943" s="59"/>
      <c r="CD943" s="59"/>
      <c r="CE943" s="59"/>
      <c r="CF943" s="59"/>
      <c r="CG943" s="59"/>
      <c r="CH943" s="59"/>
      <c r="CI943" s="59"/>
      <c r="CJ943" s="59"/>
      <c r="CK943" s="59"/>
      <c r="CL943" s="59"/>
      <c r="CM943" s="59"/>
      <c r="CN943" s="59"/>
      <c r="CO943" s="59"/>
      <c r="CP943" s="59"/>
      <c r="CQ943" s="59"/>
      <c r="CR943" s="59"/>
      <c r="CS943" s="59"/>
      <c r="CT943" s="59"/>
      <c r="CU943" s="59"/>
      <c r="CV943" s="59"/>
      <c r="CW943" s="59"/>
      <c r="CX943" s="59"/>
      <c r="CY943" s="59"/>
      <c r="CZ943" s="59"/>
      <c r="DA943" s="59"/>
      <c r="DB943" s="59"/>
      <c r="DC943" s="59"/>
      <c r="DD943" s="59"/>
      <c r="DE943" s="59"/>
      <c r="DF943" s="59"/>
      <c r="DG943" s="59"/>
    </row>
    <row r="944" spans="1:111" ht="11.25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  <c r="AB944" s="59"/>
      <c r="AC944" s="59"/>
      <c r="AD944" s="59"/>
      <c r="AE944" s="59"/>
      <c r="AF944" s="59"/>
      <c r="AG944" s="59"/>
      <c r="AH944" s="59"/>
      <c r="AI944" s="59"/>
      <c r="AJ944" s="59"/>
      <c r="AK944" s="59"/>
      <c r="AL944" s="59"/>
      <c r="AM944" s="59"/>
      <c r="AN944" s="59"/>
      <c r="AO944" s="59"/>
      <c r="AP944" s="59"/>
      <c r="AQ944" s="59"/>
      <c r="AR944" s="59"/>
      <c r="AS944" s="59"/>
      <c r="AT944" s="59"/>
      <c r="AU944" s="59"/>
      <c r="AV944" s="59"/>
      <c r="AW944" s="59"/>
      <c r="AX944" s="59"/>
      <c r="AY944" s="59"/>
      <c r="AZ944" s="59"/>
      <c r="BA944" s="59"/>
      <c r="BB944" s="59"/>
      <c r="BC944" s="59"/>
      <c r="BD944" s="59"/>
      <c r="BE944" s="59"/>
      <c r="BF944" s="59"/>
      <c r="BG944" s="59"/>
      <c r="BH944" s="59"/>
      <c r="BI944" s="59"/>
      <c r="BJ944" s="59"/>
      <c r="BK944" s="59"/>
      <c r="BL944" s="59"/>
      <c r="BM944" s="59"/>
      <c r="BN944" s="59"/>
      <c r="BO944" s="59"/>
      <c r="BP944" s="59"/>
      <c r="BQ944" s="59"/>
      <c r="BR944" s="59"/>
      <c r="BS944" s="59"/>
      <c r="BT944" s="59"/>
      <c r="BU944" s="59"/>
      <c r="BV944" s="59"/>
      <c r="BW944" s="59"/>
      <c r="BX944" s="59"/>
      <c r="BY944" s="59"/>
      <c r="BZ944" s="59"/>
      <c r="CA944" s="59"/>
      <c r="CB944" s="59"/>
      <c r="CC944" s="59"/>
      <c r="CD944" s="59"/>
      <c r="CE944" s="59"/>
      <c r="CF944" s="59"/>
      <c r="CG944" s="59"/>
      <c r="CH944" s="59"/>
      <c r="CI944" s="59"/>
      <c r="CJ944" s="59"/>
      <c r="CK944" s="59"/>
      <c r="CL944" s="59"/>
      <c r="CM944" s="59"/>
      <c r="CN944" s="59"/>
      <c r="CO944" s="59"/>
      <c r="CP944" s="59"/>
      <c r="CQ944" s="59"/>
      <c r="CR944" s="59"/>
      <c r="CS944" s="59"/>
      <c r="CT944" s="59"/>
      <c r="CU944" s="59"/>
      <c r="CV944" s="59"/>
      <c r="CW944" s="59"/>
      <c r="CX944" s="59"/>
      <c r="CY944" s="59"/>
      <c r="CZ944" s="59"/>
      <c r="DA944" s="59"/>
      <c r="DB944" s="59"/>
      <c r="DC944" s="59"/>
      <c r="DD944" s="59"/>
      <c r="DE944" s="59"/>
      <c r="DF944" s="59"/>
      <c r="DG944" s="59"/>
    </row>
    <row r="945" spans="1:111" ht="11.25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  <c r="AB945" s="59"/>
      <c r="AC945" s="59"/>
      <c r="AD945" s="59"/>
      <c r="AE945" s="59"/>
      <c r="AF945" s="59"/>
      <c r="AG945" s="59"/>
      <c r="AH945" s="59"/>
      <c r="AI945" s="59"/>
      <c r="AJ945" s="59"/>
      <c r="AK945" s="59"/>
      <c r="AL945" s="59"/>
      <c r="AM945" s="59"/>
      <c r="AN945" s="59"/>
      <c r="AO945" s="59"/>
      <c r="AP945" s="59"/>
      <c r="AQ945" s="59"/>
      <c r="AR945" s="59"/>
      <c r="AS945" s="59"/>
      <c r="AT945" s="59"/>
      <c r="AU945" s="59"/>
      <c r="AV945" s="59"/>
      <c r="AW945" s="59"/>
      <c r="AX945" s="59"/>
      <c r="AY945" s="59"/>
      <c r="AZ945" s="59"/>
      <c r="BA945" s="59"/>
      <c r="BB945" s="59"/>
      <c r="BC945" s="59"/>
      <c r="BD945" s="59"/>
      <c r="BE945" s="59"/>
      <c r="BF945" s="59"/>
      <c r="BG945" s="59"/>
      <c r="BH945" s="59"/>
      <c r="BI945" s="59"/>
      <c r="BJ945" s="59"/>
      <c r="BK945" s="59"/>
      <c r="BL945" s="59"/>
      <c r="BM945" s="59"/>
      <c r="BN945" s="59"/>
      <c r="BO945" s="59"/>
      <c r="BP945" s="59"/>
      <c r="BQ945" s="59"/>
      <c r="BR945" s="59"/>
      <c r="BS945" s="59"/>
      <c r="BT945" s="59"/>
      <c r="BU945" s="59"/>
      <c r="BV945" s="59"/>
      <c r="BW945" s="59"/>
      <c r="BX945" s="59"/>
      <c r="BY945" s="59"/>
      <c r="BZ945" s="59"/>
      <c r="CA945" s="59"/>
      <c r="CB945" s="59"/>
      <c r="CC945" s="59"/>
      <c r="CD945" s="59"/>
      <c r="CE945" s="59"/>
      <c r="CF945" s="59"/>
      <c r="CG945" s="59"/>
      <c r="CH945" s="59"/>
      <c r="CI945" s="59"/>
      <c r="CJ945" s="59"/>
      <c r="CK945" s="59"/>
      <c r="CL945" s="59"/>
      <c r="CM945" s="59"/>
      <c r="CN945" s="59"/>
      <c r="CO945" s="59"/>
      <c r="CP945" s="59"/>
      <c r="CQ945" s="59"/>
      <c r="CR945" s="59"/>
      <c r="CS945" s="59"/>
      <c r="CT945" s="59"/>
      <c r="CU945" s="59"/>
      <c r="CV945" s="59"/>
      <c r="CW945" s="59"/>
      <c r="CX945" s="59"/>
      <c r="CY945" s="59"/>
      <c r="CZ945" s="59"/>
      <c r="DA945" s="59"/>
      <c r="DB945" s="59"/>
      <c r="DC945" s="59"/>
      <c r="DD945" s="59"/>
      <c r="DE945" s="59"/>
      <c r="DF945" s="59"/>
      <c r="DG945" s="59"/>
    </row>
    <row r="946" spans="1:111" ht="11.25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  <c r="AB946" s="59"/>
      <c r="AC946" s="59"/>
      <c r="AD946" s="59"/>
      <c r="AE946" s="59"/>
      <c r="AF946" s="59"/>
      <c r="AG946" s="59"/>
      <c r="AH946" s="59"/>
      <c r="AI946" s="59"/>
      <c r="AJ946" s="59"/>
      <c r="AK946" s="59"/>
      <c r="AL946" s="59"/>
      <c r="AM946" s="59"/>
      <c r="AN946" s="59"/>
      <c r="AO946" s="59"/>
      <c r="AP946" s="59"/>
      <c r="AQ946" s="59"/>
      <c r="AR946" s="59"/>
      <c r="AS946" s="59"/>
      <c r="AT946" s="59"/>
      <c r="AU946" s="59"/>
      <c r="AV946" s="59"/>
      <c r="AW946" s="59"/>
      <c r="AX946" s="59"/>
      <c r="AY946" s="59"/>
      <c r="AZ946" s="59"/>
      <c r="BA946" s="59"/>
      <c r="BB946" s="59"/>
      <c r="BC946" s="59"/>
      <c r="BD946" s="59"/>
      <c r="BE946" s="59"/>
      <c r="BF946" s="59"/>
      <c r="BG946" s="59"/>
      <c r="BH946" s="59"/>
      <c r="BI946" s="59"/>
      <c r="BJ946" s="59"/>
      <c r="BK946" s="59"/>
      <c r="BL946" s="59"/>
      <c r="BM946" s="59"/>
      <c r="BN946" s="59"/>
      <c r="BO946" s="59"/>
      <c r="BP946" s="59"/>
      <c r="BQ946" s="59"/>
      <c r="BR946" s="59"/>
      <c r="BS946" s="59"/>
      <c r="BT946" s="59"/>
      <c r="BU946" s="59"/>
      <c r="BV946" s="59"/>
      <c r="BW946" s="59"/>
      <c r="BX946" s="59"/>
      <c r="BY946" s="59"/>
      <c r="BZ946" s="59"/>
      <c r="CA946" s="59"/>
      <c r="CB946" s="59"/>
      <c r="CC946" s="59"/>
      <c r="CD946" s="59"/>
      <c r="CE946" s="59"/>
      <c r="CF946" s="59"/>
      <c r="CG946" s="59"/>
      <c r="CH946" s="59"/>
      <c r="CI946" s="59"/>
      <c r="CJ946" s="59"/>
      <c r="CK946" s="59"/>
      <c r="CL946" s="59"/>
      <c r="CM946" s="59"/>
      <c r="CN946" s="59"/>
      <c r="CO946" s="59"/>
      <c r="CP946" s="59"/>
      <c r="CQ946" s="59"/>
      <c r="CR946" s="59"/>
      <c r="CS946" s="59"/>
      <c r="CT946" s="59"/>
      <c r="CU946" s="59"/>
      <c r="CV946" s="59"/>
      <c r="CW946" s="59"/>
      <c r="CX946" s="59"/>
      <c r="CY946" s="59"/>
      <c r="CZ946" s="59"/>
      <c r="DA946" s="59"/>
      <c r="DB946" s="59"/>
      <c r="DC946" s="59"/>
      <c r="DD946" s="59"/>
      <c r="DE946" s="59"/>
      <c r="DF946" s="59"/>
      <c r="DG946" s="59"/>
    </row>
    <row r="947" spans="1:111" ht="11.25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  <c r="AB947" s="59"/>
      <c r="AC947" s="59"/>
      <c r="AD947" s="59"/>
      <c r="AE947" s="59"/>
      <c r="AF947" s="59"/>
      <c r="AG947" s="59"/>
      <c r="AH947" s="59"/>
      <c r="AI947" s="59"/>
      <c r="AJ947" s="59"/>
      <c r="AK947" s="59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9"/>
      <c r="AW947" s="59"/>
      <c r="AX947" s="59"/>
      <c r="AY947" s="59"/>
      <c r="AZ947" s="59"/>
      <c r="BA947" s="59"/>
      <c r="BB947" s="59"/>
      <c r="BC947" s="59"/>
      <c r="BD947" s="59"/>
      <c r="BE947" s="59"/>
      <c r="BF947" s="59"/>
      <c r="BG947" s="59"/>
      <c r="BH947" s="59"/>
      <c r="BI947" s="59"/>
      <c r="BJ947" s="59"/>
      <c r="BK947" s="59"/>
      <c r="BL947" s="59"/>
      <c r="BM947" s="59"/>
      <c r="BN947" s="59"/>
      <c r="BO947" s="59"/>
      <c r="BP947" s="59"/>
      <c r="BQ947" s="59"/>
      <c r="BR947" s="59"/>
      <c r="BS947" s="59"/>
      <c r="BT947" s="59"/>
      <c r="BU947" s="59"/>
      <c r="BV947" s="59"/>
      <c r="BW947" s="59"/>
      <c r="BX947" s="59"/>
      <c r="BY947" s="59"/>
      <c r="BZ947" s="59"/>
      <c r="CA947" s="59"/>
      <c r="CB947" s="59"/>
      <c r="CC947" s="59"/>
      <c r="CD947" s="59"/>
      <c r="CE947" s="59"/>
      <c r="CF947" s="59"/>
      <c r="CG947" s="59"/>
      <c r="CH947" s="59"/>
      <c r="CI947" s="59"/>
      <c r="CJ947" s="59"/>
      <c r="CK947" s="59"/>
      <c r="CL947" s="59"/>
      <c r="CM947" s="59"/>
      <c r="CN947" s="59"/>
      <c r="CO947" s="59"/>
      <c r="CP947" s="59"/>
      <c r="CQ947" s="59"/>
      <c r="CR947" s="59"/>
      <c r="CS947" s="59"/>
      <c r="CT947" s="59"/>
      <c r="CU947" s="59"/>
      <c r="CV947" s="59"/>
      <c r="CW947" s="59"/>
      <c r="CX947" s="59"/>
      <c r="CY947" s="59"/>
      <c r="CZ947" s="59"/>
      <c r="DA947" s="59"/>
      <c r="DB947" s="59"/>
      <c r="DC947" s="59"/>
      <c r="DD947" s="59"/>
      <c r="DE947" s="59"/>
      <c r="DF947" s="59"/>
      <c r="DG947" s="59"/>
    </row>
    <row r="948" spans="1:111" ht="11.25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  <c r="AB948" s="59"/>
      <c r="AC948" s="59"/>
      <c r="AD948" s="59"/>
      <c r="AE948" s="59"/>
      <c r="AF948" s="59"/>
      <c r="AG948" s="59"/>
      <c r="AH948" s="59"/>
      <c r="AI948" s="59"/>
      <c r="AJ948" s="59"/>
      <c r="AK948" s="59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9"/>
      <c r="AW948" s="59"/>
      <c r="AX948" s="59"/>
      <c r="AY948" s="59"/>
      <c r="AZ948" s="59"/>
      <c r="BA948" s="59"/>
      <c r="BB948" s="59"/>
      <c r="BC948" s="59"/>
      <c r="BD948" s="59"/>
      <c r="BE948" s="59"/>
      <c r="BF948" s="59"/>
      <c r="BG948" s="59"/>
      <c r="BH948" s="59"/>
      <c r="BI948" s="59"/>
      <c r="BJ948" s="59"/>
      <c r="BK948" s="59"/>
      <c r="BL948" s="59"/>
      <c r="BM948" s="59"/>
      <c r="BN948" s="59"/>
      <c r="BO948" s="59"/>
      <c r="BP948" s="59"/>
      <c r="BQ948" s="59"/>
      <c r="BR948" s="59"/>
      <c r="BS948" s="59"/>
      <c r="BT948" s="59"/>
      <c r="BU948" s="59"/>
      <c r="BV948" s="59"/>
      <c r="BW948" s="59"/>
      <c r="BX948" s="59"/>
      <c r="BY948" s="59"/>
      <c r="BZ948" s="59"/>
      <c r="CA948" s="59"/>
      <c r="CB948" s="59"/>
      <c r="CC948" s="59"/>
      <c r="CD948" s="59"/>
      <c r="CE948" s="59"/>
      <c r="CF948" s="59"/>
      <c r="CG948" s="59"/>
      <c r="CH948" s="59"/>
      <c r="CI948" s="59"/>
      <c r="CJ948" s="59"/>
      <c r="CK948" s="59"/>
      <c r="CL948" s="59"/>
      <c r="CM948" s="59"/>
      <c r="CN948" s="59"/>
      <c r="CO948" s="59"/>
      <c r="CP948" s="59"/>
      <c r="CQ948" s="59"/>
      <c r="CR948" s="59"/>
      <c r="CS948" s="59"/>
      <c r="CT948" s="59"/>
      <c r="CU948" s="59"/>
      <c r="CV948" s="59"/>
      <c r="CW948" s="59"/>
      <c r="CX948" s="59"/>
      <c r="CY948" s="59"/>
      <c r="CZ948" s="59"/>
      <c r="DA948" s="59"/>
      <c r="DB948" s="59"/>
      <c r="DC948" s="59"/>
      <c r="DD948" s="59"/>
      <c r="DE948" s="59"/>
      <c r="DF948" s="59"/>
      <c r="DG948" s="59"/>
    </row>
    <row r="949" spans="1:111" ht="11.25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  <c r="AB949" s="59"/>
      <c r="AC949" s="59"/>
      <c r="AD949" s="59"/>
      <c r="AE949" s="59"/>
      <c r="AF949" s="59"/>
      <c r="AG949" s="59"/>
      <c r="AH949" s="59"/>
      <c r="AI949" s="59"/>
      <c r="AJ949" s="59"/>
      <c r="AK949" s="59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9"/>
      <c r="AW949" s="59"/>
      <c r="AX949" s="59"/>
      <c r="AY949" s="59"/>
      <c r="AZ949" s="59"/>
      <c r="BA949" s="59"/>
      <c r="BB949" s="59"/>
      <c r="BC949" s="59"/>
      <c r="BD949" s="59"/>
      <c r="BE949" s="59"/>
      <c r="BF949" s="59"/>
      <c r="BG949" s="59"/>
      <c r="BH949" s="59"/>
      <c r="BI949" s="59"/>
      <c r="BJ949" s="59"/>
      <c r="BK949" s="59"/>
      <c r="BL949" s="59"/>
      <c r="BM949" s="59"/>
      <c r="BN949" s="59"/>
      <c r="BO949" s="59"/>
      <c r="BP949" s="59"/>
      <c r="BQ949" s="59"/>
      <c r="BR949" s="59"/>
      <c r="BS949" s="59"/>
      <c r="BT949" s="59"/>
      <c r="BU949" s="59"/>
      <c r="BV949" s="59"/>
      <c r="BW949" s="59"/>
      <c r="BX949" s="59"/>
      <c r="BY949" s="59"/>
      <c r="BZ949" s="59"/>
      <c r="CA949" s="59"/>
      <c r="CB949" s="59"/>
      <c r="CC949" s="59"/>
      <c r="CD949" s="59"/>
      <c r="CE949" s="59"/>
      <c r="CF949" s="59"/>
      <c r="CG949" s="59"/>
      <c r="CH949" s="59"/>
      <c r="CI949" s="59"/>
      <c r="CJ949" s="59"/>
      <c r="CK949" s="59"/>
      <c r="CL949" s="59"/>
      <c r="CM949" s="59"/>
      <c r="CN949" s="59"/>
      <c r="CO949" s="59"/>
      <c r="CP949" s="59"/>
      <c r="CQ949" s="59"/>
      <c r="CR949" s="59"/>
      <c r="CS949" s="59"/>
      <c r="CT949" s="59"/>
      <c r="CU949" s="59"/>
      <c r="CV949" s="59"/>
      <c r="CW949" s="59"/>
      <c r="CX949" s="59"/>
      <c r="CY949" s="59"/>
      <c r="CZ949" s="59"/>
      <c r="DA949" s="59"/>
      <c r="DB949" s="59"/>
      <c r="DC949" s="59"/>
      <c r="DD949" s="59"/>
      <c r="DE949" s="59"/>
      <c r="DF949" s="59"/>
      <c r="DG949" s="59"/>
    </row>
    <row r="950" spans="1:111" ht="11.25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  <c r="AB950" s="59"/>
      <c r="AC950" s="59"/>
      <c r="AD950" s="59"/>
      <c r="AE950" s="59"/>
      <c r="AF950" s="59"/>
      <c r="AG950" s="59"/>
      <c r="AH950" s="59"/>
      <c r="AI950" s="59"/>
      <c r="AJ950" s="59"/>
      <c r="AK950" s="59"/>
      <c r="AL950" s="59"/>
      <c r="AM950" s="59"/>
      <c r="AN950" s="59"/>
      <c r="AO950" s="59"/>
      <c r="AP950" s="59"/>
      <c r="AQ950" s="59"/>
      <c r="AR950" s="59"/>
      <c r="AS950" s="59"/>
      <c r="AT950" s="59"/>
      <c r="AU950" s="59"/>
      <c r="AV950" s="59"/>
      <c r="AW950" s="59"/>
      <c r="AX950" s="59"/>
      <c r="AY950" s="59"/>
      <c r="AZ950" s="59"/>
      <c r="BA950" s="59"/>
      <c r="BB950" s="59"/>
      <c r="BC950" s="59"/>
      <c r="BD950" s="59"/>
      <c r="BE950" s="59"/>
      <c r="BF950" s="59"/>
      <c r="BG950" s="59"/>
      <c r="BH950" s="59"/>
      <c r="BI950" s="59"/>
      <c r="BJ950" s="59"/>
      <c r="BK950" s="59"/>
      <c r="BL950" s="59"/>
      <c r="BM950" s="59"/>
      <c r="BN950" s="59"/>
      <c r="BO950" s="59"/>
      <c r="BP950" s="59"/>
      <c r="BQ950" s="59"/>
      <c r="BR950" s="59"/>
      <c r="BS950" s="59"/>
      <c r="BT950" s="59"/>
      <c r="BU950" s="59"/>
      <c r="BV950" s="59"/>
      <c r="BW950" s="59"/>
      <c r="BX950" s="59"/>
      <c r="BY950" s="59"/>
      <c r="BZ950" s="59"/>
      <c r="CA950" s="59"/>
      <c r="CB950" s="59"/>
      <c r="CC950" s="59"/>
      <c r="CD950" s="59"/>
      <c r="CE950" s="59"/>
      <c r="CF950" s="59"/>
      <c r="CG950" s="59"/>
      <c r="CH950" s="59"/>
      <c r="CI950" s="59"/>
      <c r="CJ950" s="59"/>
      <c r="CK950" s="59"/>
      <c r="CL950" s="59"/>
      <c r="CM950" s="59"/>
      <c r="CN950" s="59"/>
      <c r="CO950" s="59"/>
      <c r="CP950" s="59"/>
      <c r="CQ950" s="59"/>
      <c r="CR950" s="59"/>
      <c r="CS950" s="59"/>
      <c r="CT950" s="59"/>
      <c r="CU950" s="59"/>
      <c r="CV950" s="59"/>
      <c r="CW950" s="59"/>
      <c r="CX950" s="59"/>
      <c r="CY950" s="59"/>
      <c r="CZ950" s="59"/>
      <c r="DA950" s="59"/>
      <c r="DB950" s="59"/>
      <c r="DC950" s="59"/>
      <c r="DD950" s="59"/>
      <c r="DE950" s="59"/>
      <c r="DF950" s="59"/>
      <c r="DG950" s="59"/>
    </row>
    <row r="951" spans="1:111" ht="11.25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  <c r="AB951" s="59"/>
      <c r="AC951" s="59"/>
      <c r="AD951" s="59"/>
      <c r="AE951" s="59"/>
      <c r="AF951" s="59"/>
      <c r="AG951" s="59"/>
      <c r="AH951" s="59"/>
      <c r="AI951" s="59"/>
      <c r="AJ951" s="59"/>
      <c r="AK951" s="59"/>
      <c r="AL951" s="59"/>
      <c r="AM951" s="59"/>
      <c r="AN951" s="59"/>
      <c r="AO951" s="59"/>
      <c r="AP951" s="59"/>
      <c r="AQ951" s="59"/>
      <c r="AR951" s="59"/>
      <c r="AS951" s="59"/>
      <c r="AT951" s="59"/>
      <c r="AU951" s="59"/>
      <c r="AV951" s="59"/>
      <c r="AW951" s="59"/>
      <c r="AX951" s="59"/>
      <c r="AY951" s="59"/>
      <c r="AZ951" s="59"/>
      <c r="BA951" s="59"/>
      <c r="BB951" s="59"/>
      <c r="BC951" s="59"/>
      <c r="BD951" s="59"/>
      <c r="BE951" s="59"/>
      <c r="BF951" s="59"/>
      <c r="BG951" s="59"/>
      <c r="BH951" s="59"/>
      <c r="BI951" s="59"/>
      <c r="BJ951" s="59"/>
      <c r="BK951" s="59"/>
      <c r="BL951" s="59"/>
      <c r="BM951" s="59"/>
      <c r="BN951" s="59"/>
      <c r="BO951" s="59"/>
      <c r="BP951" s="59"/>
      <c r="BQ951" s="59"/>
      <c r="BR951" s="59"/>
      <c r="BS951" s="59"/>
      <c r="BT951" s="59"/>
      <c r="BU951" s="59"/>
      <c r="BV951" s="59"/>
      <c r="BW951" s="59"/>
      <c r="BX951" s="59"/>
      <c r="BY951" s="59"/>
      <c r="BZ951" s="59"/>
      <c r="CA951" s="59"/>
      <c r="CB951" s="59"/>
      <c r="CC951" s="59"/>
      <c r="CD951" s="59"/>
      <c r="CE951" s="59"/>
      <c r="CF951" s="59"/>
      <c r="CG951" s="59"/>
      <c r="CH951" s="59"/>
      <c r="CI951" s="59"/>
      <c r="CJ951" s="59"/>
      <c r="CK951" s="59"/>
      <c r="CL951" s="59"/>
      <c r="CM951" s="59"/>
      <c r="CN951" s="59"/>
      <c r="CO951" s="59"/>
      <c r="CP951" s="59"/>
      <c r="CQ951" s="59"/>
      <c r="CR951" s="59"/>
      <c r="CS951" s="59"/>
      <c r="CT951" s="59"/>
      <c r="CU951" s="59"/>
      <c r="CV951" s="59"/>
      <c r="CW951" s="59"/>
      <c r="CX951" s="59"/>
      <c r="CY951" s="59"/>
      <c r="CZ951" s="59"/>
      <c r="DA951" s="59"/>
      <c r="DB951" s="59"/>
      <c r="DC951" s="59"/>
      <c r="DD951" s="59"/>
      <c r="DE951" s="59"/>
      <c r="DF951" s="59"/>
      <c r="DG951" s="59"/>
    </row>
    <row r="952" spans="1:111" ht="11.25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  <c r="AB952" s="59"/>
      <c r="AC952" s="59"/>
      <c r="AD952" s="59"/>
      <c r="AE952" s="59"/>
      <c r="AF952" s="59"/>
      <c r="AG952" s="59"/>
      <c r="AH952" s="59"/>
      <c r="AI952" s="59"/>
      <c r="AJ952" s="59"/>
      <c r="AK952" s="59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9"/>
      <c r="AW952" s="59"/>
      <c r="AX952" s="59"/>
      <c r="AY952" s="59"/>
      <c r="AZ952" s="59"/>
      <c r="BA952" s="59"/>
      <c r="BB952" s="59"/>
      <c r="BC952" s="59"/>
      <c r="BD952" s="59"/>
      <c r="BE952" s="59"/>
      <c r="BF952" s="59"/>
      <c r="BG952" s="59"/>
      <c r="BH952" s="59"/>
      <c r="BI952" s="59"/>
      <c r="BJ952" s="59"/>
      <c r="BK952" s="59"/>
      <c r="BL952" s="59"/>
      <c r="BM952" s="59"/>
      <c r="BN952" s="59"/>
      <c r="BO952" s="59"/>
      <c r="BP952" s="59"/>
      <c r="BQ952" s="59"/>
      <c r="BR952" s="59"/>
      <c r="BS952" s="59"/>
      <c r="BT952" s="59"/>
      <c r="BU952" s="59"/>
      <c r="BV952" s="59"/>
      <c r="BW952" s="59"/>
      <c r="BX952" s="59"/>
      <c r="BY952" s="59"/>
      <c r="BZ952" s="59"/>
      <c r="CA952" s="59"/>
      <c r="CB952" s="59"/>
      <c r="CC952" s="59"/>
      <c r="CD952" s="59"/>
      <c r="CE952" s="59"/>
      <c r="CF952" s="59"/>
      <c r="CG952" s="59"/>
      <c r="CH952" s="59"/>
      <c r="CI952" s="59"/>
      <c r="CJ952" s="59"/>
      <c r="CK952" s="59"/>
      <c r="CL952" s="59"/>
      <c r="CM952" s="59"/>
      <c r="CN952" s="59"/>
      <c r="CO952" s="59"/>
      <c r="CP952" s="59"/>
      <c r="CQ952" s="59"/>
      <c r="CR952" s="59"/>
      <c r="CS952" s="59"/>
      <c r="CT952" s="59"/>
      <c r="CU952" s="59"/>
      <c r="CV952" s="59"/>
      <c r="CW952" s="59"/>
      <c r="CX952" s="59"/>
      <c r="CY952" s="59"/>
      <c r="CZ952" s="59"/>
      <c r="DA952" s="59"/>
      <c r="DB952" s="59"/>
      <c r="DC952" s="59"/>
      <c r="DD952" s="59"/>
      <c r="DE952" s="59"/>
      <c r="DF952" s="59"/>
      <c r="DG952" s="59"/>
    </row>
    <row r="953" spans="1:111" ht="11.25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  <c r="AB953" s="59"/>
      <c r="AC953" s="59"/>
      <c r="AD953" s="59"/>
      <c r="AE953" s="59"/>
      <c r="AF953" s="59"/>
      <c r="AG953" s="59"/>
      <c r="AH953" s="59"/>
      <c r="AI953" s="59"/>
      <c r="AJ953" s="59"/>
      <c r="AK953" s="59"/>
      <c r="AL953" s="59"/>
      <c r="AM953" s="59"/>
      <c r="AN953" s="59"/>
      <c r="AO953" s="59"/>
      <c r="AP953" s="59"/>
      <c r="AQ953" s="59"/>
      <c r="AR953" s="59"/>
      <c r="AS953" s="59"/>
      <c r="AT953" s="59"/>
      <c r="AU953" s="59"/>
      <c r="AV953" s="59"/>
      <c r="AW953" s="59"/>
      <c r="AX953" s="59"/>
      <c r="AY953" s="59"/>
      <c r="AZ953" s="59"/>
      <c r="BA953" s="59"/>
      <c r="BB953" s="59"/>
      <c r="BC953" s="59"/>
      <c r="BD953" s="59"/>
      <c r="BE953" s="59"/>
      <c r="BF953" s="59"/>
      <c r="BG953" s="59"/>
      <c r="BH953" s="59"/>
      <c r="BI953" s="59"/>
      <c r="BJ953" s="59"/>
      <c r="BK953" s="59"/>
      <c r="BL953" s="59"/>
      <c r="BM953" s="59"/>
      <c r="BN953" s="59"/>
      <c r="BO953" s="59"/>
      <c r="BP953" s="59"/>
      <c r="BQ953" s="59"/>
      <c r="BR953" s="59"/>
      <c r="BS953" s="59"/>
      <c r="BT953" s="59"/>
      <c r="BU953" s="59"/>
      <c r="BV953" s="59"/>
      <c r="BW953" s="59"/>
      <c r="BX953" s="59"/>
      <c r="BY953" s="59"/>
      <c r="BZ953" s="59"/>
      <c r="CA953" s="59"/>
      <c r="CB953" s="59"/>
      <c r="CC953" s="59"/>
      <c r="CD953" s="59"/>
      <c r="CE953" s="59"/>
      <c r="CF953" s="59"/>
      <c r="CG953" s="59"/>
      <c r="CH953" s="59"/>
      <c r="CI953" s="59"/>
      <c r="CJ953" s="59"/>
      <c r="CK953" s="59"/>
      <c r="CL953" s="59"/>
      <c r="CM953" s="59"/>
      <c r="CN953" s="59"/>
      <c r="CO953" s="59"/>
      <c r="CP953" s="59"/>
      <c r="CQ953" s="59"/>
      <c r="CR953" s="59"/>
      <c r="CS953" s="59"/>
      <c r="CT953" s="59"/>
      <c r="CU953" s="59"/>
      <c r="CV953" s="59"/>
      <c r="CW953" s="59"/>
      <c r="CX953" s="59"/>
      <c r="CY953" s="59"/>
      <c r="CZ953" s="59"/>
      <c r="DA953" s="59"/>
      <c r="DB953" s="59"/>
      <c r="DC953" s="59"/>
      <c r="DD953" s="59"/>
      <c r="DE953" s="59"/>
      <c r="DF953" s="59"/>
      <c r="DG953" s="59"/>
    </row>
    <row r="954" spans="1:111" ht="11.25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  <c r="AB954" s="59"/>
      <c r="AC954" s="59"/>
      <c r="AD954" s="59"/>
      <c r="AE954" s="59"/>
      <c r="AF954" s="59"/>
      <c r="AG954" s="59"/>
      <c r="AH954" s="59"/>
      <c r="AI954" s="59"/>
      <c r="AJ954" s="59"/>
      <c r="AK954" s="59"/>
      <c r="AL954" s="59"/>
      <c r="AM954" s="59"/>
      <c r="AN954" s="59"/>
      <c r="AO954" s="59"/>
      <c r="AP954" s="59"/>
      <c r="AQ954" s="59"/>
      <c r="AR954" s="59"/>
      <c r="AS954" s="59"/>
      <c r="AT954" s="59"/>
      <c r="AU954" s="59"/>
      <c r="AV954" s="59"/>
      <c r="AW954" s="59"/>
      <c r="AX954" s="59"/>
      <c r="AY954" s="59"/>
      <c r="AZ954" s="59"/>
      <c r="BA954" s="59"/>
      <c r="BB954" s="59"/>
      <c r="BC954" s="59"/>
      <c r="BD954" s="59"/>
      <c r="BE954" s="59"/>
      <c r="BF954" s="59"/>
      <c r="BG954" s="59"/>
      <c r="BH954" s="59"/>
      <c r="BI954" s="59"/>
      <c r="BJ954" s="59"/>
      <c r="BK954" s="59"/>
      <c r="BL954" s="59"/>
      <c r="BM954" s="59"/>
      <c r="BN954" s="59"/>
      <c r="BO954" s="59"/>
      <c r="BP954" s="59"/>
      <c r="BQ954" s="59"/>
      <c r="BR954" s="59"/>
      <c r="BS954" s="59"/>
      <c r="BT954" s="59"/>
      <c r="BU954" s="59"/>
      <c r="BV954" s="59"/>
      <c r="BW954" s="59"/>
      <c r="BX954" s="59"/>
      <c r="BY954" s="59"/>
      <c r="BZ954" s="59"/>
      <c r="CA954" s="59"/>
      <c r="CB954" s="59"/>
      <c r="CC954" s="59"/>
      <c r="CD954" s="59"/>
      <c r="CE954" s="59"/>
      <c r="CF954" s="59"/>
      <c r="CG954" s="59"/>
      <c r="CH954" s="59"/>
      <c r="CI954" s="59"/>
      <c r="CJ954" s="59"/>
      <c r="CK954" s="59"/>
      <c r="CL954" s="59"/>
      <c r="CM954" s="59"/>
      <c r="CN954" s="59"/>
      <c r="CO954" s="59"/>
      <c r="CP954" s="59"/>
      <c r="CQ954" s="59"/>
      <c r="CR954" s="59"/>
      <c r="CS954" s="59"/>
      <c r="CT954" s="59"/>
      <c r="CU954" s="59"/>
      <c r="CV954" s="59"/>
      <c r="CW954" s="59"/>
      <c r="CX954" s="59"/>
      <c r="CY954" s="59"/>
      <c r="CZ954" s="59"/>
      <c r="DA954" s="59"/>
      <c r="DB954" s="59"/>
      <c r="DC954" s="59"/>
      <c r="DD954" s="59"/>
      <c r="DE954" s="59"/>
      <c r="DF954" s="59"/>
      <c r="DG954" s="59"/>
    </row>
    <row r="955" spans="1:111" ht="11.25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  <c r="AB955" s="59"/>
      <c r="AC955" s="59"/>
      <c r="AD955" s="59"/>
      <c r="AE955" s="59"/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9"/>
      <c r="AW955" s="59"/>
      <c r="AX955" s="59"/>
      <c r="AY955" s="59"/>
      <c r="AZ955" s="59"/>
      <c r="BA955" s="59"/>
      <c r="BB955" s="59"/>
      <c r="BC955" s="59"/>
      <c r="BD955" s="59"/>
      <c r="BE955" s="59"/>
      <c r="BF955" s="59"/>
      <c r="BG955" s="59"/>
      <c r="BH955" s="59"/>
      <c r="BI955" s="59"/>
      <c r="BJ955" s="59"/>
      <c r="BK955" s="59"/>
      <c r="BL955" s="59"/>
      <c r="BM955" s="59"/>
      <c r="BN955" s="59"/>
      <c r="BO955" s="59"/>
      <c r="BP955" s="59"/>
      <c r="BQ955" s="59"/>
      <c r="BR955" s="59"/>
      <c r="BS955" s="59"/>
      <c r="BT955" s="59"/>
      <c r="BU955" s="59"/>
      <c r="BV955" s="59"/>
      <c r="BW955" s="59"/>
      <c r="BX955" s="59"/>
      <c r="BY955" s="59"/>
      <c r="BZ955" s="59"/>
      <c r="CA955" s="59"/>
      <c r="CB955" s="59"/>
      <c r="CC955" s="59"/>
      <c r="CD955" s="59"/>
      <c r="CE955" s="59"/>
      <c r="CF955" s="59"/>
      <c r="CG955" s="59"/>
      <c r="CH955" s="59"/>
      <c r="CI955" s="59"/>
      <c r="CJ955" s="59"/>
      <c r="CK955" s="59"/>
      <c r="CL955" s="59"/>
      <c r="CM955" s="59"/>
      <c r="CN955" s="59"/>
      <c r="CO955" s="59"/>
      <c r="CP955" s="59"/>
      <c r="CQ955" s="59"/>
      <c r="CR955" s="59"/>
      <c r="CS955" s="59"/>
      <c r="CT955" s="59"/>
      <c r="CU955" s="59"/>
      <c r="CV955" s="59"/>
      <c r="CW955" s="59"/>
      <c r="CX955" s="59"/>
      <c r="CY955" s="59"/>
      <c r="CZ955" s="59"/>
      <c r="DA955" s="59"/>
      <c r="DB955" s="59"/>
      <c r="DC955" s="59"/>
      <c r="DD955" s="59"/>
      <c r="DE955" s="59"/>
      <c r="DF955" s="59"/>
      <c r="DG955" s="59"/>
    </row>
    <row r="956" spans="1:111" ht="11.25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  <c r="AI956" s="59"/>
      <c r="AJ956" s="59"/>
      <c r="AK956" s="59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9"/>
      <c r="AW956" s="59"/>
      <c r="AX956" s="59"/>
      <c r="AY956" s="59"/>
      <c r="AZ956" s="59"/>
      <c r="BA956" s="59"/>
      <c r="BB956" s="59"/>
      <c r="BC956" s="59"/>
      <c r="BD956" s="59"/>
      <c r="BE956" s="59"/>
      <c r="BF956" s="59"/>
      <c r="BG956" s="59"/>
      <c r="BH956" s="59"/>
      <c r="BI956" s="59"/>
      <c r="BJ956" s="59"/>
      <c r="BK956" s="59"/>
      <c r="BL956" s="59"/>
      <c r="BM956" s="59"/>
      <c r="BN956" s="59"/>
      <c r="BO956" s="59"/>
      <c r="BP956" s="59"/>
      <c r="BQ956" s="59"/>
      <c r="BR956" s="59"/>
      <c r="BS956" s="59"/>
      <c r="BT956" s="59"/>
      <c r="BU956" s="59"/>
      <c r="BV956" s="59"/>
      <c r="BW956" s="59"/>
      <c r="BX956" s="59"/>
      <c r="BY956" s="59"/>
      <c r="BZ956" s="59"/>
      <c r="CA956" s="59"/>
      <c r="CB956" s="59"/>
      <c r="CC956" s="59"/>
      <c r="CD956" s="59"/>
      <c r="CE956" s="59"/>
      <c r="CF956" s="59"/>
      <c r="CG956" s="59"/>
      <c r="CH956" s="59"/>
      <c r="CI956" s="59"/>
      <c r="CJ956" s="59"/>
      <c r="CK956" s="59"/>
      <c r="CL956" s="59"/>
      <c r="CM956" s="59"/>
      <c r="CN956" s="59"/>
      <c r="CO956" s="59"/>
      <c r="CP956" s="59"/>
      <c r="CQ956" s="59"/>
      <c r="CR956" s="59"/>
      <c r="CS956" s="59"/>
      <c r="CT956" s="59"/>
      <c r="CU956" s="59"/>
      <c r="CV956" s="59"/>
      <c r="CW956" s="59"/>
      <c r="CX956" s="59"/>
      <c r="CY956" s="59"/>
      <c r="CZ956" s="59"/>
      <c r="DA956" s="59"/>
      <c r="DB956" s="59"/>
      <c r="DC956" s="59"/>
      <c r="DD956" s="59"/>
      <c r="DE956" s="59"/>
      <c r="DF956" s="59"/>
      <c r="DG956" s="59"/>
    </row>
    <row r="957" spans="1:111" ht="11.25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  <c r="AI957" s="59"/>
      <c r="AJ957" s="59"/>
      <c r="AK957" s="59"/>
      <c r="AL957" s="59"/>
      <c r="AM957" s="59"/>
      <c r="AN957" s="59"/>
      <c r="AO957" s="59"/>
      <c r="AP957" s="59"/>
      <c r="AQ957" s="59"/>
      <c r="AR957" s="59"/>
      <c r="AS957" s="59"/>
      <c r="AT957" s="59"/>
      <c r="AU957" s="59"/>
      <c r="AV957" s="59"/>
      <c r="AW957" s="59"/>
      <c r="AX957" s="59"/>
      <c r="AY957" s="59"/>
      <c r="AZ957" s="59"/>
      <c r="BA957" s="59"/>
      <c r="BB957" s="59"/>
      <c r="BC957" s="59"/>
      <c r="BD957" s="59"/>
      <c r="BE957" s="59"/>
      <c r="BF957" s="59"/>
      <c r="BG957" s="59"/>
      <c r="BH957" s="59"/>
      <c r="BI957" s="59"/>
      <c r="BJ957" s="59"/>
      <c r="BK957" s="59"/>
      <c r="BL957" s="59"/>
      <c r="BM957" s="59"/>
      <c r="BN957" s="59"/>
      <c r="BO957" s="59"/>
      <c r="BP957" s="59"/>
      <c r="BQ957" s="59"/>
      <c r="BR957" s="59"/>
      <c r="BS957" s="59"/>
      <c r="BT957" s="59"/>
      <c r="BU957" s="59"/>
      <c r="BV957" s="59"/>
      <c r="BW957" s="59"/>
      <c r="BX957" s="59"/>
      <c r="BY957" s="59"/>
      <c r="BZ957" s="59"/>
      <c r="CA957" s="59"/>
      <c r="CB957" s="59"/>
      <c r="CC957" s="59"/>
      <c r="CD957" s="59"/>
      <c r="CE957" s="59"/>
      <c r="CF957" s="59"/>
      <c r="CG957" s="59"/>
      <c r="CH957" s="59"/>
      <c r="CI957" s="59"/>
      <c r="CJ957" s="59"/>
      <c r="CK957" s="59"/>
      <c r="CL957" s="59"/>
      <c r="CM957" s="59"/>
      <c r="CN957" s="59"/>
      <c r="CO957" s="59"/>
      <c r="CP957" s="59"/>
      <c r="CQ957" s="59"/>
      <c r="CR957" s="59"/>
      <c r="CS957" s="59"/>
      <c r="CT957" s="59"/>
      <c r="CU957" s="59"/>
      <c r="CV957" s="59"/>
      <c r="CW957" s="59"/>
      <c r="CX957" s="59"/>
      <c r="CY957" s="59"/>
      <c r="CZ957" s="59"/>
      <c r="DA957" s="59"/>
      <c r="DB957" s="59"/>
      <c r="DC957" s="59"/>
      <c r="DD957" s="59"/>
      <c r="DE957" s="59"/>
      <c r="DF957" s="59"/>
      <c r="DG957" s="59"/>
    </row>
    <row r="958" spans="1:111" ht="11.25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  <c r="AB958" s="59"/>
      <c r="AC958" s="59"/>
      <c r="AD958" s="59"/>
      <c r="AE958" s="59"/>
      <c r="AF958" s="59"/>
      <c r="AG958" s="59"/>
      <c r="AH958" s="59"/>
      <c r="AI958" s="59"/>
      <c r="AJ958" s="59"/>
      <c r="AK958" s="59"/>
      <c r="AL958" s="59"/>
      <c r="AM958" s="59"/>
      <c r="AN958" s="59"/>
      <c r="AO958" s="59"/>
      <c r="AP958" s="59"/>
      <c r="AQ958" s="59"/>
      <c r="AR958" s="59"/>
      <c r="AS958" s="59"/>
      <c r="AT958" s="59"/>
      <c r="AU958" s="59"/>
      <c r="AV958" s="59"/>
      <c r="AW958" s="59"/>
      <c r="AX958" s="59"/>
      <c r="AY958" s="59"/>
      <c r="AZ958" s="59"/>
      <c r="BA958" s="59"/>
      <c r="BB958" s="59"/>
      <c r="BC958" s="59"/>
      <c r="BD958" s="59"/>
      <c r="BE958" s="59"/>
      <c r="BF958" s="59"/>
      <c r="BG958" s="59"/>
      <c r="BH958" s="59"/>
      <c r="BI958" s="59"/>
      <c r="BJ958" s="59"/>
      <c r="BK958" s="59"/>
      <c r="BL958" s="59"/>
      <c r="BM958" s="59"/>
      <c r="BN958" s="59"/>
      <c r="BO958" s="59"/>
      <c r="BP958" s="59"/>
      <c r="BQ958" s="59"/>
      <c r="BR958" s="59"/>
      <c r="BS958" s="59"/>
      <c r="BT958" s="59"/>
      <c r="BU958" s="59"/>
      <c r="BV958" s="59"/>
      <c r="BW958" s="59"/>
      <c r="BX958" s="59"/>
      <c r="BY958" s="59"/>
      <c r="BZ958" s="59"/>
      <c r="CA958" s="59"/>
      <c r="CB958" s="59"/>
      <c r="CC958" s="59"/>
      <c r="CD958" s="59"/>
      <c r="CE958" s="59"/>
      <c r="CF958" s="59"/>
      <c r="CG958" s="59"/>
      <c r="CH958" s="59"/>
      <c r="CI958" s="59"/>
      <c r="CJ958" s="59"/>
      <c r="CK958" s="59"/>
      <c r="CL958" s="59"/>
      <c r="CM958" s="59"/>
      <c r="CN958" s="59"/>
      <c r="CO958" s="59"/>
      <c r="CP958" s="59"/>
      <c r="CQ958" s="59"/>
      <c r="CR958" s="59"/>
      <c r="CS958" s="59"/>
      <c r="CT958" s="59"/>
      <c r="CU958" s="59"/>
      <c r="CV958" s="59"/>
      <c r="CW958" s="59"/>
      <c r="CX958" s="59"/>
      <c r="CY958" s="59"/>
      <c r="CZ958" s="59"/>
      <c r="DA958" s="59"/>
      <c r="DB958" s="59"/>
      <c r="DC958" s="59"/>
      <c r="DD958" s="59"/>
      <c r="DE958" s="59"/>
      <c r="DF958" s="59"/>
      <c r="DG958" s="59"/>
    </row>
    <row r="959" spans="1:111" ht="11.25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  <c r="AB959" s="59"/>
      <c r="AC959" s="59"/>
      <c r="AD959" s="59"/>
      <c r="AE959" s="59"/>
      <c r="AF959" s="59"/>
      <c r="AG959" s="59"/>
      <c r="AH959" s="59"/>
      <c r="AI959" s="59"/>
      <c r="AJ959" s="59"/>
      <c r="AK959" s="59"/>
      <c r="AL959" s="59"/>
      <c r="AM959" s="59"/>
      <c r="AN959" s="59"/>
      <c r="AO959" s="59"/>
      <c r="AP959" s="59"/>
      <c r="AQ959" s="59"/>
      <c r="AR959" s="59"/>
      <c r="AS959" s="59"/>
      <c r="AT959" s="59"/>
      <c r="AU959" s="59"/>
      <c r="AV959" s="59"/>
      <c r="AW959" s="59"/>
      <c r="AX959" s="59"/>
      <c r="AY959" s="59"/>
      <c r="AZ959" s="59"/>
      <c r="BA959" s="59"/>
      <c r="BB959" s="59"/>
      <c r="BC959" s="59"/>
      <c r="BD959" s="59"/>
      <c r="BE959" s="59"/>
      <c r="BF959" s="59"/>
      <c r="BG959" s="59"/>
      <c r="BH959" s="59"/>
      <c r="BI959" s="59"/>
      <c r="BJ959" s="59"/>
      <c r="BK959" s="59"/>
      <c r="BL959" s="59"/>
      <c r="BM959" s="59"/>
      <c r="BN959" s="59"/>
      <c r="BO959" s="59"/>
      <c r="BP959" s="59"/>
      <c r="BQ959" s="59"/>
      <c r="BR959" s="59"/>
      <c r="BS959" s="59"/>
      <c r="BT959" s="59"/>
      <c r="BU959" s="59"/>
      <c r="BV959" s="59"/>
      <c r="BW959" s="59"/>
      <c r="BX959" s="59"/>
      <c r="BY959" s="59"/>
      <c r="BZ959" s="59"/>
      <c r="CA959" s="59"/>
      <c r="CB959" s="59"/>
      <c r="CC959" s="59"/>
      <c r="CD959" s="59"/>
      <c r="CE959" s="59"/>
      <c r="CF959" s="59"/>
      <c r="CG959" s="59"/>
      <c r="CH959" s="59"/>
      <c r="CI959" s="59"/>
      <c r="CJ959" s="59"/>
      <c r="CK959" s="59"/>
      <c r="CL959" s="59"/>
      <c r="CM959" s="59"/>
      <c r="CN959" s="59"/>
      <c r="CO959" s="59"/>
      <c r="CP959" s="59"/>
      <c r="CQ959" s="59"/>
      <c r="CR959" s="59"/>
      <c r="CS959" s="59"/>
      <c r="CT959" s="59"/>
      <c r="CU959" s="59"/>
      <c r="CV959" s="59"/>
      <c r="CW959" s="59"/>
      <c r="CX959" s="59"/>
      <c r="CY959" s="59"/>
      <c r="CZ959" s="59"/>
      <c r="DA959" s="59"/>
      <c r="DB959" s="59"/>
      <c r="DC959" s="59"/>
      <c r="DD959" s="59"/>
      <c r="DE959" s="59"/>
      <c r="DF959" s="59"/>
      <c r="DG959" s="59"/>
    </row>
    <row r="960" spans="1:111" ht="11.25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  <c r="AB960" s="59"/>
      <c r="AC960" s="59"/>
      <c r="AD960" s="59"/>
      <c r="AE960" s="59"/>
      <c r="AF960" s="59"/>
      <c r="AG960" s="59"/>
      <c r="AH960" s="59"/>
      <c r="AI960" s="59"/>
      <c r="AJ960" s="59"/>
      <c r="AK960" s="59"/>
      <c r="AL960" s="59"/>
      <c r="AM960" s="59"/>
      <c r="AN960" s="59"/>
      <c r="AO960" s="59"/>
      <c r="AP960" s="59"/>
      <c r="AQ960" s="59"/>
      <c r="AR960" s="59"/>
      <c r="AS960" s="59"/>
      <c r="AT960" s="59"/>
      <c r="AU960" s="59"/>
      <c r="AV960" s="59"/>
      <c r="AW960" s="59"/>
      <c r="AX960" s="59"/>
      <c r="AY960" s="59"/>
      <c r="AZ960" s="59"/>
      <c r="BA960" s="59"/>
      <c r="BB960" s="59"/>
      <c r="BC960" s="59"/>
      <c r="BD960" s="59"/>
      <c r="BE960" s="59"/>
      <c r="BF960" s="59"/>
      <c r="BG960" s="59"/>
      <c r="BH960" s="59"/>
      <c r="BI960" s="59"/>
      <c r="BJ960" s="59"/>
      <c r="BK960" s="59"/>
      <c r="BL960" s="59"/>
      <c r="BM960" s="59"/>
      <c r="BN960" s="59"/>
      <c r="BO960" s="59"/>
      <c r="BP960" s="59"/>
      <c r="BQ960" s="59"/>
      <c r="BR960" s="59"/>
      <c r="BS960" s="59"/>
      <c r="BT960" s="59"/>
      <c r="BU960" s="59"/>
      <c r="BV960" s="59"/>
      <c r="BW960" s="59"/>
      <c r="BX960" s="59"/>
      <c r="BY960" s="59"/>
      <c r="BZ960" s="59"/>
      <c r="CA960" s="59"/>
      <c r="CB960" s="59"/>
      <c r="CC960" s="59"/>
      <c r="CD960" s="59"/>
      <c r="CE960" s="59"/>
      <c r="CF960" s="59"/>
      <c r="CG960" s="59"/>
      <c r="CH960" s="59"/>
      <c r="CI960" s="59"/>
      <c r="CJ960" s="59"/>
      <c r="CK960" s="59"/>
      <c r="CL960" s="59"/>
      <c r="CM960" s="59"/>
      <c r="CN960" s="59"/>
      <c r="CO960" s="59"/>
      <c r="CP960" s="59"/>
      <c r="CQ960" s="59"/>
      <c r="CR960" s="59"/>
      <c r="CS960" s="59"/>
      <c r="CT960" s="59"/>
      <c r="CU960" s="59"/>
      <c r="CV960" s="59"/>
      <c r="CW960" s="59"/>
      <c r="CX960" s="59"/>
      <c r="CY960" s="59"/>
      <c r="CZ960" s="59"/>
      <c r="DA960" s="59"/>
      <c r="DB960" s="59"/>
      <c r="DC960" s="59"/>
      <c r="DD960" s="59"/>
      <c r="DE960" s="59"/>
      <c r="DF960" s="59"/>
      <c r="DG960" s="59"/>
    </row>
    <row r="961" spans="1:111" ht="11.25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  <c r="AB961" s="59"/>
      <c r="AC961" s="59"/>
      <c r="AD961" s="59"/>
      <c r="AE961" s="59"/>
      <c r="AF961" s="59"/>
      <c r="AG961" s="59"/>
      <c r="AH961" s="59"/>
      <c r="AI961" s="59"/>
      <c r="AJ961" s="59"/>
      <c r="AK961" s="59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9"/>
      <c r="AW961" s="59"/>
      <c r="AX961" s="59"/>
      <c r="AY961" s="59"/>
      <c r="AZ961" s="59"/>
      <c r="BA961" s="59"/>
      <c r="BB961" s="59"/>
      <c r="BC961" s="59"/>
      <c r="BD961" s="59"/>
      <c r="BE961" s="59"/>
      <c r="BF961" s="59"/>
      <c r="BG961" s="59"/>
      <c r="BH961" s="59"/>
      <c r="BI961" s="59"/>
      <c r="BJ961" s="59"/>
      <c r="BK961" s="59"/>
      <c r="BL961" s="59"/>
      <c r="BM961" s="59"/>
      <c r="BN961" s="59"/>
      <c r="BO961" s="59"/>
      <c r="BP961" s="59"/>
      <c r="BQ961" s="59"/>
      <c r="BR961" s="59"/>
      <c r="BS961" s="59"/>
      <c r="BT961" s="59"/>
      <c r="BU961" s="59"/>
      <c r="BV961" s="59"/>
      <c r="BW961" s="59"/>
      <c r="BX961" s="59"/>
      <c r="BY961" s="59"/>
      <c r="BZ961" s="59"/>
      <c r="CA961" s="59"/>
      <c r="CB961" s="59"/>
      <c r="CC961" s="59"/>
      <c r="CD961" s="59"/>
      <c r="CE961" s="59"/>
      <c r="CF961" s="59"/>
      <c r="CG961" s="59"/>
      <c r="CH961" s="59"/>
      <c r="CI961" s="59"/>
      <c r="CJ961" s="59"/>
      <c r="CK961" s="59"/>
      <c r="CL961" s="59"/>
      <c r="CM961" s="59"/>
      <c r="CN961" s="59"/>
      <c r="CO961" s="59"/>
      <c r="CP961" s="59"/>
      <c r="CQ961" s="59"/>
      <c r="CR961" s="59"/>
      <c r="CS961" s="59"/>
      <c r="CT961" s="59"/>
      <c r="CU961" s="59"/>
      <c r="CV961" s="59"/>
      <c r="CW961" s="59"/>
      <c r="CX961" s="59"/>
      <c r="CY961" s="59"/>
      <c r="CZ961" s="59"/>
      <c r="DA961" s="59"/>
      <c r="DB961" s="59"/>
      <c r="DC961" s="59"/>
      <c r="DD961" s="59"/>
      <c r="DE961" s="59"/>
      <c r="DF961" s="59"/>
      <c r="DG961" s="59"/>
    </row>
    <row r="962" spans="1:111" ht="11.25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59"/>
      <c r="AO962" s="59"/>
      <c r="AP962" s="59"/>
      <c r="AQ962" s="59"/>
      <c r="AR962" s="59"/>
      <c r="AS962" s="59"/>
      <c r="AT962" s="59"/>
      <c r="AU962" s="59"/>
      <c r="AV962" s="59"/>
      <c r="AW962" s="59"/>
      <c r="AX962" s="59"/>
      <c r="AY962" s="59"/>
      <c r="AZ962" s="59"/>
      <c r="BA962" s="59"/>
      <c r="BB962" s="59"/>
      <c r="BC962" s="59"/>
      <c r="BD962" s="59"/>
      <c r="BE962" s="59"/>
      <c r="BF962" s="59"/>
      <c r="BG962" s="59"/>
      <c r="BH962" s="59"/>
      <c r="BI962" s="59"/>
      <c r="BJ962" s="59"/>
      <c r="BK962" s="59"/>
      <c r="BL962" s="59"/>
      <c r="BM962" s="59"/>
      <c r="BN962" s="59"/>
      <c r="BO962" s="59"/>
      <c r="BP962" s="59"/>
      <c r="BQ962" s="59"/>
      <c r="BR962" s="59"/>
      <c r="BS962" s="59"/>
      <c r="BT962" s="59"/>
      <c r="BU962" s="59"/>
      <c r="BV962" s="59"/>
      <c r="BW962" s="59"/>
      <c r="BX962" s="59"/>
      <c r="BY962" s="59"/>
      <c r="BZ962" s="59"/>
      <c r="CA962" s="59"/>
      <c r="CB962" s="59"/>
      <c r="CC962" s="59"/>
      <c r="CD962" s="59"/>
      <c r="CE962" s="59"/>
      <c r="CF962" s="59"/>
      <c r="CG962" s="59"/>
      <c r="CH962" s="59"/>
      <c r="CI962" s="59"/>
      <c r="CJ962" s="59"/>
      <c r="CK962" s="59"/>
      <c r="CL962" s="59"/>
      <c r="CM962" s="59"/>
      <c r="CN962" s="59"/>
      <c r="CO962" s="59"/>
      <c r="CP962" s="59"/>
      <c r="CQ962" s="59"/>
      <c r="CR962" s="59"/>
      <c r="CS962" s="59"/>
      <c r="CT962" s="59"/>
      <c r="CU962" s="59"/>
      <c r="CV962" s="59"/>
      <c r="CW962" s="59"/>
      <c r="CX962" s="59"/>
      <c r="CY962" s="59"/>
      <c r="CZ962" s="59"/>
      <c r="DA962" s="59"/>
      <c r="DB962" s="59"/>
      <c r="DC962" s="59"/>
      <c r="DD962" s="59"/>
      <c r="DE962" s="59"/>
      <c r="DF962" s="59"/>
      <c r="DG962" s="59"/>
    </row>
    <row r="963" spans="1:111" ht="11.25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  <c r="AI963" s="59"/>
      <c r="AJ963" s="59"/>
      <c r="AK963" s="59"/>
      <c r="AL963" s="59"/>
      <c r="AM963" s="59"/>
      <c r="AN963" s="59"/>
      <c r="AO963" s="59"/>
      <c r="AP963" s="59"/>
      <c r="AQ963" s="59"/>
      <c r="AR963" s="59"/>
      <c r="AS963" s="59"/>
      <c r="AT963" s="59"/>
      <c r="AU963" s="59"/>
      <c r="AV963" s="59"/>
      <c r="AW963" s="59"/>
      <c r="AX963" s="59"/>
      <c r="AY963" s="59"/>
      <c r="AZ963" s="59"/>
      <c r="BA963" s="59"/>
      <c r="BB963" s="59"/>
      <c r="BC963" s="59"/>
      <c r="BD963" s="59"/>
      <c r="BE963" s="59"/>
      <c r="BF963" s="59"/>
      <c r="BG963" s="59"/>
      <c r="BH963" s="59"/>
      <c r="BI963" s="59"/>
      <c r="BJ963" s="59"/>
      <c r="BK963" s="59"/>
      <c r="BL963" s="59"/>
      <c r="BM963" s="59"/>
      <c r="BN963" s="59"/>
      <c r="BO963" s="59"/>
      <c r="BP963" s="59"/>
      <c r="BQ963" s="59"/>
      <c r="BR963" s="59"/>
      <c r="BS963" s="59"/>
      <c r="BT963" s="59"/>
      <c r="BU963" s="59"/>
      <c r="BV963" s="59"/>
      <c r="BW963" s="59"/>
      <c r="BX963" s="59"/>
      <c r="BY963" s="59"/>
      <c r="BZ963" s="59"/>
      <c r="CA963" s="59"/>
      <c r="CB963" s="59"/>
      <c r="CC963" s="59"/>
      <c r="CD963" s="59"/>
      <c r="CE963" s="59"/>
      <c r="CF963" s="59"/>
      <c r="CG963" s="59"/>
      <c r="CH963" s="59"/>
      <c r="CI963" s="59"/>
      <c r="CJ963" s="59"/>
      <c r="CK963" s="59"/>
      <c r="CL963" s="59"/>
      <c r="CM963" s="59"/>
      <c r="CN963" s="59"/>
      <c r="CO963" s="59"/>
      <c r="CP963" s="59"/>
      <c r="CQ963" s="59"/>
      <c r="CR963" s="59"/>
      <c r="CS963" s="59"/>
      <c r="CT963" s="59"/>
      <c r="CU963" s="59"/>
      <c r="CV963" s="59"/>
      <c r="CW963" s="59"/>
      <c r="CX963" s="59"/>
      <c r="CY963" s="59"/>
      <c r="CZ963" s="59"/>
      <c r="DA963" s="59"/>
      <c r="DB963" s="59"/>
      <c r="DC963" s="59"/>
      <c r="DD963" s="59"/>
      <c r="DE963" s="59"/>
      <c r="DF963" s="59"/>
      <c r="DG963" s="59"/>
    </row>
    <row r="964" spans="1:111" ht="11.25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  <c r="BC964" s="59"/>
      <c r="BD964" s="59"/>
      <c r="BE964" s="59"/>
      <c r="BF964" s="59"/>
      <c r="BG964" s="59"/>
      <c r="BH964" s="59"/>
      <c r="BI964" s="59"/>
      <c r="BJ964" s="59"/>
      <c r="BK964" s="59"/>
      <c r="BL964" s="59"/>
      <c r="BM964" s="59"/>
      <c r="BN964" s="59"/>
      <c r="BO964" s="59"/>
      <c r="BP964" s="59"/>
      <c r="BQ964" s="59"/>
      <c r="BR964" s="59"/>
      <c r="BS964" s="59"/>
      <c r="BT964" s="59"/>
      <c r="BU964" s="59"/>
      <c r="BV964" s="59"/>
      <c r="BW964" s="59"/>
      <c r="BX964" s="59"/>
      <c r="BY964" s="59"/>
      <c r="BZ964" s="59"/>
      <c r="CA964" s="59"/>
      <c r="CB964" s="59"/>
      <c r="CC964" s="59"/>
      <c r="CD964" s="59"/>
      <c r="CE964" s="59"/>
      <c r="CF964" s="59"/>
      <c r="CG964" s="59"/>
      <c r="CH964" s="59"/>
      <c r="CI964" s="59"/>
      <c r="CJ964" s="59"/>
      <c r="CK964" s="59"/>
      <c r="CL964" s="59"/>
      <c r="CM964" s="59"/>
      <c r="CN964" s="59"/>
      <c r="CO964" s="59"/>
      <c r="CP964" s="59"/>
      <c r="CQ964" s="59"/>
      <c r="CR964" s="59"/>
      <c r="CS964" s="59"/>
      <c r="CT964" s="59"/>
      <c r="CU964" s="59"/>
      <c r="CV964" s="59"/>
      <c r="CW964" s="59"/>
      <c r="CX964" s="59"/>
      <c r="CY964" s="59"/>
      <c r="CZ964" s="59"/>
      <c r="DA964" s="59"/>
      <c r="DB964" s="59"/>
      <c r="DC964" s="59"/>
      <c r="DD964" s="59"/>
      <c r="DE964" s="59"/>
      <c r="DF964" s="59"/>
      <c r="DG964" s="59"/>
    </row>
    <row r="965" spans="1:111" ht="11.25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59"/>
      <c r="AM965" s="59"/>
      <c r="AN965" s="59"/>
      <c r="AO965" s="59"/>
      <c r="AP965" s="59"/>
      <c r="AQ965" s="59"/>
      <c r="AR965" s="59"/>
      <c r="AS965" s="59"/>
      <c r="AT965" s="59"/>
      <c r="AU965" s="59"/>
      <c r="AV965" s="59"/>
      <c r="AW965" s="59"/>
      <c r="AX965" s="59"/>
      <c r="AY965" s="59"/>
      <c r="AZ965" s="59"/>
      <c r="BA965" s="59"/>
      <c r="BB965" s="59"/>
      <c r="BC965" s="59"/>
      <c r="BD965" s="59"/>
      <c r="BE965" s="59"/>
      <c r="BF965" s="59"/>
      <c r="BG965" s="59"/>
      <c r="BH965" s="59"/>
      <c r="BI965" s="59"/>
      <c r="BJ965" s="59"/>
      <c r="BK965" s="59"/>
      <c r="BL965" s="59"/>
      <c r="BM965" s="59"/>
      <c r="BN965" s="59"/>
      <c r="BO965" s="59"/>
      <c r="BP965" s="59"/>
      <c r="BQ965" s="59"/>
      <c r="BR965" s="59"/>
      <c r="BS965" s="59"/>
      <c r="BT965" s="59"/>
      <c r="BU965" s="59"/>
      <c r="BV965" s="59"/>
      <c r="BW965" s="59"/>
      <c r="BX965" s="59"/>
      <c r="BY965" s="59"/>
      <c r="BZ965" s="59"/>
      <c r="CA965" s="59"/>
      <c r="CB965" s="59"/>
      <c r="CC965" s="59"/>
      <c r="CD965" s="59"/>
      <c r="CE965" s="59"/>
      <c r="CF965" s="59"/>
      <c r="CG965" s="59"/>
      <c r="CH965" s="59"/>
      <c r="CI965" s="59"/>
      <c r="CJ965" s="59"/>
      <c r="CK965" s="59"/>
      <c r="CL965" s="59"/>
      <c r="CM965" s="59"/>
      <c r="CN965" s="59"/>
      <c r="CO965" s="59"/>
      <c r="CP965" s="59"/>
      <c r="CQ965" s="59"/>
      <c r="CR965" s="59"/>
      <c r="CS965" s="59"/>
      <c r="CT965" s="59"/>
      <c r="CU965" s="59"/>
      <c r="CV965" s="59"/>
      <c r="CW965" s="59"/>
      <c r="CX965" s="59"/>
      <c r="CY965" s="59"/>
      <c r="CZ965" s="59"/>
      <c r="DA965" s="59"/>
      <c r="DB965" s="59"/>
      <c r="DC965" s="59"/>
      <c r="DD965" s="59"/>
      <c r="DE965" s="59"/>
      <c r="DF965" s="59"/>
      <c r="DG965" s="59"/>
    </row>
    <row r="966" spans="1:111" ht="11.25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59"/>
      <c r="AM966" s="59"/>
      <c r="AN966" s="59"/>
      <c r="AO966" s="59"/>
      <c r="AP966" s="59"/>
      <c r="AQ966" s="59"/>
      <c r="AR966" s="59"/>
      <c r="AS966" s="59"/>
      <c r="AT966" s="59"/>
      <c r="AU966" s="59"/>
      <c r="AV966" s="59"/>
      <c r="AW966" s="59"/>
      <c r="AX966" s="59"/>
      <c r="AY966" s="59"/>
      <c r="AZ966" s="59"/>
      <c r="BA966" s="59"/>
      <c r="BB966" s="59"/>
      <c r="BC966" s="59"/>
      <c r="BD966" s="59"/>
      <c r="BE966" s="59"/>
      <c r="BF966" s="59"/>
      <c r="BG966" s="59"/>
      <c r="BH966" s="59"/>
      <c r="BI966" s="59"/>
      <c r="BJ966" s="59"/>
      <c r="BK966" s="59"/>
      <c r="BL966" s="59"/>
      <c r="BM966" s="59"/>
      <c r="BN966" s="59"/>
      <c r="BO966" s="59"/>
      <c r="BP966" s="59"/>
      <c r="BQ966" s="59"/>
      <c r="BR966" s="59"/>
      <c r="BS966" s="59"/>
      <c r="BT966" s="59"/>
      <c r="BU966" s="59"/>
      <c r="BV966" s="59"/>
      <c r="BW966" s="59"/>
      <c r="BX966" s="59"/>
      <c r="BY966" s="59"/>
      <c r="BZ966" s="59"/>
      <c r="CA966" s="59"/>
      <c r="CB966" s="59"/>
      <c r="CC966" s="59"/>
      <c r="CD966" s="59"/>
      <c r="CE966" s="59"/>
      <c r="CF966" s="59"/>
      <c r="CG966" s="59"/>
      <c r="CH966" s="59"/>
      <c r="CI966" s="59"/>
      <c r="CJ966" s="59"/>
      <c r="CK966" s="59"/>
      <c r="CL966" s="59"/>
      <c r="CM966" s="59"/>
      <c r="CN966" s="59"/>
      <c r="CO966" s="59"/>
      <c r="CP966" s="59"/>
      <c r="CQ966" s="59"/>
      <c r="CR966" s="59"/>
      <c r="CS966" s="59"/>
      <c r="CT966" s="59"/>
      <c r="CU966" s="59"/>
      <c r="CV966" s="59"/>
      <c r="CW966" s="59"/>
      <c r="CX966" s="59"/>
      <c r="CY966" s="59"/>
      <c r="CZ966" s="59"/>
      <c r="DA966" s="59"/>
      <c r="DB966" s="59"/>
      <c r="DC966" s="59"/>
      <c r="DD966" s="59"/>
      <c r="DE966" s="59"/>
      <c r="DF966" s="59"/>
      <c r="DG966" s="59"/>
    </row>
    <row r="967" spans="1:111" ht="11.25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9"/>
      <c r="AW967" s="59"/>
      <c r="AX967" s="59"/>
      <c r="AY967" s="59"/>
      <c r="AZ967" s="59"/>
      <c r="BA967" s="59"/>
      <c r="BB967" s="59"/>
      <c r="BC967" s="59"/>
      <c r="BD967" s="59"/>
      <c r="BE967" s="59"/>
      <c r="BF967" s="59"/>
      <c r="BG967" s="59"/>
      <c r="BH967" s="59"/>
      <c r="BI967" s="59"/>
      <c r="BJ967" s="59"/>
      <c r="BK967" s="59"/>
      <c r="BL967" s="59"/>
      <c r="BM967" s="59"/>
      <c r="BN967" s="59"/>
      <c r="BO967" s="59"/>
      <c r="BP967" s="59"/>
      <c r="BQ967" s="59"/>
      <c r="BR967" s="59"/>
      <c r="BS967" s="59"/>
      <c r="BT967" s="59"/>
      <c r="BU967" s="59"/>
      <c r="BV967" s="59"/>
      <c r="BW967" s="59"/>
      <c r="BX967" s="59"/>
      <c r="BY967" s="59"/>
      <c r="BZ967" s="59"/>
      <c r="CA967" s="59"/>
      <c r="CB967" s="59"/>
      <c r="CC967" s="59"/>
      <c r="CD967" s="59"/>
      <c r="CE967" s="59"/>
      <c r="CF967" s="59"/>
      <c r="CG967" s="59"/>
      <c r="CH967" s="59"/>
      <c r="CI967" s="59"/>
      <c r="CJ967" s="59"/>
      <c r="CK967" s="59"/>
      <c r="CL967" s="59"/>
      <c r="CM967" s="59"/>
      <c r="CN967" s="59"/>
      <c r="CO967" s="59"/>
      <c r="CP967" s="59"/>
      <c r="CQ967" s="59"/>
      <c r="CR967" s="59"/>
      <c r="CS967" s="59"/>
      <c r="CT967" s="59"/>
      <c r="CU967" s="59"/>
      <c r="CV967" s="59"/>
      <c r="CW967" s="59"/>
      <c r="CX967" s="59"/>
      <c r="CY967" s="59"/>
      <c r="CZ967" s="59"/>
      <c r="DA967" s="59"/>
      <c r="DB967" s="59"/>
      <c r="DC967" s="59"/>
      <c r="DD967" s="59"/>
      <c r="DE967" s="59"/>
      <c r="DF967" s="59"/>
      <c r="DG967" s="59"/>
    </row>
    <row r="968" spans="1:111" ht="11.25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  <c r="AB968" s="59"/>
      <c r="AC968" s="59"/>
      <c r="AD968" s="59"/>
      <c r="AE968" s="59"/>
      <c r="AF968" s="59"/>
      <c r="AG968" s="59"/>
      <c r="AH968" s="59"/>
      <c r="AI968" s="59"/>
      <c r="AJ968" s="59"/>
      <c r="AK968" s="59"/>
      <c r="AL968" s="59"/>
      <c r="AM968" s="59"/>
      <c r="AN968" s="59"/>
      <c r="AO968" s="59"/>
      <c r="AP968" s="59"/>
      <c r="AQ968" s="59"/>
      <c r="AR968" s="59"/>
      <c r="AS968" s="59"/>
      <c r="AT968" s="59"/>
      <c r="AU968" s="59"/>
      <c r="AV968" s="59"/>
      <c r="AW968" s="59"/>
      <c r="AX968" s="59"/>
      <c r="AY968" s="59"/>
      <c r="AZ968" s="59"/>
      <c r="BA968" s="59"/>
      <c r="BB968" s="59"/>
      <c r="BC968" s="59"/>
      <c r="BD968" s="59"/>
      <c r="BE968" s="59"/>
      <c r="BF968" s="59"/>
      <c r="BG968" s="59"/>
      <c r="BH968" s="59"/>
      <c r="BI968" s="59"/>
      <c r="BJ968" s="59"/>
      <c r="BK968" s="59"/>
      <c r="BL968" s="59"/>
      <c r="BM968" s="59"/>
      <c r="BN968" s="59"/>
      <c r="BO968" s="59"/>
      <c r="BP968" s="59"/>
      <c r="BQ968" s="59"/>
      <c r="BR968" s="59"/>
      <c r="BS968" s="59"/>
      <c r="BT968" s="59"/>
      <c r="BU968" s="59"/>
      <c r="BV968" s="59"/>
      <c r="BW968" s="59"/>
      <c r="BX968" s="59"/>
      <c r="BY968" s="59"/>
      <c r="BZ968" s="59"/>
      <c r="CA968" s="59"/>
      <c r="CB968" s="59"/>
      <c r="CC968" s="59"/>
      <c r="CD968" s="59"/>
      <c r="CE968" s="59"/>
      <c r="CF968" s="59"/>
      <c r="CG968" s="59"/>
      <c r="CH968" s="59"/>
      <c r="CI968" s="59"/>
      <c r="CJ968" s="59"/>
      <c r="CK968" s="59"/>
      <c r="CL968" s="59"/>
      <c r="CM968" s="59"/>
      <c r="CN968" s="59"/>
      <c r="CO968" s="59"/>
      <c r="CP968" s="59"/>
      <c r="CQ968" s="59"/>
      <c r="CR968" s="59"/>
      <c r="CS968" s="59"/>
      <c r="CT968" s="59"/>
      <c r="CU968" s="59"/>
      <c r="CV968" s="59"/>
      <c r="CW968" s="59"/>
      <c r="CX968" s="59"/>
      <c r="CY968" s="59"/>
      <c r="CZ968" s="59"/>
      <c r="DA968" s="59"/>
      <c r="DB968" s="59"/>
      <c r="DC968" s="59"/>
      <c r="DD968" s="59"/>
      <c r="DE968" s="59"/>
      <c r="DF968" s="59"/>
      <c r="DG968" s="59"/>
    </row>
    <row r="969" spans="1:111" ht="11.25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  <c r="AI969" s="59"/>
      <c r="AJ969" s="59"/>
      <c r="AK969" s="59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  <c r="BC969" s="59"/>
      <c r="BD969" s="59"/>
      <c r="BE969" s="59"/>
      <c r="BF969" s="59"/>
      <c r="BG969" s="59"/>
      <c r="BH969" s="59"/>
      <c r="BI969" s="59"/>
      <c r="BJ969" s="59"/>
      <c r="BK969" s="59"/>
      <c r="BL969" s="59"/>
      <c r="BM969" s="59"/>
      <c r="BN969" s="59"/>
      <c r="BO969" s="59"/>
      <c r="BP969" s="59"/>
      <c r="BQ969" s="59"/>
      <c r="BR969" s="59"/>
      <c r="BS969" s="59"/>
      <c r="BT969" s="59"/>
      <c r="BU969" s="59"/>
      <c r="BV969" s="59"/>
      <c r="BW969" s="59"/>
      <c r="BX969" s="59"/>
      <c r="BY969" s="59"/>
      <c r="BZ969" s="59"/>
      <c r="CA969" s="59"/>
      <c r="CB969" s="59"/>
      <c r="CC969" s="59"/>
      <c r="CD969" s="59"/>
      <c r="CE969" s="59"/>
      <c r="CF969" s="59"/>
      <c r="CG969" s="59"/>
      <c r="CH969" s="59"/>
      <c r="CI969" s="59"/>
      <c r="CJ969" s="59"/>
      <c r="CK969" s="59"/>
      <c r="CL969" s="59"/>
      <c r="CM969" s="59"/>
      <c r="CN969" s="59"/>
      <c r="CO969" s="59"/>
      <c r="CP969" s="59"/>
      <c r="CQ969" s="59"/>
      <c r="CR969" s="59"/>
      <c r="CS969" s="59"/>
      <c r="CT969" s="59"/>
      <c r="CU969" s="59"/>
      <c r="CV969" s="59"/>
      <c r="CW969" s="59"/>
      <c r="CX969" s="59"/>
      <c r="CY969" s="59"/>
      <c r="CZ969" s="59"/>
      <c r="DA969" s="59"/>
      <c r="DB969" s="59"/>
      <c r="DC969" s="59"/>
      <c r="DD969" s="59"/>
      <c r="DE969" s="59"/>
      <c r="DF969" s="59"/>
      <c r="DG969" s="59"/>
    </row>
    <row r="970" spans="1:111" ht="11.25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  <c r="AI970" s="59"/>
      <c r="AJ970" s="59"/>
      <c r="AK970" s="59"/>
      <c r="AL970" s="59"/>
      <c r="AM970" s="59"/>
      <c r="AN970" s="59"/>
      <c r="AO970" s="59"/>
      <c r="AP970" s="59"/>
      <c r="AQ970" s="59"/>
      <c r="AR970" s="59"/>
      <c r="AS970" s="59"/>
      <c r="AT970" s="59"/>
      <c r="AU970" s="59"/>
      <c r="AV970" s="59"/>
      <c r="AW970" s="59"/>
      <c r="AX970" s="59"/>
      <c r="AY970" s="59"/>
      <c r="AZ970" s="59"/>
      <c r="BA970" s="59"/>
      <c r="BB970" s="59"/>
      <c r="BC970" s="59"/>
      <c r="BD970" s="59"/>
      <c r="BE970" s="59"/>
      <c r="BF970" s="59"/>
      <c r="BG970" s="59"/>
      <c r="BH970" s="59"/>
      <c r="BI970" s="59"/>
      <c r="BJ970" s="59"/>
      <c r="BK970" s="59"/>
      <c r="BL970" s="59"/>
      <c r="BM970" s="59"/>
      <c r="BN970" s="59"/>
      <c r="BO970" s="59"/>
      <c r="BP970" s="59"/>
      <c r="BQ970" s="59"/>
      <c r="BR970" s="59"/>
      <c r="BS970" s="59"/>
      <c r="BT970" s="59"/>
      <c r="BU970" s="59"/>
      <c r="BV970" s="59"/>
      <c r="BW970" s="59"/>
      <c r="BX970" s="59"/>
      <c r="BY970" s="59"/>
      <c r="BZ970" s="59"/>
      <c r="CA970" s="59"/>
      <c r="CB970" s="59"/>
      <c r="CC970" s="59"/>
      <c r="CD970" s="59"/>
      <c r="CE970" s="59"/>
      <c r="CF970" s="59"/>
      <c r="CG970" s="59"/>
      <c r="CH970" s="59"/>
      <c r="CI970" s="59"/>
      <c r="CJ970" s="59"/>
      <c r="CK970" s="59"/>
      <c r="CL970" s="59"/>
      <c r="CM970" s="59"/>
      <c r="CN970" s="59"/>
      <c r="CO970" s="59"/>
      <c r="CP970" s="59"/>
      <c r="CQ970" s="59"/>
      <c r="CR970" s="59"/>
      <c r="CS970" s="59"/>
      <c r="CT970" s="59"/>
      <c r="CU970" s="59"/>
      <c r="CV970" s="59"/>
      <c r="CW970" s="59"/>
      <c r="CX970" s="59"/>
      <c r="CY970" s="59"/>
      <c r="CZ970" s="59"/>
      <c r="DA970" s="59"/>
      <c r="DB970" s="59"/>
      <c r="DC970" s="59"/>
      <c r="DD970" s="59"/>
      <c r="DE970" s="59"/>
      <c r="DF970" s="59"/>
      <c r="DG970" s="59"/>
    </row>
    <row r="971" spans="1:111" ht="11.25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  <c r="AB971" s="59"/>
      <c r="AC971" s="59"/>
      <c r="AD971" s="59"/>
      <c r="AE971" s="59"/>
      <c r="AF971" s="59"/>
      <c r="AG971" s="59"/>
      <c r="AH971" s="59"/>
      <c r="AI971" s="59"/>
      <c r="AJ971" s="59"/>
      <c r="AK971" s="59"/>
      <c r="AL971" s="59"/>
      <c r="AM971" s="59"/>
      <c r="AN971" s="59"/>
      <c r="AO971" s="59"/>
      <c r="AP971" s="59"/>
      <c r="AQ971" s="59"/>
      <c r="AR971" s="59"/>
      <c r="AS971" s="59"/>
      <c r="AT971" s="59"/>
      <c r="AU971" s="59"/>
      <c r="AV971" s="59"/>
      <c r="AW971" s="59"/>
      <c r="AX971" s="59"/>
      <c r="AY971" s="59"/>
      <c r="AZ971" s="59"/>
      <c r="BA971" s="59"/>
      <c r="BB971" s="59"/>
      <c r="BC971" s="59"/>
      <c r="BD971" s="59"/>
      <c r="BE971" s="59"/>
      <c r="BF971" s="59"/>
      <c r="BG971" s="59"/>
      <c r="BH971" s="59"/>
      <c r="BI971" s="59"/>
      <c r="BJ971" s="59"/>
      <c r="BK971" s="59"/>
      <c r="BL971" s="59"/>
      <c r="BM971" s="59"/>
      <c r="BN971" s="59"/>
      <c r="BO971" s="59"/>
      <c r="BP971" s="59"/>
      <c r="BQ971" s="59"/>
      <c r="BR971" s="59"/>
      <c r="BS971" s="59"/>
      <c r="BT971" s="59"/>
      <c r="BU971" s="59"/>
      <c r="BV971" s="59"/>
      <c r="BW971" s="59"/>
      <c r="BX971" s="59"/>
      <c r="BY971" s="59"/>
      <c r="BZ971" s="59"/>
      <c r="CA971" s="59"/>
      <c r="CB971" s="59"/>
      <c r="CC971" s="59"/>
      <c r="CD971" s="59"/>
      <c r="CE971" s="59"/>
      <c r="CF971" s="59"/>
      <c r="CG971" s="59"/>
      <c r="CH971" s="59"/>
      <c r="CI971" s="59"/>
      <c r="CJ971" s="59"/>
      <c r="CK971" s="59"/>
      <c r="CL971" s="59"/>
      <c r="CM971" s="59"/>
      <c r="CN971" s="59"/>
      <c r="CO971" s="59"/>
      <c r="CP971" s="59"/>
      <c r="CQ971" s="59"/>
      <c r="CR971" s="59"/>
      <c r="CS971" s="59"/>
      <c r="CT971" s="59"/>
      <c r="CU971" s="59"/>
      <c r="CV971" s="59"/>
      <c r="CW971" s="59"/>
      <c r="CX971" s="59"/>
      <c r="CY971" s="59"/>
      <c r="CZ971" s="59"/>
      <c r="DA971" s="59"/>
      <c r="DB971" s="59"/>
      <c r="DC971" s="59"/>
      <c r="DD971" s="59"/>
      <c r="DE971" s="59"/>
      <c r="DF971" s="59"/>
      <c r="DG971" s="59"/>
    </row>
    <row r="972" spans="1:111" ht="11.25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  <c r="AB972" s="59"/>
      <c r="AC972" s="59"/>
      <c r="AD972" s="59"/>
      <c r="AE972" s="59"/>
      <c r="AF972" s="59"/>
      <c r="AG972" s="59"/>
      <c r="AH972" s="59"/>
      <c r="AI972" s="59"/>
      <c r="AJ972" s="59"/>
      <c r="AK972" s="59"/>
      <c r="AL972" s="59"/>
      <c r="AM972" s="59"/>
      <c r="AN972" s="59"/>
      <c r="AO972" s="59"/>
      <c r="AP972" s="59"/>
      <c r="AQ972" s="59"/>
      <c r="AR972" s="59"/>
      <c r="AS972" s="59"/>
      <c r="AT972" s="59"/>
      <c r="AU972" s="59"/>
      <c r="AV972" s="59"/>
      <c r="AW972" s="59"/>
      <c r="AX972" s="59"/>
      <c r="AY972" s="59"/>
      <c r="AZ972" s="59"/>
      <c r="BA972" s="59"/>
      <c r="BB972" s="59"/>
      <c r="BC972" s="59"/>
      <c r="BD972" s="59"/>
      <c r="BE972" s="59"/>
      <c r="BF972" s="59"/>
      <c r="BG972" s="59"/>
      <c r="BH972" s="59"/>
      <c r="BI972" s="59"/>
      <c r="BJ972" s="59"/>
      <c r="BK972" s="59"/>
      <c r="BL972" s="59"/>
      <c r="BM972" s="59"/>
      <c r="BN972" s="59"/>
      <c r="BO972" s="59"/>
      <c r="BP972" s="59"/>
      <c r="BQ972" s="59"/>
      <c r="BR972" s="59"/>
      <c r="BS972" s="59"/>
      <c r="BT972" s="59"/>
      <c r="BU972" s="59"/>
      <c r="BV972" s="59"/>
      <c r="BW972" s="59"/>
      <c r="BX972" s="59"/>
      <c r="BY972" s="59"/>
      <c r="BZ972" s="59"/>
      <c r="CA972" s="59"/>
      <c r="CB972" s="59"/>
      <c r="CC972" s="59"/>
      <c r="CD972" s="59"/>
      <c r="CE972" s="59"/>
      <c r="CF972" s="59"/>
      <c r="CG972" s="59"/>
      <c r="CH972" s="59"/>
      <c r="CI972" s="59"/>
      <c r="CJ972" s="59"/>
      <c r="CK972" s="59"/>
      <c r="CL972" s="59"/>
      <c r="CM972" s="59"/>
      <c r="CN972" s="59"/>
      <c r="CO972" s="59"/>
      <c r="CP972" s="59"/>
      <c r="CQ972" s="59"/>
      <c r="CR972" s="59"/>
      <c r="CS972" s="59"/>
      <c r="CT972" s="59"/>
      <c r="CU972" s="59"/>
      <c r="CV972" s="59"/>
      <c r="CW972" s="59"/>
      <c r="CX972" s="59"/>
      <c r="CY972" s="59"/>
      <c r="CZ972" s="59"/>
      <c r="DA972" s="59"/>
      <c r="DB972" s="59"/>
      <c r="DC972" s="59"/>
      <c r="DD972" s="59"/>
      <c r="DE972" s="59"/>
      <c r="DF972" s="59"/>
      <c r="DG972" s="59"/>
    </row>
    <row r="973" spans="1:111" ht="11.25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  <c r="AB973" s="59"/>
      <c r="AC973" s="59"/>
      <c r="AD973" s="59"/>
      <c r="AE973" s="59"/>
      <c r="AF973" s="59"/>
      <c r="AG973" s="59"/>
      <c r="AH973" s="59"/>
      <c r="AI973" s="59"/>
      <c r="AJ973" s="59"/>
      <c r="AK973" s="59"/>
      <c r="AL973" s="59"/>
      <c r="AM973" s="59"/>
      <c r="AN973" s="59"/>
      <c r="AO973" s="59"/>
      <c r="AP973" s="59"/>
      <c r="AQ973" s="59"/>
      <c r="AR973" s="59"/>
      <c r="AS973" s="59"/>
      <c r="AT973" s="59"/>
      <c r="AU973" s="59"/>
      <c r="AV973" s="59"/>
      <c r="AW973" s="59"/>
      <c r="AX973" s="59"/>
      <c r="AY973" s="59"/>
      <c r="AZ973" s="59"/>
      <c r="BA973" s="59"/>
      <c r="BB973" s="59"/>
      <c r="BC973" s="59"/>
      <c r="BD973" s="59"/>
      <c r="BE973" s="59"/>
      <c r="BF973" s="59"/>
      <c r="BG973" s="59"/>
      <c r="BH973" s="59"/>
      <c r="BI973" s="59"/>
      <c r="BJ973" s="59"/>
      <c r="BK973" s="59"/>
      <c r="BL973" s="59"/>
      <c r="BM973" s="59"/>
      <c r="BN973" s="59"/>
      <c r="BO973" s="59"/>
      <c r="BP973" s="59"/>
      <c r="BQ973" s="59"/>
      <c r="BR973" s="59"/>
      <c r="BS973" s="59"/>
      <c r="BT973" s="59"/>
      <c r="BU973" s="59"/>
      <c r="BV973" s="59"/>
      <c r="BW973" s="59"/>
      <c r="BX973" s="59"/>
      <c r="BY973" s="59"/>
      <c r="BZ973" s="59"/>
      <c r="CA973" s="59"/>
      <c r="CB973" s="59"/>
      <c r="CC973" s="59"/>
      <c r="CD973" s="59"/>
      <c r="CE973" s="59"/>
      <c r="CF973" s="59"/>
      <c r="CG973" s="59"/>
      <c r="CH973" s="59"/>
      <c r="CI973" s="59"/>
      <c r="CJ973" s="59"/>
      <c r="CK973" s="59"/>
      <c r="CL973" s="59"/>
      <c r="CM973" s="59"/>
      <c r="CN973" s="59"/>
      <c r="CO973" s="59"/>
      <c r="CP973" s="59"/>
      <c r="CQ973" s="59"/>
      <c r="CR973" s="59"/>
      <c r="CS973" s="59"/>
      <c r="CT973" s="59"/>
      <c r="CU973" s="59"/>
      <c r="CV973" s="59"/>
      <c r="CW973" s="59"/>
      <c r="CX973" s="59"/>
      <c r="CY973" s="59"/>
      <c r="CZ973" s="59"/>
      <c r="DA973" s="59"/>
      <c r="DB973" s="59"/>
      <c r="DC973" s="59"/>
      <c r="DD973" s="59"/>
      <c r="DE973" s="59"/>
      <c r="DF973" s="59"/>
      <c r="DG973" s="59"/>
    </row>
    <row r="974" spans="1:111" ht="11.25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  <c r="AB974" s="59"/>
      <c r="AC974" s="59"/>
      <c r="AD974" s="59"/>
      <c r="AE974" s="59"/>
      <c r="AF974" s="59"/>
      <c r="AG974" s="59"/>
      <c r="AH974" s="59"/>
      <c r="AI974" s="59"/>
      <c r="AJ974" s="59"/>
      <c r="AK974" s="59"/>
      <c r="AL974" s="59"/>
      <c r="AM974" s="59"/>
      <c r="AN974" s="59"/>
      <c r="AO974" s="59"/>
      <c r="AP974" s="59"/>
      <c r="AQ974" s="59"/>
      <c r="AR974" s="59"/>
      <c r="AS974" s="59"/>
      <c r="AT974" s="59"/>
      <c r="AU974" s="59"/>
      <c r="AV974" s="59"/>
      <c r="AW974" s="59"/>
      <c r="AX974" s="59"/>
      <c r="AY974" s="59"/>
      <c r="AZ974" s="59"/>
      <c r="BA974" s="59"/>
      <c r="BB974" s="59"/>
      <c r="BC974" s="59"/>
      <c r="BD974" s="59"/>
      <c r="BE974" s="59"/>
      <c r="BF974" s="59"/>
      <c r="BG974" s="59"/>
      <c r="BH974" s="59"/>
      <c r="BI974" s="59"/>
      <c r="BJ974" s="59"/>
      <c r="BK974" s="59"/>
      <c r="BL974" s="59"/>
      <c r="BM974" s="59"/>
      <c r="BN974" s="59"/>
      <c r="BO974" s="59"/>
      <c r="BP974" s="59"/>
      <c r="BQ974" s="59"/>
      <c r="BR974" s="59"/>
      <c r="BS974" s="59"/>
      <c r="BT974" s="59"/>
      <c r="BU974" s="59"/>
      <c r="BV974" s="59"/>
      <c r="BW974" s="59"/>
      <c r="BX974" s="59"/>
      <c r="BY974" s="59"/>
      <c r="BZ974" s="59"/>
      <c r="CA974" s="59"/>
      <c r="CB974" s="59"/>
      <c r="CC974" s="59"/>
      <c r="CD974" s="59"/>
      <c r="CE974" s="59"/>
      <c r="CF974" s="59"/>
      <c r="CG974" s="59"/>
      <c r="CH974" s="59"/>
      <c r="CI974" s="59"/>
      <c r="CJ974" s="59"/>
      <c r="CK974" s="59"/>
      <c r="CL974" s="59"/>
      <c r="CM974" s="59"/>
      <c r="CN974" s="59"/>
      <c r="CO974" s="59"/>
      <c r="CP974" s="59"/>
      <c r="CQ974" s="59"/>
      <c r="CR974" s="59"/>
      <c r="CS974" s="59"/>
      <c r="CT974" s="59"/>
      <c r="CU974" s="59"/>
      <c r="CV974" s="59"/>
      <c r="CW974" s="59"/>
      <c r="CX974" s="59"/>
      <c r="CY974" s="59"/>
      <c r="CZ974" s="59"/>
      <c r="DA974" s="59"/>
      <c r="DB974" s="59"/>
      <c r="DC974" s="59"/>
      <c r="DD974" s="59"/>
      <c r="DE974" s="59"/>
      <c r="DF974" s="59"/>
      <c r="DG974" s="59"/>
    </row>
    <row r="975" spans="1:111" ht="11.25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  <c r="AB975" s="59"/>
      <c r="AC975" s="59"/>
      <c r="AD975" s="59"/>
      <c r="AE975" s="59"/>
      <c r="AF975" s="59"/>
      <c r="AG975" s="59"/>
      <c r="AH975" s="59"/>
      <c r="AI975" s="59"/>
      <c r="AJ975" s="59"/>
      <c r="AK975" s="59"/>
      <c r="AL975" s="59"/>
      <c r="AM975" s="59"/>
      <c r="AN975" s="59"/>
      <c r="AO975" s="59"/>
      <c r="AP975" s="59"/>
      <c r="AQ975" s="59"/>
      <c r="AR975" s="59"/>
      <c r="AS975" s="59"/>
      <c r="AT975" s="59"/>
      <c r="AU975" s="59"/>
      <c r="AV975" s="59"/>
      <c r="AW975" s="59"/>
      <c r="AX975" s="59"/>
      <c r="AY975" s="59"/>
      <c r="AZ975" s="59"/>
      <c r="BA975" s="59"/>
      <c r="BB975" s="59"/>
      <c r="BC975" s="59"/>
      <c r="BD975" s="59"/>
      <c r="BE975" s="59"/>
      <c r="BF975" s="59"/>
      <c r="BG975" s="59"/>
      <c r="BH975" s="59"/>
      <c r="BI975" s="59"/>
      <c r="BJ975" s="59"/>
      <c r="BK975" s="59"/>
      <c r="BL975" s="59"/>
      <c r="BM975" s="59"/>
      <c r="BN975" s="59"/>
      <c r="BO975" s="59"/>
      <c r="BP975" s="59"/>
      <c r="BQ975" s="59"/>
      <c r="BR975" s="59"/>
      <c r="BS975" s="59"/>
      <c r="BT975" s="59"/>
      <c r="BU975" s="59"/>
      <c r="BV975" s="59"/>
      <c r="BW975" s="59"/>
      <c r="BX975" s="59"/>
      <c r="BY975" s="59"/>
      <c r="BZ975" s="59"/>
      <c r="CA975" s="59"/>
      <c r="CB975" s="59"/>
      <c r="CC975" s="59"/>
      <c r="CD975" s="59"/>
      <c r="CE975" s="59"/>
      <c r="CF975" s="59"/>
      <c r="CG975" s="59"/>
      <c r="CH975" s="59"/>
      <c r="CI975" s="59"/>
      <c r="CJ975" s="59"/>
      <c r="CK975" s="59"/>
      <c r="CL975" s="59"/>
      <c r="CM975" s="59"/>
      <c r="CN975" s="59"/>
      <c r="CO975" s="59"/>
      <c r="CP975" s="59"/>
      <c r="CQ975" s="59"/>
      <c r="CR975" s="59"/>
      <c r="CS975" s="59"/>
      <c r="CT975" s="59"/>
      <c r="CU975" s="59"/>
      <c r="CV975" s="59"/>
      <c r="CW975" s="59"/>
      <c r="CX975" s="59"/>
      <c r="CY975" s="59"/>
      <c r="CZ975" s="59"/>
      <c r="DA975" s="59"/>
      <c r="DB975" s="59"/>
      <c r="DC975" s="59"/>
      <c r="DD975" s="59"/>
      <c r="DE975" s="59"/>
      <c r="DF975" s="59"/>
      <c r="DG975" s="59"/>
    </row>
    <row r="976" spans="1:111" ht="11.25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  <c r="AB976" s="59"/>
      <c r="AC976" s="59"/>
      <c r="AD976" s="59"/>
      <c r="AE976" s="59"/>
      <c r="AF976" s="59"/>
      <c r="AG976" s="59"/>
      <c r="AH976" s="59"/>
      <c r="AI976" s="59"/>
      <c r="AJ976" s="59"/>
      <c r="AK976" s="59"/>
      <c r="AL976" s="59"/>
      <c r="AM976" s="59"/>
      <c r="AN976" s="59"/>
      <c r="AO976" s="59"/>
      <c r="AP976" s="59"/>
      <c r="AQ976" s="59"/>
      <c r="AR976" s="59"/>
      <c r="AS976" s="59"/>
      <c r="AT976" s="59"/>
      <c r="AU976" s="59"/>
      <c r="AV976" s="59"/>
      <c r="AW976" s="59"/>
      <c r="AX976" s="59"/>
      <c r="AY976" s="59"/>
      <c r="AZ976" s="59"/>
      <c r="BA976" s="59"/>
      <c r="BB976" s="59"/>
      <c r="BC976" s="59"/>
      <c r="BD976" s="59"/>
      <c r="BE976" s="59"/>
      <c r="BF976" s="59"/>
      <c r="BG976" s="59"/>
      <c r="BH976" s="59"/>
      <c r="BI976" s="59"/>
      <c r="BJ976" s="59"/>
      <c r="BK976" s="59"/>
      <c r="BL976" s="59"/>
      <c r="BM976" s="59"/>
      <c r="BN976" s="59"/>
      <c r="BO976" s="59"/>
      <c r="BP976" s="59"/>
      <c r="BQ976" s="59"/>
      <c r="BR976" s="59"/>
      <c r="BS976" s="59"/>
      <c r="BT976" s="59"/>
      <c r="BU976" s="59"/>
      <c r="BV976" s="59"/>
      <c r="BW976" s="59"/>
      <c r="BX976" s="59"/>
      <c r="BY976" s="59"/>
      <c r="BZ976" s="59"/>
      <c r="CA976" s="59"/>
      <c r="CB976" s="59"/>
      <c r="CC976" s="59"/>
      <c r="CD976" s="59"/>
      <c r="CE976" s="59"/>
      <c r="CF976" s="59"/>
      <c r="CG976" s="59"/>
      <c r="CH976" s="59"/>
      <c r="CI976" s="59"/>
      <c r="CJ976" s="59"/>
      <c r="CK976" s="59"/>
      <c r="CL976" s="59"/>
      <c r="CM976" s="59"/>
      <c r="CN976" s="59"/>
      <c r="CO976" s="59"/>
      <c r="CP976" s="59"/>
      <c r="CQ976" s="59"/>
      <c r="CR976" s="59"/>
      <c r="CS976" s="59"/>
      <c r="CT976" s="59"/>
      <c r="CU976" s="59"/>
      <c r="CV976" s="59"/>
      <c r="CW976" s="59"/>
      <c r="CX976" s="59"/>
      <c r="CY976" s="59"/>
      <c r="CZ976" s="59"/>
      <c r="DA976" s="59"/>
      <c r="DB976" s="59"/>
      <c r="DC976" s="59"/>
      <c r="DD976" s="59"/>
      <c r="DE976" s="59"/>
      <c r="DF976" s="59"/>
      <c r="DG976" s="59"/>
    </row>
    <row r="977" spans="1:111" ht="11.25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  <c r="AB977" s="59"/>
      <c r="AC977" s="59"/>
      <c r="AD977" s="59"/>
      <c r="AE977" s="59"/>
      <c r="AF977" s="59"/>
      <c r="AG977" s="59"/>
      <c r="AH977" s="59"/>
      <c r="AI977" s="59"/>
      <c r="AJ977" s="59"/>
      <c r="AK977" s="59"/>
      <c r="AL977" s="59"/>
      <c r="AM977" s="59"/>
      <c r="AN977" s="59"/>
      <c r="AO977" s="59"/>
      <c r="AP977" s="59"/>
      <c r="AQ977" s="59"/>
      <c r="AR977" s="59"/>
      <c r="AS977" s="59"/>
      <c r="AT977" s="59"/>
      <c r="AU977" s="59"/>
      <c r="AV977" s="59"/>
      <c r="AW977" s="59"/>
      <c r="AX977" s="59"/>
      <c r="AY977" s="59"/>
      <c r="AZ977" s="59"/>
      <c r="BA977" s="59"/>
      <c r="BB977" s="59"/>
      <c r="BC977" s="59"/>
      <c r="BD977" s="59"/>
      <c r="BE977" s="59"/>
      <c r="BF977" s="59"/>
      <c r="BG977" s="59"/>
      <c r="BH977" s="59"/>
      <c r="BI977" s="59"/>
      <c r="BJ977" s="59"/>
      <c r="BK977" s="59"/>
      <c r="BL977" s="59"/>
      <c r="BM977" s="59"/>
      <c r="BN977" s="59"/>
      <c r="BO977" s="59"/>
      <c r="BP977" s="59"/>
      <c r="BQ977" s="59"/>
      <c r="BR977" s="59"/>
      <c r="BS977" s="59"/>
      <c r="BT977" s="59"/>
      <c r="BU977" s="59"/>
      <c r="BV977" s="59"/>
      <c r="BW977" s="59"/>
      <c r="BX977" s="59"/>
      <c r="BY977" s="59"/>
      <c r="BZ977" s="59"/>
      <c r="CA977" s="59"/>
      <c r="CB977" s="59"/>
      <c r="CC977" s="59"/>
      <c r="CD977" s="59"/>
      <c r="CE977" s="59"/>
      <c r="CF977" s="59"/>
      <c r="CG977" s="59"/>
      <c r="CH977" s="59"/>
      <c r="CI977" s="59"/>
      <c r="CJ977" s="59"/>
      <c r="CK977" s="59"/>
      <c r="CL977" s="59"/>
      <c r="CM977" s="59"/>
      <c r="CN977" s="59"/>
      <c r="CO977" s="59"/>
      <c r="CP977" s="59"/>
      <c r="CQ977" s="59"/>
      <c r="CR977" s="59"/>
      <c r="CS977" s="59"/>
      <c r="CT977" s="59"/>
      <c r="CU977" s="59"/>
      <c r="CV977" s="59"/>
      <c r="CW977" s="59"/>
      <c r="CX977" s="59"/>
      <c r="CY977" s="59"/>
      <c r="CZ977" s="59"/>
      <c r="DA977" s="59"/>
      <c r="DB977" s="59"/>
      <c r="DC977" s="59"/>
      <c r="DD977" s="59"/>
      <c r="DE977" s="59"/>
      <c r="DF977" s="59"/>
      <c r="DG977" s="59"/>
    </row>
    <row r="978" spans="1:111" ht="11.25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  <c r="AB978" s="59"/>
      <c r="AC978" s="59"/>
      <c r="AD978" s="59"/>
      <c r="AE978" s="59"/>
      <c r="AF978" s="59"/>
      <c r="AG978" s="59"/>
      <c r="AH978" s="59"/>
      <c r="AI978" s="59"/>
      <c r="AJ978" s="59"/>
      <c r="AK978" s="59"/>
      <c r="AL978" s="59"/>
      <c r="AM978" s="59"/>
      <c r="AN978" s="59"/>
      <c r="AO978" s="59"/>
      <c r="AP978" s="59"/>
      <c r="AQ978" s="59"/>
      <c r="AR978" s="59"/>
      <c r="AS978" s="59"/>
      <c r="AT978" s="59"/>
      <c r="AU978" s="59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59"/>
      <c r="BG978" s="59"/>
      <c r="BH978" s="59"/>
      <c r="BI978" s="59"/>
      <c r="BJ978" s="59"/>
      <c r="BK978" s="59"/>
      <c r="BL978" s="59"/>
      <c r="BM978" s="59"/>
      <c r="BN978" s="59"/>
      <c r="BO978" s="59"/>
      <c r="BP978" s="59"/>
      <c r="BQ978" s="59"/>
      <c r="BR978" s="59"/>
      <c r="BS978" s="59"/>
      <c r="BT978" s="59"/>
      <c r="BU978" s="59"/>
      <c r="BV978" s="59"/>
      <c r="BW978" s="59"/>
      <c r="BX978" s="59"/>
      <c r="BY978" s="59"/>
      <c r="BZ978" s="59"/>
      <c r="CA978" s="59"/>
      <c r="CB978" s="59"/>
      <c r="CC978" s="59"/>
      <c r="CD978" s="59"/>
      <c r="CE978" s="59"/>
      <c r="CF978" s="59"/>
      <c r="CG978" s="59"/>
      <c r="CH978" s="59"/>
      <c r="CI978" s="59"/>
      <c r="CJ978" s="59"/>
      <c r="CK978" s="59"/>
      <c r="CL978" s="59"/>
      <c r="CM978" s="59"/>
      <c r="CN978" s="59"/>
      <c r="CO978" s="59"/>
      <c r="CP978" s="59"/>
      <c r="CQ978" s="59"/>
      <c r="CR978" s="59"/>
      <c r="CS978" s="59"/>
      <c r="CT978" s="59"/>
      <c r="CU978" s="59"/>
      <c r="CV978" s="59"/>
      <c r="CW978" s="59"/>
      <c r="CX978" s="59"/>
      <c r="CY978" s="59"/>
      <c r="CZ978" s="59"/>
      <c r="DA978" s="59"/>
      <c r="DB978" s="59"/>
      <c r="DC978" s="59"/>
      <c r="DD978" s="59"/>
      <c r="DE978" s="59"/>
      <c r="DF978" s="59"/>
      <c r="DG978" s="59"/>
    </row>
    <row r="979" spans="1:111" ht="11.25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  <c r="AB979" s="59"/>
      <c r="AC979" s="59"/>
      <c r="AD979" s="59"/>
      <c r="AE979" s="59"/>
      <c r="AF979" s="59"/>
      <c r="AG979" s="59"/>
      <c r="AH979" s="59"/>
      <c r="AI979" s="59"/>
      <c r="AJ979" s="59"/>
      <c r="AK979" s="59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59"/>
      <c r="BG979" s="59"/>
      <c r="BH979" s="59"/>
      <c r="BI979" s="59"/>
      <c r="BJ979" s="59"/>
      <c r="BK979" s="59"/>
      <c r="BL979" s="59"/>
      <c r="BM979" s="59"/>
      <c r="BN979" s="59"/>
      <c r="BO979" s="59"/>
      <c r="BP979" s="59"/>
      <c r="BQ979" s="59"/>
      <c r="BR979" s="59"/>
      <c r="BS979" s="59"/>
      <c r="BT979" s="59"/>
      <c r="BU979" s="59"/>
      <c r="BV979" s="59"/>
      <c r="BW979" s="59"/>
      <c r="BX979" s="59"/>
      <c r="BY979" s="59"/>
      <c r="BZ979" s="59"/>
      <c r="CA979" s="59"/>
      <c r="CB979" s="59"/>
      <c r="CC979" s="59"/>
      <c r="CD979" s="59"/>
      <c r="CE979" s="59"/>
      <c r="CF979" s="59"/>
      <c r="CG979" s="59"/>
      <c r="CH979" s="59"/>
      <c r="CI979" s="59"/>
      <c r="CJ979" s="59"/>
      <c r="CK979" s="59"/>
      <c r="CL979" s="59"/>
      <c r="CM979" s="59"/>
      <c r="CN979" s="59"/>
      <c r="CO979" s="59"/>
      <c r="CP979" s="59"/>
      <c r="CQ979" s="59"/>
      <c r="CR979" s="59"/>
      <c r="CS979" s="59"/>
      <c r="CT979" s="59"/>
      <c r="CU979" s="59"/>
      <c r="CV979" s="59"/>
      <c r="CW979" s="59"/>
      <c r="CX979" s="59"/>
      <c r="CY979" s="59"/>
      <c r="CZ979" s="59"/>
      <c r="DA979" s="59"/>
      <c r="DB979" s="59"/>
      <c r="DC979" s="59"/>
      <c r="DD979" s="59"/>
      <c r="DE979" s="59"/>
      <c r="DF979" s="59"/>
      <c r="DG979" s="59"/>
    </row>
    <row r="980" spans="1:111" ht="11.25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  <c r="AB980" s="59"/>
      <c r="AC980" s="59"/>
      <c r="AD980" s="59"/>
      <c r="AE980" s="59"/>
      <c r="AF980" s="59"/>
      <c r="AG980" s="59"/>
      <c r="AH980" s="59"/>
      <c r="AI980" s="59"/>
      <c r="AJ980" s="59"/>
      <c r="AK980" s="59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9"/>
      <c r="AW980" s="59"/>
      <c r="AX980" s="59"/>
      <c r="AY980" s="59"/>
      <c r="AZ980" s="59"/>
      <c r="BA980" s="59"/>
      <c r="BB980" s="59"/>
      <c r="BC980" s="59"/>
      <c r="BD980" s="59"/>
      <c r="BE980" s="59"/>
      <c r="BF980" s="59"/>
      <c r="BG980" s="59"/>
      <c r="BH980" s="59"/>
      <c r="BI980" s="59"/>
      <c r="BJ980" s="59"/>
      <c r="BK980" s="59"/>
      <c r="BL980" s="59"/>
      <c r="BM980" s="59"/>
      <c r="BN980" s="59"/>
      <c r="BO980" s="59"/>
      <c r="BP980" s="59"/>
      <c r="BQ980" s="59"/>
      <c r="BR980" s="59"/>
      <c r="BS980" s="59"/>
      <c r="BT980" s="59"/>
      <c r="BU980" s="59"/>
      <c r="BV980" s="59"/>
      <c r="BW980" s="59"/>
      <c r="BX980" s="59"/>
      <c r="BY980" s="59"/>
      <c r="BZ980" s="59"/>
      <c r="CA980" s="59"/>
      <c r="CB980" s="59"/>
      <c r="CC980" s="59"/>
      <c r="CD980" s="59"/>
      <c r="CE980" s="59"/>
      <c r="CF980" s="59"/>
      <c r="CG980" s="59"/>
      <c r="CH980" s="59"/>
      <c r="CI980" s="59"/>
      <c r="CJ980" s="59"/>
      <c r="CK980" s="59"/>
      <c r="CL980" s="59"/>
      <c r="CM980" s="59"/>
      <c r="CN980" s="59"/>
      <c r="CO980" s="59"/>
      <c r="CP980" s="59"/>
      <c r="CQ980" s="59"/>
      <c r="CR980" s="59"/>
      <c r="CS980" s="59"/>
      <c r="CT980" s="59"/>
      <c r="CU980" s="59"/>
      <c r="CV980" s="59"/>
      <c r="CW980" s="59"/>
      <c r="CX980" s="59"/>
      <c r="CY980" s="59"/>
      <c r="CZ980" s="59"/>
      <c r="DA980" s="59"/>
      <c r="DB980" s="59"/>
      <c r="DC980" s="59"/>
      <c r="DD980" s="59"/>
      <c r="DE980" s="59"/>
      <c r="DF980" s="59"/>
      <c r="DG980" s="59"/>
    </row>
    <row r="981" spans="1:111" ht="11.25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  <c r="AB981" s="59"/>
      <c r="AC981" s="59"/>
      <c r="AD981" s="59"/>
      <c r="AE981" s="59"/>
      <c r="AF981" s="59"/>
      <c r="AG981" s="59"/>
      <c r="AH981" s="59"/>
      <c r="AI981" s="59"/>
      <c r="AJ981" s="59"/>
      <c r="AK981" s="59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9"/>
      <c r="AW981" s="59"/>
      <c r="AX981" s="59"/>
      <c r="AY981" s="59"/>
      <c r="AZ981" s="59"/>
      <c r="BA981" s="59"/>
      <c r="BB981" s="59"/>
      <c r="BC981" s="59"/>
      <c r="BD981" s="59"/>
      <c r="BE981" s="59"/>
      <c r="BF981" s="59"/>
      <c r="BG981" s="59"/>
      <c r="BH981" s="59"/>
      <c r="BI981" s="59"/>
      <c r="BJ981" s="59"/>
      <c r="BK981" s="59"/>
      <c r="BL981" s="59"/>
      <c r="BM981" s="59"/>
      <c r="BN981" s="59"/>
      <c r="BO981" s="59"/>
      <c r="BP981" s="59"/>
      <c r="BQ981" s="59"/>
      <c r="BR981" s="59"/>
      <c r="BS981" s="59"/>
      <c r="BT981" s="59"/>
      <c r="BU981" s="59"/>
      <c r="BV981" s="59"/>
      <c r="BW981" s="59"/>
      <c r="BX981" s="59"/>
      <c r="BY981" s="59"/>
      <c r="BZ981" s="59"/>
      <c r="CA981" s="59"/>
      <c r="CB981" s="59"/>
      <c r="CC981" s="59"/>
      <c r="CD981" s="59"/>
      <c r="CE981" s="59"/>
      <c r="CF981" s="59"/>
      <c r="CG981" s="59"/>
      <c r="CH981" s="59"/>
      <c r="CI981" s="59"/>
      <c r="CJ981" s="59"/>
      <c r="CK981" s="59"/>
      <c r="CL981" s="59"/>
      <c r="CM981" s="59"/>
      <c r="CN981" s="59"/>
      <c r="CO981" s="59"/>
      <c r="CP981" s="59"/>
      <c r="CQ981" s="59"/>
      <c r="CR981" s="59"/>
      <c r="CS981" s="59"/>
      <c r="CT981" s="59"/>
      <c r="CU981" s="59"/>
      <c r="CV981" s="59"/>
      <c r="CW981" s="59"/>
      <c r="CX981" s="59"/>
      <c r="CY981" s="59"/>
      <c r="CZ981" s="59"/>
      <c r="DA981" s="59"/>
      <c r="DB981" s="59"/>
      <c r="DC981" s="59"/>
      <c r="DD981" s="59"/>
      <c r="DE981" s="59"/>
      <c r="DF981" s="59"/>
      <c r="DG981" s="59"/>
    </row>
    <row r="982" spans="1:111" ht="11.25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  <c r="AB982" s="59"/>
      <c r="AC982" s="59"/>
      <c r="AD982" s="59"/>
      <c r="AE982" s="59"/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9"/>
      <c r="AW982" s="59"/>
      <c r="AX982" s="59"/>
      <c r="AY982" s="59"/>
      <c r="AZ982" s="59"/>
      <c r="BA982" s="59"/>
      <c r="BB982" s="59"/>
      <c r="BC982" s="59"/>
      <c r="BD982" s="59"/>
      <c r="BE982" s="59"/>
      <c r="BF982" s="59"/>
      <c r="BG982" s="59"/>
      <c r="BH982" s="59"/>
      <c r="BI982" s="59"/>
      <c r="BJ982" s="59"/>
      <c r="BK982" s="59"/>
      <c r="BL982" s="59"/>
      <c r="BM982" s="59"/>
      <c r="BN982" s="59"/>
      <c r="BO982" s="59"/>
      <c r="BP982" s="59"/>
      <c r="BQ982" s="59"/>
      <c r="BR982" s="59"/>
      <c r="BS982" s="59"/>
      <c r="BT982" s="59"/>
      <c r="BU982" s="59"/>
      <c r="BV982" s="59"/>
      <c r="BW982" s="59"/>
      <c r="BX982" s="59"/>
      <c r="BY982" s="59"/>
      <c r="BZ982" s="59"/>
      <c r="CA982" s="59"/>
      <c r="CB982" s="59"/>
      <c r="CC982" s="59"/>
      <c r="CD982" s="59"/>
      <c r="CE982" s="59"/>
      <c r="CF982" s="59"/>
      <c r="CG982" s="59"/>
      <c r="CH982" s="59"/>
      <c r="CI982" s="59"/>
      <c r="CJ982" s="59"/>
      <c r="CK982" s="59"/>
      <c r="CL982" s="59"/>
      <c r="CM982" s="59"/>
      <c r="CN982" s="59"/>
      <c r="CO982" s="59"/>
      <c r="CP982" s="59"/>
      <c r="CQ982" s="59"/>
      <c r="CR982" s="59"/>
      <c r="CS982" s="59"/>
      <c r="CT982" s="59"/>
      <c r="CU982" s="59"/>
      <c r="CV982" s="59"/>
      <c r="CW982" s="59"/>
      <c r="CX982" s="59"/>
      <c r="CY982" s="59"/>
      <c r="CZ982" s="59"/>
      <c r="DA982" s="59"/>
      <c r="DB982" s="59"/>
      <c r="DC982" s="59"/>
      <c r="DD982" s="59"/>
      <c r="DE982" s="59"/>
      <c r="DF982" s="59"/>
      <c r="DG982" s="59"/>
    </row>
    <row r="983" spans="1:111" ht="11.25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  <c r="AB983" s="59"/>
      <c r="AC983" s="59"/>
      <c r="AD983" s="59"/>
      <c r="AE983" s="59"/>
      <c r="AF983" s="59"/>
      <c r="AG983" s="59"/>
      <c r="AH983" s="59"/>
      <c r="AI983" s="59"/>
      <c r="AJ983" s="59"/>
      <c r="AK983" s="59"/>
      <c r="AL983" s="59"/>
      <c r="AM983" s="59"/>
      <c r="AN983" s="59"/>
      <c r="AO983" s="59"/>
      <c r="AP983" s="59"/>
      <c r="AQ983" s="59"/>
      <c r="AR983" s="59"/>
      <c r="AS983" s="59"/>
      <c r="AT983" s="59"/>
      <c r="AU983" s="59"/>
      <c r="AV983" s="59"/>
      <c r="AW983" s="59"/>
      <c r="AX983" s="59"/>
      <c r="AY983" s="59"/>
      <c r="AZ983" s="59"/>
      <c r="BA983" s="59"/>
      <c r="BB983" s="59"/>
      <c r="BC983" s="59"/>
      <c r="BD983" s="59"/>
      <c r="BE983" s="59"/>
      <c r="BF983" s="59"/>
      <c r="BG983" s="59"/>
      <c r="BH983" s="59"/>
      <c r="BI983" s="59"/>
      <c r="BJ983" s="59"/>
      <c r="BK983" s="59"/>
      <c r="BL983" s="59"/>
      <c r="BM983" s="59"/>
      <c r="BN983" s="59"/>
      <c r="BO983" s="59"/>
      <c r="BP983" s="59"/>
      <c r="BQ983" s="59"/>
      <c r="BR983" s="59"/>
      <c r="BS983" s="59"/>
      <c r="BT983" s="59"/>
      <c r="BU983" s="59"/>
      <c r="BV983" s="59"/>
      <c r="BW983" s="59"/>
      <c r="BX983" s="59"/>
      <c r="BY983" s="59"/>
      <c r="BZ983" s="59"/>
      <c r="CA983" s="59"/>
      <c r="CB983" s="59"/>
      <c r="CC983" s="59"/>
      <c r="CD983" s="59"/>
      <c r="CE983" s="59"/>
      <c r="CF983" s="59"/>
      <c r="CG983" s="59"/>
      <c r="CH983" s="59"/>
      <c r="CI983" s="59"/>
      <c r="CJ983" s="59"/>
      <c r="CK983" s="59"/>
      <c r="CL983" s="59"/>
      <c r="CM983" s="59"/>
      <c r="CN983" s="59"/>
      <c r="CO983" s="59"/>
      <c r="CP983" s="59"/>
      <c r="CQ983" s="59"/>
      <c r="CR983" s="59"/>
      <c r="CS983" s="59"/>
      <c r="CT983" s="59"/>
      <c r="CU983" s="59"/>
      <c r="CV983" s="59"/>
      <c r="CW983" s="59"/>
      <c r="CX983" s="59"/>
      <c r="CY983" s="59"/>
      <c r="CZ983" s="59"/>
      <c r="DA983" s="59"/>
      <c r="DB983" s="59"/>
      <c r="DC983" s="59"/>
      <c r="DD983" s="59"/>
      <c r="DE983" s="59"/>
      <c r="DF983" s="59"/>
      <c r="DG983" s="59"/>
    </row>
    <row r="984" spans="1:111" ht="11.25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  <c r="AB984" s="59"/>
      <c r="AC984" s="59"/>
      <c r="AD984" s="59"/>
      <c r="AE984" s="59"/>
      <c r="AF984" s="59"/>
      <c r="AG984" s="59"/>
      <c r="AH984" s="59"/>
      <c r="AI984" s="59"/>
      <c r="AJ984" s="59"/>
      <c r="AK984" s="59"/>
      <c r="AL984" s="59"/>
      <c r="AM984" s="59"/>
      <c r="AN984" s="59"/>
      <c r="AO984" s="59"/>
      <c r="AP984" s="59"/>
      <c r="AQ984" s="59"/>
      <c r="AR984" s="59"/>
      <c r="AS984" s="59"/>
      <c r="AT984" s="59"/>
      <c r="AU984" s="59"/>
      <c r="AV984" s="59"/>
      <c r="AW984" s="59"/>
      <c r="AX984" s="59"/>
      <c r="AY984" s="59"/>
      <c r="AZ984" s="59"/>
      <c r="BA984" s="59"/>
      <c r="BB984" s="59"/>
      <c r="BC984" s="59"/>
      <c r="BD984" s="59"/>
      <c r="BE984" s="59"/>
      <c r="BF984" s="59"/>
      <c r="BG984" s="59"/>
      <c r="BH984" s="59"/>
      <c r="BI984" s="59"/>
      <c r="BJ984" s="59"/>
      <c r="BK984" s="59"/>
      <c r="BL984" s="59"/>
      <c r="BM984" s="59"/>
      <c r="BN984" s="59"/>
      <c r="BO984" s="59"/>
      <c r="BP984" s="59"/>
      <c r="BQ984" s="59"/>
      <c r="BR984" s="59"/>
      <c r="BS984" s="59"/>
      <c r="BT984" s="59"/>
      <c r="BU984" s="59"/>
      <c r="BV984" s="59"/>
      <c r="BW984" s="59"/>
      <c r="BX984" s="59"/>
      <c r="BY984" s="59"/>
      <c r="BZ984" s="59"/>
      <c r="CA984" s="59"/>
      <c r="CB984" s="59"/>
      <c r="CC984" s="59"/>
      <c r="CD984" s="59"/>
      <c r="CE984" s="59"/>
      <c r="CF984" s="59"/>
      <c r="CG984" s="59"/>
      <c r="CH984" s="59"/>
      <c r="CI984" s="59"/>
      <c r="CJ984" s="59"/>
      <c r="CK984" s="59"/>
      <c r="CL984" s="59"/>
      <c r="CM984" s="59"/>
      <c r="CN984" s="59"/>
      <c r="CO984" s="59"/>
      <c r="CP984" s="59"/>
      <c r="CQ984" s="59"/>
      <c r="CR984" s="59"/>
      <c r="CS984" s="59"/>
      <c r="CT984" s="59"/>
      <c r="CU984" s="59"/>
      <c r="CV984" s="59"/>
      <c r="CW984" s="59"/>
      <c r="CX984" s="59"/>
      <c r="CY984" s="59"/>
      <c r="CZ984" s="59"/>
      <c r="DA984" s="59"/>
      <c r="DB984" s="59"/>
      <c r="DC984" s="59"/>
      <c r="DD984" s="59"/>
      <c r="DE984" s="59"/>
      <c r="DF984" s="59"/>
      <c r="DG984" s="59"/>
    </row>
    <row r="985" spans="1:111" ht="11.25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  <c r="AB985" s="59"/>
      <c r="AC985" s="59"/>
      <c r="AD985" s="59"/>
      <c r="AE985" s="59"/>
      <c r="AF985" s="59"/>
      <c r="AG985" s="59"/>
      <c r="AH985" s="59"/>
      <c r="AI985" s="59"/>
      <c r="AJ985" s="59"/>
      <c r="AK985" s="59"/>
      <c r="AL985" s="59"/>
      <c r="AM985" s="59"/>
      <c r="AN985" s="59"/>
      <c r="AO985" s="59"/>
      <c r="AP985" s="59"/>
      <c r="AQ985" s="59"/>
      <c r="AR985" s="59"/>
      <c r="AS985" s="59"/>
      <c r="AT985" s="59"/>
      <c r="AU985" s="59"/>
      <c r="AV985" s="59"/>
      <c r="AW985" s="59"/>
      <c r="AX985" s="59"/>
      <c r="AY985" s="59"/>
      <c r="AZ985" s="59"/>
      <c r="BA985" s="59"/>
      <c r="BB985" s="59"/>
      <c r="BC985" s="59"/>
      <c r="BD985" s="59"/>
      <c r="BE985" s="59"/>
      <c r="BF985" s="59"/>
      <c r="BG985" s="59"/>
      <c r="BH985" s="59"/>
      <c r="BI985" s="59"/>
      <c r="BJ985" s="59"/>
      <c r="BK985" s="59"/>
      <c r="BL985" s="59"/>
      <c r="BM985" s="59"/>
      <c r="BN985" s="59"/>
      <c r="BO985" s="59"/>
      <c r="BP985" s="59"/>
      <c r="BQ985" s="59"/>
      <c r="BR985" s="59"/>
      <c r="BS985" s="59"/>
      <c r="BT985" s="59"/>
      <c r="BU985" s="59"/>
      <c r="BV985" s="59"/>
      <c r="BW985" s="59"/>
      <c r="BX985" s="59"/>
      <c r="BY985" s="59"/>
      <c r="BZ985" s="59"/>
      <c r="CA985" s="59"/>
      <c r="CB985" s="59"/>
      <c r="CC985" s="59"/>
      <c r="CD985" s="59"/>
      <c r="CE985" s="59"/>
      <c r="CF985" s="59"/>
      <c r="CG985" s="59"/>
      <c r="CH985" s="59"/>
      <c r="CI985" s="59"/>
      <c r="CJ985" s="59"/>
      <c r="CK985" s="59"/>
      <c r="CL985" s="59"/>
      <c r="CM985" s="59"/>
      <c r="CN985" s="59"/>
      <c r="CO985" s="59"/>
      <c r="CP985" s="59"/>
      <c r="CQ985" s="59"/>
      <c r="CR985" s="59"/>
      <c r="CS985" s="59"/>
      <c r="CT985" s="59"/>
      <c r="CU985" s="59"/>
      <c r="CV985" s="59"/>
      <c r="CW985" s="59"/>
      <c r="CX985" s="59"/>
      <c r="CY985" s="59"/>
      <c r="CZ985" s="59"/>
      <c r="DA985" s="59"/>
      <c r="DB985" s="59"/>
      <c r="DC985" s="59"/>
      <c r="DD985" s="59"/>
      <c r="DE985" s="59"/>
      <c r="DF985" s="59"/>
      <c r="DG985" s="59"/>
    </row>
    <row r="986" spans="1:111" ht="11.25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  <c r="AB986" s="59"/>
      <c r="AC986" s="59"/>
      <c r="AD986" s="59"/>
      <c r="AE986" s="59"/>
      <c r="AF986" s="59"/>
      <c r="AG986" s="59"/>
      <c r="AH986" s="59"/>
      <c r="AI986" s="59"/>
      <c r="AJ986" s="59"/>
      <c r="AK986" s="59"/>
      <c r="AL986" s="59"/>
      <c r="AM986" s="59"/>
      <c r="AN986" s="59"/>
      <c r="AO986" s="59"/>
      <c r="AP986" s="59"/>
      <c r="AQ986" s="59"/>
      <c r="AR986" s="59"/>
      <c r="AS986" s="59"/>
      <c r="AT986" s="59"/>
      <c r="AU986" s="59"/>
      <c r="AV986" s="59"/>
      <c r="AW986" s="59"/>
      <c r="AX986" s="59"/>
      <c r="AY986" s="59"/>
      <c r="AZ986" s="59"/>
      <c r="BA986" s="59"/>
      <c r="BB986" s="59"/>
      <c r="BC986" s="59"/>
      <c r="BD986" s="59"/>
      <c r="BE986" s="59"/>
      <c r="BF986" s="59"/>
      <c r="BG986" s="59"/>
      <c r="BH986" s="59"/>
      <c r="BI986" s="59"/>
      <c r="BJ986" s="59"/>
      <c r="BK986" s="59"/>
      <c r="BL986" s="59"/>
      <c r="BM986" s="59"/>
      <c r="BN986" s="59"/>
      <c r="BO986" s="59"/>
      <c r="BP986" s="59"/>
      <c r="BQ986" s="59"/>
      <c r="BR986" s="59"/>
      <c r="BS986" s="59"/>
      <c r="BT986" s="59"/>
      <c r="BU986" s="59"/>
      <c r="BV986" s="59"/>
      <c r="BW986" s="59"/>
      <c r="BX986" s="59"/>
      <c r="BY986" s="59"/>
      <c r="BZ986" s="59"/>
      <c r="CA986" s="59"/>
      <c r="CB986" s="59"/>
      <c r="CC986" s="59"/>
      <c r="CD986" s="59"/>
      <c r="CE986" s="59"/>
      <c r="CF986" s="59"/>
      <c r="CG986" s="59"/>
      <c r="CH986" s="59"/>
      <c r="CI986" s="59"/>
      <c r="CJ986" s="59"/>
      <c r="CK986" s="59"/>
      <c r="CL986" s="59"/>
      <c r="CM986" s="59"/>
      <c r="CN986" s="59"/>
      <c r="CO986" s="59"/>
      <c r="CP986" s="59"/>
      <c r="CQ986" s="59"/>
      <c r="CR986" s="59"/>
      <c r="CS986" s="59"/>
      <c r="CT986" s="59"/>
      <c r="CU986" s="59"/>
      <c r="CV986" s="59"/>
      <c r="CW986" s="59"/>
      <c r="CX986" s="59"/>
      <c r="CY986" s="59"/>
      <c r="CZ986" s="59"/>
      <c r="DA986" s="59"/>
      <c r="DB986" s="59"/>
      <c r="DC986" s="59"/>
      <c r="DD986" s="59"/>
      <c r="DE986" s="59"/>
      <c r="DF986" s="59"/>
      <c r="DG986" s="59"/>
    </row>
    <row r="987" spans="1:111" ht="11.25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  <c r="AB987" s="59"/>
      <c r="AC987" s="59"/>
      <c r="AD987" s="59"/>
      <c r="AE987" s="59"/>
      <c r="AF987" s="59"/>
      <c r="AG987" s="59"/>
      <c r="AH987" s="59"/>
      <c r="AI987" s="59"/>
      <c r="AJ987" s="59"/>
      <c r="AK987" s="59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9"/>
      <c r="AW987" s="59"/>
      <c r="AX987" s="59"/>
      <c r="AY987" s="59"/>
      <c r="AZ987" s="59"/>
      <c r="BA987" s="59"/>
      <c r="BB987" s="59"/>
      <c r="BC987" s="59"/>
      <c r="BD987" s="59"/>
      <c r="BE987" s="59"/>
      <c r="BF987" s="59"/>
      <c r="BG987" s="59"/>
      <c r="BH987" s="59"/>
      <c r="BI987" s="59"/>
      <c r="BJ987" s="59"/>
      <c r="BK987" s="59"/>
      <c r="BL987" s="59"/>
      <c r="BM987" s="59"/>
      <c r="BN987" s="59"/>
      <c r="BO987" s="59"/>
      <c r="BP987" s="59"/>
      <c r="BQ987" s="59"/>
      <c r="BR987" s="59"/>
      <c r="BS987" s="59"/>
      <c r="BT987" s="59"/>
      <c r="BU987" s="59"/>
      <c r="BV987" s="59"/>
      <c r="BW987" s="59"/>
      <c r="BX987" s="59"/>
      <c r="BY987" s="59"/>
      <c r="BZ987" s="59"/>
      <c r="CA987" s="59"/>
      <c r="CB987" s="59"/>
      <c r="CC987" s="59"/>
      <c r="CD987" s="59"/>
      <c r="CE987" s="59"/>
      <c r="CF987" s="59"/>
      <c r="CG987" s="59"/>
      <c r="CH987" s="59"/>
      <c r="CI987" s="59"/>
      <c r="CJ987" s="59"/>
      <c r="CK987" s="59"/>
      <c r="CL987" s="59"/>
      <c r="CM987" s="59"/>
      <c r="CN987" s="59"/>
      <c r="CO987" s="59"/>
      <c r="CP987" s="59"/>
      <c r="CQ987" s="59"/>
      <c r="CR987" s="59"/>
      <c r="CS987" s="59"/>
      <c r="CT987" s="59"/>
      <c r="CU987" s="59"/>
      <c r="CV987" s="59"/>
      <c r="CW987" s="59"/>
      <c r="CX987" s="59"/>
      <c r="CY987" s="59"/>
      <c r="CZ987" s="59"/>
      <c r="DA987" s="59"/>
      <c r="DB987" s="59"/>
      <c r="DC987" s="59"/>
      <c r="DD987" s="59"/>
      <c r="DE987" s="59"/>
      <c r="DF987" s="59"/>
      <c r="DG987" s="59"/>
    </row>
    <row r="988" spans="1:111" ht="11.25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  <c r="AB988" s="59"/>
      <c r="AC988" s="59"/>
      <c r="AD988" s="59"/>
      <c r="AE988" s="59"/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9"/>
      <c r="AW988" s="59"/>
      <c r="AX988" s="59"/>
      <c r="AY988" s="59"/>
      <c r="AZ988" s="59"/>
      <c r="BA988" s="59"/>
      <c r="BB988" s="59"/>
      <c r="BC988" s="59"/>
      <c r="BD988" s="59"/>
      <c r="BE988" s="59"/>
      <c r="BF988" s="59"/>
      <c r="BG988" s="59"/>
      <c r="BH988" s="59"/>
      <c r="BI988" s="59"/>
      <c r="BJ988" s="59"/>
      <c r="BK988" s="59"/>
      <c r="BL988" s="59"/>
      <c r="BM988" s="59"/>
      <c r="BN988" s="59"/>
      <c r="BO988" s="59"/>
      <c r="BP988" s="59"/>
      <c r="BQ988" s="59"/>
      <c r="BR988" s="59"/>
      <c r="BS988" s="59"/>
      <c r="BT988" s="59"/>
      <c r="BU988" s="59"/>
      <c r="BV988" s="59"/>
      <c r="BW988" s="59"/>
      <c r="BX988" s="59"/>
      <c r="BY988" s="59"/>
      <c r="BZ988" s="59"/>
      <c r="CA988" s="59"/>
      <c r="CB988" s="59"/>
      <c r="CC988" s="59"/>
      <c r="CD988" s="59"/>
      <c r="CE988" s="59"/>
      <c r="CF988" s="59"/>
      <c r="CG988" s="59"/>
      <c r="CH988" s="59"/>
      <c r="CI988" s="59"/>
      <c r="CJ988" s="59"/>
      <c r="CK988" s="59"/>
      <c r="CL988" s="59"/>
      <c r="CM988" s="59"/>
      <c r="CN988" s="59"/>
      <c r="CO988" s="59"/>
      <c r="CP988" s="59"/>
      <c r="CQ988" s="59"/>
      <c r="CR988" s="59"/>
      <c r="CS988" s="59"/>
      <c r="CT988" s="59"/>
      <c r="CU988" s="59"/>
      <c r="CV988" s="59"/>
      <c r="CW988" s="59"/>
      <c r="CX988" s="59"/>
      <c r="CY988" s="59"/>
      <c r="CZ988" s="59"/>
      <c r="DA988" s="59"/>
      <c r="DB988" s="59"/>
      <c r="DC988" s="59"/>
      <c r="DD988" s="59"/>
      <c r="DE988" s="59"/>
      <c r="DF988" s="59"/>
      <c r="DG988" s="59"/>
    </row>
    <row r="989" spans="1:111" ht="11.25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  <c r="AB989" s="59"/>
      <c r="AC989" s="59"/>
      <c r="AD989" s="59"/>
      <c r="AE989" s="59"/>
      <c r="AF989" s="59"/>
      <c r="AG989" s="59"/>
      <c r="AH989" s="59"/>
      <c r="AI989" s="59"/>
      <c r="AJ989" s="59"/>
      <c r="AK989" s="59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9"/>
      <c r="AW989" s="59"/>
      <c r="AX989" s="59"/>
      <c r="AY989" s="59"/>
      <c r="AZ989" s="59"/>
      <c r="BA989" s="59"/>
      <c r="BB989" s="59"/>
      <c r="BC989" s="59"/>
      <c r="BD989" s="59"/>
      <c r="BE989" s="59"/>
      <c r="BF989" s="59"/>
      <c r="BG989" s="59"/>
      <c r="BH989" s="59"/>
      <c r="BI989" s="59"/>
      <c r="BJ989" s="59"/>
      <c r="BK989" s="59"/>
      <c r="BL989" s="59"/>
      <c r="BM989" s="59"/>
      <c r="BN989" s="59"/>
      <c r="BO989" s="59"/>
      <c r="BP989" s="59"/>
      <c r="BQ989" s="59"/>
      <c r="BR989" s="59"/>
      <c r="BS989" s="59"/>
      <c r="BT989" s="59"/>
      <c r="BU989" s="59"/>
      <c r="BV989" s="59"/>
      <c r="BW989" s="59"/>
      <c r="BX989" s="59"/>
      <c r="BY989" s="59"/>
      <c r="BZ989" s="59"/>
      <c r="CA989" s="59"/>
      <c r="CB989" s="59"/>
      <c r="CC989" s="59"/>
      <c r="CD989" s="59"/>
      <c r="CE989" s="59"/>
      <c r="CF989" s="59"/>
      <c r="CG989" s="59"/>
      <c r="CH989" s="59"/>
      <c r="CI989" s="59"/>
      <c r="CJ989" s="59"/>
      <c r="CK989" s="59"/>
      <c r="CL989" s="59"/>
      <c r="CM989" s="59"/>
      <c r="CN989" s="59"/>
      <c r="CO989" s="59"/>
      <c r="CP989" s="59"/>
      <c r="CQ989" s="59"/>
      <c r="CR989" s="59"/>
      <c r="CS989" s="59"/>
      <c r="CT989" s="59"/>
      <c r="CU989" s="59"/>
      <c r="CV989" s="59"/>
      <c r="CW989" s="59"/>
      <c r="CX989" s="59"/>
      <c r="CY989" s="59"/>
      <c r="CZ989" s="59"/>
      <c r="DA989" s="59"/>
      <c r="DB989" s="59"/>
      <c r="DC989" s="59"/>
      <c r="DD989" s="59"/>
      <c r="DE989" s="59"/>
      <c r="DF989" s="59"/>
      <c r="DG989" s="59"/>
    </row>
    <row r="990" spans="1:111" ht="11.25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  <c r="AB990" s="59"/>
      <c r="AC990" s="59"/>
      <c r="AD990" s="59"/>
      <c r="AE990" s="59"/>
      <c r="AF990" s="59"/>
      <c r="AG990" s="59"/>
      <c r="AH990" s="59"/>
      <c r="AI990" s="59"/>
      <c r="AJ990" s="59"/>
      <c r="AK990" s="59"/>
      <c r="AL990" s="59"/>
      <c r="AM990" s="59"/>
      <c r="AN990" s="59"/>
      <c r="AO990" s="59"/>
      <c r="AP990" s="59"/>
      <c r="AQ990" s="59"/>
      <c r="AR990" s="59"/>
      <c r="AS990" s="59"/>
      <c r="AT990" s="59"/>
      <c r="AU990" s="59"/>
      <c r="AV990" s="59"/>
      <c r="AW990" s="59"/>
      <c r="AX990" s="59"/>
      <c r="AY990" s="59"/>
      <c r="AZ990" s="59"/>
      <c r="BA990" s="59"/>
      <c r="BB990" s="59"/>
      <c r="BC990" s="59"/>
      <c r="BD990" s="59"/>
      <c r="BE990" s="59"/>
      <c r="BF990" s="59"/>
      <c r="BG990" s="59"/>
      <c r="BH990" s="59"/>
      <c r="BI990" s="59"/>
      <c r="BJ990" s="59"/>
      <c r="BK990" s="59"/>
      <c r="BL990" s="59"/>
      <c r="BM990" s="59"/>
      <c r="BN990" s="59"/>
      <c r="BO990" s="59"/>
      <c r="BP990" s="59"/>
      <c r="BQ990" s="59"/>
      <c r="BR990" s="59"/>
      <c r="BS990" s="59"/>
      <c r="BT990" s="59"/>
      <c r="BU990" s="59"/>
      <c r="BV990" s="59"/>
      <c r="BW990" s="59"/>
      <c r="BX990" s="59"/>
      <c r="BY990" s="59"/>
      <c r="BZ990" s="59"/>
      <c r="CA990" s="59"/>
      <c r="CB990" s="59"/>
      <c r="CC990" s="59"/>
      <c r="CD990" s="59"/>
      <c r="CE990" s="59"/>
      <c r="CF990" s="59"/>
      <c r="CG990" s="59"/>
      <c r="CH990" s="59"/>
      <c r="CI990" s="59"/>
      <c r="CJ990" s="59"/>
      <c r="CK990" s="59"/>
      <c r="CL990" s="59"/>
      <c r="CM990" s="59"/>
      <c r="CN990" s="59"/>
      <c r="CO990" s="59"/>
      <c r="CP990" s="59"/>
      <c r="CQ990" s="59"/>
      <c r="CR990" s="59"/>
      <c r="CS990" s="59"/>
      <c r="CT990" s="59"/>
      <c r="CU990" s="59"/>
      <c r="CV990" s="59"/>
      <c r="CW990" s="59"/>
      <c r="CX990" s="59"/>
      <c r="CY990" s="59"/>
      <c r="CZ990" s="59"/>
      <c r="DA990" s="59"/>
      <c r="DB990" s="59"/>
      <c r="DC990" s="59"/>
      <c r="DD990" s="59"/>
      <c r="DE990" s="59"/>
      <c r="DF990" s="59"/>
      <c r="DG990" s="59"/>
    </row>
    <row r="991" spans="1:111" ht="11.25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  <c r="AB991" s="59"/>
      <c r="AC991" s="59"/>
      <c r="AD991" s="59"/>
      <c r="AE991" s="59"/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9"/>
      <c r="AQ991" s="59"/>
      <c r="AR991" s="59"/>
      <c r="AS991" s="59"/>
      <c r="AT991" s="59"/>
      <c r="AU991" s="59"/>
      <c r="AV991" s="59"/>
      <c r="AW991" s="59"/>
      <c r="AX991" s="59"/>
      <c r="AY991" s="59"/>
      <c r="AZ991" s="59"/>
      <c r="BA991" s="59"/>
      <c r="BB991" s="59"/>
      <c r="BC991" s="59"/>
      <c r="BD991" s="59"/>
      <c r="BE991" s="59"/>
      <c r="BF991" s="59"/>
      <c r="BG991" s="59"/>
      <c r="BH991" s="59"/>
      <c r="BI991" s="59"/>
      <c r="BJ991" s="59"/>
      <c r="BK991" s="59"/>
      <c r="BL991" s="59"/>
      <c r="BM991" s="59"/>
      <c r="BN991" s="59"/>
      <c r="BO991" s="59"/>
      <c r="BP991" s="59"/>
      <c r="BQ991" s="59"/>
      <c r="BR991" s="59"/>
      <c r="BS991" s="59"/>
      <c r="BT991" s="59"/>
      <c r="BU991" s="59"/>
      <c r="BV991" s="59"/>
      <c r="BW991" s="59"/>
      <c r="BX991" s="59"/>
      <c r="BY991" s="59"/>
      <c r="BZ991" s="59"/>
      <c r="CA991" s="59"/>
      <c r="CB991" s="59"/>
      <c r="CC991" s="59"/>
      <c r="CD991" s="59"/>
      <c r="CE991" s="59"/>
      <c r="CF991" s="59"/>
      <c r="CG991" s="59"/>
      <c r="CH991" s="59"/>
      <c r="CI991" s="59"/>
      <c r="CJ991" s="59"/>
      <c r="CK991" s="59"/>
      <c r="CL991" s="59"/>
      <c r="CM991" s="59"/>
      <c r="CN991" s="59"/>
      <c r="CO991" s="59"/>
      <c r="CP991" s="59"/>
      <c r="CQ991" s="59"/>
      <c r="CR991" s="59"/>
      <c r="CS991" s="59"/>
      <c r="CT991" s="59"/>
      <c r="CU991" s="59"/>
      <c r="CV991" s="59"/>
      <c r="CW991" s="59"/>
      <c r="CX991" s="59"/>
      <c r="CY991" s="59"/>
      <c r="CZ991" s="59"/>
      <c r="DA991" s="59"/>
      <c r="DB991" s="59"/>
      <c r="DC991" s="59"/>
      <c r="DD991" s="59"/>
      <c r="DE991" s="59"/>
      <c r="DF991" s="59"/>
      <c r="DG991" s="59"/>
    </row>
    <row r="992" spans="1:111" ht="11.25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9"/>
      <c r="AR992" s="59"/>
      <c r="AS992" s="59"/>
      <c r="AT992" s="59"/>
      <c r="AU992" s="59"/>
      <c r="AV992" s="59"/>
      <c r="AW992" s="59"/>
      <c r="AX992" s="59"/>
      <c r="AY992" s="59"/>
      <c r="AZ992" s="59"/>
      <c r="BA992" s="59"/>
      <c r="BB992" s="59"/>
      <c r="BC992" s="59"/>
      <c r="BD992" s="59"/>
      <c r="BE992" s="59"/>
      <c r="BF992" s="59"/>
      <c r="BG992" s="59"/>
      <c r="BH992" s="59"/>
      <c r="BI992" s="59"/>
      <c r="BJ992" s="59"/>
      <c r="BK992" s="59"/>
      <c r="BL992" s="59"/>
      <c r="BM992" s="59"/>
      <c r="BN992" s="59"/>
      <c r="BO992" s="59"/>
      <c r="BP992" s="59"/>
      <c r="BQ992" s="59"/>
      <c r="BR992" s="59"/>
      <c r="BS992" s="59"/>
      <c r="BT992" s="59"/>
      <c r="BU992" s="59"/>
      <c r="BV992" s="59"/>
      <c r="BW992" s="59"/>
      <c r="BX992" s="59"/>
      <c r="BY992" s="59"/>
      <c r="BZ992" s="59"/>
      <c r="CA992" s="59"/>
      <c r="CB992" s="59"/>
      <c r="CC992" s="59"/>
      <c r="CD992" s="59"/>
      <c r="CE992" s="59"/>
      <c r="CF992" s="59"/>
      <c r="CG992" s="59"/>
      <c r="CH992" s="59"/>
      <c r="CI992" s="59"/>
      <c r="CJ992" s="59"/>
      <c r="CK992" s="59"/>
      <c r="CL992" s="59"/>
      <c r="CM992" s="59"/>
      <c r="CN992" s="59"/>
      <c r="CO992" s="59"/>
      <c r="CP992" s="59"/>
      <c r="CQ992" s="59"/>
      <c r="CR992" s="59"/>
      <c r="CS992" s="59"/>
      <c r="CT992" s="59"/>
      <c r="CU992" s="59"/>
      <c r="CV992" s="59"/>
      <c r="CW992" s="59"/>
      <c r="CX992" s="59"/>
      <c r="CY992" s="59"/>
      <c r="CZ992" s="59"/>
      <c r="DA992" s="59"/>
      <c r="DB992" s="59"/>
      <c r="DC992" s="59"/>
      <c r="DD992" s="59"/>
      <c r="DE992" s="59"/>
      <c r="DF992" s="59"/>
      <c r="DG992" s="59"/>
    </row>
    <row r="993" spans="1:111" ht="11.25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  <c r="AB993" s="59"/>
      <c r="AC993" s="59"/>
      <c r="AD993" s="59"/>
      <c r="AE993" s="59"/>
      <c r="AF993" s="59"/>
      <c r="AG993" s="59"/>
      <c r="AH993" s="59"/>
      <c r="AI993" s="59"/>
      <c r="AJ993" s="59"/>
      <c r="AK993" s="59"/>
      <c r="AL993" s="59"/>
      <c r="AM993" s="59"/>
      <c r="AN993" s="59"/>
      <c r="AO993" s="59"/>
      <c r="AP993" s="59"/>
      <c r="AQ993" s="59"/>
      <c r="AR993" s="59"/>
      <c r="AS993" s="59"/>
      <c r="AT993" s="59"/>
      <c r="AU993" s="59"/>
      <c r="AV993" s="59"/>
      <c r="AW993" s="59"/>
      <c r="AX993" s="59"/>
      <c r="AY993" s="59"/>
      <c r="AZ993" s="59"/>
      <c r="BA993" s="59"/>
      <c r="BB993" s="59"/>
      <c r="BC993" s="59"/>
      <c r="BD993" s="59"/>
      <c r="BE993" s="59"/>
      <c r="BF993" s="59"/>
      <c r="BG993" s="59"/>
      <c r="BH993" s="59"/>
      <c r="BI993" s="59"/>
      <c r="BJ993" s="59"/>
      <c r="BK993" s="59"/>
      <c r="BL993" s="59"/>
      <c r="BM993" s="59"/>
      <c r="BN993" s="59"/>
      <c r="BO993" s="59"/>
      <c r="BP993" s="59"/>
      <c r="BQ993" s="59"/>
      <c r="BR993" s="59"/>
      <c r="BS993" s="59"/>
      <c r="BT993" s="59"/>
      <c r="BU993" s="59"/>
      <c r="BV993" s="59"/>
      <c r="BW993" s="59"/>
      <c r="BX993" s="59"/>
      <c r="BY993" s="59"/>
      <c r="BZ993" s="59"/>
      <c r="CA993" s="59"/>
      <c r="CB993" s="59"/>
      <c r="CC993" s="59"/>
      <c r="CD993" s="59"/>
      <c r="CE993" s="59"/>
      <c r="CF993" s="59"/>
      <c r="CG993" s="59"/>
      <c r="CH993" s="59"/>
      <c r="CI993" s="59"/>
      <c r="CJ993" s="59"/>
      <c r="CK993" s="59"/>
      <c r="CL993" s="59"/>
      <c r="CM993" s="59"/>
      <c r="CN993" s="59"/>
      <c r="CO993" s="59"/>
      <c r="CP993" s="59"/>
      <c r="CQ993" s="59"/>
      <c r="CR993" s="59"/>
      <c r="CS993" s="59"/>
      <c r="CT993" s="59"/>
      <c r="CU993" s="59"/>
      <c r="CV993" s="59"/>
      <c r="CW993" s="59"/>
      <c r="CX993" s="59"/>
      <c r="CY993" s="59"/>
      <c r="CZ993" s="59"/>
      <c r="DA993" s="59"/>
      <c r="DB993" s="59"/>
      <c r="DC993" s="59"/>
      <c r="DD993" s="59"/>
      <c r="DE993" s="59"/>
      <c r="DF993" s="59"/>
      <c r="DG993" s="59"/>
    </row>
    <row r="994" spans="1:111" ht="11.25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  <c r="AI994" s="59"/>
      <c r="AJ994" s="59"/>
      <c r="AK994" s="59"/>
      <c r="AL994" s="59"/>
      <c r="AM994" s="59"/>
      <c r="AN994" s="59"/>
      <c r="AO994" s="59"/>
      <c r="AP994" s="59"/>
      <c r="AQ994" s="59"/>
      <c r="AR994" s="59"/>
      <c r="AS994" s="59"/>
      <c r="AT994" s="59"/>
      <c r="AU994" s="59"/>
      <c r="AV994" s="59"/>
      <c r="AW994" s="59"/>
      <c r="AX994" s="59"/>
      <c r="AY994" s="59"/>
      <c r="AZ994" s="59"/>
      <c r="BA994" s="59"/>
      <c r="BB994" s="59"/>
      <c r="BC994" s="59"/>
      <c r="BD994" s="59"/>
      <c r="BE994" s="59"/>
      <c r="BF994" s="59"/>
      <c r="BG994" s="59"/>
      <c r="BH994" s="59"/>
      <c r="BI994" s="59"/>
      <c r="BJ994" s="59"/>
      <c r="BK994" s="59"/>
      <c r="BL994" s="59"/>
      <c r="BM994" s="59"/>
      <c r="BN994" s="59"/>
      <c r="BO994" s="59"/>
      <c r="BP994" s="59"/>
      <c r="BQ994" s="59"/>
      <c r="BR994" s="59"/>
      <c r="BS994" s="59"/>
      <c r="BT994" s="59"/>
      <c r="BU994" s="59"/>
      <c r="BV994" s="59"/>
      <c r="BW994" s="59"/>
      <c r="BX994" s="59"/>
      <c r="BY994" s="59"/>
      <c r="BZ994" s="59"/>
      <c r="CA994" s="59"/>
      <c r="CB994" s="59"/>
      <c r="CC994" s="59"/>
      <c r="CD994" s="59"/>
      <c r="CE994" s="59"/>
      <c r="CF994" s="59"/>
      <c r="CG994" s="59"/>
      <c r="CH994" s="59"/>
      <c r="CI994" s="59"/>
      <c r="CJ994" s="59"/>
      <c r="CK994" s="59"/>
      <c r="CL994" s="59"/>
      <c r="CM994" s="59"/>
      <c r="CN994" s="59"/>
      <c r="CO994" s="59"/>
      <c r="CP994" s="59"/>
      <c r="CQ994" s="59"/>
      <c r="CR994" s="59"/>
      <c r="CS994" s="59"/>
      <c r="CT994" s="59"/>
      <c r="CU994" s="59"/>
      <c r="CV994" s="59"/>
      <c r="CW994" s="59"/>
      <c r="CX994" s="59"/>
      <c r="CY994" s="59"/>
      <c r="CZ994" s="59"/>
      <c r="DA994" s="59"/>
      <c r="DB994" s="59"/>
      <c r="DC994" s="59"/>
      <c r="DD994" s="59"/>
      <c r="DE994" s="59"/>
      <c r="DF994" s="59"/>
      <c r="DG994" s="59"/>
    </row>
    <row r="995" spans="1:111" ht="11.25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L995" s="59"/>
      <c r="AM995" s="59"/>
      <c r="AN995" s="59"/>
      <c r="AO995" s="59"/>
      <c r="AP995" s="59"/>
      <c r="AQ995" s="59"/>
      <c r="AR995" s="59"/>
      <c r="AS995" s="59"/>
      <c r="AT995" s="59"/>
      <c r="AU995" s="59"/>
      <c r="AV995" s="59"/>
      <c r="AW995" s="59"/>
      <c r="AX995" s="59"/>
      <c r="AY995" s="59"/>
      <c r="AZ995" s="59"/>
      <c r="BA995" s="59"/>
      <c r="BB995" s="59"/>
      <c r="BC995" s="59"/>
      <c r="BD995" s="59"/>
      <c r="BE995" s="59"/>
      <c r="BF995" s="59"/>
      <c r="BG995" s="59"/>
      <c r="BH995" s="59"/>
      <c r="BI995" s="59"/>
      <c r="BJ995" s="59"/>
      <c r="BK995" s="59"/>
      <c r="BL995" s="59"/>
      <c r="BM995" s="59"/>
      <c r="BN995" s="59"/>
      <c r="BO995" s="59"/>
      <c r="BP995" s="59"/>
      <c r="BQ995" s="59"/>
      <c r="BR995" s="59"/>
      <c r="BS995" s="59"/>
      <c r="BT995" s="59"/>
      <c r="BU995" s="59"/>
      <c r="BV995" s="59"/>
      <c r="BW995" s="59"/>
      <c r="BX995" s="59"/>
      <c r="BY995" s="59"/>
      <c r="BZ995" s="59"/>
      <c r="CA995" s="59"/>
      <c r="CB995" s="59"/>
      <c r="CC995" s="59"/>
      <c r="CD995" s="59"/>
      <c r="CE995" s="59"/>
      <c r="CF995" s="59"/>
      <c r="CG995" s="59"/>
      <c r="CH995" s="59"/>
      <c r="CI995" s="59"/>
      <c r="CJ995" s="59"/>
      <c r="CK995" s="59"/>
      <c r="CL995" s="59"/>
      <c r="CM995" s="59"/>
      <c r="CN995" s="59"/>
      <c r="CO995" s="59"/>
      <c r="CP995" s="59"/>
      <c r="CQ995" s="59"/>
      <c r="CR995" s="59"/>
      <c r="CS995" s="59"/>
      <c r="CT995" s="59"/>
      <c r="CU995" s="59"/>
      <c r="CV995" s="59"/>
      <c r="CW995" s="59"/>
      <c r="CX995" s="59"/>
      <c r="CY995" s="59"/>
      <c r="CZ995" s="59"/>
      <c r="DA995" s="59"/>
      <c r="DB995" s="59"/>
      <c r="DC995" s="59"/>
      <c r="DD995" s="59"/>
      <c r="DE995" s="59"/>
      <c r="DF995" s="59"/>
      <c r="DG995" s="59"/>
    </row>
    <row r="996" spans="1:111" ht="11.25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L996" s="59"/>
      <c r="AM996" s="59"/>
      <c r="AN996" s="59"/>
      <c r="AO996" s="59"/>
      <c r="AP996" s="59"/>
      <c r="AQ996" s="59"/>
      <c r="AR996" s="59"/>
      <c r="AS996" s="59"/>
      <c r="AT996" s="59"/>
      <c r="AU996" s="59"/>
      <c r="AV996" s="59"/>
      <c r="AW996" s="59"/>
      <c r="AX996" s="59"/>
      <c r="AY996" s="59"/>
      <c r="AZ996" s="59"/>
      <c r="BA996" s="59"/>
      <c r="BB996" s="59"/>
      <c r="BC996" s="59"/>
      <c r="BD996" s="59"/>
      <c r="BE996" s="59"/>
      <c r="BF996" s="59"/>
      <c r="BG996" s="59"/>
      <c r="BH996" s="59"/>
      <c r="BI996" s="59"/>
      <c r="BJ996" s="59"/>
      <c r="BK996" s="59"/>
      <c r="BL996" s="59"/>
      <c r="BM996" s="59"/>
      <c r="BN996" s="59"/>
      <c r="BO996" s="59"/>
      <c r="BP996" s="59"/>
      <c r="BQ996" s="59"/>
      <c r="BR996" s="59"/>
      <c r="BS996" s="59"/>
      <c r="BT996" s="59"/>
      <c r="BU996" s="59"/>
      <c r="BV996" s="59"/>
      <c r="BW996" s="59"/>
      <c r="BX996" s="59"/>
      <c r="BY996" s="59"/>
      <c r="BZ996" s="59"/>
      <c r="CA996" s="59"/>
      <c r="CB996" s="59"/>
      <c r="CC996" s="59"/>
      <c r="CD996" s="59"/>
      <c r="CE996" s="59"/>
      <c r="CF996" s="59"/>
      <c r="CG996" s="59"/>
      <c r="CH996" s="59"/>
      <c r="CI996" s="59"/>
      <c r="CJ996" s="59"/>
      <c r="CK996" s="59"/>
      <c r="CL996" s="59"/>
      <c r="CM996" s="59"/>
      <c r="CN996" s="59"/>
      <c r="CO996" s="59"/>
      <c r="CP996" s="59"/>
      <c r="CQ996" s="59"/>
      <c r="CR996" s="59"/>
      <c r="CS996" s="59"/>
      <c r="CT996" s="59"/>
      <c r="CU996" s="59"/>
      <c r="CV996" s="59"/>
      <c r="CW996" s="59"/>
      <c r="CX996" s="59"/>
      <c r="CY996" s="59"/>
      <c r="CZ996" s="59"/>
      <c r="DA996" s="59"/>
      <c r="DB996" s="59"/>
      <c r="DC996" s="59"/>
      <c r="DD996" s="59"/>
      <c r="DE996" s="59"/>
      <c r="DF996" s="59"/>
      <c r="DG996" s="59"/>
    </row>
    <row r="997" spans="1:111" ht="11.25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L997" s="59"/>
      <c r="AM997" s="59"/>
      <c r="AN997" s="59"/>
      <c r="AO997" s="59"/>
      <c r="AP997" s="59"/>
      <c r="AQ997" s="59"/>
      <c r="AR997" s="59"/>
      <c r="AS997" s="59"/>
      <c r="AT997" s="59"/>
      <c r="AU997" s="59"/>
      <c r="AV997" s="59"/>
      <c r="AW997" s="59"/>
      <c r="AX997" s="59"/>
      <c r="AY997" s="59"/>
      <c r="AZ997" s="59"/>
      <c r="BA997" s="59"/>
      <c r="BB997" s="59"/>
      <c r="BC997" s="59"/>
      <c r="BD997" s="59"/>
      <c r="BE997" s="59"/>
      <c r="BF997" s="59"/>
      <c r="BG997" s="59"/>
      <c r="BH997" s="59"/>
      <c r="BI997" s="59"/>
      <c r="BJ997" s="59"/>
      <c r="BK997" s="59"/>
      <c r="BL997" s="59"/>
      <c r="BM997" s="59"/>
      <c r="BN997" s="59"/>
      <c r="BO997" s="59"/>
      <c r="BP997" s="59"/>
      <c r="BQ997" s="59"/>
      <c r="BR997" s="59"/>
      <c r="BS997" s="59"/>
      <c r="BT997" s="59"/>
      <c r="BU997" s="59"/>
      <c r="BV997" s="59"/>
      <c r="BW997" s="59"/>
      <c r="BX997" s="59"/>
      <c r="BY997" s="59"/>
      <c r="BZ997" s="59"/>
      <c r="CA997" s="59"/>
      <c r="CB997" s="59"/>
      <c r="CC997" s="59"/>
      <c r="CD997" s="59"/>
      <c r="CE997" s="59"/>
      <c r="CF997" s="59"/>
      <c r="CG997" s="59"/>
      <c r="CH997" s="59"/>
      <c r="CI997" s="59"/>
      <c r="CJ997" s="59"/>
      <c r="CK997" s="59"/>
      <c r="CL997" s="59"/>
      <c r="CM997" s="59"/>
      <c r="CN997" s="59"/>
      <c r="CO997" s="59"/>
      <c r="CP997" s="59"/>
      <c r="CQ997" s="59"/>
      <c r="CR997" s="59"/>
      <c r="CS997" s="59"/>
      <c r="CT997" s="59"/>
      <c r="CU997" s="59"/>
      <c r="CV997" s="59"/>
      <c r="CW997" s="59"/>
      <c r="CX997" s="59"/>
      <c r="CY997" s="59"/>
      <c r="CZ997" s="59"/>
      <c r="DA997" s="59"/>
      <c r="DB997" s="59"/>
      <c r="DC997" s="59"/>
      <c r="DD997" s="59"/>
      <c r="DE997" s="59"/>
      <c r="DF997" s="59"/>
      <c r="DG997" s="59"/>
    </row>
    <row r="998" spans="1:111" ht="11.25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  <c r="AB998" s="59"/>
      <c r="AC998" s="59"/>
      <c r="AD998" s="59"/>
      <c r="AE998" s="59"/>
      <c r="AF998" s="59"/>
      <c r="AG998" s="59"/>
      <c r="AH998" s="59"/>
      <c r="AI998" s="59"/>
      <c r="AJ998" s="59"/>
      <c r="AK998" s="59"/>
      <c r="AL998" s="59"/>
      <c r="AM998" s="59"/>
      <c r="AN998" s="59"/>
      <c r="AO998" s="59"/>
      <c r="AP998" s="59"/>
      <c r="AQ998" s="59"/>
      <c r="AR998" s="59"/>
      <c r="AS998" s="59"/>
      <c r="AT998" s="59"/>
      <c r="AU998" s="59"/>
      <c r="AV998" s="59"/>
      <c r="AW998" s="59"/>
      <c r="AX998" s="59"/>
      <c r="AY998" s="59"/>
      <c r="AZ998" s="59"/>
      <c r="BA998" s="59"/>
      <c r="BB998" s="59"/>
      <c r="BC998" s="59"/>
      <c r="BD998" s="59"/>
      <c r="BE998" s="59"/>
      <c r="BF998" s="59"/>
      <c r="BG998" s="59"/>
      <c r="BH998" s="59"/>
      <c r="BI998" s="59"/>
      <c r="BJ998" s="59"/>
      <c r="BK998" s="59"/>
      <c r="BL998" s="59"/>
      <c r="BM998" s="59"/>
      <c r="BN998" s="59"/>
      <c r="BO998" s="59"/>
      <c r="BP998" s="59"/>
      <c r="BQ998" s="59"/>
      <c r="BR998" s="59"/>
      <c r="BS998" s="59"/>
      <c r="BT998" s="59"/>
      <c r="BU998" s="59"/>
      <c r="BV998" s="59"/>
      <c r="BW998" s="59"/>
      <c r="BX998" s="59"/>
      <c r="BY998" s="59"/>
      <c r="BZ998" s="59"/>
      <c r="CA998" s="59"/>
      <c r="CB998" s="59"/>
      <c r="CC998" s="59"/>
      <c r="CD998" s="59"/>
      <c r="CE998" s="59"/>
      <c r="CF998" s="59"/>
      <c r="CG998" s="59"/>
      <c r="CH998" s="59"/>
      <c r="CI998" s="59"/>
      <c r="CJ998" s="59"/>
      <c r="CK998" s="59"/>
      <c r="CL998" s="59"/>
      <c r="CM998" s="59"/>
      <c r="CN998" s="59"/>
      <c r="CO998" s="59"/>
      <c r="CP998" s="59"/>
      <c r="CQ998" s="59"/>
      <c r="CR998" s="59"/>
      <c r="CS998" s="59"/>
      <c r="CT998" s="59"/>
      <c r="CU998" s="59"/>
      <c r="CV998" s="59"/>
      <c r="CW998" s="59"/>
      <c r="CX998" s="59"/>
      <c r="CY998" s="59"/>
      <c r="CZ998" s="59"/>
      <c r="DA998" s="59"/>
      <c r="DB998" s="59"/>
      <c r="DC998" s="59"/>
      <c r="DD998" s="59"/>
      <c r="DE998" s="59"/>
      <c r="DF998" s="59"/>
      <c r="DG998" s="59"/>
    </row>
    <row r="999" spans="1:111" ht="11.25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  <c r="AB999" s="59"/>
      <c r="AC999" s="59"/>
      <c r="AD999" s="59"/>
      <c r="AE999" s="59"/>
      <c r="AF999" s="59"/>
      <c r="AG999" s="59"/>
      <c r="AH999" s="59"/>
      <c r="AI999" s="59"/>
      <c r="AJ999" s="59"/>
      <c r="AK999" s="59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9"/>
      <c r="AW999" s="59"/>
      <c r="AX999" s="59"/>
      <c r="AY999" s="59"/>
      <c r="AZ999" s="59"/>
      <c r="BA999" s="59"/>
      <c r="BB999" s="59"/>
      <c r="BC999" s="59"/>
      <c r="BD999" s="59"/>
      <c r="BE999" s="59"/>
      <c r="BF999" s="59"/>
      <c r="BG999" s="59"/>
      <c r="BH999" s="59"/>
      <c r="BI999" s="59"/>
      <c r="BJ999" s="59"/>
      <c r="BK999" s="59"/>
      <c r="BL999" s="59"/>
      <c r="BM999" s="59"/>
      <c r="BN999" s="59"/>
      <c r="BO999" s="59"/>
      <c r="BP999" s="59"/>
      <c r="BQ999" s="59"/>
      <c r="BR999" s="59"/>
      <c r="BS999" s="59"/>
      <c r="BT999" s="59"/>
      <c r="BU999" s="59"/>
      <c r="BV999" s="59"/>
      <c r="BW999" s="59"/>
      <c r="BX999" s="59"/>
      <c r="BY999" s="59"/>
      <c r="BZ999" s="59"/>
      <c r="CA999" s="59"/>
      <c r="CB999" s="59"/>
      <c r="CC999" s="59"/>
      <c r="CD999" s="59"/>
      <c r="CE999" s="59"/>
      <c r="CF999" s="59"/>
      <c r="CG999" s="59"/>
      <c r="CH999" s="59"/>
      <c r="CI999" s="59"/>
      <c r="CJ999" s="59"/>
      <c r="CK999" s="59"/>
      <c r="CL999" s="59"/>
      <c r="CM999" s="59"/>
      <c r="CN999" s="59"/>
      <c r="CO999" s="59"/>
      <c r="CP999" s="59"/>
      <c r="CQ999" s="59"/>
      <c r="CR999" s="59"/>
      <c r="CS999" s="59"/>
      <c r="CT999" s="59"/>
      <c r="CU999" s="59"/>
      <c r="CV999" s="59"/>
      <c r="CW999" s="59"/>
      <c r="CX999" s="59"/>
      <c r="CY999" s="59"/>
      <c r="CZ999" s="59"/>
      <c r="DA999" s="59"/>
      <c r="DB999" s="59"/>
      <c r="DC999" s="59"/>
      <c r="DD999" s="59"/>
      <c r="DE999" s="59"/>
      <c r="DF999" s="59"/>
      <c r="DG999" s="59"/>
    </row>
    <row r="1000" spans="1:111" ht="11.25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  <c r="AB1000" s="59"/>
      <c r="AC1000" s="59"/>
      <c r="AD1000" s="59"/>
      <c r="AE1000" s="59"/>
      <c r="AF1000" s="59"/>
      <c r="AG1000" s="59"/>
      <c r="AH1000" s="59"/>
      <c r="AI1000" s="59"/>
      <c r="AJ1000" s="59"/>
      <c r="AK1000" s="59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9"/>
      <c r="AW1000" s="59"/>
      <c r="AX1000" s="59"/>
      <c r="AY1000" s="59"/>
      <c r="AZ1000" s="59"/>
      <c r="BA1000" s="59"/>
      <c r="BB1000" s="59"/>
      <c r="BC1000" s="59"/>
      <c r="BD1000" s="59"/>
      <c r="BE1000" s="59"/>
      <c r="BF1000" s="59"/>
      <c r="BG1000" s="59"/>
      <c r="BH1000" s="59"/>
      <c r="BI1000" s="59"/>
      <c r="BJ1000" s="59"/>
      <c r="BK1000" s="59"/>
      <c r="BL1000" s="59"/>
      <c r="BM1000" s="59"/>
      <c r="BN1000" s="59"/>
      <c r="BO1000" s="59"/>
      <c r="BP1000" s="59"/>
      <c r="BQ1000" s="59"/>
      <c r="BR1000" s="59"/>
      <c r="BS1000" s="59"/>
      <c r="BT1000" s="59"/>
      <c r="BU1000" s="59"/>
      <c r="BV1000" s="59"/>
      <c r="BW1000" s="59"/>
      <c r="BX1000" s="59"/>
      <c r="BY1000" s="59"/>
      <c r="BZ1000" s="59"/>
      <c r="CA1000" s="59"/>
      <c r="CB1000" s="59"/>
      <c r="CC1000" s="59"/>
      <c r="CD1000" s="59"/>
      <c r="CE1000" s="59"/>
      <c r="CF1000" s="59"/>
      <c r="CG1000" s="59"/>
      <c r="CH1000" s="59"/>
      <c r="CI1000" s="59"/>
      <c r="CJ1000" s="59"/>
      <c r="CK1000" s="59"/>
      <c r="CL1000" s="59"/>
      <c r="CM1000" s="59"/>
      <c r="CN1000" s="59"/>
      <c r="CO1000" s="59"/>
      <c r="CP1000" s="59"/>
      <c r="CQ1000" s="59"/>
      <c r="CR1000" s="59"/>
      <c r="CS1000" s="59"/>
      <c r="CT1000" s="59"/>
      <c r="CU1000" s="59"/>
      <c r="CV1000" s="59"/>
      <c r="CW1000" s="59"/>
      <c r="CX1000" s="59"/>
      <c r="CY1000" s="59"/>
      <c r="CZ1000" s="59"/>
      <c r="DA1000" s="59"/>
      <c r="DB1000" s="59"/>
      <c r="DC1000" s="59"/>
      <c r="DD1000" s="59"/>
      <c r="DE1000" s="59"/>
      <c r="DF1000" s="59"/>
      <c r="DG1000" s="59"/>
    </row>
    <row r="1001" spans="1:111" ht="11.25" customHeight="1">
      <c r="A1001" s="59"/>
      <c r="B1001" s="59"/>
      <c r="C1001" s="59"/>
      <c r="D1001" s="59"/>
      <c r="E1001" s="59"/>
      <c r="F1001" s="59"/>
      <c r="G1001" s="59"/>
      <c r="H1001" s="59"/>
      <c r="I1001" s="59"/>
      <c r="J1001" s="59"/>
      <c r="K1001" s="59"/>
      <c r="L1001" s="59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  <c r="AA1001" s="59"/>
      <c r="AB1001" s="59"/>
      <c r="AC1001" s="59"/>
      <c r="AD1001" s="59"/>
      <c r="AE1001" s="59"/>
      <c r="AF1001" s="59"/>
      <c r="AG1001" s="59"/>
      <c r="AH1001" s="59"/>
      <c r="AI1001" s="59"/>
      <c r="AJ1001" s="59"/>
      <c r="AK1001" s="59"/>
      <c r="AL1001" s="59"/>
      <c r="AM1001" s="59"/>
      <c r="AN1001" s="59"/>
      <c r="AO1001" s="59"/>
      <c r="AP1001" s="59"/>
      <c r="AQ1001" s="59"/>
      <c r="AR1001" s="59"/>
      <c r="AS1001" s="59"/>
      <c r="AT1001" s="59"/>
      <c r="AU1001" s="59"/>
      <c r="AV1001" s="59"/>
      <c r="AW1001" s="59"/>
      <c r="AX1001" s="59"/>
      <c r="AY1001" s="59"/>
      <c r="AZ1001" s="59"/>
      <c r="BA1001" s="59"/>
      <c r="BB1001" s="59"/>
      <c r="BC1001" s="59"/>
      <c r="BD1001" s="59"/>
      <c r="BE1001" s="59"/>
      <c r="BF1001" s="59"/>
      <c r="BG1001" s="59"/>
      <c r="BH1001" s="59"/>
      <c r="BI1001" s="59"/>
      <c r="BJ1001" s="59"/>
      <c r="BK1001" s="59"/>
      <c r="BL1001" s="59"/>
      <c r="BM1001" s="59"/>
      <c r="BN1001" s="59"/>
      <c r="BO1001" s="59"/>
      <c r="BP1001" s="59"/>
      <c r="BQ1001" s="59"/>
      <c r="BR1001" s="59"/>
      <c r="BS1001" s="59"/>
      <c r="BT1001" s="59"/>
      <c r="BU1001" s="59"/>
      <c r="BV1001" s="59"/>
      <c r="BW1001" s="59"/>
      <c r="BX1001" s="59"/>
      <c r="BY1001" s="59"/>
      <c r="BZ1001" s="59"/>
      <c r="CA1001" s="59"/>
      <c r="CB1001" s="59"/>
      <c r="CC1001" s="59"/>
      <c r="CD1001" s="59"/>
      <c r="CE1001" s="59"/>
      <c r="CF1001" s="59"/>
      <c r="CG1001" s="59"/>
      <c r="CH1001" s="59"/>
      <c r="CI1001" s="59"/>
      <c r="CJ1001" s="59"/>
      <c r="CK1001" s="59"/>
      <c r="CL1001" s="59"/>
      <c r="CM1001" s="59"/>
      <c r="CN1001" s="59"/>
      <c r="CO1001" s="59"/>
      <c r="CP1001" s="59"/>
      <c r="CQ1001" s="59"/>
      <c r="CR1001" s="59"/>
      <c r="CS1001" s="59"/>
      <c r="CT1001" s="59"/>
      <c r="CU1001" s="59"/>
      <c r="CV1001" s="59"/>
      <c r="CW1001" s="59"/>
      <c r="CX1001" s="59"/>
      <c r="CY1001" s="59"/>
      <c r="CZ1001" s="59"/>
      <c r="DA1001" s="59"/>
      <c r="DB1001" s="59"/>
      <c r="DC1001" s="59"/>
      <c r="DD1001" s="59"/>
      <c r="DE1001" s="59"/>
      <c r="DF1001" s="59"/>
      <c r="DG1001" s="59"/>
    </row>
  </sheetData>
  <mergeCells count="192">
    <mergeCell ref="A93:DG93"/>
    <mergeCell ref="B94:BX94"/>
    <mergeCell ref="BY94:CN94"/>
    <mergeCell ref="CO94:CV94"/>
    <mergeCell ref="CW94:DF94"/>
    <mergeCell ref="BY95:CN95"/>
    <mergeCell ref="CO95:DF95"/>
    <mergeCell ref="AD98:BD98"/>
    <mergeCell ref="BE98:CE98"/>
    <mergeCell ref="B95:BX95"/>
    <mergeCell ref="A96:DG96"/>
    <mergeCell ref="B97:AC97"/>
    <mergeCell ref="AD97:BD97"/>
    <mergeCell ref="BE97:CE97"/>
    <mergeCell ref="CF97:DF97"/>
    <mergeCell ref="CF98:DF98"/>
    <mergeCell ref="BF90:DF90"/>
    <mergeCell ref="BR91:DF91"/>
    <mergeCell ref="BF92:DF92"/>
    <mergeCell ref="B86:BC86"/>
    <mergeCell ref="BF86:DF86"/>
    <mergeCell ref="B87:BC87"/>
    <mergeCell ref="BF87:DF87"/>
    <mergeCell ref="B88:BC88"/>
    <mergeCell ref="BF88:DF88"/>
    <mergeCell ref="BF89:DF89"/>
    <mergeCell ref="B89:BC89"/>
    <mergeCell ref="B90:BC90"/>
    <mergeCell ref="B91:W91"/>
    <mergeCell ref="X91:AG91"/>
    <mergeCell ref="AH91:BC91"/>
    <mergeCell ref="BF91:BQ91"/>
    <mergeCell ref="B92:BC92"/>
    <mergeCell ref="B110:BC110"/>
    <mergeCell ref="N107:BC107"/>
    <mergeCell ref="BF107:BQ107"/>
    <mergeCell ref="B108:BC108"/>
    <mergeCell ref="BF108:DF108"/>
    <mergeCell ref="B109:S109"/>
    <mergeCell ref="AT109:BC109"/>
    <mergeCell ref="CW109:DF109"/>
    <mergeCell ref="BF110:DF110"/>
    <mergeCell ref="BF109:BW109"/>
    <mergeCell ref="BX109:CV109"/>
    <mergeCell ref="B104:BC104"/>
    <mergeCell ref="BF104:DF104"/>
    <mergeCell ref="B105:BC105"/>
    <mergeCell ref="BF105:DF105"/>
    <mergeCell ref="B106:BC106"/>
    <mergeCell ref="BF106:DF106"/>
    <mergeCell ref="B107:M107"/>
    <mergeCell ref="BR107:DF107"/>
    <mergeCell ref="T109:AS109"/>
    <mergeCell ref="BF102:DF102"/>
    <mergeCell ref="BF103:DF103"/>
    <mergeCell ref="B98:AC98"/>
    <mergeCell ref="B99:DF99"/>
    <mergeCell ref="B100:DF100"/>
    <mergeCell ref="B101:BC101"/>
    <mergeCell ref="BF101:DF101"/>
    <mergeCell ref="B102:BC102"/>
    <mergeCell ref="B103:BC103"/>
    <mergeCell ref="BF84:DF84"/>
    <mergeCell ref="BF85:DF85"/>
    <mergeCell ref="CG80:DD80"/>
    <mergeCell ref="A81:DD81"/>
    <mergeCell ref="A82:DG82"/>
    <mergeCell ref="B83:BC83"/>
    <mergeCell ref="BF83:DF83"/>
    <mergeCell ref="B84:BC84"/>
    <mergeCell ref="B85:BC85"/>
    <mergeCell ref="B75:BC75"/>
    <mergeCell ref="B76:BC76"/>
    <mergeCell ref="B77:BC77"/>
    <mergeCell ref="AC79:BD79"/>
    <mergeCell ref="AC80:BD80"/>
    <mergeCell ref="B68:DF68"/>
    <mergeCell ref="B69:DF69"/>
    <mergeCell ref="B70:M70"/>
    <mergeCell ref="N70:BC70"/>
    <mergeCell ref="BF70:BQ70"/>
    <mergeCell ref="BR70:DF70"/>
    <mergeCell ref="BF71:DF71"/>
    <mergeCell ref="BF72:DF72"/>
    <mergeCell ref="A73:DG73"/>
    <mergeCell ref="BF74:DF74"/>
    <mergeCell ref="BF75:DF75"/>
    <mergeCell ref="BF76:DF76"/>
    <mergeCell ref="BF77:DF77"/>
    <mergeCell ref="CG79:DD79"/>
    <mergeCell ref="B64:DF64"/>
    <mergeCell ref="B65:DF65"/>
    <mergeCell ref="B66:BC66"/>
    <mergeCell ref="BF66:DF66"/>
    <mergeCell ref="B67:BC67"/>
    <mergeCell ref="BF67:DF67"/>
    <mergeCell ref="B71:BC71"/>
    <mergeCell ref="B72:BC72"/>
    <mergeCell ref="B74:BC74"/>
    <mergeCell ref="B56:DF56"/>
    <mergeCell ref="B57:DF57"/>
    <mergeCell ref="B62:BC62"/>
    <mergeCell ref="B63:BC63"/>
    <mergeCell ref="B58:DF58"/>
    <mergeCell ref="B59:DF59"/>
    <mergeCell ref="B60:BC60"/>
    <mergeCell ref="BF60:DF60"/>
    <mergeCell ref="B61:BC61"/>
    <mergeCell ref="BF61:DF61"/>
    <mergeCell ref="BF62:DF62"/>
    <mergeCell ref="BF63:DF63"/>
    <mergeCell ref="B49:DF49"/>
    <mergeCell ref="B50:DF50"/>
    <mergeCell ref="AM51:BM51"/>
    <mergeCell ref="BO51:BR51"/>
    <mergeCell ref="B53:BC53"/>
    <mergeCell ref="BF53:DF53"/>
    <mergeCell ref="B54:BC54"/>
    <mergeCell ref="BF54:DF54"/>
    <mergeCell ref="A55:DG55"/>
    <mergeCell ref="BF44:DF44"/>
    <mergeCell ref="BF45:DF45"/>
    <mergeCell ref="BF47:DF47"/>
    <mergeCell ref="BF48:DF48"/>
    <mergeCell ref="B41:BC41"/>
    <mergeCell ref="BF41:DF41"/>
    <mergeCell ref="B42:BC42"/>
    <mergeCell ref="BF42:DF42"/>
    <mergeCell ref="A43:DG43"/>
    <mergeCell ref="B44:BC44"/>
    <mergeCell ref="A46:DG46"/>
    <mergeCell ref="B45:BC45"/>
    <mergeCell ref="B47:BC47"/>
    <mergeCell ref="B48:BC48"/>
    <mergeCell ref="BF39:DF39"/>
    <mergeCell ref="BF40:DF40"/>
    <mergeCell ref="B34:DF34"/>
    <mergeCell ref="B35:DF35"/>
    <mergeCell ref="B36:DF36"/>
    <mergeCell ref="B37:DF37"/>
    <mergeCell ref="A38:DG38"/>
    <mergeCell ref="B39:BC39"/>
    <mergeCell ref="B40:BC40"/>
    <mergeCell ref="B27:DF27"/>
    <mergeCell ref="B28:DF28"/>
    <mergeCell ref="B29:BC29"/>
    <mergeCell ref="BF29:DF29"/>
    <mergeCell ref="B30:BC30"/>
    <mergeCell ref="BF30:DF30"/>
    <mergeCell ref="A31:DG31"/>
    <mergeCell ref="B32:DF32"/>
    <mergeCell ref="B33:DF33"/>
    <mergeCell ref="A19:DG19"/>
    <mergeCell ref="B20:DF20"/>
    <mergeCell ref="B21:DF21"/>
    <mergeCell ref="B22:DF22"/>
    <mergeCell ref="B23:DF23"/>
    <mergeCell ref="A24:DG24"/>
    <mergeCell ref="B25:BC25"/>
    <mergeCell ref="BF25:DF25"/>
    <mergeCell ref="B26:BC26"/>
    <mergeCell ref="BF26:DF26"/>
    <mergeCell ref="B18:BM18"/>
    <mergeCell ref="CF1:DG1"/>
    <mergeCell ref="CF2:DG2"/>
    <mergeCell ref="CF4:DG4"/>
    <mergeCell ref="A6:DG6"/>
    <mergeCell ref="A8:BN8"/>
    <mergeCell ref="BO8:DG8"/>
    <mergeCell ref="B9:F9"/>
    <mergeCell ref="CQ9:DG9"/>
    <mergeCell ref="BU9:CK9"/>
    <mergeCell ref="CM9:CP9"/>
    <mergeCell ref="BO10:DG10"/>
    <mergeCell ref="BP11:DG11"/>
    <mergeCell ref="BP12:DG13"/>
    <mergeCell ref="BP15:DF15"/>
    <mergeCell ref="BP16:DF16"/>
    <mergeCell ref="BP17:DF17"/>
    <mergeCell ref="BP18:DF18"/>
    <mergeCell ref="G9:V9"/>
    <mergeCell ref="X9:AB9"/>
    <mergeCell ref="B10:V10"/>
    <mergeCell ref="B13:S13"/>
    <mergeCell ref="W13:AB13"/>
    <mergeCell ref="AC9:BN9"/>
    <mergeCell ref="BP9:BT9"/>
    <mergeCell ref="W10:BN10"/>
    <mergeCell ref="B11:BN11"/>
    <mergeCell ref="B15:BM15"/>
    <mergeCell ref="B16:BM16"/>
    <mergeCell ref="B17:BM17"/>
  </mergeCells>
  <dataValidations count="1">
    <dataValidation type="list" allowBlank="1" showErrorMessage="1" sqref="A11" xr:uid="{00000000-0002-0000-0600-000000000000}">
      <formula1>"[object Map Iterator]"</formula1>
    </dataValidation>
  </dataValidations>
  <pageMargins left="0.25" right="0.25" top="0.75" bottom="0.75" header="0" footer="0"/>
  <pageSetup scale="9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3071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8.140625" customWidth="1"/>
    <col min="2" max="2" width="15.85546875" customWidth="1"/>
    <col min="3" max="4" width="24.5703125" customWidth="1"/>
    <col min="7" max="7" width="17.28515625" customWidth="1"/>
    <col min="11" max="11" width="17.28515625" customWidth="1"/>
  </cols>
  <sheetData>
    <row r="1" spans="1:26" ht="36" customHeight="1">
      <c r="A1" s="64" t="str">
        <f ca="1">IFERROR(__xludf.DUMMYFUNCTION("IMPORTRANGE(""1vLINvyoXF57UZgvnO4__Q_EJahmr2ZF06sPVcW84FoI"", ""Активные талоны!A1:Q8800"")"),"Номер талона")</f>
        <v>Номер талона</v>
      </c>
      <c r="B1" s="64" t="str">
        <f ca="1">IFERROR(__xludf.DUMMYFUNCTION("""COMPUTED_VALUE"""),"Дата создания")</f>
        <v>Дата создания</v>
      </c>
      <c r="C1" s="64" t="str">
        <f ca="1">IFERROR(__xludf.DUMMYFUNCTION("""COMPUTED_VALUE"""),"Наименование контрагента")</f>
        <v>Наименование контрагента</v>
      </c>
      <c r="D1" s="64" t="str">
        <f ca="1">IFERROR(__xludf.DUMMYFUNCTION("""COMPUTED_VALUE"""),"Вид услуги")</f>
        <v>Вид услуги</v>
      </c>
      <c r="E1" s="65" t="str">
        <f ca="1">IFERROR(__xludf.DUMMYFUNCTION("""COMPUTED_VALUE"""),"Закрыт")</f>
        <v>Закрыт</v>
      </c>
      <c r="F1" s="65" t="str">
        <f ca="1">IFERROR(__xludf.DUMMYFUNCTION("""COMPUTED_VALUE"""),"Полигон")</f>
        <v>Полигон</v>
      </c>
      <c r="G1" s="65" t="str">
        <f ca="1">IFERROR(__xludf.DUMMYFUNCTION("""COMPUTED_VALUE"""),"Дата время въезда на полигон")</f>
        <v>Дата время въезда на полигон</v>
      </c>
      <c r="H1" s="65" t="str">
        <f ca="1">IFERROR(__xludf.DUMMYFUNCTION("""COMPUTED_VALUE"""),"Номер транспортного средства")</f>
        <v>Номер транспортного средства</v>
      </c>
      <c r="I1" s="65" t="str">
        <f ca="1">IFERROR(__xludf.DUMMYFUNCTION("""COMPUTED_VALUE"""),"Масса при въезде")</f>
        <v>Масса при въезде</v>
      </c>
      <c r="J1" s="65" t="str">
        <f ca="1">IFERROR(__xludf.DUMMYFUNCTION("""COMPUTED_VALUE"""),"Статус контрагента на момент визита")</f>
        <v>Статус контрагента на момент визита</v>
      </c>
      <c r="K1" s="65" t="str">
        <f ca="1">IFERROR(__xludf.DUMMYFUNCTION("""COMPUTED_VALUE"""),"20.05.2022")</f>
        <v>20.05.2022</v>
      </c>
      <c r="L1" s="65" t="str">
        <f ca="1">IFERROR(__xludf.DUMMYFUNCTION("""COMPUTED_VALUE"""),"10200")</f>
        <v>10200</v>
      </c>
      <c r="M1" s="65" t="str">
        <f ca="1">IFERROR(__xludf.DUMMYFUNCTION("""COMPUTED_VALUE"""),"1780")</f>
        <v>1780</v>
      </c>
      <c r="N1" s="65" t="str">
        <f ca="1">IFERROR(__xludf.DUMMYFUNCTION("""COMPUTED_VALUE"""),"Объем, м3")</f>
        <v>Объем, м3</v>
      </c>
      <c r="O1" s="65" t="str">
        <f ca="1">IFERROR(__xludf.DUMMYFUNCTION("""COMPUTED_VALUE"""),"Расчетный тариф")</f>
        <v>Расчетный тариф</v>
      </c>
      <c r="P1" s="65" t="str">
        <f ca="1">IFERROR(__xludf.DUMMYFUNCTION("""COMPUTED_VALUE"""),"Списание со счета контрагента")</f>
        <v>Списание со счета контрагента</v>
      </c>
      <c r="Q1" s="65" t="str">
        <f ca="1">IFERROR(__xludf.DUMMYFUNCTION("""COMPUTED_VALUE"""),"Тип ТС")</f>
        <v>Тип ТС</v>
      </c>
      <c r="R1" s="65"/>
      <c r="S1" s="65"/>
      <c r="T1" s="65"/>
      <c r="U1" s="65"/>
      <c r="V1" s="65"/>
      <c r="W1" s="65"/>
      <c r="X1" s="65"/>
      <c r="Y1" s="65"/>
      <c r="Z1" s="65"/>
    </row>
    <row r="2" spans="1:26" ht="12.75">
      <c r="A2" s="66">
        <f ca="1">IFERROR(__xludf.DUMMYFUNCTION("""COMPUTED_VALUE"""),89877)</f>
        <v>89877</v>
      </c>
      <c r="B2" s="4">
        <f ca="1">IFERROR(__xludf.DUMMYFUNCTION("""COMPUTED_VALUE"""),44531)</f>
        <v>44531</v>
      </c>
      <c r="C2" t="str">
        <f ca="1">IFERROR(__xludf.DUMMYFUNCTION("""COMPUTED_VALUE"""),"ООО ""Чистый город Омск"" Договор №69-РДО от 09.01.2021")</f>
        <v>ООО "Чистый город Омск" Договор №69-РДО от 09.01.2021</v>
      </c>
      <c r="D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" t="str">
        <f ca="1">IFERROR(__xludf.DUMMYFUNCTION("""COMPUTED_VALUE"""),"Новый")</f>
        <v>Новый</v>
      </c>
      <c r="G2" s="68"/>
      <c r="K2" s="68"/>
    </row>
    <row r="3" spans="1:26" ht="12.75">
      <c r="A3" s="69">
        <f ca="1">IFERROR(__xludf.DUMMYFUNCTION("""COMPUTED_VALUE"""),89878)</f>
        <v>89878</v>
      </c>
      <c r="B3" s="4">
        <f ca="1">IFERROR(__xludf.DUMMYFUNCTION("""COMPUTED_VALUE"""),44531)</f>
        <v>44531</v>
      </c>
      <c r="C3" t="str">
        <f ca="1">IFERROR(__xludf.DUMMYFUNCTION("""COMPUTED_VALUE"""),"ООО ""Чистый город Омск"" Договор №69-РДО от 09.01.2021")</f>
        <v>ООО "Чистый город Омск" Договор №69-РДО от 09.01.2021</v>
      </c>
      <c r="D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" t="str">
        <f ca="1">IFERROR(__xludf.DUMMYFUNCTION("""COMPUTED_VALUE"""),"Новый")</f>
        <v>Новый</v>
      </c>
      <c r="G3" s="68"/>
      <c r="K3" s="68"/>
    </row>
    <row r="4" spans="1:26" ht="12.75">
      <c r="A4" s="69">
        <f ca="1">IFERROR(__xludf.DUMMYFUNCTION("""COMPUTED_VALUE"""),89879)</f>
        <v>89879</v>
      </c>
      <c r="B4" s="4">
        <f ca="1">IFERROR(__xludf.DUMMYFUNCTION("""COMPUTED_VALUE"""),44531)</f>
        <v>44531</v>
      </c>
      <c r="C4" t="str">
        <f ca="1">IFERROR(__xludf.DUMMYFUNCTION("""COMPUTED_VALUE"""),"ООО ""Чистый город Омск"" Договор №69-РДО от 09.01.2021")</f>
        <v>ООО "Чистый город Омск" Договор №69-РДО от 09.01.2021</v>
      </c>
      <c r="D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" t="str">
        <f ca="1">IFERROR(__xludf.DUMMYFUNCTION("""COMPUTED_VALUE"""),"Новый")</f>
        <v>Новый</v>
      </c>
      <c r="G4" s="68"/>
      <c r="K4" s="68"/>
    </row>
    <row r="5" spans="1:26" ht="12.75">
      <c r="A5" s="69">
        <f ca="1">IFERROR(__xludf.DUMMYFUNCTION("""COMPUTED_VALUE"""),89880)</f>
        <v>89880</v>
      </c>
      <c r="B5" s="4">
        <f ca="1">IFERROR(__xludf.DUMMYFUNCTION("""COMPUTED_VALUE"""),44531)</f>
        <v>44531</v>
      </c>
      <c r="C5" t="str">
        <f ca="1">IFERROR(__xludf.DUMMYFUNCTION("""COMPUTED_VALUE"""),"ЗАО ""Экос"" 70-РДО от 09.01.2021")</f>
        <v>ЗАО "Экос" 70-РДО от 09.01.2021</v>
      </c>
      <c r="D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" t="str">
        <f ca="1">IFERROR(__xludf.DUMMYFUNCTION("""COMPUTED_VALUE"""),"Новый")</f>
        <v>Новый</v>
      </c>
      <c r="G5" s="68"/>
      <c r="K5" s="68"/>
    </row>
    <row r="6" spans="1:26" ht="12.75">
      <c r="A6" s="69">
        <f ca="1">IFERROR(__xludf.DUMMYFUNCTION("""COMPUTED_VALUE"""),89881)</f>
        <v>89881</v>
      </c>
      <c r="B6" s="4">
        <f ca="1">IFERROR(__xludf.DUMMYFUNCTION("""COMPUTED_VALUE"""),44531)</f>
        <v>44531</v>
      </c>
      <c r="C6" t="str">
        <f ca="1">IFERROR(__xludf.DUMMYFUNCTION("""COMPUTED_VALUE"""),"ЗАО ""Экос"" 70-РДО от 09.01.2021")</f>
        <v>ЗАО "Экос" 70-РДО от 09.01.2021</v>
      </c>
      <c r="D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" t="str">
        <f ca="1">IFERROR(__xludf.DUMMYFUNCTION("""COMPUTED_VALUE"""),"Новый")</f>
        <v>Новый</v>
      </c>
      <c r="G6" s="68"/>
      <c r="K6" s="68"/>
    </row>
    <row r="7" spans="1:26" ht="12.75">
      <c r="A7" s="69">
        <f ca="1">IFERROR(__xludf.DUMMYFUNCTION("""COMPUTED_VALUE"""),89882)</f>
        <v>89882</v>
      </c>
      <c r="B7" s="4">
        <f ca="1">IFERROR(__xludf.DUMMYFUNCTION("""COMPUTED_VALUE"""),44531)</f>
        <v>44531</v>
      </c>
      <c r="C7" t="str">
        <f ca="1">IFERROR(__xludf.DUMMYFUNCTION("""COMPUTED_VALUE"""),"ЗАО ""Экос"" 70-РДО от 09.01.2021")</f>
        <v>ЗАО "Экос" 70-РДО от 09.01.2021</v>
      </c>
      <c r="D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" t="str">
        <f ca="1">IFERROR(__xludf.DUMMYFUNCTION("""COMPUTED_VALUE"""),"Новый")</f>
        <v>Новый</v>
      </c>
      <c r="G7" s="68"/>
      <c r="K7" s="68"/>
    </row>
    <row r="8" spans="1:26" ht="12.75">
      <c r="A8" s="69">
        <f ca="1">IFERROR(__xludf.DUMMYFUNCTION("""COMPUTED_VALUE"""),89883)</f>
        <v>89883</v>
      </c>
      <c r="B8" s="4">
        <f ca="1">IFERROR(__xludf.DUMMYFUNCTION("""COMPUTED_VALUE"""),44531)</f>
        <v>44531</v>
      </c>
      <c r="C8" t="str">
        <f ca="1">IFERROR(__xludf.DUMMYFUNCTION("""COMPUTED_VALUE"""),"ЗАО ""Экос"" 70-РДО от 09.01.2021")</f>
        <v>ЗАО "Экос" 70-РДО от 09.01.2021</v>
      </c>
      <c r="D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" t="str">
        <f ca="1">IFERROR(__xludf.DUMMYFUNCTION("""COMPUTED_VALUE"""),"Новый")</f>
        <v>Новый</v>
      </c>
      <c r="G8" s="68"/>
      <c r="K8" s="68"/>
    </row>
    <row r="9" spans="1:26" ht="12.75">
      <c r="A9" s="69">
        <f ca="1">IFERROR(__xludf.DUMMYFUNCTION("""COMPUTED_VALUE"""),89884)</f>
        <v>89884</v>
      </c>
      <c r="B9" s="4">
        <f ca="1">IFERROR(__xludf.DUMMYFUNCTION("""COMPUTED_VALUE"""),44531)</f>
        <v>44531</v>
      </c>
      <c r="C9" t="str">
        <f ca="1">IFERROR(__xludf.DUMMYFUNCTION("""COMPUTED_VALUE"""),"ЗАО ""Экос"" 70-РДО от 09.01.2021")</f>
        <v>ЗАО "Экос" 70-РДО от 09.01.2021</v>
      </c>
      <c r="D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" t="str">
        <f ca="1">IFERROR(__xludf.DUMMYFUNCTION("""COMPUTED_VALUE"""),"Новый")</f>
        <v>Новый</v>
      </c>
      <c r="G9" s="68"/>
      <c r="K9" s="68"/>
    </row>
    <row r="10" spans="1:26" ht="12.75">
      <c r="A10" s="69">
        <f ca="1">IFERROR(__xludf.DUMMYFUNCTION("""COMPUTED_VALUE"""),89885)</f>
        <v>89885</v>
      </c>
      <c r="B10" s="4">
        <f ca="1">IFERROR(__xludf.DUMMYFUNCTION("""COMPUTED_VALUE"""),44531)</f>
        <v>44531</v>
      </c>
      <c r="C10" t="str">
        <f ca="1">IFERROR(__xludf.DUMMYFUNCTION("""COMPUTED_VALUE"""),"ЗАО ""Экос"" 70-РДО от 09.01.2021")</f>
        <v>ЗАО "Экос" 70-РДО от 09.01.2021</v>
      </c>
      <c r="D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" t="str">
        <f ca="1">IFERROR(__xludf.DUMMYFUNCTION("""COMPUTED_VALUE"""),"Новый")</f>
        <v>Новый</v>
      </c>
      <c r="G10" s="68"/>
      <c r="K10" s="68"/>
    </row>
    <row r="11" spans="1:26" ht="12.75">
      <c r="A11" s="69">
        <f ca="1">IFERROR(__xludf.DUMMYFUNCTION("""COMPUTED_VALUE"""),90103)</f>
        <v>90103</v>
      </c>
      <c r="B11" s="4">
        <f ca="1">IFERROR(__xludf.DUMMYFUNCTION("""COMPUTED_VALUE"""),44592)</f>
        <v>44592</v>
      </c>
      <c r="C11" t="str">
        <f ca="1">IFERROR(__xludf.DUMMYFUNCTION("""COMPUTED_VALUE"""),"ЗАО ""ЭКОС"" 128-РДО от 01.01.2022")</f>
        <v>ЗАО "ЭКОС" 128-РДО от 01.01.2022</v>
      </c>
      <c r="D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" t="str">
        <f ca="1">IFERROR(__xludf.DUMMYFUNCTION("""COMPUTED_VALUE"""),"Новый")</f>
        <v>Новый</v>
      </c>
      <c r="G11" s="68"/>
      <c r="K11" s="68"/>
    </row>
    <row r="12" spans="1:26" ht="12.75">
      <c r="A12" s="69">
        <f ca="1">IFERROR(__xludf.DUMMYFUNCTION("""COMPUTED_VALUE"""),90104)</f>
        <v>90104</v>
      </c>
      <c r="B12" s="4">
        <f ca="1">IFERROR(__xludf.DUMMYFUNCTION("""COMPUTED_VALUE"""),44592)</f>
        <v>44592</v>
      </c>
      <c r="C12" t="str">
        <f ca="1">IFERROR(__xludf.DUMMYFUNCTION("""COMPUTED_VALUE"""),"ЗАО ""ЭКОС"" 128-РДО от 01.01.2022")</f>
        <v>ЗАО "ЭКОС" 128-РДО от 01.01.2022</v>
      </c>
      <c r="D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" t="str">
        <f ca="1">IFERROR(__xludf.DUMMYFUNCTION("""COMPUTED_VALUE"""),"Новый")</f>
        <v>Новый</v>
      </c>
      <c r="G12" s="68"/>
      <c r="K12" s="68"/>
    </row>
    <row r="13" spans="1:26" ht="12.75">
      <c r="A13" s="69">
        <f ca="1">IFERROR(__xludf.DUMMYFUNCTION("""COMPUTED_VALUE"""),90105)</f>
        <v>90105</v>
      </c>
      <c r="B13" s="4">
        <f ca="1">IFERROR(__xludf.DUMMYFUNCTION("""COMPUTED_VALUE"""),44592)</f>
        <v>44592</v>
      </c>
      <c r="C13" t="str">
        <f ca="1">IFERROR(__xludf.DUMMYFUNCTION("""COMPUTED_VALUE"""),"ЗАО ""ЭКОС"" 128-РДО от 01.01.2022")</f>
        <v>ЗАО "ЭКОС" 128-РДО от 01.01.2022</v>
      </c>
      <c r="D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" t="str">
        <f ca="1">IFERROR(__xludf.DUMMYFUNCTION("""COMPUTED_VALUE"""),"Новый")</f>
        <v>Новый</v>
      </c>
      <c r="G13" s="68"/>
      <c r="K13" s="68"/>
    </row>
    <row r="14" spans="1:26" ht="12.75">
      <c r="A14" s="69">
        <f ca="1">IFERROR(__xludf.DUMMYFUNCTION("""COMPUTED_VALUE"""),90106)</f>
        <v>90106</v>
      </c>
      <c r="B14" s="4">
        <f ca="1">IFERROR(__xludf.DUMMYFUNCTION("""COMPUTED_VALUE"""),44592)</f>
        <v>44592</v>
      </c>
      <c r="C14" t="str">
        <f ca="1">IFERROR(__xludf.DUMMYFUNCTION("""COMPUTED_VALUE"""),"ЗАО ""ЭКОС"" 128-РДО от 01.01.2022")</f>
        <v>ЗАО "ЭКОС" 128-РДО от 01.01.2022</v>
      </c>
      <c r="D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" t="str">
        <f ca="1">IFERROR(__xludf.DUMMYFUNCTION("""COMPUTED_VALUE"""),"Новый")</f>
        <v>Новый</v>
      </c>
      <c r="G14" s="68"/>
      <c r="K14" s="68"/>
    </row>
    <row r="15" spans="1:26" ht="12.75">
      <c r="A15" s="69">
        <f ca="1">IFERROR(__xludf.DUMMYFUNCTION("""COMPUTED_VALUE"""),90107)</f>
        <v>90107</v>
      </c>
      <c r="B15" s="4">
        <f ca="1">IFERROR(__xludf.DUMMYFUNCTION("""COMPUTED_VALUE"""),44592)</f>
        <v>44592</v>
      </c>
      <c r="C15" t="str">
        <f ca="1">IFERROR(__xludf.DUMMYFUNCTION("""COMPUTED_VALUE"""),"ЗАО ""ЭКОС"" 128-РДО от 01.01.2022")</f>
        <v>ЗАО "ЭКОС" 128-РДО от 01.01.2022</v>
      </c>
      <c r="D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" t="str">
        <f ca="1">IFERROR(__xludf.DUMMYFUNCTION("""COMPUTED_VALUE"""),"Новый")</f>
        <v>Новый</v>
      </c>
      <c r="G15" s="68"/>
      <c r="K15" s="68"/>
    </row>
    <row r="16" spans="1:26" ht="12.75">
      <c r="A16" s="69">
        <f ca="1">IFERROR(__xludf.DUMMYFUNCTION("""COMPUTED_VALUE"""),90108)</f>
        <v>90108</v>
      </c>
      <c r="B16" s="4">
        <f ca="1">IFERROR(__xludf.DUMMYFUNCTION("""COMPUTED_VALUE"""),44592)</f>
        <v>44592</v>
      </c>
      <c r="C16" t="str">
        <f ca="1">IFERROR(__xludf.DUMMYFUNCTION("""COMPUTED_VALUE"""),"ЗАО ""ЭКОС"" 128-РДО от 01.01.2022")</f>
        <v>ЗАО "ЭКОС" 128-РДО от 01.01.2022</v>
      </c>
      <c r="D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" t="str">
        <f ca="1">IFERROR(__xludf.DUMMYFUNCTION("""COMPUTED_VALUE"""),"Новый")</f>
        <v>Новый</v>
      </c>
      <c r="G16" s="68"/>
      <c r="K16" s="68"/>
    </row>
    <row r="17" spans="1:11" ht="12.75">
      <c r="A17" s="69">
        <f ca="1">IFERROR(__xludf.DUMMYFUNCTION("""COMPUTED_VALUE"""),90109)</f>
        <v>90109</v>
      </c>
      <c r="B17" s="4">
        <f ca="1">IFERROR(__xludf.DUMMYFUNCTION("""COMPUTED_VALUE"""),44592)</f>
        <v>44592</v>
      </c>
      <c r="C17" t="str">
        <f ca="1">IFERROR(__xludf.DUMMYFUNCTION("""COMPUTED_VALUE"""),"ЗАО ""ЭКОС"" 128-РДО от 01.01.2022")</f>
        <v>ЗАО "ЭКОС" 128-РДО от 01.01.2022</v>
      </c>
      <c r="D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" t="str">
        <f ca="1">IFERROR(__xludf.DUMMYFUNCTION("""COMPUTED_VALUE"""),"Новый")</f>
        <v>Новый</v>
      </c>
      <c r="G17" s="68"/>
      <c r="K17" s="68"/>
    </row>
    <row r="18" spans="1:11" ht="12.75">
      <c r="A18" s="69">
        <f ca="1">IFERROR(__xludf.DUMMYFUNCTION("""COMPUTED_VALUE"""),90110)</f>
        <v>90110</v>
      </c>
      <c r="B18" s="4">
        <f ca="1">IFERROR(__xludf.DUMMYFUNCTION("""COMPUTED_VALUE"""),44592)</f>
        <v>44592</v>
      </c>
      <c r="C18" t="str">
        <f ca="1">IFERROR(__xludf.DUMMYFUNCTION("""COMPUTED_VALUE"""),"ЗАО ""ЭКОС"" 128-РДО от 01.01.2022")</f>
        <v>ЗАО "ЭКОС" 128-РДО от 01.01.2022</v>
      </c>
      <c r="D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" t="str">
        <f ca="1">IFERROR(__xludf.DUMMYFUNCTION("""COMPUTED_VALUE"""),"Новый")</f>
        <v>Новый</v>
      </c>
      <c r="G18" s="68"/>
      <c r="K18" s="68"/>
    </row>
    <row r="19" spans="1:11" ht="12.75">
      <c r="A19" s="69">
        <f ca="1">IFERROR(__xludf.DUMMYFUNCTION("""COMPUTED_VALUE"""),90111)</f>
        <v>90111</v>
      </c>
      <c r="B19" s="4">
        <f ca="1">IFERROR(__xludf.DUMMYFUNCTION("""COMPUTED_VALUE"""),44592)</f>
        <v>44592</v>
      </c>
      <c r="C19" t="str">
        <f ca="1">IFERROR(__xludf.DUMMYFUNCTION("""COMPUTED_VALUE"""),"ЗАО ""ЭКОС"" 128-РДО от 01.01.2022")</f>
        <v>ЗАО "ЭКОС" 128-РДО от 01.01.2022</v>
      </c>
      <c r="D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" t="str">
        <f ca="1">IFERROR(__xludf.DUMMYFUNCTION("""COMPUTED_VALUE"""),"Новый")</f>
        <v>Новый</v>
      </c>
      <c r="G19" s="68"/>
      <c r="K19" s="68"/>
    </row>
    <row r="20" spans="1:11" ht="12.75">
      <c r="A20" s="69">
        <f ca="1">IFERROR(__xludf.DUMMYFUNCTION("""COMPUTED_VALUE"""),90112)</f>
        <v>90112</v>
      </c>
      <c r="B20" s="4">
        <f ca="1">IFERROR(__xludf.DUMMYFUNCTION("""COMPUTED_VALUE"""),44592)</f>
        <v>44592</v>
      </c>
      <c r="C20" t="str">
        <f ca="1">IFERROR(__xludf.DUMMYFUNCTION("""COMPUTED_VALUE"""),"ЗАО ""ЭКОС"" 128-РДО от 01.01.2022")</f>
        <v>ЗАО "ЭКОС" 128-РДО от 01.01.2022</v>
      </c>
      <c r="D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" t="str">
        <f ca="1">IFERROR(__xludf.DUMMYFUNCTION("""COMPUTED_VALUE"""),"Новый")</f>
        <v>Новый</v>
      </c>
      <c r="G20" s="68"/>
      <c r="K20" s="68"/>
    </row>
    <row r="21" spans="1:11" ht="12.75">
      <c r="A21" s="69">
        <f ca="1">IFERROR(__xludf.DUMMYFUNCTION("""COMPUTED_VALUE"""),90113)</f>
        <v>90113</v>
      </c>
      <c r="B21" s="4">
        <f ca="1">IFERROR(__xludf.DUMMYFUNCTION("""COMPUTED_VALUE"""),44592)</f>
        <v>44592</v>
      </c>
      <c r="C21" t="str">
        <f ca="1">IFERROR(__xludf.DUMMYFUNCTION("""COMPUTED_VALUE"""),"ЗАО ""ЭКОС"" 128-РДО от 01.01.2022")</f>
        <v>ЗАО "ЭКОС" 128-РДО от 01.01.2022</v>
      </c>
      <c r="D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" t="str">
        <f ca="1">IFERROR(__xludf.DUMMYFUNCTION("""COMPUTED_VALUE"""),"Новый")</f>
        <v>Новый</v>
      </c>
      <c r="G21" s="68"/>
      <c r="K21" s="68"/>
    </row>
    <row r="22" spans="1:11" ht="12.75">
      <c r="A22" s="69">
        <f ca="1">IFERROR(__xludf.DUMMYFUNCTION("""COMPUTED_VALUE"""),90114)</f>
        <v>90114</v>
      </c>
      <c r="B22" s="4">
        <f ca="1">IFERROR(__xludf.DUMMYFUNCTION("""COMPUTED_VALUE"""),44592)</f>
        <v>44592</v>
      </c>
      <c r="C22" t="str">
        <f ca="1">IFERROR(__xludf.DUMMYFUNCTION("""COMPUTED_VALUE"""),"ЗАО ""ЭКОС"" 128-РДО от 01.01.2022")</f>
        <v>ЗАО "ЭКОС" 128-РДО от 01.01.2022</v>
      </c>
      <c r="D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" t="str">
        <f ca="1">IFERROR(__xludf.DUMMYFUNCTION("""COMPUTED_VALUE"""),"Новый")</f>
        <v>Новый</v>
      </c>
      <c r="G22" s="68"/>
      <c r="K22" s="68"/>
    </row>
    <row r="23" spans="1:11" ht="12.75">
      <c r="A23" s="69">
        <f ca="1">IFERROR(__xludf.DUMMYFUNCTION("""COMPUTED_VALUE"""),90115)</f>
        <v>90115</v>
      </c>
      <c r="B23" s="4">
        <f ca="1">IFERROR(__xludf.DUMMYFUNCTION("""COMPUTED_VALUE"""),44592)</f>
        <v>44592</v>
      </c>
      <c r="C23" t="str">
        <f ca="1">IFERROR(__xludf.DUMMYFUNCTION("""COMPUTED_VALUE"""),"ЗАО ""ЭКОС"" 128-РДО от 01.01.2022")</f>
        <v>ЗАО "ЭКОС" 128-РДО от 01.01.2022</v>
      </c>
      <c r="D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" t="str">
        <f ca="1">IFERROR(__xludf.DUMMYFUNCTION("""COMPUTED_VALUE"""),"Новый")</f>
        <v>Новый</v>
      </c>
      <c r="G23" s="68"/>
      <c r="K23" s="68"/>
    </row>
    <row r="24" spans="1:11" ht="12.75">
      <c r="A24" s="69">
        <f ca="1">IFERROR(__xludf.DUMMYFUNCTION("""COMPUTED_VALUE"""),90116)</f>
        <v>90116</v>
      </c>
      <c r="B24" s="4">
        <f ca="1">IFERROR(__xludf.DUMMYFUNCTION("""COMPUTED_VALUE"""),44592)</f>
        <v>44592</v>
      </c>
      <c r="C24" t="str">
        <f ca="1">IFERROR(__xludf.DUMMYFUNCTION("""COMPUTED_VALUE"""),"ЗАО ""ЭКОС"" 128-РДО от 01.01.2022")</f>
        <v>ЗАО "ЭКОС" 128-РДО от 01.01.2022</v>
      </c>
      <c r="D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" t="str">
        <f ca="1">IFERROR(__xludf.DUMMYFUNCTION("""COMPUTED_VALUE"""),"Новый")</f>
        <v>Новый</v>
      </c>
      <c r="G24" s="68"/>
      <c r="K24" s="68"/>
    </row>
    <row r="25" spans="1:11" ht="12.75">
      <c r="A25" s="69">
        <f ca="1">IFERROR(__xludf.DUMMYFUNCTION("""COMPUTED_VALUE"""),90117)</f>
        <v>90117</v>
      </c>
      <c r="B25" s="4">
        <f ca="1">IFERROR(__xludf.DUMMYFUNCTION("""COMPUTED_VALUE"""),44592)</f>
        <v>44592</v>
      </c>
      <c r="C25" t="str">
        <f ca="1">IFERROR(__xludf.DUMMYFUNCTION("""COMPUTED_VALUE"""),"ЗАО ""ЭКОС"" 128-РДО от 01.01.2022")</f>
        <v>ЗАО "ЭКОС" 128-РДО от 01.01.2022</v>
      </c>
      <c r="D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" t="str">
        <f ca="1">IFERROR(__xludf.DUMMYFUNCTION("""COMPUTED_VALUE"""),"Новый")</f>
        <v>Новый</v>
      </c>
      <c r="G25" s="68"/>
      <c r="K25" s="68"/>
    </row>
    <row r="26" spans="1:11" ht="12.75">
      <c r="A26" s="69">
        <f ca="1">IFERROR(__xludf.DUMMYFUNCTION("""COMPUTED_VALUE"""),90118)</f>
        <v>90118</v>
      </c>
      <c r="B26" s="4">
        <f ca="1">IFERROR(__xludf.DUMMYFUNCTION("""COMPUTED_VALUE"""),44592)</f>
        <v>44592</v>
      </c>
      <c r="C26" t="str">
        <f ca="1">IFERROR(__xludf.DUMMYFUNCTION("""COMPUTED_VALUE"""),"ЗАО ""ЭКОС"" 128-РДО от 01.01.2022")</f>
        <v>ЗАО "ЭКОС" 128-РДО от 01.01.2022</v>
      </c>
      <c r="D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" t="str">
        <f ca="1">IFERROR(__xludf.DUMMYFUNCTION("""COMPUTED_VALUE"""),"Новый")</f>
        <v>Новый</v>
      </c>
      <c r="G26" s="68"/>
      <c r="K26" s="68"/>
    </row>
    <row r="27" spans="1:11" ht="12.75">
      <c r="A27" s="69">
        <f ca="1">IFERROR(__xludf.DUMMYFUNCTION("""COMPUTED_VALUE"""),90119)</f>
        <v>90119</v>
      </c>
      <c r="B27" s="4">
        <f ca="1">IFERROR(__xludf.DUMMYFUNCTION("""COMPUTED_VALUE"""),44592)</f>
        <v>44592</v>
      </c>
      <c r="C27" t="str">
        <f ca="1">IFERROR(__xludf.DUMMYFUNCTION("""COMPUTED_VALUE"""),"ЗАО ""ЭКОС"" 128-РДО от 01.01.2022")</f>
        <v>ЗАО "ЭКОС" 128-РДО от 01.01.2022</v>
      </c>
      <c r="D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" t="str">
        <f ca="1">IFERROR(__xludf.DUMMYFUNCTION("""COMPUTED_VALUE"""),"Новый")</f>
        <v>Новый</v>
      </c>
      <c r="G27" s="68"/>
      <c r="K27" s="68"/>
    </row>
    <row r="28" spans="1:11" ht="12.75">
      <c r="A28" s="69">
        <f ca="1">IFERROR(__xludf.DUMMYFUNCTION("""COMPUTED_VALUE"""),90120)</f>
        <v>90120</v>
      </c>
      <c r="B28" s="4">
        <f ca="1">IFERROR(__xludf.DUMMYFUNCTION("""COMPUTED_VALUE"""),44592)</f>
        <v>44592</v>
      </c>
      <c r="C28" t="str">
        <f ca="1">IFERROR(__xludf.DUMMYFUNCTION("""COMPUTED_VALUE"""),"ЗАО ""ЭКОС"" 128-РДО от 01.01.2022")</f>
        <v>ЗАО "ЭКОС" 128-РДО от 01.01.2022</v>
      </c>
      <c r="D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" t="str">
        <f ca="1">IFERROR(__xludf.DUMMYFUNCTION("""COMPUTED_VALUE"""),"Новый")</f>
        <v>Новый</v>
      </c>
      <c r="G28" s="68"/>
      <c r="K28" s="68"/>
    </row>
    <row r="29" spans="1:11" ht="12.75">
      <c r="A29" s="69">
        <f ca="1">IFERROR(__xludf.DUMMYFUNCTION("""COMPUTED_VALUE"""),90121)</f>
        <v>90121</v>
      </c>
      <c r="B29" s="4">
        <f ca="1">IFERROR(__xludf.DUMMYFUNCTION("""COMPUTED_VALUE"""),44592)</f>
        <v>44592</v>
      </c>
      <c r="C29" t="str">
        <f ca="1">IFERROR(__xludf.DUMMYFUNCTION("""COMPUTED_VALUE"""),"ЗАО ""ЭКОС"" 128-РДО от 01.01.2022")</f>
        <v>ЗАО "ЭКОС" 128-РДО от 01.01.2022</v>
      </c>
      <c r="D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" t="str">
        <f ca="1">IFERROR(__xludf.DUMMYFUNCTION("""COMPUTED_VALUE"""),"Новый")</f>
        <v>Новый</v>
      </c>
      <c r="G29" s="68"/>
      <c r="K29" s="68"/>
    </row>
    <row r="30" spans="1:11" ht="12.75">
      <c r="A30" s="69">
        <f ca="1">IFERROR(__xludf.DUMMYFUNCTION("""COMPUTED_VALUE"""),90122)</f>
        <v>90122</v>
      </c>
      <c r="B30" s="4">
        <f ca="1">IFERROR(__xludf.DUMMYFUNCTION("""COMPUTED_VALUE"""),44592)</f>
        <v>44592</v>
      </c>
      <c r="C30" t="str">
        <f ca="1">IFERROR(__xludf.DUMMYFUNCTION("""COMPUTED_VALUE"""),"ЗАО ""ЭКОС"" 128-РДО от 01.01.2022")</f>
        <v>ЗАО "ЭКОС" 128-РДО от 01.01.2022</v>
      </c>
      <c r="D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" t="str">
        <f ca="1">IFERROR(__xludf.DUMMYFUNCTION("""COMPUTED_VALUE"""),"Новый")</f>
        <v>Новый</v>
      </c>
      <c r="G30" s="68"/>
      <c r="K30" s="68"/>
    </row>
    <row r="31" spans="1:11" ht="12.75">
      <c r="A31" s="69">
        <f ca="1">IFERROR(__xludf.DUMMYFUNCTION("""COMPUTED_VALUE"""),90123)</f>
        <v>90123</v>
      </c>
      <c r="B31" s="4">
        <f ca="1">IFERROR(__xludf.DUMMYFUNCTION("""COMPUTED_VALUE"""),44592)</f>
        <v>44592</v>
      </c>
      <c r="C31" t="str">
        <f ca="1">IFERROR(__xludf.DUMMYFUNCTION("""COMPUTED_VALUE"""),"ЗАО ""ЭКОС"" 128-РДО от 01.01.2022")</f>
        <v>ЗАО "ЭКОС" 128-РДО от 01.01.2022</v>
      </c>
      <c r="D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" t="str">
        <f ca="1">IFERROR(__xludf.DUMMYFUNCTION("""COMPUTED_VALUE"""),"Новый")</f>
        <v>Новый</v>
      </c>
      <c r="G31" s="68"/>
      <c r="K31" s="68"/>
    </row>
    <row r="32" spans="1:11" ht="12.75">
      <c r="A32" s="69">
        <f ca="1">IFERROR(__xludf.DUMMYFUNCTION("""COMPUTED_VALUE"""),90124)</f>
        <v>90124</v>
      </c>
      <c r="B32" s="4">
        <f ca="1">IFERROR(__xludf.DUMMYFUNCTION("""COMPUTED_VALUE"""),44592)</f>
        <v>44592</v>
      </c>
      <c r="C32" t="str">
        <f ca="1">IFERROR(__xludf.DUMMYFUNCTION("""COMPUTED_VALUE"""),"ЗАО ""ЭКОС"" 128-РДО от 01.01.2022")</f>
        <v>ЗАО "ЭКОС" 128-РДО от 01.01.2022</v>
      </c>
      <c r="D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" t="str">
        <f ca="1">IFERROR(__xludf.DUMMYFUNCTION("""COMPUTED_VALUE"""),"Новый")</f>
        <v>Новый</v>
      </c>
      <c r="G32" s="68"/>
      <c r="K32" s="68"/>
    </row>
    <row r="33" spans="1:11" ht="12.75">
      <c r="A33" s="69">
        <f ca="1">IFERROR(__xludf.DUMMYFUNCTION("""COMPUTED_VALUE"""),90125)</f>
        <v>90125</v>
      </c>
      <c r="B33" s="4">
        <f ca="1">IFERROR(__xludf.DUMMYFUNCTION("""COMPUTED_VALUE"""),44592)</f>
        <v>44592</v>
      </c>
      <c r="C33" t="str">
        <f ca="1">IFERROR(__xludf.DUMMYFUNCTION("""COMPUTED_VALUE"""),"ЗАО ""ЭКОС"" 128-РДО от 01.01.2022")</f>
        <v>ЗАО "ЭКОС" 128-РДО от 01.01.2022</v>
      </c>
      <c r="D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" t="str">
        <f ca="1">IFERROR(__xludf.DUMMYFUNCTION("""COMPUTED_VALUE"""),"Новый")</f>
        <v>Новый</v>
      </c>
      <c r="G33" s="68"/>
      <c r="K33" s="68"/>
    </row>
    <row r="34" spans="1:11" ht="12.75">
      <c r="A34" s="69">
        <f ca="1">IFERROR(__xludf.DUMMYFUNCTION("""COMPUTED_VALUE"""),90126)</f>
        <v>90126</v>
      </c>
      <c r="B34" s="4">
        <f ca="1">IFERROR(__xludf.DUMMYFUNCTION("""COMPUTED_VALUE"""),44592)</f>
        <v>44592</v>
      </c>
      <c r="C34" t="str">
        <f ca="1">IFERROR(__xludf.DUMMYFUNCTION("""COMPUTED_VALUE"""),"ЗАО ""ЭКОС"" 128-РДО от 01.01.2022")</f>
        <v>ЗАО "ЭКОС" 128-РДО от 01.01.2022</v>
      </c>
      <c r="D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" t="str">
        <f ca="1">IFERROR(__xludf.DUMMYFUNCTION("""COMPUTED_VALUE"""),"Новый")</f>
        <v>Новый</v>
      </c>
      <c r="G34" s="68"/>
      <c r="K34" s="68"/>
    </row>
    <row r="35" spans="1:11" ht="12.75">
      <c r="A35" s="69">
        <f ca="1">IFERROR(__xludf.DUMMYFUNCTION("""COMPUTED_VALUE"""),90127)</f>
        <v>90127</v>
      </c>
      <c r="B35" s="4">
        <f ca="1">IFERROR(__xludf.DUMMYFUNCTION("""COMPUTED_VALUE"""),44592)</f>
        <v>44592</v>
      </c>
      <c r="C35" t="str">
        <f ca="1">IFERROR(__xludf.DUMMYFUNCTION("""COMPUTED_VALUE"""),"ЗАО ""ЭКОС"" 128-РДО от 01.01.2022")</f>
        <v>ЗАО "ЭКОС" 128-РДО от 01.01.2022</v>
      </c>
      <c r="D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" t="str">
        <f ca="1">IFERROR(__xludf.DUMMYFUNCTION("""COMPUTED_VALUE"""),"Новый")</f>
        <v>Новый</v>
      </c>
      <c r="G35" s="68"/>
      <c r="K35" s="68"/>
    </row>
    <row r="36" spans="1:11" ht="12.75">
      <c r="A36" s="69">
        <f ca="1">IFERROR(__xludf.DUMMYFUNCTION("""COMPUTED_VALUE"""),90128)</f>
        <v>90128</v>
      </c>
      <c r="B36" s="4">
        <f ca="1">IFERROR(__xludf.DUMMYFUNCTION("""COMPUTED_VALUE"""),44592)</f>
        <v>44592</v>
      </c>
      <c r="C36" t="str">
        <f ca="1">IFERROR(__xludf.DUMMYFUNCTION("""COMPUTED_VALUE"""),"ЗАО ""ЭКОС"" 128-РДО от 01.01.2022")</f>
        <v>ЗАО "ЭКОС" 128-РДО от 01.01.2022</v>
      </c>
      <c r="D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" t="str">
        <f ca="1">IFERROR(__xludf.DUMMYFUNCTION("""COMPUTED_VALUE"""),"Новый")</f>
        <v>Новый</v>
      </c>
      <c r="G36" s="68"/>
      <c r="K36" s="68"/>
    </row>
    <row r="37" spans="1:11" ht="12.75">
      <c r="A37" s="69">
        <f ca="1">IFERROR(__xludf.DUMMYFUNCTION("""COMPUTED_VALUE"""),90129)</f>
        <v>90129</v>
      </c>
      <c r="B37" s="4">
        <f ca="1">IFERROR(__xludf.DUMMYFUNCTION("""COMPUTED_VALUE"""),44592)</f>
        <v>44592</v>
      </c>
      <c r="C37" t="str">
        <f ca="1">IFERROR(__xludf.DUMMYFUNCTION("""COMPUTED_VALUE"""),"ЗАО ""ЭКОС"" 128-РДО от 01.01.2022")</f>
        <v>ЗАО "ЭКОС" 128-РДО от 01.01.2022</v>
      </c>
      <c r="D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" t="str">
        <f ca="1">IFERROR(__xludf.DUMMYFUNCTION("""COMPUTED_VALUE"""),"Новый")</f>
        <v>Новый</v>
      </c>
      <c r="G37" s="68"/>
      <c r="K37" s="68"/>
    </row>
    <row r="38" spans="1:11" ht="12.75">
      <c r="A38" s="69">
        <f ca="1">IFERROR(__xludf.DUMMYFUNCTION("""COMPUTED_VALUE"""),90130)</f>
        <v>90130</v>
      </c>
      <c r="B38" s="4">
        <f ca="1">IFERROR(__xludf.DUMMYFUNCTION("""COMPUTED_VALUE"""),44592)</f>
        <v>44592</v>
      </c>
      <c r="C38" t="str">
        <f ca="1">IFERROR(__xludf.DUMMYFUNCTION("""COMPUTED_VALUE"""),"ЗАО ""ЭКОС"" 128-РДО от 01.01.2022")</f>
        <v>ЗАО "ЭКОС" 128-РДО от 01.01.2022</v>
      </c>
      <c r="D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" t="str">
        <f ca="1">IFERROR(__xludf.DUMMYFUNCTION("""COMPUTED_VALUE"""),"Новый")</f>
        <v>Новый</v>
      </c>
      <c r="G38" s="68"/>
      <c r="K38" s="68"/>
    </row>
    <row r="39" spans="1:11" ht="12.75">
      <c r="A39" s="69">
        <f ca="1">IFERROR(__xludf.DUMMYFUNCTION("""COMPUTED_VALUE"""),90131)</f>
        <v>90131</v>
      </c>
      <c r="B39" s="4">
        <f ca="1">IFERROR(__xludf.DUMMYFUNCTION("""COMPUTED_VALUE"""),44592)</f>
        <v>44592</v>
      </c>
      <c r="C39" t="str">
        <f ca="1">IFERROR(__xludf.DUMMYFUNCTION("""COMPUTED_VALUE"""),"ЗАО ""ЭКОС"" 128-РДО от 01.01.2022")</f>
        <v>ЗАО "ЭКОС" 128-РДО от 01.01.2022</v>
      </c>
      <c r="D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" t="str">
        <f ca="1">IFERROR(__xludf.DUMMYFUNCTION("""COMPUTED_VALUE"""),"Новый")</f>
        <v>Новый</v>
      </c>
      <c r="G39" s="68"/>
      <c r="K39" s="68"/>
    </row>
    <row r="40" spans="1:11" ht="12.75">
      <c r="A40" s="69">
        <f ca="1">IFERROR(__xludf.DUMMYFUNCTION("""COMPUTED_VALUE"""),90132)</f>
        <v>90132</v>
      </c>
      <c r="B40" s="4">
        <f ca="1">IFERROR(__xludf.DUMMYFUNCTION("""COMPUTED_VALUE"""),44592)</f>
        <v>44592</v>
      </c>
      <c r="C40" t="str">
        <f ca="1">IFERROR(__xludf.DUMMYFUNCTION("""COMPUTED_VALUE"""),"ЗАО ""ЭКОС"" 128-РДО от 01.01.2022")</f>
        <v>ЗАО "ЭКОС" 128-РДО от 01.01.2022</v>
      </c>
      <c r="D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" t="str">
        <f ca="1">IFERROR(__xludf.DUMMYFUNCTION("""COMPUTED_VALUE"""),"Новый")</f>
        <v>Новый</v>
      </c>
      <c r="G40" s="68"/>
      <c r="K40" s="68"/>
    </row>
    <row r="41" spans="1:11" ht="12.75">
      <c r="A41" s="69">
        <f ca="1">IFERROR(__xludf.DUMMYFUNCTION("""COMPUTED_VALUE"""),90133)</f>
        <v>90133</v>
      </c>
      <c r="B41" s="4">
        <f ca="1">IFERROR(__xludf.DUMMYFUNCTION("""COMPUTED_VALUE"""),44592)</f>
        <v>44592</v>
      </c>
      <c r="C41" t="str">
        <f ca="1">IFERROR(__xludf.DUMMYFUNCTION("""COMPUTED_VALUE"""),"ЗАО ""ЭКОС"" 128-РДО от 01.01.2022")</f>
        <v>ЗАО "ЭКОС" 128-РДО от 01.01.2022</v>
      </c>
      <c r="D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" t="str">
        <f ca="1">IFERROR(__xludf.DUMMYFUNCTION("""COMPUTED_VALUE"""),"Новый")</f>
        <v>Новый</v>
      </c>
      <c r="G41" s="68"/>
      <c r="K41" s="68"/>
    </row>
    <row r="42" spans="1:11" ht="12.75">
      <c r="A42" s="69">
        <f ca="1">IFERROR(__xludf.DUMMYFUNCTION("""COMPUTED_VALUE"""),90134)</f>
        <v>90134</v>
      </c>
      <c r="B42" s="4">
        <f ca="1">IFERROR(__xludf.DUMMYFUNCTION("""COMPUTED_VALUE"""),44592)</f>
        <v>44592</v>
      </c>
      <c r="C42" t="str">
        <f ca="1">IFERROR(__xludf.DUMMYFUNCTION("""COMPUTED_VALUE"""),"ЗАО ""ЭКОС"" 128-РДО от 01.01.2022")</f>
        <v>ЗАО "ЭКОС" 128-РДО от 01.01.2022</v>
      </c>
      <c r="D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" t="str">
        <f ca="1">IFERROR(__xludf.DUMMYFUNCTION("""COMPUTED_VALUE"""),"Новый")</f>
        <v>Новый</v>
      </c>
      <c r="G42" s="68"/>
      <c r="K42" s="68"/>
    </row>
    <row r="43" spans="1:11" ht="12.75">
      <c r="A43" s="69">
        <f ca="1">IFERROR(__xludf.DUMMYFUNCTION("""COMPUTED_VALUE"""),90135)</f>
        <v>90135</v>
      </c>
      <c r="B43" s="4">
        <f ca="1">IFERROR(__xludf.DUMMYFUNCTION("""COMPUTED_VALUE"""),44592)</f>
        <v>44592</v>
      </c>
      <c r="C43" t="str">
        <f ca="1">IFERROR(__xludf.DUMMYFUNCTION("""COMPUTED_VALUE"""),"ЗАО ""ЭКОС"" 128-РДО от 01.01.2022")</f>
        <v>ЗАО "ЭКОС" 128-РДО от 01.01.2022</v>
      </c>
      <c r="D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" t="str">
        <f ca="1">IFERROR(__xludf.DUMMYFUNCTION("""COMPUTED_VALUE"""),"Новый")</f>
        <v>Новый</v>
      </c>
      <c r="G43" s="68"/>
      <c r="K43" s="68"/>
    </row>
    <row r="44" spans="1:11" ht="12.75">
      <c r="A44" s="69">
        <f ca="1">IFERROR(__xludf.DUMMYFUNCTION("""COMPUTED_VALUE"""),90136)</f>
        <v>90136</v>
      </c>
      <c r="B44" s="4">
        <f ca="1">IFERROR(__xludf.DUMMYFUNCTION("""COMPUTED_VALUE"""),44592)</f>
        <v>44592</v>
      </c>
      <c r="C44" t="str">
        <f ca="1">IFERROR(__xludf.DUMMYFUNCTION("""COMPUTED_VALUE"""),"ЗАО ""ЭКОС"" 128-РДО от 01.01.2022")</f>
        <v>ЗАО "ЭКОС" 128-РДО от 01.01.2022</v>
      </c>
      <c r="D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" t="str">
        <f ca="1">IFERROR(__xludf.DUMMYFUNCTION("""COMPUTED_VALUE"""),"Новый")</f>
        <v>Новый</v>
      </c>
      <c r="G44" s="68"/>
      <c r="K44" s="68"/>
    </row>
    <row r="45" spans="1:11" ht="12.75">
      <c r="A45" s="69">
        <f ca="1">IFERROR(__xludf.DUMMYFUNCTION("""COMPUTED_VALUE"""),90137)</f>
        <v>90137</v>
      </c>
      <c r="B45" s="4">
        <f ca="1">IFERROR(__xludf.DUMMYFUNCTION("""COMPUTED_VALUE"""),44592)</f>
        <v>44592</v>
      </c>
      <c r="C45" t="str">
        <f ca="1">IFERROR(__xludf.DUMMYFUNCTION("""COMPUTED_VALUE"""),"ЗАО ""ЭКОС"" 128-РДО от 01.01.2022")</f>
        <v>ЗАО "ЭКОС" 128-РДО от 01.01.2022</v>
      </c>
      <c r="D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" t="str">
        <f ca="1">IFERROR(__xludf.DUMMYFUNCTION("""COMPUTED_VALUE"""),"Новый")</f>
        <v>Новый</v>
      </c>
      <c r="G45" s="68"/>
      <c r="K45" s="68"/>
    </row>
    <row r="46" spans="1:11" ht="12.75">
      <c r="A46" s="69">
        <f ca="1">IFERROR(__xludf.DUMMYFUNCTION("""COMPUTED_VALUE"""),90138)</f>
        <v>90138</v>
      </c>
      <c r="B46" s="4">
        <f ca="1">IFERROR(__xludf.DUMMYFUNCTION("""COMPUTED_VALUE"""),44592)</f>
        <v>44592</v>
      </c>
      <c r="C46" t="str">
        <f ca="1">IFERROR(__xludf.DUMMYFUNCTION("""COMPUTED_VALUE"""),"ЗАО ""ЭКОС"" 128-РДО от 01.01.2022")</f>
        <v>ЗАО "ЭКОС" 128-РДО от 01.01.2022</v>
      </c>
      <c r="D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" t="str">
        <f ca="1">IFERROR(__xludf.DUMMYFUNCTION("""COMPUTED_VALUE"""),"Новый")</f>
        <v>Новый</v>
      </c>
      <c r="G46" s="68"/>
      <c r="K46" s="68"/>
    </row>
    <row r="47" spans="1:11" ht="12.75">
      <c r="A47" s="69">
        <f ca="1">IFERROR(__xludf.DUMMYFUNCTION("""COMPUTED_VALUE"""),90139)</f>
        <v>90139</v>
      </c>
      <c r="B47" s="4">
        <f ca="1">IFERROR(__xludf.DUMMYFUNCTION("""COMPUTED_VALUE"""),44592)</f>
        <v>44592</v>
      </c>
      <c r="C47" t="str">
        <f ca="1">IFERROR(__xludf.DUMMYFUNCTION("""COMPUTED_VALUE"""),"ЗАО ""ЭКОС"" 128-РДО от 01.01.2022")</f>
        <v>ЗАО "ЭКОС" 128-РДО от 01.01.2022</v>
      </c>
      <c r="D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7" t="str">
        <f ca="1">IFERROR(__xludf.DUMMYFUNCTION("""COMPUTED_VALUE"""),"Новый")</f>
        <v>Новый</v>
      </c>
      <c r="G47" s="68"/>
      <c r="K47" s="68"/>
    </row>
    <row r="48" spans="1:11" ht="12.75">
      <c r="A48" s="69">
        <f ca="1">IFERROR(__xludf.DUMMYFUNCTION("""COMPUTED_VALUE"""),90140)</f>
        <v>90140</v>
      </c>
      <c r="B48" s="4">
        <f ca="1">IFERROR(__xludf.DUMMYFUNCTION("""COMPUTED_VALUE"""),44592)</f>
        <v>44592</v>
      </c>
      <c r="C48" t="str">
        <f ca="1">IFERROR(__xludf.DUMMYFUNCTION("""COMPUTED_VALUE"""),"ЗАО ""ЭКОС"" 128-РДО от 01.01.2022")</f>
        <v>ЗАО "ЭКОС" 128-РДО от 01.01.2022</v>
      </c>
      <c r="D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8" t="str">
        <f ca="1">IFERROR(__xludf.DUMMYFUNCTION("""COMPUTED_VALUE"""),"Новый")</f>
        <v>Новый</v>
      </c>
      <c r="G48" s="68"/>
      <c r="K48" s="68"/>
    </row>
    <row r="49" spans="1:11" ht="12.75">
      <c r="A49" s="69">
        <f ca="1">IFERROR(__xludf.DUMMYFUNCTION("""COMPUTED_VALUE"""),90141)</f>
        <v>90141</v>
      </c>
      <c r="B49" s="4">
        <f ca="1">IFERROR(__xludf.DUMMYFUNCTION("""COMPUTED_VALUE"""),44592)</f>
        <v>44592</v>
      </c>
      <c r="C49" t="str">
        <f ca="1">IFERROR(__xludf.DUMMYFUNCTION("""COMPUTED_VALUE"""),"ЗАО ""ЭКОС"" 128-РДО от 01.01.2022")</f>
        <v>ЗАО "ЭКОС" 128-РДО от 01.01.2022</v>
      </c>
      <c r="D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" t="str">
        <f ca="1">IFERROR(__xludf.DUMMYFUNCTION("""COMPUTED_VALUE"""),"Новый")</f>
        <v>Новый</v>
      </c>
      <c r="G49" s="68"/>
      <c r="K49" s="68"/>
    </row>
    <row r="50" spans="1:11" ht="12.75">
      <c r="A50" s="69">
        <f ca="1">IFERROR(__xludf.DUMMYFUNCTION("""COMPUTED_VALUE"""),90142)</f>
        <v>90142</v>
      </c>
      <c r="B50" s="4">
        <f ca="1">IFERROR(__xludf.DUMMYFUNCTION("""COMPUTED_VALUE"""),44592)</f>
        <v>44592</v>
      </c>
      <c r="C50" t="str">
        <f ca="1">IFERROR(__xludf.DUMMYFUNCTION("""COMPUTED_VALUE"""),"ЗАО ""ЭКОС"" 128-РДО от 01.01.2022")</f>
        <v>ЗАО "ЭКОС" 128-РДО от 01.01.2022</v>
      </c>
      <c r="D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" t="str">
        <f ca="1">IFERROR(__xludf.DUMMYFUNCTION("""COMPUTED_VALUE"""),"Новый")</f>
        <v>Новый</v>
      </c>
      <c r="G50" s="68"/>
      <c r="K50" s="68"/>
    </row>
    <row r="51" spans="1:11" ht="12.75">
      <c r="A51" s="69">
        <f ca="1">IFERROR(__xludf.DUMMYFUNCTION("""COMPUTED_VALUE"""),90143)</f>
        <v>90143</v>
      </c>
      <c r="B51" s="4">
        <f ca="1">IFERROR(__xludf.DUMMYFUNCTION("""COMPUTED_VALUE"""),44592)</f>
        <v>44592</v>
      </c>
      <c r="C51" t="str">
        <f ca="1">IFERROR(__xludf.DUMMYFUNCTION("""COMPUTED_VALUE"""),"ЗАО ""ЭКОС"" 128-РДО от 01.01.2022")</f>
        <v>ЗАО "ЭКОС" 128-РДО от 01.01.2022</v>
      </c>
      <c r="D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" t="str">
        <f ca="1">IFERROR(__xludf.DUMMYFUNCTION("""COMPUTED_VALUE"""),"Новый")</f>
        <v>Новый</v>
      </c>
      <c r="G51" s="68"/>
      <c r="K51" s="68"/>
    </row>
    <row r="52" spans="1:11" ht="12.75">
      <c r="A52" s="69">
        <f ca="1">IFERROR(__xludf.DUMMYFUNCTION("""COMPUTED_VALUE"""),90144)</f>
        <v>90144</v>
      </c>
      <c r="B52" s="4">
        <f ca="1">IFERROR(__xludf.DUMMYFUNCTION("""COMPUTED_VALUE"""),44592)</f>
        <v>44592</v>
      </c>
      <c r="C52" t="str">
        <f ca="1">IFERROR(__xludf.DUMMYFUNCTION("""COMPUTED_VALUE"""),"ЗАО ""ЭКОС"" 128-РДО от 01.01.2022")</f>
        <v>ЗАО "ЭКОС" 128-РДО от 01.01.2022</v>
      </c>
      <c r="D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" t="str">
        <f ca="1">IFERROR(__xludf.DUMMYFUNCTION("""COMPUTED_VALUE"""),"Новый")</f>
        <v>Новый</v>
      </c>
      <c r="G52" s="68"/>
      <c r="K52" s="68"/>
    </row>
    <row r="53" spans="1:11" ht="12.75">
      <c r="A53" s="69">
        <f ca="1">IFERROR(__xludf.DUMMYFUNCTION("""COMPUTED_VALUE"""),90145)</f>
        <v>90145</v>
      </c>
      <c r="B53" s="4">
        <f ca="1">IFERROR(__xludf.DUMMYFUNCTION("""COMPUTED_VALUE"""),44592)</f>
        <v>44592</v>
      </c>
      <c r="C53" t="str">
        <f ca="1">IFERROR(__xludf.DUMMYFUNCTION("""COMPUTED_VALUE"""),"ЗАО ""ЭКОС"" 128-РДО от 01.01.2022")</f>
        <v>ЗАО "ЭКОС" 128-РДО от 01.01.2022</v>
      </c>
      <c r="D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" t="str">
        <f ca="1">IFERROR(__xludf.DUMMYFUNCTION("""COMPUTED_VALUE"""),"Новый")</f>
        <v>Новый</v>
      </c>
      <c r="G53" s="68"/>
      <c r="K53" s="68"/>
    </row>
    <row r="54" spans="1:11" ht="12.75">
      <c r="A54" s="69">
        <f ca="1">IFERROR(__xludf.DUMMYFUNCTION("""COMPUTED_VALUE"""),90146)</f>
        <v>90146</v>
      </c>
      <c r="B54" s="4">
        <f ca="1">IFERROR(__xludf.DUMMYFUNCTION("""COMPUTED_VALUE"""),44592)</f>
        <v>44592</v>
      </c>
      <c r="C54" t="str">
        <f ca="1">IFERROR(__xludf.DUMMYFUNCTION("""COMPUTED_VALUE"""),"ЗАО ""ЭКОС"" 128-РДО от 01.01.2022")</f>
        <v>ЗАО "ЭКОС" 128-РДО от 01.01.2022</v>
      </c>
      <c r="D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" t="str">
        <f ca="1">IFERROR(__xludf.DUMMYFUNCTION("""COMPUTED_VALUE"""),"Новый")</f>
        <v>Новый</v>
      </c>
      <c r="G54" s="68"/>
      <c r="K54" s="68"/>
    </row>
    <row r="55" spans="1:11" ht="12.75">
      <c r="A55" s="69">
        <f ca="1">IFERROR(__xludf.DUMMYFUNCTION("""COMPUTED_VALUE"""),90147)</f>
        <v>90147</v>
      </c>
      <c r="B55" s="4">
        <f ca="1">IFERROR(__xludf.DUMMYFUNCTION("""COMPUTED_VALUE"""),44592)</f>
        <v>44592</v>
      </c>
      <c r="C55" t="str">
        <f ca="1">IFERROR(__xludf.DUMMYFUNCTION("""COMPUTED_VALUE"""),"ЗАО ""ЭКОС"" 128-РДО от 01.01.2022")</f>
        <v>ЗАО "ЭКОС" 128-РДО от 01.01.2022</v>
      </c>
      <c r="D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" t="str">
        <f ca="1">IFERROR(__xludf.DUMMYFUNCTION("""COMPUTED_VALUE"""),"Новый")</f>
        <v>Новый</v>
      </c>
      <c r="G55" s="68"/>
      <c r="K55" s="68"/>
    </row>
    <row r="56" spans="1:11" ht="12.75">
      <c r="A56" s="69">
        <f ca="1">IFERROR(__xludf.DUMMYFUNCTION("""COMPUTED_VALUE"""),90148)</f>
        <v>90148</v>
      </c>
      <c r="B56" s="4">
        <f ca="1">IFERROR(__xludf.DUMMYFUNCTION("""COMPUTED_VALUE"""),44592)</f>
        <v>44592</v>
      </c>
      <c r="C56" t="str">
        <f ca="1">IFERROR(__xludf.DUMMYFUNCTION("""COMPUTED_VALUE"""),"ЗАО ""ЭКОС"" 128-РДО от 01.01.2022")</f>
        <v>ЗАО "ЭКОС" 128-РДО от 01.01.2022</v>
      </c>
      <c r="D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" t="str">
        <f ca="1">IFERROR(__xludf.DUMMYFUNCTION("""COMPUTED_VALUE"""),"Новый")</f>
        <v>Новый</v>
      </c>
      <c r="G56" s="68"/>
      <c r="K56" s="68"/>
    </row>
    <row r="57" spans="1:11" ht="12.75">
      <c r="A57" s="69">
        <f ca="1">IFERROR(__xludf.DUMMYFUNCTION("""COMPUTED_VALUE"""),90149)</f>
        <v>90149</v>
      </c>
      <c r="B57" s="4">
        <f ca="1">IFERROR(__xludf.DUMMYFUNCTION("""COMPUTED_VALUE"""),44592)</f>
        <v>44592</v>
      </c>
      <c r="C57" t="str">
        <f ca="1">IFERROR(__xludf.DUMMYFUNCTION("""COMPUTED_VALUE"""),"ЗАО ""ЭКОС"" 128-РДО от 01.01.2022")</f>
        <v>ЗАО "ЭКОС" 128-РДО от 01.01.2022</v>
      </c>
      <c r="D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" t="str">
        <f ca="1">IFERROR(__xludf.DUMMYFUNCTION("""COMPUTED_VALUE"""),"Новый")</f>
        <v>Новый</v>
      </c>
      <c r="G57" s="68"/>
      <c r="K57" s="68"/>
    </row>
    <row r="58" spans="1:11" ht="12.75">
      <c r="A58" s="69">
        <f ca="1">IFERROR(__xludf.DUMMYFUNCTION("""COMPUTED_VALUE"""),90150)</f>
        <v>90150</v>
      </c>
      <c r="B58" s="4">
        <f ca="1">IFERROR(__xludf.DUMMYFUNCTION("""COMPUTED_VALUE"""),44592)</f>
        <v>44592</v>
      </c>
      <c r="C58" t="str">
        <f ca="1">IFERROR(__xludf.DUMMYFUNCTION("""COMPUTED_VALUE"""),"ЗАО ""ЭКОС"" 128-РДО от 01.01.2022")</f>
        <v>ЗАО "ЭКОС" 128-РДО от 01.01.2022</v>
      </c>
      <c r="D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" t="str">
        <f ca="1">IFERROR(__xludf.DUMMYFUNCTION("""COMPUTED_VALUE"""),"Новый")</f>
        <v>Новый</v>
      </c>
      <c r="G58" s="68"/>
      <c r="K58" s="68"/>
    </row>
    <row r="59" spans="1:11" ht="12.75">
      <c r="A59" s="69">
        <f ca="1">IFERROR(__xludf.DUMMYFUNCTION("""COMPUTED_VALUE"""),90151)</f>
        <v>90151</v>
      </c>
      <c r="B59" s="4">
        <f ca="1">IFERROR(__xludf.DUMMYFUNCTION("""COMPUTED_VALUE"""),44592)</f>
        <v>44592</v>
      </c>
      <c r="C59" t="str">
        <f ca="1">IFERROR(__xludf.DUMMYFUNCTION("""COMPUTED_VALUE"""),"ЗАО ""ЭКОС"" 128-РДО от 01.01.2022")</f>
        <v>ЗАО "ЭКОС" 128-РДО от 01.01.2022</v>
      </c>
      <c r="D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" t="str">
        <f ca="1">IFERROR(__xludf.DUMMYFUNCTION("""COMPUTED_VALUE"""),"Новый")</f>
        <v>Новый</v>
      </c>
      <c r="G59" s="68"/>
      <c r="K59" s="68"/>
    </row>
    <row r="60" spans="1:11" ht="12.75">
      <c r="A60" s="69">
        <f ca="1">IFERROR(__xludf.DUMMYFUNCTION("""COMPUTED_VALUE"""),90152)</f>
        <v>90152</v>
      </c>
      <c r="B60" s="4">
        <f ca="1">IFERROR(__xludf.DUMMYFUNCTION("""COMPUTED_VALUE"""),44592)</f>
        <v>44592</v>
      </c>
      <c r="C60" t="str">
        <f ca="1">IFERROR(__xludf.DUMMYFUNCTION("""COMPUTED_VALUE"""),"ЗАО ""ЭКОС"" 128-РДО от 01.01.2022")</f>
        <v>ЗАО "ЭКОС" 128-РДО от 01.01.2022</v>
      </c>
      <c r="D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" t="str">
        <f ca="1">IFERROR(__xludf.DUMMYFUNCTION("""COMPUTED_VALUE"""),"Новый")</f>
        <v>Новый</v>
      </c>
      <c r="G60" s="68"/>
      <c r="K60" s="68"/>
    </row>
    <row r="61" spans="1:11" ht="12.75">
      <c r="A61" s="69">
        <f ca="1">IFERROR(__xludf.DUMMYFUNCTION("""COMPUTED_VALUE"""),90153)</f>
        <v>90153</v>
      </c>
      <c r="B61" s="4">
        <f ca="1">IFERROR(__xludf.DUMMYFUNCTION("""COMPUTED_VALUE"""),44592)</f>
        <v>44592</v>
      </c>
      <c r="C61" t="str">
        <f ca="1">IFERROR(__xludf.DUMMYFUNCTION("""COMPUTED_VALUE"""),"ЗАО ""ЭКОС"" 128-РДО от 01.01.2022")</f>
        <v>ЗАО "ЭКОС" 128-РДО от 01.01.2022</v>
      </c>
      <c r="D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" t="str">
        <f ca="1">IFERROR(__xludf.DUMMYFUNCTION("""COMPUTED_VALUE"""),"Новый")</f>
        <v>Новый</v>
      </c>
      <c r="G61" s="68"/>
      <c r="K61" s="68"/>
    </row>
    <row r="62" spans="1:11" ht="12.75">
      <c r="A62" s="69">
        <f ca="1">IFERROR(__xludf.DUMMYFUNCTION("""COMPUTED_VALUE"""),90154)</f>
        <v>90154</v>
      </c>
      <c r="B62" s="4">
        <f ca="1">IFERROR(__xludf.DUMMYFUNCTION("""COMPUTED_VALUE"""),44592)</f>
        <v>44592</v>
      </c>
      <c r="C62" t="str">
        <f ca="1">IFERROR(__xludf.DUMMYFUNCTION("""COMPUTED_VALUE"""),"ЗАО ""ЭКОС"" 128-РДО от 01.01.2022")</f>
        <v>ЗАО "ЭКОС" 128-РДО от 01.01.2022</v>
      </c>
      <c r="D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" t="str">
        <f ca="1">IFERROR(__xludf.DUMMYFUNCTION("""COMPUTED_VALUE"""),"Новый")</f>
        <v>Новый</v>
      </c>
      <c r="G62" s="68"/>
      <c r="K62" s="68"/>
    </row>
    <row r="63" spans="1:11" ht="12.75">
      <c r="A63" s="69">
        <f ca="1">IFERROR(__xludf.DUMMYFUNCTION("""COMPUTED_VALUE"""),90155)</f>
        <v>90155</v>
      </c>
      <c r="B63" s="4">
        <f ca="1">IFERROR(__xludf.DUMMYFUNCTION("""COMPUTED_VALUE"""),44592)</f>
        <v>44592</v>
      </c>
      <c r="C63" t="str">
        <f ca="1">IFERROR(__xludf.DUMMYFUNCTION("""COMPUTED_VALUE"""),"ЗАО ""ЭКОС"" 128-РДО от 01.01.2022")</f>
        <v>ЗАО "ЭКОС" 128-РДО от 01.01.2022</v>
      </c>
      <c r="D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3" t="str">
        <f ca="1">IFERROR(__xludf.DUMMYFUNCTION("""COMPUTED_VALUE"""),"Новый")</f>
        <v>Новый</v>
      </c>
      <c r="G63" s="68"/>
      <c r="K63" s="68"/>
    </row>
    <row r="64" spans="1:11" ht="12.75">
      <c r="A64" s="69">
        <f ca="1">IFERROR(__xludf.DUMMYFUNCTION("""COMPUTED_VALUE"""),90156)</f>
        <v>90156</v>
      </c>
      <c r="B64" s="4">
        <f ca="1">IFERROR(__xludf.DUMMYFUNCTION("""COMPUTED_VALUE"""),44592)</f>
        <v>44592</v>
      </c>
      <c r="C64" t="str">
        <f ca="1">IFERROR(__xludf.DUMMYFUNCTION("""COMPUTED_VALUE"""),"ЗАО ""ЭКОС"" 128-РДО от 01.01.2022")</f>
        <v>ЗАО "ЭКОС" 128-РДО от 01.01.2022</v>
      </c>
      <c r="D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" t="str">
        <f ca="1">IFERROR(__xludf.DUMMYFUNCTION("""COMPUTED_VALUE"""),"Новый")</f>
        <v>Новый</v>
      </c>
      <c r="G64" s="68"/>
      <c r="K64" s="68"/>
    </row>
    <row r="65" spans="1:11" ht="12.75">
      <c r="A65" s="69">
        <f ca="1">IFERROR(__xludf.DUMMYFUNCTION("""COMPUTED_VALUE"""),90157)</f>
        <v>90157</v>
      </c>
      <c r="B65" s="4">
        <f ca="1">IFERROR(__xludf.DUMMYFUNCTION("""COMPUTED_VALUE"""),44592)</f>
        <v>44592</v>
      </c>
      <c r="C65" t="str">
        <f ca="1">IFERROR(__xludf.DUMMYFUNCTION("""COMPUTED_VALUE"""),"ЗАО ""ЭКОС"" 128-РДО от 01.01.2022")</f>
        <v>ЗАО "ЭКОС" 128-РДО от 01.01.2022</v>
      </c>
      <c r="D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" t="str">
        <f ca="1">IFERROR(__xludf.DUMMYFUNCTION("""COMPUTED_VALUE"""),"Новый")</f>
        <v>Новый</v>
      </c>
      <c r="G65" s="68"/>
      <c r="K65" s="68"/>
    </row>
    <row r="66" spans="1:11" ht="12.75">
      <c r="A66" s="69">
        <f ca="1">IFERROR(__xludf.DUMMYFUNCTION("""COMPUTED_VALUE"""),90158)</f>
        <v>90158</v>
      </c>
      <c r="B66" s="4">
        <f ca="1">IFERROR(__xludf.DUMMYFUNCTION("""COMPUTED_VALUE"""),44592)</f>
        <v>44592</v>
      </c>
      <c r="C66" t="str">
        <f ca="1">IFERROR(__xludf.DUMMYFUNCTION("""COMPUTED_VALUE"""),"ЗАО ""ЭКОС"" 128-РДО от 01.01.2022")</f>
        <v>ЗАО "ЭКОС" 128-РДО от 01.01.2022</v>
      </c>
      <c r="D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6" t="str">
        <f ca="1">IFERROR(__xludf.DUMMYFUNCTION("""COMPUTED_VALUE"""),"Новый")</f>
        <v>Новый</v>
      </c>
      <c r="G66" s="68"/>
      <c r="K66" s="68"/>
    </row>
    <row r="67" spans="1:11" ht="12.75">
      <c r="A67" s="69">
        <f ca="1">IFERROR(__xludf.DUMMYFUNCTION("""COMPUTED_VALUE"""),90159)</f>
        <v>90159</v>
      </c>
      <c r="B67" s="4">
        <f ca="1">IFERROR(__xludf.DUMMYFUNCTION("""COMPUTED_VALUE"""),44592)</f>
        <v>44592</v>
      </c>
      <c r="C67" t="str">
        <f ca="1">IFERROR(__xludf.DUMMYFUNCTION("""COMPUTED_VALUE"""),"ЗАО ""ЭКОС"" 128-РДО от 01.01.2022")</f>
        <v>ЗАО "ЭКОС" 128-РДО от 01.01.2022</v>
      </c>
      <c r="D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" t="str">
        <f ca="1">IFERROR(__xludf.DUMMYFUNCTION("""COMPUTED_VALUE"""),"Новый")</f>
        <v>Новый</v>
      </c>
      <c r="G67" s="68"/>
      <c r="K67" s="68"/>
    </row>
    <row r="68" spans="1:11" ht="12.75">
      <c r="A68" s="69">
        <f ca="1">IFERROR(__xludf.DUMMYFUNCTION("""COMPUTED_VALUE"""),90160)</f>
        <v>90160</v>
      </c>
      <c r="B68" s="4">
        <f ca="1">IFERROR(__xludf.DUMMYFUNCTION("""COMPUTED_VALUE"""),44592)</f>
        <v>44592</v>
      </c>
      <c r="C68" t="str">
        <f ca="1">IFERROR(__xludf.DUMMYFUNCTION("""COMPUTED_VALUE"""),"ЗАО ""ЭКОС"" 128-РДО от 01.01.2022")</f>
        <v>ЗАО "ЭКОС" 128-РДО от 01.01.2022</v>
      </c>
      <c r="D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8" t="str">
        <f ca="1">IFERROR(__xludf.DUMMYFUNCTION("""COMPUTED_VALUE"""),"Новый")</f>
        <v>Новый</v>
      </c>
      <c r="G68" s="68"/>
      <c r="K68" s="68"/>
    </row>
    <row r="69" spans="1:11" ht="12.75">
      <c r="A69" s="69">
        <f ca="1">IFERROR(__xludf.DUMMYFUNCTION("""COMPUTED_VALUE"""),90161)</f>
        <v>90161</v>
      </c>
      <c r="B69" s="4">
        <f ca="1">IFERROR(__xludf.DUMMYFUNCTION("""COMPUTED_VALUE"""),44592)</f>
        <v>44592</v>
      </c>
      <c r="C69" t="str">
        <f ca="1">IFERROR(__xludf.DUMMYFUNCTION("""COMPUTED_VALUE"""),"ЗАО ""ЭКОС"" 128-РДО от 01.01.2022")</f>
        <v>ЗАО "ЭКОС" 128-РДО от 01.01.2022</v>
      </c>
      <c r="D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9" t="str">
        <f ca="1">IFERROR(__xludf.DUMMYFUNCTION("""COMPUTED_VALUE"""),"Новый")</f>
        <v>Новый</v>
      </c>
      <c r="G69" s="68"/>
      <c r="K69" s="68"/>
    </row>
    <row r="70" spans="1:11" ht="12.75">
      <c r="A70" s="69">
        <f ca="1">IFERROR(__xludf.DUMMYFUNCTION("""COMPUTED_VALUE"""),90162)</f>
        <v>90162</v>
      </c>
      <c r="B70" s="4">
        <f ca="1">IFERROR(__xludf.DUMMYFUNCTION("""COMPUTED_VALUE"""),44592)</f>
        <v>44592</v>
      </c>
      <c r="C70" t="str">
        <f ca="1">IFERROR(__xludf.DUMMYFUNCTION("""COMPUTED_VALUE"""),"ЗАО ""ЭКОС"" 128-РДО от 01.01.2022")</f>
        <v>ЗАО "ЭКОС" 128-РДО от 01.01.2022</v>
      </c>
      <c r="D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0" t="str">
        <f ca="1">IFERROR(__xludf.DUMMYFUNCTION("""COMPUTED_VALUE"""),"Новый")</f>
        <v>Новый</v>
      </c>
      <c r="G70" s="68"/>
      <c r="K70" s="68"/>
    </row>
    <row r="71" spans="1:11" ht="12.75">
      <c r="A71" s="69">
        <f ca="1">IFERROR(__xludf.DUMMYFUNCTION("""COMPUTED_VALUE"""),90163)</f>
        <v>90163</v>
      </c>
      <c r="B71" s="4">
        <f ca="1">IFERROR(__xludf.DUMMYFUNCTION("""COMPUTED_VALUE"""),44592)</f>
        <v>44592</v>
      </c>
      <c r="C71" t="str">
        <f ca="1">IFERROR(__xludf.DUMMYFUNCTION("""COMPUTED_VALUE"""),"ЗАО ""ЭКОС"" 128-РДО от 01.01.2022")</f>
        <v>ЗАО "ЭКОС" 128-РДО от 01.01.2022</v>
      </c>
      <c r="D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1" t="str">
        <f ca="1">IFERROR(__xludf.DUMMYFUNCTION("""COMPUTED_VALUE"""),"Новый")</f>
        <v>Новый</v>
      </c>
      <c r="G71" s="68"/>
      <c r="K71" s="68"/>
    </row>
    <row r="72" spans="1:11" ht="12.75">
      <c r="A72" s="69">
        <f ca="1">IFERROR(__xludf.DUMMYFUNCTION("""COMPUTED_VALUE"""),90164)</f>
        <v>90164</v>
      </c>
      <c r="B72" s="4">
        <f ca="1">IFERROR(__xludf.DUMMYFUNCTION("""COMPUTED_VALUE"""),44592)</f>
        <v>44592</v>
      </c>
      <c r="C72" t="str">
        <f ca="1">IFERROR(__xludf.DUMMYFUNCTION("""COMPUTED_VALUE"""),"ЗАО ""ЭКОС"" 128-РДО от 01.01.2022")</f>
        <v>ЗАО "ЭКОС" 128-РДО от 01.01.2022</v>
      </c>
      <c r="D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2" t="str">
        <f ca="1">IFERROR(__xludf.DUMMYFUNCTION("""COMPUTED_VALUE"""),"Новый")</f>
        <v>Новый</v>
      </c>
      <c r="G72" s="68"/>
      <c r="K72" s="68"/>
    </row>
    <row r="73" spans="1:11" ht="12.75">
      <c r="A73" s="69">
        <f ca="1">IFERROR(__xludf.DUMMYFUNCTION("""COMPUTED_VALUE"""),90165)</f>
        <v>90165</v>
      </c>
      <c r="B73" s="4">
        <f ca="1">IFERROR(__xludf.DUMMYFUNCTION("""COMPUTED_VALUE"""),44592)</f>
        <v>44592</v>
      </c>
      <c r="C73" t="str">
        <f ca="1">IFERROR(__xludf.DUMMYFUNCTION("""COMPUTED_VALUE"""),"ЗАО ""ЭКОС"" 128-РДО от 01.01.2022")</f>
        <v>ЗАО "ЭКОС" 128-РДО от 01.01.2022</v>
      </c>
      <c r="D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3" t="str">
        <f ca="1">IFERROR(__xludf.DUMMYFUNCTION("""COMPUTED_VALUE"""),"Новый")</f>
        <v>Новый</v>
      </c>
      <c r="G73" s="68"/>
      <c r="K73" s="68"/>
    </row>
    <row r="74" spans="1:11" ht="12.75">
      <c r="A74" s="69">
        <f ca="1">IFERROR(__xludf.DUMMYFUNCTION("""COMPUTED_VALUE"""),90166)</f>
        <v>90166</v>
      </c>
      <c r="B74" s="4">
        <f ca="1">IFERROR(__xludf.DUMMYFUNCTION("""COMPUTED_VALUE"""),44592)</f>
        <v>44592</v>
      </c>
      <c r="C74" t="str">
        <f ca="1">IFERROR(__xludf.DUMMYFUNCTION("""COMPUTED_VALUE"""),"ЗАО ""ЭКОС"" 128-РДО от 01.01.2022")</f>
        <v>ЗАО "ЭКОС" 128-РДО от 01.01.2022</v>
      </c>
      <c r="D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" t="str">
        <f ca="1">IFERROR(__xludf.DUMMYFUNCTION("""COMPUTED_VALUE"""),"Новый")</f>
        <v>Новый</v>
      </c>
      <c r="G74" s="68"/>
      <c r="K74" s="68"/>
    </row>
    <row r="75" spans="1:11" ht="12.75">
      <c r="A75" s="69">
        <f ca="1">IFERROR(__xludf.DUMMYFUNCTION("""COMPUTED_VALUE"""),90167)</f>
        <v>90167</v>
      </c>
      <c r="B75" s="4">
        <f ca="1">IFERROR(__xludf.DUMMYFUNCTION("""COMPUTED_VALUE"""),44592)</f>
        <v>44592</v>
      </c>
      <c r="C75" t="str">
        <f ca="1">IFERROR(__xludf.DUMMYFUNCTION("""COMPUTED_VALUE"""),"ЗАО ""ЭКОС"" 128-РДО от 01.01.2022")</f>
        <v>ЗАО "ЭКОС" 128-РДО от 01.01.2022</v>
      </c>
      <c r="D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" t="str">
        <f ca="1">IFERROR(__xludf.DUMMYFUNCTION("""COMPUTED_VALUE"""),"Новый")</f>
        <v>Новый</v>
      </c>
      <c r="G75" s="68"/>
      <c r="K75" s="68"/>
    </row>
    <row r="76" spans="1:11" ht="12.75">
      <c r="A76" s="69">
        <f ca="1">IFERROR(__xludf.DUMMYFUNCTION("""COMPUTED_VALUE"""),90168)</f>
        <v>90168</v>
      </c>
      <c r="B76" s="4">
        <f ca="1">IFERROR(__xludf.DUMMYFUNCTION("""COMPUTED_VALUE"""),44592)</f>
        <v>44592</v>
      </c>
      <c r="C76" t="str">
        <f ca="1">IFERROR(__xludf.DUMMYFUNCTION("""COMPUTED_VALUE"""),"ЗАО ""ЭКОС"" 128-РДО от 01.01.2022")</f>
        <v>ЗАО "ЭКОС" 128-РДО от 01.01.2022</v>
      </c>
      <c r="D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" t="str">
        <f ca="1">IFERROR(__xludf.DUMMYFUNCTION("""COMPUTED_VALUE"""),"Новый")</f>
        <v>Новый</v>
      </c>
      <c r="G76" s="68"/>
      <c r="K76" s="68"/>
    </row>
    <row r="77" spans="1:11" ht="12.75">
      <c r="A77" s="69">
        <f ca="1">IFERROR(__xludf.DUMMYFUNCTION("""COMPUTED_VALUE"""),90169)</f>
        <v>90169</v>
      </c>
      <c r="B77" s="4">
        <f ca="1">IFERROR(__xludf.DUMMYFUNCTION("""COMPUTED_VALUE"""),44592)</f>
        <v>44592</v>
      </c>
      <c r="C77" t="str">
        <f ca="1">IFERROR(__xludf.DUMMYFUNCTION("""COMPUTED_VALUE"""),"ЗАО ""ЭКОС"" 128-РДО от 01.01.2022")</f>
        <v>ЗАО "ЭКОС" 128-РДО от 01.01.2022</v>
      </c>
      <c r="D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" t="str">
        <f ca="1">IFERROR(__xludf.DUMMYFUNCTION("""COMPUTED_VALUE"""),"Новый")</f>
        <v>Новый</v>
      </c>
      <c r="G77" s="68"/>
      <c r="K77" s="68"/>
    </row>
    <row r="78" spans="1:11" ht="12.75">
      <c r="A78" s="69">
        <f ca="1">IFERROR(__xludf.DUMMYFUNCTION("""COMPUTED_VALUE"""),90170)</f>
        <v>90170</v>
      </c>
      <c r="B78" s="4">
        <f ca="1">IFERROR(__xludf.DUMMYFUNCTION("""COMPUTED_VALUE"""),44592)</f>
        <v>44592</v>
      </c>
      <c r="C78" t="str">
        <f ca="1">IFERROR(__xludf.DUMMYFUNCTION("""COMPUTED_VALUE"""),"ЗАО ""ЭКОС"" 128-РДО от 01.01.2022")</f>
        <v>ЗАО "ЭКОС" 128-РДО от 01.01.2022</v>
      </c>
      <c r="D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" t="str">
        <f ca="1">IFERROR(__xludf.DUMMYFUNCTION("""COMPUTED_VALUE"""),"Новый")</f>
        <v>Новый</v>
      </c>
      <c r="G78" s="68"/>
      <c r="K78" s="68"/>
    </row>
    <row r="79" spans="1:11" ht="12.75">
      <c r="A79" s="69">
        <f ca="1">IFERROR(__xludf.DUMMYFUNCTION("""COMPUTED_VALUE"""),90171)</f>
        <v>90171</v>
      </c>
      <c r="B79" s="4">
        <f ca="1">IFERROR(__xludf.DUMMYFUNCTION("""COMPUTED_VALUE"""),44592)</f>
        <v>44592</v>
      </c>
      <c r="C79" t="str">
        <f ca="1">IFERROR(__xludf.DUMMYFUNCTION("""COMPUTED_VALUE"""),"ЗАО ""ЭКОС"" 128-РДО от 01.01.2022")</f>
        <v>ЗАО "ЭКОС" 128-РДО от 01.01.2022</v>
      </c>
      <c r="D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" t="str">
        <f ca="1">IFERROR(__xludf.DUMMYFUNCTION("""COMPUTED_VALUE"""),"Новый")</f>
        <v>Новый</v>
      </c>
      <c r="G79" s="68"/>
      <c r="K79" s="68"/>
    </row>
    <row r="80" spans="1:11" ht="12.75">
      <c r="A80" s="69">
        <f ca="1">IFERROR(__xludf.DUMMYFUNCTION("""COMPUTED_VALUE"""),90172)</f>
        <v>90172</v>
      </c>
      <c r="B80" s="4">
        <f ca="1">IFERROR(__xludf.DUMMYFUNCTION("""COMPUTED_VALUE"""),44592)</f>
        <v>44592</v>
      </c>
      <c r="C80" t="str">
        <f ca="1">IFERROR(__xludf.DUMMYFUNCTION("""COMPUTED_VALUE"""),"ЗАО ""ЭКОС"" 128-РДО от 01.01.2022")</f>
        <v>ЗАО "ЭКОС" 128-РДО от 01.01.2022</v>
      </c>
      <c r="D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" t="str">
        <f ca="1">IFERROR(__xludf.DUMMYFUNCTION("""COMPUTED_VALUE"""),"Новый")</f>
        <v>Новый</v>
      </c>
      <c r="G80" s="68"/>
      <c r="K80" s="68"/>
    </row>
    <row r="81" spans="1:11" ht="12.75">
      <c r="A81" s="69">
        <f ca="1">IFERROR(__xludf.DUMMYFUNCTION("""COMPUTED_VALUE"""),90173)</f>
        <v>90173</v>
      </c>
      <c r="B81" s="4">
        <f ca="1">IFERROR(__xludf.DUMMYFUNCTION("""COMPUTED_VALUE"""),44592)</f>
        <v>44592</v>
      </c>
      <c r="C81" t="str">
        <f ca="1">IFERROR(__xludf.DUMMYFUNCTION("""COMPUTED_VALUE"""),"ЗАО ""ЭКОС"" 128-РДО от 01.01.2022")</f>
        <v>ЗАО "ЭКОС" 128-РДО от 01.01.2022</v>
      </c>
      <c r="D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" t="str">
        <f ca="1">IFERROR(__xludf.DUMMYFUNCTION("""COMPUTED_VALUE"""),"Новый")</f>
        <v>Новый</v>
      </c>
      <c r="G81" s="68"/>
      <c r="K81" s="68"/>
    </row>
    <row r="82" spans="1:11" ht="12.75">
      <c r="A82" s="69">
        <f ca="1">IFERROR(__xludf.DUMMYFUNCTION("""COMPUTED_VALUE"""),90174)</f>
        <v>90174</v>
      </c>
      <c r="B82" s="4">
        <f ca="1">IFERROR(__xludf.DUMMYFUNCTION("""COMPUTED_VALUE"""),44592)</f>
        <v>44592</v>
      </c>
      <c r="C82" t="str">
        <f ca="1">IFERROR(__xludf.DUMMYFUNCTION("""COMPUTED_VALUE"""),"ЗАО ""ЭКОС"" 128-РДО от 01.01.2022")</f>
        <v>ЗАО "ЭКОС" 128-РДО от 01.01.2022</v>
      </c>
      <c r="D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" t="str">
        <f ca="1">IFERROR(__xludf.DUMMYFUNCTION("""COMPUTED_VALUE"""),"Новый")</f>
        <v>Новый</v>
      </c>
      <c r="G82" s="68"/>
      <c r="K82" s="68"/>
    </row>
    <row r="83" spans="1:11" ht="12.75">
      <c r="A83" s="69">
        <f ca="1">IFERROR(__xludf.DUMMYFUNCTION("""COMPUTED_VALUE"""),90175)</f>
        <v>90175</v>
      </c>
      <c r="B83" s="4">
        <f ca="1">IFERROR(__xludf.DUMMYFUNCTION("""COMPUTED_VALUE"""),44592)</f>
        <v>44592</v>
      </c>
      <c r="C83" t="str">
        <f ca="1">IFERROR(__xludf.DUMMYFUNCTION("""COMPUTED_VALUE"""),"ЗАО ""ЭКОС"" 128-РДО от 01.01.2022")</f>
        <v>ЗАО "ЭКОС" 128-РДО от 01.01.2022</v>
      </c>
      <c r="D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" t="str">
        <f ca="1">IFERROR(__xludf.DUMMYFUNCTION("""COMPUTED_VALUE"""),"Новый")</f>
        <v>Новый</v>
      </c>
      <c r="G83" s="68"/>
      <c r="K83" s="68"/>
    </row>
    <row r="84" spans="1:11" ht="12.75">
      <c r="A84" s="69">
        <f ca="1">IFERROR(__xludf.DUMMYFUNCTION("""COMPUTED_VALUE"""),90176)</f>
        <v>90176</v>
      </c>
      <c r="B84" s="4">
        <f ca="1">IFERROR(__xludf.DUMMYFUNCTION("""COMPUTED_VALUE"""),44592)</f>
        <v>44592</v>
      </c>
      <c r="C84" t="str">
        <f ca="1">IFERROR(__xludf.DUMMYFUNCTION("""COMPUTED_VALUE"""),"ЗАО ""ЭКОС"" 128-РДО от 01.01.2022")</f>
        <v>ЗАО "ЭКОС" 128-РДО от 01.01.2022</v>
      </c>
      <c r="D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" t="str">
        <f ca="1">IFERROR(__xludf.DUMMYFUNCTION("""COMPUTED_VALUE"""),"Новый")</f>
        <v>Новый</v>
      </c>
      <c r="G84" s="68"/>
      <c r="K84" s="68"/>
    </row>
    <row r="85" spans="1:11" ht="12.75">
      <c r="A85" s="69">
        <f ca="1">IFERROR(__xludf.DUMMYFUNCTION("""COMPUTED_VALUE"""),90177)</f>
        <v>90177</v>
      </c>
      <c r="B85" s="4">
        <f ca="1">IFERROR(__xludf.DUMMYFUNCTION("""COMPUTED_VALUE"""),44592)</f>
        <v>44592</v>
      </c>
      <c r="C85" t="str">
        <f ca="1">IFERROR(__xludf.DUMMYFUNCTION("""COMPUTED_VALUE"""),"ЗАО ""ЭКОС"" 128-РДО от 01.01.2022")</f>
        <v>ЗАО "ЭКОС" 128-РДО от 01.01.2022</v>
      </c>
      <c r="D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" t="str">
        <f ca="1">IFERROR(__xludf.DUMMYFUNCTION("""COMPUTED_VALUE"""),"Новый")</f>
        <v>Новый</v>
      </c>
      <c r="G85" s="68"/>
      <c r="K85" s="68"/>
    </row>
    <row r="86" spans="1:11" ht="12.75">
      <c r="A86" s="69">
        <f ca="1">IFERROR(__xludf.DUMMYFUNCTION("""COMPUTED_VALUE"""),90178)</f>
        <v>90178</v>
      </c>
      <c r="B86" s="4">
        <f ca="1">IFERROR(__xludf.DUMMYFUNCTION("""COMPUTED_VALUE"""),44592)</f>
        <v>44592</v>
      </c>
      <c r="C86" t="str">
        <f ca="1">IFERROR(__xludf.DUMMYFUNCTION("""COMPUTED_VALUE"""),"ЗАО ""ЭКОС"" 128-РДО от 01.01.2022")</f>
        <v>ЗАО "ЭКОС" 128-РДО от 01.01.2022</v>
      </c>
      <c r="D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" t="str">
        <f ca="1">IFERROR(__xludf.DUMMYFUNCTION("""COMPUTED_VALUE"""),"Новый")</f>
        <v>Новый</v>
      </c>
      <c r="G86" s="68"/>
      <c r="K86" s="68"/>
    </row>
    <row r="87" spans="1:11" ht="12.75">
      <c r="A87" s="69">
        <f ca="1">IFERROR(__xludf.DUMMYFUNCTION("""COMPUTED_VALUE"""),90179)</f>
        <v>90179</v>
      </c>
      <c r="B87" s="4">
        <f ca="1">IFERROR(__xludf.DUMMYFUNCTION("""COMPUTED_VALUE"""),44592)</f>
        <v>44592</v>
      </c>
      <c r="C87" t="str">
        <f ca="1">IFERROR(__xludf.DUMMYFUNCTION("""COMPUTED_VALUE"""),"ЗАО ""ЭКОС"" 128-РДО от 01.01.2022")</f>
        <v>ЗАО "ЭКОС" 128-РДО от 01.01.2022</v>
      </c>
      <c r="D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" t="str">
        <f ca="1">IFERROR(__xludf.DUMMYFUNCTION("""COMPUTED_VALUE"""),"Новый")</f>
        <v>Новый</v>
      </c>
      <c r="G87" s="68"/>
      <c r="K87" s="68"/>
    </row>
    <row r="88" spans="1:11" ht="12.75">
      <c r="A88" s="69">
        <f ca="1">IFERROR(__xludf.DUMMYFUNCTION("""COMPUTED_VALUE"""),90180)</f>
        <v>90180</v>
      </c>
      <c r="B88" s="4">
        <f ca="1">IFERROR(__xludf.DUMMYFUNCTION("""COMPUTED_VALUE"""),44592)</f>
        <v>44592</v>
      </c>
      <c r="C88" t="str">
        <f ca="1">IFERROR(__xludf.DUMMYFUNCTION("""COMPUTED_VALUE"""),"ЗАО ""ЭКОС"" 128-РДО от 01.01.2022")</f>
        <v>ЗАО "ЭКОС" 128-РДО от 01.01.2022</v>
      </c>
      <c r="D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" t="str">
        <f ca="1">IFERROR(__xludf.DUMMYFUNCTION("""COMPUTED_VALUE"""),"Новый")</f>
        <v>Новый</v>
      </c>
      <c r="G88" s="68"/>
      <c r="K88" s="68"/>
    </row>
    <row r="89" spans="1:11" ht="12.75">
      <c r="A89" s="69">
        <f ca="1">IFERROR(__xludf.DUMMYFUNCTION("""COMPUTED_VALUE"""),90181)</f>
        <v>90181</v>
      </c>
      <c r="B89" s="4">
        <f ca="1">IFERROR(__xludf.DUMMYFUNCTION("""COMPUTED_VALUE"""),44592)</f>
        <v>44592</v>
      </c>
      <c r="C89" t="str">
        <f ca="1">IFERROR(__xludf.DUMMYFUNCTION("""COMPUTED_VALUE"""),"ЗАО ""ЭКОС"" 128-РДО от 01.01.2022")</f>
        <v>ЗАО "ЭКОС" 128-РДО от 01.01.2022</v>
      </c>
      <c r="D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" t="str">
        <f ca="1">IFERROR(__xludf.DUMMYFUNCTION("""COMPUTED_VALUE"""),"Новый")</f>
        <v>Новый</v>
      </c>
      <c r="G89" s="68"/>
      <c r="K89" s="68"/>
    </row>
    <row r="90" spans="1:11" ht="12.75">
      <c r="A90" s="69">
        <f ca="1">IFERROR(__xludf.DUMMYFUNCTION("""COMPUTED_VALUE"""),90182)</f>
        <v>90182</v>
      </c>
      <c r="B90" s="4">
        <f ca="1">IFERROR(__xludf.DUMMYFUNCTION("""COMPUTED_VALUE"""),44592)</f>
        <v>44592</v>
      </c>
      <c r="C90" t="str">
        <f ca="1">IFERROR(__xludf.DUMMYFUNCTION("""COMPUTED_VALUE"""),"ЗАО ""ЭКОС"" 128-РДО от 01.01.2022")</f>
        <v>ЗАО "ЭКОС" 128-РДО от 01.01.2022</v>
      </c>
      <c r="D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" t="str">
        <f ca="1">IFERROR(__xludf.DUMMYFUNCTION("""COMPUTED_VALUE"""),"Новый")</f>
        <v>Новый</v>
      </c>
      <c r="G90" s="68"/>
      <c r="K90" s="68"/>
    </row>
    <row r="91" spans="1:11" ht="12.75">
      <c r="A91" s="69">
        <f ca="1">IFERROR(__xludf.DUMMYFUNCTION("""COMPUTED_VALUE"""),90183)</f>
        <v>90183</v>
      </c>
      <c r="B91" s="4">
        <f ca="1">IFERROR(__xludf.DUMMYFUNCTION("""COMPUTED_VALUE"""),44592)</f>
        <v>44592</v>
      </c>
      <c r="C91" t="str">
        <f ca="1">IFERROR(__xludf.DUMMYFUNCTION("""COMPUTED_VALUE"""),"ЗАО ""ЭКОС"" 128-РДО от 01.01.2022")</f>
        <v>ЗАО "ЭКОС" 128-РДО от 01.01.2022</v>
      </c>
      <c r="D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1" t="str">
        <f ca="1">IFERROR(__xludf.DUMMYFUNCTION("""COMPUTED_VALUE"""),"Новый")</f>
        <v>Новый</v>
      </c>
      <c r="G91" s="68"/>
      <c r="K91" s="68"/>
    </row>
    <row r="92" spans="1:11" ht="12.75">
      <c r="A92" s="69">
        <f ca="1">IFERROR(__xludf.DUMMYFUNCTION("""COMPUTED_VALUE"""),90184)</f>
        <v>90184</v>
      </c>
      <c r="B92" s="4">
        <f ca="1">IFERROR(__xludf.DUMMYFUNCTION("""COMPUTED_VALUE"""),44592)</f>
        <v>44592</v>
      </c>
      <c r="C92" t="str">
        <f ca="1">IFERROR(__xludf.DUMMYFUNCTION("""COMPUTED_VALUE"""),"ЗАО ""ЭКОС"" 128-РДО от 01.01.2022")</f>
        <v>ЗАО "ЭКОС" 128-РДО от 01.01.2022</v>
      </c>
      <c r="D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2" t="str">
        <f ca="1">IFERROR(__xludf.DUMMYFUNCTION("""COMPUTED_VALUE"""),"Новый")</f>
        <v>Новый</v>
      </c>
      <c r="G92" s="68"/>
      <c r="K92" s="68"/>
    </row>
    <row r="93" spans="1:11" ht="12.75">
      <c r="A93" s="69">
        <f ca="1">IFERROR(__xludf.DUMMYFUNCTION("""COMPUTED_VALUE"""),90185)</f>
        <v>90185</v>
      </c>
      <c r="B93" s="4">
        <f ca="1">IFERROR(__xludf.DUMMYFUNCTION("""COMPUTED_VALUE"""),44592)</f>
        <v>44592</v>
      </c>
      <c r="C93" t="str">
        <f ca="1">IFERROR(__xludf.DUMMYFUNCTION("""COMPUTED_VALUE"""),"ЗАО ""ЭКОС"" 128-РДО от 01.01.2022")</f>
        <v>ЗАО "ЭКОС" 128-РДО от 01.01.2022</v>
      </c>
      <c r="D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3" t="str">
        <f ca="1">IFERROR(__xludf.DUMMYFUNCTION("""COMPUTED_VALUE"""),"Новый")</f>
        <v>Новый</v>
      </c>
      <c r="G93" s="68"/>
      <c r="K93" s="68"/>
    </row>
    <row r="94" spans="1:11" ht="12.75">
      <c r="A94" s="69">
        <f ca="1">IFERROR(__xludf.DUMMYFUNCTION("""COMPUTED_VALUE"""),90186)</f>
        <v>90186</v>
      </c>
      <c r="B94" s="4">
        <f ca="1">IFERROR(__xludf.DUMMYFUNCTION("""COMPUTED_VALUE"""),44592)</f>
        <v>44592</v>
      </c>
      <c r="C94" t="str">
        <f ca="1">IFERROR(__xludf.DUMMYFUNCTION("""COMPUTED_VALUE"""),"ЗАО ""ЭКОС"" 128-РДО от 01.01.2022")</f>
        <v>ЗАО "ЭКОС" 128-РДО от 01.01.2022</v>
      </c>
      <c r="D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4" t="str">
        <f ca="1">IFERROR(__xludf.DUMMYFUNCTION("""COMPUTED_VALUE"""),"Новый")</f>
        <v>Новый</v>
      </c>
      <c r="G94" s="68"/>
      <c r="K94" s="68"/>
    </row>
    <row r="95" spans="1:11" ht="12.75">
      <c r="A95" s="69">
        <f ca="1">IFERROR(__xludf.DUMMYFUNCTION("""COMPUTED_VALUE"""),90187)</f>
        <v>90187</v>
      </c>
      <c r="B95" s="4">
        <f ca="1">IFERROR(__xludf.DUMMYFUNCTION("""COMPUTED_VALUE"""),44592)</f>
        <v>44592</v>
      </c>
      <c r="C95" t="str">
        <f ca="1">IFERROR(__xludf.DUMMYFUNCTION("""COMPUTED_VALUE"""),"ЗАО ""ЭКОС"" 128-РДО от 01.01.2022")</f>
        <v>ЗАО "ЭКОС" 128-РДО от 01.01.2022</v>
      </c>
      <c r="D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5" t="str">
        <f ca="1">IFERROR(__xludf.DUMMYFUNCTION("""COMPUTED_VALUE"""),"Новый")</f>
        <v>Новый</v>
      </c>
      <c r="G95" s="68"/>
      <c r="K95" s="68"/>
    </row>
    <row r="96" spans="1:11" ht="12.75">
      <c r="A96" s="69">
        <f ca="1">IFERROR(__xludf.DUMMYFUNCTION("""COMPUTED_VALUE"""),90188)</f>
        <v>90188</v>
      </c>
      <c r="B96" s="4">
        <f ca="1">IFERROR(__xludf.DUMMYFUNCTION("""COMPUTED_VALUE"""),44592)</f>
        <v>44592</v>
      </c>
      <c r="C96" t="str">
        <f ca="1">IFERROR(__xludf.DUMMYFUNCTION("""COMPUTED_VALUE"""),"ЗАО ""ЭКОС"" 128-РДО от 01.01.2022")</f>
        <v>ЗАО "ЭКОС" 128-РДО от 01.01.2022</v>
      </c>
      <c r="D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6" t="str">
        <f ca="1">IFERROR(__xludf.DUMMYFUNCTION("""COMPUTED_VALUE"""),"Новый")</f>
        <v>Новый</v>
      </c>
      <c r="G96" s="68"/>
      <c r="K96" s="68"/>
    </row>
    <row r="97" spans="1:11" ht="12.75">
      <c r="A97" s="69">
        <f ca="1">IFERROR(__xludf.DUMMYFUNCTION("""COMPUTED_VALUE"""),90189)</f>
        <v>90189</v>
      </c>
      <c r="B97" s="4">
        <f ca="1">IFERROR(__xludf.DUMMYFUNCTION("""COMPUTED_VALUE"""),44592)</f>
        <v>44592</v>
      </c>
      <c r="C97" t="str">
        <f ca="1">IFERROR(__xludf.DUMMYFUNCTION("""COMPUTED_VALUE"""),"ЗАО ""ЭКОС"" 128-РДО от 01.01.2022")</f>
        <v>ЗАО "ЭКОС" 128-РДО от 01.01.2022</v>
      </c>
      <c r="D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7" t="str">
        <f ca="1">IFERROR(__xludf.DUMMYFUNCTION("""COMPUTED_VALUE"""),"Новый")</f>
        <v>Новый</v>
      </c>
      <c r="G97" s="68"/>
      <c r="K97" s="68"/>
    </row>
    <row r="98" spans="1:11" ht="12.75">
      <c r="A98" s="69">
        <f ca="1">IFERROR(__xludf.DUMMYFUNCTION("""COMPUTED_VALUE"""),90190)</f>
        <v>90190</v>
      </c>
      <c r="B98" s="4">
        <f ca="1">IFERROR(__xludf.DUMMYFUNCTION("""COMPUTED_VALUE"""),44592)</f>
        <v>44592</v>
      </c>
      <c r="C98" t="str">
        <f ca="1">IFERROR(__xludf.DUMMYFUNCTION("""COMPUTED_VALUE"""),"ЗАО ""ЭКОС"" 128-РДО от 01.01.2022")</f>
        <v>ЗАО "ЭКОС" 128-РДО от 01.01.2022</v>
      </c>
      <c r="D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8" t="str">
        <f ca="1">IFERROR(__xludf.DUMMYFUNCTION("""COMPUTED_VALUE"""),"Новый")</f>
        <v>Новый</v>
      </c>
      <c r="G98" s="68"/>
      <c r="K98" s="68"/>
    </row>
    <row r="99" spans="1:11" ht="12.75">
      <c r="A99" s="69">
        <f ca="1">IFERROR(__xludf.DUMMYFUNCTION("""COMPUTED_VALUE"""),90191)</f>
        <v>90191</v>
      </c>
      <c r="B99" s="4">
        <f ca="1">IFERROR(__xludf.DUMMYFUNCTION("""COMPUTED_VALUE"""),44592)</f>
        <v>44592</v>
      </c>
      <c r="C99" t="str">
        <f ca="1">IFERROR(__xludf.DUMMYFUNCTION("""COMPUTED_VALUE"""),"ЗАО ""ЭКОС"" 128-РДО от 01.01.2022")</f>
        <v>ЗАО "ЭКОС" 128-РДО от 01.01.2022</v>
      </c>
      <c r="D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99" t="str">
        <f ca="1">IFERROR(__xludf.DUMMYFUNCTION("""COMPUTED_VALUE"""),"Новый")</f>
        <v>Новый</v>
      </c>
      <c r="G99" s="68"/>
      <c r="K99" s="68"/>
    </row>
    <row r="100" spans="1:11" ht="12.75">
      <c r="A100" s="69">
        <f ca="1">IFERROR(__xludf.DUMMYFUNCTION("""COMPUTED_VALUE"""),90192)</f>
        <v>90192</v>
      </c>
      <c r="B100" s="4">
        <f ca="1">IFERROR(__xludf.DUMMYFUNCTION("""COMPUTED_VALUE"""),44592)</f>
        <v>44592</v>
      </c>
      <c r="C100" t="str">
        <f ca="1">IFERROR(__xludf.DUMMYFUNCTION("""COMPUTED_VALUE"""),"ЗАО ""ЭКОС"" 128-РДО от 01.01.2022")</f>
        <v>ЗАО "ЭКОС" 128-РДО от 01.01.2022</v>
      </c>
      <c r="D1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0" t="str">
        <f ca="1">IFERROR(__xludf.DUMMYFUNCTION("""COMPUTED_VALUE"""),"Новый")</f>
        <v>Новый</v>
      </c>
      <c r="G100" s="68"/>
      <c r="K100" s="68"/>
    </row>
    <row r="101" spans="1:11" ht="12.75">
      <c r="A101" s="69">
        <f ca="1">IFERROR(__xludf.DUMMYFUNCTION("""COMPUTED_VALUE"""),90193)</f>
        <v>90193</v>
      </c>
      <c r="B101" s="4">
        <f ca="1">IFERROR(__xludf.DUMMYFUNCTION("""COMPUTED_VALUE"""),44592)</f>
        <v>44592</v>
      </c>
      <c r="C101" t="str">
        <f ca="1">IFERROR(__xludf.DUMMYFUNCTION("""COMPUTED_VALUE"""),"ЗАО ""ЭКОС"" 128-РДО от 01.01.2022")</f>
        <v>ЗАО "ЭКОС" 128-РДО от 01.01.2022</v>
      </c>
      <c r="D1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1" t="str">
        <f ca="1">IFERROR(__xludf.DUMMYFUNCTION("""COMPUTED_VALUE"""),"Новый")</f>
        <v>Новый</v>
      </c>
      <c r="G101" s="68"/>
      <c r="K101" s="68"/>
    </row>
    <row r="102" spans="1:11" ht="12.75">
      <c r="A102" s="69">
        <f ca="1">IFERROR(__xludf.DUMMYFUNCTION("""COMPUTED_VALUE"""),90194)</f>
        <v>90194</v>
      </c>
      <c r="B102" s="4">
        <f ca="1">IFERROR(__xludf.DUMMYFUNCTION("""COMPUTED_VALUE"""),44592)</f>
        <v>44592</v>
      </c>
      <c r="C102" t="str">
        <f ca="1">IFERROR(__xludf.DUMMYFUNCTION("""COMPUTED_VALUE"""),"ЗАО ""ЭКОС"" 128-РДО от 01.01.2022")</f>
        <v>ЗАО "ЭКОС" 128-РДО от 01.01.2022</v>
      </c>
      <c r="D1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2" t="str">
        <f ca="1">IFERROR(__xludf.DUMMYFUNCTION("""COMPUTED_VALUE"""),"Новый")</f>
        <v>Новый</v>
      </c>
      <c r="G102" s="68"/>
      <c r="K102" s="68"/>
    </row>
    <row r="103" spans="1:11" ht="12.75">
      <c r="A103" s="69">
        <f ca="1">IFERROR(__xludf.DUMMYFUNCTION("""COMPUTED_VALUE"""),90195)</f>
        <v>90195</v>
      </c>
      <c r="B103" s="4">
        <f ca="1">IFERROR(__xludf.DUMMYFUNCTION("""COMPUTED_VALUE"""),44592)</f>
        <v>44592</v>
      </c>
      <c r="C103" t="str">
        <f ca="1">IFERROR(__xludf.DUMMYFUNCTION("""COMPUTED_VALUE"""),"ЗАО ""ЭКОС"" 128-РДО от 01.01.2022")</f>
        <v>ЗАО "ЭКОС" 128-РДО от 01.01.2022</v>
      </c>
      <c r="D1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3" t="str">
        <f ca="1">IFERROR(__xludf.DUMMYFUNCTION("""COMPUTED_VALUE"""),"Новый")</f>
        <v>Новый</v>
      </c>
      <c r="G103" s="68"/>
      <c r="K103" s="68"/>
    </row>
    <row r="104" spans="1:11" ht="12.75">
      <c r="A104" s="69">
        <f ca="1">IFERROR(__xludf.DUMMYFUNCTION("""COMPUTED_VALUE"""),90196)</f>
        <v>90196</v>
      </c>
      <c r="B104" s="4">
        <f ca="1">IFERROR(__xludf.DUMMYFUNCTION("""COMPUTED_VALUE"""),44592)</f>
        <v>44592</v>
      </c>
      <c r="C104" t="str">
        <f ca="1">IFERROR(__xludf.DUMMYFUNCTION("""COMPUTED_VALUE"""),"ЗАО ""ЭКОС"" 128-РДО от 01.01.2022")</f>
        <v>ЗАО "ЭКОС" 128-РДО от 01.01.2022</v>
      </c>
      <c r="D1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4" t="str">
        <f ca="1">IFERROR(__xludf.DUMMYFUNCTION("""COMPUTED_VALUE"""),"Новый")</f>
        <v>Новый</v>
      </c>
      <c r="G104" s="68"/>
      <c r="K104" s="68"/>
    </row>
    <row r="105" spans="1:11" ht="12.75">
      <c r="A105" s="69">
        <f ca="1">IFERROR(__xludf.DUMMYFUNCTION("""COMPUTED_VALUE"""),90197)</f>
        <v>90197</v>
      </c>
      <c r="B105" s="4">
        <f ca="1">IFERROR(__xludf.DUMMYFUNCTION("""COMPUTED_VALUE"""),44592)</f>
        <v>44592</v>
      </c>
      <c r="C105" t="str">
        <f ca="1">IFERROR(__xludf.DUMMYFUNCTION("""COMPUTED_VALUE"""),"ЗАО ""ЭКОС"" 128-РДО от 01.01.2022")</f>
        <v>ЗАО "ЭКОС" 128-РДО от 01.01.2022</v>
      </c>
      <c r="D1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5" t="str">
        <f ca="1">IFERROR(__xludf.DUMMYFUNCTION("""COMPUTED_VALUE"""),"Новый")</f>
        <v>Новый</v>
      </c>
      <c r="G105" s="68"/>
      <c r="K105" s="68"/>
    </row>
    <row r="106" spans="1:11" ht="12.75">
      <c r="A106" s="69">
        <f ca="1">IFERROR(__xludf.DUMMYFUNCTION("""COMPUTED_VALUE"""),90198)</f>
        <v>90198</v>
      </c>
      <c r="B106" s="4">
        <f ca="1">IFERROR(__xludf.DUMMYFUNCTION("""COMPUTED_VALUE"""),44592)</f>
        <v>44592</v>
      </c>
      <c r="C106" t="str">
        <f ca="1">IFERROR(__xludf.DUMMYFUNCTION("""COMPUTED_VALUE"""),"ЗАО ""ЭКОС"" 128-РДО от 01.01.2022")</f>
        <v>ЗАО "ЭКОС" 128-РДО от 01.01.2022</v>
      </c>
      <c r="D1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6" t="str">
        <f ca="1">IFERROR(__xludf.DUMMYFUNCTION("""COMPUTED_VALUE"""),"Новый")</f>
        <v>Новый</v>
      </c>
      <c r="G106" s="68"/>
      <c r="K106" s="68"/>
    </row>
    <row r="107" spans="1:11" ht="12.75">
      <c r="A107" s="69">
        <f ca="1">IFERROR(__xludf.DUMMYFUNCTION("""COMPUTED_VALUE"""),90199)</f>
        <v>90199</v>
      </c>
      <c r="B107" s="4">
        <f ca="1">IFERROR(__xludf.DUMMYFUNCTION("""COMPUTED_VALUE"""),44592)</f>
        <v>44592</v>
      </c>
      <c r="C107" t="str">
        <f ca="1">IFERROR(__xludf.DUMMYFUNCTION("""COMPUTED_VALUE"""),"ЗАО ""ЭКОС"" 128-РДО от 01.01.2022")</f>
        <v>ЗАО "ЭКОС" 128-РДО от 01.01.2022</v>
      </c>
      <c r="D1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7" t="str">
        <f ca="1">IFERROR(__xludf.DUMMYFUNCTION("""COMPUTED_VALUE"""),"Новый")</f>
        <v>Новый</v>
      </c>
      <c r="G107" s="68"/>
      <c r="K107" s="68"/>
    </row>
    <row r="108" spans="1:11" ht="12.75">
      <c r="A108" s="69">
        <f ca="1">IFERROR(__xludf.DUMMYFUNCTION("""COMPUTED_VALUE"""),90200)</f>
        <v>90200</v>
      </c>
      <c r="B108" s="4">
        <f ca="1">IFERROR(__xludf.DUMMYFUNCTION("""COMPUTED_VALUE"""),44592)</f>
        <v>44592</v>
      </c>
      <c r="C108" t="str">
        <f ca="1">IFERROR(__xludf.DUMMYFUNCTION("""COMPUTED_VALUE"""),"ЗАО ""ЭКОС"" 128-РДО от 01.01.2022")</f>
        <v>ЗАО "ЭКОС" 128-РДО от 01.01.2022</v>
      </c>
      <c r="D1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8" t="str">
        <f ca="1">IFERROR(__xludf.DUMMYFUNCTION("""COMPUTED_VALUE"""),"Новый")</f>
        <v>Новый</v>
      </c>
      <c r="G108" s="68"/>
      <c r="K108" s="68"/>
    </row>
    <row r="109" spans="1:11" ht="12.75">
      <c r="A109" s="69">
        <f ca="1">IFERROR(__xludf.DUMMYFUNCTION("""COMPUTED_VALUE"""),90201)</f>
        <v>90201</v>
      </c>
      <c r="B109" s="4">
        <f ca="1">IFERROR(__xludf.DUMMYFUNCTION("""COMPUTED_VALUE"""),44592)</f>
        <v>44592</v>
      </c>
      <c r="C109" t="str">
        <f ca="1">IFERROR(__xludf.DUMMYFUNCTION("""COMPUTED_VALUE"""),"ЗАО ""ЭКОС"" 128-РДО от 01.01.2022")</f>
        <v>ЗАО "ЭКОС" 128-РДО от 01.01.2022</v>
      </c>
      <c r="D1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09" t="str">
        <f ca="1">IFERROR(__xludf.DUMMYFUNCTION("""COMPUTED_VALUE"""),"Новый")</f>
        <v>Новый</v>
      </c>
      <c r="G109" s="68"/>
      <c r="K109" s="68"/>
    </row>
    <row r="110" spans="1:11" ht="12.75">
      <c r="A110" s="69">
        <f ca="1">IFERROR(__xludf.DUMMYFUNCTION("""COMPUTED_VALUE"""),90202)</f>
        <v>90202</v>
      </c>
      <c r="B110" s="4">
        <f ca="1">IFERROR(__xludf.DUMMYFUNCTION("""COMPUTED_VALUE"""),44592)</f>
        <v>44592</v>
      </c>
      <c r="C110" t="str">
        <f ca="1">IFERROR(__xludf.DUMMYFUNCTION("""COMPUTED_VALUE"""),"ЗАО ""ЭКОС"" 128-РДО от 01.01.2022")</f>
        <v>ЗАО "ЭКОС" 128-РДО от 01.01.2022</v>
      </c>
      <c r="D1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0" t="str">
        <f ca="1">IFERROR(__xludf.DUMMYFUNCTION("""COMPUTED_VALUE"""),"Новый")</f>
        <v>Новый</v>
      </c>
      <c r="G110" s="68"/>
      <c r="K110" s="68"/>
    </row>
    <row r="111" spans="1:11" ht="12.75">
      <c r="A111" s="69">
        <f ca="1">IFERROR(__xludf.DUMMYFUNCTION("""COMPUTED_VALUE"""),90220)</f>
        <v>90220</v>
      </c>
      <c r="B111" s="4">
        <f ca="1">IFERROR(__xludf.DUMMYFUNCTION("""COMPUTED_VALUE"""),44592)</f>
        <v>44592</v>
      </c>
      <c r="C111" t="str">
        <f ca="1">IFERROR(__xludf.DUMMYFUNCTION("""COMPUTED_VALUE"""),"ЗАО ""ЭКОС"" 128-РДО от 01.01.2022")</f>
        <v>ЗАО "ЭКОС" 128-РДО от 01.01.2022</v>
      </c>
      <c r="D1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1" t="str">
        <f ca="1">IFERROR(__xludf.DUMMYFUNCTION("""COMPUTED_VALUE"""),"Новый")</f>
        <v>Новый</v>
      </c>
      <c r="G111" s="68"/>
      <c r="K111" s="68"/>
    </row>
    <row r="112" spans="1:11" ht="12.75">
      <c r="A112" s="69">
        <f ca="1">IFERROR(__xludf.DUMMYFUNCTION("""COMPUTED_VALUE"""),90233)</f>
        <v>90233</v>
      </c>
      <c r="B112" s="4">
        <f ca="1">IFERROR(__xludf.DUMMYFUNCTION("""COMPUTED_VALUE"""),44592)</f>
        <v>44592</v>
      </c>
      <c r="C112" t="str">
        <f ca="1">IFERROR(__xludf.DUMMYFUNCTION("""COMPUTED_VALUE"""),"ЗАО ""ЭКОС"" 128-РДО от 01.01.2022")</f>
        <v>ЗАО "ЭКОС" 128-РДО от 01.01.2022</v>
      </c>
      <c r="D1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2" t="str">
        <f ca="1">IFERROR(__xludf.DUMMYFUNCTION("""COMPUTED_VALUE"""),"Новый")</f>
        <v>Новый</v>
      </c>
      <c r="G112" s="68"/>
      <c r="K112" s="68"/>
    </row>
    <row r="113" spans="1:11" ht="12.75">
      <c r="A113" s="69">
        <f ca="1">IFERROR(__xludf.DUMMYFUNCTION("""COMPUTED_VALUE"""),90234)</f>
        <v>90234</v>
      </c>
      <c r="B113" s="4">
        <f ca="1">IFERROR(__xludf.DUMMYFUNCTION("""COMPUTED_VALUE"""),44592)</f>
        <v>44592</v>
      </c>
      <c r="C113" t="str">
        <f ca="1">IFERROR(__xludf.DUMMYFUNCTION("""COMPUTED_VALUE"""),"ЗАО ""ЭКОС"" 128-РДО от 01.01.2022")</f>
        <v>ЗАО "ЭКОС" 128-РДО от 01.01.2022</v>
      </c>
      <c r="D1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3" t="str">
        <f ca="1">IFERROR(__xludf.DUMMYFUNCTION("""COMPUTED_VALUE"""),"Новый")</f>
        <v>Новый</v>
      </c>
      <c r="G113" s="68"/>
      <c r="K113" s="68"/>
    </row>
    <row r="114" spans="1:11" ht="12.75">
      <c r="A114" s="69">
        <f ca="1">IFERROR(__xludf.DUMMYFUNCTION("""COMPUTED_VALUE"""),90235)</f>
        <v>90235</v>
      </c>
      <c r="B114" s="4">
        <f ca="1">IFERROR(__xludf.DUMMYFUNCTION("""COMPUTED_VALUE"""),44592)</f>
        <v>44592</v>
      </c>
      <c r="C114" t="str">
        <f ca="1">IFERROR(__xludf.DUMMYFUNCTION("""COMPUTED_VALUE"""),"ЗАО ""ЭКОС"" 128-РДО от 01.01.2022")</f>
        <v>ЗАО "ЭКОС" 128-РДО от 01.01.2022</v>
      </c>
      <c r="D1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4" t="str">
        <f ca="1">IFERROR(__xludf.DUMMYFUNCTION("""COMPUTED_VALUE"""),"Новый")</f>
        <v>Новый</v>
      </c>
      <c r="G114" s="68"/>
      <c r="K114" s="68"/>
    </row>
    <row r="115" spans="1:11" ht="12.75">
      <c r="A115" s="69">
        <f ca="1">IFERROR(__xludf.DUMMYFUNCTION("""COMPUTED_VALUE"""),90236)</f>
        <v>90236</v>
      </c>
      <c r="B115" s="4">
        <f ca="1">IFERROR(__xludf.DUMMYFUNCTION("""COMPUTED_VALUE"""),44592)</f>
        <v>44592</v>
      </c>
      <c r="C115" t="str">
        <f ca="1">IFERROR(__xludf.DUMMYFUNCTION("""COMPUTED_VALUE"""),"ЗАО ""ЭКОС"" 128-РДО от 01.01.2022")</f>
        <v>ЗАО "ЭКОС" 128-РДО от 01.01.2022</v>
      </c>
      <c r="D1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5" t="str">
        <f ca="1">IFERROR(__xludf.DUMMYFUNCTION("""COMPUTED_VALUE"""),"Новый")</f>
        <v>Новый</v>
      </c>
      <c r="G115" s="68"/>
      <c r="K115" s="68"/>
    </row>
    <row r="116" spans="1:11" ht="12.75">
      <c r="A116" s="69">
        <f ca="1">IFERROR(__xludf.DUMMYFUNCTION("""COMPUTED_VALUE"""),90237)</f>
        <v>90237</v>
      </c>
      <c r="B116" s="4">
        <f ca="1">IFERROR(__xludf.DUMMYFUNCTION("""COMPUTED_VALUE"""),44592)</f>
        <v>44592</v>
      </c>
      <c r="C116" t="str">
        <f ca="1">IFERROR(__xludf.DUMMYFUNCTION("""COMPUTED_VALUE"""),"ЗАО ""ЭКОС"" 128-РДО от 01.01.2022")</f>
        <v>ЗАО "ЭКОС" 128-РДО от 01.01.2022</v>
      </c>
      <c r="D1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6" t="str">
        <f ca="1">IFERROR(__xludf.DUMMYFUNCTION("""COMPUTED_VALUE"""),"Новый")</f>
        <v>Новый</v>
      </c>
      <c r="G116" s="68"/>
      <c r="K116" s="68"/>
    </row>
    <row r="117" spans="1:11" ht="12.75">
      <c r="A117" s="69">
        <f ca="1">IFERROR(__xludf.DUMMYFUNCTION("""COMPUTED_VALUE"""),90238)</f>
        <v>90238</v>
      </c>
      <c r="B117" s="4">
        <f ca="1">IFERROR(__xludf.DUMMYFUNCTION("""COMPUTED_VALUE"""),44592)</f>
        <v>44592</v>
      </c>
      <c r="C117" t="str">
        <f ca="1">IFERROR(__xludf.DUMMYFUNCTION("""COMPUTED_VALUE"""),"ЗАО ""ЭКОС"" 128-РДО от 01.01.2022")</f>
        <v>ЗАО "ЭКОС" 128-РДО от 01.01.2022</v>
      </c>
      <c r="D1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7" t="str">
        <f ca="1">IFERROR(__xludf.DUMMYFUNCTION("""COMPUTED_VALUE"""),"Новый")</f>
        <v>Новый</v>
      </c>
      <c r="G117" s="68"/>
      <c r="K117" s="68"/>
    </row>
    <row r="118" spans="1:11" ht="12.75">
      <c r="A118" s="69">
        <f ca="1">IFERROR(__xludf.DUMMYFUNCTION("""COMPUTED_VALUE"""),90239)</f>
        <v>90239</v>
      </c>
      <c r="B118" s="4">
        <f ca="1">IFERROR(__xludf.DUMMYFUNCTION("""COMPUTED_VALUE"""),44592)</f>
        <v>44592</v>
      </c>
      <c r="C118" t="str">
        <f ca="1">IFERROR(__xludf.DUMMYFUNCTION("""COMPUTED_VALUE"""),"ЗАО ""ЭКОС"" 128-РДО от 01.01.2022")</f>
        <v>ЗАО "ЭКОС" 128-РДО от 01.01.2022</v>
      </c>
      <c r="D1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8" t="str">
        <f ca="1">IFERROR(__xludf.DUMMYFUNCTION("""COMPUTED_VALUE"""),"Новый")</f>
        <v>Новый</v>
      </c>
      <c r="G118" s="68"/>
      <c r="K118" s="68"/>
    </row>
    <row r="119" spans="1:11" ht="12.75">
      <c r="A119" s="69">
        <f ca="1">IFERROR(__xludf.DUMMYFUNCTION("""COMPUTED_VALUE"""),90240)</f>
        <v>90240</v>
      </c>
      <c r="B119" s="4">
        <f ca="1">IFERROR(__xludf.DUMMYFUNCTION("""COMPUTED_VALUE"""),44592)</f>
        <v>44592</v>
      </c>
      <c r="C119" t="str">
        <f ca="1">IFERROR(__xludf.DUMMYFUNCTION("""COMPUTED_VALUE"""),"ЗАО ""ЭКОС"" 128-РДО от 01.01.2022")</f>
        <v>ЗАО "ЭКОС" 128-РДО от 01.01.2022</v>
      </c>
      <c r="D1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19" t="str">
        <f ca="1">IFERROR(__xludf.DUMMYFUNCTION("""COMPUTED_VALUE"""),"Новый")</f>
        <v>Новый</v>
      </c>
      <c r="G119" s="68"/>
      <c r="K119" s="68"/>
    </row>
    <row r="120" spans="1:11" ht="12.75">
      <c r="A120" s="69">
        <f ca="1">IFERROR(__xludf.DUMMYFUNCTION("""COMPUTED_VALUE"""),90241)</f>
        <v>90241</v>
      </c>
      <c r="B120" s="4">
        <f ca="1">IFERROR(__xludf.DUMMYFUNCTION("""COMPUTED_VALUE"""),44592)</f>
        <v>44592</v>
      </c>
      <c r="C120" t="str">
        <f ca="1">IFERROR(__xludf.DUMMYFUNCTION("""COMPUTED_VALUE"""),"ЗАО ""ЭКОС"" 128-РДО от 01.01.2022")</f>
        <v>ЗАО "ЭКОС" 128-РДО от 01.01.2022</v>
      </c>
      <c r="D1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0" t="str">
        <f ca="1">IFERROR(__xludf.DUMMYFUNCTION("""COMPUTED_VALUE"""),"Новый")</f>
        <v>Новый</v>
      </c>
      <c r="G120" s="68"/>
      <c r="K120" s="68"/>
    </row>
    <row r="121" spans="1:11" ht="12.75">
      <c r="A121" s="69">
        <f ca="1">IFERROR(__xludf.DUMMYFUNCTION("""COMPUTED_VALUE"""),90242)</f>
        <v>90242</v>
      </c>
      <c r="B121" s="4">
        <f ca="1">IFERROR(__xludf.DUMMYFUNCTION("""COMPUTED_VALUE"""),44592)</f>
        <v>44592</v>
      </c>
      <c r="C121" t="str">
        <f ca="1">IFERROR(__xludf.DUMMYFUNCTION("""COMPUTED_VALUE"""),"ЗАО ""ЭКОС"" 128-РДО от 01.01.2022")</f>
        <v>ЗАО "ЭКОС" 128-РДО от 01.01.2022</v>
      </c>
      <c r="D1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1" t="str">
        <f ca="1">IFERROR(__xludf.DUMMYFUNCTION("""COMPUTED_VALUE"""),"Новый")</f>
        <v>Новый</v>
      </c>
      <c r="G121" s="68"/>
      <c r="K121" s="68"/>
    </row>
    <row r="122" spans="1:11" ht="12.75">
      <c r="A122" s="69">
        <f ca="1">IFERROR(__xludf.DUMMYFUNCTION("""COMPUTED_VALUE"""),90243)</f>
        <v>90243</v>
      </c>
      <c r="B122" s="4">
        <f ca="1">IFERROR(__xludf.DUMMYFUNCTION("""COMPUTED_VALUE"""),44592)</f>
        <v>44592</v>
      </c>
      <c r="C122" t="str">
        <f ca="1">IFERROR(__xludf.DUMMYFUNCTION("""COMPUTED_VALUE"""),"ЗАО ""ЭКОС"" 128-РДО от 01.01.2022")</f>
        <v>ЗАО "ЭКОС" 128-РДО от 01.01.2022</v>
      </c>
      <c r="D1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" t="str">
        <f ca="1">IFERROR(__xludf.DUMMYFUNCTION("""COMPUTED_VALUE"""),"Новый")</f>
        <v>Новый</v>
      </c>
      <c r="G122" s="68"/>
      <c r="K122" s="68"/>
    </row>
    <row r="123" spans="1:11" ht="12.75">
      <c r="A123" s="69">
        <f ca="1">IFERROR(__xludf.DUMMYFUNCTION("""COMPUTED_VALUE"""),90244)</f>
        <v>90244</v>
      </c>
      <c r="B123" s="4">
        <f ca="1">IFERROR(__xludf.DUMMYFUNCTION("""COMPUTED_VALUE"""),44592)</f>
        <v>44592</v>
      </c>
      <c r="C123" t="str">
        <f ca="1">IFERROR(__xludf.DUMMYFUNCTION("""COMPUTED_VALUE"""),"ЗАО ""ЭКОС"" 128-РДО от 01.01.2022")</f>
        <v>ЗАО "ЭКОС" 128-РДО от 01.01.2022</v>
      </c>
      <c r="D1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" t="str">
        <f ca="1">IFERROR(__xludf.DUMMYFUNCTION("""COMPUTED_VALUE"""),"Новый")</f>
        <v>Новый</v>
      </c>
      <c r="G123" s="68"/>
      <c r="K123" s="68"/>
    </row>
    <row r="124" spans="1:11" ht="12.75">
      <c r="A124" s="69">
        <f ca="1">IFERROR(__xludf.DUMMYFUNCTION("""COMPUTED_VALUE"""),90245)</f>
        <v>90245</v>
      </c>
      <c r="B124" s="4">
        <f ca="1">IFERROR(__xludf.DUMMYFUNCTION("""COMPUTED_VALUE"""),44592)</f>
        <v>44592</v>
      </c>
      <c r="C124" t="str">
        <f ca="1">IFERROR(__xludf.DUMMYFUNCTION("""COMPUTED_VALUE"""),"ЗАО ""ЭКОС"" 128-РДО от 01.01.2022")</f>
        <v>ЗАО "ЭКОС" 128-РДО от 01.01.2022</v>
      </c>
      <c r="D1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" t="str">
        <f ca="1">IFERROR(__xludf.DUMMYFUNCTION("""COMPUTED_VALUE"""),"Новый")</f>
        <v>Новый</v>
      </c>
      <c r="G124" s="68"/>
      <c r="K124" s="68"/>
    </row>
    <row r="125" spans="1:11" ht="12.75">
      <c r="A125" s="69">
        <f ca="1">IFERROR(__xludf.DUMMYFUNCTION("""COMPUTED_VALUE"""),90246)</f>
        <v>90246</v>
      </c>
      <c r="B125" s="4">
        <f ca="1">IFERROR(__xludf.DUMMYFUNCTION("""COMPUTED_VALUE"""),44592)</f>
        <v>44592</v>
      </c>
      <c r="C125" t="str">
        <f ca="1">IFERROR(__xludf.DUMMYFUNCTION("""COMPUTED_VALUE"""),"ЗАО ""ЭКОС"" 128-РДО от 01.01.2022")</f>
        <v>ЗАО "ЭКОС" 128-РДО от 01.01.2022</v>
      </c>
      <c r="D1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" t="str">
        <f ca="1">IFERROR(__xludf.DUMMYFUNCTION("""COMPUTED_VALUE"""),"Новый")</f>
        <v>Новый</v>
      </c>
      <c r="G125" s="68"/>
      <c r="K125" s="68"/>
    </row>
    <row r="126" spans="1:11" ht="12.75">
      <c r="A126" s="69">
        <f ca="1">IFERROR(__xludf.DUMMYFUNCTION("""COMPUTED_VALUE"""),90247)</f>
        <v>90247</v>
      </c>
      <c r="B126" s="4">
        <f ca="1">IFERROR(__xludf.DUMMYFUNCTION("""COMPUTED_VALUE"""),44592)</f>
        <v>44592</v>
      </c>
      <c r="C126" t="str">
        <f ca="1">IFERROR(__xludf.DUMMYFUNCTION("""COMPUTED_VALUE"""),"ЗАО ""ЭКОС"" 128-РДО от 01.01.2022")</f>
        <v>ЗАО "ЭКОС" 128-РДО от 01.01.2022</v>
      </c>
      <c r="D1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" t="str">
        <f ca="1">IFERROR(__xludf.DUMMYFUNCTION("""COMPUTED_VALUE"""),"Новый")</f>
        <v>Новый</v>
      </c>
      <c r="G126" s="68"/>
      <c r="K126" s="68"/>
    </row>
    <row r="127" spans="1:11" ht="12.75">
      <c r="A127" s="69">
        <f ca="1">IFERROR(__xludf.DUMMYFUNCTION("""COMPUTED_VALUE"""),90248)</f>
        <v>90248</v>
      </c>
      <c r="B127" s="4">
        <f ca="1">IFERROR(__xludf.DUMMYFUNCTION("""COMPUTED_VALUE"""),44592)</f>
        <v>44592</v>
      </c>
      <c r="C127" t="str">
        <f ca="1">IFERROR(__xludf.DUMMYFUNCTION("""COMPUTED_VALUE"""),"ЗАО ""ЭКОС"" 128-РДО от 01.01.2022")</f>
        <v>ЗАО "ЭКОС" 128-РДО от 01.01.2022</v>
      </c>
      <c r="D1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" t="str">
        <f ca="1">IFERROR(__xludf.DUMMYFUNCTION("""COMPUTED_VALUE"""),"Новый")</f>
        <v>Новый</v>
      </c>
      <c r="G127" s="68"/>
      <c r="K127" s="68"/>
    </row>
    <row r="128" spans="1:11" ht="12.75">
      <c r="A128" s="69">
        <f ca="1">IFERROR(__xludf.DUMMYFUNCTION("""COMPUTED_VALUE"""),90249)</f>
        <v>90249</v>
      </c>
      <c r="B128" s="4">
        <f ca="1">IFERROR(__xludf.DUMMYFUNCTION("""COMPUTED_VALUE"""),44592)</f>
        <v>44592</v>
      </c>
      <c r="C128" t="str">
        <f ca="1">IFERROR(__xludf.DUMMYFUNCTION("""COMPUTED_VALUE"""),"ЗАО ""ЭКОС"" 128-РДО от 01.01.2022")</f>
        <v>ЗАО "ЭКОС" 128-РДО от 01.01.2022</v>
      </c>
      <c r="D1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" t="str">
        <f ca="1">IFERROR(__xludf.DUMMYFUNCTION("""COMPUTED_VALUE"""),"Новый")</f>
        <v>Новый</v>
      </c>
      <c r="G128" s="68"/>
      <c r="K128" s="68"/>
    </row>
    <row r="129" spans="1:11" ht="12.75">
      <c r="A129" s="69">
        <f ca="1">IFERROR(__xludf.DUMMYFUNCTION("""COMPUTED_VALUE"""),90250)</f>
        <v>90250</v>
      </c>
      <c r="B129" s="4">
        <f ca="1">IFERROR(__xludf.DUMMYFUNCTION("""COMPUTED_VALUE"""),44592)</f>
        <v>44592</v>
      </c>
      <c r="C129" t="str">
        <f ca="1">IFERROR(__xludf.DUMMYFUNCTION("""COMPUTED_VALUE"""),"ЗАО ""ЭКОС"" 128-РДО от 01.01.2022")</f>
        <v>ЗАО "ЭКОС" 128-РДО от 01.01.2022</v>
      </c>
      <c r="D1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" t="str">
        <f ca="1">IFERROR(__xludf.DUMMYFUNCTION("""COMPUTED_VALUE"""),"Новый")</f>
        <v>Новый</v>
      </c>
      <c r="G129" s="68"/>
      <c r="K129" s="68"/>
    </row>
    <row r="130" spans="1:11" ht="12.75">
      <c r="A130" s="69">
        <f ca="1">IFERROR(__xludf.DUMMYFUNCTION("""COMPUTED_VALUE"""),90251)</f>
        <v>90251</v>
      </c>
      <c r="B130" s="4">
        <f ca="1">IFERROR(__xludf.DUMMYFUNCTION("""COMPUTED_VALUE"""),44592)</f>
        <v>44592</v>
      </c>
      <c r="C130" t="str">
        <f ca="1">IFERROR(__xludf.DUMMYFUNCTION("""COMPUTED_VALUE"""),"ЗАО ""ЭКОС"" 128-РДО от 01.01.2022")</f>
        <v>ЗАО "ЭКОС" 128-РДО от 01.01.2022</v>
      </c>
      <c r="D1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" t="str">
        <f ca="1">IFERROR(__xludf.DUMMYFUNCTION("""COMPUTED_VALUE"""),"Новый")</f>
        <v>Новый</v>
      </c>
      <c r="G130" s="68"/>
      <c r="K130" s="68"/>
    </row>
    <row r="131" spans="1:11" ht="12.75">
      <c r="A131" s="69">
        <f ca="1">IFERROR(__xludf.DUMMYFUNCTION("""COMPUTED_VALUE"""),90252)</f>
        <v>90252</v>
      </c>
      <c r="B131" s="4">
        <f ca="1">IFERROR(__xludf.DUMMYFUNCTION("""COMPUTED_VALUE"""),44592)</f>
        <v>44592</v>
      </c>
      <c r="C131" t="str">
        <f ca="1">IFERROR(__xludf.DUMMYFUNCTION("""COMPUTED_VALUE"""),"ЗАО ""ЭКОС"" 128-РДО от 01.01.2022")</f>
        <v>ЗАО "ЭКОС" 128-РДО от 01.01.2022</v>
      </c>
      <c r="D1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" t="str">
        <f ca="1">IFERROR(__xludf.DUMMYFUNCTION("""COMPUTED_VALUE"""),"Новый")</f>
        <v>Новый</v>
      </c>
      <c r="G131" s="68"/>
      <c r="K131" s="68"/>
    </row>
    <row r="132" spans="1:11" ht="12.75">
      <c r="A132" s="69">
        <f ca="1">IFERROR(__xludf.DUMMYFUNCTION("""COMPUTED_VALUE"""),90253)</f>
        <v>90253</v>
      </c>
      <c r="B132" s="4">
        <f ca="1">IFERROR(__xludf.DUMMYFUNCTION("""COMPUTED_VALUE"""),44592)</f>
        <v>44592</v>
      </c>
      <c r="C132" t="str">
        <f ca="1">IFERROR(__xludf.DUMMYFUNCTION("""COMPUTED_VALUE"""),"ЗАО ""ЭКОС"" 128-РДО от 01.01.2022")</f>
        <v>ЗАО "ЭКОС" 128-РДО от 01.01.2022</v>
      </c>
      <c r="D1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2" t="str">
        <f ca="1">IFERROR(__xludf.DUMMYFUNCTION("""COMPUTED_VALUE"""),"Новый")</f>
        <v>Новый</v>
      </c>
      <c r="G132" s="68"/>
      <c r="K132" s="68"/>
    </row>
    <row r="133" spans="1:11" ht="12.75">
      <c r="A133" s="69">
        <f ca="1">IFERROR(__xludf.DUMMYFUNCTION("""COMPUTED_VALUE"""),90254)</f>
        <v>90254</v>
      </c>
      <c r="B133" s="4">
        <f ca="1">IFERROR(__xludf.DUMMYFUNCTION("""COMPUTED_VALUE"""),44592)</f>
        <v>44592</v>
      </c>
      <c r="C133" t="str">
        <f ca="1">IFERROR(__xludf.DUMMYFUNCTION("""COMPUTED_VALUE"""),"ЗАО ""ЭКОС"" 128-РДО от 01.01.2022")</f>
        <v>ЗАО "ЭКОС" 128-РДО от 01.01.2022</v>
      </c>
      <c r="D1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3" t="str">
        <f ca="1">IFERROR(__xludf.DUMMYFUNCTION("""COMPUTED_VALUE"""),"Новый")</f>
        <v>Новый</v>
      </c>
      <c r="G133" s="68"/>
      <c r="K133" s="68"/>
    </row>
    <row r="134" spans="1:11" ht="12.75">
      <c r="A134" s="69">
        <f ca="1">IFERROR(__xludf.DUMMYFUNCTION("""COMPUTED_VALUE"""),90255)</f>
        <v>90255</v>
      </c>
      <c r="B134" s="4">
        <f ca="1">IFERROR(__xludf.DUMMYFUNCTION("""COMPUTED_VALUE"""),44592)</f>
        <v>44592</v>
      </c>
      <c r="C134" t="str">
        <f ca="1">IFERROR(__xludf.DUMMYFUNCTION("""COMPUTED_VALUE"""),"ЗАО ""ЭКОС"" 128-РДО от 01.01.2022")</f>
        <v>ЗАО "ЭКОС" 128-РДО от 01.01.2022</v>
      </c>
      <c r="D1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4" t="str">
        <f ca="1">IFERROR(__xludf.DUMMYFUNCTION("""COMPUTED_VALUE"""),"Новый")</f>
        <v>Новый</v>
      </c>
      <c r="G134" s="68"/>
      <c r="K134" s="68"/>
    </row>
    <row r="135" spans="1:11" ht="12.75">
      <c r="A135" s="69">
        <f ca="1">IFERROR(__xludf.DUMMYFUNCTION("""COMPUTED_VALUE"""),90256)</f>
        <v>90256</v>
      </c>
      <c r="B135" s="4">
        <f ca="1">IFERROR(__xludf.DUMMYFUNCTION("""COMPUTED_VALUE"""),44592)</f>
        <v>44592</v>
      </c>
      <c r="C135" t="str">
        <f ca="1">IFERROR(__xludf.DUMMYFUNCTION("""COMPUTED_VALUE"""),"ЗАО ""ЭКОС"" 128-РДО от 01.01.2022")</f>
        <v>ЗАО "ЭКОС" 128-РДО от 01.01.2022</v>
      </c>
      <c r="D1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5" t="str">
        <f ca="1">IFERROR(__xludf.DUMMYFUNCTION("""COMPUTED_VALUE"""),"Новый")</f>
        <v>Новый</v>
      </c>
      <c r="G135" s="68"/>
      <c r="K135" s="68"/>
    </row>
    <row r="136" spans="1:11" ht="12.75">
      <c r="A136" s="69">
        <f ca="1">IFERROR(__xludf.DUMMYFUNCTION("""COMPUTED_VALUE"""),90257)</f>
        <v>90257</v>
      </c>
      <c r="B136" s="4">
        <f ca="1">IFERROR(__xludf.DUMMYFUNCTION("""COMPUTED_VALUE"""),44592)</f>
        <v>44592</v>
      </c>
      <c r="C136" t="str">
        <f ca="1">IFERROR(__xludf.DUMMYFUNCTION("""COMPUTED_VALUE"""),"ЗАО ""ЭКОС"" 128-РДО от 01.01.2022")</f>
        <v>ЗАО "ЭКОС" 128-РДО от 01.01.2022</v>
      </c>
      <c r="D1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" t="str">
        <f ca="1">IFERROR(__xludf.DUMMYFUNCTION("""COMPUTED_VALUE"""),"Новый")</f>
        <v>Новый</v>
      </c>
      <c r="G136" s="68"/>
      <c r="K136" s="68"/>
    </row>
    <row r="137" spans="1:11" ht="12.75">
      <c r="A137" s="69">
        <f ca="1">IFERROR(__xludf.DUMMYFUNCTION("""COMPUTED_VALUE"""),90258)</f>
        <v>90258</v>
      </c>
      <c r="B137" s="4">
        <f ca="1">IFERROR(__xludf.DUMMYFUNCTION("""COMPUTED_VALUE"""),44592)</f>
        <v>44592</v>
      </c>
      <c r="C137" t="str">
        <f ca="1">IFERROR(__xludf.DUMMYFUNCTION("""COMPUTED_VALUE"""),"ЗАО ""ЭКОС"" 128-РДО от 01.01.2022")</f>
        <v>ЗАО "ЭКОС" 128-РДО от 01.01.2022</v>
      </c>
      <c r="D1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" t="str">
        <f ca="1">IFERROR(__xludf.DUMMYFUNCTION("""COMPUTED_VALUE"""),"Новый")</f>
        <v>Новый</v>
      </c>
      <c r="G137" s="68"/>
      <c r="K137" s="68"/>
    </row>
    <row r="138" spans="1:11" ht="12.75">
      <c r="A138" s="69">
        <f ca="1">IFERROR(__xludf.DUMMYFUNCTION("""COMPUTED_VALUE"""),90259)</f>
        <v>90259</v>
      </c>
      <c r="B138" s="4">
        <f ca="1">IFERROR(__xludf.DUMMYFUNCTION("""COMPUTED_VALUE"""),44592)</f>
        <v>44592</v>
      </c>
      <c r="C138" t="str">
        <f ca="1">IFERROR(__xludf.DUMMYFUNCTION("""COMPUTED_VALUE"""),"ЗАО ""ЭКОС"" 128-РДО от 01.01.2022")</f>
        <v>ЗАО "ЭКОС" 128-РДО от 01.01.2022</v>
      </c>
      <c r="D1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" t="str">
        <f ca="1">IFERROR(__xludf.DUMMYFUNCTION("""COMPUTED_VALUE"""),"Новый")</f>
        <v>Новый</v>
      </c>
      <c r="G138" s="68"/>
      <c r="K138" s="68"/>
    </row>
    <row r="139" spans="1:11" ht="12.75">
      <c r="A139" s="69">
        <f ca="1">IFERROR(__xludf.DUMMYFUNCTION("""COMPUTED_VALUE"""),90260)</f>
        <v>90260</v>
      </c>
      <c r="B139" s="4">
        <f ca="1">IFERROR(__xludf.DUMMYFUNCTION("""COMPUTED_VALUE"""),44592)</f>
        <v>44592</v>
      </c>
      <c r="C139" t="str">
        <f ca="1">IFERROR(__xludf.DUMMYFUNCTION("""COMPUTED_VALUE"""),"ЗАО ""ЭКОС"" 128-РДО от 01.01.2022")</f>
        <v>ЗАО "ЭКОС" 128-РДО от 01.01.2022</v>
      </c>
      <c r="D1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" t="str">
        <f ca="1">IFERROR(__xludf.DUMMYFUNCTION("""COMPUTED_VALUE"""),"Новый")</f>
        <v>Новый</v>
      </c>
      <c r="G139" s="68"/>
      <c r="K139" s="68"/>
    </row>
    <row r="140" spans="1:11" ht="12.75">
      <c r="A140" s="69">
        <f ca="1">IFERROR(__xludf.DUMMYFUNCTION("""COMPUTED_VALUE"""),90261)</f>
        <v>90261</v>
      </c>
      <c r="B140" s="4">
        <f ca="1">IFERROR(__xludf.DUMMYFUNCTION("""COMPUTED_VALUE"""),44592)</f>
        <v>44592</v>
      </c>
      <c r="C140" t="str">
        <f ca="1">IFERROR(__xludf.DUMMYFUNCTION("""COMPUTED_VALUE"""),"ЗАО ""ЭКОС"" 128-РДО от 01.01.2022")</f>
        <v>ЗАО "ЭКОС" 128-РДО от 01.01.2022</v>
      </c>
      <c r="D1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0" t="str">
        <f ca="1">IFERROR(__xludf.DUMMYFUNCTION("""COMPUTED_VALUE"""),"Новый")</f>
        <v>Новый</v>
      </c>
      <c r="G140" s="68"/>
      <c r="K140" s="68"/>
    </row>
    <row r="141" spans="1:11" ht="12.75">
      <c r="A141" s="69">
        <f ca="1">IFERROR(__xludf.DUMMYFUNCTION("""COMPUTED_VALUE"""),90262)</f>
        <v>90262</v>
      </c>
      <c r="B141" s="4">
        <f ca="1">IFERROR(__xludf.DUMMYFUNCTION("""COMPUTED_VALUE"""),44592)</f>
        <v>44592</v>
      </c>
      <c r="C141" t="str">
        <f ca="1">IFERROR(__xludf.DUMMYFUNCTION("""COMPUTED_VALUE"""),"ЗАО ""ЭКОС"" 128-РДО от 01.01.2022")</f>
        <v>ЗАО "ЭКОС" 128-РДО от 01.01.2022</v>
      </c>
      <c r="D1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" t="str">
        <f ca="1">IFERROR(__xludf.DUMMYFUNCTION("""COMPUTED_VALUE"""),"Новый")</f>
        <v>Новый</v>
      </c>
      <c r="G141" s="68"/>
      <c r="K141" s="68"/>
    </row>
    <row r="142" spans="1:11" ht="12.75">
      <c r="A142" s="69">
        <f ca="1">IFERROR(__xludf.DUMMYFUNCTION("""COMPUTED_VALUE"""),90290)</f>
        <v>90290</v>
      </c>
      <c r="B142" s="4">
        <f ca="1">IFERROR(__xludf.DUMMYFUNCTION("""COMPUTED_VALUE"""),44592)</f>
        <v>44592</v>
      </c>
      <c r="C142" t="str">
        <f ca="1">IFERROR(__xludf.DUMMYFUNCTION("""COMPUTED_VALUE"""),"ЗАО ""ЭКОС"" 128-РДО от 01.01.2022")</f>
        <v>ЗАО "ЭКОС" 128-РДО от 01.01.2022</v>
      </c>
      <c r="D1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" t="str">
        <f ca="1">IFERROR(__xludf.DUMMYFUNCTION("""COMPUTED_VALUE"""),"Новый")</f>
        <v>Новый</v>
      </c>
      <c r="G142" s="68"/>
      <c r="K142" s="68"/>
    </row>
    <row r="143" spans="1:11" ht="12.75">
      <c r="A143" s="69">
        <f ca="1">IFERROR(__xludf.DUMMYFUNCTION("""COMPUTED_VALUE"""),90291)</f>
        <v>90291</v>
      </c>
      <c r="B143" s="4">
        <f ca="1">IFERROR(__xludf.DUMMYFUNCTION("""COMPUTED_VALUE"""),44592)</f>
        <v>44592</v>
      </c>
      <c r="C143" t="str">
        <f ca="1">IFERROR(__xludf.DUMMYFUNCTION("""COMPUTED_VALUE"""),"ЗАО ""ЭКОС"" 128-РДО от 01.01.2022")</f>
        <v>ЗАО "ЭКОС" 128-РДО от 01.01.2022</v>
      </c>
      <c r="D1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" t="str">
        <f ca="1">IFERROR(__xludf.DUMMYFUNCTION("""COMPUTED_VALUE"""),"Новый")</f>
        <v>Новый</v>
      </c>
      <c r="G143" s="68"/>
      <c r="K143" s="68"/>
    </row>
    <row r="144" spans="1:11" ht="12.75">
      <c r="A144" s="69">
        <f ca="1">IFERROR(__xludf.DUMMYFUNCTION("""COMPUTED_VALUE"""),90293)</f>
        <v>90293</v>
      </c>
      <c r="B144" s="4">
        <f ca="1">IFERROR(__xludf.DUMMYFUNCTION("""COMPUTED_VALUE"""),44592)</f>
        <v>44592</v>
      </c>
      <c r="C144" t="str">
        <f ca="1">IFERROR(__xludf.DUMMYFUNCTION("""COMPUTED_VALUE"""),"ЗАО ""ЭКОС"" 115-СТР от 01.01.2022")</f>
        <v>ЗАО "ЭКОС" 115-СТР от 01.01.2022</v>
      </c>
      <c r="D1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4" t="str">
        <f ca="1">IFERROR(__xludf.DUMMYFUNCTION("""COMPUTED_VALUE"""),"Новый")</f>
        <v>Новый</v>
      </c>
      <c r="G144" s="68"/>
      <c r="K144" s="68"/>
    </row>
    <row r="145" spans="1:11" ht="12.75">
      <c r="A145" s="69">
        <f ca="1">IFERROR(__xludf.DUMMYFUNCTION("""COMPUTED_VALUE"""),90294)</f>
        <v>90294</v>
      </c>
      <c r="B145" s="4">
        <f ca="1">IFERROR(__xludf.DUMMYFUNCTION("""COMPUTED_VALUE"""),44592)</f>
        <v>44592</v>
      </c>
      <c r="C145" t="str">
        <f ca="1">IFERROR(__xludf.DUMMYFUNCTION("""COMPUTED_VALUE"""),"ЗАО ""ЭКОС"" 115-СТР от 01.01.2022")</f>
        <v>ЗАО "ЭКОС" 115-СТР от 01.01.2022</v>
      </c>
      <c r="D1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5" t="str">
        <f ca="1">IFERROR(__xludf.DUMMYFUNCTION("""COMPUTED_VALUE"""),"Новый")</f>
        <v>Новый</v>
      </c>
      <c r="G145" s="68"/>
      <c r="K145" s="68"/>
    </row>
    <row r="146" spans="1:11" ht="12.75">
      <c r="A146" s="69">
        <f ca="1">IFERROR(__xludf.DUMMYFUNCTION("""COMPUTED_VALUE"""),90295)</f>
        <v>90295</v>
      </c>
      <c r="B146" s="4">
        <f ca="1">IFERROR(__xludf.DUMMYFUNCTION("""COMPUTED_VALUE"""),44592)</f>
        <v>44592</v>
      </c>
      <c r="C146" t="str">
        <f ca="1">IFERROR(__xludf.DUMMYFUNCTION("""COMPUTED_VALUE"""),"ЗАО ""ЭКОС"" 115-СТР от 01.01.2022")</f>
        <v>ЗАО "ЭКОС" 115-СТР от 01.01.2022</v>
      </c>
      <c r="D1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6" t="str">
        <f ca="1">IFERROR(__xludf.DUMMYFUNCTION("""COMPUTED_VALUE"""),"Новый")</f>
        <v>Новый</v>
      </c>
      <c r="G146" s="68"/>
      <c r="K146" s="68"/>
    </row>
    <row r="147" spans="1:11" ht="12.75">
      <c r="A147" s="69">
        <f ca="1">IFERROR(__xludf.DUMMYFUNCTION("""COMPUTED_VALUE"""),90296)</f>
        <v>90296</v>
      </c>
      <c r="B147" s="4">
        <f ca="1">IFERROR(__xludf.DUMMYFUNCTION("""COMPUTED_VALUE"""),44592)</f>
        <v>44592</v>
      </c>
      <c r="C147" t="str">
        <f ca="1">IFERROR(__xludf.DUMMYFUNCTION("""COMPUTED_VALUE"""),"ЗАО ""ЭКОС"" 115-СТР от 01.01.2022")</f>
        <v>ЗАО "ЭКОС" 115-СТР от 01.01.2022</v>
      </c>
      <c r="D1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7" t="str">
        <f ca="1">IFERROR(__xludf.DUMMYFUNCTION("""COMPUTED_VALUE"""),"Новый")</f>
        <v>Новый</v>
      </c>
      <c r="G147" s="68"/>
      <c r="K147" s="68"/>
    </row>
    <row r="148" spans="1:11" ht="12.75">
      <c r="A148" s="69">
        <f ca="1">IFERROR(__xludf.DUMMYFUNCTION("""COMPUTED_VALUE"""),90297)</f>
        <v>90297</v>
      </c>
      <c r="B148" s="4">
        <f ca="1">IFERROR(__xludf.DUMMYFUNCTION("""COMPUTED_VALUE"""),44592)</f>
        <v>44592</v>
      </c>
      <c r="C148" t="str">
        <f ca="1">IFERROR(__xludf.DUMMYFUNCTION("""COMPUTED_VALUE"""),"ЗАО ""ЭКОС"" 115-СТР от 01.01.2022")</f>
        <v>ЗАО "ЭКОС" 115-СТР от 01.01.2022</v>
      </c>
      <c r="D1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" t="str">
        <f ca="1">IFERROR(__xludf.DUMMYFUNCTION("""COMPUTED_VALUE"""),"Новый")</f>
        <v>Новый</v>
      </c>
      <c r="G148" s="68"/>
      <c r="K148" s="68"/>
    </row>
    <row r="149" spans="1:11" ht="12.75">
      <c r="A149" s="69">
        <f ca="1">IFERROR(__xludf.DUMMYFUNCTION("""COMPUTED_VALUE"""),90298)</f>
        <v>90298</v>
      </c>
      <c r="B149" s="4">
        <f ca="1">IFERROR(__xludf.DUMMYFUNCTION("""COMPUTED_VALUE"""),44592)</f>
        <v>44592</v>
      </c>
      <c r="C149" t="str">
        <f ca="1">IFERROR(__xludf.DUMMYFUNCTION("""COMPUTED_VALUE"""),"ЗАО ""ЭКОС"" 115-СТР от 01.01.2022")</f>
        <v>ЗАО "ЭКОС" 115-СТР от 01.01.2022</v>
      </c>
      <c r="D1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9" t="str">
        <f ca="1">IFERROR(__xludf.DUMMYFUNCTION("""COMPUTED_VALUE"""),"Новый")</f>
        <v>Новый</v>
      </c>
      <c r="G149" s="68"/>
      <c r="K149" s="68"/>
    </row>
    <row r="150" spans="1:11" ht="12.75">
      <c r="A150" s="69">
        <f ca="1">IFERROR(__xludf.DUMMYFUNCTION("""COMPUTED_VALUE"""),90299)</f>
        <v>90299</v>
      </c>
      <c r="B150" s="4">
        <f ca="1">IFERROR(__xludf.DUMMYFUNCTION("""COMPUTED_VALUE"""),44592)</f>
        <v>44592</v>
      </c>
      <c r="C150" t="str">
        <f ca="1">IFERROR(__xludf.DUMMYFUNCTION("""COMPUTED_VALUE"""),"ЗАО ""ЭКОС"" 115-СТР от 01.01.2022")</f>
        <v>ЗАО "ЭКОС" 115-СТР от 01.01.2022</v>
      </c>
      <c r="D1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0" t="str">
        <f ca="1">IFERROR(__xludf.DUMMYFUNCTION("""COMPUTED_VALUE"""),"Новый")</f>
        <v>Новый</v>
      </c>
      <c r="G150" s="68"/>
      <c r="K150" s="68"/>
    </row>
    <row r="151" spans="1:11" ht="12.75">
      <c r="A151" s="69">
        <f ca="1">IFERROR(__xludf.DUMMYFUNCTION("""COMPUTED_VALUE"""),90300)</f>
        <v>90300</v>
      </c>
      <c r="B151" s="4">
        <f ca="1">IFERROR(__xludf.DUMMYFUNCTION("""COMPUTED_VALUE"""),44592)</f>
        <v>44592</v>
      </c>
      <c r="C151" t="str">
        <f ca="1">IFERROR(__xludf.DUMMYFUNCTION("""COMPUTED_VALUE"""),"ЗАО ""ЭКОС"" 115-СТР от 01.01.2022")</f>
        <v>ЗАО "ЭКОС" 115-СТР от 01.01.2022</v>
      </c>
      <c r="D1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1" t="str">
        <f ca="1">IFERROR(__xludf.DUMMYFUNCTION("""COMPUTED_VALUE"""),"Новый")</f>
        <v>Новый</v>
      </c>
      <c r="G151" s="68"/>
      <c r="K151" s="68"/>
    </row>
    <row r="152" spans="1:11" ht="12.75">
      <c r="A152" s="69">
        <f ca="1">IFERROR(__xludf.DUMMYFUNCTION("""COMPUTED_VALUE"""),90301)</f>
        <v>90301</v>
      </c>
      <c r="B152" s="4">
        <f ca="1">IFERROR(__xludf.DUMMYFUNCTION("""COMPUTED_VALUE"""),44592)</f>
        <v>44592</v>
      </c>
      <c r="C152" t="str">
        <f ca="1">IFERROR(__xludf.DUMMYFUNCTION("""COMPUTED_VALUE"""),"ЗАО ""ЭКОС"" 115-СТР от 01.01.2022")</f>
        <v>ЗАО "ЭКОС" 115-СТР от 01.01.2022</v>
      </c>
      <c r="D1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2" t="str">
        <f ca="1">IFERROR(__xludf.DUMMYFUNCTION("""COMPUTED_VALUE"""),"Новый")</f>
        <v>Новый</v>
      </c>
      <c r="G152" s="68"/>
      <c r="K152" s="68"/>
    </row>
    <row r="153" spans="1:11" ht="12.75">
      <c r="A153" s="69">
        <f ca="1">IFERROR(__xludf.DUMMYFUNCTION("""COMPUTED_VALUE"""),90302)</f>
        <v>90302</v>
      </c>
      <c r="B153" s="4">
        <f ca="1">IFERROR(__xludf.DUMMYFUNCTION("""COMPUTED_VALUE"""),44592)</f>
        <v>44592</v>
      </c>
      <c r="C153" t="str">
        <f ca="1">IFERROR(__xludf.DUMMYFUNCTION("""COMPUTED_VALUE"""),"ЗАО ""ЭКОС"" 115-СТР от 01.01.2022")</f>
        <v>ЗАО "ЭКОС" 115-СТР от 01.01.2022</v>
      </c>
      <c r="D1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3" t="str">
        <f ca="1">IFERROR(__xludf.DUMMYFUNCTION("""COMPUTED_VALUE"""),"Новый")</f>
        <v>Новый</v>
      </c>
      <c r="G153" s="68"/>
      <c r="K153" s="68"/>
    </row>
    <row r="154" spans="1:11" ht="12.75">
      <c r="A154" s="69">
        <f ca="1">IFERROR(__xludf.DUMMYFUNCTION("""COMPUTED_VALUE"""),90303)</f>
        <v>90303</v>
      </c>
      <c r="B154" s="4">
        <f ca="1">IFERROR(__xludf.DUMMYFUNCTION("""COMPUTED_VALUE"""),44592)</f>
        <v>44592</v>
      </c>
      <c r="C154" t="str">
        <f ca="1">IFERROR(__xludf.DUMMYFUNCTION("""COMPUTED_VALUE"""),"ЗАО ""ЭКОС"" 115-СТР от 01.01.2022")</f>
        <v>ЗАО "ЭКОС" 115-СТР от 01.01.2022</v>
      </c>
      <c r="D1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4" t="str">
        <f ca="1">IFERROR(__xludf.DUMMYFUNCTION("""COMPUTED_VALUE"""),"Новый")</f>
        <v>Новый</v>
      </c>
      <c r="G154" s="68"/>
      <c r="K154" s="68"/>
    </row>
    <row r="155" spans="1:11" ht="12.75">
      <c r="A155" s="69">
        <f ca="1">IFERROR(__xludf.DUMMYFUNCTION("""COMPUTED_VALUE"""),90304)</f>
        <v>90304</v>
      </c>
      <c r="B155" s="4">
        <f ca="1">IFERROR(__xludf.DUMMYFUNCTION("""COMPUTED_VALUE"""),44592)</f>
        <v>44592</v>
      </c>
      <c r="C155" t="str">
        <f ca="1">IFERROR(__xludf.DUMMYFUNCTION("""COMPUTED_VALUE"""),"ЗАО ""ЭКОС"" 115-СТР от 01.01.2022")</f>
        <v>ЗАО "ЭКОС" 115-СТР от 01.01.2022</v>
      </c>
      <c r="D1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5" t="str">
        <f ca="1">IFERROR(__xludf.DUMMYFUNCTION("""COMPUTED_VALUE"""),"Новый")</f>
        <v>Новый</v>
      </c>
      <c r="G155" s="68"/>
      <c r="K155" s="68"/>
    </row>
    <row r="156" spans="1:11" ht="12.75">
      <c r="A156" s="69">
        <f ca="1">IFERROR(__xludf.DUMMYFUNCTION("""COMPUTED_VALUE"""),90305)</f>
        <v>90305</v>
      </c>
      <c r="B156" s="4">
        <f ca="1">IFERROR(__xludf.DUMMYFUNCTION("""COMPUTED_VALUE"""),44592)</f>
        <v>44592</v>
      </c>
      <c r="C156" t="str">
        <f ca="1">IFERROR(__xludf.DUMMYFUNCTION("""COMPUTED_VALUE"""),"ЗАО ""ЭКОС"" 115-СТР от 01.01.2022")</f>
        <v>ЗАО "ЭКОС" 115-СТР от 01.01.2022</v>
      </c>
      <c r="D1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6" t="str">
        <f ca="1">IFERROR(__xludf.DUMMYFUNCTION("""COMPUTED_VALUE"""),"Новый")</f>
        <v>Новый</v>
      </c>
      <c r="G156" s="68"/>
      <c r="K156" s="68"/>
    </row>
    <row r="157" spans="1:11" ht="12.75">
      <c r="A157" s="69">
        <f ca="1">IFERROR(__xludf.DUMMYFUNCTION("""COMPUTED_VALUE"""),90306)</f>
        <v>90306</v>
      </c>
      <c r="B157" s="4">
        <f ca="1">IFERROR(__xludf.DUMMYFUNCTION("""COMPUTED_VALUE"""),44592)</f>
        <v>44592</v>
      </c>
      <c r="C157" t="str">
        <f ca="1">IFERROR(__xludf.DUMMYFUNCTION("""COMPUTED_VALUE"""),"ЗАО ""ЭКОС"" 115-СТР от 01.01.2022")</f>
        <v>ЗАО "ЭКОС" 115-СТР от 01.01.2022</v>
      </c>
      <c r="D1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7" t="str">
        <f ca="1">IFERROR(__xludf.DUMMYFUNCTION("""COMPUTED_VALUE"""),"Новый")</f>
        <v>Новый</v>
      </c>
      <c r="G157" s="68"/>
      <c r="K157" s="68"/>
    </row>
    <row r="158" spans="1:11" ht="12.75">
      <c r="A158" s="69">
        <f ca="1">IFERROR(__xludf.DUMMYFUNCTION("""COMPUTED_VALUE"""),90307)</f>
        <v>90307</v>
      </c>
      <c r="B158" s="4">
        <f ca="1">IFERROR(__xludf.DUMMYFUNCTION("""COMPUTED_VALUE"""),44592)</f>
        <v>44592</v>
      </c>
      <c r="C158" t="str">
        <f ca="1">IFERROR(__xludf.DUMMYFUNCTION("""COMPUTED_VALUE"""),"ЗАО ""ЭКОС"" 115-СТР от 01.01.2022")</f>
        <v>ЗАО "ЭКОС" 115-СТР от 01.01.2022</v>
      </c>
      <c r="D1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8" t="str">
        <f ca="1">IFERROR(__xludf.DUMMYFUNCTION("""COMPUTED_VALUE"""),"Новый")</f>
        <v>Новый</v>
      </c>
      <c r="G158" s="68"/>
      <c r="K158" s="68"/>
    </row>
    <row r="159" spans="1:11" ht="12.75">
      <c r="A159" s="69">
        <f ca="1">IFERROR(__xludf.DUMMYFUNCTION("""COMPUTED_VALUE"""),90308)</f>
        <v>90308</v>
      </c>
      <c r="B159" s="4">
        <f ca="1">IFERROR(__xludf.DUMMYFUNCTION("""COMPUTED_VALUE"""),44592)</f>
        <v>44592</v>
      </c>
      <c r="C159" t="str">
        <f ca="1">IFERROR(__xludf.DUMMYFUNCTION("""COMPUTED_VALUE"""),"ЗАО ""ЭКОС"" 115-СТР от 01.01.2022")</f>
        <v>ЗАО "ЭКОС" 115-СТР от 01.01.2022</v>
      </c>
      <c r="D1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9" t="str">
        <f ca="1">IFERROR(__xludf.DUMMYFUNCTION("""COMPUTED_VALUE"""),"Новый")</f>
        <v>Новый</v>
      </c>
      <c r="G159" s="68"/>
      <c r="K159" s="68"/>
    </row>
    <row r="160" spans="1:11" ht="12.75">
      <c r="A160" s="69">
        <f ca="1">IFERROR(__xludf.DUMMYFUNCTION("""COMPUTED_VALUE"""),90309)</f>
        <v>90309</v>
      </c>
      <c r="B160" s="4">
        <f ca="1">IFERROR(__xludf.DUMMYFUNCTION("""COMPUTED_VALUE"""),44592)</f>
        <v>44592</v>
      </c>
      <c r="C160" t="str">
        <f ca="1">IFERROR(__xludf.DUMMYFUNCTION("""COMPUTED_VALUE"""),"ЗАО ""ЭКОС"" 115-СТР от 01.01.2022")</f>
        <v>ЗАО "ЭКОС" 115-СТР от 01.01.2022</v>
      </c>
      <c r="D1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0" t="str">
        <f ca="1">IFERROR(__xludf.DUMMYFUNCTION("""COMPUTED_VALUE"""),"Новый")</f>
        <v>Новый</v>
      </c>
      <c r="G160" s="68"/>
      <c r="K160" s="68"/>
    </row>
    <row r="161" spans="1:11" ht="12.75">
      <c r="A161" s="69">
        <f ca="1">IFERROR(__xludf.DUMMYFUNCTION("""COMPUTED_VALUE"""),90310)</f>
        <v>90310</v>
      </c>
      <c r="B161" s="4">
        <f ca="1">IFERROR(__xludf.DUMMYFUNCTION("""COMPUTED_VALUE"""),44592)</f>
        <v>44592</v>
      </c>
      <c r="C161" t="str">
        <f ca="1">IFERROR(__xludf.DUMMYFUNCTION("""COMPUTED_VALUE"""),"ЗАО ""ЭКОС"" 115-СТР от 01.01.2022")</f>
        <v>ЗАО "ЭКОС" 115-СТР от 01.01.2022</v>
      </c>
      <c r="D1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1" t="str">
        <f ca="1">IFERROR(__xludf.DUMMYFUNCTION("""COMPUTED_VALUE"""),"Новый")</f>
        <v>Новый</v>
      </c>
      <c r="G161" s="68"/>
      <c r="K161" s="68"/>
    </row>
    <row r="162" spans="1:11" ht="12.75">
      <c r="A162" s="69">
        <f ca="1">IFERROR(__xludf.DUMMYFUNCTION("""COMPUTED_VALUE"""),90311)</f>
        <v>90311</v>
      </c>
      <c r="B162" s="4">
        <f ca="1">IFERROR(__xludf.DUMMYFUNCTION("""COMPUTED_VALUE"""),44592)</f>
        <v>44592</v>
      </c>
      <c r="C162" t="str">
        <f ca="1">IFERROR(__xludf.DUMMYFUNCTION("""COMPUTED_VALUE"""),"ЗАО ""ЭКОС"" 115-СТР от 01.01.2022")</f>
        <v>ЗАО "ЭКОС" 115-СТР от 01.01.2022</v>
      </c>
      <c r="D1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2" t="str">
        <f ca="1">IFERROR(__xludf.DUMMYFUNCTION("""COMPUTED_VALUE"""),"Новый")</f>
        <v>Новый</v>
      </c>
      <c r="G162" s="68"/>
      <c r="K162" s="68"/>
    </row>
    <row r="163" spans="1:11" ht="12.75">
      <c r="A163" s="69">
        <f ca="1">IFERROR(__xludf.DUMMYFUNCTION("""COMPUTED_VALUE"""),90312)</f>
        <v>90312</v>
      </c>
      <c r="B163" s="4">
        <f ca="1">IFERROR(__xludf.DUMMYFUNCTION("""COMPUTED_VALUE"""),44592)</f>
        <v>44592</v>
      </c>
      <c r="C163" t="str">
        <f ca="1">IFERROR(__xludf.DUMMYFUNCTION("""COMPUTED_VALUE"""),"ЗАО ""ЭКОС"" 115-СТР от 01.01.2022")</f>
        <v>ЗАО "ЭКОС" 115-СТР от 01.01.2022</v>
      </c>
      <c r="D1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3" t="str">
        <f ca="1">IFERROR(__xludf.DUMMYFUNCTION("""COMPUTED_VALUE"""),"Новый")</f>
        <v>Новый</v>
      </c>
      <c r="G163" s="68"/>
      <c r="K163" s="68"/>
    </row>
    <row r="164" spans="1:11" ht="12.75">
      <c r="A164" s="69">
        <f ca="1">IFERROR(__xludf.DUMMYFUNCTION("""COMPUTED_VALUE"""),90313)</f>
        <v>90313</v>
      </c>
      <c r="B164" s="4">
        <f ca="1">IFERROR(__xludf.DUMMYFUNCTION("""COMPUTED_VALUE"""),44592)</f>
        <v>44592</v>
      </c>
      <c r="C164" t="str">
        <f ca="1">IFERROR(__xludf.DUMMYFUNCTION("""COMPUTED_VALUE"""),"ЗАО ""ЭКОС"" 115-СТР от 01.01.2022")</f>
        <v>ЗАО "ЭКОС" 115-СТР от 01.01.2022</v>
      </c>
      <c r="D1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4" t="str">
        <f ca="1">IFERROR(__xludf.DUMMYFUNCTION("""COMPUTED_VALUE"""),"Новый")</f>
        <v>Новый</v>
      </c>
      <c r="G164" s="68"/>
      <c r="K164" s="68"/>
    </row>
    <row r="165" spans="1:11" ht="12.75">
      <c r="A165" s="69">
        <f ca="1">IFERROR(__xludf.DUMMYFUNCTION("""COMPUTED_VALUE"""),90314)</f>
        <v>90314</v>
      </c>
      <c r="B165" s="4">
        <f ca="1">IFERROR(__xludf.DUMMYFUNCTION("""COMPUTED_VALUE"""),44592)</f>
        <v>44592</v>
      </c>
      <c r="C165" t="str">
        <f ca="1">IFERROR(__xludf.DUMMYFUNCTION("""COMPUTED_VALUE"""),"ЗАО ""ЭКОС"" 115-СТР от 01.01.2022")</f>
        <v>ЗАО "ЭКОС" 115-СТР от 01.01.2022</v>
      </c>
      <c r="D1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5" t="str">
        <f ca="1">IFERROR(__xludf.DUMMYFUNCTION("""COMPUTED_VALUE"""),"Новый")</f>
        <v>Новый</v>
      </c>
      <c r="G165" s="68"/>
      <c r="K165" s="68"/>
    </row>
    <row r="166" spans="1:11" ht="12.75">
      <c r="A166" s="69">
        <f ca="1">IFERROR(__xludf.DUMMYFUNCTION("""COMPUTED_VALUE"""),90315)</f>
        <v>90315</v>
      </c>
      <c r="B166" s="4">
        <f ca="1">IFERROR(__xludf.DUMMYFUNCTION("""COMPUTED_VALUE"""),44592)</f>
        <v>44592</v>
      </c>
      <c r="C166" t="str">
        <f ca="1">IFERROR(__xludf.DUMMYFUNCTION("""COMPUTED_VALUE"""),"ЗАО ""ЭКОС"" 115-СТР от 01.01.2022")</f>
        <v>ЗАО "ЭКОС" 115-СТР от 01.01.2022</v>
      </c>
      <c r="D1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6" t="str">
        <f ca="1">IFERROR(__xludf.DUMMYFUNCTION("""COMPUTED_VALUE"""),"Новый")</f>
        <v>Новый</v>
      </c>
      <c r="G166" s="68"/>
      <c r="K166" s="68"/>
    </row>
    <row r="167" spans="1:11" ht="12.75">
      <c r="A167" s="69">
        <f ca="1">IFERROR(__xludf.DUMMYFUNCTION("""COMPUTED_VALUE"""),90316)</f>
        <v>90316</v>
      </c>
      <c r="B167" s="4">
        <f ca="1">IFERROR(__xludf.DUMMYFUNCTION("""COMPUTED_VALUE"""),44592)</f>
        <v>44592</v>
      </c>
      <c r="C167" t="str">
        <f ca="1">IFERROR(__xludf.DUMMYFUNCTION("""COMPUTED_VALUE"""),"ЗАО ""ЭКОС"" 115-СТР от 01.01.2022")</f>
        <v>ЗАО "ЭКОС" 115-СТР от 01.01.2022</v>
      </c>
      <c r="D1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7" t="str">
        <f ca="1">IFERROR(__xludf.DUMMYFUNCTION("""COMPUTED_VALUE"""),"Новый")</f>
        <v>Новый</v>
      </c>
      <c r="G167" s="68"/>
      <c r="K167" s="68"/>
    </row>
    <row r="168" spans="1:11" ht="12.75">
      <c r="A168" s="69">
        <f ca="1">IFERROR(__xludf.DUMMYFUNCTION("""COMPUTED_VALUE"""),90317)</f>
        <v>90317</v>
      </c>
      <c r="B168" s="4">
        <f ca="1">IFERROR(__xludf.DUMMYFUNCTION("""COMPUTED_VALUE"""),44592)</f>
        <v>44592</v>
      </c>
      <c r="C168" t="str">
        <f ca="1">IFERROR(__xludf.DUMMYFUNCTION("""COMPUTED_VALUE"""),"ЗАО ""ЭКОС"" 115-СТР от 01.01.2022")</f>
        <v>ЗАО "ЭКОС" 115-СТР от 01.01.2022</v>
      </c>
      <c r="D1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8" t="str">
        <f ca="1">IFERROR(__xludf.DUMMYFUNCTION("""COMPUTED_VALUE"""),"Новый")</f>
        <v>Новый</v>
      </c>
      <c r="G168" s="68"/>
      <c r="K168" s="68"/>
    </row>
    <row r="169" spans="1:11" ht="12.75">
      <c r="A169" s="69">
        <f ca="1">IFERROR(__xludf.DUMMYFUNCTION("""COMPUTED_VALUE"""),90318)</f>
        <v>90318</v>
      </c>
      <c r="B169" s="4">
        <f ca="1">IFERROR(__xludf.DUMMYFUNCTION("""COMPUTED_VALUE"""),44592)</f>
        <v>44592</v>
      </c>
      <c r="C169" t="str">
        <f ca="1">IFERROR(__xludf.DUMMYFUNCTION("""COMPUTED_VALUE"""),"ЗАО ""ЭКОС"" 115-СТР от 01.01.2022")</f>
        <v>ЗАО "ЭКОС" 115-СТР от 01.01.2022</v>
      </c>
      <c r="D1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69" t="str">
        <f ca="1">IFERROR(__xludf.DUMMYFUNCTION("""COMPUTED_VALUE"""),"Новый")</f>
        <v>Новый</v>
      </c>
      <c r="G169" s="68"/>
      <c r="K169" s="68"/>
    </row>
    <row r="170" spans="1:11" ht="12.75">
      <c r="A170" s="69">
        <f ca="1">IFERROR(__xludf.DUMMYFUNCTION("""COMPUTED_VALUE"""),90319)</f>
        <v>90319</v>
      </c>
      <c r="B170" s="4">
        <f ca="1">IFERROR(__xludf.DUMMYFUNCTION("""COMPUTED_VALUE"""),44592)</f>
        <v>44592</v>
      </c>
      <c r="C170" t="str">
        <f ca="1">IFERROR(__xludf.DUMMYFUNCTION("""COMPUTED_VALUE"""),"ЗАО ""ЭКОС"" 115-СТР от 01.01.2022")</f>
        <v>ЗАО "ЭКОС" 115-СТР от 01.01.2022</v>
      </c>
      <c r="D1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0" t="str">
        <f ca="1">IFERROR(__xludf.DUMMYFUNCTION("""COMPUTED_VALUE"""),"Новый")</f>
        <v>Новый</v>
      </c>
      <c r="G170" s="68"/>
      <c r="K170" s="68"/>
    </row>
    <row r="171" spans="1:11" ht="12.75">
      <c r="A171" s="69">
        <f ca="1">IFERROR(__xludf.DUMMYFUNCTION("""COMPUTED_VALUE"""),90320)</f>
        <v>90320</v>
      </c>
      <c r="B171" s="4">
        <f ca="1">IFERROR(__xludf.DUMMYFUNCTION("""COMPUTED_VALUE"""),44592)</f>
        <v>44592</v>
      </c>
      <c r="C171" t="str">
        <f ca="1">IFERROR(__xludf.DUMMYFUNCTION("""COMPUTED_VALUE"""),"ЗАО ""ЭКОС"" 115-СТР от 01.01.2022")</f>
        <v>ЗАО "ЭКОС" 115-СТР от 01.01.2022</v>
      </c>
      <c r="D1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1" t="str">
        <f ca="1">IFERROR(__xludf.DUMMYFUNCTION("""COMPUTED_VALUE"""),"Новый")</f>
        <v>Новый</v>
      </c>
      <c r="G171" s="68"/>
      <c r="K171" s="68"/>
    </row>
    <row r="172" spans="1:11" ht="12.75">
      <c r="A172" s="69">
        <f ca="1">IFERROR(__xludf.DUMMYFUNCTION("""COMPUTED_VALUE"""),90321)</f>
        <v>90321</v>
      </c>
      <c r="B172" s="4">
        <f ca="1">IFERROR(__xludf.DUMMYFUNCTION("""COMPUTED_VALUE"""),44592)</f>
        <v>44592</v>
      </c>
      <c r="C172" t="str">
        <f ca="1">IFERROR(__xludf.DUMMYFUNCTION("""COMPUTED_VALUE"""),"ЗАО ""ЭКОС"" 115-СТР от 01.01.2022")</f>
        <v>ЗАО "ЭКОС" 115-СТР от 01.01.2022</v>
      </c>
      <c r="D1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2" t="str">
        <f ca="1">IFERROR(__xludf.DUMMYFUNCTION("""COMPUTED_VALUE"""),"Новый")</f>
        <v>Новый</v>
      </c>
      <c r="G172" s="68"/>
      <c r="K172" s="68"/>
    </row>
    <row r="173" spans="1:11" ht="12.75">
      <c r="A173" s="69">
        <f ca="1">IFERROR(__xludf.DUMMYFUNCTION("""COMPUTED_VALUE"""),90322)</f>
        <v>90322</v>
      </c>
      <c r="B173" s="4">
        <f ca="1">IFERROR(__xludf.DUMMYFUNCTION("""COMPUTED_VALUE"""),44592)</f>
        <v>44592</v>
      </c>
      <c r="C173" t="str">
        <f ca="1">IFERROR(__xludf.DUMMYFUNCTION("""COMPUTED_VALUE"""),"ЗАО ""ЭКОС"" 115-СТР от 01.01.2022")</f>
        <v>ЗАО "ЭКОС" 115-СТР от 01.01.2022</v>
      </c>
      <c r="D1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3" t="str">
        <f ca="1">IFERROR(__xludf.DUMMYFUNCTION("""COMPUTED_VALUE"""),"Новый")</f>
        <v>Новый</v>
      </c>
      <c r="G173" s="68"/>
      <c r="K173" s="68"/>
    </row>
    <row r="174" spans="1:11" ht="12.75">
      <c r="A174" s="69">
        <f ca="1">IFERROR(__xludf.DUMMYFUNCTION("""COMPUTED_VALUE"""),90323)</f>
        <v>90323</v>
      </c>
      <c r="B174" s="4">
        <f ca="1">IFERROR(__xludf.DUMMYFUNCTION("""COMPUTED_VALUE"""),44592)</f>
        <v>44592</v>
      </c>
      <c r="C174" t="str">
        <f ca="1">IFERROR(__xludf.DUMMYFUNCTION("""COMPUTED_VALUE"""),"ЗАО ""ЭКОС"" 115-СТР от 01.01.2022")</f>
        <v>ЗАО "ЭКОС" 115-СТР от 01.01.2022</v>
      </c>
      <c r="D1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4" t="str">
        <f ca="1">IFERROR(__xludf.DUMMYFUNCTION("""COMPUTED_VALUE"""),"Новый")</f>
        <v>Новый</v>
      </c>
      <c r="G174" s="68"/>
      <c r="K174" s="68"/>
    </row>
    <row r="175" spans="1:11" ht="12.75">
      <c r="A175" s="69">
        <f ca="1">IFERROR(__xludf.DUMMYFUNCTION("""COMPUTED_VALUE"""),90324)</f>
        <v>90324</v>
      </c>
      <c r="B175" s="4">
        <f ca="1">IFERROR(__xludf.DUMMYFUNCTION("""COMPUTED_VALUE"""),44592)</f>
        <v>44592</v>
      </c>
      <c r="C175" t="str">
        <f ca="1">IFERROR(__xludf.DUMMYFUNCTION("""COMPUTED_VALUE"""),"ЗАО ""ЭКОС"" 115-СТР от 01.01.2022")</f>
        <v>ЗАО "ЭКОС" 115-СТР от 01.01.2022</v>
      </c>
      <c r="D1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5" t="str">
        <f ca="1">IFERROR(__xludf.DUMMYFUNCTION("""COMPUTED_VALUE"""),"Новый")</f>
        <v>Новый</v>
      </c>
      <c r="G175" s="68"/>
      <c r="K175" s="68"/>
    </row>
    <row r="176" spans="1:11" ht="12.75">
      <c r="A176" s="69">
        <f ca="1">IFERROR(__xludf.DUMMYFUNCTION("""COMPUTED_VALUE"""),90325)</f>
        <v>90325</v>
      </c>
      <c r="B176" s="4">
        <f ca="1">IFERROR(__xludf.DUMMYFUNCTION("""COMPUTED_VALUE"""),44592)</f>
        <v>44592</v>
      </c>
      <c r="C176" t="str">
        <f ca="1">IFERROR(__xludf.DUMMYFUNCTION("""COMPUTED_VALUE"""),"ЗАО ""ЭКОС"" 115-СТР от 01.01.2022")</f>
        <v>ЗАО "ЭКОС" 115-СТР от 01.01.2022</v>
      </c>
      <c r="D1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6" t="str">
        <f ca="1">IFERROR(__xludf.DUMMYFUNCTION("""COMPUTED_VALUE"""),"Новый")</f>
        <v>Новый</v>
      </c>
      <c r="G176" s="68"/>
      <c r="K176" s="68"/>
    </row>
    <row r="177" spans="1:11" ht="12.75">
      <c r="A177" s="69">
        <f ca="1">IFERROR(__xludf.DUMMYFUNCTION("""COMPUTED_VALUE"""),90326)</f>
        <v>90326</v>
      </c>
      <c r="B177" s="4">
        <f ca="1">IFERROR(__xludf.DUMMYFUNCTION("""COMPUTED_VALUE"""),44592)</f>
        <v>44592</v>
      </c>
      <c r="C177" t="str">
        <f ca="1">IFERROR(__xludf.DUMMYFUNCTION("""COMPUTED_VALUE"""),"ЗАО ""ЭКОС"" 115-СТР от 01.01.2022")</f>
        <v>ЗАО "ЭКОС" 115-СТР от 01.01.2022</v>
      </c>
      <c r="D1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7" t="str">
        <f ca="1">IFERROR(__xludf.DUMMYFUNCTION("""COMPUTED_VALUE"""),"Новый")</f>
        <v>Новый</v>
      </c>
      <c r="G177" s="68"/>
      <c r="K177" s="68"/>
    </row>
    <row r="178" spans="1:11" ht="12.75">
      <c r="A178" s="69">
        <f ca="1">IFERROR(__xludf.DUMMYFUNCTION("""COMPUTED_VALUE"""),90327)</f>
        <v>90327</v>
      </c>
      <c r="B178" s="4">
        <f ca="1">IFERROR(__xludf.DUMMYFUNCTION("""COMPUTED_VALUE"""),44592)</f>
        <v>44592</v>
      </c>
      <c r="C178" t="str">
        <f ca="1">IFERROR(__xludf.DUMMYFUNCTION("""COMPUTED_VALUE"""),"ЗАО ""ЭКОС"" 115-СТР от 01.01.2022")</f>
        <v>ЗАО "ЭКОС" 115-СТР от 01.01.2022</v>
      </c>
      <c r="D1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8" t="str">
        <f ca="1">IFERROR(__xludf.DUMMYFUNCTION("""COMPUTED_VALUE"""),"Новый")</f>
        <v>Новый</v>
      </c>
      <c r="G178" s="68"/>
      <c r="K178" s="68"/>
    </row>
    <row r="179" spans="1:11" ht="12.75">
      <c r="A179" s="69">
        <f ca="1">IFERROR(__xludf.DUMMYFUNCTION("""COMPUTED_VALUE"""),90328)</f>
        <v>90328</v>
      </c>
      <c r="B179" s="4">
        <f ca="1">IFERROR(__xludf.DUMMYFUNCTION("""COMPUTED_VALUE"""),44592)</f>
        <v>44592</v>
      </c>
      <c r="C179" t="str">
        <f ca="1">IFERROR(__xludf.DUMMYFUNCTION("""COMPUTED_VALUE"""),"ЗАО ""ЭКОС"" 115-СТР от 01.01.2022")</f>
        <v>ЗАО "ЭКОС" 115-СТР от 01.01.2022</v>
      </c>
      <c r="D1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9" t="str">
        <f ca="1">IFERROR(__xludf.DUMMYFUNCTION("""COMPUTED_VALUE"""),"Новый")</f>
        <v>Новый</v>
      </c>
      <c r="G179" s="68"/>
      <c r="K179" s="68"/>
    </row>
    <row r="180" spans="1:11" ht="12.75">
      <c r="A180" s="69">
        <f ca="1">IFERROR(__xludf.DUMMYFUNCTION("""COMPUTED_VALUE"""),90329)</f>
        <v>90329</v>
      </c>
      <c r="B180" s="4">
        <f ca="1">IFERROR(__xludf.DUMMYFUNCTION("""COMPUTED_VALUE"""),44592)</f>
        <v>44592</v>
      </c>
      <c r="C180" t="str">
        <f ca="1">IFERROR(__xludf.DUMMYFUNCTION("""COMPUTED_VALUE"""),"ЗАО ""ЭКОС"" 115-СТР от 01.01.2022")</f>
        <v>ЗАО "ЭКОС" 115-СТР от 01.01.2022</v>
      </c>
      <c r="D1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0" t="str">
        <f ca="1">IFERROR(__xludf.DUMMYFUNCTION("""COMPUTED_VALUE"""),"Новый")</f>
        <v>Новый</v>
      </c>
      <c r="G180" s="68"/>
      <c r="K180" s="68"/>
    </row>
    <row r="181" spans="1:11" ht="12.75">
      <c r="A181" s="69">
        <f ca="1">IFERROR(__xludf.DUMMYFUNCTION("""COMPUTED_VALUE"""),90330)</f>
        <v>90330</v>
      </c>
      <c r="B181" s="4">
        <f ca="1">IFERROR(__xludf.DUMMYFUNCTION("""COMPUTED_VALUE"""),44592)</f>
        <v>44592</v>
      </c>
      <c r="C181" t="str">
        <f ca="1">IFERROR(__xludf.DUMMYFUNCTION("""COMPUTED_VALUE"""),"ЗАО ""ЭКОС"" 115-СТР от 01.01.2022")</f>
        <v>ЗАО "ЭКОС" 115-СТР от 01.01.2022</v>
      </c>
      <c r="D1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1" t="str">
        <f ca="1">IFERROR(__xludf.DUMMYFUNCTION("""COMPUTED_VALUE"""),"Новый")</f>
        <v>Новый</v>
      </c>
      <c r="G181" s="68"/>
      <c r="K181" s="68"/>
    </row>
    <row r="182" spans="1:11" ht="12.75">
      <c r="A182" s="69">
        <f ca="1">IFERROR(__xludf.DUMMYFUNCTION("""COMPUTED_VALUE"""),90331)</f>
        <v>90331</v>
      </c>
      <c r="B182" s="4">
        <f ca="1">IFERROR(__xludf.DUMMYFUNCTION("""COMPUTED_VALUE"""),44592)</f>
        <v>44592</v>
      </c>
      <c r="C182" t="str">
        <f ca="1">IFERROR(__xludf.DUMMYFUNCTION("""COMPUTED_VALUE"""),"ЗАО ""ЭКОС"" 115-СТР от 01.01.2022")</f>
        <v>ЗАО "ЭКОС" 115-СТР от 01.01.2022</v>
      </c>
      <c r="D1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2" t="str">
        <f ca="1">IFERROR(__xludf.DUMMYFUNCTION("""COMPUTED_VALUE"""),"Новый")</f>
        <v>Новый</v>
      </c>
      <c r="G182" s="68"/>
      <c r="K182" s="68"/>
    </row>
    <row r="183" spans="1:11" ht="12.75">
      <c r="A183" s="69">
        <f ca="1">IFERROR(__xludf.DUMMYFUNCTION("""COMPUTED_VALUE"""),90332)</f>
        <v>90332</v>
      </c>
      <c r="B183" s="4">
        <f ca="1">IFERROR(__xludf.DUMMYFUNCTION("""COMPUTED_VALUE"""),44592)</f>
        <v>44592</v>
      </c>
      <c r="C183" t="str">
        <f ca="1">IFERROR(__xludf.DUMMYFUNCTION("""COMPUTED_VALUE"""),"ЗАО ""ЭКОС"" 115-СТР от 01.01.2022")</f>
        <v>ЗАО "ЭКОС" 115-СТР от 01.01.2022</v>
      </c>
      <c r="D1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3" t="str">
        <f ca="1">IFERROR(__xludf.DUMMYFUNCTION("""COMPUTED_VALUE"""),"Новый")</f>
        <v>Новый</v>
      </c>
      <c r="G183" s="68"/>
      <c r="K183" s="68"/>
    </row>
    <row r="184" spans="1:11" ht="12.75">
      <c r="A184" s="69">
        <f ca="1">IFERROR(__xludf.DUMMYFUNCTION("""COMPUTED_VALUE"""),90333)</f>
        <v>90333</v>
      </c>
      <c r="B184" s="4">
        <f ca="1">IFERROR(__xludf.DUMMYFUNCTION("""COMPUTED_VALUE"""),44592)</f>
        <v>44592</v>
      </c>
      <c r="C184" t="str">
        <f ca="1">IFERROR(__xludf.DUMMYFUNCTION("""COMPUTED_VALUE"""),"ЗАО ""ЭКОС"" 115-СТР от 01.01.2022")</f>
        <v>ЗАО "ЭКОС" 115-СТР от 01.01.2022</v>
      </c>
      <c r="D1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4" t="str">
        <f ca="1">IFERROR(__xludf.DUMMYFUNCTION("""COMPUTED_VALUE"""),"Новый")</f>
        <v>Новый</v>
      </c>
      <c r="G184" s="68"/>
      <c r="K184" s="68"/>
    </row>
    <row r="185" spans="1:11" ht="12.75">
      <c r="A185" s="69">
        <f ca="1">IFERROR(__xludf.DUMMYFUNCTION("""COMPUTED_VALUE"""),90334)</f>
        <v>90334</v>
      </c>
      <c r="B185" s="4">
        <f ca="1">IFERROR(__xludf.DUMMYFUNCTION("""COMPUTED_VALUE"""),44592)</f>
        <v>44592</v>
      </c>
      <c r="C185" t="str">
        <f ca="1">IFERROR(__xludf.DUMMYFUNCTION("""COMPUTED_VALUE"""),"ЗАО ""ЭКОС"" 115-СТР от 01.01.2022")</f>
        <v>ЗАО "ЭКОС" 115-СТР от 01.01.2022</v>
      </c>
      <c r="D1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5" t="str">
        <f ca="1">IFERROR(__xludf.DUMMYFUNCTION("""COMPUTED_VALUE"""),"Новый")</f>
        <v>Новый</v>
      </c>
      <c r="G185" s="68"/>
      <c r="K185" s="68"/>
    </row>
    <row r="186" spans="1:11" ht="12.75">
      <c r="A186" s="69">
        <f ca="1">IFERROR(__xludf.DUMMYFUNCTION("""COMPUTED_VALUE"""),90335)</f>
        <v>90335</v>
      </c>
      <c r="B186" s="4">
        <f ca="1">IFERROR(__xludf.DUMMYFUNCTION("""COMPUTED_VALUE"""),44592)</f>
        <v>44592</v>
      </c>
      <c r="C186" t="str">
        <f ca="1">IFERROR(__xludf.DUMMYFUNCTION("""COMPUTED_VALUE"""),"ЗАО ""ЭКОС"" 115-СТР от 01.01.2022")</f>
        <v>ЗАО "ЭКОС" 115-СТР от 01.01.2022</v>
      </c>
      <c r="D1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6" t="str">
        <f ca="1">IFERROR(__xludf.DUMMYFUNCTION("""COMPUTED_VALUE"""),"Новый")</f>
        <v>Новый</v>
      </c>
      <c r="G186" s="68"/>
      <c r="K186" s="68"/>
    </row>
    <row r="187" spans="1:11" ht="12.75">
      <c r="A187" s="69">
        <f ca="1">IFERROR(__xludf.DUMMYFUNCTION("""COMPUTED_VALUE"""),90336)</f>
        <v>90336</v>
      </c>
      <c r="B187" s="4">
        <f ca="1">IFERROR(__xludf.DUMMYFUNCTION("""COMPUTED_VALUE"""),44592)</f>
        <v>44592</v>
      </c>
      <c r="C187" t="str">
        <f ca="1">IFERROR(__xludf.DUMMYFUNCTION("""COMPUTED_VALUE"""),"ЗАО ""ЭКОС"" 115-СТР от 01.01.2022")</f>
        <v>ЗАО "ЭКОС" 115-СТР от 01.01.2022</v>
      </c>
      <c r="D1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7" t="str">
        <f ca="1">IFERROR(__xludf.DUMMYFUNCTION("""COMPUTED_VALUE"""),"Новый")</f>
        <v>Новый</v>
      </c>
      <c r="G187" s="68"/>
      <c r="K187" s="68"/>
    </row>
    <row r="188" spans="1:11" ht="12.75">
      <c r="A188" s="69">
        <f ca="1">IFERROR(__xludf.DUMMYFUNCTION("""COMPUTED_VALUE"""),90337)</f>
        <v>90337</v>
      </c>
      <c r="B188" s="4">
        <f ca="1">IFERROR(__xludf.DUMMYFUNCTION("""COMPUTED_VALUE"""),44592)</f>
        <v>44592</v>
      </c>
      <c r="C188" t="str">
        <f ca="1">IFERROR(__xludf.DUMMYFUNCTION("""COMPUTED_VALUE"""),"ЗАО ""ЭКОС"" 115-СТР от 01.01.2022")</f>
        <v>ЗАО "ЭКОС" 115-СТР от 01.01.2022</v>
      </c>
      <c r="D1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8" t="str">
        <f ca="1">IFERROR(__xludf.DUMMYFUNCTION("""COMPUTED_VALUE"""),"Новый")</f>
        <v>Новый</v>
      </c>
      <c r="G188" s="68"/>
      <c r="K188" s="68"/>
    </row>
    <row r="189" spans="1:11" ht="12.75">
      <c r="A189" s="69">
        <f ca="1">IFERROR(__xludf.DUMMYFUNCTION("""COMPUTED_VALUE"""),90338)</f>
        <v>90338</v>
      </c>
      <c r="B189" s="4">
        <f ca="1">IFERROR(__xludf.DUMMYFUNCTION("""COMPUTED_VALUE"""),44592)</f>
        <v>44592</v>
      </c>
      <c r="C189" t="str">
        <f ca="1">IFERROR(__xludf.DUMMYFUNCTION("""COMPUTED_VALUE"""),"ЗАО ""ЭКОС"" 115-СТР от 01.01.2022")</f>
        <v>ЗАО "ЭКОС" 115-СТР от 01.01.2022</v>
      </c>
      <c r="D1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89" t="str">
        <f ca="1">IFERROR(__xludf.DUMMYFUNCTION("""COMPUTED_VALUE"""),"Новый")</f>
        <v>Новый</v>
      </c>
      <c r="G189" s="68"/>
      <c r="K189" s="68"/>
    </row>
    <row r="190" spans="1:11" ht="12.75">
      <c r="A190" s="69">
        <f ca="1">IFERROR(__xludf.DUMMYFUNCTION("""COMPUTED_VALUE"""),90339)</f>
        <v>90339</v>
      </c>
      <c r="B190" s="4">
        <f ca="1">IFERROR(__xludf.DUMMYFUNCTION("""COMPUTED_VALUE"""),44592)</f>
        <v>44592</v>
      </c>
      <c r="C190" t="str">
        <f ca="1">IFERROR(__xludf.DUMMYFUNCTION("""COMPUTED_VALUE"""),"ЗАО ""ЭКОС"" 115-СТР от 01.01.2022")</f>
        <v>ЗАО "ЭКОС" 115-СТР от 01.01.2022</v>
      </c>
      <c r="D1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0" t="str">
        <f ca="1">IFERROR(__xludf.DUMMYFUNCTION("""COMPUTED_VALUE"""),"Новый")</f>
        <v>Новый</v>
      </c>
      <c r="G190" s="68"/>
      <c r="K190" s="68"/>
    </row>
    <row r="191" spans="1:11" ht="12.75">
      <c r="A191" s="69">
        <f ca="1">IFERROR(__xludf.DUMMYFUNCTION("""COMPUTED_VALUE"""),90340)</f>
        <v>90340</v>
      </c>
      <c r="B191" s="4">
        <f ca="1">IFERROR(__xludf.DUMMYFUNCTION("""COMPUTED_VALUE"""),44592)</f>
        <v>44592</v>
      </c>
      <c r="C191" t="str">
        <f ca="1">IFERROR(__xludf.DUMMYFUNCTION("""COMPUTED_VALUE"""),"ЗАО ""ЭКОС"" 115-СТР от 01.01.2022")</f>
        <v>ЗАО "ЭКОС" 115-СТР от 01.01.2022</v>
      </c>
      <c r="D1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1" t="str">
        <f ca="1">IFERROR(__xludf.DUMMYFUNCTION("""COMPUTED_VALUE"""),"Новый")</f>
        <v>Новый</v>
      </c>
      <c r="G191" s="68"/>
      <c r="K191" s="68"/>
    </row>
    <row r="192" spans="1:11" ht="12.75">
      <c r="A192" s="69">
        <f ca="1">IFERROR(__xludf.DUMMYFUNCTION("""COMPUTED_VALUE"""),90341)</f>
        <v>90341</v>
      </c>
      <c r="B192" s="4">
        <f ca="1">IFERROR(__xludf.DUMMYFUNCTION("""COMPUTED_VALUE"""),44592)</f>
        <v>44592</v>
      </c>
      <c r="C192" t="str">
        <f ca="1">IFERROR(__xludf.DUMMYFUNCTION("""COMPUTED_VALUE"""),"ЗАО ""ЭКОС"" 115-СТР от 01.01.2022")</f>
        <v>ЗАО "ЭКОС" 115-СТР от 01.01.2022</v>
      </c>
      <c r="D1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2" t="str">
        <f ca="1">IFERROR(__xludf.DUMMYFUNCTION("""COMPUTED_VALUE"""),"Новый")</f>
        <v>Новый</v>
      </c>
      <c r="G192" s="68"/>
      <c r="K192" s="68"/>
    </row>
    <row r="193" spans="1:11" ht="12.75">
      <c r="A193" s="69">
        <f ca="1">IFERROR(__xludf.DUMMYFUNCTION("""COMPUTED_VALUE"""),90342)</f>
        <v>90342</v>
      </c>
      <c r="B193" s="4">
        <f ca="1">IFERROR(__xludf.DUMMYFUNCTION("""COMPUTED_VALUE"""),44592)</f>
        <v>44592</v>
      </c>
      <c r="C193" t="str">
        <f ca="1">IFERROR(__xludf.DUMMYFUNCTION("""COMPUTED_VALUE"""),"ЗАО ""ЭКОС"" 115-СТР от 01.01.2022")</f>
        <v>ЗАО "ЭКОС" 115-СТР от 01.01.2022</v>
      </c>
      <c r="D1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3" t="str">
        <f ca="1">IFERROR(__xludf.DUMMYFUNCTION("""COMPUTED_VALUE"""),"Новый")</f>
        <v>Новый</v>
      </c>
      <c r="G193" s="68"/>
      <c r="K193" s="68"/>
    </row>
    <row r="194" spans="1:11" ht="12.75">
      <c r="A194" s="69">
        <f ca="1">IFERROR(__xludf.DUMMYFUNCTION("""COMPUTED_VALUE"""),90343)</f>
        <v>90343</v>
      </c>
      <c r="B194" s="4">
        <f ca="1">IFERROR(__xludf.DUMMYFUNCTION("""COMPUTED_VALUE"""),44592)</f>
        <v>44592</v>
      </c>
      <c r="C194" t="str">
        <f ca="1">IFERROR(__xludf.DUMMYFUNCTION("""COMPUTED_VALUE"""),"ЗАО ""ЭКОС"" 115-СТР от 01.01.2022")</f>
        <v>ЗАО "ЭКОС" 115-СТР от 01.01.2022</v>
      </c>
      <c r="D1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4" t="str">
        <f ca="1">IFERROR(__xludf.DUMMYFUNCTION("""COMPUTED_VALUE"""),"Новый")</f>
        <v>Новый</v>
      </c>
      <c r="G194" s="68"/>
      <c r="K194" s="68"/>
    </row>
    <row r="195" spans="1:11" ht="12.75">
      <c r="A195" s="69">
        <f ca="1">IFERROR(__xludf.DUMMYFUNCTION("""COMPUTED_VALUE"""),90344)</f>
        <v>90344</v>
      </c>
      <c r="B195" s="4">
        <f ca="1">IFERROR(__xludf.DUMMYFUNCTION("""COMPUTED_VALUE"""),44592)</f>
        <v>44592</v>
      </c>
      <c r="C195" t="str">
        <f ca="1">IFERROR(__xludf.DUMMYFUNCTION("""COMPUTED_VALUE"""),"ЗАО ""ЭКОС"" 115-СТР от 01.01.2022")</f>
        <v>ЗАО "ЭКОС" 115-СТР от 01.01.2022</v>
      </c>
      <c r="D1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" t="str">
        <f ca="1">IFERROR(__xludf.DUMMYFUNCTION("""COMPUTED_VALUE"""),"Новый")</f>
        <v>Новый</v>
      </c>
      <c r="G195" s="68"/>
      <c r="K195" s="68"/>
    </row>
    <row r="196" spans="1:11" ht="12.75">
      <c r="A196" s="69">
        <f ca="1">IFERROR(__xludf.DUMMYFUNCTION("""COMPUTED_VALUE"""),90345)</f>
        <v>90345</v>
      </c>
      <c r="B196" s="4">
        <f ca="1">IFERROR(__xludf.DUMMYFUNCTION("""COMPUTED_VALUE"""),44592)</f>
        <v>44592</v>
      </c>
      <c r="C196" t="str">
        <f ca="1">IFERROR(__xludf.DUMMYFUNCTION("""COMPUTED_VALUE"""),"ЗАО ""ЭКОС"" 115-СТР от 01.01.2022")</f>
        <v>ЗАО "ЭКОС" 115-СТР от 01.01.2022</v>
      </c>
      <c r="D1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" t="str">
        <f ca="1">IFERROR(__xludf.DUMMYFUNCTION("""COMPUTED_VALUE"""),"Новый")</f>
        <v>Новый</v>
      </c>
      <c r="G196" s="68"/>
      <c r="K196" s="68"/>
    </row>
    <row r="197" spans="1:11" ht="12.75">
      <c r="A197" s="69">
        <f ca="1">IFERROR(__xludf.DUMMYFUNCTION("""COMPUTED_VALUE"""),90346)</f>
        <v>90346</v>
      </c>
      <c r="B197" s="4">
        <f ca="1">IFERROR(__xludf.DUMMYFUNCTION("""COMPUTED_VALUE"""),44592)</f>
        <v>44592</v>
      </c>
      <c r="C197" t="str">
        <f ca="1">IFERROR(__xludf.DUMMYFUNCTION("""COMPUTED_VALUE"""),"ЗАО ""ЭКОС"" 115-СТР от 01.01.2022")</f>
        <v>ЗАО "ЭКОС" 115-СТР от 01.01.2022</v>
      </c>
      <c r="D1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" t="str">
        <f ca="1">IFERROR(__xludf.DUMMYFUNCTION("""COMPUTED_VALUE"""),"Новый")</f>
        <v>Новый</v>
      </c>
      <c r="G197" s="68"/>
      <c r="K197" s="68"/>
    </row>
    <row r="198" spans="1:11" ht="12.75">
      <c r="A198" s="69">
        <f ca="1">IFERROR(__xludf.DUMMYFUNCTION("""COMPUTED_VALUE"""),90347)</f>
        <v>90347</v>
      </c>
      <c r="B198" s="4">
        <f ca="1">IFERROR(__xludf.DUMMYFUNCTION("""COMPUTED_VALUE"""),44592)</f>
        <v>44592</v>
      </c>
      <c r="C198" t="str">
        <f ca="1">IFERROR(__xludf.DUMMYFUNCTION("""COMPUTED_VALUE"""),"ЗАО ""ЭКОС"" 115-СТР от 01.01.2022")</f>
        <v>ЗАО "ЭКОС" 115-СТР от 01.01.2022</v>
      </c>
      <c r="D1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8" t="str">
        <f ca="1">IFERROR(__xludf.DUMMYFUNCTION("""COMPUTED_VALUE"""),"Новый")</f>
        <v>Новый</v>
      </c>
      <c r="G198" s="68"/>
      <c r="K198" s="68"/>
    </row>
    <row r="199" spans="1:11" ht="12.75">
      <c r="A199" s="69">
        <f ca="1">IFERROR(__xludf.DUMMYFUNCTION("""COMPUTED_VALUE"""),90348)</f>
        <v>90348</v>
      </c>
      <c r="B199" s="4">
        <f ca="1">IFERROR(__xludf.DUMMYFUNCTION("""COMPUTED_VALUE"""),44592)</f>
        <v>44592</v>
      </c>
      <c r="C199" t="str">
        <f ca="1">IFERROR(__xludf.DUMMYFUNCTION("""COMPUTED_VALUE"""),"ЗАО ""ЭКОС"" 115-СТР от 01.01.2022")</f>
        <v>ЗАО "ЭКОС" 115-СТР от 01.01.2022</v>
      </c>
      <c r="D1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9" t="str">
        <f ca="1">IFERROR(__xludf.DUMMYFUNCTION("""COMPUTED_VALUE"""),"Новый")</f>
        <v>Новый</v>
      </c>
      <c r="G199" s="68"/>
      <c r="K199" s="68"/>
    </row>
    <row r="200" spans="1:11" ht="12.75">
      <c r="A200" s="69">
        <f ca="1">IFERROR(__xludf.DUMMYFUNCTION("""COMPUTED_VALUE"""),90349)</f>
        <v>90349</v>
      </c>
      <c r="B200" s="4">
        <f ca="1">IFERROR(__xludf.DUMMYFUNCTION("""COMPUTED_VALUE"""),44592)</f>
        <v>44592</v>
      </c>
      <c r="C200" t="str">
        <f ca="1">IFERROR(__xludf.DUMMYFUNCTION("""COMPUTED_VALUE"""),"ЗАО ""ЭКОС"" 115-СТР от 01.01.2022")</f>
        <v>ЗАО "ЭКОС" 115-СТР от 01.01.2022</v>
      </c>
      <c r="D2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0" t="str">
        <f ca="1">IFERROR(__xludf.DUMMYFUNCTION("""COMPUTED_VALUE"""),"Новый")</f>
        <v>Новый</v>
      </c>
      <c r="G200" s="68"/>
      <c r="K200" s="68"/>
    </row>
    <row r="201" spans="1:11" ht="12.75">
      <c r="A201" s="69">
        <f ca="1">IFERROR(__xludf.DUMMYFUNCTION("""COMPUTED_VALUE"""),90350)</f>
        <v>90350</v>
      </c>
      <c r="B201" s="4">
        <f ca="1">IFERROR(__xludf.DUMMYFUNCTION("""COMPUTED_VALUE"""),44592)</f>
        <v>44592</v>
      </c>
      <c r="C201" t="str">
        <f ca="1">IFERROR(__xludf.DUMMYFUNCTION("""COMPUTED_VALUE"""),"ЗАО ""ЭКОС"" 115-СТР от 01.01.2022")</f>
        <v>ЗАО "ЭКОС" 115-СТР от 01.01.2022</v>
      </c>
      <c r="D2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1" t="str">
        <f ca="1">IFERROR(__xludf.DUMMYFUNCTION("""COMPUTED_VALUE"""),"Новый")</f>
        <v>Новый</v>
      </c>
      <c r="G201" s="68"/>
      <c r="K201" s="68"/>
    </row>
    <row r="202" spans="1:11" ht="12.75">
      <c r="A202" s="69">
        <f ca="1">IFERROR(__xludf.DUMMYFUNCTION("""COMPUTED_VALUE"""),90351)</f>
        <v>90351</v>
      </c>
      <c r="B202" s="4">
        <f ca="1">IFERROR(__xludf.DUMMYFUNCTION("""COMPUTED_VALUE"""),44592)</f>
        <v>44592</v>
      </c>
      <c r="C202" t="str">
        <f ca="1">IFERROR(__xludf.DUMMYFUNCTION("""COMPUTED_VALUE"""),"ЗАО ""ЭКОС"" 115-СТР от 01.01.2022")</f>
        <v>ЗАО "ЭКОС" 115-СТР от 01.01.2022</v>
      </c>
      <c r="D2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2" t="str">
        <f ca="1">IFERROR(__xludf.DUMMYFUNCTION("""COMPUTED_VALUE"""),"Новый")</f>
        <v>Новый</v>
      </c>
      <c r="G202" s="68"/>
      <c r="K202" s="68"/>
    </row>
    <row r="203" spans="1:11" ht="12.75">
      <c r="A203" s="69">
        <f ca="1">IFERROR(__xludf.DUMMYFUNCTION("""COMPUTED_VALUE"""),90352)</f>
        <v>90352</v>
      </c>
      <c r="B203" s="4">
        <f ca="1">IFERROR(__xludf.DUMMYFUNCTION("""COMPUTED_VALUE"""),44592)</f>
        <v>44592</v>
      </c>
      <c r="C203" t="str">
        <f ca="1">IFERROR(__xludf.DUMMYFUNCTION("""COMPUTED_VALUE"""),"ЗАО ""ЭКОС"" 115-СТР от 01.01.2022")</f>
        <v>ЗАО "ЭКОС" 115-СТР от 01.01.2022</v>
      </c>
      <c r="D2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3" t="str">
        <f ca="1">IFERROR(__xludf.DUMMYFUNCTION("""COMPUTED_VALUE"""),"Новый")</f>
        <v>Новый</v>
      </c>
      <c r="G203" s="68"/>
      <c r="K203" s="68"/>
    </row>
    <row r="204" spans="1:11" ht="12.75">
      <c r="A204" s="69">
        <f ca="1">IFERROR(__xludf.DUMMYFUNCTION("""COMPUTED_VALUE"""),90353)</f>
        <v>90353</v>
      </c>
      <c r="B204" s="4">
        <f ca="1">IFERROR(__xludf.DUMMYFUNCTION("""COMPUTED_VALUE"""),44592)</f>
        <v>44592</v>
      </c>
      <c r="C204" t="str">
        <f ca="1">IFERROR(__xludf.DUMMYFUNCTION("""COMPUTED_VALUE"""),"ЗАО ""ЭКОС"" 115-СТР от 01.01.2022")</f>
        <v>ЗАО "ЭКОС" 115-СТР от 01.01.2022</v>
      </c>
      <c r="D2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4" t="str">
        <f ca="1">IFERROR(__xludf.DUMMYFUNCTION("""COMPUTED_VALUE"""),"Новый")</f>
        <v>Новый</v>
      </c>
      <c r="G204" s="68"/>
      <c r="K204" s="68"/>
    </row>
    <row r="205" spans="1:11" ht="12.75">
      <c r="A205" s="69">
        <f ca="1">IFERROR(__xludf.DUMMYFUNCTION("""COMPUTED_VALUE"""),90354)</f>
        <v>90354</v>
      </c>
      <c r="B205" s="4">
        <f ca="1">IFERROR(__xludf.DUMMYFUNCTION("""COMPUTED_VALUE"""),44592)</f>
        <v>44592</v>
      </c>
      <c r="C205" t="str">
        <f ca="1">IFERROR(__xludf.DUMMYFUNCTION("""COMPUTED_VALUE"""),"ЗАО ""ЭКОС"" 115-СТР от 01.01.2022")</f>
        <v>ЗАО "ЭКОС" 115-СТР от 01.01.2022</v>
      </c>
      <c r="D2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5" t="str">
        <f ca="1">IFERROR(__xludf.DUMMYFUNCTION("""COMPUTED_VALUE"""),"Новый")</f>
        <v>Новый</v>
      </c>
      <c r="G205" s="68"/>
      <c r="K205" s="68"/>
    </row>
    <row r="206" spans="1:11" ht="12.75">
      <c r="A206" s="69">
        <f ca="1">IFERROR(__xludf.DUMMYFUNCTION("""COMPUTED_VALUE"""),90355)</f>
        <v>90355</v>
      </c>
      <c r="B206" s="4">
        <f ca="1">IFERROR(__xludf.DUMMYFUNCTION("""COMPUTED_VALUE"""),44592)</f>
        <v>44592</v>
      </c>
      <c r="C206" t="str">
        <f ca="1">IFERROR(__xludf.DUMMYFUNCTION("""COMPUTED_VALUE"""),"ЗАО ""ЭКОС"" 115-СТР от 01.01.2022")</f>
        <v>ЗАО "ЭКОС" 115-СТР от 01.01.2022</v>
      </c>
      <c r="D2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6" t="str">
        <f ca="1">IFERROR(__xludf.DUMMYFUNCTION("""COMPUTED_VALUE"""),"Новый")</f>
        <v>Новый</v>
      </c>
      <c r="G206" s="68"/>
      <c r="K206" s="68"/>
    </row>
    <row r="207" spans="1:11" ht="12.75">
      <c r="A207" s="69">
        <f ca="1">IFERROR(__xludf.DUMMYFUNCTION("""COMPUTED_VALUE"""),90356)</f>
        <v>90356</v>
      </c>
      <c r="B207" s="4">
        <f ca="1">IFERROR(__xludf.DUMMYFUNCTION("""COMPUTED_VALUE"""),44592)</f>
        <v>44592</v>
      </c>
      <c r="C207" t="str">
        <f ca="1">IFERROR(__xludf.DUMMYFUNCTION("""COMPUTED_VALUE"""),"ЗАО ""ЭКОС"" 115-СТР от 01.01.2022")</f>
        <v>ЗАО "ЭКОС" 115-СТР от 01.01.2022</v>
      </c>
      <c r="D2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7" t="str">
        <f ca="1">IFERROR(__xludf.DUMMYFUNCTION("""COMPUTED_VALUE"""),"Новый")</f>
        <v>Новый</v>
      </c>
      <c r="G207" s="68"/>
      <c r="K207" s="68"/>
    </row>
    <row r="208" spans="1:11" ht="12.75">
      <c r="A208" s="69">
        <f ca="1">IFERROR(__xludf.DUMMYFUNCTION("""COMPUTED_VALUE"""),90357)</f>
        <v>90357</v>
      </c>
      <c r="B208" s="4">
        <f ca="1">IFERROR(__xludf.DUMMYFUNCTION("""COMPUTED_VALUE"""),44592)</f>
        <v>44592</v>
      </c>
      <c r="C208" t="str">
        <f ca="1">IFERROR(__xludf.DUMMYFUNCTION("""COMPUTED_VALUE"""),"ЗАО ""ЭКОС"" 115-СТР от 01.01.2022")</f>
        <v>ЗАО "ЭКОС" 115-СТР от 01.01.2022</v>
      </c>
      <c r="D2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8" t="str">
        <f ca="1">IFERROR(__xludf.DUMMYFUNCTION("""COMPUTED_VALUE"""),"Новый")</f>
        <v>Новый</v>
      </c>
      <c r="G208" s="68"/>
      <c r="K208" s="68"/>
    </row>
    <row r="209" spans="1:11" ht="12.75">
      <c r="A209" s="69">
        <f ca="1">IFERROR(__xludf.DUMMYFUNCTION("""COMPUTED_VALUE"""),90358)</f>
        <v>90358</v>
      </c>
      <c r="B209" s="4">
        <f ca="1">IFERROR(__xludf.DUMMYFUNCTION("""COMPUTED_VALUE"""),44592)</f>
        <v>44592</v>
      </c>
      <c r="C209" t="str">
        <f ca="1">IFERROR(__xludf.DUMMYFUNCTION("""COMPUTED_VALUE"""),"ЗАО ""ЭКОС"" 115-СТР от 01.01.2022")</f>
        <v>ЗАО "ЭКОС" 115-СТР от 01.01.2022</v>
      </c>
      <c r="D2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" t="str">
        <f ca="1">IFERROR(__xludf.DUMMYFUNCTION("""COMPUTED_VALUE"""),"Новый")</f>
        <v>Новый</v>
      </c>
      <c r="G209" s="68"/>
      <c r="K209" s="68"/>
    </row>
    <row r="210" spans="1:11" ht="12.75">
      <c r="A210" s="69">
        <f ca="1">IFERROR(__xludf.DUMMYFUNCTION("""COMPUTED_VALUE"""),90359)</f>
        <v>90359</v>
      </c>
      <c r="B210" s="4">
        <f ca="1">IFERROR(__xludf.DUMMYFUNCTION("""COMPUTED_VALUE"""),44592)</f>
        <v>44592</v>
      </c>
      <c r="C210" t="str">
        <f ca="1">IFERROR(__xludf.DUMMYFUNCTION("""COMPUTED_VALUE"""),"ЗАО ""ЭКОС"" 115-СТР от 01.01.2022")</f>
        <v>ЗАО "ЭКОС" 115-СТР от 01.01.2022</v>
      </c>
      <c r="D2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" t="str">
        <f ca="1">IFERROR(__xludf.DUMMYFUNCTION("""COMPUTED_VALUE"""),"Новый")</f>
        <v>Новый</v>
      </c>
      <c r="G210" s="68"/>
      <c r="K210" s="68"/>
    </row>
    <row r="211" spans="1:11" ht="12.75">
      <c r="A211" s="69">
        <f ca="1">IFERROR(__xludf.DUMMYFUNCTION("""COMPUTED_VALUE"""),90360)</f>
        <v>90360</v>
      </c>
      <c r="B211" s="4">
        <f ca="1">IFERROR(__xludf.DUMMYFUNCTION("""COMPUTED_VALUE"""),44592)</f>
        <v>44592</v>
      </c>
      <c r="C211" t="str">
        <f ca="1">IFERROR(__xludf.DUMMYFUNCTION("""COMPUTED_VALUE"""),"ЗАО ""ЭКОС"" 115-СТР от 01.01.2022")</f>
        <v>ЗАО "ЭКОС" 115-СТР от 01.01.2022</v>
      </c>
      <c r="D2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" t="str">
        <f ca="1">IFERROR(__xludf.DUMMYFUNCTION("""COMPUTED_VALUE"""),"Новый")</f>
        <v>Новый</v>
      </c>
      <c r="G211" s="68"/>
      <c r="K211" s="68"/>
    </row>
    <row r="212" spans="1:11" ht="12.75">
      <c r="A212" s="69">
        <f ca="1">IFERROR(__xludf.DUMMYFUNCTION("""COMPUTED_VALUE"""),90361)</f>
        <v>90361</v>
      </c>
      <c r="B212" s="4">
        <f ca="1">IFERROR(__xludf.DUMMYFUNCTION("""COMPUTED_VALUE"""),44592)</f>
        <v>44592</v>
      </c>
      <c r="C212" t="str">
        <f ca="1">IFERROR(__xludf.DUMMYFUNCTION("""COMPUTED_VALUE"""),"ЗАО ""ЭКОС"" 115-СТР от 01.01.2022")</f>
        <v>ЗАО "ЭКОС" 115-СТР от 01.01.2022</v>
      </c>
      <c r="D2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2" t="str">
        <f ca="1">IFERROR(__xludf.DUMMYFUNCTION("""COMPUTED_VALUE"""),"Новый")</f>
        <v>Новый</v>
      </c>
      <c r="G212" s="68"/>
      <c r="K212" s="68"/>
    </row>
    <row r="213" spans="1:11" ht="12.75">
      <c r="A213" s="69">
        <f ca="1">IFERROR(__xludf.DUMMYFUNCTION("""COMPUTED_VALUE"""),90362)</f>
        <v>90362</v>
      </c>
      <c r="B213" s="4">
        <f ca="1">IFERROR(__xludf.DUMMYFUNCTION("""COMPUTED_VALUE"""),44592)</f>
        <v>44592</v>
      </c>
      <c r="C213" t="str">
        <f ca="1">IFERROR(__xludf.DUMMYFUNCTION("""COMPUTED_VALUE"""),"ЗАО ""ЭКОС"" 115-СТР от 01.01.2022")</f>
        <v>ЗАО "ЭКОС" 115-СТР от 01.01.2022</v>
      </c>
      <c r="D2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3" t="str">
        <f ca="1">IFERROR(__xludf.DUMMYFUNCTION("""COMPUTED_VALUE"""),"Новый")</f>
        <v>Новый</v>
      </c>
      <c r="G213" s="68"/>
      <c r="K213" s="68"/>
    </row>
    <row r="214" spans="1:11" ht="12.75">
      <c r="A214" s="69">
        <f ca="1">IFERROR(__xludf.DUMMYFUNCTION("""COMPUTED_VALUE"""),90363)</f>
        <v>90363</v>
      </c>
      <c r="B214" s="4">
        <f ca="1">IFERROR(__xludf.DUMMYFUNCTION("""COMPUTED_VALUE"""),44592)</f>
        <v>44592</v>
      </c>
      <c r="C214" t="str">
        <f ca="1">IFERROR(__xludf.DUMMYFUNCTION("""COMPUTED_VALUE"""),"ЗАО ""ЭКОС"" 115-СТР от 01.01.2022")</f>
        <v>ЗАО "ЭКОС" 115-СТР от 01.01.2022</v>
      </c>
      <c r="D2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4" t="str">
        <f ca="1">IFERROR(__xludf.DUMMYFUNCTION("""COMPUTED_VALUE"""),"Новый")</f>
        <v>Новый</v>
      </c>
      <c r="G214" s="68"/>
      <c r="K214" s="68"/>
    </row>
    <row r="215" spans="1:11" ht="12.75">
      <c r="A215" s="69">
        <f ca="1">IFERROR(__xludf.DUMMYFUNCTION("""COMPUTED_VALUE"""),90364)</f>
        <v>90364</v>
      </c>
      <c r="B215" s="4">
        <f ca="1">IFERROR(__xludf.DUMMYFUNCTION("""COMPUTED_VALUE"""),44592)</f>
        <v>44592</v>
      </c>
      <c r="C215" t="str">
        <f ca="1">IFERROR(__xludf.DUMMYFUNCTION("""COMPUTED_VALUE"""),"ЗАО ""ЭКОС"" 115-СТР от 01.01.2022")</f>
        <v>ЗАО "ЭКОС" 115-СТР от 01.01.2022</v>
      </c>
      <c r="D2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" t="str">
        <f ca="1">IFERROR(__xludf.DUMMYFUNCTION("""COMPUTED_VALUE"""),"Новый")</f>
        <v>Новый</v>
      </c>
      <c r="G215" s="68"/>
      <c r="K215" s="68"/>
    </row>
    <row r="216" spans="1:11" ht="12.75">
      <c r="A216" s="69">
        <f ca="1">IFERROR(__xludf.DUMMYFUNCTION("""COMPUTED_VALUE"""),90365)</f>
        <v>90365</v>
      </c>
      <c r="B216" s="4">
        <f ca="1">IFERROR(__xludf.DUMMYFUNCTION("""COMPUTED_VALUE"""),44592)</f>
        <v>44592</v>
      </c>
      <c r="C216" t="str">
        <f ca="1">IFERROR(__xludf.DUMMYFUNCTION("""COMPUTED_VALUE"""),"ЗАО ""ЭКОС"" 115-СТР от 01.01.2022")</f>
        <v>ЗАО "ЭКОС" 115-СТР от 01.01.2022</v>
      </c>
      <c r="D2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6" t="str">
        <f ca="1">IFERROR(__xludf.DUMMYFUNCTION("""COMPUTED_VALUE"""),"Новый")</f>
        <v>Новый</v>
      </c>
      <c r="G216" s="68"/>
      <c r="K216" s="68"/>
    </row>
    <row r="217" spans="1:11" ht="12.75">
      <c r="A217" s="69">
        <f ca="1">IFERROR(__xludf.DUMMYFUNCTION("""COMPUTED_VALUE"""),90366)</f>
        <v>90366</v>
      </c>
      <c r="B217" s="4">
        <f ca="1">IFERROR(__xludf.DUMMYFUNCTION("""COMPUTED_VALUE"""),44592)</f>
        <v>44592</v>
      </c>
      <c r="C217" t="str">
        <f ca="1">IFERROR(__xludf.DUMMYFUNCTION("""COMPUTED_VALUE"""),"ЗАО ""ЭКОС"" 115-СТР от 01.01.2022")</f>
        <v>ЗАО "ЭКОС" 115-СТР от 01.01.2022</v>
      </c>
      <c r="D2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7" t="str">
        <f ca="1">IFERROR(__xludf.DUMMYFUNCTION("""COMPUTED_VALUE"""),"Новый")</f>
        <v>Новый</v>
      </c>
      <c r="G217" s="68"/>
      <c r="K217" s="68"/>
    </row>
    <row r="218" spans="1:11" ht="12.75">
      <c r="A218" s="69">
        <f ca="1">IFERROR(__xludf.DUMMYFUNCTION("""COMPUTED_VALUE"""),90367)</f>
        <v>90367</v>
      </c>
      <c r="B218" s="4">
        <f ca="1">IFERROR(__xludf.DUMMYFUNCTION("""COMPUTED_VALUE"""),44592)</f>
        <v>44592</v>
      </c>
      <c r="C218" t="str">
        <f ca="1">IFERROR(__xludf.DUMMYFUNCTION("""COMPUTED_VALUE"""),"ЗАО ""ЭКОС"" 115-СТР от 01.01.2022")</f>
        <v>ЗАО "ЭКОС" 115-СТР от 01.01.2022</v>
      </c>
      <c r="D2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8" t="str">
        <f ca="1">IFERROR(__xludf.DUMMYFUNCTION("""COMPUTED_VALUE"""),"Новый")</f>
        <v>Новый</v>
      </c>
      <c r="G218" s="68"/>
      <c r="K218" s="68"/>
    </row>
    <row r="219" spans="1:11" ht="12.75">
      <c r="A219" s="69">
        <f ca="1">IFERROR(__xludf.DUMMYFUNCTION("""COMPUTED_VALUE"""),90368)</f>
        <v>90368</v>
      </c>
      <c r="B219" s="4">
        <f ca="1">IFERROR(__xludf.DUMMYFUNCTION("""COMPUTED_VALUE"""),44592)</f>
        <v>44592</v>
      </c>
      <c r="C219" t="str">
        <f ca="1">IFERROR(__xludf.DUMMYFUNCTION("""COMPUTED_VALUE"""),"ЗАО ""ЭКОС"" 115-СТР от 01.01.2022")</f>
        <v>ЗАО "ЭКОС" 115-СТР от 01.01.2022</v>
      </c>
      <c r="D2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9" t="str">
        <f ca="1">IFERROR(__xludf.DUMMYFUNCTION("""COMPUTED_VALUE"""),"Новый")</f>
        <v>Новый</v>
      </c>
      <c r="G219" s="68"/>
      <c r="K219" s="68"/>
    </row>
    <row r="220" spans="1:11" ht="12.75">
      <c r="A220" s="69">
        <f ca="1">IFERROR(__xludf.DUMMYFUNCTION("""COMPUTED_VALUE"""),90369)</f>
        <v>90369</v>
      </c>
      <c r="B220" s="4">
        <f ca="1">IFERROR(__xludf.DUMMYFUNCTION("""COMPUTED_VALUE"""),44592)</f>
        <v>44592</v>
      </c>
      <c r="C220" t="str">
        <f ca="1">IFERROR(__xludf.DUMMYFUNCTION("""COMPUTED_VALUE"""),"ЗАО ""ЭКОС"" 115-СТР от 01.01.2022")</f>
        <v>ЗАО "ЭКОС" 115-СТР от 01.01.2022</v>
      </c>
      <c r="D2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0" t="str">
        <f ca="1">IFERROR(__xludf.DUMMYFUNCTION("""COMPUTED_VALUE"""),"Новый")</f>
        <v>Новый</v>
      </c>
      <c r="G220" s="68"/>
      <c r="K220" s="68"/>
    </row>
    <row r="221" spans="1:11" ht="12.75">
      <c r="A221" s="69">
        <f ca="1">IFERROR(__xludf.DUMMYFUNCTION("""COMPUTED_VALUE"""),90370)</f>
        <v>90370</v>
      </c>
      <c r="B221" s="4">
        <f ca="1">IFERROR(__xludf.DUMMYFUNCTION("""COMPUTED_VALUE"""),44592)</f>
        <v>44592</v>
      </c>
      <c r="C221" t="str">
        <f ca="1">IFERROR(__xludf.DUMMYFUNCTION("""COMPUTED_VALUE"""),"ЗАО ""ЭКОС"" 115-СТР от 01.01.2022")</f>
        <v>ЗАО "ЭКОС" 115-СТР от 01.01.2022</v>
      </c>
      <c r="D2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1" t="str">
        <f ca="1">IFERROR(__xludf.DUMMYFUNCTION("""COMPUTED_VALUE"""),"Новый")</f>
        <v>Новый</v>
      </c>
      <c r="G221" s="68"/>
      <c r="K221" s="68"/>
    </row>
    <row r="222" spans="1:11" ht="12.75">
      <c r="A222" s="69">
        <f ca="1">IFERROR(__xludf.DUMMYFUNCTION("""COMPUTED_VALUE"""),90371)</f>
        <v>90371</v>
      </c>
      <c r="B222" s="4">
        <f ca="1">IFERROR(__xludf.DUMMYFUNCTION("""COMPUTED_VALUE"""),44592)</f>
        <v>44592</v>
      </c>
      <c r="C222" t="str">
        <f ca="1">IFERROR(__xludf.DUMMYFUNCTION("""COMPUTED_VALUE"""),"ЗАО ""ЭКОС"" 115-СТР от 01.01.2022")</f>
        <v>ЗАО "ЭКОС" 115-СТР от 01.01.2022</v>
      </c>
      <c r="D2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2" t="str">
        <f ca="1">IFERROR(__xludf.DUMMYFUNCTION("""COMPUTED_VALUE"""),"Новый")</f>
        <v>Новый</v>
      </c>
      <c r="G222" s="68"/>
      <c r="K222" s="68"/>
    </row>
    <row r="223" spans="1:11" ht="12.75">
      <c r="A223" s="69">
        <f ca="1">IFERROR(__xludf.DUMMYFUNCTION("""COMPUTED_VALUE"""),90372)</f>
        <v>90372</v>
      </c>
      <c r="B223" s="4">
        <f ca="1">IFERROR(__xludf.DUMMYFUNCTION("""COMPUTED_VALUE"""),44592)</f>
        <v>44592</v>
      </c>
      <c r="C223" t="str">
        <f ca="1">IFERROR(__xludf.DUMMYFUNCTION("""COMPUTED_VALUE"""),"ЗАО ""ЭКОС"" 115-СТР от 01.01.2022")</f>
        <v>ЗАО "ЭКОС" 115-СТР от 01.01.2022</v>
      </c>
      <c r="D2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3" t="str">
        <f ca="1">IFERROR(__xludf.DUMMYFUNCTION("""COMPUTED_VALUE"""),"Новый")</f>
        <v>Новый</v>
      </c>
      <c r="G223" s="68"/>
      <c r="K223" s="68"/>
    </row>
    <row r="224" spans="1:11" ht="12.75">
      <c r="A224" s="69">
        <f ca="1">IFERROR(__xludf.DUMMYFUNCTION("""COMPUTED_VALUE"""),90373)</f>
        <v>90373</v>
      </c>
      <c r="B224" s="4">
        <f ca="1">IFERROR(__xludf.DUMMYFUNCTION("""COMPUTED_VALUE"""),44592)</f>
        <v>44592</v>
      </c>
      <c r="C224" t="str">
        <f ca="1">IFERROR(__xludf.DUMMYFUNCTION("""COMPUTED_VALUE"""),"ЗАО ""ЭКОС"" 115-СТР от 01.01.2022")</f>
        <v>ЗАО "ЭКОС" 115-СТР от 01.01.2022</v>
      </c>
      <c r="D2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4" t="str">
        <f ca="1">IFERROR(__xludf.DUMMYFUNCTION("""COMPUTED_VALUE"""),"Новый")</f>
        <v>Новый</v>
      </c>
      <c r="G224" s="68"/>
      <c r="K224" s="68"/>
    </row>
    <row r="225" spans="1:11" ht="12.75">
      <c r="A225" s="69">
        <f ca="1">IFERROR(__xludf.DUMMYFUNCTION("""COMPUTED_VALUE"""),90374)</f>
        <v>90374</v>
      </c>
      <c r="B225" s="4">
        <f ca="1">IFERROR(__xludf.DUMMYFUNCTION("""COMPUTED_VALUE"""),44592)</f>
        <v>44592</v>
      </c>
      <c r="C225" t="str">
        <f ca="1">IFERROR(__xludf.DUMMYFUNCTION("""COMPUTED_VALUE"""),"ЗАО ""ЭКОС"" 115-СТР от 01.01.2022")</f>
        <v>ЗАО "ЭКОС" 115-СТР от 01.01.2022</v>
      </c>
      <c r="D2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5" t="str">
        <f ca="1">IFERROR(__xludf.DUMMYFUNCTION("""COMPUTED_VALUE"""),"Новый")</f>
        <v>Новый</v>
      </c>
      <c r="G225" s="68"/>
      <c r="K225" s="68"/>
    </row>
    <row r="226" spans="1:11" ht="12.75">
      <c r="A226" s="69">
        <f ca="1">IFERROR(__xludf.DUMMYFUNCTION("""COMPUTED_VALUE"""),90375)</f>
        <v>90375</v>
      </c>
      <c r="B226" s="4">
        <f ca="1">IFERROR(__xludf.DUMMYFUNCTION("""COMPUTED_VALUE"""),44592)</f>
        <v>44592</v>
      </c>
      <c r="C226" t="str">
        <f ca="1">IFERROR(__xludf.DUMMYFUNCTION("""COMPUTED_VALUE"""),"ЗАО ""ЭКОС"" 115-СТР от 01.01.2022")</f>
        <v>ЗАО "ЭКОС" 115-СТР от 01.01.2022</v>
      </c>
      <c r="D2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6" t="str">
        <f ca="1">IFERROR(__xludf.DUMMYFUNCTION("""COMPUTED_VALUE"""),"Новый")</f>
        <v>Новый</v>
      </c>
      <c r="G226" s="68"/>
      <c r="K226" s="68"/>
    </row>
    <row r="227" spans="1:11" ht="12.75">
      <c r="A227" s="69">
        <f ca="1">IFERROR(__xludf.DUMMYFUNCTION("""COMPUTED_VALUE"""),90376)</f>
        <v>90376</v>
      </c>
      <c r="B227" s="4">
        <f ca="1">IFERROR(__xludf.DUMMYFUNCTION("""COMPUTED_VALUE"""),44592)</f>
        <v>44592</v>
      </c>
      <c r="C227" t="str">
        <f ca="1">IFERROR(__xludf.DUMMYFUNCTION("""COMPUTED_VALUE"""),"ЗАО ""ЭКОС"" 115-СТР от 01.01.2022")</f>
        <v>ЗАО "ЭКОС" 115-СТР от 01.01.2022</v>
      </c>
      <c r="D2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7" t="str">
        <f ca="1">IFERROR(__xludf.DUMMYFUNCTION("""COMPUTED_VALUE"""),"Новый")</f>
        <v>Новый</v>
      </c>
      <c r="G227" s="68"/>
      <c r="K227" s="68"/>
    </row>
    <row r="228" spans="1:11" ht="12.75">
      <c r="A228" s="69">
        <f ca="1">IFERROR(__xludf.DUMMYFUNCTION("""COMPUTED_VALUE"""),90377)</f>
        <v>90377</v>
      </c>
      <c r="B228" s="4">
        <f ca="1">IFERROR(__xludf.DUMMYFUNCTION("""COMPUTED_VALUE"""),44592)</f>
        <v>44592</v>
      </c>
      <c r="C228" t="str">
        <f ca="1">IFERROR(__xludf.DUMMYFUNCTION("""COMPUTED_VALUE"""),"ЗАО ""ЭКОС"" 115-СТР от 01.01.2022")</f>
        <v>ЗАО "ЭКОС" 115-СТР от 01.01.2022</v>
      </c>
      <c r="D2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" t="str">
        <f ca="1">IFERROR(__xludf.DUMMYFUNCTION("""COMPUTED_VALUE"""),"Новый")</f>
        <v>Новый</v>
      </c>
      <c r="G228" s="68"/>
      <c r="K228" s="68"/>
    </row>
    <row r="229" spans="1:11" ht="12.75">
      <c r="A229" s="69">
        <f ca="1">IFERROR(__xludf.DUMMYFUNCTION("""COMPUTED_VALUE"""),90378)</f>
        <v>90378</v>
      </c>
      <c r="B229" s="4">
        <f ca="1">IFERROR(__xludf.DUMMYFUNCTION("""COMPUTED_VALUE"""),44592)</f>
        <v>44592</v>
      </c>
      <c r="C229" t="str">
        <f ca="1">IFERROR(__xludf.DUMMYFUNCTION("""COMPUTED_VALUE"""),"ЗАО ""ЭКОС"" 115-СТР от 01.01.2022")</f>
        <v>ЗАО "ЭКОС" 115-СТР от 01.01.2022</v>
      </c>
      <c r="D2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9" t="str">
        <f ca="1">IFERROR(__xludf.DUMMYFUNCTION("""COMPUTED_VALUE"""),"Новый")</f>
        <v>Новый</v>
      </c>
      <c r="G229" s="68"/>
      <c r="K229" s="68"/>
    </row>
    <row r="230" spans="1:11" ht="12.75">
      <c r="A230" s="69">
        <f ca="1">IFERROR(__xludf.DUMMYFUNCTION("""COMPUTED_VALUE"""),90379)</f>
        <v>90379</v>
      </c>
      <c r="B230" s="4">
        <f ca="1">IFERROR(__xludf.DUMMYFUNCTION("""COMPUTED_VALUE"""),44592)</f>
        <v>44592</v>
      </c>
      <c r="C230" t="str">
        <f ca="1">IFERROR(__xludf.DUMMYFUNCTION("""COMPUTED_VALUE"""),"ЗАО ""ЭКОС"" 115-СТР от 01.01.2022")</f>
        <v>ЗАО "ЭКОС" 115-СТР от 01.01.2022</v>
      </c>
      <c r="D2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0" t="str">
        <f ca="1">IFERROR(__xludf.DUMMYFUNCTION("""COMPUTED_VALUE"""),"Новый")</f>
        <v>Новый</v>
      </c>
      <c r="G230" s="68"/>
      <c r="K230" s="68"/>
    </row>
    <row r="231" spans="1:11" ht="12.75">
      <c r="A231" s="69">
        <f ca="1">IFERROR(__xludf.DUMMYFUNCTION("""COMPUTED_VALUE"""),90380)</f>
        <v>90380</v>
      </c>
      <c r="B231" s="4">
        <f ca="1">IFERROR(__xludf.DUMMYFUNCTION("""COMPUTED_VALUE"""),44592)</f>
        <v>44592</v>
      </c>
      <c r="C231" t="str">
        <f ca="1">IFERROR(__xludf.DUMMYFUNCTION("""COMPUTED_VALUE"""),"ЗАО ""ЭКОС"" 115-СТР от 01.01.2022")</f>
        <v>ЗАО "ЭКОС" 115-СТР от 01.01.2022</v>
      </c>
      <c r="D2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1" t="str">
        <f ca="1">IFERROR(__xludf.DUMMYFUNCTION("""COMPUTED_VALUE"""),"Новый")</f>
        <v>Новый</v>
      </c>
      <c r="G231" s="68"/>
      <c r="K231" s="68"/>
    </row>
    <row r="232" spans="1:11" ht="12.75">
      <c r="A232" s="69">
        <f ca="1">IFERROR(__xludf.DUMMYFUNCTION("""COMPUTED_VALUE"""),90381)</f>
        <v>90381</v>
      </c>
      <c r="B232" s="4">
        <f ca="1">IFERROR(__xludf.DUMMYFUNCTION("""COMPUTED_VALUE"""),44592)</f>
        <v>44592</v>
      </c>
      <c r="C232" t="str">
        <f ca="1">IFERROR(__xludf.DUMMYFUNCTION("""COMPUTED_VALUE"""),"ЗАО ""ЭКОС"" 115-СТР от 01.01.2022")</f>
        <v>ЗАО "ЭКОС" 115-СТР от 01.01.2022</v>
      </c>
      <c r="D2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2" t="str">
        <f ca="1">IFERROR(__xludf.DUMMYFUNCTION("""COMPUTED_VALUE"""),"Новый")</f>
        <v>Новый</v>
      </c>
      <c r="G232" s="68"/>
      <c r="K232" s="68"/>
    </row>
    <row r="233" spans="1:11" ht="12.75">
      <c r="A233" s="69">
        <f ca="1">IFERROR(__xludf.DUMMYFUNCTION("""COMPUTED_VALUE"""),90382)</f>
        <v>90382</v>
      </c>
      <c r="B233" s="4">
        <f ca="1">IFERROR(__xludf.DUMMYFUNCTION("""COMPUTED_VALUE"""),44592)</f>
        <v>44592</v>
      </c>
      <c r="C233" t="str">
        <f ca="1">IFERROR(__xludf.DUMMYFUNCTION("""COMPUTED_VALUE"""),"ЗАО ""ЭКОС"" 115-СТР от 01.01.2022")</f>
        <v>ЗАО "ЭКОС" 115-СТР от 01.01.2022</v>
      </c>
      <c r="D2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" t="str">
        <f ca="1">IFERROR(__xludf.DUMMYFUNCTION("""COMPUTED_VALUE"""),"Новый")</f>
        <v>Новый</v>
      </c>
      <c r="G233" s="68"/>
      <c r="K233" s="68"/>
    </row>
    <row r="234" spans="1:11" ht="12.75">
      <c r="A234" s="69">
        <f ca="1">IFERROR(__xludf.DUMMYFUNCTION("""COMPUTED_VALUE"""),90383)</f>
        <v>90383</v>
      </c>
      <c r="B234" s="4">
        <f ca="1">IFERROR(__xludf.DUMMYFUNCTION("""COMPUTED_VALUE"""),44592)</f>
        <v>44592</v>
      </c>
      <c r="C234" t="str">
        <f ca="1">IFERROR(__xludf.DUMMYFUNCTION("""COMPUTED_VALUE"""),"ЗАО ""ЭКОС"" 115-СТР от 01.01.2022")</f>
        <v>ЗАО "ЭКОС" 115-СТР от 01.01.2022</v>
      </c>
      <c r="D2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" t="str">
        <f ca="1">IFERROR(__xludf.DUMMYFUNCTION("""COMPUTED_VALUE"""),"Новый")</f>
        <v>Новый</v>
      </c>
      <c r="G234" s="68"/>
      <c r="K234" s="68"/>
    </row>
    <row r="235" spans="1:11" ht="12.75">
      <c r="A235" s="69">
        <f ca="1">IFERROR(__xludf.DUMMYFUNCTION("""COMPUTED_VALUE"""),90384)</f>
        <v>90384</v>
      </c>
      <c r="B235" s="4">
        <f ca="1">IFERROR(__xludf.DUMMYFUNCTION("""COMPUTED_VALUE"""),44592)</f>
        <v>44592</v>
      </c>
      <c r="C235" t="str">
        <f ca="1">IFERROR(__xludf.DUMMYFUNCTION("""COMPUTED_VALUE"""),"ЗАО ""ЭКОС"" 115-СТР от 01.01.2022")</f>
        <v>ЗАО "ЭКОС" 115-СТР от 01.01.2022</v>
      </c>
      <c r="D2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" t="str">
        <f ca="1">IFERROR(__xludf.DUMMYFUNCTION("""COMPUTED_VALUE"""),"Новый")</f>
        <v>Новый</v>
      </c>
      <c r="G235" s="68"/>
      <c r="K235" s="68"/>
    </row>
    <row r="236" spans="1:11" ht="12.75">
      <c r="A236" s="69">
        <f ca="1">IFERROR(__xludf.DUMMYFUNCTION("""COMPUTED_VALUE"""),90385)</f>
        <v>90385</v>
      </c>
      <c r="B236" s="4">
        <f ca="1">IFERROR(__xludf.DUMMYFUNCTION("""COMPUTED_VALUE"""),44592)</f>
        <v>44592</v>
      </c>
      <c r="C236" t="str">
        <f ca="1">IFERROR(__xludf.DUMMYFUNCTION("""COMPUTED_VALUE"""),"ЗАО ""ЭКОС"" 115-СТР от 01.01.2022")</f>
        <v>ЗАО "ЭКОС" 115-СТР от 01.01.2022</v>
      </c>
      <c r="D2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" t="str">
        <f ca="1">IFERROR(__xludf.DUMMYFUNCTION("""COMPUTED_VALUE"""),"Новый")</f>
        <v>Новый</v>
      </c>
      <c r="G236" s="68"/>
      <c r="K236" s="68"/>
    </row>
    <row r="237" spans="1:11" ht="12.75">
      <c r="A237" s="69">
        <f ca="1">IFERROR(__xludf.DUMMYFUNCTION("""COMPUTED_VALUE"""),90386)</f>
        <v>90386</v>
      </c>
      <c r="B237" s="4">
        <f ca="1">IFERROR(__xludf.DUMMYFUNCTION("""COMPUTED_VALUE"""),44592)</f>
        <v>44592</v>
      </c>
      <c r="C237" t="str">
        <f ca="1">IFERROR(__xludf.DUMMYFUNCTION("""COMPUTED_VALUE"""),"ЗАО ""ЭКОС"" 115-СТР от 01.01.2022")</f>
        <v>ЗАО "ЭКОС" 115-СТР от 01.01.2022</v>
      </c>
      <c r="D2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7" t="str">
        <f ca="1">IFERROR(__xludf.DUMMYFUNCTION("""COMPUTED_VALUE"""),"Новый")</f>
        <v>Новый</v>
      </c>
      <c r="G237" s="68"/>
      <c r="K237" s="68"/>
    </row>
    <row r="238" spans="1:11" ht="12.75">
      <c r="A238" s="69">
        <f ca="1">IFERROR(__xludf.DUMMYFUNCTION("""COMPUTED_VALUE"""),90387)</f>
        <v>90387</v>
      </c>
      <c r="B238" s="4">
        <f ca="1">IFERROR(__xludf.DUMMYFUNCTION("""COMPUTED_VALUE"""),44592)</f>
        <v>44592</v>
      </c>
      <c r="C238" t="str">
        <f ca="1">IFERROR(__xludf.DUMMYFUNCTION("""COMPUTED_VALUE"""),"ЗАО ""ЭКОС"" 115-СТР от 01.01.2022")</f>
        <v>ЗАО "ЭКОС" 115-СТР от 01.01.2022</v>
      </c>
      <c r="D2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8" t="str">
        <f ca="1">IFERROR(__xludf.DUMMYFUNCTION("""COMPUTED_VALUE"""),"Новый")</f>
        <v>Новый</v>
      </c>
      <c r="G238" s="68"/>
      <c r="K238" s="68"/>
    </row>
    <row r="239" spans="1:11" ht="12.75">
      <c r="A239" s="69">
        <f ca="1">IFERROR(__xludf.DUMMYFUNCTION("""COMPUTED_VALUE"""),90388)</f>
        <v>90388</v>
      </c>
      <c r="B239" s="4">
        <f ca="1">IFERROR(__xludf.DUMMYFUNCTION("""COMPUTED_VALUE"""),44592)</f>
        <v>44592</v>
      </c>
      <c r="C239" t="str">
        <f ca="1">IFERROR(__xludf.DUMMYFUNCTION("""COMPUTED_VALUE"""),"ЗАО ""ЭКОС"" 115-СТР от 01.01.2022")</f>
        <v>ЗАО "ЭКОС" 115-СТР от 01.01.2022</v>
      </c>
      <c r="D2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9" t="str">
        <f ca="1">IFERROR(__xludf.DUMMYFUNCTION("""COMPUTED_VALUE"""),"Новый")</f>
        <v>Новый</v>
      </c>
      <c r="G239" s="68"/>
      <c r="K239" s="68"/>
    </row>
    <row r="240" spans="1:11" ht="12.75">
      <c r="A240" s="69">
        <f ca="1">IFERROR(__xludf.DUMMYFUNCTION("""COMPUTED_VALUE"""),90389)</f>
        <v>90389</v>
      </c>
      <c r="B240" s="4">
        <f ca="1">IFERROR(__xludf.DUMMYFUNCTION("""COMPUTED_VALUE"""),44592)</f>
        <v>44592</v>
      </c>
      <c r="C240" t="str">
        <f ca="1">IFERROR(__xludf.DUMMYFUNCTION("""COMPUTED_VALUE"""),"ЗАО ""ЭКОС"" 115-СТР от 01.01.2022")</f>
        <v>ЗАО "ЭКОС" 115-СТР от 01.01.2022</v>
      </c>
      <c r="D2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0" t="str">
        <f ca="1">IFERROR(__xludf.DUMMYFUNCTION("""COMPUTED_VALUE"""),"Новый")</f>
        <v>Новый</v>
      </c>
      <c r="G240" s="68"/>
      <c r="K240" s="68"/>
    </row>
    <row r="241" spans="1:11" ht="12.75">
      <c r="A241" s="69">
        <f ca="1">IFERROR(__xludf.DUMMYFUNCTION("""COMPUTED_VALUE"""),90390)</f>
        <v>90390</v>
      </c>
      <c r="B241" s="4">
        <f ca="1">IFERROR(__xludf.DUMMYFUNCTION("""COMPUTED_VALUE"""),44592)</f>
        <v>44592</v>
      </c>
      <c r="C241" t="str">
        <f ca="1">IFERROR(__xludf.DUMMYFUNCTION("""COMPUTED_VALUE"""),"ЗАО ""ЭКОС"" 115-СТР от 01.01.2022")</f>
        <v>ЗАО "ЭКОС" 115-СТР от 01.01.2022</v>
      </c>
      <c r="D2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1" t="str">
        <f ca="1">IFERROR(__xludf.DUMMYFUNCTION("""COMPUTED_VALUE"""),"Новый")</f>
        <v>Новый</v>
      </c>
      <c r="G241" s="68"/>
      <c r="K241" s="68"/>
    </row>
    <row r="242" spans="1:11" ht="12.75">
      <c r="A242" s="69">
        <f ca="1">IFERROR(__xludf.DUMMYFUNCTION("""COMPUTED_VALUE"""),90391)</f>
        <v>90391</v>
      </c>
      <c r="B242" s="4">
        <f ca="1">IFERROR(__xludf.DUMMYFUNCTION("""COMPUTED_VALUE"""),44592)</f>
        <v>44592</v>
      </c>
      <c r="C242" t="str">
        <f ca="1">IFERROR(__xludf.DUMMYFUNCTION("""COMPUTED_VALUE"""),"ЗАО ""ЭКОС"" 115-СТР от 01.01.2022")</f>
        <v>ЗАО "ЭКОС" 115-СТР от 01.01.2022</v>
      </c>
      <c r="D2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2" t="str">
        <f ca="1">IFERROR(__xludf.DUMMYFUNCTION("""COMPUTED_VALUE"""),"Новый")</f>
        <v>Новый</v>
      </c>
      <c r="G242" s="68"/>
      <c r="K242" s="68"/>
    </row>
    <row r="243" spans="1:11" ht="12.75">
      <c r="A243" s="69">
        <f ca="1">IFERROR(__xludf.DUMMYFUNCTION("""COMPUTED_VALUE"""),90392)</f>
        <v>90392</v>
      </c>
      <c r="B243" s="4">
        <f ca="1">IFERROR(__xludf.DUMMYFUNCTION("""COMPUTED_VALUE"""),44592)</f>
        <v>44592</v>
      </c>
      <c r="C243" t="str">
        <f ca="1">IFERROR(__xludf.DUMMYFUNCTION("""COMPUTED_VALUE"""),"ЗАО ""ЭКОС"" 115-СТР от 01.01.2022")</f>
        <v>ЗАО "ЭКОС" 115-СТР от 01.01.2022</v>
      </c>
      <c r="D2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3" t="str">
        <f ca="1">IFERROR(__xludf.DUMMYFUNCTION("""COMPUTED_VALUE"""),"Новый")</f>
        <v>Новый</v>
      </c>
      <c r="G243" s="68"/>
      <c r="K243" s="68"/>
    </row>
    <row r="244" spans="1:11" ht="12.75">
      <c r="A244" s="69">
        <f ca="1">IFERROR(__xludf.DUMMYFUNCTION("""COMPUTED_VALUE"""),90393)</f>
        <v>90393</v>
      </c>
      <c r="B244" s="4">
        <f ca="1">IFERROR(__xludf.DUMMYFUNCTION("""COMPUTED_VALUE"""),44592)</f>
        <v>44592</v>
      </c>
      <c r="C244" t="str">
        <f ca="1">IFERROR(__xludf.DUMMYFUNCTION("""COMPUTED_VALUE"""),"ЗАО ""ЭКОС"" 115-СТР от 01.01.2022")</f>
        <v>ЗАО "ЭКОС" 115-СТР от 01.01.2022</v>
      </c>
      <c r="D2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4" t="str">
        <f ca="1">IFERROR(__xludf.DUMMYFUNCTION("""COMPUTED_VALUE"""),"Новый")</f>
        <v>Новый</v>
      </c>
      <c r="G244" s="68"/>
      <c r="K244" s="68"/>
    </row>
    <row r="245" spans="1:11" ht="12.75">
      <c r="A245" s="69">
        <f ca="1">IFERROR(__xludf.DUMMYFUNCTION("""COMPUTED_VALUE"""),90394)</f>
        <v>90394</v>
      </c>
      <c r="B245" s="4">
        <f ca="1">IFERROR(__xludf.DUMMYFUNCTION("""COMPUTED_VALUE"""),44592)</f>
        <v>44592</v>
      </c>
      <c r="C245" t="str">
        <f ca="1">IFERROR(__xludf.DUMMYFUNCTION("""COMPUTED_VALUE"""),"ЗАО ""ЭКОС"" 115-СТР от 01.01.2022")</f>
        <v>ЗАО "ЭКОС" 115-СТР от 01.01.2022</v>
      </c>
      <c r="D2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5" t="str">
        <f ca="1">IFERROR(__xludf.DUMMYFUNCTION("""COMPUTED_VALUE"""),"Новый")</f>
        <v>Новый</v>
      </c>
      <c r="G245" s="68"/>
      <c r="K245" s="68"/>
    </row>
    <row r="246" spans="1:11" ht="12.75">
      <c r="A246" s="69">
        <f ca="1">IFERROR(__xludf.DUMMYFUNCTION("""COMPUTED_VALUE"""),90395)</f>
        <v>90395</v>
      </c>
      <c r="B246" s="4">
        <f ca="1">IFERROR(__xludf.DUMMYFUNCTION("""COMPUTED_VALUE"""),44592)</f>
        <v>44592</v>
      </c>
      <c r="C246" t="str">
        <f ca="1">IFERROR(__xludf.DUMMYFUNCTION("""COMPUTED_VALUE"""),"ЗАО ""ЭКОС"" 115-СТР от 01.01.2022")</f>
        <v>ЗАО "ЭКОС" 115-СТР от 01.01.2022</v>
      </c>
      <c r="D2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6" t="str">
        <f ca="1">IFERROR(__xludf.DUMMYFUNCTION("""COMPUTED_VALUE"""),"Новый")</f>
        <v>Новый</v>
      </c>
      <c r="G246" s="68"/>
      <c r="K246" s="68"/>
    </row>
    <row r="247" spans="1:11" ht="12.75">
      <c r="A247" s="69">
        <f ca="1">IFERROR(__xludf.DUMMYFUNCTION("""COMPUTED_VALUE"""),90396)</f>
        <v>90396</v>
      </c>
      <c r="B247" s="4">
        <f ca="1">IFERROR(__xludf.DUMMYFUNCTION("""COMPUTED_VALUE"""),44592)</f>
        <v>44592</v>
      </c>
      <c r="C247" t="str">
        <f ca="1">IFERROR(__xludf.DUMMYFUNCTION("""COMPUTED_VALUE"""),"ЗАО ""ЭКОС"" 115-СТР от 01.01.2022")</f>
        <v>ЗАО "ЭКОС" 115-СТР от 01.01.2022</v>
      </c>
      <c r="D2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7" t="str">
        <f ca="1">IFERROR(__xludf.DUMMYFUNCTION("""COMPUTED_VALUE"""),"Новый")</f>
        <v>Новый</v>
      </c>
      <c r="G247" s="68"/>
      <c r="K247" s="68"/>
    </row>
    <row r="248" spans="1:11" ht="12.75">
      <c r="A248" s="69">
        <f ca="1">IFERROR(__xludf.DUMMYFUNCTION("""COMPUTED_VALUE"""),90397)</f>
        <v>90397</v>
      </c>
      <c r="B248" s="4">
        <f ca="1">IFERROR(__xludf.DUMMYFUNCTION("""COMPUTED_VALUE"""),44592)</f>
        <v>44592</v>
      </c>
      <c r="C248" t="str">
        <f ca="1">IFERROR(__xludf.DUMMYFUNCTION("""COMPUTED_VALUE"""),"ЗАО ""ЭКОС"" 115-СТР от 01.01.2022")</f>
        <v>ЗАО "ЭКОС" 115-СТР от 01.01.2022</v>
      </c>
      <c r="D2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8" t="str">
        <f ca="1">IFERROR(__xludf.DUMMYFUNCTION("""COMPUTED_VALUE"""),"Новый")</f>
        <v>Новый</v>
      </c>
      <c r="G248" s="68"/>
      <c r="K248" s="68"/>
    </row>
    <row r="249" spans="1:11" ht="12.75">
      <c r="A249" s="69">
        <f ca="1">IFERROR(__xludf.DUMMYFUNCTION("""COMPUTED_VALUE"""),90398)</f>
        <v>90398</v>
      </c>
      <c r="B249" s="4">
        <f ca="1">IFERROR(__xludf.DUMMYFUNCTION("""COMPUTED_VALUE"""),44592)</f>
        <v>44592</v>
      </c>
      <c r="C249" t="str">
        <f ca="1">IFERROR(__xludf.DUMMYFUNCTION("""COMPUTED_VALUE"""),"ЗАО ""ЭКОС"" 115-СТР от 01.01.2022")</f>
        <v>ЗАО "ЭКОС" 115-СТР от 01.01.2022</v>
      </c>
      <c r="D2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9" t="str">
        <f ca="1">IFERROR(__xludf.DUMMYFUNCTION("""COMPUTED_VALUE"""),"Новый")</f>
        <v>Новый</v>
      </c>
      <c r="G249" s="68"/>
      <c r="K249" s="68"/>
    </row>
    <row r="250" spans="1:11" ht="12.75">
      <c r="A250" s="69">
        <f ca="1">IFERROR(__xludf.DUMMYFUNCTION("""COMPUTED_VALUE"""),90399)</f>
        <v>90399</v>
      </c>
      <c r="B250" s="4">
        <f ca="1">IFERROR(__xludf.DUMMYFUNCTION("""COMPUTED_VALUE"""),44592)</f>
        <v>44592</v>
      </c>
      <c r="C250" t="str">
        <f ca="1">IFERROR(__xludf.DUMMYFUNCTION("""COMPUTED_VALUE"""),"ЗАО ""ЭКОС"" 115-СТР от 01.01.2022")</f>
        <v>ЗАО "ЭКОС" 115-СТР от 01.01.2022</v>
      </c>
      <c r="D2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0" t="str">
        <f ca="1">IFERROR(__xludf.DUMMYFUNCTION("""COMPUTED_VALUE"""),"Новый")</f>
        <v>Новый</v>
      </c>
      <c r="G250" s="68"/>
      <c r="K250" s="68"/>
    </row>
    <row r="251" spans="1:11" ht="12.75">
      <c r="A251" s="69">
        <f ca="1">IFERROR(__xludf.DUMMYFUNCTION("""COMPUTED_VALUE"""),90400)</f>
        <v>90400</v>
      </c>
      <c r="B251" s="4">
        <f ca="1">IFERROR(__xludf.DUMMYFUNCTION("""COMPUTED_VALUE"""),44592)</f>
        <v>44592</v>
      </c>
      <c r="C251" t="str">
        <f ca="1">IFERROR(__xludf.DUMMYFUNCTION("""COMPUTED_VALUE"""),"ЗАО ""ЭКОС"" 115-СТР от 01.01.2022")</f>
        <v>ЗАО "ЭКОС" 115-СТР от 01.01.2022</v>
      </c>
      <c r="D2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1" t="str">
        <f ca="1">IFERROR(__xludf.DUMMYFUNCTION("""COMPUTED_VALUE"""),"Новый")</f>
        <v>Новый</v>
      </c>
      <c r="G251" s="68"/>
      <c r="K251" s="68"/>
    </row>
    <row r="252" spans="1:11" ht="12.75">
      <c r="A252" s="69">
        <f ca="1">IFERROR(__xludf.DUMMYFUNCTION("""COMPUTED_VALUE"""),90401)</f>
        <v>90401</v>
      </c>
      <c r="B252" s="4">
        <f ca="1">IFERROR(__xludf.DUMMYFUNCTION("""COMPUTED_VALUE"""),44592)</f>
        <v>44592</v>
      </c>
      <c r="C252" t="str">
        <f ca="1">IFERROR(__xludf.DUMMYFUNCTION("""COMPUTED_VALUE"""),"ЗАО ""ЭКОС"" 115-СТР от 01.01.2022")</f>
        <v>ЗАО "ЭКОС" 115-СТР от 01.01.2022</v>
      </c>
      <c r="D2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2" t="str">
        <f ca="1">IFERROR(__xludf.DUMMYFUNCTION("""COMPUTED_VALUE"""),"Новый")</f>
        <v>Новый</v>
      </c>
      <c r="G252" s="68"/>
      <c r="K252" s="68"/>
    </row>
    <row r="253" spans="1:11" ht="12.75">
      <c r="A253" s="69">
        <f ca="1">IFERROR(__xludf.DUMMYFUNCTION("""COMPUTED_VALUE"""),90402)</f>
        <v>90402</v>
      </c>
      <c r="B253" s="4">
        <f ca="1">IFERROR(__xludf.DUMMYFUNCTION("""COMPUTED_VALUE"""),44592)</f>
        <v>44592</v>
      </c>
      <c r="C253" t="str">
        <f ca="1">IFERROR(__xludf.DUMMYFUNCTION("""COMPUTED_VALUE"""),"ЗАО ""ЭКОС"" 115-СТР от 01.01.2022")</f>
        <v>ЗАО "ЭКОС" 115-СТР от 01.01.2022</v>
      </c>
      <c r="D2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3" t="str">
        <f ca="1">IFERROR(__xludf.DUMMYFUNCTION("""COMPUTED_VALUE"""),"Новый")</f>
        <v>Новый</v>
      </c>
      <c r="G253" s="68"/>
      <c r="K253" s="68"/>
    </row>
    <row r="254" spans="1:11" ht="12.75">
      <c r="A254" s="69">
        <f ca="1">IFERROR(__xludf.DUMMYFUNCTION("""COMPUTED_VALUE"""),90403)</f>
        <v>90403</v>
      </c>
      <c r="B254" s="4">
        <f ca="1">IFERROR(__xludf.DUMMYFUNCTION("""COMPUTED_VALUE"""),44592)</f>
        <v>44592</v>
      </c>
      <c r="C254" t="str">
        <f ca="1">IFERROR(__xludf.DUMMYFUNCTION("""COMPUTED_VALUE"""),"ООО ""ЧИСТЫЙ ГОРОД-ОМСК"" 116-СТР от 01.01.2021")</f>
        <v>ООО "ЧИСТЫЙ ГОРОД-ОМСК" 116-СТР от 01.01.2021</v>
      </c>
      <c r="D2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4" t="str">
        <f ca="1">IFERROR(__xludf.DUMMYFUNCTION("""COMPUTED_VALUE"""),"Новый")</f>
        <v>Новый</v>
      </c>
      <c r="G254" s="68"/>
      <c r="K254" s="68"/>
    </row>
    <row r="255" spans="1:11" ht="12.75">
      <c r="A255" s="69">
        <f ca="1">IFERROR(__xludf.DUMMYFUNCTION("""COMPUTED_VALUE"""),90404)</f>
        <v>90404</v>
      </c>
      <c r="B255" s="4">
        <f ca="1">IFERROR(__xludf.DUMMYFUNCTION("""COMPUTED_VALUE"""),44592)</f>
        <v>44592</v>
      </c>
      <c r="C255" t="str">
        <f ca="1">IFERROR(__xludf.DUMMYFUNCTION("""COMPUTED_VALUE"""),"ООО ""ЧИСТЫЙ ГОРОД-ОМСК"" 116-СТР от 01.01.2021")</f>
        <v>ООО "ЧИСТЫЙ ГОРОД-ОМСК" 116-СТР от 01.01.2021</v>
      </c>
      <c r="D2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" t="str">
        <f ca="1">IFERROR(__xludf.DUMMYFUNCTION("""COMPUTED_VALUE"""),"Новый")</f>
        <v>Новый</v>
      </c>
      <c r="G255" s="68"/>
      <c r="K255" s="68"/>
    </row>
    <row r="256" spans="1:11" ht="12.75">
      <c r="A256" s="69">
        <f ca="1">IFERROR(__xludf.DUMMYFUNCTION("""COMPUTED_VALUE"""),90405)</f>
        <v>90405</v>
      </c>
      <c r="B256" s="4">
        <f ca="1">IFERROR(__xludf.DUMMYFUNCTION("""COMPUTED_VALUE"""),44592)</f>
        <v>44592</v>
      </c>
      <c r="C256" t="str">
        <f ca="1">IFERROR(__xludf.DUMMYFUNCTION("""COMPUTED_VALUE"""),"ООО ""ЧИСТЫЙ ГОРОД-ОМСК"" 116-СТР от 01.01.2021")</f>
        <v>ООО "ЧИСТЫЙ ГОРОД-ОМСК" 116-СТР от 01.01.2021</v>
      </c>
      <c r="D2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" t="str">
        <f ca="1">IFERROR(__xludf.DUMMYFUNCTION("""COMPUTED_VALUE"""),"Новый")</f>
        <v>Новый</v>
      </c>
      <c r="G256" s="68"/>
      <c r="K256" s="68"/>
    </row>
    <row r="257" spans="1:11" ht="12.75">
      <c r="A257" s="69">
        <f ca="1">IFERROR(__xludf.DUMMYFUNCTION("""COMPUTED_VALUE"""),90406)</f>
        <v>90406</v>
      </c>
      <c r="B257" s="4">
        <f ca="1">IFERROR(__xludf.DUMMYFUNCTION("""COMPUTED_VALUE"""),44592)</f>
        <v>44592</v>
      </c>
      <c r="C257" t="str">
        <f ca="1">IFERROR(__xludf.DUMMYFUNCTION("""COMPUTED_VALUE"""),"ООО ""ЧИСТЫЙ ГОРОД-ОМСК"" 116-СТР от 01.01.2021")</f>
        <v>ООО "ЧИСТЫЙ ГОРОД-ОМСК" 116-СТР от 01.01.2021</v>
      </c>
      <c r="D2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" t="str">
        <f ca="1">IFERROR(__xludf.DUMMYFUNCTION("""COMPUTED_VALUE"""),"Новый")</f>
        <v>Новый</v>
      </c>
      <c r="G257" s="68"/>
      <c r="K257" s="68"/>
    </row>
    <row r="258" spans="1:11" ht="12.75">
      <c r="A258" s="69">
        <f ca="1">IFERROR(__xludf.DUMMYFUNCTION("""COMPUTED_VALUE"""),90407)</f>
        <v>90407</v>
      </c>
      <c r="B258" s="4">
        <f ca="1">IFERROR(__xludf.DUMMYFUNCTION("""COMPUTED_VALUE"""),44592)</f>
        <v>44592</v>
      </c>
      <c r="C258" t="str">
        <f ca="1">IFERROR(__xludf.DUMMYFUNCTION("""COMPUTED_VALUE"""),"ООО ""ЧИСТЫЙ ГОРОД-ОМСК"" 116-СТР от 01.01.2021")</f>
        <v>ООО "ЧИСТЫЙ ГОРОД-ОМСК" 116-СТР от 01.01.2021</v>
      </c>
      <c r="D2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" t="str">
        <f ca="1">IFERROR(__xludf.DUMMYFUNCTION("""COMPUTED_VALUE"""),"Новый")</f>
        <v>Новый</v>
      </c>
      <c r="G258" s="68"/>
      <c r="K258" s="68"/>
    </row>
    <row r="259" spans="1:11" ht="12.75">
      <c r="A259" s="69">
        <f ca="1">IFERROR(__xludf.DUMMYFUNCTION("""COMPUTED_VALUE"""),90408)</f>
        <v>90408</v>
      </c>
      <c r="B259" s="4">
        <f ca="1">IFERROR(__xludf.DUMMYFUNCTION("""COMPUTED_VALUE"""),44592)</f>
        <v>44592</v>
      </c>
      <c r="C259" t="str">
        <f ca="1">IFERROR(__xludf.DUMMYFUNCTION("""COMPUTED_VALUE"""),"ООО ""ЧИСТЫЙ ГОРОД-ОМСК"" 116-СТР от 01.01.2021")</f>
        <v>ООО "ЧИСТЫЙ ГОРОД-ОМСК" 116-СТР от 01.01.2021</v>
      </c>
      <c r="D2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" t="str">
        <f ca="1">IFERROR(__xludf.DUMMYFUNCTION("""COMPUTED_VALUE"""),"Новый")</f>
        <v>Новый</v>
      </c>
      <c r="G259" s="68"/>
      <c r="K259" s="68"/>
    </row>
    <row r="260" spans="1:11" ht="12.75">
      <c r="A260" s="69">
        <f ca="1">IFERROR(__xludf.DUMMYFUNCTION("""COMPUTED_VALUE"""),90409)</f>
        <v>90409</v>
      </c>
      <c r="B260" s="4">
        <f ca="1">IFERROR(__xludf.DUMMYFUNCTION("""COMPUTED_VALUE"""),44592)</f>
        <v>44592</v>
      </c>
      <c r="C260" t="str">
        <f ca="1">IFERROR(__xludf.DUMMYFUNCTION("""COMPUTED_VALUE"""),"ООО ""ЧИСТЫЙ ГОРОД-ОМСК"" 116-СТР от 01.01.2021")</f>
        <v>ООО "ЧИСТЫЙ ГОРОД-ОМСК" 116-СТР от 01.01.2021</v>
      </c>
      <c r="D2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" t="str">
        <f ca="1">IFERROR(__xludf.DUMMYFUNCTION("""COMPUTED_VALUE"""),"Новый")</f>
        <v>Новый</v>
      </c>
      <c r="G260" s="68"/>
      <c r="K260" s="68"/>
    </row>
    <row r="261" spans="1:11" ht="12.75">
      <c r="A261" s="69">
        <f ca="1">IFERROR(__xludf.DUMMYFUNCTION("""COMPUTED_VALUE"""),90410)</f>
        <v>90410</v>
      </c>
      <c r="B261" s="4">
        <f ca="1">IFERROR(__xludf.DUMMYFUNCTION("""COMPUTED_VALUE"""),44592)</f>
        <v>44592</v>
      </c>
      <c r="C261" t="str">
        <f ca="1">IFERROR(__xludf.DUMMYFUNCTION("""COMPUTED_VALUE"""),"ООО ""ЧИСТЫЙ ГОРОД-ОМСК"" 116-СТР от 01.01.2021")</f>
        <v>ООО "ЧИСТЫЙ ГОРОД-ОМСК" 116-СТР от 01.01.2021</v>
      </c>
      <c r="D2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" t="str">
        <f ca="1">IFERROR(__xludf.DUMMYFUNCTION("""COMPUTED_VALUE"""),"Новый")</f>
        <v>Новый</v>
      </c>
      <c r="G261" s="68"/>
      <c r="K261" s="68"/>
    </row>
    <row r="262" spans="1:11" ht="12.75">
      <c r="A262" s="69">
        <f ca="1">IFERROR(__xludf.DUMMYFUNCTION("""COMPUTED_VALUE"""),90411)</f>
        <v>90411</v>
      </c>
      <c r="B262" s="4">
        <f ca="1">IFERROR(__xludf.DUMMYFUNCTION("""COMPUTED_VALUE"""),44592)</f>
        <v>44592</v>
      </c>
      <c r="C262" t="str">
        <f ca="1">IFERROR(__xludf.DUMMYFUNCTION("""COMPUTED_VALUE"""),"ООО ""ЧИСТЫЙ ГОРОД-ОМСК"" 116-СТР от 01.01.2021")</f>
        <v>ООО "ЧИСТЫЙ ГОРОД-ОМСК" 116-СТР от 01.01.2021</v>
      </c>
      <c r="D2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" t="str">
        <f ca="1">IFERROR(__xludf.DUMMYFUNCTION("""COMPUTED_VALUE"""),"Новый")</f>
        <v>Новый</v>
      </c>
      <c r="G262" s="68"/>
      <c r="K262" s="68"/>
    </row>
    <row r="263" spans="1:11" ht="12.75">
      <c r="A263" s="69">
        <f ca="1">IFERROR(__xludf.DUMMYFUNCTION("""COMPUTED_VALUE"""),90412)</f>
        <v>90412</v>
      </c>
      <c r="B263" s="4">
        <f ca="1">IFERROR(__xludf.DUMMYFUNCTION("""COMPUTED_VALUE"""),44592)</f>
        <v>44592</v>
      </c>
      <c r="C263" t="str">
        <f ca="1">IFERROR(__xludf.DUMMYFUNCTION("""COMPUTED_VALUE"""),"ООО ""ЧИСТЫЙ ГОРОД-ОМСК"" 116-СТР от 01.01.2021")</f>
        <v>ООО "ЧИСТЫЙ ГОРОД-ОМСК" 116-СТР от 01.01.2021</v>
      </c>
      <c r="D2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3" t="str">
        <f ca="1">IFERROR(__xludf.DUMMYFUNCTION("""COMPUTED_VALUE"""),"Новый")</f>
        <v>Новый</v>
      </c>
      <c r="G263" s="68"/>
      <c r="K263" s="68"/>
    </row>
    <row r="264" spans="1:11" ht="12.75">
      <c r="A264" s="69">
        <f ca="1">IFERROR(__xludf.DUMMYFUNCTION("""COMPUTED_VALUE"""),90413)</f>
        <v>90413</v>
      </c>
      <c r="B264" s="4">
        <f ca="1">IFERROR(__xludf.DUMMYFUNCTION("""COMPUTED_VALUE"""),44592)</f>
        <v>44592</v>
      </c>
      <c r="C264" t="str">
        <f ca="1">IFERROR(__xludf.DUMMYFUNCTION("""COMPUTED_VALUE"""),"ООО ""ЧИСТЫЙ ГОРОД-ОМСК"" 116-СТР от 01.01.2021")</f>
        <v>ООО "ЧИСТЫЙ ГОРОД-ОМСК" 116-СТР от 01.01.2021</v>
      </c>
      <c r="D2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4" t="str">
        <f ca="1">IFERROR(__xludf.DUMMYFUNCTION("""COMPUTED_VALUE"""),"Новый")</f>
        <v>Новый</v>
      </c>
      <c r="G264" s="68"/>
      <c r="K264" s="68"/>
    </row>
    <row r="265" spans="1:11" ht="12.75">
      <c r="A265" s="69">
        <f ca="1">IFERROR(__xludf.DUMMYFUNCTION("""COMPUTED_VALUE"""),90414)</f>
        <v>90414</v>
      </c>
      <c r="B265" s="4">
        <f ca="1">IFERROR(__xludf.DUMMYFUNCTION("""COMPUTED_VALUE"""),44592)</f>
        <v>44592</v>
      </c>
      <c r="C265" t="str">
        <f ca="1">IFERROR(__xludf.DUMMYFUNCTION("""COMPUTED_VALUE"""),"ООО ""ЧИСТЫЙ ГОРОД-ОМСК"" 116-СТР от 01.01.2021")</f>
        <v>ООО "ЧИСТЫЙ ГОРОД-ОМСК" 116-СТР от 01.01.2021</v>
      </c>
      <c r="D2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5" t="str">
        <f ca="1">IFERROR(__xludf.DUMMYFUNCTION("""COMPUTED_VALUE"""),"Новый")</f>
        <v>Новый</v>
      </c>
      <c r="G265" s="68"/>
      <c r="K265" s="68"/>
    </row>
    <row r="266" spans="1:11" ht="12.75">
      <c r="A266" s="69">
        <f ca="1">IFERROR(__xludf.DUMMYFUNCTION("""COMPUTED_VALUE"""),90415)</f>
        <v>90415</v>
      </c>
      <c r="B266" s="4">
        <f ca="1">IFERROR(__xludf.DUMMYFUNCTION("""COMPUTED_VALUE"""),44592)</f>
        <v>44592</v>
      </c>
      <c r="C266" t="str">
        <f ca="1">IFERROR(__xludf.DUMMYFUNCTION("""COMPUTED_VALUE"""),"ООО ""ЧИСТЫЙ ГОРОД-ОМСК"" 116-СТР от 01.01.2021")</f>
        <v>ООО "ЧИСТЫЙ ГОРОД-ОМСК" 116-СТР от 01.01.2021</v>
      </c>
      <c r="D2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6" t="str">
        <f ca="1">IFERROR(__xludf.DUMMYFUNCTION("""COMPUTED_VALUE"""),"Новый")</f>
        <v>Новый</v>
      </c>
      <c r="G266" s="68"/>
      <c r="K266" s="68"/>
    </row>
    <row r="267" spans="1:11" ht="12.75">
      <c r="A267" s="69">
        <f ca="1">IFERROR(__xludf.DUMMYFUNCTION("""COMPUTED_VALUE"""),90416)</f>
        <v>90416</v>
      </c>
      <c r="B267" s="4">
        <f ca="1">IFERROR(__xludf.DUMMYFUNCTION("""COMPUTED_VALUE"""),44592)</f>
        <v>44592</v>
      </c>
      <c r="C267" t="str">
        <f ca="1">IFERROR(__xludf.DUMMYFUNCTION("""COMPUTED_VALUE"""),"ООО ""ЧИСТЫЙ ГОРОД-ОМСК"" 116-СТР от 01.01.2021")</f>
        <v>ООО "ЧИСТЫЙ ГОРОД-ОМСК" 116-СТР от 01.01.2021</v>
      </c>
      <c r="D2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7" t="str">
        <f ca="1">IFERROR(__xludf.DUMMYFUNCTION("""COMPUTED_VALUE"""),"Новый")</f>
        <v>Новый</v>
      </c>
      <c r="G267" s="68"/>
      <c r="K267" s="68"/>
    </row>
    <row r="268" spans="1:11" ht="12.75">
      <c r="A268" s="69">
        <f ca="1">IFERROR(__xludf.DUMMYFUNCTION("""COMPUTED_VALUE"""),90417)</f>
        <v>90417</v>
      </c>
      <c r="B268" s="4">
        <f ca="1">IFERROR(__xludf.DUMMYFUNCTION("""COMPUTED_VALUE"""),44592)</f>
        <v>44592</v>
      </c>
      <c r="C268" t="str">
        <f ca="1">IFERROR(__xludf.DUMMYFUNCTION("""COMPUTED_VALUE"""),"ООО ""ЧИСТЫЙ ГОРОД-ОМСК"" 116-СТР от 01.01.2021")</f>
        <v>ООО "ЧИСТЫЙ ГОРОД-ОМСК" 116-СТР от 01.01.2021</v>
      </c>
      <c r="D2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8" t="str">
        <f ca="1">IFERROR(__xludf.DUMMYFUNCTION("""COMPUTED_VALUE"""),"Новый")</f>
        <v>Новый</v>
      </c>
      <c r="G268" s="68"/>
      <c r="K268" s="68"/>
    </row>
    <row r="269" spans="1:11" ht="12.75">
      <c r="A269" s="69">
        <f ca="1">IFERROR(__xludf.DUMMYFUNCTION("""COMPUTED_VALUE"""),90418)</f>
        <v>90418</v>
      </c>
      <c r="B269" s="4">
        <f ca="1">IFERROR(__xludf.DUMMYFUNCTION("""COMPUTED_VALUE"""),44592)</f>
        <v>44592</v>
      </c>
      <c r="C269" t="str">
        <f ca="1">IFERROR(__xludf.DUMMYFUNCTION("""COMPUTED_VALUE"""),"ООО ""ЧИСТЫЙ ГОРОД-ОМСК"" 116-СТР от 01.01.2021")</f>
        <v>ООО "ЧИСТЫЙ ГОРОД-ОМСК" 116-СТР от 01.01.2021</v>
      </c>
      <c r="D2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9" t="str">
        <f ca="1">IFERROR(__xludf.DUMMYFUNCTION("""COMPUTED_VALUE"""),"Новый")</f>
        <v>Новый</v>
      </c>
      <c r="G269" s="68"/>
      <c r="K269" s="68"/>
    </row>
    <row r="270" spans="1:11" ht="12.75">
      <c r="A270" s="69">
        <f ca="1">IFERROR(__xludf.DUMMYFUNCTION("""COMPUTED_VALUE"""),90419)</f>
        <v>90419</v>
      </c>
      <c r="B270" s="4">
        <f ca="1">IFERROR(__xludf.DUMMYFUNCTION("""COMPUTED_VALUE"""),44592)</f>
        <v>44592</v>
      </c>
      <c r="C270" t="str">
        <f ca="1">IFERROR(__xludf.DUMMYFUNCTION("""COMPUTED_VALUE"""),"ООО ""ЧИСТЫЙ ГОРОД-ОМСК"" 116-СТР от 01.01.2021")</f>
        <v>ООО "ЧИСТЫЙ ГОРОД-ОМСК" 116-СТР от 01.01.2021</v>
      </c>
      <c r="D2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0" t="str">
        <f ca="1">IFERROR(__xludf.DUMMYFUNCTION("""COMPUTED_VALUE"""),"Новый")</f>
        <v>Новый</v>
      </c>
      <c r="G270" s="68"/>
      <c r="K270" s="68"/>
    </row>
    <row r="271" spans="1:11" ht="12.75">
      <c r="A271" s="69">
        <f ca="1">IFERROR(__xludf.DUMMYFUNCTION("""COMPUTED_VALUE"""),90420)</f>
        <v>90420</v>
      </c>
      <c r="B271" s="4">
        <f ca="1">IFERROR(__xludf.DUMMYFUNCTION("""COMPUTED_VALUE"""),44592)</f>
        <v>44592</v>
      </c>
      <c r="C271" t="str">
        <f ca="1">IFERROR(__xludf.DUMMYFUNCTION("""COMPUTED_VALUE"""),"ООО ""ЧИСТЫЙ ГОРОД-ОМСК"" 116-СТР от 01.01.2021")</f>
        <v>ООО "ЧИСТЫЙ ГОРОД-ОМСК" 116-СТР от 01.01.2021</v>
      </c>
      <c r="D2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1" t="str">
        <f ca="1">IFERROR(__xludf.DUMMYFUNCTION("""COMPUTED_VALUE"""),"Новый")</f>
        <v>Новый</v>
      </c>
      <c r="G271" s="68"/>
      <c r="K271" s="68"/>
    </row>
    <row r="272" spans="1:11" ht="12.75">
      <c r="A272" s="69">
        <f ca="1">IFERROR(__xludf.DUMMYFUNCTION("""COMPUTED_VALUE"""),90421)</f>
        <v>90421</v>
      </c>
      <c r="B272" s="4">
        <f ca="1">IFERROR(__xludf.DUMMYFUNCTION("""COMPUTED_VALUE"""),44592)</f>
        <v>44592</v>
      </c>
      <c r="C272" t="str">
        <f ca="1">IFERROR(__xludf.DUMMYFUNCTION("""COMPUTED_VALUE"""),"ООО ""ЧИСТЫЙ ГОРОД-ОМСК"" 116-СТР от 01.01.2021")</f>
        <v>ООО "ЧИСТЫЙ ГОРОД-ОМСК" 116-СТР от 01.01.2021</v>
      </c>
      <c r="D2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2" t="str">
        <f ca="1">IFERROR(__xludf.DUMMYFUNCTION("""COMPUTED_VALUE"""),"Новый")</f>
        <v>Новый</v>
      </c>
      <c r="G272" s="68"/>
      <c r="K272" s="68"/>
    </row>
    <row r="273" spans="1:11" ht="12.75">
      <c r="A273" s="69">
        <f ca="1">IFERROR(__xludf.DUMMYFUNCTION("""COMPUTED_VALUE"""),90422)</f>
        <v>90422</v>
      </c>
      <c r="B273" s="4">
        <f ca="1">IFERROR(__xludf.DUMMYFUNCTION("""COMPUTED_VALUE"""),44592)</f>
        <v>44592</v>
      </c>
      <c r="C273" t="str">
        <f ca="1">IFERROR(__xludf.DUMMYFUNCTION("""COMPUTED_VALUE"""),"ООО ""ЧИСТЫЙ ГОРОД-ОМСК"" 116-СТР от 01.01.2021")</f>
        <v>ООО "ЧИСТЫЙ ГОРОД-ОМСК" 116-СТР от 01.01.2021</v>
      </c>
      <c r="D2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3" t="str">
        <f ca="1">IFERROR(__xludf.DUMMYFUNCTION("""COMPUTED_VALUE"""),"Новый")</f>
        <v>Новый</v>
      </c>
      <c r="G273" s="68"/>
      <c r="K273" s="68"/>
    </row>
    <row r="274" spans="1:11" ht="12.75">
      <c r="A274" s="69">
        <f ca="1">IFERROR(__xludf.DUMMYFUNCTION("""COMPUTED_VALUE"""),90423)</f>
        <v>90423</v>
      </c>
      <c r="B274" s="4">
        <f ca="1">IFERROR(__xludf.DUMMYFUNCTION("""COMPUTED_VALUE"""),44592)</f>
        <v>44592</v>
      </c>
      <c r="C274" t="str">
        <f ca="1">IFERROR(__xludf.DUMMYFUNCTION("""COMPUTED_VALUE"""),"ООО ""ЧИСТЫЙ ГОРОД-ОМСК"" 116-СТР от 01.01.2021")</f>
        <v>ООО "ЧИСТЫЙ ГОРОД-ОМСК" 116-СТР от 01.01.2021</v>
      </c>
      <c r="D2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4" t="str">
        <f ca="1">IFERROR(__xludf.DUMMYFUNCTION("""COMPUTED_VALUE"""),"Новый")</f>
        <v>Новый</v>
      </c>
      <c r="G274" s="68"/>
      <c r="K274" s="68"/>
    </row>
    <row r="275" spans="1:11" ht="12.75">
      <c r="A275" s="69">
        <f ca="1">IFERROR(__xludf.DUMMYFUNCTION("""COMPUTED_VALUE"""),90424)</f>
        <v>90424</v>
      </c>
      <c r="B275" s="4">
        <f ca="1">IFERROR(__xludf.DUMMYFUNCTION("""COMPUTED_VALUE"""),44592)</f>
        <v>44592</v>
      </c>
      <c r="C275" t="str">
        <f ca="1">IFERROR(__xludf.DUMMYFUNCTION("""COMPUTED_VALUE"""),"ООО ""ЧИСТЫЙ ГОРОД-ОМСК"" 116-СТР от 01.01.2021")</f>
        <v>ООО "ЧИСТЫЙ ГОРОД-ОМСК" 116-СТР от 01.01.2021</v>
      </c>
      <c r="D2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5" t="str">
        <f ca="1">IFERROR(__xludf.DUMMYFUNCTION("""COMPUTED_VALUE"""),"Новый")</f>
        <v>Новый</v>
      </c>
      <c r="G275" s="68"/>
      <c r="K275" s="68"/>
    </row>
    <row r="276" spans="1:11" ht="12.75">
      <c r="A276" s="69">
        <f ca="1">IFERROR(__xludf.DUMMYFUNCTION("""COMPUTED_VALUE"""),90425)</f>
        <v>90425</v>
      </c>
      <c r="B276" s="4">
        <f ca="1">IFERROR(__xludf.DUMMYFUNCTION("""COMPUTED_VALUE"""),44592)</f>
        <v>44592</v>
      </c>
      <c r="C276" t="str">
        <f ca="1">IFERROR(__xludf.DUMMYFUNCTION("""COMPUTED_VALUE"""),"ООО ""ЧИСТЫЙ ГОРОД-ОМСК"" 116-СТР от 01.01.2021")</f>
        <v>ООО "ЧИСТЫЙ ГОРОД-ОМСК" 116-СТР от 01.01.2021</v>
      </c>
      <c r="D2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6" t="str">
        <f ca="1">IFERROR(__xludf.DUMMYFUNCTION("""COMPUTED_VALUE"""),"Новый")</f>
        <v>Новый</v>
      </c>
      <c r="G276" s="68"/>
      <c r="K276" s="68"/>
    </row>
    <row r="277" spans="1:11" ht="12.75">
      <c r="A277" s="69">
        <f ca="1">IFERROR(__xludf.DUMMYFUNCTION("""COMPUTED_VALUE"""),90426)</f>
        <v>90426</v>
      </c>
      <c r="B277" s="4">
        <f ca="1">IFERROR(__xludf.DUMMYFUNCTION("""COMPUTED_VALUE"""),44592)</f>
        <v>44592</v>
      </c>
      <c r="C277" t="str">
        <f ca="1">IFERROR(__xludf.DUMMYFUNCTION("""COMPUTED_VALUE"""),"ООО ""ЧИСТЫЙ ГОРОД-ОМСК"" 116-СТР от 01.01.2021")</f>
        <v>ООО "ЧИСТЫЙ ГОРОД-ОМСК" 116-СТР от 01.01.2021</v>
      </c>
      <c r="D2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7" t="str">
        <f ca="1">IFERROR(__xludf.DUMMYFUNCTION("""COMPUTED_VALUE"""),"Новый")</f>
        <v>Новый</v>
      </c>
      <c r="G277" s="68"/>
      <c r="K277" s="68"/>
    </row>
    <row r="278" spans="1:11" ht="12.75">
      <c r="A278" s="69">
        <f ca="1">IFERROR(__xludf.DUMMYFUNCTION("""COMPUTED_VALUE"""),90427)</f>
        <v>90427</v>
      </c>
      <c r="B278" s="4">
        <f ca="1">IFERROR(__xludf.DUMMYFUNCTION("""COMPUTED_VALUE"""),44592)</f>
        <v>44592</v>
      </c>
      <c r="C278" t="str">
        <f ca="1">IFERROR(__xludf.DUMMYFUNCTION("""COMPUTED_VALUE"""),"ООО ""ЧИСТЫЙ ГОРОД-ОМСК"" 116-СТР от 01.01.2021")</f>
        <v>ООО "ЧИСТЫЙ ГОРОД-ОМСК" 116-СТР от 01.01.2021</v>
      </c>
      <c r="D2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" t="str">
        <f ca="1">IFERROR(__xludf.DUMMYFUNCTION("""COMPUTED_VALUE"""),"Новый")</f>
        <v>Новый</v>
      </c>
      <c r="G278" s="68"/>
      <c r="K278" s="68"/>
    </row>
    <row r="279" spans="1:11" ht="12.75">
      <c r="A279" s="69">
        <f ca="1">IFERROR(__xludf.DUMMYFUNCTION("""COMPUTED_VALUE"""),90428)</f>
        <v>90428</v>
      </c>
      <c r="B279" s="4">
        <f ca="1">IFERROR(__xludf.DUMMYFUNCTION("""COMPUTED_VALUE"""),44592)</f>
        <v>44592</v>
      </c>
      <c r="C279" t="str">
        <f ca="1">IFERROR(__xludf.DUMMYFUNCTION("""COMPUTED_VALUE"""),"ООО ""ЧИСТЫЙ ГОРОД-ОМСК"" 116-СТР от 01.01.2021")</f>
        <v>ООО "ЧИСТЫЙ ГОРОД-ОМСК" 116-СТР от 01.01.2021</v>
      </c>
      <c r="D2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9" t="str">
        <f ca="1">IFERROR(__xludf.DUMMYFUNCTION("""COMPUTED_VALUE"""),"Новый")</f>
        <v>Новый</v>
      </c>
      <c r="G279" s="68"/>
      <c r="K279" s="68"/>
    </row>
    <row r="280" spans="1:11" ht="12.75">
      <c r="A280" s="69">
        <f ca="1">IFERROR(__xludf.DUMMYFUNCTION("""COMPUTED_VALUE"""),90429)</f>
        <v>90429</v>
      </c>
      <c r="B280" s="4">
        <f ca="1">IFERROR(__xludf.DUMMYFUNCTION("""COMPUTED_VALUE"""),44592)</f>
        <v>44592</v>
      </c>
      <c r="C280" t="str">
        <f ca="1">IFERROR(__xludf.DUMMYFUNCTION("""COMPUTED_VALUE"""),"ООО ""ЧИСТЫЙ ГОРОД-ОМСК"" 116-СТР от 01.01.2021")</f>
        <v>ООО "ЧИСТЫЙ ГОРОД-ОМСК" 116-СТР от 01.01.2021</v>
      </c>
      <c r="D2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0" t="str">
        <f ca="1">IFERROR(__xludf.DUMMYFUNCTION("""COMPUTED_VALUE"""),"Новый")</f>
        <v>Новый</v>
      </c>
      <c r="G280" s="68"/>
      <c r="K280" s="68"/>
    </row>
    <row r="281" spans="1:11" ht="12.75">
      <c r="A281" s="69">
        <f ca="1">IFERROR(__xludf.DUMMYFUNCTION("""COMPUTED_VALUE"""),90430)</f>
        <v>90430</v>
      </c>
      <c r="B281" s="4">
        <f ca="1">IFERROR(__xludf.DUMMYFUNCTION("""COMPUTED_VALUE"""),44592)</f>
        <v>44592</v>
      </c>
      <c r="C281" t="str">
        <f ca="1">IFERROR(__xludf.DUMMYFUNCTION("""COMPUTED_VALUE"""),"ООО ""ЧИСТЫЙ ГОРОД-ОМСК"" 116-СТР от 01.01.2021")</f>
        <v>ООО "ЧИСТЫЙ ГОРОД-ОМСК" 116-СТР от 01.01.2021</v>
      </c>
      <c r="D2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" t="str">
        <f ca="1">IFERROR(__xludf.DUMMYFUNCTION("""COMPUTED_VALUE"""),"Новый")</f>
        <v>Новый</v>
      </c>
      <c r="G281" s="68"/>
      <c r="K281" s="68"/>
    </row>
    <row r="282" spans="1:11" ht="12.75">
      <c r="A282" s="69">
        <f ca="1">IFERROR(__xludf.DUMMYFUNCTION("""COMPUTED_VALUE"""),90431)</f>
        <v>90431</v>
      </c>
      <c r="B282" s="4">
        <f ca="1">IFERROR(__xludf.DUMMYFUNCTION("""COMPUTED_VALUE"""),44592)</f>
        <v>44592</v>
      </c>
      <c r="C282" t="str">
        <f ca="1">IFERROR(__xludf.DUMMYFUNCTION("""COMPUTED_VALUE"""),"ООО ""ЧИСТЫЙ ГОРОД-ОМСК"" 116-СТР от 01.01.2021")</f>
        <v>ООО "ЧИСТЫЙ ГОРОД-ОМСК" 116-СТР от 01.01.2021</v>
      </c>
      <c r="D2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2" t="str">
        <f ca="1">IFERROR(__xludf.DUMMYFUNCTION("""COMPUTED_VALUE"""),"Новый")</f>
        <v>Новый</v>
      </c>
      <c r="G282" s="68"/>
      <c r="K282" s="68"/>
    </row>
    <row r="283" spans="1:11" ht="12.75">
      <c r="A283" s="69">
        <f ca="1">IFERROR(__xludf.DUMMYFUNCTION("""COMPUTED_VALUE"""),90432)</f>
        <v>90432</v>
      </c>
      <c r="B283" s="4">
        <f ca="1">IFERROR(__xludf.DUMMYFUNCTION("""COMPUTED_VALUE"""),44592)</f>
        <v>44592</v>
      </c>
      <c r="C283" t="str">
        <f ca="1">IFERROR(__xludf.DUMMYFUNCTION("""COMPUTED_VALUE"""),"ООО ""ЧИСТЫЙ ГОРОД-ОМСК"" 116-СТР от 01.01.2021")</f>
        <v>ООО "ЧИСТЫЙ ГОРОД-ОМСК" 116-СТР от 01.01.2021</v>
      </c>
      <c r="D2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3" t="str">
        <f ca="1">IFERROR(__xludf.DUMMYFUNCTION("""COMPUTED_VALUE"""),"Новый")</f>
        <v>Новый</v>
      </c>
      <c r="G283" s="68"/>
      <c r="K283" s="68"/>
    </row>
    <row r="284" spans="1:11" ht="12.75">
      <c r="A284" s="69">
        <f ca="1">IFERROR(__xludf.DUMMYFUNCTION("""COMPUTED_VALUE"""),90435)</f>
        <v>90435</v>
      </c>
      <c r="B284" s="4">
        <f ca="1">IFERROR(__xludf.DUMMYFUNCTION("""COMPUTED_VALUE"""),44592)</f>
        <v>44592</v>
      </c>
      <c r="C284" t="str">
        <f ca="1">IFERROR(__xludf.DUMMYFUNCTION("""COMPUTED_VALUE"""),"ЗАО ""ЭКОС"" 115-СТР от 01.01.2022")</f>
        <v>ЗАО "ЭКОС" 115-СТР от 01.01.2022</v>
      </c>
      <c r="D2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4" t="str">
        <f ca="1">IFERROR(__xludf.DUMMYFUNCTION("""COMPUTED_VALUE"""),"Новый")</f>
        <v>Новый</v>
      </c>
      <c r="G284" s="68"/>
      <c r="K284" s="68"/>
    </row>
    <row r="285" spans="1:11" ht="12.75">
      <c r="A285" s="69">
        <f ca="1">IFERROR(__xludf.DUMMYFUNCTION("""COMPUTED_VALUE"""),90453)</f>
        <v>90453</v>
      </c>
      <c r="B285" s="4">
        <f ca="1">IFERROR(__xludf.DUMMYFUNCTION("""COMPUTED_VALUE"""),44592)</f>
        <v>44592</v>
      </c>
      <c r="C285" t="str">
        <f ca="1">IFERROR(__xludf.DUMMYFUNCTION("""COMPUTED_VALUE"""),"ЗАО ""ЭКОС"" 115-СТР от 01.01.2022")</f>
        <v>ЗАО "ЭКОС" 115-СТР от 01.01.2022</v>
      </c>
      <c r="D2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5" t="str">
        <f ca="1">IFERROR(__xludf.DUMMYFUNCTION("""COMPUTED_VALUE"""),"Новый")</f>
        <v>Новый</v>
      </c>
      <c r="G285" s="68"/>
      <c r="K285" s="68"/>
    </row>
    <row r="286" spans="1:11" ht="12.75">
      <c r="A286" s="69">
        <f ca="1">IFERROR(__xludf.DUMMYFUNCTION("""COMPUTED_VALUE"""),90454)</f>
        <v>90454</v>
      </c>
      <c r="B286" s="4">
        <f ca="1">IFERROR(__xludf.DUMMYFUNCTION("""COMPUTED_VALUE"""),44592)</f>
        <v>44592</v>
      </c>
      <c r="C286" t="str">
        <f ca="1">IFERROR(__xludf.DUMMYFUNCTION("""COMPUTED_VALUE"""),"ЗАО ""ЭКОС"" 115-СТР от 01.01.2022")</f>
        <v>ЗАО "ЭКОС" 115-СТР от 01.01.2022</v>
      </c>
      <c r="D2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6" t="str">
        <f ca="1">IFERROR(__xludf.DUMMYFUNCTION("""COMPUTED_VALUE"""),"Новый")</f>
        <v>Новый</v>
      </c>
      <c r="G286" s="68"/>
      <c r="K286" s="68"/>
    </row>
    <row r="287" spans="1:11" ht="12.75">
      <c r="A287" s="69">
        <f ca="1">IFERROR(__xludf.DUMMYFUNCTION("""COMPUTED_VALUE"""),90455)</f>
        <v>90455</v>
      </c>
      <c r="B287" s="4">
        <f ca="1">IFERROR(__xludf.DUMMYFUNCTION("""COMPUTED_VALUE"""),44592)</f>
        <v>44592</v>
      </c>
      <c r="C287" t="str">
        <f ca="1">IFERROR(__xludf.DUMMYFUNCTION("""COMPUTED_VALUE"""),"ЗАО ""ЭКОС"" 115-СТР от 01.01.2022")</f>
        <v>ЗАО "ЭКОС" 115-СТР от 01.01.2022</v>
      </c>
      <c r="D2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7" t="str">
        <f ca="1">IFERROR(__xludf.DUMMYFUNCTION("""COMPUTED_VALUE"""),"Новый")</f>
        <v>Новый</v>
      </c>
      <c r="G287" s="68"/>
      <c r="K287" s="68"/>
    </row>
    <row r="288" spans="1:11" ht="12.75">
      <c r="A288" s="69">
        <f ca="1">IFERROR(__xludf.DUMMYFUNCTION("""COMPUTED_VALUE"""),90456)</f>
        <v>90456</v>
      </c>
      <c r="B288" s="4">
        <f ca="1">IFERROR(__xludf.DUMMYFUNCTION("""COMPUTED_VALUE"""),44592)</f>
        <v>44592</v>
      </c>
      <c r="C288" t="str">
        <f ca="1">IFERROR(__xludf.DUMMYFUNCTION("""COMPUTED_VALUE"""),"ЗАО ""ЭКОС"" 115-СТР от 01.01.2022")</f>
        <v>ЗАО "ЭКОС" 115-СТР от 01.01.2022</v>
      </c>
      <c r="D2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8" t="str">
        <f ca="1">IFERROR(__xludf.DUMMYFUNCTION("""COMPUTED_VALUE"""),"Новый")</f>
        <v>Новый</v>
      </c>
      <c r="G288" s="68"/>
      <c r="K288" s="68"/>
    </row>
    <row r="289" spans="1:11" ht="12.75">
      <c r="A289" s="69">
        <f ca="1">IFERROR(__xludf.DUMMYFUNCTION("""COMPUTED_VALUE"""),90457)</f>
        <v>90457</v>
      </c>
      <c r="B289" s="4">
        <f ca="1">IFERROR(__xludf.DUMMYFUNCTION("""COMPUTED_VALUE"""),44592)</f>
        <v>44592</v>
      </c>
      <c r="C289" t="str">
        <f ca="1">IFERROR(__xludf.DUMMYFUNCTION("""COMPUTED_VALUE"""),"ЗАО ""ЭКОС"" 115-СТР от 01.01.2022")</f>
        <v>ЗАО "ЭКОС" 115-СТР от 01.01.2022</v>
      </c>
      <c r="D2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9" t="str">
        <f ca="1">IFERROR(__xludf.DUMMYFUNCTION("""COMPUTED_VALUE"""),"Новый")</f>
        <v>Новый</v>
      </c>
      <c r="G289" s="68"/>
      <c r="K289" s="68"/>
    </row>
    <row r="290" spans="1:11" ht="12.75">
      <c r="A290" s="69">
        <f ca="1">IFERROR(__xludf.DUMMYFUNCTION("""COMPUTED_VALUE"""),90458)</f>
        <v>90458</v>
      </c>
      <c r="B290" s="4">
        <f ca="1">IFERROR(__xludf.DUMMYFUNCTION("""COMPUTED_VALUE"""),44592)</f>
        <v>44592</v>
      </c>
      <c r="C290" t="str">
        <f ca="1">IFERROR(__xludf.DUMMYFUNCTION("""COMPUTED_VALUE"""),"ЗАО ""ЭКОС"" 115-СТР от 01.01.2022")</f>
        <v>ЗАО "ЭКОС" 115-СТР от 01.01.2022</v>
      </c>
      <c r="D2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0" t="str">
        <f ca="1">IFERROR(__xludf.DUMMYFUNCTION("""COMPUTED_VALUE"""),"Новый")</f>
        <v>Новый</v>
      </c>
      <c r="G290" s="68"/>
      <c r="K290" s="68"/>
    </row>
    <row r="291" spans="1:11" ht="12.75">
      <c r="A291" s="69">
        <f ca="1">IFERROR(__xludf.DUMMYFUNCTION("""COMPUTED_VALUE"""),90459)</f>
        <v>90459</v>
      </c>
      <c r="B291" s="4">
        <f ca="1">IFERROR(__xludf.DUMMYFUNCTION("""COMPUTED_VALUE"""),44592)</f>
        <v>44592</v>
      </c>
      <c r="C291" t="str">
        <f ca="1">IFERROR(__xludf.DUMMYFUNCTION("""COMPUTED_VALUE"""),"ЗАО ""ЭКОС"" 115-СТР от 01.01.2022")</f>
        <v>ЗАО "ЭКОС" 115-СТР от 01.01.2022</v>
      </c>
      <c r="D2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1" t="str">
        <f ca="1">IFERROR(__xludf.DUMMYFUNCTION("""COMPUTED_VALUE"""),"Новый")</f>
        <v>Новый</v>
      </c>
      <c r="G291" s="68"/>
      <c r="K291" s="68"/>
    </row>
    <row r="292" spans="1:11" ht="12.75">
      <c r="A292" s="69">
        <f ca="1">IFERROR(__xludf.DUMMYFUNCTION("""COMPUTED_VALUE"""),90460)</f>
        <v>90460</v>
      </c>
      <c r="B292" s="4">
        <f ca="1">IFERROR(__xludf.DUMMYFUNCTION("""COMPUTED_VALUE"""),44592)</f>
        <v>44592</v>
      </c>
      <c r="C292" t="str">
        <f ca="1">IFERROR(__xludf.DUMMYFUNCTION("""COMPUTED_VALUE"""),"ЗАО ""ЭКОС"" 115-СТР от 01.01.2022")</f>
        <v>ЗАО "ЭКОС" 115-СТР от 01.01.2022</v>
      </c>
      <c r="D2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2" t="str">
        <f ca="1">IFERROR(__xludf.DUMMYFUNCTION("""COMPUTED_VALUE"""),"Новый")</f>
        <v>Новый</v>
      </c>
      <c r="G292" s="68"/>
      <c r="K292" s="68"/>
    </row>
    <row r="293" spans="1:11" ht="12.75">
      <c r="A293" s="69">
        <f ca="1">IFERROR(__xludf.DUMMYFUNCTION("""COMPUTED_VALUE"""),90461)</f>
        <v>90461</v>
      </c>
      <c r="B293" s="4">
        <f ca="1">IFERROR(__xludf.DUMMYFUNCTION("""COMPUTED_VALUE"""),44592)</f>
        <v>44592</v>
      </c>
      <c r="C293" t="str">
        <f ca="1">IFERROR(__xludf.DUMMYFUNCTION("""COMPUTED_VALUE"""),"ЗАО ""ЭКОС"" 115-СТР от 01.01.2022")</f>
        <v>ЗАО "ЭКОС" 115-СТР от 01.01.2022</v>
      </c>
      <c r="D2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" t="str">
        <f ca="1">IFERROR(__xludf.DUMMYFUNCTION("""COMPUTED_VALUE"""),"Новый")</f>
        <v>Новый</v>
      </c>
      <c r="G293" s="68"/>
      <c r="K293" s="68"/>
    </row>
    <row r="294" spans="1:11" ht="12.75">
      <c r="A294" s="69">
        <f ca="1">IFERROR(__xludf.DUMMYFUNCTION("""COMPUTED_VALUE"""),90462)</f>
        <v>90462</v>
      </c>
      <c r="B294" s="4">
        <f ca="1">IFERROR(__xludf.DUMMYFUNCTION("""COMPUTED_VALUE"""),44592)</f>
        <v>44592</v>
      </c>
      <c r="C294" t="str">
        <f ca="1">IFERROR(__xludf.DUMMYFUNCTION("""COMPUTED_VALUE"""),"ЗАО ""ЭКОС"" 115-СТР от 01.01.2022")</f>
        <v>ЗАО "ЭКОС" 115-СТР от 01.01.2022</v>
      </c>
      <c r="D2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" t="str">
        <f ca="1">IFERROR(__xludf.DUMMYFUNCTION("""COMPUTED_VALUE"""),"Новый")</f>
        <v>Новый</v>
      </c>
      <c r="G294" s="68"/>
      <c r="K294" s="68"/>
    </row>
    <row r="295" spans="1:11" ht="12.75">
      <c r="A295" s="69">
        <f ca="1">IFERROR(__xludf.DUMMYFUNCTION("""COMPUTED_VALUE"""),90463)</f>
        <v>90463</v>
      </c>
      <c r="B295" s="4">
        <f ca="1">IFERROR(__xludf.DUMMYFUNCTION("""COMPUTED_VALUE"""),44592)</f>
        <v>44592</v>
      </c>
      <c r="C295" t="str">
        <f ca="1">IFERROR(__xludf.DUMMYFUNCTION("""COMPUTED_VALUE"""),"ЗАО ""ЭКОС"" 115-СТР от 01.01.2022")</f>
        <v>ЗАО "ЭКОС" 115-СТР от 01.01.2022</v>
      </c>
      <c r="D2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" t="str">
        <f ca="1">IFERROR(__xludf.DUMMYFUNCTION("""COMPUTED_VALUE"""),"Новый")</f>
        <v>Новый</v>
      </c>
      <c r="G295" s="68"/>
      <c r="K295" s="68"/>
    </row>
    <row r="296" spans="1:11" ht="12.75">
      <c r="A296" s="69">
        <f ca="1">IFERROR(__xludf.DUMMYFUNCTION("""COMPUTED_VALUE"""),90464)</f>
        <v>90464</v>
      </c>
      <c r="B296" s="4">
        <f ca="1">IFERROR(__xludf.DUMMYFUNCTION("""COMPUTED_VALUE"""),44592)</f>
        <v>44592</v>
      </c>
      <c r="C296" t="str">
        <f ca="1">IFERROR(__xludf.DUMMYFUNCTION("""COMPUTED_VALUE"""),"ЗАО ""ЭКОС"" 115-СТР от 01.01.2022")</f>
        <v>ЗАО "ЭКОС" 115-СТР от 01.01.2022</v>
      </c>
      <c r="D2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" t="str">
        <f ca="1">IFERROR(__xludf.DUMMYFUNCTION("""COMPUTED_VALUE"""),"Новый")</f>
        <v>Новый</v>
      </c>
      <c r="G296" s="68"/>
      <c r="K296" s="68"/>
    </row>
    <row r="297" spans="1:11" ht="12.75">
      <c r="A297" s="69">
        <f ca="1">IFERROR(__xludf.DUMMYFUNCTION("""COMPUTED_VALUE"""),90465)</f>
        <v>90465</v>
      </c>
      <c r="B297" s="4">
        <f ca="1">IFERROR(__xludf.DUMMYFUNCTION("""COMPUTED_VALUE"""),44592)</f>
        <v>44592</v>
      </c>
      <c r="C297" t="str">
        <f ca="1">IFERROR(__xludf.DUMMYFUNCTION("""COMPUTED_VALUE"""),"ЗАО ""ЭКОС"" 115-СТР от 01.01.2022")</f>
        <v>ЗАО "ЭКОС" 115-СТР от 01.01.2022</v>
      </c>
      <c r="D2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7" t="str">
        <f ca="1">IFERROR(__xludf.DUMMYFUNCTION("""COMPUTED_VALUE"""),"Новый")</f>
        <v>Новый</v>
      </c>
      <c r="G297" s="68"/>
      <c r="K297" s="68"/>
    </row>
    <row r="298" spans="1:11" ht="12.75">
      <c r="A298" s="69">
        <f ca="1">IFERROR(__xludf.DUMMYFUNCTION("""COMPUTED_VALUE"""),90466)</f>
        <v>90466</v>
      </c>
      <c r="B298" s="4">
        <f ca="1">IFERROR(__xludf.DUMMYFUNCTION("""COMPUTED_VALUE"""),44592)</f>
        <v>44592</v>
      </c>
      <c r="C298" t="str">
        <f ca="1">IFERROR(__xludf.DUMMYFUNCTION("""COMPUTED_VALUE"""),"ЗАО ""ЭКОС"" 115-СТР от 01.01.2022")</f>
        <v>ЗАО "ЭКОС" 115-СТР от 01.01.2022</v>
      </c>
      <c r="D2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8" t="str">
        <f ca="1">IFERROR(__xludf.DUMMYFUNCTION("""COMPUTED_VALUE"""),"Новый")</f>
        <v>Новый</v>
      </c>
      <c r="G298" s="68"/>
      <c r="K298" s="68"/>
    </row>
    <row r="299" spans="1:11" ht="12.75">
      <c r="A299" s="69">
        <f ca="1">IFERROR(__xludf.DUMMYFUNCTION("""COMPUTED_VALUE"""),90467)</f>
        <v>90467</v>
      </c>
      <c r="B299" s="4">
        <f ca="1">IFERROR(__xludf.DUMMYFUNCTION("""COMPUTED_VALUE"""),44592)</f>
        <v>44592</v>
      </c>
      <c r="C299" t="str">
        <f ca="1">IFERROR(__xludf.DUMMYFUNCTION("""COMPUTED_VALUE"""),"ЗАО ""ЭКОС"" 115-СТР от 01.01.2022")</f>
        <v>ЗАО "ЭКОС" 115-СТР от 01.01.2022</v>
      </c>
      <c r="D2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9" t="str">
        <f ca="1">IFERROR(__xludf.DUMMYFUNCTION("""COMPUTED_VALUE"""),"Новый")</f>
        <v>Новый</v>
      </c>
      <c r="G299" s="68"/>
      <c r="K299" s="68"/>
    </row>
    <row r="300" spans="1:11" ht="12.75">
      <c r="A300" s="69">
        <f ca="1">IFERROR(__xludf.DUMMYFUNCTION("""COMPUTED_VALUE"""),90468)</f>
        <v>90468</v>
      </c>
      <c r="B300" s="4">
        <f ca="1">IFERROR(__xludf.DUMMYFUNCTION("""COMPUTED_VALUE"""),44592)</f>
        <v>44592</v>
      </c>
      <c r="C300" t="str">
        <f ca="1">IFERROR(__xludf.DUMMYFUNCTION("""COMPUTED_VALUE"""),"ЗАО ""ЭКОС"" 115-СТР от 01.01.2022")</f>
        <v>ЗАО "ЭКОС" 115-СТР от 01.01.2022</v>
      </c>
      <c r="D3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0" t="str">
        <f ca="1">IFERROR(__xludf.DUMMYFUNCTION("""COMPUTED_VALUE"""),"Новый")</f>
        <v>Новый</v>
      </c>
      <c r="G300" s="68"/>
      <c r="K300" s="68"/>
    </row>
    <row r="301" spans="1:11" ht="12.75">
      <c r="A301" s="69">
        <f ca="1">IFERROR(__xludf.DUMMYFUNCTION("""COMPUTED_VALUE"""),90469)</f>
        <v>90469</v>
      </c>
      <c r="B301" s="4">
        <f ca="1">IFERROR(__xludf.DUMMYFUNCTION("""COMPUTED_VALUE"""),44592)</f>
        <v>44592</v>
      </c>
      <c r="C301" t="str">
        <f ca="1">IFERROR(__xludf.DUMMYFUNCTION("""COMPUTED_VALUE"""),"ЗАО ""ЭКОС"" 115-СТР от 01.01.2022")</f>
        <v>ЗАО "ЭКОС" 115-СТР от 01.01.2022</v>
      </c>
      <c r="D3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1" t="str">
        <f ca="1">IFERROR(__xludf.DUMMYFUNCTION("""COMPUTED_VALUE"""),"Новый")</f>
        <v>Новый</v>
      </c>
      <c r="G301" s="68"/>
      <c r="K301" s="68"/>
    </row>
    <row r="302" spans="1:11" ht="12.75">
      <c r="A302" s="69">
        <f ca="1">IFERROR(__xludf.DUMMYFUNCTION("""COMPUTED_VALUE"""),90470)</f>
        <v>90470</v>
      </c>
      <c r="B302" s="4">
        <f ca="1">IFERROR(__xludf.DUMMYFUNCTION("""COMPUTED_VALUE"""),44592)</f>
        <v>44592</v>
      </c>
      <c r="C302" t="str">
        <f ca="1">IFERROR(__xludf.DUMMYFUNCTION("""COMPUTED_VALUE"""),"ЗАО ""ЭКОС"" 115-СТР от 01.01.2022")</f>
        <v>ЗАО "ЭКОС" 115-СТР от 01.01.2022</v>
      </c>
      <c r="D3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2" t="str">
        <f ca="1">IFERROR(__xludf.DUMMYFUNCTION("""COMPUTED_VALUE"""),"Новый")</f>
        <v>Новый</v>
      </c>
      <c r="G302" s="68"/>
      <c r="K302" s="68"/>
    </row>
    <row r="303" spans="1:11" ht="12.75">
      <c r="A303" s="69">
        <f ca="1">IFERROR(__xludf.DUMMYFUNCTION("""COMPUTED_VALUE"""),90471)</f>
        <v>90471</v>
      </c>
      <c r="B303" s="4">
        <f ca="1">IFERROR(__xludf.DUMMYFUNCTION("""COMPUTED_VALUE"""),44592)</f>
        <v>44592</v>
      </c>
      <c r="C303" t="str">
        <f ca="1">IFERROR(__xludf.DUMMYFUNCTION("""COMPUTED_VALUE"""),"ЗАО ""ЭКОС"" 115-СТР от 01.01.2022")</f>
        <v>ЗАО "ЭКОС" 115-СТР от 01.01.2022</v>
      </c>
      <c r="D3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3" t="str">
        <f ca="1">IFERROR(__xludf.DUMMYFUNCTION("""COMPUTED_VALUE"""),"Новый")</f>
        <v>Новый</v>
      </c>
      <c r="G303" s="68"/>
      <c r="K303" s="68"/>
    </row>
    <row r="304" spans="1:11" ht="12.75">
      <c r="A304" s="69">
        <f ca="1">IFERROR(__xludf.DUMMYFUNCTION("""COMPUTED_VALUE"""),90472)</f>
        <v>90472</v>
      </c>
      <c r="B304" s="4">
        <f ca="1">IFERROR(__xludf.DUMMYFUNCTION("""COMPUTED_VALUE"""),44592)</f>
        <v>44592</v>
      </c>
      <c r="C304" t="str">
        <f ca="1">IFERROR(__xludf.DUMMYFUNCTION("""COMPUTED_VALUE"""),"ЗАО ""ЭКОС"" 115-СТР от 01.01.2022")</f>
        <v>ЗАО "ЭКОС" 115-СТР от 01.01.2022</v>
      </c>
      <c r="D3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4" t="str">
        <f ca="1">IFERROR(__xludf.DUMMYFUNCTION("""COMPUTED_VALUE"""),"Новый")</f>
        <v>Новый</v>
      </c>
      <c r="G304" s="68"/>
      <c r="K304" s="68"/>
    </row>
    <row r="305" spans="1:11" ht="12.75">
      <c r="A305" s="69">
        <f ca="1">IFERROR(__xludf.DUMMYFUNCTION("""COMPUTED_VALUE"""),90473)</f>
        <v>90473</v>
      </c>
      <c r="B305" s="4">
        <f ca="1">IFERROR(__xludf.DUMMYFUNCTION("""COMPUTED_VALUE"""),44592)</f>
        <v>44592</v>
      </c>
      <c r="C305" t="str">
        <f ca="1">IFERROR(__xludf.DUMMYFUNCTION("""COMPUTED_VALUE"""),"ЗАО ""ЭКОС"" 115-СТР от 01.01.2022")</f>
        <v>ЗАО "ЭКОС" 115-СТР от 01.01.2022</v>
      </c>
      <c r="D3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5" t="str">
        <f ca="1">IFERROR(__xludf.DUMMYFUNCTION("""COMPUTED_VALUE"""),"Новый")</f>
        <v>Новый</v>
      </c>
      <c r="G305" s="68"/>
      <c r="K305" s="68"/>
    </row>
    <row r="306" spans="1:11" ht="12.75">
      <c r="A306" s="69">
        <f ca="1">IFERROR(__xludf.DUMMYFUNCTION("""COMPUTED_VALUE"""),90474)</f>
        <v>90474</v>
      </c>
      <c r="B306" s="4">
        <f ca="1">IFERROR(__xludf.DUMMYFUNCTION("""COMPUTED_VALUE"""),44592)</f>
        <v>44592</v>
      </c>
      <c r="C306" t="str">
        <f ca="1">IFERROR(__xludf.DUMMYFUNCTION("""COMPUTED_VALUE"""),"ЗАО ""ЭКОС"" 115-СТР от 01.01.2022")</f>
        <v>ЗАО "ЭКОС" 115-СТР от 01.01.2022</v>
      </c>
      <c r="D3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6" t="str">
        <f ca="1">IFERROR(__xludf.DUMMYFUNCTION("""COMPUTED_VALUE"""),"Новый")</f>
        <v>Новый</v>
      </c>
      <c r="G306" s="68"/>
      <c r="K306" s="68"/>
    </row>
    <row r="307" spans="1:11" ht="12.75">
      <c r="A307" s="69">
        <f ca="1">IFERROR(__xludf.DUMMYFUNCTION("""COMPUTED_VALUE"""),90475)</f>
        <v>90475</v>
      </c>
      <c r="B307" s="4">
        <f ca="1">IFERROR(__xludf.DUMMYFUNCTION("""COMPUTED_VALUE"""),44592)</f>
        <v>44592</v>
      </c>
      <c r="C307" t="str">
        <f ca="1">IFERROR(__xludf.DUMMYFUNCTION("""COMPUTED_VALUE"""),"ЗАО ""ЭКОС"" 115-СТР от 01.01.2022")</f>
        <v>ЗАО "ЭКОС" 115-СТР от 01.01.2022</v>
      </c>
      <c r="D3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" t="str">
        <f ca="1">IFERROR(__xludf.DUMMYFUNCTION("""COMPUTED_VALUE"""),"Новый")</f>
        <v>Новый</v>
      </c>
      <c r="G307" s="68"/>
      <c r="K307" s="68"/>
    </row>
    <row r="308" spans="1:11" ht="12.75">
      <c r="A308" s="69">
        <f ca="1">IFERROR(__xludf.DUMMYFUNCTION("""COMPUTED_VALUE"""),90476)</f>
        <v>90476</v>
      </c>
      <c r="B308" s="4">
        <f ca="1">IFERROR(__xludf.DUMMYFUNCTION("""COMPUTED_VALUE"""),44592)</f>
        <v>44592</v>
      </c>
      <c r="C308" t="str">
        <f ca="1">IFERROR(__xludf.DUMMYFUNCTION("""COMPUTED_VALUE"""),"ЗАО ""ЭКОС"" 115-СТР от 01.01.2022")</f>
        <v>ЗАО "ЭКОС" 115-СТР от 01.01.2022</v>
      </c>
      <c r="D3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" t="str">
        <f ca="1">IFERROR(__xludf.DUMMYFUNCTION("""COMPUTED_VALUE"""),"Новый")</f>
        <v>Новый</v>
      </c>
      <c r="G308" s="68"/>
      <c r="K308" s="68"/>
    </row>
    <row r="309" spans="1:11" ht="12.75">
      <c r="A309" s="69">
        <f ca="1">IFERROR(__xludf.DUMMYFUNCTION("""COMPUTED_VALUE"""),90477)</f>
        <v>90477</v>
      </c>
      <c r="B309" s="4">
        <f ca="1">IFERROR(__xludf.DUMMYFUNCTION("""COMPUTED_VALUE"""),44592)</f>
        <v>44592</v>
      </c>
      <c r="C309" t="str">
        <f ca="1">IFERROR(__xludf.DUMMYFUNCTION("""COMPUTED_VALUE"""),"ЗАО ""ЭКОС"" 115-СТР от 01.01.2022")</f>
        <v>ЗАО "ЭКОС" 115-СТР от 01.01.2022</v>
      </c>
      <c r="D3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" t="str">
        <f ca="1">IFERROR(__xludf.DUMMYFUNCTION("""COMPUTED_VALUE"""),"Новый")</f>
        <v>Новый</v>
      </c>
      <c r="G309" s="68"/>
      <c r="K309" s="68"/>
    </row>
    <row r="310" spans="1:11" ht="12.75">
      <c r="A310" s="69">
        <f ca="1">IFERROR(__xludf.DUMMYFUNCTION("""COMPUTED_VALUE"""),90478)</f>
        <v>90478</v>
      </c>
      <c r="B310" s="4">
        <f ca="1">IFERROR(__xludf.DUMMYFUNCTION("""COMPUTED_VALUE"""),44592)</f>
        <v>44592</v>
      </c>
      <c r="C310" t="str">
        <f ca="1">IFERROR(__xludf.DUMMYFUNCTION("""COMPUTED_VALUE"""),"ЗАО ""ЭКОС"" 115-СТР от 01.01.2022")</f>
        <v>ЗАО "ЭКОС" 115-СТР от 01.01.2022</v>
      </c>
      <c r="D3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" t="str">
        <f ca="1">IFERROR(__xludf.DUMMYFUNCTION("""COMPUTED_VALUE"""),"Новый")</f>
        <v>Новый</v>
      </c>
      <c r="G310" s="68"/>
      <c r="K310" s="68"/>
    </row>
    <row r="311" spans="1:11" ht="12.75">
      <c r="A311" s="69">
        <f ca="1">IFERROR(__xludf.DUMMYFUNCTION("""COMPUTED_VALUE"""),90479)</f>
        <v>90479</v>
      </c>
      <c r="B311" s="4">
        <f ca="1">IFERROR(__xludf.DUMMYFUNCTION("""COMPUTED_VALUE"""),44592)</f>
        <v>44592</v>
      </c>
      <c r="C311" t="str">
        <f ca="1">IFERROR(__xludf.DUMMYFUNCTION("""COMPUTED_VALUE"""),"ЗАО ""ЭКОС"" 115-СТР от 01.01.2022")</f>
        <v>ЗАО "ЭКОС" 115-СТР от 01.01.2022</v>
      </c>
      <c r="D3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" t="str">
        <f ca="1">IFERROR(__xludf.DUMMYFUNCTION("""COMPUTED_VALUE"""),"Новый")</f>
        <v>Новый</v>
      </c>
      <c r="G311" s="68"/>
      <c r="K311" s="68"/>
    </row>
    <row r="312" spans="1:11" ht="12.75">
      <c r="A312" s="69">
        <f ca="1">IFERROR(__xludf.DUMMYFUNCTION("""COMPUTED_VALUE"""),90480)</f>
        <v>90480</v>
      </c>
      <c r="B312" s="4">
        <f ca="1">IFERROR(__xludf.DUMMYFUNCTION("""COMPUTED_VALUE"""),44592)</f>
        <v>44592</v>
      </c>
      <c r="C312" t="str">
        <f ca="1">IFERROR(__xludf.DUMMYFUNCTION("""COMPUTED_VALUE"""),"ЗАО ""ЭКОС"" 115-СТР от 01.01.2022")</f>
        <v>ЗАО "ЭКОС" 115-СТР от 01.01.2022</v>
      </c>
      <c r="D3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2" t="str">
        <f ca="1">IFERROR(__xludf.DUMMYFUNCTION("""COMPUTED_VALUE"""),"Новый")</f>
        <v>Новый</v>
      </c>
      <c r="G312" s="68"/>
      <c r="K312" s="68"/>
    </row>
    <row r="313" spans="1:11" ht="12.75">
      <c r="A313" s="69">
        <f ca="1">IFERROR(__xludf.DUMMYFUNCTION("""COMPUTED_VALUE"""),90481)</f>
        <v>90481</v>
      </c>
      <c r="B313" s="4">
        <f ca="1">IFERROR(__xludf.DUMMYFUNCTION("""COMPUTED_VALUE"""),44592)</f>
        <v>44592</v>
      </c>
      <c r="C313" t="str">
        <f ca="1">IFERROR(__xludf.DUMMYFUNCTION("""COMPUTED_VALUE"""),"ЗАО ""ЭКОС"" 115-СТР от 01.01.2022")</f>
        <v>ЗАО "ЭКОС" 115-СТР от 01.01.2022</v>
      </c>
      <c r="D3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3" t="str">
        <f ca="1">IFERROR(__xludf.DUMMYFUNCTION("""COMPUTED_VALUE"""),"Новый")</f>
        <v>Новый</v>
      </c>
      <c r="G313" s="68"/>
      <c r="K313" s="68"/>
    </row>
    <row r="314" spans="1:11" ht="12.75">
      <c r="A314" s="69">
        <f ca="1">IFERROR(__xludf.DUMMYFUNCTION("""COMPUTED_VALUE"""),90482)</f>
        <v>90482</v>
      </c>
      <c r="B314" s="4">
        <f ca="1">IFERROR(__xludf.DUMMYFUNCTION("""COMPUTED_VALUE"""),44592)</f>
        <v>44592</v>
      </c>
      <c r="C314" t="str">
        <f ca="1">IFERROR(__xludf.DUMMYFUNCTION("""COMPUTED_VALUE"""),"ЗАО ""ЭКОС"" 115-СТР от 01.01.2022")</f>
        <v>ЗАО "ЭКОС" 115-СТР от 01.01.2022</v>
      </c>
      <c r="D3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4" t="str">
        <f ca="1">IFERROR(__xludf.DUMMYFUNCTION("""COMPUTED_VALUE"""),"Новый")</f>
        <v>Новый</v>
      </c>
      <c r="G314" s="68"/>
      <c r="K314" s="68"/>
    </row>
    <row r="315" spans="1:11" ht="12.75">
      <c r="A315" s="69">
        <f ca="1">IFERROR(__xludf.DUMMYFUNCTION("""COMPUTED_VALUE"""),90483)</f>
        <v>90483</v>
      </c>
      <c r="B315" s="4">
        <f ca="1">IFERROR(__xludf.DUMMYFUNCTION("""COMPUTED_VALUE"""),44592)</f>
        <v>44592</v>
      </c>
      <c r="C315" t="str">
        <f ca="1">IFERROR(__xludf.DUMMYFUNCTION("""COMPUTED_VALUE"""),"ЗАО ""ЭКОС"" 115-СТР от 01.01.2022")</f>
        <v>ЗАО "ЭКОС" 115-СТР от 01.01.2022</v>
      </c>
      <c r="D3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5" t="str">
        <f ca="1">IFERROR(__xludf.DUMMYFUNCTION("""COMPUTED_VALUE"""),"Новый")</f>
        <v>Новый</v>
      </c>
      <c r="G315" s="68"/>
      <c r="K315" s="68"/>
    </row>
    <row r="316" spans="1:11" ht="12.75">
      <c r="A316" s="69">
        <f ca="1">IFERROR(__xludf.DUMMYFUNCTION("""COMPUTED_VALUE"""),90484)</f>
        <v>90484</v>
      </c>
      <c r="B316" s="4">
        <f ca="1">IFERROR(__xludf.DUMMYFUNCTION("""COMPUTED_VALUE"""),44592)</f>
        <v>44592</v>
      </c>
      <c r="C316" t="str">
        <f ca="1">IFERROR(__xludf.DUMMYFUNCTION("""COMPUTED_VALUE"""),"ЗАО ""ЭКОС"" 115-СТР от 01.01.2022")</f>
        <v>ЗАО "ЭКОС" 115-СТР от 01.01.2022</v>
      </c>
      <c r="D3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" t="str">
        <f ca="1">IFERROR(__xludf.DUMMYFUNCTION("""COMPUTED_VALUE"""),"Новый")</f>
        <v>Новый</v>
      </c>
      <c r="G316" s="68"/>
      <c r="K316" s="68"/>
    </row>
    <row r="317" spans="1:11" ht="12.75">
      <c r="A317" s="69">
        <f ca="1">IFERROR(__xludf.DUMMYFUNCTION("""COMPUTED_VALUE"""),90485)</f>
        <v>90485</v>
      </c>
      <c r="B317" s="4">
        <f ca="1">IFERROR(__xludf.DUMMYFUNCTION("""COMPUTED_VALUE"""),44592)</f>
        <v>44592</v>
      </c>
      <c r="C317" t="str">
        <f ca="1">IFERROR(__xludf.DUMMYFUNCTION("""COMPUTED_VALUE"""),"ЗАО ""ЭКОС"" 115-СТР от 01.01.2022")</f>
        <v>ЗАО "ЭКОС" 115-СТР от 01.01.2022</v>
      </c>
      <c r="D3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7" t="str">
        <f ca="1">IFERROR(__xludf.DUMMYFUNCTION("""COMPUTED_VALUE"""),"Новый")</f>
        <v>Новый</v>
      </c>
      <c r="G317" s="68"/>
      <c r="K317" s="68"/>
    </row>
    <row r="318" spans="1:11" ht="12.75">
      <c r="A318" s="69">
        <f ca="1">IFERROR(__xludf.DUMMYFUNCTION("""COMPUTED_VALUE"""),90486)</f>
        <v>90486</v>
      </c>
      <c r="B318" s="4">
        <f ca="1">IFERROR(__xludf.DUMMYFUNCTION("""COMPUTED_VALUE"""),44592)</f>
        <v>44592</v>
      </c>
      <c r="C318" t="str">
        <f ca="1">IFERROR(__xludf.DUMMYFUNCTION("""COMPUTED_VALUE"""),"ЗАО ""ЭКОС"" 115-СТР от 01.01.2022")</f>
        <v>ЗАО "ЭКОС" 115-СТР от 01.01.2022</v>
      </c>
      <c r="D3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8" t="str">
        <f ca="1">IFERROR(__xludf.DUMMYFUNCTION("""COMPUTED_VALUE"""),"Новый")</f>
        <v>Новый</v>
      </c>
      <c r="G318" s="68"/>
      <c r="K318" s="68"/>
    </row>
    <row r="319" spans="1:11" ht="12.75">
      <c r="A319" s="69">
        <f ca="1">IFERROR(__xludf.DUMMYFUNCTION("""COMPUTED_VALUE"""),90487)</f>
        <v>90487</v>
      </c>
      <c r="B319" s="4">
        <f ca="1">IFERROR(__xludf.DUMMYFUNCTION("""COMPUTED_VALUE"""),44592)</f>
        <v>44592</v>
      </c>
      <c r="C319" t="str">
        <f ca="1">IFERROR(__xludf.DUMMYFUNCTION("""COMPUTED_VALUE"""),"ЗАО ""ЭКОС"" 115-СТР от 01.01.2022")</f>
        <v>ЗАО "ЭКОС" 115-СТР от 01.01.2022</v>
      </c>
      <c r="D3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9" t="str">
        <f ca="1">IFERROR(__xludf.DUMMYFUNCTION("""COMPUTED_VALUE"""),"Новый")</f>
        <v>Новый</v>
      </c>
      <c r="G319" s="68"/>
      <c r="K319" s="68"/>
    </row>
    <row r="320" spans="1:11" ht="12.75">
      <c r="A320" s="69">
        <f ca="1">IFERROR(__xludf.DUMMYFUNCTION("""COMPUTED_VALUE"""),90488)</f>
        <v>90488</v>
      </c>
      <c r="B320" s="4">
        <f ca="1">IFERROR(__xludf.DUMMYFUNCTION("""COMPUTED_VALUE"""),44592)</f>
        <v>44592</v>
      </c>
      <c r="C320" t="str">
        <f ca="1">IFERROR(__xludf.DUMMYFUNCTION("""COMPUTED_VALUE"""),"ЗАО ""ЭКОС"" 115-СТР от 01.01.2022")</f>
        <v>ЗАО "ЭКОС" 115-СТР от 01.01.2022</v>
      </c>
      <c r="D3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0" t="str">
        <f ca="1">IFERROR(__xludf.DUMMYFUNCTION("""COMPUTED_VALUE"""),"Новый")</f>
        <v>Новый</v>
      </c>
      <c r="G320" s="68"/>
      <c r="K320" s="68"/>
    </row>
    <row r="321" spans="1:11" ht="12.75">
      <c r="A321" s="69">
        <f ca="1">IFERROR(__xludf.DUMMYFUNCTION("""COMPUTED_VALUE"""),90489)</f>
        <v>90489</v>
      </c>
      <c r="B321" s="4">
        <f ca="1">IFERROR(__xludf.DUMMYFUNCTION("""COMPUTED_VALUE"""),44592)</f>
        <v>44592</v>
      </c>
      <c r="C321" t="str">
        <f ca="1">IFERROR(__xludf.DUMMYFUNCTION("""COMPUTED_VALUE"""),"ЗАО ""ЭКОС"" 115-СТР от 01.01.2022")</f>
        <v>ЗАО "ЭКОС" 115-СТР от 01.01.2022</v>
      </c>
      <c r="D3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1" t="str">
        <f ca="1">IFERROR(__xludf.DUMMYFUNCTION("""COMPUTED_VALUE"""),"Новый")</f>
        <v>Новый</v>
      </c>
      <c r="G321" s="68"/>
      <c r="K321" s="68"/>
    </row>
    <row r="322" spans="1:11" ht="12.75">
      <c r="A322" s="69">
        <f ca="1">IFERROR(__xludf.DUMMYFUNCTION("""COMPUTED_VALUE"""),90490)</f>
        <v>90490</v>
      </c>
      <c r="B322" s="4">
        <f ca="1">IFERROR(__xludf.DUMMYFUNCTION("""COMPUTED_VALUE"""),44592)</f>
        <v>44592</v>
      </c>
      <c r="C322" t="str">
        <f ca="1">IFERROR(__xludf.DUMMYFUNCTION("""COMPUTED_VALUE"""),"ЗАО ""ЭКОС"" 115-СТР от 01.01.2022")</f>
        <v>ЗАО "ЭКОС" 115-СТР от 01.01.2022</v>
      </c>
      <c r="D3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2" t="str">
        <f ca="1">IFERROR(__xludf.DUMMYFUNCTION("""COMPUTED_VALUE"""),"Новый")</f>
        <v>Новый</v>
      </c>
      <c r="G322" s="68"/>
      <c r="K322" s="68"/>
    </row>
    <row r="323" spans="1:11" ht="12.75">
      <c r="A323" s="69">
        <f ca="1">IFERROR(__xludf.DUMMYFUNCTION("""COMPUTED_VALUE"""),90491)</f>
        <v>90491</v>
      </c>
      <c r="B323" s="4">
        <f ca="1">IFERROR(__xludf.DUMMYFUNCTION("""COMPUTED_VALUE"""),44592)</f>
        <v>44592</v>
      </c>
      <c r="C323" t="str">
        <f ca="1">IFERROR(__xludf.DUMMYFUNCTION("""COMPUTED_VALUE"""),"ЗАО ""ЭКОС"" 115-СТР от 01.01.2022")</f>
        <v>ЗАО "ЭКОС" 115-СТР от 01.01.2022</v>
      </c>
      <c r="D3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3" t="str">
        <f ca="1">IFERROR(__xludf.DUMMYFUNCTION("""COMPUTED_VALUE"""),"Новый")</f>
        <v>Новый</v>
      </c>
      <c r="G323" s="68"/>
      <c r="K323" s="68"/>
    </row>
    <row r="324" spans="1:11" ht="12.75">
      <c r="A324" s="69">
        <f ca="1">IFERROR(__xludf.DUMMYFUNCTION("""COMPUTED_VALUE"""),90492)</f>
        <v>90492</v>
      </c>
      <c r="B324" s="4">
        <f ca="1">IFERROR(__xludf.DUMMYFUNCTION("""COMPUTED_VALUE"""),44592)</f>
        <v>44592</v>
      </c>
      <c r="C324" t="str">
        <f ca="1">IFERROR(__xludf.DUMMYFUNCTION("""COMPUTED_VALUE"""),"ЗАО ""ЭКОС"" 115-СТР от 01.01.2022")</f>
        <v>ЗАО "ЭКОС" 115-СТР от 01.01.2022</v>
      </c>
      <c r="D3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4" t="str">
        <f ca="1">IFERROR(__xludf.DUMMYFUNCTION("""COMPUTED_VALUE"""),"Новый")</f>
        <v>Новый</v>
      </c>
      <c r="G324" s="68"/>
      <c r="K324" s="68"/>
    </row>
    <row r="325" spans="1:11" ht="12.75">
      <c r="A325" s="69">
        <f ca="1">IFERROR(__xludf.DUMMYFUNCTION("""COMPUTED_VALUE"""),90513)</f>
        <v>90513</v>
      </c>
      <c r="B325" s="4">
        <f ca="1">IFERROR(__xludf.DUMMYFUNCTION("""COMPUTED_VALUE"""),44592)</f>
        <v>44592</v>
      </c>
      <c r="C325" t="str">
        <f ca="1">IFERROR(__xludf.DUMMYFUNCTION("""COMPUTED_VALUE"""),"ЗАО ""ЭКОС"" 115-СТР от 01.01.2022")</f>
        <v>ЗАО "ЭКОС" 115-СТР от 01.01.2022</v>
      </c>
      <c r="D3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5" t="str">
        <f ca="1">IFERROR(__xludf.DUMMYFUNCTION("""COMPUTED_VALUE"""),"Новый")</f>
        <v>Новый</v>
      </c>
      <c r="G325" s="68"/>
      <c r="K325" s="68"/>
    </row>
    <row r="326" spans="1:11" ht="12.75">
      <c r="A326" s="69">
        <f ca="1">IFERROR(__xludf.DUMMYFUNCTION("""COMPUTED_VALUE"""),90514)</f>
        <v>90514</v>
      </c>
      <c r="B326" s="4">
        <f ca="1">IFERROR(__xludf.DUMMYFUNCTION("""COMPUTED_VALUE"""),44592)</f>
        <v>44592</v>
      </c>
      <c r="C326" t="str">
        <f ca="1">IFERROR(__xludf.DUMMYFUNCTION("""COMPUTED_VALUE"""),"ЗАО ""ЭКОС"" 115-СТР от 01.01.2022")</f>
        <v>ЗАО "ЭКОС" 115-СТР от 01.01.2022</v>
      </c>
      <c r="D3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" t="str">
        <f ca="1">IFERROR(__xludf.DUMMYFUNCTION("""COMPUTED_VALUE"""),"Новый")</f>
        <v>Новый</v>
      </c>
      <c r="G326" s="68"/>
      <c r="K326" s="68"/>
    </row>
    <row r="327" spans="1:11" ht="12.75">
      <c r="A327" s="69">
        <f ca="1">IFERROR(__xludf.DUMMYFUNCTION("""COMPUTED_VALUE"""),90515)</f>
        <v>90515</v>
      </c>
      <c r="B327" s="4">
        <f ca="1">IFERROR(__xludf.DUMMYFUNCTION("""COMPUTED_VALUE"""),44592)</f>
        <v>44592</v>
      </c>
      <c r="C327" t="str">
        <f ca="1">IFERROR(__xludf.DUMMYFUNCTION("""COMPUTED_VALUE"""),"ЗАО ""ЭКОС"" 115-СТР от 01.01.2022")</f>
        <v>ЗАО "ЭКОС" 115-СТР от 01.01.2022</v>
      </c>
      <c r="D3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" t="str">
        <f ca="1">IFERROR(__xludf.DUMMYFUNCTION("""COMPUTED_VALUE"""),"Новый")</f>
        <v>Новый</v>
      </c>
      <c r="G327" s="68"/>
      <c r="K327" s="68"/>
    </row>
    <row r="328" spans="1:11" ht="12.75">
      <c r="A328" s="69">
        <f ca="1">IFERROR(__xludf.DUMMYFUNCTION("""COMPUTED_VALUE"""),90516)</f>
        <v>90516</v>
      </c>
      <c r="B328" s="4">
        <f ca="1">IFERROR(__xludf.DUMMYFUNCTION("""COMPUTED_VALUE"""),44592)</f>
        <v>44592</v>
      </c>
      <c r="C328" t="str">
        <f ca="1">IFERROR(__xludf.DUMMYFUNCTION("""COMPUTED_VALUE"""),"ЗАО ""ЭКОС"" 115-СТР от 01.01.2022")</f>
        <v>ЗАО "ЭКОС" 115-СТР от 01.01.2022</v>
      </c>
      <c r="D3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" t="str">
        <f ca="1">IFERROR(__xludf.DUMMYFUNCTION("""COMPUTED_VALUE"""),"Новый")</f>
        <v>Новый</v>
      </c>
      <c r="G328" s="68"/>
      <c r="K328" s="68"/>
    </row>
    <row r="329" spans="1:11" ht="12.75">
      <c r="A329" s="69">
        <f ca="1">IFERROR(__xludf.DUMMYFUNCTION("""COMPUTED_VALUE"""),90517)</f>
        <v>90517</v>
      </c>
      <c r="B329" s="4">
        <f ca="1">IFERROR(__xludf.DUMMYFUNCTION("""COMPUTED_VALUE"""),44592)</f>
        <v>44592</v>
      </c>
      <c r="C329" t="str">
        <f ca="1">IFERROR(__xludf.DUMMYFUNCTION("""COMPUTED_VALUE"""),"ЗАО ""ЭКОС"" 115-СТР от 01.01.2022")</f>
        <v>ЗАО "ЭКОС" 115-СТР от 01.01.2022</v>
      </c>
      <c r="D3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" t="str">
        <f ca="1">IFERROR(__xludf.DUMMYFUNCTION("""COMPUTED_VALUE"""),"Новый")</f>
        <v>Новый</v>
      </c>
      <c r="G329" s="68"/>
      <c r="K329" s="68"/>
    </row>
    <row r="330" spans="1:11" ht="12.75">
      <c r="A330" s="69">
        <f ca="1">IFERROR(__xludf.DUMMYFUNCTION("""COMPUTED_VALUE"""),90518)</f>
        <v>90518</v>
      </c>
      <c r="B330" s="4">
        <f ca="1">IFERROR(__xludf.DUMMYFUNCTION("""COMPUTED_VALUE"""),44592)</f>
        <v>44592</v>
      </c>
      <c r="C330" t="str">
        <f ca="1">IFERROR(__xludf.DUMMYFUNCTION("""COMPUTED_VALUE"""),"ЗАО ""ЭКОС"" 115-СТР от 01.01.2022")</f>
        <v>ЗАО "ЭКОС" 115-СТР от 01.01.2022</v>
      </c>
      <c r="D3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" t="str">
        <f ca="1">IFERROR(__xludf.DUMMYFUNCTION("""COMPUTED_VALUE"""),"Новый")</f>
        <v>Новый</v>
      </c>
      <c r="G330" s="68"/>
      <c r="K330" s="68"/>
    </row>
    <row r="331" spans="1:11" ht="12.75">
      <c r="A331" s="69">
        <f ca="1">IFERROR(__xludf.DUMMYFUNCTION("""COMPUTED_VALUE"""),90519)</f>
        <v>90519</v>
      </c>
      <c r="B331" s="4">
        <f ca="1">IFERROR(__xludf.DUMMYFUNCTION("""COMPUTED_VALUE"""),44592)</f>
        <v>44592</v>
      </c>
      <c r="C331" t="str">
        <f ca="1">IFERROR(__xludf.DUMMYFUNCTION("""COMPUTED_VALUE"""),"ЗАО ""ЭКОС"" 115-СТР от 01.01.2022")</f>
        <v>ЗАО "ЭКОС" 115-СТР от 01.01.2022</v>
      </c>
      <c r="D3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" t="str">
        <f ca="1">IFERROR(__xludf.DUMMYFUNCTION("""COMPUTED_VALUE"""),"Новый")</f>
        <v>Новый</v>
      </c>
      <c r="G331" s="68"/>
      <c r="K331" s="68"/>
    </row>
    <row r="332" spans="1:11" ht="12.75">
      <c r="A332" s="69">
        <f ca="1">IFERROR(__xludf.DUMMYFUNCTION("""COMPUTED_VALUE"""),90520)</f>
        <v>90520</v>
      </c>
      <c r="B332" s="4">
        <f ca="1">IFERROR(__xludf.DUMMYFUNCTION("""COMPUTED_VALUE"""),44592)</f>
        <v>44592</v>
      </c>
      <c r="C332" t="str">
        <f ca="1">IFERROR(__xludf.DUMMYFUNCTION("""COMPUTED_VALUE"""),"ЗАО ""ЭКОС"" 115-СТР от 01.01.2022")</f>
        <v>ЗАО "ЭКОС" 115-СТР от 01.01.2022</v>
      </c>
      <c r="D3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2" t="str">
        <f ca="1">IFERROR(__xludf.DUMMYFUNCTION("""COMPUTED_VALUE"""),"Новый")</f>
        <v>Новый</v>
      </c>
      <c r="G332" s="68"/>
      <c r="K332" s="68"/>
    </row>
    <row r="333" spans="1:11" ht="12.75">
      <c r="A333" s="69">
        <f ca="1">IFERROR(__xludf.DUMMYFUNCTION("""COMPUTED_VALUE"""),90521)</f>
        <v>90521</v>
      </c>
      <c r="B333" s="4">
        <f ca="1">IFERROR(__xludf.DUMMYFUNCTION("""COMPUTED_VALUE"""),44592)</f>
        <v>44592</v>
      </c>
      <c r="C333" t="str">
        <f ca="1">IFERROR(__xludf.DUMMYFUNCTION("""COMPUTED_VALUE"""),"ЗАО ""ЭКОС"" 115-СТР от 01.01.2022")</f>
        <v>ЗАО "ЭКОС" 115-СТР от 01.01.2022</v>
      </c>
      <c r="D3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3" t="str">
        <f ca="1">IFERROR(__xludf.DUMMYFUNCTION("""COMPUTED_VALUE"""),"Новый")</f>
        <v>Новый</v>
      </c>
      <c r="G333" s="68"/>
      <c r="K333" s="68"/>
    </row>
    <row r="334" spans="1:11" ht="12.75">
      <c r="A334" s="69">
        <f ca="1">IFERROR(__xludf.DUMMYFUNCTION("""COMPUTED_VALUE"""),90522)</f>
        <v>90522</v>
      </c>
      <c r="B334" s="4">
        <f ca="1">IFERROR(__xludf.DUMMYFUNCTION("""COMPUTED_VALUE"""),44592)</f>
        <v>44592</v>
      </c>
      <c r="C334" t="str">
        <f ca="1">IFERROR(__xludf.DUMMYFUNCTION("""COMPUTED_VALUE"""),"ЗАО ""ЭКОС"" 115-СТР от 01.01.2022")</f>
        <v>ЗАО "ЭКОС" 115-СТР от 01.01.2022</v>
      </c>
      <c r="D3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4" t="str">
        <f ca="1">IFERROR(__xludf.DUMMYFUNCTION("""COMPUTED_VALUE"""),"Новый")</f>
        <v>Новый</v>
      </c>
      <c r="G334" s="68"/>
      <c r="K334" s="68"/>
    </row>
    <row r="335" spans="1:11" ht="12.75">
      <c r="A335" s="69">
        <f ca="1">IFERROR(__xludf.DUMMYFUNCTION("""COMPUTED_VALUE"""),90523)</f>
        <v>90523</v>
      </c>
      <c r="B335" s="4">
        <f ca="1">IFERROR(__xludf.DUMMYFUNCTION("""COMPUTED_VALUE"""),44592)</f>
        <v>44592</v>
      </c>
      <c r="C335" t="str">
        <f ca="1">IFERROR(__xludf.DUMMYFUNCTION("""COMPUTED_VALUE"""),"ЗАО ""ЭКОС"" 115-СТР от 01.01.2022")</f>
        <v>ЗАО "ЭКОС" 115-СТР от 01.01.2022</v>
      </c>
      <c r="D3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5" t="str">
        <f ca="1">IFERROR(__xludf.DUMMYFUNCTION("""COMPUTED_VALUE"""),"Новый")</f>
        <v>Новый</v>
      </c>
      <c r="G335" s="68"/>
      <c r="K335" s="68"/>
    </row>
    <row r="336" spans="1:11" ht="12.75">
      <c r="A336" s="69">
        <f ca="1">IFERROR(__xludf.DUMMYFUNCTION("""COMPUTED_VALUE"""),90524)</f>
        <v>90524</v>
      </c>
      <c r="B336" s="4">
        <f ca="1">IFERROR(__xludf.DUMMYFUNCTION("""COMPUTED_VALUE"""),44592)</f>
        <v>44592</v>
      </c>
      <c r="C336" t="str">
        <f ca="1">IFERROR(__xludf.DUMMYFUNCTION("""COMPUTED_VALUE"""),"ЗАО ""ЭКОС"" 115-СТР от 01.01.2022")</f>
        <v>ЗАО "ЭКОС" 115-СТР от 01.01.2022</v>
      </c>
      <c r="D3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6" t="str">
        <f ca="1">IFERROR(__xludf.DUMMYFUNCTION("""COMPUTED_VALUE"""),"Новый")</f>
        <v>Новый</v>
      </c>
      <c r="G336" s="68"/>
      <c r="K336" s="68"/>
    </row>
    <row r="337" spans="1:11" ht="12.75">
      <c r="A337" s="69">
        <f ca="1">IFERROR(__xludf.DUMMYFUNCTION("""COMPUTED_VALUE"""),90525)</f>
        <v>90525</v>
      </c>
      <c r="B337" s="4">
        <f ca="1">IFERROR(__xludf.DUMMYFUNCTION("""COMPUTED_VALUE"""),44592)</f>
        <v>44592</v>
      </c>
      <c r="C337" t="str">
        <f ca="1">IFERROR(__xludf.DUMMYFUNCTION("""COMPUTED_VALUE"""),"ЗАО ""ЭКОС"" 115-СТР от 01.01.2022")</f>
        <v>ЗАО "ЭКОС" 115-СТР от 01.01.2022</v>
      </c>
      <c r="D3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7" t="str">
        <f ca="1">IFERROR(__xludf.DUMMYFUNCTION("""COMPUTED_VALUE"""),"Новый")</f>
        <v>Новый</v>
      </c>
      <c r="G337" s="68"/>
      <c r="K337" s="68"/>
    </row>
    <row r="338" spans="1:11" ht="12.75">
      <c r="A338" s="69">
        <f ca="1">IFERROR(__xludf.DUMMYFUNCTION("""COMPUTED_VALUE"""),90526)</f>
        <v>90526</v>
      </c>
      <c r="B338" s="4">
        <f ca="1">IFERROR(__xludf.DUMMYFUNCTION("""COMPUTED_VALUE"""),44592)</f>
        <v>44592</v>
      </c>
      <c r="C338" t="str">
        <f ca="1">IFERROR(__xludf.DUMMYFUNCTION("""COMPUTED_VALUE"""),"ЗАО ""ЭКОС"" 115-СТР от 01.01.2022")</f>
        <v>ЗАО "ЭКОС" 115-СТР от 01.01.2022</v>
      </c>
      <c r="D3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8" t="str">
        <f ca="1">IFERROR(__xludf.DUMMYFUNCTION("""COMPUTED_VALUE"""),"Новый")</f>
        <v>Новый</v>
      </c>
      <c r="G338" s="68"/>
      <c r="K338" s="68"/>
    </row>
    <row r="339" spans="1:11" ht="12.75">
      <c r="A339" s="69">
        <f ca="1">IFERROR(__xludf.DUMMYFUNCTION("""COMPUTED_VALUE"""),90527)</f>
        <v>90527</v>
      </c>
      <c r="B339" s="4">
        <f ca="1">IFERROR(__xludf.DUMMYFUNCTION("""COMPUTED_VALUE"""),44592)</f>
        <v>44592</v>
      </c>
      <c r="C339" t="str">
        <f ca="1">IFERROR(__xludf.DUMMYFUNCTION("""COMPUTED_VALUE"""),"ЗАО ""ЭКОС"" 115-СТР от 01.01.2022")</f>
        <v>ЗАО "ЭКОС" 115-СТР от 01.01.2022</v>
      </c>
      <c r="D3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9" t="str">
        <f ca="1">IFERROR(__xludf.DUMMYFUNCTION("""COMPUTED_VALUE"""),"Новый")</f>
        <v>Новый</v>
      </c>
      <c r="G339" s="68"/>
      <c r="K339" s="68"/>
    </row>
    <row r="340" spans="1:11" ht="12.75">
      <c r="A340" s="69">
        <f ca="1">IFERROR(__xludf.DUMMYFUNCTION("""COMPUTED_VALUE"""),90528)</f>
        <v>90528</v>
      </c>
      <c r="B340" s="4">
        <f ca="1">IFERROR(__xludf.DUMMYFUNCTION("""COMPUTED_VALUE"""),44592)</f>
        <v>44592</v>
      </c>
      <c r="C340" t="str">
        <f ca="1">IFERROR(__xludf.DUMMYFUNCTION("""COMPUTED_VALUE"""),"ЗАО ""ЭКОС"" 115-СТР от 01.01.2022")</f>
        <v>ЗАО "ЭКОС" 115-СТР от 01.01.2022</v>
      </c>
      <c r="D3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0" t="str">
        <f ca="1">IFERROR(__xludf.DUMMYFUNCTION("""COMPUTED_VALUE"""),"Новый")</f>
        <v>Новый</v>
      </c>
      <c r="G340" s="68"/>
      <c r="K340" s="68"/>
    </row>
    <row r="341" spans="1:11" ht="12.75">
      <c r="A341" s="69">
        <f ca="1">IFERROR(__xludf.DUMMYFUNCTION("""COMPUTED_VALUE"""),90529)</f>
        <v>90529</v>
      </c>
      <c r="B341" s="4">
        <f ca="1">IFERROR(__xludf.DUMMYFUNCTION("""COMPUTED_VALUE"""),44592)</f>
        <v>44592</v>
      </c>
      <c r="C341" t="str">
        <f ca="1">IFERROR(__xludf.DUMMYFUNCTION("""COMPUTED_VALUE"""),"ЗАО ""ЭКОС"" 115-СТР от 01.01.2022")</f>
        <v>ЗАО "ЭКОС" 115-СТР от 01.01.2022</v>
      </c>
      <c r="D3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1" t="str">
        <f ca="1">IFERROR(__xludf.DUMMYFUNCTION("""COMPUTED_VALUE"""),"Новый")</f>
        <v>Новый</v>
      </c>
      <c r="G341" s="68"/>
      <c r="K341" s="68"/>
    </row>
    <row r="342" spans="1:11" ht="12.75">
      <c r="A342" s="69">
        <f ca="1">IFERROR(__xludf.DUMMYFUNCTION("""COMPUTED_VALUE"""),90530)</f>
        <v>90530</v>
      </c>
      <c r="B342" s="4">
        <f ca="1">IFERROR(__xludf.DUMMYFUNCTION("""COMPUTED_VALUE"""),44592)</f>
        <v>44592</v>
      </c>
      <c r="C342" t="str">
        <f ca="1">IFERROR(__xludf.DUMMYFUNCTION("""COMPUTED_VALUE"""),"ЗАО ""ЭКОС"" 115-СТР от 01.01.2022")</f>
        <v>ЗАО "ЭКОС" 115-СТР от 01.01.2022</v>
      </c>
      <c r="D3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2" t="str">
        <f ca="1">IFERROR(__xludf.DUMMYFUNCTION("""COMPUTED_VALUE"""),"Новый")</f>
        <v>Новый</v>
      </c>
      <c r="G342" s="68"/>
      <c r="K342" s="68"/>
    </row>
    <row r="343" spans="1:11" ht="12.75">
      <c r="A343" s="69">
        <f ca="1">IFERROR(__xludf.DUMMYFUNCTION("""COMPUTED_VALUE"""),90531)</f>
        <v>90531</v>
      </c>
      <c r="B343" s="4">
        <f ca="1">IFERROR(__xludf.DUMMYFUNCTION("""COMPUTED_VALUE"""),44592)</f>
        <v>44592</v>
      </c>
      <c r="C343" t="str">
        <f ca="1">IFERROR(__xludf.DUMMYFUNCTION("""COMPUTED_VALUE"""),"ЗАО ""ЭКОС"" 115-СТР от 01.01.2022")</f>
        <v>ЗАО "ЭКОС" 115-СТР от 01.01.2022</v>
      </c>
      <c r="D3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3" t="str">
        <f ca="1">IFERROR(__xludf.DUMMYFUNCTION("""COMPUTED_VALUE"""),"Новый")</f>
        <v>Новый</v>
      </c>
      <c r="G343" s="68"/>
      <c r="K343" s="68"/>
    </row>
    <row r="344" spans="1:11" ht="12.75">
      <c r="A344" s="69">
        <f ca="1">IFERROR(__xludf.DUMMYFUNCTION("""COMPUTED_VALUE"""),90532)</f>
        <v>90532</v>
      </c>
      <c r="B344" s="4">
        <f ca="1">IFERROR(__xludf.DUMMYFUNCTION("""COMPUTED_VALUE"""),44592)</f>
        <v>44592</v>
      </c>
      <c r="C344" t="str">
        <f ca="1">IFERROR(__xludf.DUMMYFUNCTION("""COMPUTED_VALUE"""),"ЗАО ""ЭКОС"" 115-СТР от 01.01.2022")</f>
        <v>ЗАО "ЭКОС" 115-СТР от 01.01.2022</v>
      </c>
      <c r="D3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4" t="str">
        <f ca="1">IFERROR(__xludf.DUMMYFUNCTION("""COMPUTED_VALUE"""),"Новый")</f>
        <v>Новый</v>
      </c>
      <c r="G344" s="68"/>
      <c r="K344" s="68"/>
    </row>
    <row r="345" spans="1:11" ht="12.75">
      <c r="A345" s="69">
        <f ca="1">IFERROR(__xludf.DUMMYFUNCTION("""COMPUTED_VALUE"""),90533)</f>
        <v>90533</v>
      </c>
      <c r="B345" s="4">
        <f ca="1">IFERROR(__xludf.DUMMYFUNCTION("""COMPUTED_VALUE"""),44592)</f>
        <v>44592</v>
      </c>
      <c r="C345" t="str">
        <f ca="1">IFERROR(__xludf.DUMMYFUNCTION("""COMPUTED_VALUE"""),"ЗАО ""ЭКОС"" 115-СТР от 01.01.2022")</f>
        <v>ЗАО "ЭКОС" 115-СТР от 01.01.2022</v>
      </c>
      <c r="D3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5" t="str">
        <f ca="1">IFERROR(__xludf.DUMMYFUNCTION("""COMPUTED_VALUE"""),"Новый")</f>
        <v>Новый</v>
      </c>
      <c r="G345" s="68"/>
      <c r="K345" s="68"/>
    </row>
    <row r="346" spans="1:11" ht="12.75">
      <c r="A346" s="69">
        <f ca="1">IFERROR(__xludf.DUMMYFUNCTION("""COMPUTED_VALUE"""),90534)</f>
        <v>90534</v>
      </c>
      <c r="B346" s="4">
        <f ca="1">IFERROR(__xludf.DUMMYFUNCTION("""COMPUTED_VALUE"""),44592)</f>
        <v>44592</v>
      </c>
      <c r="C346" t="str">
        <f ca="1">IFERROR(__xludf.DUMMYFUNCTION("""COMPUTED_VALUE"""),"ЗАО ""ЭКОС"" 115-СТР от 01.01.2022")</f>
        <v>ЗАО "ЭКОС" 115-СТР от 01.01.2022</v>
      </c>
      <c r="D3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6" t="str">
        <f ca="1">IFERROR(__xludf.DUMMYFUNCTION("""COMPUTED_VALUE"""),"Новый")</f>
        <v>Новый</v>
      </c>
      <c r="G346" s="68"/>
      <c r="K346" s="68"/>
    </row>
    <row r="347" spans="1:11" ht="12.75">
      <c r="A347" s="69">
        <f ca="1">IFERROR(__xludf.DUMMYFUNCTION("""COMPUTED_VALUE"""),90535)</f>
        <v>90535</v>
      </c>
      <c r="B347" s="4">
        <f ca="1">IFERROR(__xludf.DUMMYFUNCTION("""COMPUTED_VALUE"""),44592)</f>
        <v>44592</v>
      </c>
      <c r="C347" t="str">
        <f ca="1">IFERROR(__xludf.DUMMYFUNCTION("""COMPUTED_VALUE"""),"ЗАО ""ЭКОС"" 115-СТР от 01.01.2022")</f>
        <v>ЗАО "ЭКОС" 115-СТР от 01.01.2022</v>
      </c>
      <c r="D3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" t="str">
        <f ca="1">IFERROR(__xludf.DUMMYFUNCTION("""COMPUTED_VALUE"""),"Новый")</f>
        <v>Новый</v>
      </c>
      <c r="G347" s="68"/>
      <c r="K347" s="68"/>
    </row>
    <row r="348" spans="1:11" ht="12.75">
      <c r="A348" s="69">
        <f ca="1">IFERROR(__xludf.DUMMYFUNCTION("""COMPUTED_VALUE"""),90536)</f>
        <v>90536</v>
      </c>
      <c r="B348" s="4">
        <f ca="1">IFERROR(__xludf.DUMMYFUNCTION("""COMPUTED_VALUE"""),44592)</f>
        <v>44592</v>
      </c>
      <c r="C348" t="str">
        <f ca="1">IFERROR(__xludf.DUMMYFUNCTION("""COMPUTED_VALUE"""),"ЗАО ""ЭКОС"" 115-СТР от 01.01.2022")</f>
        <v>ЗАО "ЭКОС" 115-СТР от 01.01.2022</v>
      </c>
      <c r="D3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" t="str">
        <f ca="1">IFERROR(__xludf.DUMMYFUNCTION("""COMPUTED_VALUE"""),"Новый")</f>
        <v>Новый</v>
      </c>
      <c r="G348" s="68"/>
      <c r="K348" s="68"/>
    </row>
    <row r="349" spans="1:11" ht="12.75">
      <c r="A349" s="69">
        <f ca="1">IFERROR(__xludf.DUMMYFUNCTION("""COMPUTED_VALUE"""),90537)</f>
        <v>90537</v>
      </c>
      <c r="B349" s="4">
        <f ca="1">IFERROR(__xludf.DUMMYFUNCTION("""COMPUTED_VALUE"""),44592)</f>
        <v>44592</v>
      </c>
      <c r="C349" t="str">
        <f ca="1">IFERROR(__xludf.DUMMYFUNCTION("""COMPUTED_VALUE"""),"ЗАО ""ЭКОС"" 115-СТР от 01.01.2022")</f>
        <v>ЗАО "ЭКОС" 115-СТР от 01.01.2022</v>
      </c>
      <c r="D3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" t="str">
        <f ca="1">IFERROR(__xludf.DUMMYFUNCTION("""COMPUTED_VALUE"""),"Новый")</f>
        <v>Новый</v>
      </c>
      <c r="G349" s="68"/>
      <c r="K349" s="68"/>
    </row>
    <row r="350" spans="1:11" ht="12.75">
      <c r="A350" s="69">
        <f ca="1">IFERROR(__xludf.DUMMYFUNCTION("""COMPUTED_VALUE"""),90538)</f>
        <v>90538</v>
      </c>
      <c r="B350" s="4">
        <f ca="1">IFERROR(__xludf.DUMMYFUNCTION("""COMPUTED_VALUE"""),44592)</f>
        <v>44592</v>
      </c>
      <c r="C350" t="str">
        <f ca="1">IFERROR(__xludf.DUMMYFUNCTION("""COMPUTED_VALUE"""),"ЗАО ""ЭКОС"" 115-СТР от 01.01.2022")</f>
        <v>ЗАО "ЭКОС" 115-СТР от 01.01.2022</v>
      </c>
      <c r="D3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" t="str">
        <f ca="1">IFERROR(__xludf.DUMMYFUNCTION("""COMPUTED_VALUE"""),"Новый")</f>
        <v>Новый</v>
      </c>
      <c r="G350" s="68"/>
      <c r="K350" s="68"/>
    </row>
    <row r="351" spans="1:11" ht="12.75">
      <c r="A351" s="69">
        <f ca="1">IFERROR(__xludf.DUMMYFUNCTION("""COMPUTED_VALUE"""),90539)</f>
        <v>90539</v>
      </c>
      <c r="B351" s="4">
        <f ca="1">IFERROR(__xludf.DUMMYFUNCTION("""COMPUTED_VALUE"""),44592)</f>
        <v>44592</v>
      </c>
      <c r="C351" t="str">
        <f ca="1">IFERROR(__xludf.DUMMYFUNCTION("""COMPUTED_VALUE"""),"ЗАО ""ЭКОС"" 115-СТР от 01.01.2022")</f>
        <v>ЗАО "ЭКОС" 115-СТР от 01.01.2022</v>
      </c>
      <c r="D3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" t="str">
        <f ca="1">IFERROR(__xludf.DUMMYFUNCTION("""COMPUTED_VALUE"""),"Новый")</f>
        <v>Новый</v>
      </c>
      <c r="G351" s="68"/>
      <c r="K351" s="68"/>
    </row>
    <row r="352" spans="1:11" ht="12.75">
      <c r="A352" s="69">
        <f ca="1">IFERROR(__xludf.DUMMYFUNCTION("""COMPUTED_VALUE"""),90540)</f>
        <v>90540</v>
      </c>
      <c r="B352" s="4">
        <f ca="1">IFERROR(__xludf.DUMMYFUNCTION("""COMPUTED_VALUE"""),44592)</f>
        <v>44592</v>
      </c>
      <c r="C352" t="str">
        <f ca="1">IFERROR(__xludf.DUMMYFUNCTION("""COMPUTED_VALUE"""),"ЗАО ""ЭКОС"" 115-СТР от 01.01.2022")</f>
        <v>ЗАО "ЭКОС" 115-СТР от 01.01.2022</v>
      </c>
      <c r="D3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" t="str">
        <f ca="1">IFERROR(__xludf.DUMMYFUNCTION("""COMPUTED_VALUE"""),"Новый")</f>
        <v>Новый</v>
      </c>
      <c r="G352" s="68"/>
      <c r="K352" s="68"/>
    </row>
    <row r="353" spans="1:11" ht="12.75">
      <c r="A353" s="69">
        <f ca="1">IFERROR(__xludf.DUMMYFUNCTION("""COMPUTED_VALUE"""),90541)</f>
        <v>90541</v>
      </c>
      <c r="B353" s="4">
        <f ca="1">IFERROR(__xludf.DUMMYFUNCTION("""COMPUTED_VALUE"""),44592)</f>
        <v>44592</v>
      </c>
      <c r="C353" t="str">
        <f ca="1">IFERROR(__xludf.DUMMYFUNCTION("""COMPUTED_VALUE"""),"ЗАО ""ЭКОС"" 115-СТР от 01.01.2022")</f>
        <v>ЗАО "ЭКОС" 115-СТР от 01.01.2022</v>
      </c>
      <c r="D3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" t="str">
        <f ca="1">IFERROR(__xludf.DUMMYFUNCTION("""COMPUTED_VALUE"""),"Новый")</f>
        <v>Новый</v>
      </c>
      <c r="G353" s="68"/>
      <c r="K353" s="68"/>
    </row>
    <row r="354" spans="1:11" ht="12.75">
      <c r="A354" s="69">
        <f ca="1">IFERROR(__xludf.DUMMYFUNCTION("""COMPUTED_VALUE"""),90542)</f>
        <v>90542</v>
      </c>
      <c r="B354" s="4">
        <f ca="1">IFERROR(__xludf.DUMMYFUNCTION("""COMPUTED_VALUE"""),44592)</f>
        <v>44592</v>
      </c>
      <c r="C354" t="str">
        <f ca="1">IFERROR(__xludf.DUMMYFUNCTION("""COMPUTED_VALUE"""),"ЗАО ""ЭКОС"" 115-СТР от 01.01.2022")</f>
        <v>ЗАО "ЭКОС" 115-СТР от 01.01.2022</v>
      </c>
      <c r="D3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4" t="str">
        <f ca="1">IFERROR(__xludf.DUMMYFUNCTION("""COMPUTED_VALUE"""),"Новый")</f>
        <v>Новый</v>
      </c>
      <c r="G354" s="68"/>
      <c r="K354" s="68"/>
    </row>
    <row r="355" spans="1:11" ht="12.75">
      <c r="A355" s="69">
        <f ca="1">IFERROR(__xludf.DUMMYFUNCTION("""COMPUTED_VALUE"""),90543)</f>
        <v>90543</v>
      </c>
      <c r="B355" s="4">
        <f ca="1">IFERROR(__xludf.DUMMYFUNCTION("""COMPUTED_VALUE"""),44592)</f>
        <v>44592</v>
      </c>
      <c r="C355" t="str">
        <f ca="1">IFERROR(__xludf.DUMMYFUNCTION("""COMPUTED_VALUE"""),"ЗАО ""ЭКОС"" 115-СТР от 01.01.2022")</f>
        <v>ЗАО "ЭКОС" 115-СТР от 01.01.2022</v>
      </c>
      <c r="D3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" t="str">
        <f ca="1">IFERROR(__xludf.DUMMYFUNCTION("""COMPUTED_VALUE"""),"Новый")</f>
        <v>Новый</v>
      </c>
      <c r="G355" s="68"/>
      <c r="K355" s="68"/>
    </row>
    <row r="356" spans="1:11" ht="12.75">
      <c r="A356" s="69">
        <f ca="1">IFERROR(__xludf.DUMMYFUNCTION("""COMPUTED_VALUE"""),90544)</f>
        <v>90544</v>
      </c>
      <c r="B356" s="4">
        <f ca="1">IFERROR(__xludf.DUMMYFUNCTION("""COMPUTED_VALUE"""),44592)</f>
        <v>44592</v>
      </c>
      <c r="C356" t="str">
        <f ca="1">IFERROR(__xludf.DUMMYFUNCTION("""COMPUTED_VALUE"""),"ЗАО ""ЭКОС"" 115-СТР от 01.01.2022")</f>
        <v>ЗАО "ЭКОС" 115-СТР от 01.01.2022</v>
      </c>
      <c r="D3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" t="str">
        <f ca="1">IFERROR(__xludf.DUMMYFUNCTION("""COMPUTED_VALUE"""),"Новый")</f>
        <v>Новый</v>
      </c>
      <c r="G356" s="68"/>
      <c r="K356" s="68"/>
    </row>
    <row r="357" spans="1:11" ht="12.75">
      <c r="A357" s="69">
        <f ca="1">IFERROR(__xludf.DUMMYFUNCTION("""COMPUTED_VALUE"""),90545)</f>
        <v>90545</v>
      </c>
      <c r="B357" s="4">
        <f ca="1">IFERROR(__xludf.DUMMYFUNCTION("""COMPUTED_VALUE"""),44592)</f>
        <v>44592</v>
      </c>
      <c r="C357" t="str">
        <f ca="1">IFERROR(__xludf.DUMMYFUNCTION("""COMPUTED_VALUE"""),"ЗАО ""ЭКОС"" 115-СТР от 01.01.2022")</f>
        <v>ЗАО "ЭКОС" 115-СТР от 01.01.2022</v>
      </c>
      <c r="D3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" t="str">
        <f ca="1">IFERROR(__xludf.DUMMYFUNCTION("""COMPUTED_VALUE"""),"Новый")</f>
        <v>Новый</v>
      </c>
      <c r="G357" s="68"/>
      <c r="K357" s="68"/>
    </row>
    <row r="358" spans="1:11" ht="12.75">
      <c r="A358" s="69">
        <f ca="1">IFERROR(__xludf.DUMMYFUNCTION("""COMPUTED_VALUE"""),90546)</f>
        <v>90546</v>
      </c>
      <c r="B358" s="4">
        <f ca="1">IFERROR(__xludf.DUMMYFUNCTION("""COMPUTED_VALUE"""),44592)</f>
        <v>44592</v>
      </c>
      <c r="C358" t="str">
        <f ca="1">IFERROR(__xludf.DUMMYFUNCTION("""COMPUTED_VALUE"""),"ЗАО ""ЭКОС"" 115-СТР от 01.01.2022")</f>
        <v>ЗАО "ЭКОС" 115-СТР от 01.01.2022</v>
      </c>
      <c r="D3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" t="str">
        <f ca="1">IFERROR(__xludf.DUMMYFUNCTION("""COMPUTED_VALUE"""),"Новый")</f>
        <v>Новый</v>
      </c>
      <c r="G358" s="68"/>
      <c r="K358" s="68"/>
    </row>
    <row r="359" spans="1:11" ht="12.75">
      <c r="A359" s="69">
        <f ca="1">IFERROR(__xludf.DUMMYFUNCTION("""COMPUTED_VALUE"""),90547)</f>
        <v>90547</v>
      </c>
      <c r="B359" s="4">
        <f ca="1">IFERROR(__xludf.DUMMYFUNCTION("""COMPUTED_VALUE"""),44592)</f>
        <v>44592</v>
      </c>
      <c r="C359" t="str">
        <f ca="1">IFERROR(__xludf.DUMMYFUNCTION("""COMPUTED_VALUE"""),"ЗАО ""ЭКОС"" 115-СТР от 01.01.2022")</f>
        <v>ЗАО "ЭКОС" 115-СТР от 01.01.2022</v>
      </c>
      <c r="D3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" t="str">
        <f ca="1">IFERROR(__xludf.DUMMYFUNCTION("""COMPUTED_VALUE"""),"Новый")</f>
        <v>Новый</v>
      </c>
      <c r="G359" s="68"/>
      <c r="K359" s="68"/>
    </row>
    <row r="360" spans="1:11" ht="12.75">
      <c r="A360" s="69">
        <f ca="1">IFERROR(__xludf.DUMMYFUNCTION("""COMPUTED_VALUE"""),90548)</f>
        <v>90548</v>
      </c>
      <c r="B360" s="4">
        <f ca="1">IFERROR(__xludf.DUMMYFUNCTION("""COMPUTED_VALUE"""),44592)</f>
        <v>44592</v>
      </c>
      <c r="C360" t="str">
        <f ca="1">IFERROR(__xludf.DUMMYFUNCTION("""COMPUTED_VALUE"""),"ЗАО ""ЭКОС"" 115-СТР от 01.01.2022")</f>
        <v>ЗАО "ЭКОС" 115-СТР от 01.01.2022</v>
      </c>
      <c r="D3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" t="str">
        <f ca="1">IFERROR(__xludf.DUMMYFUNCTION("""COMPUTED_VALUE"""),"Новый")</f>
        <v>Новый</v>
      </c>
      <c r="G360" s="68"/>
      <c r="K360" s="68"/>
    </row>
    <row r="361" spans="1:11" ht="12.75">
      <c r="A361" s="69">
        <f ca="1">IFERROR(__xludf.DUMMYFUNCTION("""COMPUTED_VALUE"""),90549)</f>
        <v>90549</v>
      </c>
      <c r="B361" s="4">
        <f ca="1">IFERROR(__xludf.DUMMYFUNCTION("""COMPUTED_VALUE"""),44592)</f>
        <v>44592</v>
      </c>
      <c r="C361" t="str">
        <f ca="1">IFERROR(__xludf.DUMMYFUNCTION("""COMPUTED_VALUE"""),"ЗАО ""ЭКОС"" 115-СТР от 01.01.2022")</f>
        <v>ЗАО "ЭКОС" 115-СТР от 01.01.2022</v>
      </c>
      <c r="D3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" t="str">
        <f ca="1">IFERROR(__xludf.DUMMYFUNCTION("""COMPUTED_VALUE"""),"Новый")</f>
        <v>Новый</v>
      </c>
      <c r="G361" s="68"/>
      <c r="K361" s="68"/>
    </row>
    <row r="362" spans="1:11" ht="12.75">
      <c r="A362" s="69">
        <f ca="1">IFERROR(__xludf.DUMMYFUNCTION("""COMPUTED_VALUE"""),90550)</f>
        <v>90550</v>
      </c>
      <c r="B362" s="4">
        <f ca="1">IFERROR(__xludf.DUMMYFUNCTION("""COMPUTED_VALUE"""),44592)</f>
        <v>44592</v>
      </c>
      <c r="C362" t="str">
        <f ca="1">IFERROR(__xludf.DUMMYFUNCTION("""COMPUTED_VALUE"""),"ЗАО ""ЭКОС"" 115-СТР от 01.01.2022")</f>
        <v>ЗАО "ЭКОС" 115-СТР от 01.01.2022</v>
      </c>
      <c r="D3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" t="str">
        <f ca="1">IFERROR(__xludf.DUMMYFUNCTION("""COMPUTED_VALUE"""),"Новый")</f>
        <v>Новый</v>
      </c>
      <c r="G362" s="68"/>
      <c r="K362" s="68"/>
    </row>
    <row r="363" spans="1:11" ht="12.75">
      <c r="A363" s="69">
        <f ca="1">IFERROR(__xludf.DUMMYFUNCTION("""COMPUTED_VALUE"""),90551)</f>
        <v>90551</v>
      </c>
      <c r="B363" s="4">
        <f ca="1">IFERROR(__xludf.DUMMYFUNCTION("""COMPUTED_VALUE"""),44592)</f>
        <v>44592</v>
      </c>
      <c r="C363" t="str">
        <f ca="1">IFERROR(__xludf.DUMMYFUNCTION("""COMPUTED_VALUE"""),"ЗАО ""ЭКОС"" 115-СТР от 01.01.2022")</f>
        <v>ЗАО "ЭКОС" 115-СТР от 01.01.2022</v>
      </c>
      <c r="D3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" t="str">
        <f ca="1">IFERROR(__xludf.DUMMYFUNCTION("""COMPUTED_VALUE"""),"Новый")</f>
        <v>Новый</v>
      </c>
      <c r="G363" s="68"/>
      <c r="K363" s="68"/>
    </row>
    <row r="364" spans="1:11" ht="12.75">
      <c r="A364" s="69">
        <f ca="1">IFERROR(__xludf.DUMMYFUNCTION("""COMPUTED_VALUE"""),90552)</f>
        <v>90552</v>
      </c>
      <c r="B364" s="4">
        <f ca="1">IFERROR(__xludf.DUMMYFUNCTION("""COMPUTED_VALUE"""),44592)</f>
        <v>44592</v>
      </c>
      <c r="C364" t="str">
        <f ca="1">IFERROR(__xludf.DUMMYFUNCTION("""COMPUTED_VALUE"""),"ЗАО ""ЭКОС"" 115-СТР от 01.01.2022")</f>
        <v>ЗАО "ЭКОС" 115-СТР от 01.01.2022</v>
      </c>
      <c r="D3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4" t="str">
        <f ca="1">IFERROR(__xludf.DUMMYFUNCTION("""COMPUTED_VALUE"""),"Новый")</f>
        <v>Новый</v>
      </c>
      <c r="G364" s="68"/>
      <c r="K364" s="68"/>
    </row>
    <row r="365" spans="1:11" ht="12.75">
      <c r="A365" s="69">
        <f ca="1">IFERROR(__xludf.DUMMYFUNCTION("""COMPUTED_VALUE"""),90553)</f>
        <v>90553</v>
      </c>
      <c r="B365" s="4">
        <f ca="1">IFERROR(__xludf.DUMMYFUNCTION("""COMPUTED_VALUE"""),44592)</f>
        <v>44592</v>
      </c>
      <c r="C365" t="str">
        <f ca="1">IFERROR(__xludf.DUMMYFUNCTION("""COMPUTED_VALUE"""),"ЗАО ""ЭКОС"" 115-СТР от 01.01.2022")</f>
        <v>ЗАО "ЭКОС" 115-СТР от 01.01.2022</v>
      </c>
      <c r="D3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" t="str">
        <f ca="1">IFERROR(__xludf.DUMMYFUNCTION("""COMPUTED_VALUE"""),"Новый")</f>
        <v>Новый</v>
      </c>
      <c r="G365" s="68"/>
      <c r="K365" s="68"/>
    </row>
    <row r="366" spans="1:11" ht="12.75">
      <c r="A366" s="69">
        <f ca="1">IFERROR(__xludf.DUMMYFUNCTION("""COMPUTED_VALUE"""),90554)</f>
        <v>90554</v>
      </c>
      <c r="B366" s="4">
        <f ca="1">IFERROR(__xludf.DUMMYFUNCTION("""COMPUTED_VALUE"""),44592)</f>
        <v>44592</v>
      </c>
      <c r="C366" t="str">
        <f ca="1">IFERROR(__xludf.DUMMYFUNCTION("""COMPUTED_VALUE"""),"ЗАО ""ЭКОС"" 115-СТР от 01.01.2022")</f>
        <v>ЗАО "ЭКОС" 115-СТР от 01.01.2022</v>
      </c>
      <c r="D3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6" t="str">
        <f ca="1">IFERROR(__xludf.DUMMYFUNCTION("""COMPUTED_VALUE"""),"Новый")</f>
        <v>Новый</v>
      </c>
      <c r="G366" s="68"/>
      <c r="K366" s="68"/>
    </row>
    <row r="367" spans="1:11" ht="12.75">
      <c r="A367" s="69">
        <f ca="1">IFERROR(__xludf.DUMMYFUNCTION("""COMPUTED_VALUE"""),90555)</f>
        <v>90555</v>
      </c>
      <c r="B367" s="4">
        <f ca="1">IFERROR(__xludf.DUMMYFUNCTION("""COMPUTED_VALUE"""),44592)</f>
        <v>44592</v>
      </c>
      <c r="C367" t="str">
        <f ca="1">IFERROR(__xludf.DUMMYFUNCTION("""COMPUTED_VALUE"""),"ЗАО ""ЭКОС"" 115-СТР от 01.01.2022")</f>
        <v>ЗАО "ЭКОС" 115-СТР от 01.01.2022</v>
      </c>
      <c r="D3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7" t="str">
        <f ca="1">IFERROR(__xludf.DUMMYFUNCTION("""COMPUTED_VALUE"""),"Новый")</f>
        <v>Новый</v>
      </c>
      <c r="G367" s="68"/>
      <c r="K367" s="68"/>
    </row>
    <row r="368" spans="1:11" ht="12.75">
      <c r="A368" s="69">
        <f ca="1">IFERROR(__xludf.DUMMYFUNCTION("""COMPUTED_VALUE"""),90556)</f>
        <v>90556</v>
      </c>
      <c r="B368" s="4">
        <f ca="1">IFERROR(__xludf.DUMMYFUNCTION("""COMPUTED_VALUE"""),44592)</f>
        <v>44592</v>
      </c>
      <c r="C368" t="str">
        <f ca="1">IFERROR(__xludf.DUMMYFUNCTION("""COMPUTED_VALUE"""),"ЗАО ""ЭКОС"" 115-СТР от 01.01.2022")</f>
        <v>ЗАО "ЭКОС" 115-СТР от 01.01.2022</v>
      </c>
      <c r="D3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8" t="str">
        <f ca="1">IFERROR(__xludf.DUMMYFUNCTION("""COMPUTED_VALUE"""),"Новый")</f>
        <v>Новый</v>
      </c>
      <c r="G368" s="68"/>
      <c r="K368" s="68"/>
    </row>
    <row r="369" spans="1:11" ht="12.75">
      <c r="A369" s="69">
        <f ca="1">IFERROR(__xludf.DUMMYFUNCTION("""COMPUTED_VALUE"""),90557)</f>
        <v>90557</v>
      </c>
      <c r="B369" s="4">
        <f ca="1">IFERROR(__xludf.DUMMYFUNCTION("""COMPUTED_VALUE"""),44592)</f>
        <v>44592</v>
      </c>
      <c r="C369" t="str">
        <f ca="1">IFERROR(__xludf.DUMMYFUNCTION("""COMPUTED_VALUE"""),"ЗАО ""ЭКОС"" 115-СТР от 01.01.2022")</f>
        <v>ЗАО "ЭКОС" 115-СТР от 01.01.2022</v>
      </c>
      <c r="D3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9" t="str">
        <f ca="1">IFERROR(__xludf.DUMMYFUNCTION("""COMPUTED_VALUE"""),"Новый")</f>
        <v>Новый</v>
      </c>
      <c r="G369" s="68"/>
      <c r="K369" s="68"/>
    </row>
    <row r="370" spans="1:11" ht="12.75">
      <c r="A370" s="69">
        <f ca="1">IFERROR(__xludf.DUMMYFUNCTION("""COMPUTED_VALUE"""),90558)</f>
        <v>90558</v>
      </c>
      <c r="B370" s="4">
        <f ca="1">IFERROR(__xludf.DUMMYFUNCTION("""COMPUTED_VALUE"""),44592)</f>
        <v>44592</v>
      </c>
      <c r="C370" t="str">
        <f ca="1">IFERROR(__xludf.DUMMYFUNCTION("""COMPUTED_VALUE"""),"ЗАО ""ЭКОС"" 115-СТР от 01.01.2022")</f>
        <v>ЗАО "ЭКОС" 115-СТР от 01.01.2022</v>
      </c>
      <c r="D3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" t="str">
        <f ca="1">IFERROR(__xludf.DUMMYFUNCTION("""COMPUTED_VALUE"""),"Новый")</f>
        <v>Новый</v>
      </c>
      <c r="G370" s="68"/>
      <c r="K370" s="68"/>
    </row>
    <row r="371" spans="1:11" ht="12.75">
      <c r="A371" s="69">
        <f ca="1">IFERROR(__xludf.DUMMYFUNCTION("""COMPUTED_VALUE"""),90559)</f>
        <v>90559</v>
      </c>
      <c r="B371" s="4">
        <f ca="1">IFERROR(__xludf.DUMMYFUNCTION("""COMPUTED_VALUE"""),44592)</f>
        <v>44592</v>
      </c>
      <c r="C371" t="str">
        <f ca="1">IFERROR(__xludf.DUMMYFUNCTION("""COMPUTED_VALUE"""),"ЗАО ""ЭКОС"" 115-СТР от 01.01.2022")</f>
        <v>ЗАО "ЭКОС" 115-СТР от 01.01.2022</v>
      </c>
      <c r="D3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1" t="str">
        <f ca="1">IFERROR(__xludf.DUMMYFUNCTION("""COMPUTED_VALUE"""),"Новый")</f>
        <v>Новый</v>
      </c>
      <c r="G371" s="68"/>
      <c r="K371" s="68"/>
    </row>
    <row r="372" spans="1:11" ht="12.75">
      <c r="A372" s="69">
        <f ca="1">IFERROR(__xludf.DUMMYFUNCTION("""COMPUTED_VALUE"""),90560)</f>
        <v>90560</v>
      </c>
      <c r="B372" s="4">
        <f ca="1">IFERROR(__xludf.DUMMYFUNCTION("""COMPUTED_VALUE"""),44592)</f>
        <v>44592</v>
      </c>
      <c r="C372" t="str">
        <f ca="1">IFERROR(__xludf.DUMMYFUNCTION("""COMPUTED_VALUE"""),"ЗАО ""ЭКОС"" 115-СТР от 01.01.2022")</f>
        <v>ЗАО "ЭКОС" 115-СТР от 01.01.2022</v>
      </c>
      <c r="D3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2" t="str">
        <f ca="1">IFERROR(__xludf.DUMMYFUNCTION("""COMPUTED_VALUE"""),"Новый")</f>
        <v>Новый</v>
      </c>
      <c r="G372" s="68"/>
      <c r="K372" s="68"/>
    </row>
    <row r="373" spans="1:11" ht="12.75">
      <c r="A373" s="69">
        <f ca="1">IFERROR(__xludf.DUMMYFUNCTION("""COMPUTED_VALUE"""),90561)</f>
        <v>90561</v>
      </c>
      <c r="B373" s="4">
        <f ca="1">IFERROR(__xludf.DUMMYFUNCTION("""COMPUTED_VALUE"""),44592)</f>
        <v>44592</v>
      </c>
      <c r="C373" t="str">
        <f ca="1">IFERROR(__xludf.DUMMYFUNCTION("""COMPUTED_VALUE"""),"ЗАО ""ЭКОС"" 115-СТР от 01.01.2022")</f>
        <v>ЗАО "ЭКОС" 115-СТР от 01.01.2022</v>
      </c>
      <c r="D3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" t="str">
        <f ca="1">IFERROR(__xludf.DUMMYFUNCTION("""COMPUTED_VALUE"""),"Новый")</f>
        <v>Новый</v>
      </c>
      <c r="G373" s="68"/>
      <c r="K373" s="68"/>
    </row>
    <row r="374" spans="1:11" ht="12.75">
      <c r="A374" s="69">
        <f ca="1">IFERROR(__xludf.DUMMYFUNCTION("""COMPUTED_VALUE"""),90562)</f>
        <v>90562</v>
      </c>
      <c r="B374" s="4">
        <f ca="1">IFERROR(__xludf.DUMMYFUNCTION("""COMPUTED_VALUE"""),44592)</f>
        <v>44592</v>
      </c>
      <c r="C374" t="str">
        <f ca="1">IFERROR(__xludf.DUMMYFUNCTION("""COMPUTED_VALUE"""),"ЗАО ""ЭКОС"" 115-СТР от 01.01.2022")</f>
        <v>ЗАО "ЭКОС" 115-СТР от 01.01.2022</v>
      </c>
      <c r="D3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" t="str">
        <f ca="1">IFERROR(__xludf.DUMMYFUNCTION("""COMPUTED_VALUE"""),"Новый")</f>
        <v>Новый</v>
      </c>
      <c r="G374" s="68"/>
      <c r="K374" s="68"/>
    </row>
    <row r="375" spans="1:11" ht="12.75">
      <c r="A375" s="69">
        <f ca="1">IFERROR(__xludf.DUMMYFUNCTION("""COMPUTED_VALUE"""),90563)</f>
        <v>90563</v>
      </c>
      <c r="B375" s="4">
        <f ca="1">IFERROR(__xludf.DUMMYFUNCTION("""COMPUTED_VALUE"""),44592)</f>
        <v>44592</v>
      </c>
      <c r="C375" t="str">
        <f ca="1">IFERROR(__xludf.DUMMYFUNCTION("""COMPUTED_VALUE"""),"ЗАО ""ЭКОС"" 115-СТР от 01.01.2022")</f>
        <v>ЗАО "ЭКОС" 115-СТР от 01.01.2022</v>
      </c>
      <c r="D3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" t="str">
        <f ca="1">IFERROR(__xludf.DUMMYFUNCTION("""COMPUTED_VALUE"""),"Новый")</f>
        <v>Новый</v>
      </c>
      <c r="G375" s="68"/>
      <c r="K375" s="68"/>
    </row>
    <row r="376" spans="1:11" ht="12.75">
      <c r="A376" s="69">
        <f ca="1">IFERROR(__xludf.DUMMYFUNCTION("""COMPUTED_VALUE"""),90564)</f>
        <v>90564</v>
      </c>
      <c r="B376" s="4">
        <f ca="1">IFERROR(__xludf.DUMMYFUNCTION("""COMPUTED_VALUE"""),44592)</f>
        <v>44592</v>
      </c>
      <c r="C376" t="str">
        <f ca="1">IFERROR(__xludf.DUMMYFUNCTION("""COMPUTED_VALUE"""),"ЗАО ""ЭКОС"" 115-СТР от 01.01.2022")</f>
        <v>ЗАО "ЭКОС" 115-СТР от 01.01.2022</v>
      </c>
      <c r="D3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6" t="str">
        <f ca="1">IFERROR(__xludf.DUMMYFUNCTION("""COMPUTED_VALUE"""),"Новый")</f>
        <v>Новый</v>
      </c>
      <c r="G376" s="68"/>
      <c r="K376" s="68"/>
    </row>
    <row r="377" spans="1:11" ht="12.75">
      <c r="A377" s="69">
        <f ca="1">IFERROR(__xludf.DUMMYFUNCTION("""COMPUTED_VALUE"""),90565)</f>
        <v>90565</v>
      </c>
      <c r="B377" s="4">
        <f ca="1">IFERROR(__xludf.DUMMYFUNCTION("""COMPUTED_VALUE"""),44592)</f>
        <v>44592</v>
      </c>
      <c r="C377" t="str">
        <f ca="1">IFERROR(__xludf.DUMMYFUNCTION("""COMPUTED_VALUE"""),"ЗАО ""ЭКОС"" 115-СТР от 01.01.2022")</f>
        <v>ЗАО "ЭКОС" 115-СТР от 01.01.2022</v>
      </c>
      <c r="D3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7" t="str">
        <f ca="1">IFERROR(__xludf.DUMMYFUNCTION("""COMPUTED_VALUE"""),"Новый")</f>
        <v>Новый</v>
      </c>
      <c r="G377" s="68"/>
      <c r="K377" s="68"/>
    </row>
    <row r="378" spans="1:11" ht="12.75">
      <c r="A378" s="69">
        <f ca="1">IFERROR(__xludf.DUMMYFUNCTION("""COMPUTED_VALUE"""),90566)</f>
        <v>90566</v>
      </c>
      <c r="B378" s="4">
        <f ca="1">IFERROR(__xludf.DUMMYFUNCTION("""COMPUTED_VALUE"""),44592)</f>
        <v>44592</v>
      </c>
      <c r="C378" t="str">
        <f ca="1">IFERROR(__xludf.DUMMYFUNCTION("""COMPUTED_VALUE"""),"ЗАО ""ЭКОС"" 115-СТР от 01.01.2022")</f>
        <v>ЗАО "ЭКОС" 115-СТР от 01.01.2022</v>
      </c>
      <c r="D3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8" t="str">
        <f ca="1">IFERROR(__xludf.DUMMYFUNCTION("""COMPUTED_VALUE"""),"Новый")</f>
        <v>Новый</v>
      </c>
      <c r="G378" s="68"/>
      <c r="K378" s="68"/>
    </row>
    <row r="379" spans="1:11" ht="12.75">
      <c r="A379" s="69">
        <f ca="1">IFERROR(__xludf.DUMMYFUNCTION("""COMPUTED_VALUE"""),90567)</f>
        <v>90567</v>
      </c>
      <c r="B379" s="4">
        <f ca="1">IFERROR(__xludf.DUMMYFUNCTION("""COMPUTED_VALUE"""),44592)</f>
        <v>44592</v>
      </c>
      <c r="C379" t="str">
        <f ca="1">IFERROR(__xludf.DUMMYFUNCTION("""COMPUTED_VALUE"""),"ЗАО ""ЭКОС"" 115-СТР от 01.01.2022")</f>
        <v>ЗАО "ЭКОС" 115-СТР от 01.01.2022</v>
      </c>
      <c r="D3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9" t="str">
        <f ca="1">IFERROR(__xludf.DUMMYFUNCTION("""COMPUTED_VALUE"""),"Новый")</f>
        <v>Новый</v>
      </c>
      <c r="G379" s="68"/>
      <c r="K379" s="68"/>
    </row>
    <row r="380" spans="1:11" ht="12.75">
      <c r="A380" s="69">
        <f ca="1">IFERROR(__xludf.DUMMYFUNCTION("""COMPUTED_VALUE"""),90568)</f>
        <v>90568</v>
      </c>
      <c r="B380" s="4">
        <f ca="1">IFERROR(__xludf.DUMMYFUNCTION("""COMPUTED_VALUE"""),44592)</f>
        <v>44592</v>
      </c>
      <c r="C380" t="str">
        <f ca="1">IFERROR(__xludf.DUMMYFUNCTION("""COMPUTED_VALUE"""),"ЗАО ""ЭКОС"" 115-СТР от 01.01.2022")</f>
        <v>ЗАО "ЭКОС" 115-СТР от 01.01.2022</v>
      </c>
      <c r="D3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0" t="str">
        <f ca="1">IFERROR(__xludf.DUMMYFUNCTION("""COMPUTED_VALUE"""),"Новый")</f>
        <v>Новый</v>
      </c>
      <c r="G380" s="68"/>
      <c r="K380" s="68"/>
    </row>
    <row r="381" spans="1:11" ht="12.75">
      <c r="A381" s="69">
        <f ca="1">IFERROR(__xludf.DUMMYFUNCTION("""COMPUTED_VALUE"""),90569)</f>
        <v>90569</v>
      </c>
      <c r="B381" s="4">
        <f ca="1">IFERROR(__xludf.DUMMYFUNCTION("""COMPUTED_VALUE"""),44592)</f>
        <v>44592</v>
      </c>
      <c r="C381" t="str">
        <f ca="1">IFERROR(__xludf.DUMMYFUNCTION("""COMPUTED_VALUE"""),"ЗАО ""ЭКОС"" 115-СТР от 01.01.2022")</f>
        <v>ЗАО "ЭКОС" 115-СТР от 01.01.2022</v>
      </c>
      <c r="D3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1" t="str">
        <f ca="1">IFERROR(__xludf.DUMMYFUNCTION("""COMPUTED_VALUE"""),"Новый")</f>
        <v>Новый</v>
      </c>
      <c r="G381" s="68"/>
      <c r="K381" s="68"/>
    </row>
    <row r="382" spans="1:11" ht="12.75">
      <c r="A382" s="69">
        <f ca="1">IFERROR(__xludf.DUMMYFUNCTION("""COMPUTED_VALUE"""),90570)</f>
        <v>90570</v>
      </c>
      <c r="B382" s="4">
        <f ca="1">IFERROR(__xludf.DUMMYFUNCTION("""COMPUTED_VALUE"""),44592)</f>
        <v>44592</v>
      </c>
      <c r="C382" t="str">
        <f ca="1">IFERROR(__xludf.DUMMYFUNCTION("""COMPUTED_VALUE"""),"ЗАО ""ЭКОС"" 115-СТР от 01.01.2022")</f>
        <v>ЗАО "ЭКОС" 115-СТР от 01.01.2022</v>
      </c>
      <c r="D3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2" t="str">
        <f ca="1">IFERROR(__xludf.DUMMYFUNCTION("""COMPUTED_VALUE"""),"Новый")</f>
        <v>Новый</v>
      </c>
      <c r="G382" s="68"/>
      <c r="K382" s="68"/>
    </row>
    <row r="383" spans="1:11" ht="12.75">
      <c r="A383" s="69">
        <f ca="1">IFERROR(__xludf.DUMMYFUNCTION("""COMPUTED_VALUE"""),90571)</f>
        <v>90571</v>
      </c>
      <c r="B383" s="4">
        <f ca="1">IFERROR(__xludf.DUMMYFUNCTION("""COMPUTED_VALUE"""),44592)</f>
        <v>44592</v>
      </c>
      <c r="C383" t="str">
        <f ca="1">IFERROR(__xludf.DUMMYFUNCTION("""COMPUTED_VALUE"""),"ЗАО ""ЭКОС"" 115-СТР от 01.01.2022")</f>
        <v>ЗАО "ЭКОС" 115-СТР от 01.01.2022</v>
      </c>
      <c r="D3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3" t="str">
        <f ca="1">IFERROR(__xludf.DUMMYFUNCTION("""COMPUTED_VALUE"""),"Новый")</f>
        <v>Новый</v>
      </c>
      <c r="G383" s="68"/>
      <c r="K383" s="68"/>
    </row>
    <row r="384" spans="1:11" ht="12.75">
      <c r="A384" s="69">
        <f ca="1">IFERROR(__xludf.DUMMYFUNCTION("""COMPUTED_VALUE"""),90572)</f>
        <v>90572</v>
      </c>
      <c r="B384" s="4">
        <f ca="1">IFERROR(__xludf.DUMMYFUNCTION("""COMPUTED_VALUE"""),44592)</f>
        <v>44592</v>
      </c>
      <c r="C384" t="str">
        <f ca="1">IFERROR(__xludf.DUMMYFUNCTION("""COMPUTED_VALUE"""),"ЗАО ""ЭКОС"" 115-СТР от 01.01.2022")</f>
        <v>ЗАО "ЭКОС" 115-СТР от 01.01.2022</v>
      </c>
      <c r="D3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4" t="str">
        <f ca="1">IFERROR(__xludf.DUMMYFUNCTION("""COMPUTED_VALUE"""),"Новый")</f>
        <v>Новый</v>
      </c>
      <c r="G384" s="68"/>
      <c r="K384" s="68"/>
    </row>
    <row r="385" spans="1:11" ht="12.75">
      <c r="A385" s="69">
        <f ca="1">IFERROR(__xludf.DUMMYFUNCTION("""COMPUTED_VALUE"""),90573)</f>
        <v>90573</v>
      </c>
      <c r="B385" s="4">
        <f ca="1">IFERROR(__xludf.DUMMYFUNCTION("""COMPUTED_VALUE"""),44592)</f>
        <v>44592</v>
      </c>
      <c r="C385" t="str">
        <f ca="1">IFERROR(__xludf.DUMMYFUNCTION("""COMPUTED_VALUE"""),"ЗАО ""ЭКОС"" 115-СТР от 01.01.2022")</f>
        <v>ЗАО "ЭКОС" 115-СТР от 01.01.2022</v>
      </c>
      <c r="D3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5" t="str">
        <f ca="1">IFERROR(__xludf.DUMMYFUNCTION("""COMPUTED_VALUE"""),"Новый")</f>
        <v>Новый</v>
      </c>
      <c r="G385" s="68"/>
      <c r="K385" s="68"/>
    </row>
    <row r="386" spans="1:11" ht="12.75">
      <c r="A386" s="69">
        <f ca="1">IFERROR(__xludf.DUMMYFUNCTION("""COMPUTED_VALUE"""),90574)</f>
        <v>90574</v>
      </c>
      <c r="B386" s="4">
        <f ca="1">IFERROR(__xludf.DUMMYFUNCTION("""COMPUTED_VALUE"""),44592)</f>
        <v>44592</v>
      </c>
      <c r="C386" t="str">
        <f ca="1">IFERROR(__xludf.DUMMYFUNCTION("""COMPUTED_VALUE"""),"ЗАО ""ЭКОС"" 115-СТР от 01.01.2022")</f>
        <v>ЗАО "ЭКОС" 115-СТР от 01.01.2022</v>
      </c>
      <c r="D3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6" t="str">
        <f ca="1">IFERROR(__xludf.DUMMYFUNCTION("""COMPUTED_VALUE"""),"Новый")</f>
        <v>Новый</v>
      </c>
      <c r="G386" s="68"/>
      <c r="K386" s="68"/>
    </row>
    <row r="387" spans="1:11" ht="12.75">
      <c r="A387" s="69">
        <f ca="1">IFERROR(__xludf.DUMMYFUNCTION("""COMPUTED_VALUE"""),90575)</f>
        <v>90575</v>
      </c>
      <c r="B387" s="4">
        <f ca="1">IFERROR(__xludf.DUMMYFUNCTION("""COMPUTED_VALUE"""),44592)</f>
        <v>44592</v>
      </c>
      <c r="C387" t="str">
        <f ca="1">IFERROR(__xludf.DUMMYFUNCTION("""COMPUTED_VALUE"""),"ЗАО ""ЭКОС"" 115-СТР от 01.01.2022")</f>
        <v>ЗАО "ЭКОС" 115-СТР от 01.01.2022</v>
      </c>
      <c r="D3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7" t="str">
        <f ca="1">IFERROR(__xludf.DUMMYFUNCTION("""COMPUTED_VALUE"""),"Новый")</f>
        <v>Новый</v>
      </c>
      <c r="G387" s="68"/>
      <c r="K387" s="68"/>
    </row>
    <row r="388" spans="1:11" ht="12.75">
      <c r="A388" s="69">
        <f ca="1">IFERROR(__xludf.DUMMYFUNCTION("""COMPUTED_VALUE"""),90576)</f>
        <v>90576</v>
      </c>
      <c r="B388" s="4">
        <f ca="1">IFERROR(__xludf.DUMMYFUNCTION("""COMPUTED_VALUE"""),44592)</f>
        <v>44592</v>
      </c>
      <c r="C388" t="str">
        <f ca="1">IFERROR(__xludf.DUMMYFUNCTION("""COMPUTED_VALUE"""),"ЗАО ""ЭКОС"" 115-СТР от 01.01.2022")</f>
        <v>ЗАО "ЭКОС" 115-СТР от 01.01.2022</v>
      </c>
      <c r="D3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8" t="str">
        <f ca="1">IFERROR(__xludf.DUMMYFUNCTION("""COMPUTED_VALUE"""),"Новый")</f>
        <v>Новый</v>
      </c>
      <c r="G388" s="68"/>
      <c r="K388" s="68"/>
    </row>
    <row r="389" spans="1:11" ht="12.75">
      <c r="A389" s="69">
        <f ca="1">IFERROR(__xludf.DUMMYFUNCTION("""COMPUTED_VALUE"""),90577)</f>
        <v>90577</v>
      </c>
      <c r="B389" s="4">
        <f ca="1">IFERROR(__xludf.DUMMYFUNCTION("""COMPUTED_VALUE"""),44592)</f>
        <v>44592</v>
      </c>
      <c r="C389" t="str">
        <f ca="1">IFERROR(__xludf.DUMMYFUNCTION("""COMPUTED_VALUE"""),"ЗАО ""ЭКОС"" 115-СТР от 01.01.2022")</f>
        <v>ЗАО "ЭКОС" 115-СТР от 01.01.2022</v>
      </c>
      <c r="D3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" t="str">
        <f ca="1">IFERROR(__xludf.DUMMYFUNCTION("""COMPUTED_VALUE"""),"Новый")</f>
        <v>Новый</v>
      </c>
      <c r="G389" s="68"/>
      <c r="K389" s="68"/>
    </row>
    <row r="390" spans="1:11" ht="12.75">
      <c r="A390" s="69">
        <f ca="1">IFERROR(__xludf.DUMMYFUNCTION("""COMPUTED_VALUE"""),90578)</f>
        <v>90578</v>
      </c>
      <c r="B390" s="4">
        <f ca="1">IFERROR(__xludf.DUMMYFUNCTION("""COMPUTED_VALUE"""),44592)</f>
        <v>44592</v>
      </c>
      <c r="C390" t="str">
        <f ca="1">IFERROR(__xludf.DUMMYFUNCTION("""COMPUTED_VALUE"""),"ЗАО ""ЭКОС"" 115-СТР от 01.01.2022")</f>
        <v>ЗАО "ЭКОС" 115-СТР от 01.01.2022</v>
      </c>
      <c r="D3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" t="str">
        <f ca="1">IFERROR(__xludf.DUMMYFUNCTION("""COMPUTED_VALUE"""),"Новый")</f>
        <v>Новый</v>
      </c>
      <c r="G390" s="68"/>
      <c r="K390" s="68"/>
    </row>
    <row r="391" spans="1:11" ht="12.75">
      <c r="A391" s="69">
        <f ca="1">IFERROR(__xludf.DUMMYFUNCTION("""COMPUTED_VALUE"""),90579)</f>
        <v>90579</v>
      </c>
      <c r="B391" s="4">
        <f ca="1">IFERROR(__xludf.DUMMYFUNCTION("""COMPUTED_VALUE"""),44592)</f>
        <v>44592</v>
      </c>
      <c r="C391" t="str">
        <f ca="1">IFERROR(__xludf.DUMMYFUNCTION("""COMPUTED_VALUE"""),"ЗАО ""ЭКОС"" 115-СТР от 01.01.2022")</f>
        <v>ЗАО "ЭКОС" 115-СТР от 01.01.2022</v>
      </c>
      <c r="D3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1" t="str">
        <f ca="1">IFERROR(__xludf.DUMMYFUNCTION("""COMPUTED_VALUE"""),"Новый")</f>
        <v>Новый</v>
      </c>
      <c r="G391" s="68"/>
      <c r="K391" s="68"/>
    </row>
    <row r="392" spans="1:11" ht="12.75">
      <c r="A392" s="69">
        <f ca="1">IFERROR(__xludf.DUMMYFUNCTION("""COMPUTED_VALUE"""),90580)</f>
        <v>90580</v>
      </c>
      <c r="B392" s="4">
        <f ca="1">IFERROR(__xludf.DUMMYFUNCTION("""COMPUTED_VALUE"""),44592)</f>
        <v>44592</v>
      </c>
      <c r="C392" t="str">
        <f ca="1">IFERROR(__xludf.DUMMYFUNCTION("""COMPUTED_VALUE"""),"ЗАО ""ЭКОС"" 115-СТР от 01.01.2022")</f>
        <v>ЗАО "ЭКОС" 115-СТР от 01.01.2022</v>
      </c>
      <c r="D3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2" t="str">
        <f ca="1">IFERROR(__xludf.DUMMYFUNCTION("""COMPUTED_VALUE"""),"Новый")</f>
        <v>Новый</v>
      </c>
      <c r="G392" s="68"/>
      <c r="K392" s="68"/>
    </row>
    <row r="393" spans="1:11" ht="12.75">
      <c r="A393" s="69">
        <f ca="1">IFERROR(__xludf.DUMMYFUNCTION("""COMPUTED_VALUE"""),90581)</f>
        <v>90581</v>
      </c>
      <c r="B393" s="4">
        <f ca="1">IFERROR(__xludf.DUMMYFUNCTION("""COMPUTED_VALUE"""),44592)</f>
        <v>44592</v>
      </c>
      <c r="C393" t="str">
        <f ca="1">IFERROR(__xludf.DUMMYFUNCTION("""COMPUTED_VALUE"""),"ЗАО ""ЭКОС"" 115-СТР от 01.01.2022")</f>
        <v>ЗАО "ЭКОС" 115-СТР от 01.01.2022</v>
      </c>
      <c r="D3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3" t="str">
        <f ca="1">IFERROR(__xludf.DUMMYFUNCTION("""COMPUTED_VALUE"""),"Новый")</f>
        <v>Новый</v>
      </c>
      <c r="G393" s="68"/>
      <c r="K393" s="68"/>
    </row>
    <row r="394" spans="1:11" ht="12.75">
      <c r="A394" s="69">
        <f ca="1">IFERROR(__xludf.DUMMYFUNCTION("""COMPUTED_VALUE"""),90582)</f>
        <v>90582</v>
      </c>
      <c r="B394" s="4">
        <f ca="1">IFERROR(__xludf.DUMMYFUNCTION("""COMPUTED_VALUE"""),44592)</f>
        <v>44592</v>
      </c>
      <c r="C394" t="str">
        <f ca="1">IFERROR(__xludf.DUMMYFUNCTION("""COMPUTED_VALUE"""),"ЗАО ""ЭКОС"" 115-СТР от 01.01.2022")</f>
        <v>ЗАО "ЭКОС" 115-СТР от 01.01.2022</v>
      </c>
      <c r="D3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4" t="str">
        <f ca="1">IFERROR(__xludf.DUMMYFUNCTION("""COMPUTED_VALUE"""),"Новый")</f>
        <v>Новый</v>
      </c>
      <c r="G394" s="68"/>
      <c r="K394" s="68"/>
    </row>
    <row r="395" spans="1:11" ht="12.75">
      <c r="A395" s="69">
        <f ca="1">IFERROR(__xludf.DUMMYFUNCTION("""COMPUTED_VALUE"""),90583)</f>
        <v>90583</v>
      </c>
      <c r="B395" s="4">
        <f ca="1">IFERROR(__xludf.DUMMYFUNCTION("""COMPUTED_VALUE"""),44592)</f>
        <v>44592</v>
      </c>
      <c r="C395" t="str">
        <f ca="1">IFERROR(__xludf.DUMMYFUNCTION("""COMPUTED_VALUE"""),"ЗАО ""ЭКОС"" 115-СТР от 01.01.2022")</f>
        <v>ЗАО "ЭКОС" 115-СТР от 01.01.2022</v>
      </c>
      <c r="D3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5" t="str">
        <f ca="1">IFERROR(__xludf.DUMMYFUNCTION("""COMPUTED_VALUE"""),"Новый")</f>
        <v>Новый</v>
      </c>
      <c r="G395" s="68"/>
      <c r="K395" s="68"/>
    </row>
    <row r="396" spans="1:11" ht="12.75">
      <c r="A396" s="69">
        <f ca="1">IFERROR(__xludf.DUMMYFUNCTION("""COMPUTED_VALUE"""),90584)</f>
        <v>90584</v>
      </c>
      <c r="B396" s="4">
        <f ca="1">IFERROR(__xludf.DUMMYFUNCTION("""COMPUTED_VALUE"""),44592)</f>
        <v>44592</v>
      </c>
      <c r="C396" t="str">
        <f ca="1">IFERROR(__xludf.DUMMYFUNCTION("""COMPUTED_VALUE"""),"ЗАО ""ЭКОС"" 115-СТР от 01.01.2022")</f>
        <v>ЗАО "ЭКОС" 115-СТР от 01.01.2022</v>
      </c>
      <c r="D3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" t="str">
        <f ca="1">IFERROR(__xludf.DUMMYFUNCTION("""COMPUTED_VALUE"""),"Новый")</f>
        <v>Новый</v>
      </c>
      <c r="G396" s="68"/>
      <c r="K396" s="68"/>
    </row>
    <row r="397" spans="1:11" ht="12.75">
      <c r="A397" s="69">
        <f ca="1">IFERROR(__xludf.DUMMYFUNCTION("""COMPUTED_VALUE"""),90585)</f>
        <v>90585</v>
      </c>
      <c r="B397" s="4">
        <f ca="1">IFERROR(__xludf.DUMMYFUNCTION("""COMPUTED_VALUE"""),44592)</f>
        <v>44592</v>
      </c>
      <c r="C397" t="str">
        <f ca="1">IFERROR(__xludf.DUMMYFUNCTION("""COMPUTED_VALUE"""),"ЗАО ""ЭКОС"" 115-СТР от 01.01.2022")</f>
        <v>ЗАО "ЭКОС" 115-СТР от 01.01.2022</v>
      </c>
      <c r="D3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7" t="str">
        <f ca="1">IFERROR(__xludf.DUMMYFUNCTION("""COMPUTED_VALUE"""),"Новый")</f>
        <v>Новый</v>
      </c>
      <c r="G397" s="68"/>
      <c r="K397" s="68"/>
    </row>
    <row r="398" spans="1:11" ht="12.75">
      <c r="A398" s="69">
        <f ca="1">IFERROR(__xludf.DUMMYFUNCTION("""COMPUTED_VALUE"""),90586)</f>
        <v>90586</v>
      </c>
      <c r="B398" s="4">
        <f ca="1">IFERROR(__xludf.DUMMYFUNCTION("""COMPUTED_VALUE"""),44592)</f>
        <v>44592</v>
      </c>
      <c r="C398" t="str">
        <f ca="1">IFERROR(__xludf.DUMMYFUNCTION("""COMPUTED_VALUE"""),"ЗАО ""ЭКОС"" 115-СТР от 01.01.2022")</f>
        <v>ЗАО "ЭКОС" 115-СТР от 01.01.2022</v>
      </c>
      <c r="D3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8" t="str">
        <f ca="1">IFERROR(__xludf.DUMMYFUNCTION("""COMPUTED_VALUE"""),"Новый")</f>
        <v>Новый</v>
      </c>
      <c r="G398" s="68"/>
      <c r="K398" s="68"/>
    </row>
    <row r="399" spans="1:11" ht="12.75">
      <c r="A399" s="69">
        <f ca="1">IFERROR(__xludf.DUMMYFUNCTION("""COMPUTED_VALUE"""),90587)</f>
        <v>90587</v>
      </c>
      <c r="B399" s="4">
        <f ca="1">IFERROR(__xludf.DUMMYFUNCTION("""COMPUTED_VALUE"""),44592)</f>
        <v>44592</v>
      </c>
      <c r="C399" t="str">
        <f ca="1">IFERROR(__xludf.DUMMYFUNCTION("""COMPUTED_VALUE"""),"ЗАО ""ЭКОС"" 115-СТР от 01.01.2022")</f>
        <v>ЗАО "ЭКОС" 115-СТР от 01.01.2022</v>
      </c>
      <c r="D3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" t="str">
        <f ca="1">IFERROR(__xludf.DUMMYFUNCTION("""COMPUTED_VALUE"""),"Новый")</f>
        <v>Новый</v>
      </c>
      <c r="G399" s="68"/>
      <c r="K399" s="68"/>
    </row>
    <row r="400" spans="1:11" ht="12.75">
      <c r="A400" s="69">
        <f ca="1">IFERROR(__xludf.DUMMYFUNCTION("""COMPUTED_VALUE"""),90588)</f>
        <v>90588</v>
      </c>
      <c r="B400" s="4">
        <f ca="1">IFERROR(__xludf.DUMMYFUNCTION("""COMPUTED_VALUE"""),44592)</f>
        <v>44592</v>
      </c>
      <c r="C400" t="str">
        <f ca="1">IFERROR(__xludf.DUMMYFUNCTION("""COMPUTED_VALUE"""),"ЗАО ""ЭКОС"" 115-СТР от 01.01.2022")</f>
        <v>ЗАО "ЭКОС" 115-СТР от 01.01.2022</v>
      </c>
      <c r="D4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" t="str">
        <f ca="1">IFERROR(__xludf.DUMMYFUNCTION("""COMPUTED_VALUE"""),"Новый")</f>
        <v>Новый</v>
      </c>
      <c r="G400" s="68"/>
      <c r="K400" s="68"/>
    </row>
    <row r="401" spans="1:11" ht="12.75">
      <c r="A401" s="69">
        <f ca="1">IFERROR(__xludf.DUMMYFUNCTION("""COMPUTED_VALUE"""),90589)</f>
        <v>90589</v>
      </c>
      <c r="B401" s="4">
        <f ca="1">IFERROR(__xludf.DUMMYFUNCTION("""COMPUTED_VALUE"""),44592)</f>
        <v>44592</v>
      </c>
      <c r="C401" t="str">
        <f ca="1">IFERROR(__xludf.DUMMYFUNCTION("""COMPUTED_VALUE"""),"ЗАО ""ЭКОС"" 115-СТР от 01.01.2022")</f>
        <v>ЗАО "ЭКОС" 115-СТР от 01.01.2022</v>
      </c>
      <c r="D4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" t="str">
        <f ca="1">IFERROR(__xludf.DUMMYFUNCTION("""COMPUTED_VALUE"""),"Новый")</f>
        <v>Новый</v>
      </c>
      <c r="G401" s="68"/>
      <c r="K401" s="68"/>
    </row>
    <row r="402" spans="1:11" ht="12.75">
      <c r="A402" s="69">
        <f ca="1">IFERROR(__xludf.DUMMYFUNCTION("""COMPUTED_VALUE"""),90590)</f>
        <v>90590</v>
      </c>
      <c r="B402" s="4">
        <f ca="1">IFERROR(__xludf.DUMMYFUNCTION("""COMPUTED_VALUE"""),44592)</f>
        <v>44592</v>
      </c>
      <c r="C402" t="str">
        <f ca="1">IFERROR(__xludf.DUMMYFUNCTION("""COMPUTED_VALUE"""),"ЗАО ""ЭКОС"" 115-СТР от 01.01.2022")</f>
        <v>ЗАО "ЭКОС" 115-СТР от 01.01.2022</v>
      </c>
      <c r="D4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2" t="str">
        <f ca="1">IFERROR(__xludf.DUMMYFUNCTION("""COMPUTED_VALUE"""),"Новый")</f>
        <v>Новый</v>
      </c>
      <c r="G402" s="68"/>
      <c r="K402" s="68"/>
    </row>
    <row r="403" spans="1:11" ht="12.75">
      <c r="A403" s="69">
        <f ca="1">IFERROR(__xludf.DUMMYFUNCTION("""COMPUTED_VALUE"""),90591)</f>
        <v>90591</v>
      </c>
      <c r="B403" s="4">
        <f ca="1">IFERROR(__xludf.DUMMYFUNCTION("""COMPUTED_VALUE"""),44592)</f>
        <v>44592</v>
      </c>
      <c r="C403" t="str">
        <f ca="1">IFERROR(__xludf.DUMMYFUNCTION("""COMPUTED_VALUE"""),"ЗАО ""ЭКОС"" 115-СТР от 01.01.2022")</f>
        <v>ЗАО "ЭКОС" 115-СТР от 01.01.2022</v>
      </c>
      <c r="D4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3" t="str">
        <f ca="1">IFERROR(__xludf.DUMMYFUNCTION("""COMPUTED_VALUE"""),"Новый")</f>
        <v>Новый</v>
      </c>
      <c r="G403" s="68"/>
      <c r="K403" s="68"/>
    </row>
    <row r="404" spans="1:11" ht="12.75">
      <c r="A404" s="69">
        <f ca="1">IFERROR(__xludf.DUMMYFUNCTION("""COMPUTED_VALUE"""),90592)</f>
        <v>90592</v>
      </c>
      <c r="B404" s="4">
        <f ca="1">IFERROR(__xludf.DUMMYFUNCTION("""COMPUTED_VALUE"""),44592)</f>
        <v>44592</v>
      </c>
      <c r="C404" t="str">
        <f ca="1">IFERROR(__xludf.DUMMYFUNCTION("""COMPUTED_VALUE"""),"ЗАО ""ЭКОС"" 115-СТР от 01.01.2022")</f>
        <v>ЗАО "ЭКОС" 115-СТР от 01.01.2022</v>
      </c>
      <c r="D4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4" t="str">
        <f ca="1">IFERROR(__xludf.DUMMYFUNCTION("""COMPUTED_VALUE"""),"Новый")</f>
        <v>Новый</v>
      </c>
      <c r="G404" s="68"/>
      <c r="K404" s="68"/>
    </row>
    <row r="405" spans="1:11" ht="12.75">
      <c r="A405" s="69">
        <f ca="1">IFERROR(__xludf.DUMMYFUNCTION("""COMPUTED_VALUE"""),90601)</f>
        <v>90601</v>
      </c>
      <c r="B405" s="4">
        <f ca="1">IFERROR(__xludf.DUMMYFUNCTION("""COMPUTED_VALUE"""),44592)</f>
        <v>44592</v>
      </c>
      <c r="C405" t="str">
        <f ca="1">IFERROR(__xludf.DUMMYFUNCTION("""COMPUTED_VALUE"""),"ЗАО ""ЭКОС"" 115-СТР от 01.01.2022")</f>
        <v>ЗАО "ЭКОС" 115-СТР от 01.01.2022</v>
      </c>
      <c r="D4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" t="str">
        <f ca="1">IFERROR(__xludf.DUMMYFUNCTION("""COMPUTED_VALUE"""),"Новый")</f>
        <v>Новый</v>
      </c>
      <c r="G405" s="68"/>
      <c r="K405" s="68"/>
    </row>
    <row r="406" spans="1:11" ht="12.75">
      <c r="A406" s="69">
        <f ca="1">IFERROR(__xludf.DUMMYFUNCTION("""COMPUTED_VALUE"""),90803)</f>
        <v>90803</v>
      </c>
      <c r="B406" s="4">
        <f ca="1">IFERROR(__xludf.DUMMYFUNCTION("""COMPUTED_VALUE"""),44594)</f>
        <v>44594</v>
      </c>
      <c r="C406" t="str">
        <f ca="1">IFERROR(__xludf.DUMMYFUNCTION("""COMPUTED_VALUE"""),"СДР БУЗОО 114-РДО от 26.11.2021")</f>
        <v>СДР БУЗОО 114-РДО от 26.11.2021</v>
      </c>
      <c r="D4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" t="str">
        <f ca="1">IFERROR(__xludf.DUMMYFUNCTION("""COMPUTED_VALUE"""),"Новый")</f>
        <v>Новый</v>
      </c>
      <c r="G406" s="68"/>
      <c r="K406" s="68"/>
    </row>
    <row r="407" spans="1:11" ht="12.75">
      <c r="A407" s="69">
        <f ca="1">IFERROR(__xludf.DUMMYFUNCTION("""COMPUTED_VALUE"""),90804)</f>
        <v>90804</v>
      </c>
      <c r="B407" s="4">
        <f ca="1">IFERROR(__xludf.DUMMYFUNCTION("""COMPUTED_VALUE"""),44594)</f>
        <v>44594</v>
      </c>
      <c r="C407" t="str">
        <f ca="1">IFERROR(__xludf.DUMMYFUNCTION("""COMPUTED_VALUE"""),"СДР БУЗОО 114-РДО от 26.11.2021")</f>
        <v>СДР БУЗОО 114-РДО от 26.11.2021</v>
      </c>
      <c r="D4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" t="str">
        <f ca="1">IFERROR(__xludf.DUMMYFUNCTION("""COMPUTED_VALUE"""),"Новый")</f>
        <v>Новый</v>
      </c>
      <c r="G407" s="68"/>
      <c r="K407" s="68"/>
    </row>
    <row r="408" spans="1:11" ht="12.75">
      <c r="A408" s="69">
        <f ca="1">IFERROR(__xludf.DUMMYFUNCTION("""COMPUTED_VALUE"""),90805)</f>
        <v>90805</v>
      </c>
      <c r="B408" s="4">
        <f ca="1">IFERROR(__xludf.DUMMYFUNCTION("""COMPUTED_VALUE"""),44594)</f>
        <v>44594</v>
      </c>
      <c r="C408" t="str">
        <f ca="1">IFERROR(__xludf.DUMMYFUNCTION("""COMPUTED_VALUE"""),"СДР БУЗОО 114-РДО от 26.11.2021")</f>
        <v>СДР БУЗОО 114-РДО от 26.11.2021</v>
      </c>
      <c r="D4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" t="str">
        <f ca="1">IFERROR(__xludf.DUMMYFUNCTION("""COMPUTED_VALUE"""),"Новый")</f>
        <v>Новый</v>
      </c>
      <c r="G408" s="68"/>
      <c r="K408" s="68"/>
    </row>
    <row r="409" spans="1:11" ht="12.75">
      <c r="A409" s="69">
        <f ca="1">IFERROR(__xludf.DUMMYFUNCTION("""COMPUTED_VALUE"""),90806)</f>
        <v>90806</v>
      </c>
      <c r="B409" s="4">
        <f ca="1">IFERROR(__xludf.DUMMYFUNCTION("""COMPUTED_VALUE"""),44594)</f>
        <v>44594</v>
      </c>
      <c r="C409" t="str">
        <f ca="1">IFERROR(__xludf.DUMMYFUNCTION("""COMPUTED_VALUE"""),"СДР БУЗОО 114-РДО от 26.11.2021")</f>
        <v>СДР БУЗОО 114-РДО от 26.11.2021</v>
      </c>
      <c r="D4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" t="str">
        <f ca="1">IFERROR(__xludf.DUMMYFUNCTION("""COMPUTED_VALUE"""),"Новый")</f>
        <v>Новый</v>
      </c>
      <c r="G409" s="68"/>
      <c r="K409" s="68"/>
    </row>
    <row r="410" spans="1:11" ht="12.75">
      <c r="A410" s="69">
        <f ca="1">IFERROR(__xludf.DUMMYFUNCTION("""COMPUTED_VALUE"""),90807)</f>
        <v>90807</v>
      </c>
      <c r="B410" s="4">
        <f ca="1">IFERROR(__xludf.DUMMYFUNCTION("""COMPUTED_VALUE"""),44594)</f>
        <v>44594</v>
      </c>
      <c r="C410" t="str">
        <f ca="1">IFERROR(__xludf.DUMMYFUNCTION("""COMPUTED_VALUE"""),"СДР БУЗОО 114-РДО от 26.11.2021")</f>
        <v>СДР БУЗОО 114-РДО от 26.11.2021</v>
      </c>
      <c r="D4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0" t="str">
        <f ca="1">IFERROR(__xludf.DUMMYFUNCTION("""COMPUTED_VALUE"""),"Новый")</f>
        <v>Новый</v>
      </c>
      <c r="G410" s="68"/>
      <c r="K410" s="68"/>
    </row>
    <row r="411" spans="1:11" ht="12.75">
      <c r="A411" s="69">
        <f ca="1">IFERROR(__xludf.DUMMYFUNCTION("""COMPUTED_VALUE"""),90808)</f>
        <v>90808</v>
      </c>
      <c r="B411" s="4">
        <f ca="1">IFERROR(__xludf.DUMMYFUNCTION("""COMPUTED_VALUE"""),44594)</f>
        <v>44594</v>
      </c>
      <c r="C411" t="str">
        <f ca="1">IFERROR(__xludf.DUMMYFUNCTION("""COMPUTED_VALUE"""),"СДР БУЗОО 114-РДО от 26.11.2021")</f>
        <v>СДР БУЗОО 114-РДО от 26.11.2021</v>
      </c>
      <c r="D4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1" t="str">
        <f ca="1">IFERROR(__xludf.DUMMYFUNCTION("""COMPUTED_VALUE"""),"Новый")</f>
        <v>Новый</v>
      </c>
      <c r="G411" s="68"/>
      <c r="K411" s="68"/>
    </row>
    <row r="412" spans="1:11" ht="12.75">
      <c r="A412" s="69">
        <f ca="1">IFERROR(__xludf.DUMMYFUNCTION("""COMPUTED_VALUE"""),90809)</f>
        <v>90809</v>
      </c>
      <c r="B412" s="4">
        <f ca="1">IFERROR(__xludf.DUMMYFUNCTION("""COMPUTED_VALUE"""),44594)</f>
        <v>44594</v>
      </c>
      <c r="C412" t="str">
        <f ca="1">IFERROR(__xludf.DUMMYFUNCTION("""COMPUTED_VALUE"""),"СДР БУЗОО 114-РДО от 26.11.2021")</f>
        <v>СДР БУЗОО 114-РДО от 26.11.2021</v>
      </c>
      <c r="D4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2" t="str">
        <f ca="1">IFERROR(__xludf.DUMMYFUNCTION("""COMPUTED_VALUE"""),"Новый")</f>
        <v>Новый</v>
      </c>
      <c r="G412" s="68"/>
      <c r="K412" s="68"/>
    </row>
    <row r="413" spans="1:11" ht="12.75">
      <c r="A413" s="69">
        <f ca="1">IFERROR(__xludf.DUMMYFUNCTION("""COMPUTED_VALUE"""),90810)</f>
        <v>90810</v>
      </c>
      <c r="B413" s="4">
        <f ca="1">IFERROR(__xludf.DUMMYFUNCTION("""COMPUTED_VALUE"""),44594)</f>
        <v>44594</v>
      </c>
      <c r="C413" t="str">
        <f ca="1">IFERROR(__xludf.DUMMYFUNCTION("""COMPUTED_VALUE"""),"СДР БУЗОО 114-РДО от 26.11.2021")</f>
        <v>СДР БУЗОО 114-РДО от 26.11.2021</v>
      </c>
      <c r="D4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3" t="str">
        <f ca="1">IFERROR(__xludf.DUMMYFUNCTION("""COMPUTED_VALUE"""),"Новый")</f>
        <v>Новый</v>
      </c>
      <c r="G413" s="68"/>
      <c r="K413" s="68"/>
    </row>
    <row r="414" spans="1:11" ht="12.75">
      <c r="A414" s="69">
        <f ca="1">IFERROR(__xludf.DUMMYFUNCTION("""COMPUTED_VALUE"""),90811)</f>
        <v>90811</v>
      </c>
      <c r="B414" s="4">
        <f ca="1">IFERROR(__xludf.DUMMYFUNCTION("""COMPUTED_VALUE"""),44594)</f>
        <v>44594</v>
      </c>
      <c r="C414" t="str">
        <f ca="1">IFERROR(__xludf.DUMMYFUNCTION("""COMPUTED_VALUE"""),"СДР БУЗОО 114-РДО от 26.11.2021")</f>
        <v>СДР БУЗОО 114-РДО от 26.11.2021</v>
      </c>
      <c r="D4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4" t="str">
        <f ca="1">IFERROR(__xludf.DUMMYFUNCTION("""COMPUTED_VALUE"""),"Новый")</f>
        <v>Новый</v>
      </c>
      <c r="G414" s="68"/>
      <c r="K414" s="68"/>
    </row>
    <row r="415" spans="1:11" ht="12.75">
      <c r="A415" s="69">
        <f ca="1">IFERROR(__xludf.DUMMYFUNCTION("""COMPUTED_VALUE"""),90812)</f>
        <v>90812</v>
      </c>
      <c r="B415" s="4">
        <f ca="1">IFERROR(__xludf.DUMMYFUNCTION("""COMPUTED_VALUE"""),44594)</f>
        <v>44594</v>
      </c>
      <c r="C415" t="str">
        <f ca="1">IFERROR(__xludf.DUMMYFUNCTION("""COMPUTED_VALUE"""),"СДР БУЗОО 114-РДО от 26.11.2021")</f>
        <v>СДР БУЗОО 114-РДО от 26.11.2021</v>
      </c>
      <c r="D4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5" t="str">
        <f ca="1">IFERROR(__xludf.DUMMYFUNCTION("""COMPUTED_VALUE"""),"Новый")</f>
        <v>Новый</v>
      </c>
      <c r="G415" s="68"/>
      <c r="K415" s="68"/>
    </row>
    <row r="416" spans="1:11" ht="12.75">
      <c r="A416" s="69">
        <f ca="1">IFERROR(__xludf.DUMMYFUNCTION("""COMPUTED_VALUE"""),90813)</f>
        <v>90813</v>
      </c>
      <c r="B416" s="4">
        <f ca="1">IFERROR(__xludf.DUMMYFUNCTION("""COMPUTED_VALUE"""),44594)</f>
        <v>44594</v>
      </c>
      <c r="C416" t="str">
        <f ca="1">IFERROR(__xludf.DUMMYFUNCTION("""COMPUTED_VALUE"""),"СДР БУЗОО 114-РДО от 26.11.2021")</f>
        <v>СДР БУЗОО 114-РДО от 26.11.2021</v>
      </c>
      <c r="D4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" t="str">
        <f ca="1">IFERROR(__xludf.DUMMYFUNCTION("""COMPUTED_VALUE"""),"Новый")</f>
        <v>Новый</v>
      </c>
      <c r="G416" s="68"/>
      <c r="K416" s="68"/>
    </row>
    <row r="417" spans="1:11" ht="12.75">
      <c r="A417" s="69">
        <f ca="1">IFERROR(__xludf.DUMMYFUNCTION("""COMPUTED_VALUE"""),90814)</f>
        <v>90814</v>
      </c>
      <c r="B417" s="4">
        <f ca="1">IFERROR(__xludf.DUMMYFUNCTION("""COMPUTED_VALUE"""),44594)</f>
        <v>44594</v>
      </c>
      <c r="C417" t="str">
        <f ca="1">IFERROR(__xludf.DUMMYFUNCTION("""COMPUTED_VALUE"""),"СДР БУЗОО 114-РДО от 26.11.2021")</f>
        <v>СДР БУЗОО 114-РДО от 26.11.2021</v>
      </c>
      <c r="D4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" t="str">
        <f ca="1">IFERROR(__xludf.DUMMYFUNCTION("""COMPUTED_VALUE"""),"Новый")</f>
        <v>Новый</v>
      </c>
      <c r="G417" s="68"/>
      <c r="K417" s="68"/>
    </row>
    <row r="418" spans="1:11" ht="12.75">
      <c r="A418" s="69">
        <f ca="1">IFERROR(__xludf.DUMMYFUNCTION("""COMPUTED_VALUE"""),90815)</f>
        <v>90815</v>
      </c>
      <c r="B418" s="4">
        <f ca="1">IFERROR(__xludf.DUMMYFUNCTION("""COMPUTED_VALUE"""),44594)</f>
        <v>44594</v>
      </c>
      <c r="C418" t="str">
        <f ca="1">IFERROR(__xludf.DUMMYFUNCTION("""COMPUTED_VALUE"""),"СДР БУЗОО 114-РДО от 26.11.2021")</f>
        <v>СДР БУЗОО 114-РДО от 26.11.2021</v>
      </c>
      <c r="D4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" t="str">
        <f ca="1">IFERROR(__xludf.DUMMYFUNCTION("""COMPUTED_VALUE"""),"Новый")</f>
        <v>Новый</v>
      </c>
      <c r="G418" s="68"/>
      <c r="K418" s="68"/>
    </row>
    <row r="419" spans="1:11" ht="12.75">
      <c r="A419" s="69">
        <f ca="1">IFERROR(__xludf.DUMMYFUNCTION("""COMPUTED_VALUE"""),90816)</f>
        <v>90816</v>
      </c>
      <c r="B419" s="4">
        <f ca="1">IFERROR(__xludf.DUMMYFUNCTION("""COMPUTED_VALUE"""),44594)</f>
        <v>44594</v>
      </c>
      <c r="C419" t="str">
        <f ca="1">IFERROR(__xludf.DUMMYFUNCTION("""COMPUTED_VALUE"""),"СДР БУЗОО 114-РДО от 26.11.2021")</f>
        <v>СДР БУЗОО 114-РДО от 26.11.2021</v>
      </c>
      <c r="D4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" t="str">
        <f ca="1">IFERROR(__xludf.DUMMYFUNCTION("""COMPUTED_VALUE"""),"Новый")</f>
        <v>Новый</v>
      </c>
      <c r="G419" s="68"/>
      <c r="K419" s="68"/>
    </row>
    <row r="420" spans="1:11" ht="12.75">
      <c r="A420" s="69">
        <f ca="1">IFERROR(__xludf.DUMMYFUNCTION("""COMPUTED_VALUE"""),90817)</f>
        <v>90817</v>
      </c>
      <c r="B420" s="4">
        <f ca="1">IFERROR(__xludf.DUMMYFUNCTION("""COMPUTED_VALUE"""),44594)</f>
        <v>44594</v>
      </c>
      <c r="C420" t="str">
        <f ca="1">IFERROR(__xludf.DUMMYFUNCTION("""COMPUTED_VALUE"""),"СДР БУЗОО 114-РДО от 26.11.2021")</f>
        <v>СДР БУЗОО 114-РДО от 26.11.2021</v>
      </c>
      <c r="D4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" t="str">
        <f ca="1">IFERROR(__xludf.DUMMYFUNCTION("""COMPUTED_VALUE"""),"Новый")</f>
        <v>Новый</v>
      </c>
      <c r="G420" s="68"/>
      <c r="K420" s="68"/>
    </row>
    <row r="421" spans="1:11" ht="12.75">
      <c r="A421" s="69">
        <f ca="1">IFERROR(__xludf.DUMMYFUNCTION("""COMPUTED_VALUE"""),90818)</f>
        <v>90818</v>
      </c>
      <c r="B421" s="4">
        <f ca="1">IFERROR(__xludf.DUMMYFUNCTION("""COMPUTED_VALUE"""),44594)</f>
        <v>44594</v>
      </c>
      <c r="C421" t="str">
        <f ca="1">IFERROR(__xludf.DUMMYFUNCTION("""COMPUTED_VALUE"""),"СДР БУЗОО 114-РДО от 26.11.2021")</f>
        <v>СДР БУЗОО 114-РДО от 26.11.2021</v>
      </c>
      <c r="D4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" t="str">
        <f ca="1">IFERROR(__xludf.DUMMYFUNCTION("""COMPUTED_VALUE"""),"Новый")</f>
        <v>Новый</v>
      </c>
      <c r="G421" s="68"/>
      <c r="K421" s="68"/>
    </row>
    <row r="422" spans="1:11" ht="12.75">
      <c r="A422" s="69">
        <f ca="1">IFERROR(__xludf.DUMMYFUNCTION("""COMPUTED_VALUE"""),90819)</f>
        <v>90819</v>
      </c>
      <c r="B422" s="4">
        <f ca="1">IFERROR(__xludf.DUMMYFUNCTION("""COMPUTED_VALUE"""),44594)</f>
        <v>44594</v>
      </c>
      <c r="C422" t="str">
        <f ca="1">IFERROR(__xludf.DUMMYFUNCTION("""COMPUTED_VALUE"""),"СДР БУЗОО 114-РДО от 26.11.2021")</f>
        <v>СДР БУЗОО 114-РДО от 26.11.2021</v>
      </c>
      <c r="D4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" t="str">
        <f ca="1">IFERROR(__xludf.DUMMYFUNCTION("""COMPUTED_VALUE"""),"Новый")</f>
        <v>Новый</v>
      </c>
      <c r="G422" s="68"/>
      <c r="K422" s="68"/>
    </row>
    <row r="423" spans="1:11" ht="12.75">
      <c r="A423" s="69">
        <f ca="1">IFERROR(__xludf.DUMMYFUNCTION("""COMPUTED_VALUE"""),90820)</f>
        <v>90820</v>
      </c>
      <c r="B423" s="4">
        <f ca="1">IFERROR(__xludf.DUMMYFUNCTION("""COMPUTED_VALUE"""),44594)</f>
        <v>44594</v>
      </c>
      <c r="C423" t="str">
        <f ca="1">IFERROR(__xludf.DUMMYFUNCTION("""COMPUTED_VALUE"""),"СДР БУЗОО 114-РДО от 26.11.2021")</f>
        <v>СДР БУЗОО 114-РДО от 26.11.2021</v>
      </c>
      <c r="D4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" t="str">
        <f ca="1">IFERROR(__xludf.DUMMYFUNCTION("""COMPUTED_VALUE"""),"Новый")</f>
        <v>Новый</v>
      </c>
      <c r="G423" s="68"/>
      <c r="K423" s="68"/>
    </row>
    <row r="424" spans="1:11" ht="12.75">
      <c r="A424" s="69">
        <f ca="1">IFERROR(__xludf.DUMMYFUNCTION("""COMPUTED_VALUE"""),90821)</f>
        <v>90821</v>
      </c>
      <c r="B424" s="4">
        <f ca="1">IFERROR(__xludf.DUMMYFUNCTION("""COMPUTED_VALUE"""),44594)</f>
        <v>44594</v>
      </c>
      <c r="C424" t="str">
        <f ca="1">IFERROR(__xludf.DUMMYFUNCTION("""COMPUTED_VALUE"""),"СДР БУЗОО 114-РДО от 26.11.2021")</f>
        <v>СДР БУЗОО 114-РДО от 26.11.2021</v>
      </c>
      <c r="D4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4" t="str">
        <f ca="1">IFERROR(__xludf.DUMMYFUNCTION("""COMPUTED_VALUE"""),"Новый")</f>
        <v>Новый</v>
      </c>
      <c r="G424" s="68"/>
      <c r="K424" s="68"/>
    </row>
    <row r="425" spans="1:11" ht="12.75">
      <c r="A425" s="69">
        <f ca="1">IFERROR(__xludf.DUMMYFUNCTION("""COMPUTED_VALUE"""),90822)</f>
        <v>90822</v>
      </c>
      <c r="B425" s="4">
        <f ca="1">IFERROR(__xludf.DUMMYFUNCTION("""COMPUTED_VALUE"""),44594)</f>
        <v>44594</v>
      </c>
      <c r="C425" t="str">
        <f ca="1">IFERROR(__xludf.DUMMYFUNCTION("""COMPUTED_VALUE"""),"СДР БУЗОО 114-РДО от 26.11.2021")</f>
        <v>СДР БУЗОО 114-РДО от 26.11.2021</v>
      </c>
      <c r="D4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" t="str">
        <f ca="1">IFERROR(__xludf.DUMMYFUNCTION("""COMPUTED_VALUE"""),"Новый")</f>
        <v>Новый</v>
      </c>
      <c r="G425" s="68"/>
      <c r="K425" s="68"/>
    </row>
    <row r="426" spans="1:11" ht="12.75">
      <c r="A426" s="69">
        <f ca="1">IFERROR(__xludf.DUMMYFUNCTION("""COMPUTED_VALUE"""),90883)</f>
        <v>90883</v>
      </c>
      <c r="B426" s="4">
        <f ca="1">IFERROR(__xludf.DUMMYFUNCTION("""COMPUTED_VALUE"""),44595)</f>
        <v>44595</v>
      </c>
      <c r="C426" t="str">
        <f ca="1">IFERROR(__xludf.DUMMYFUNCTION("""COMPUTED_VALUE"""),"ООО ""ЧИСТЫЙ ГОРОД-ОМСК"" 116-СТР от 01.01.2021")</f>
        <v>ООО "ЧИСТЫЙ ГОРОД-ОМСК" 116-СТР от 01.01.2021</v>
      </c>
      <c r="D4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" t="str">
        <f ca="1">IFERROR(__xludf.DUMMYFUNCTION("""COMPUTED_VALUE"""),"Новый")</f>
        <v>Новый</v>
      </c>
      <c r="G426" s="68"/>
      <c r="K426" s="68"/>
    </row>
    <row r="427" spans="1:11" ht="12.75">
      <c r="A427" s="69">
        <f ca="1">IFERROR(__xludf.DUMMYFUNCTION("""COMPUTED_VALUE"""),90884)</f>
        <v>90884</v>
      </c>
      <c r="B427" s="4">
        <f ca="1">IFERROR(__xludf.DUMMYFUNCTION("""COMPUTED_VALUE"""),44595)</f>
        <v>44595</v>
      </c>
      <c r="C427" t="str">
        <f ca="1">IFERROR(__xludf.DUMMYFUNCTION("""COMPUTED_VALUE"""),"ООО ""ЧИСТЫЙ ГОРОД-ОМСК"" 116-СТР от 01.01.2021")</f>
        <v>ООО "ЧИСТЫЙ ГОРОД-ОМСК" 116-СТР от 01.01.2021</v>
      </c>
      <c r="D4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" t="str">
        <f ca="1">IFERROR(__xludf.DUMMYFUNCTION("""COMPUTED_VALUE"""),"Новый")</f>
        <v>Новый</v>
      </c>
      <c r="G427" s="68"/>
      <c r="K427" s="68"/>
    </row>
    <row r="428" spans="1:11" ht="12.75">
      <c r="A428" s="69">
        <f ca="1">IFERROR(__xludf.DUMMYFUNCTION("""COMPUTED_VALUE"""),90885)</f>
        <v>90885</v>
      </c>
      <c r="B428" s="4">
        <f ca="1">IFERROR(__xludf.DUMMYFUNCTION("""COMPUTED_VALUE"""),44595)</f>
        <v>44595</v>
      </c>
      <c r="C428" t="str">
        <f ca="1">IFERROR(__xludf.DUMMYFUNCTION("""COMPUTED_VALUE"""),"ООО ""ЧИСТЫЙ ГОРОД-ОМСК"" 116-СТР от 01.01.2021")</f>
        <v>ООО "ЧИСТЫЙ ГОРОД-ОМСК" 116-СТР от 01.01.2021</v>
      </c>
      <c r="D4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" t="str">
        <f ca="1">IFERROR(__xludf.DUMMYFUNCTION("""COMPUTED_VALUE"""),"Новый")</f>
        <v>Новый</v>
      </c>
      <c r="G428" s="68"/>
      <c r="K428" s="68"/>
    </row>
    <row r="429" spans="1:11" ht="12.75">
      <c r="A429" s="69">
        <f ca="1">IFERROR(__xludf.DUMMYFUNCTION("""COMPUTED_VALUE"""),90886)</f>
        <v>90886</v>
      </c>
      <c r="B429" s="4">
        <f ca="1">IFERROR(__xludf.DUMMYFUNCTION("""COMPUTED_VALUE"""),44595)</f>
        <v>44595</v>
      </c>
      <c r="C429" t="str">
        <f ca="1">IFERROR(__xludf.DUMMYFUNCTION("""COMPUTED_VALUE"""),"ООО ""ЧИСТЫЙ ГОРОД-ОМСК"" 116-СТР от 01.01.2021")</f>
        <v>ООО "ЧИСТЫЙ ГОРОД-ОМСК" 116-СТР от 01.01.2021</v>
      </c>
      <c r="D4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9" t="str">
        <f ca="1">IFERROR(__xludf.DUMMYFUNCTION("""COMPUTED_VALUE"""),"Новый")</f>
        <v>Новый</v>
      </c>
      <c r="G429" s="68"/>
      <c r="K429" s="68"/>
    </row>
    <row r="430" spans="1:11" ht="12.75">
      <c r="A430" s="69">
        <f ca="1">IFERROR(__xludf.DUMMYFUNCTION("""COMPUTED_VALUE"""),90887)</f>
        <v>90887</v>
      </c>
      <c r="B430" s="4">
        <f ca="1">IFERROR(__xludf.DUMMYFUNCTION("""COMPUTED_VALUE"""),44595)</f>
        <v>44595</v>
      </c>
      <c r="C430" t="str">
        <f ca="1">IFERROR(__xludf.DUMMYFUNCTION("""COMPUTED_VALUE"""),"ООО ""ЧИСТЫЙ ГОРОД-ОМСК"" 116-СТР от 01.01.2021")</f>
        <v>ООО "ЧИСТЫЙ ГОРОД-ОМСК" 116-СТР от 01.01.2021</v>
      </c>
      <c r="D4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" t="str">
        <f ca="1">IFERROR(__xludf.DUMMYFUNCTION("""COMPUTED_VALUE"""),"Новый")</f>
        <v>Новый</v>
      </c>
      <c r="G430" s="68"/>
      <c r="K430" s="68"/>
    </row>
    <row r="431" spans="1:11" ht="12.75">
      <c r="A431" s="69">
        <f ca="1">IFERROR(__xludf.DUMMYFUNCTION("""COMPUTED_VALUE"""),90888)</f>
        <v>90888</v>
      </c>
      <c r="B431" s="4">
        <f ca="1">IFERROR(__xludf.DUMMYFUNCTION("""COMPUTED_VALUE"""),44595)</f>
        <v>44595</v>
      </c>
      <c r="C431" t="str">
        <f ca="1">IFERROR(__xludf.DUMMYFUNCTION("""COMPUTED_VALUE"""),"ООО ""ЧИСТЫЙ ГОРОД-ОМСК"" 116-СТР от 01.01.2021")</f>
        <v>ООО "ЧИСТЫЙ ГОРОД-ОМСК" 116-СТР от 01.01.2021</v>
      </c>
      <c r="D4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" t="str">
        <f ca="1">IFERROR(__xludf.DUMMYFUNCTION("""COMPUTED_VALUE"""),"Новый")</f>
        <v>Новый</v>
      </c>
      <c r="G431" s="68"/>
      <c r="K431" s="68"/>
    </row>
    <row r="432" spans="1:11" ht="12.75">
      <c r="A432" s="69">
        <f ca="1">IFERROR(__xludf.DUMMYFUNCTION("""COMPUTED_VALUE"""),90889)</f>
        <v>90889</v>
      </c>
      <c r="B432" s="4">
        <f ca="1">IFERROR(__xludf.DUMMYFUNCTION("""COMPUTED_VALUE"""),44595)</f>
        <v>44595</v>
      </c>
      <c r="C432" t="str">
        <f ca="1">IFERROR(__xludf.DUMMYFUNCTION("""COMPUTED_VALUE"""),"ООО ""ЧИСТЫЙ ГОРОД-ОМСК"" 116-СТР от 01.01.2021")</f>
        <v>ООО "ЧИСТЫЙ ГОРОД-ОМСК" 116-СТР от 01.01.2021</v>
      </c>
      <c r="D4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" t="str">
        <f ca="1">IFERROR(__xludf.DUMMYFUNCTION("""COMPUTED_VALUE"""),"Новый")</f>
        <v>Новый</v>
      </c>
      <c r="G432" s="68"/>
      <c r="K432" s="68"/>
    </row>
    <row r="433" spans="1:11" ht="12.75">
      <c r="A433" s="69">
        <f ca="1">IFERROR(__xludf.DUMMYFUNCTION("""COMPUTED_VALUE"""),90890)</f>
        <v>90890</v>
      </c>
      <c r="B433" s="4">
        <f ca="1">IFERROR(__xludf.DUMMYFUNCTION("""COMPUTED_VALUE"""),44595)</f>
        <v>44595</v>
      </c>
      <c r="C433" t="str">
        <f ca="1">IFERROR(__xludf.DUMMYFUNCTION("""COMPUTED_VALUE"""),"ООО ""ЧИСТЫЙ ГОРОД-ОМСК"" 116-СТР от 01.01.2021")</f>
        <v>ООО "ЧИСТЫЙ ГОРОД-ОМСК" 116-СТР от 01.01.2021</v>
      </c>
      <c r="D4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3" t="str">
        <f ca="1">IFERROR(__xludf.DUMMYFUNCTION("""COMPUTED_VALUE"""),"Новый")</f>
        <v>Новый</v>
      </c>
      <c r="G433" s="68"/>
      <c r="K433" s="68"/>
    </row>
    <row r="434" spans="1:11" ht="12.75">
      <c r="A434" s="69">
        <f ca="1">IFERROR(__xludf.DUMMYFUNCTION("""COMPUTED_VALUE"""),90891)</f>
        <v>90891</v>
      </c>
      <c r="B434" s="4">
        <f ca="1">IFERROR(__xludf.DUMMYFUNCTION("""COMPUTED_VALUE"""),44595)</f>
        <v>44595</v>
      </c>
      <c r="C434" t="str">
        <f ca="1">IFERROR(__xludf.DUMMYFUNCTION("""COMPUTED_VALUE"""),"ООО ""ЧИСТЫЙ ГОРОД-ОМСК"" 116-СТР от 01.01.2021")</f>
        <v>ООО "ЧИСТЫЙ ГОРОД-ОМСК" 116-СТР от 01.01.2021</v>
      </c>
      <c r="D4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4" t="str">
        <f ca="1">IFERROR(__xludf.DUMMYFUNCTION("""COMPUTED_VALUE"""),"Новый")</f>
        <v>Новый</v>
      </c>
      <c r="G434" s="68"/>
      <c r="K434" s="68"/>
    </row>
    <row r="435" spans="1:11" ht="12.75">
      <c r="A435" s="69">
        <f ca="1">IFERROR(__xludf.DUMMYFUNCTION("""COMPUTED_VALUE"""),90892)</f>
        <v>90892</v>
      </c>
      <c r="B435" s="4">
        <f ca="1">IFERROR(__xludf.DUMMYFUNCTION("""COMPUTED_VALUE"""),44595)</f>
        <v>44595</v>
      </c>
      <c r="C435" t="str">
        <f ca="1">IFERROR(__xludf.DUMMYFUNCTION("""COMPUTED_VALUE"""),"ООО ""ЧИСТЫЙ ГОРОД-ОМСК"" 116-СТР от 01.01.2021")</f>
        <v>ООО "ЧИСТЫЙ ГОРОД-ОМСК" 116-СТР от 01.01.2021</v>
      </c>
      <c r="D4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" t="str">
        <f ca="1">IFERROR(__xludf.DUMMYFUNCTION("""COMPUTED_VALUE"""),"Новый")</f>
        <v>Новый</v>
      </c>
      <c r="G435" s="68"/>
      <c r="K435" s="68"/>
    </row>
    <row r="436" spans="1:11" ht="12.75">
      <c r="A436" s="69">
        <f ca="1">IFERROR(__xludf.DUMMYFUNCTION("""COMPUTED_VALUE"""),90893)</f>
        <v>90893</v>
      </c>
      <c r="B436" s="4">
        <f ca="1">IFERROR(__xludf.DUMMYFUNCTION("""COMPUTED_VALUE"""),44595)</f>
        <v>44595</v>
      </c>
      <c r="C436" t="str">
        <f ca="1">IFERROR(__xludf.DUMMYFUNCTION("""COMPUTED_VALUE"""),"ООО ""ЧИСТЫЙ ГОРОД-ОМСК"" 116-СТР от 01.01.2021")</f>
        <v>ООО "ЧИСТЫЙ ГОРОД-ОМСК" 116-СТР от 01.01.2021</v>
      </c>
      <c r="D4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" t="str">
        <f ca="1">IFERROR(__xludf.DUMMYFUNCTION("""COMPUTED_VALUE"""),"Новый")</f>
        <v>Новый</v>
      </c>
      <c r="G436" s="68"/>
      <c r="K436" s="68"/>
    </row>
    <row r="437" spans="1:11" ht="12.75">
      <c r="A437" s="69">
        <f ca="1">IFERROR(__xludf.DUMMYFUNCTION("""COMPUTED_VALUE"""),90894)</f>
        <v>90894</v>
      </c>
      <c r="B437" s="4">
        <f ca="1">IFERROR(__xludf.DUMMYFUNCTION("""COMPUTED_VALUE"""),44595)</f>
        <v>44595</v>
      </c>
      <c r="C437" t="str">
        <f ca="1">IFERROR(__xludf.DUMMYFUNCTION("""COMPUTED_VALUE"""),"ООО ""ЧИСТЫЙ ГОРОД-ОМСК"" 116-СТР от 01.01.2021")</f>
        <v>ООО "ЧИСТЫЙ ГОРОД-ОМСК" 116-СТР от 01.01.2021</v>
      </c>
      <c r="D4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" t="str">
        <f ca="1">IFERROR(__xludf.DUMMYFUNCTION("""COMPUTED_VALUE"""),"Новый")</f>
        <v>Новый</v>
      </c>
      <c r="G437" s="68"/>
      <c r="K437" s="68"/>
    </row>
    <row r="438" spans="1:11" ht="12.75">
      <c r="A438" s="69">
        <f ca="1">IFERROR(__xludf.DUMMYFUNCTION("""COMPUTED_VALUE"""),90895)</f>
        <v>90895</v>
      </c>
      <c r="B438" s="4">
        <f ca="1">IFERROR(__xludf.DUMMYFUNCTION("""COMPUTED_VALUE"""),44595)</f>
        <v>44595</v>
      </c>
      <c r="C438" t="str">
        <f ca="1">IFERROR(__xludf.DUMMYFUNCTION("""COMPUTED_VALUE"""),"ООО ""ЧИСТЫЙ ГОРОД-ОМСК"" 116-СТР от 01.01.2021")</f>
        <v>ООО "ЧИСТЫЙ ГОРОД-ОМСК" 116-СТР от 01.01.2021</v>
      </c>
      <c r="D4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" t="str">
        <f ca="1">IFERROR(__xludf.DUMMYFUNCTION("""COMPUTED_VALUE"""),"Новый")</f>
        <v>Новый</v>
      </c>
      <c r="G438" s="68"/>
      <c r="K438" s="68"/>
    </row>
    <row r="439" spans="1:11" ht="12.75">
      <c r="A439" s="69">
        <f ca="1">IFERROR(__xludf.DUMMYFUNCTION("""COMPUTED_VALUE"""),90896)</f>
        <v>90896</v>
      </c>
      <c r="B439" s="4">
        <f ca="1">IFERROR(__xludf.DUMMYFUNCTION("""COMPUTED_VALUE"""),44595)</f>
        <v>44595</v>
      </c>
      <c r="C439" t="str">
        <f ca="1">IFERROR(__xludf.DUMMYFUNCTION("""COMPUTED_VALUE"""),"ООО ""ЧИСТЫЙ ГОРОД-ОМСК"" 116-СТР от 01.01.2021")</f>
        <v>ООО "ЧИСТЫЙ ГОРОД-ОМСК" 116-СТР от 01.01.2021</v>
      </c>
      <c r="D4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" t="str">
        <f ca="1">IFERROR(__xludf.DUMMYFUNCTION("""COMPUTED_VALUE"""),"Новый")</f>
        <v>Новый</v>
      </c>
      <c r="G439" s="68"/>
      <c r="K439" s="68"/>
    </row>
    <row r="440" spans="1:11" ht="12.75">
      <c r="A440" s="69">
        <f ca="1">IFERROR(__xludf.DUMMYFUNCTION("""COMPUTED_VALUE"""),90897)</f>
        <v>90897</v>
      </c>
      <c r="B440" s="4">
        <f ca="1">IFERROR(__xludf.DUMMYFUNCTION("""COMPUTED_VALUE"""),44595)</f>
        <v>44595</v>
      </c>
      <c r="C440" t="str">
        <f ca="1">IFERROR(__xludf.DUMMYFUNCTION("""COMPUTED_VALUE"""),"ООО ""ЧИСТЫЙ ГОРОД-ОМСК"" 116-СТР от 01.01.2021")</f>
        <v>ООО "ЧИСТЫЙ ГОРОД-ОМСК" 116-СТР от 01.01.2021</v>
      </c>
      <c r="D4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" t="str">
        <f ca="1">IFERROR(__xludf.DUMMYFUNCTION("""COMPUTED_VALUE"""),"Новый")</f>
        <v>Новый</v>
      </c>
      <c r="G440" s="68"/>
      <c r="K440" s="68"/>
    </row>
    <row r="441" spans="1:11" ht="12.75">
      <c r="A441" s="69">
        <f ca="1">IFERROR(__xludf.DUMMYFUNCTION("""COMPUTED_VALUE"""),90898)</f>
        <v>90898</v>
      </c>
      <c r="B441" s="4">
        <f ca="1">IFERROR(__xludf.DUMMYFUNCTION("""COMPUTED_VALUE"""),44595)</f>
        <v>44595</v>
      </c>
      <c r="C441" t="str">
        <f ca="1">IFERROR(__xludf.DUMMYFUNCTION("""COMPUTED_VALUE"""),"ООО ""ЧИСТЫЙ ГОРОД-ОМСК"" 116-СТР от 01.01.2021")</f>
        <v>ООО "ЧИСТЫЙ ГОРОД-ОМСК" 116-СТР от 01.01.2021</v>
      </c>
      <c r="D4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" t="str">
        <f ca="1">IFERROR(__xludf.DUMMYFUNCTION("""COMPUTED_VALUE"""),"Новый")</f>
        <v>Новый</v>
      </c>
      <c r="G441" s="68"/>
      <c r="K441" s="68"/>
    </row>
    <row r="442" spans="1:11" ht="12.75">
      <c r="A442" s="69">
        <f ca="1">IFERROR(__xludf.DUMMYFUNCTION("""COMPUTED_VALUE"""),90899)</f>
        <v>90899</v>
      </c>
      <c r="B442" s="4">
        <f ca="1">IFERROR(__xludf.DUMMYFUNCTION("""COMPUTED_VALUE"""),44595)</f>
        <v>44595</v>
      </c>
      <c r="C442" t="str">
        <f ca="1">IFERROR(__xludf.DUMMYFUNCTION("""COMPUTED_VALUE"""),"ООО ""ЧИСТЫЙ ГОРОД-ОМСК"" 116-СТР от 01.01.2021")</f>
        <v>ООО "ЧИСТЫЙ ГОРОД-ОМСК" 116-СТР от 01.01.2021</v>
      </c>
      <c r="D4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2" t="str">
        <f ca="1">IFERROR(__xludf.DUMMYFUNCTION("""COMPUTED_VALUE"""),"Новый")</f>
        <v>Новый</v>
      </c>
      <c r="G442" s="68"/>
      <c r="K442" s="68"/>
    </row>
    <row r="443" spans="1:11" ht="12.75">
      <c r="A443" s="69">
        <f ca="1">IFERROR(__xludf.DUMMYFUNCTION("""COMPUTED_VALUE"""),90900)</f>
        <v>90900</v>
      </c>
      <c r="B443" s="4">
        <f ca="1">IFERROR(__xludf.DUMMYFUNCTION("""COMPUTED_VALUE"""),44595)</f>
        <v>44595</v>
      </c>
      <c r="C443" t="str">
        <f ca="1">IFERROR(__xludf.DUMMYFUNCTION("""COMPUTED_VALUE"""),"ООО ""ЧИСТЫЙ ГОРОД-ОМСК"" 116-СТР от 01.01.2021")</f>
        <v>ООО "ЧИСТЫЙ ГОРОД-ОМСК" 116-СТР от 01.01.2021</v>
      </c>
      <c r="D4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" t="str">
        <f ca="1">IFERROR(__xludf.DUMMYFUNCTION("""COMPUTED_VALUE"""),"Новый")</f>
        <v>Новый</v>
      </c>
      <c r="G443" s="68"/>
      <c r="K443" s="68"/>
    </row>
    <row r="444" spans="1:11" ht="12.75">
      <c r="A444" s="69">
        <f ca="1">IFERROR(__xludf.DUMMYFUNCTION("""COMPUTED_VALUE"""),90901)</f>
        <v>90901</v>
      </c>
      <c r="B444" s="4">
        <f ca="1">IFERROR(__xludf.DUMMYFUNCTION("""COMPUTED_VALUE"""),44595)</f>
        <v>44595</v>
      </c>
      <c r="C444" t="str">
        <f ca="1">IFERROR(__xludf.DUMMYFUNCTION("""COMPUTED_VALUE"""),"ООО ""ЧИСТЫЙ ГОРОД-ОМСК"" 116-СТР от 01.01.2021")</f>
        <v>ООО "ЧИСТЫЙ ГОРОД-ОМСК" 116-СТР от 01.01.2021</v>
      </c>
      <c r="D4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" t="str">
        <f ca="1">IFERROR(__xludf.DUMMYFUNCTION("""COMPUTED_VALUE"""),"Новый")</f>
        <v>Новый</v>
      </c>
      <c r="G444" s="68"/>
      <c r="K444" s="68"/>
    </row>
    <row r="445" spans="1:11" ht="12.75">
      <c r="A445" s="69">
        <f ca="1">IFERROR(__xludf.DUMMYFUNCTION("""COMPUTED_VALUE"""),90902)</f>
        <v>90902</v>
      </c>
      <c r="B445" s="4">
        <f ca="1">IFERROR(__xludf.DUMMYFUNCTION("""COMPUTED_VALUE"""),44595)</f>
        <v>44595</v>
      </c>
      <c r="C445" t="str">
        <f ca="1">IFERROR(__xludf.DUMMYFUNCTION("""COMPUTED_VALUE"""),"ООО ""ЧИСТЫЙ ГОРОД-ОМСК"" 116-СТР от 01.01.2021")</f>
        <v>ООО "ЧИСТЫЙ ГОРОД-ОМСК" 116-СТР от 01.01.2021</v>
      </c>
      <c r="D4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" t="str">
        <f ca="1">IFERROR(__xludf.DUMMYFUNCTION("""COMPUTED_VALUE"""),"Новый")</f>
        <v>Новый</v>
      </c>
      <c r="G445" s="68"/>
      <c r="K445" s="68"/>
    </row>
    <row r="446" spans="1:11" ht="12.75">
      <c r="A446" s="69">
        <f ca="1">IFERROR(__xludf.DUMMYFUNCTION("""COMPUTED_VALUE"""),90903)</f>
        <v>90903</v>
      </c>
      <c r="B446" s="4">
        <f ca="1">IFERROR(__xludf.DUMMYFUNCTION("""COMPUTED_VALUE"""),44595)</f>
        <v>44595</v>
      </c>
      <c r="C446" t="str">
        <f ca="1">IFERROR(__xludf.DUMMYFUNCTION("""COMPUTED_VALUE"""),"ООО ""ЧИСТЫЙ ГОРОД-ОМСК"" 116-СТР от 01.01.2021")</f>
        <v>ООО "ЧИСТЫЙ ГОРОД-ОМСК" 116-СТР от 01.01.2021</v>
      </c>
      <c r="D4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" t="str">
        <f ca="1">IFERROR(__xludf.DUMMYFUNCTION("""COMPUTED_VALUE"""),"Новый")</f>
        <v>Новый</v>
      </c>
      <c r="G446" s="68"/>
      <c r="K446" s="68"/>
    </row>
    <row r="447" spans="1:11" ht="12.75">
      <c r="A447" s="69">
        <f ca="1">IFERROR(__xludf.DUMMYFUNCTION("""COMPUTED_VALUE"""),90904)</f>
        <v>90904</v>
      </c>
      <c r="B447" s="4">
        <f ca="1">IFERROR(__xludf.DUMMYFUNCTION("""COMPUTED_VALUE"""),44595)</f>
        <v>44595</v>
      </c>
      <c r="C447" t="str">
        <f ca="1">IFERROR(__xludf.DUMMYFUNCTION("""COMPUTED_VALUE"""),"ООО ""ЧИСТЫЙ ГОРОД-ОМСК"" 116-СТР от 01.01.2021")</f>
        <v>ООО "ЧИСТЫЙ ГОРОД-ОМСК" 116-СТР от 01.01.2021</v>
      </c>
      <c r="D4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" t="str">
        <f ca="1">IFERROR(__xludf.DUMMYFUNCTION("""COMPUTED_VALUE"""),"Новый")</f>
        <v>Новый</v>
      </c>
      <c r="G447" s="68"/>
      <c r="K447" s="68"/>
    </row>
    <row r="448" spans="1:11" ht="12.75">
      <c r="A448" s="69">
        <f ca="1">IFERROR(__xludf.DUMMYFUNCTION("""COMPUTED_VALUE"""),90905)</f>
        <v>90905</v>
      </c>
      <c r="B448" s="4">
        <f ca="1">IFERROR(__xludf.DUMMYFUNCTION("""COMPUTED_VALUE"""),44595)</f>
        <v>44595</v>
      </c>
      <c r="C448" t="str">
        <f ca="1">IFERROR(__xludf.DUMMYFUNCTION("""COMPUTED_VALUE"""),"ООО ""ЧИСТЫЙ ГОРОД-ОМСК"" 116-СТР от 01.01.2021")</f>
        <v>ООО "ЧИСТЫЙ ГОРОД-ОМСК" 116-СТР от 01.01.2021</v>
      </c>
      <c r="D4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" t="str">
        <f ca="1">IFERROR(__xludf.DUMMYFUNCTION("""COMPUTED_VALUE"""),"Новый")</f>
        <v>Новый</v>
      </c>
      <c r="G448" s="68"/>
      <c r="K448" s="68"/>
    </row>
    <row r="449" spans="1:11" ht="12.75">
      <c r="A449" s="69">
        <f ca="1">IFERROR(__xludf.DUMMYFUNCTION("""COMPUTED_VALUE"""),90906)</f>
        <v>90906</v>
      </c>
      <c r="B449" s="4">
        <f ca="1">IFERROR(__xludf.DUMMYFUNCTION("""COMPUTED_VALUE"""),44595)</f>
        <v>44595</v>
      </c>
      <c r="C449" t="str">
        <f ca="1">IFERROR(__xludf.DUMMYFUNCTION("""COMPUTED_VALUE"""),"ООО ""ЧИСТЫЙ ГОРОД-ОМСК"" 116-СТР от 01.01.2021")</f>
        <v>ООО "ЧИСТЫЙ ГОРОД-ОМСК" 116-СТР от 01.01.2021</v>
      </c>
      <c r="D4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" t="str">
        <f ca="1">IFERROR(__xludf.DUMMYFUNCTION("""COMPUTED_VALUE"""),"Новый")</f>
        <v>Новый</v>
      </c>
      <c r="G449" s="68"/>
      <c r="K449" s="68"/>
    </row>
    <row r="450" spans="1:11" ht="12.75">
      <c r="A450" s="69">
        <f ca="1">IFERROR(__xludf.DUMMYFUNCTION("""COMPUTED_VALUE"""),90907)</f>
        <v>90907</v>
      </c>
      <c r="B450" s="4">
        <f ca="1">IFERROR(__xludf.DUMMYFUNCTION("""COMPUTED_VALUE"""),44595)</f>
        <v>44595</v>
      </c>
      <c r="C450" t="str">
        <f ca="1">IFERROR(__xludf.DUMMYFUNCTION("""COMPUTED_VALUE"""),"ООО ""ЧИСТЫЙ ГОРОД-ОМСК"" 116-СТР от 01.01.2021")</f>
        <v>ООО "ЧИСТЫЙ ГОРОД-ОМСК" 116-СТР от 01.01.2021</v>
      </c>
      <c r="D4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" t="str">
        <f ca="1">IFERROR(__xludf.DUMMYFUNCTION("""COMPUTED_VALUE"""),"Новый")</f>
        <v>Новый</v>
      </c>
      <c r="G450" s="68"/>
      <c r="K450" s="68"/>
    </row>
    <row r="451" spans="1:11" ht="12.75">
      <c r="A451" s="69">
        <f ca="1">IFERROR(__xludf.DUMMYFUNCTION("""COMPUTED_VALUE"""),90908)</f>
        <v>90908</v>
      </c>
      <c r="B451" s="4">
        <f ca="1">IFERROR(__xludf.DUMMYFUNCTION("""COMPUTED_VALUE"""),44595)</f>
        <v>44595</v>
      </c>
      <c r="C451" t="str">
        <f ca="1">IFERROR(__xludf.DUMMYFUNCTION("""COMPUTED_VALUE"""),"ООО ""ЧИСТЫЙ ГОРОД-ОМСК"" 116-СТР от 01.01.2021")</f>
        <v>ООО "ЧИСТЫЙ ГОРОД-ОМСК" 116-СТР от 01.01.2021</v>
      </c>
      <c r="D4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" t="str">
        <f ca="1">IFERROR(__xludf.DUMMYFUNCTION("""COMPUTED_VALUE"""),"Новый")</f>
        <v>Новый</v>
      </c>
      <c r="G451" s="68"/>
      <c r="K451" s="68"/>
    </row>
    <row r="452" spans="1:11" ht="12.75">
      <c r="A452" s="69">
        <f ca="1">IFERROR(__xludf.DUMMYFUNCTION("""COMPUTED_VALUE"""),90909)</f>
        <v>90909</v>
      </c>
      <c r="B452" s="4">
        <f ca="1">IFERROR(__xludf.DUMMYFUNCTION("""COMPUTED_VALUE"""),44595)</f>
        <v>44595</v>
      </c>
      <c r="C452" t="str">
        <f ca="1">IFERROR(__xludf.DUMMYFUNCTION("""COMPUTED_VALUE"""),"ООО ""ЧИСТЫЙ ГОРОД-ОМСК"" 116-СТР от 01.01.2021")</f>
        <v>ООО "ЧИСТЫЙ ГОРОД-ОМСК" 116-СТР от 01.01.2021</v>
      </c>
      <c r="D4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" t="str">
        <f ca="1">IFERROR(__xludf.DUMMYFUNCTION("""COMPUTED_VALUE"""),"Новый")</f>
        <v>Новый</v>
      </c>
      <c r="G452" s="68"/>
      <c r="K452" s="68"/>
    </row>
    <row r="453" spans="1:11" ht="12.75">
      <c r="A453" s="69">
        <f ca="1">IFERROR(__xludf.DUMMYFUNCTION("""COMPUTED_VALUE"""),90910)</f>
        <v>90910</v>
      </c>
      <c r="B453" s="4">
        <f ca="1">IFERROR(__xludf.DUMMYFUNCTION("""COMPUTED_VALUE"""),44595)</f>
        <v>44595</v>
      </c>
      <c r="C453" t="str">
        <f ca="1">IFERROR(__xludf.DUMMYFUNCTION("""COMPUTED_VALUE"""),"ООО ""ЧИСТЫЙ ГОРОД-ОМСК"" 116-СТР от 01.01.2021")</f>
        <v>ООО "ЧИСТЫЙ ГОРОД-ОМСК" 116-СТР от 01.01.2021</v>
      </c>
      <c r="D4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" t="str">
        <f ca="1">IFERROR(__xludf.DUMMYFUNCTION("""COMPUTED_VALUE"""),"Новый")</f>
        <v>Новый</v>
      </c>
      <c r="G453" s="68"/>
      <c r="K453" s="68"/>
    </row>
    <row r="454" spans="1:11" ht="12.75">
      <c r="A454" s="69">
        <f ca="1">IFERROR(__xludf.DUMMYFUNCTION("""COMPUTED_VALUE"""),90911)</f>
        <v>90911</v>
      </c>
      <c r="B454" s="4">
        <f ca="1">IFERROR(__xludf.DUMMYFUNCTION("""COMPUTED_VALUE"""),44595)</f>
        <v>44595</v>
      </c>
      <c r="C454" t="str">
        <f ca="1">IFERROR(__xludf.DUMMYFUNCTION("""COMPUTED_VALUE"""),"ООО ""ЧИСТЫЙ ГОРОД-ОМСК"" 116-СТР от 01.01.2021")</f>
        <v>ООО "ЧИСТЫЙ ГОРОД-ОМСК" 116-СТР от 01.01.2021</v>
      </c>
      <c r="D4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" t="str">
        <f ca="1">IFERROR(__xludf.DUMMYFUNCTION("""COMPUTED_VALUE"""),"Новый")</f>
        <v>Новый</v>
      </c>
      <c r="G454" s="68"/>
      <c r="K454" s="68"/>
    </row>
    <row r="455" spans="1:11" ht="12.75">
      <c r="A455" s="69">
        <f ca="1">IFERROR(__xludf.DUMMYFUNCTION("""COMPUTED_VALUE"""),90912)</f>
        <v>90912</v>
      </c>
      <c r="B455" s="4">
        <f ca="1">IFERROR(__xludf.DUMMYFUNCTION("""COMPUTED_VALUE"""),44595)</f>
        <v>44595</v>
      </c>
      <c r="C455" t="str">
        <f ca="1">IFERROR(__xludf.DUMMYFUNCTION("""COMPUTED_VALUE"""),"ООО ""ЧИСТЫЙ ГОРОД-ОМСК"" 116-СТР от 01.01.2021")</f>
        <v>ООО "ЧИСТЫЙ ГОРОД-ОМСК" 116-СТР от 01.01.2021</v>
      </c>
      <c r="D4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" t="str">
        <f ca="1">IFERROR(__xludf.DUMMYFUNCTION("""COMPUTED_VALUE"""),"Новый")</f>
        <v>Новый</v>
      </c>
      <c r="G455" s="68"/>
      <c r="K455" s="68"/>
    </row>
    <row r="456" spans="1:11" ht="12.75">
      <c r="A456" s="69">
        <f ca="1">IFERROR(__xludf.DUMMYFUNCTION("""COMPUTED_VALUE"""),90919)</f>
        <v>90919</v>
      </c>
      <c r="B456" s="4">
        <f ca="1">IFERROR(__xludf.DUMMYFUNCTION("""COMPUTED_VALUE"""),44595)</f>
        <v>44595</v>
      </c>
      <c r="C456" t="str">
        <f ca="1">IFERROR(__xludf.DUMMYFUNCTION("""COMPUTED_VALUE"""),"ООО ""ЧИСТЫЙ ГОРОД-ОМСК"" 116-СТР от 01.01.2021")</f>
        <v>ООО "ЧИСТЫЙ ГОРОД-ОМСК" 116-СТР от 01.01.2021</v>
      </c>
      <c r="D4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" t="str">
        <f ca="1">IFERROR(__xludf.DUMMYFUNCTION("""COMPUTED_VALUE"""),"Новый")</f>
        <v>Новый</v>
      </c>
      <c r="G456" s="68"/>
      <c r="K456" s="68"/>
    </row>
    <row r="457" spans="1:11" ht="12.75">
      <c r="A457" s="69">
        <f ca="1">IFERROR(__xludf.DUMMYFUNCTION("""COMPUTED_VALUE"""),90921)</f>
        <v>90921</v>
      </c>
      <c r="B457" s="4">
        <f ca="1">IFERROR(__xludf.DUMMYFUNCTION("""COMPUTED_VALUE"""),44595)</f>
        <v>44595</v>
      </c>
      <c r="C457" t="str">
        <f ca="1">IFERROR(__xludf.DUMMYFUNCTION("""COMPUTED_VALUE"""),"ООО ""ЧИСТЫЙ ГОРОД-ОМСК"" 116-СТР от 01.01.2021")</f>
        <v>ООО "ЧИСТЫЙ ГОРОД-ОМСК" 116-СТР от 01.01.2021</v>
      </c>
      <c r="D4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" t="str">
        <f ca="1">IFERROR(__xludf.DUMMYFUNCTION("""COMPUTED_VALUE"""),"Новый")</f>
        <v>Новый</v>
      </c>
      <c r="G457" s="68"/>
      <c r="K457" s="68"/>
    </row>
    <row r="458" spans="1:11" ht="12.75">
      <c r="A458" s="69">
        <f ca="1">IFERROR(__xludf.DUMMYFUNCTION("""COMPUTED_VALUE"""),90923)</f>
        <v>90923</v>
      </c>
      <c r="B458" s="4">
        <f ca="1">IFERROR(__xludf.DUMMYFUNCTION("""COMPUTED_VALUE"""),44595)</f>
        <v>44595</v>
      </c>
      <c r="C458" t="str">
        <f ca="1">IFERROR(__xludf.DUMMYFUNCTION("""COMPUTED_VALUE"""),"ООО ""ЧИСТЫЙ ГОРОД-ОМСК"" 116-СТР от 01.01.2021")</f>
        <v>ООО "ЧИСТЫЙ ГОРОД-ОМСК" 116-СТР от 01.01.2021</v>
      </c>
      <c r="D4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8" t="str">
        <f ca="1">IFERROR(__xludf.DUMMYFUNCTION("""COMPUTED_VALUE"""),"Новый")</f>
        <v>Новый</v>
      </c>
      <c r="G458" s="68"/>
      <c r="K458" s="68"/>
    </row>
    <row r="459" spans="1:11" ht="12.75">
      <c r="A459" s="69">
        <f ca="1">IFERROR(__xludf.DUMMYFUNCTION("""COMPUTED_VALUE"""),90924)</f>
        <v>90924</v>
      </c>
      <c r="B459" s="4">
        <f ca="1">IFERROR(__xludf.DUMMYFUNCTION("""COMPUTED_VALUE"""),44595)</f>
        <v>44595</v>
      </c>
      <c r="C459" t="str">
        <f ca="1">IFERROR(__xludf.DUMMYFUNCTION("""COMPUTED_VALUE"""),"ООО ""ЧИСТЫЙ ГОРОД-ОМСК"" 116-СТР от 01.01.2021")</f>
        <v>ООО "ЧИСТЫЙ ГОРОД-ОМСК" 116-СТР от 01.01.2021</v>
      </c>
      <c r="D4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9" t="str">
        <f ca="1">IFERROR(__xludf.DUMMYFUNCTION("""COMPUTED_VALUE"""),"Новый")</f>
        <v>Новый</v>
      </c>
      <c r="G459" s="68"/>
      <c r="K459" s="68"/>
    </row>
    <row r="460" spans="1:11" ht="12.75">
      <c r="A460" s="69">
        <f ca="1">IFERROR(__xludf.DUMMYFUNCTION("""COMPUTED_VALUE"""),90925)</f>
        <v>90925</v>
      </c>
      <c r="B460" s="4">
        <f ca="1">IFERROR(__xludf.DUMMYFUNCTION("""COMPUTED_VALUE"""),44595)</f>
        <v>44595</v>
      </c>
      <c r="C460" t="str">
        <f ca="1">IFERROR(__xludf.DUMMYFUNCTION("""COMPUTED_VALUE"""),"ООО ""ЧИСТЫЙ ГОРОД-ОМСК"" 116-СТР от 01.01.2021")</f>
        <v>ООО "ЧИСТЫЙ ГОРОД-ОМСК" 116-СТР от 01.01.2021</v>
      </c>
      <c r="D4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0" t="str">
        <f ca="1">IFERROR(__xludf.DUMMYFUNCTION("""COMPUTED_VALUE"""),"Новый")</f>
        <v>Новый</v>
      </c>
      <c r="G460" s="68"/>
      <c r="K460" s="68"/>
    </row>
    <row r="461" spans="1:11" ht="12.75">
      <c r="A461" s="69">
        <f ca="1">IFERROR(__xludf.DUMMYFUNCTION("""COMPUTED_VALUE"""),90926)</f>
        <v>90926</v>
      </c>
      <c r="B461" s="4">
        <f ca="1">IFERROR(__xludf.DUMMYFUNCTION("""COMPUTED_VALUE"""),44595)</f>
        <v>44595</v>
      </c>
      <c r="C461" t="str">
        <f ca="1">IFERROR(__xludf.DUMMYFUNCTION("""COMPUTED_VALUE"""),"ООО ""ЧИСТЫЙ ГОРОД-ОМСК"" 116-СТР от 01.01.2021")</f>
        <v>ООО "ЧИСТЫЙ ГОРОД-ОМСК" 116-СТР от 01.01.2021</v>
      </c>
      <c r="D4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1" t="str">
        <f ca="1">IFERROR(__xludf.DUMMYFUNCTION("""COMPUTED_VALUE"""),"Новый")</f>
        <v>Новый</v>
      </c>
      <c r="G461" s="68"/>
      <c r="K461" s="68"/>
    </row>
    <row r="462" spans="1:11" ht="12.75">
      <c r="A462" s="69">
        <f ca="1">IFERROR(__xludf.DUMMYFUNCTION("""COMPUTED_VALUE"""),90927)</f>
        <v>90927</v>
      </c>
      <c r="B462" s="4">
        <f ca="1">IFERROR(__xludf.DUMMYFUNCTION("""COMPUTED_VALUE"""),44595)</f>
        <v>44595</v>
      </c>
      <c r="C462" t="str">
        <f ca="1">IFERROR(__xludf.DUMMYFUNCTION("""COMPUTED_VALUE"""),"ООО ""ЧИСТЫЙ ГОРОД-ОМСК"" 116-СТР от 01.01.2021")</f>
        <v>ООО "ЧИСТЫЙ ГОРОД-ОМСК" 116-СТР от 01.01.2021</v>
      </c>
      <c r="D4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2" t="str">
        <f ca="1">IFERROR(__xludf.DUMMYFUNCTION("""COMPUTED_VALUE"""),"Новый")</f>
        <v>Новый</v>
      </c>
      <c r="G462" s="68"/>
      <c r="K462" s="68"/>
    </row>
    <row r="463" spans="1:11" ht="12.75">
      <c r="A463" s="69">
        <f ca="1">IFERROR(__xludf.DUMMYFUNCTION("""COMPUTED_VALUE"""),90928)</f>
        <v>90928</v>
      </c>
      <c r="B463" s="4">
        <f ca="1">IFERROR(__xludf.DUMMYFUNCTION("""COMPUTED_VALUE"""),44595)</f>
        <v>44595</v>
      </c>
      <c r="C463" t="str">
        <f ca="1">IFERROR(__xludf.DUMMYFUNCTION("""COMPUTED_VALUE"""),"ООО ""ЧИСТЫЙ ГОРОД-ОМСК"" 116-СТР от 01.01.2021")</f>
        <v>ООО "ЧИСТЫЙ ГОРОД-ОМСК" 116-СТР от 01.01.2021</v>
      </c>
      <c r="D4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" t="str">
        <f ca="1">IFERROR(__xludf.DUMMYFUNCTION("""COMPUTED_VALUE"""),"Новый")</f>
        <v>Новый</v>
      </c>
      <c r="G463" s="68"/>
      <c r="K463" s="68"/>
    </row>
    <row r="464" spans="1:11" ht="12.75">
      <c r="A464" s="69">
        <f ca="1">IFERROR(__xludf.DUMMYFUNCTION("""COMPUTED_VALUE"""),90929)</f>
        <v>90929</v>
      </c>
      <c r="B464" s="4">
        <f ca="1">IFERROR(__xludf.DUMMYFUNCTION("""COMPUTED_VALUE"""),44595)</f>
        <v>44595</v>
      </c>
      <c r="C464" t="str">
        <f ca="1">IFERROR(__xludf.DUMMYFUNCTION("""COMPUTED_VALUE"""),"ООО ""ЧИСТЫЙ ГОРОД-ОМСК"" 116-СТР от 01.01.2021")</f>
        <v>ООО "ЧИСТЫЙ ГОРОД-ОМСК" 116-СТР от 01.01.2021</v>
      </c>
      <c r="D4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4" t="str">
        <f ca="1">IFERROR(__xludf.DUMMYFUNCTION("""COMPUTED_VALUE"""),"Новый")</f>
        <v>Новый</v>
      </c>
      <c r="G464" s="68"/>
      <c r="K464" s="68"/>
    </row>
    <row r="465" spans="1:11" ht="12.75">
      <c r="A465" s="69">
        <f ca="1">IFERROR(__xludf.DUMMYFUNCTION("""COMPUTED_VALUE"""),90930)</f>
        <v>90930</v>
      </c>
      <c r="B465" s="4">
        <f ca="1">IFERROR(__xludf.DUMMYFUNCTION("""COMPUTED_VALUE"""),44595)</f>
        <v>44595</v>
      </c>
      <c r="C465" t="str">
        <f ca="1">IFERROR(__xludf.DUMMYFUNCTION("""COMPUTED_VALUE"""),"ООО ""ЧИСТЫЙ ГОРОД-ОМСК"" 116-СТР от 01.01.2021")</f>
        <v>ООО "ЧИСТЫЙ ГОРОД-ОМСК" 116-СТР от 01.01.2021</v>
      </c>
      <c r="D4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5" t="str">
        <f ca="1">IFERROR(__xludf.DUMMYFUNCTION("""COMPUTED_VALUE"""),"Новый")</f>
        <v>Новый</v>
      </c>
      <c r="G465" s="68"/>
      <c r="K465" s="68"/>
    </row>
    <row r="466" spans="1:11" ht="12.75">
      <c r="A466" s="69">
        <f ca="1">IFERROR(__xludf.DUMMYFUNCTION("""COMPUTED_VALUE"""),90931)</f>
        <v>90931</v>
      </c>
      <c r="B466" s="4">
        <f ca="1">IFERROR(__xludf.DUMMYFUNCTION("""COMPUTED_VALUE"""),44595)</f>
        <v>44595</v>
      </c>
      <c r="C466" t="str">
        <f ca="1">IFERROR(__xludf.DUMMYFUNCTION("""COMPUTED_VALUE"""),"ООО ""ЧИСТЫЙ ГОРОД-ОМСК"" 116-СТР от 01.01.2021")</f>
        <v>ООО "ЧИСТЫЙ ГОРОД-ОМСК" 116-СТР от 01.01.2021</v>
      </c>
      <c r="D4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6" t="str">
        <f ca="1">IFERROR(__xludf.DUMMYFUNCTION("""COMPUTED_VALUE"""),"Новый")</f>
        <v>Новый</v>
      </c>
      <c r="G466" s="68"/>
      <c r="K466" s="68"/>
    </row>
    <row r="467" spans="1:11" ht="12.75">
      <c r="A467" s="69">
        <f ca="1">IFERROR(__xludf.DUMMYFUNCTION("""COMPUTED_VALUE"""),90932)</f>
        <v>90932</v>
      </c>
      <c r="B467" s="4">
        <f ca="1">IFERROR(__xludf.DUMMYFUNCTION("""COMPUTED_VALUE"""),44595)</f>
        <v>44595</v>
      </c>
      <c r="C467" t="str">
        <f ca="1">IFERROR(__xludf.DUMMYFUNCTION("""COMPUTED_VALUE"""),"ООО ""ЧИСТЫЙ ГОРОД-ОМСК"" 116-СТР от 01.01.2021")</f>
        <v>ООО "ЧИСТЫЙ ГОРОД-ОМСК" 116-СТР от 01.01.2021</v>
      </c>
      <c r="D4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7" t="str">
        <f ca="1">IFERROR(__xludf.DUMMYFUNCTION("""COMPUTED_VALUE"""),"Новый")</f>
        <v>Новый</v>
      </c>
      <c r="G467" s="68"/>
      <c r="K467" s="68"/>
    </row>
    <row r="468" spans="1:11" ht="12.75">
      <c r="A468" s="69">
        <f ca="1">IFERROR(__xludf.DUMMYFUNCTION("""COMPUTED_VALUE"""),90933)</f>
        <v>90933</v>
      </c>
      <c r="B468" s="4">
        <f ca="1">IFERROR(__xludf.DUMMYFUNCTION("""COMPUTED_VALUE"""),44595)</f>
        <v>44595</v>
      </c>
      <c r="C468" t="str">
        <f ca="1">IFERROR(__xludf.DUMMYFUNCTION("""COMPUTED_VALUE"""),"ООО ""ЧИСТЫЙ ГОРОД-ОМСК"" 116-СТР от 01.01.2021")</f>
        <v>ООО "ЧИСТЫЙ ГОРОД-ОМСК" 116-СТР от 01.01.2021</v>
      </c>
      <c r="D4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" t="str">
        <f ca="1">IFERROR(__xludf.DUMMYFUNCTION("""COMPUTED_VALUE"""),"Новый")</f>
        <v>Новый</v>
      </c>
      <c r="G468" s="68"/>
      <c r="K468" s="68"/>
    </row>
    <row r="469" spans="1:11" ht="12.75">
      <c r="A469" s="69">
        <f ca="1">IFERROR(__xludf.DUMMYFUNCTION("""COMPUTED_VALUE"""),90934)</f>
        <v>90934</v>
      </c>
      <c r="B469" s="4">
        <f ca="1">IFERROR(__xludf.DUMMYFUNCTION("""COMPUTED_VALUE"""),44595)</f>
        <v>44595</v>
      </c>
      <c r="C469" t="str">
        <f ca="1">IFERROR(__xludf.DUMMYFUNCTION("""COMPUTED_VALUE"""),"ООО ""ЧИСТЫЙ ГОРОД-ОМСК"" 116-СТР от 01.01.2021")</f>
        <v>ООО "ЧИСТЫЙ ГОРОД-ОМСК" 116-СТР от 01.01.2021</v>
      </c>
      <c r="D4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9" t="str">
        <f ca="1">IFERROR(__xludf.DUMMYFUNCTION("""COMPUTED_VALUE"""),"Новый")</f>
        <v>Новый</v>
      </c>
      <c r="G469" s="68"/>
      <c r="K469" s="68"/>
    </row>
    <row r="470" spans="1:11" ht="12.75">
      <c r="A470" s="69">
        <f ca="1">IFERROR(__xludf.DUMMYFUNCTION("""COMPUTED_VALUE"""),90935)</f>
        <v>90935</v>
      </c>
      <c r="B470" s="4">
        <f ca="1">IFERROR(__xludf.DUMMYFUNCTION("""COMPUTED_VALUE"""),44595)</f>
        <v>44595</v>
      </c>
      <c r="C470" t="str">
        <f ca="1">IFERROR(__xludf.DUMMYFUNCTION("""COMPUTED_VALUE"""),"ООО ""ЧИСТЫЙ ГОРОД-ОМСК"" 116-СТР от 01.01.2021")</f>
        <v>ООО "ЧИСТЫЙ ГОРОД-ОМСК" 116-СТР от 01.01.2021</v>
      </c>
      <c r="D4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" t="str">
        <f ca="1">IFERROR(__xludf.DUMMYFUNCTION("""COMPUTED_VALUE"""),"Новый")</f>
        <v>Новый</v>
      </c>
      <c r="G470" s="68"/>
      <c r="K470" s="68"/>
    </row>
    <row r="471" spans="1:11" ht="12.75">
      <c r="A471" s="69">
        <f ca="1">IFERROR(__xludf.DUMMYFUNCTION("""COMPUTED_VALUE"""),90936)</f>
        <v>90936</v>
      </c>
      <c r="B471" s="4">
        <f ca="1">IFERROR(__xludf.DUMMYFUNCTION("""COMPUTED_VALUE"""),44595)</f>
        <v>44595</v>
      </c>
      <c r="C471" t="str">
        <f ca="1">IFERROR(__xludf.DUMMYFUNCTION("""COMPUTED_VALUE"""),"ООО ""ЧИСТЫЙ ГОРОД-ОМСК"" 116-СТР от 01.01.2021")</f>
        <v>ООО "ЧИСТЫЙ ГОРОД-ОМСК" 116-СТР от 01.01.2021</v>
      </c>
      <c r="D4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" t="str">
        <f ca="1">IFERROR(__xludf.DUMMYFUNCTION("""COMPUTED_VALUE"""),"Новый")</f>
        <v>Новый</v>
      </c>
      <c r="G471" s="68"/>
      <c r="K471" s="68"/>
    </row>
    <row r="472" spans="1:11" ht="12.75">
      <c r="A472" s="69">
        <f ca="1">IFERROR(__xludf.DUMMYFUNCTION("""COMPUTED_VALUE"""),90937)</f>
        <v>90937</v>
      </c>
      <c r="B472" s="4">
        <f ca="1">IFERROR(__xludf.DUMMYFUNCTION("""COMPUTED_VALUE"""),44595)</f>
        <v>44595</v>
      </c>
      <c r="C472" t="str">
        <f ca="1">IFERROR(__xludf.DUMMYFUNCTION("""COMPUTED_VALUE"""),"ООО ""ЧИСТЫЙ ГОРОД-ОМСК"" 116-СТР от 01.01.2021")</f>
        <v>ООО "ЧИСТЫЙ ГОРОД-ОМСК" 116-СТР от 01.01.2021</v>
      </c>
      <c r="D4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" t="str">
        <f ca="1">IFERROR(__xludf.DUMMYFUNCTION("""COMPUTED_VALUE"""),"Новый")</f>
        <v>Новый</v>
      </c>
      <c r="G472" s="68"/>
      <c r="K472" s="68"/>
    </row>
    <row r="473" spans="1:11" ht="12.75">
      <c r="A473" s="69">
        <f ca="1">IFERROR(__xludf.DUMMYFUNCTION("""COMPUTED_VALUE"""),90938)</f>
        <v>90938</v>
      </c>
      <c r="B473" s="4">
        <f ca="1">IFERROR(__xludf.DUMMYFUNCTION("""COMPUTED_VALUE"""),44595)</f>
        <v>44595</v>
      </c>
      <c r="C473" t="str">
        <f ca="1">IFERROR(__xludf.DUMMYFUNCTION("""COMPUTED_VALUE"""),"ООО ""ЧИСТЫЙ ГОРОД-ОМСК"" 116-СТР от 01.01.2021")</f>
        <v>ООО "ЧИСТЫЙ ГОРОД-ОМСК" 116-СТР от 01.01.2021</v>
      </c>
      <c r="D4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" t="str">
        <f ca="1">IFERROR(__xludf.DUMMYFUNCTION("""COMPUTED_VALUE"""),"Новый")</f>
        <v>Новый</v>
      </c>
      <c r="G473" s="68"/>
      <c r="K473" s="68"/>
    </row>
    <row r="474" spans="1:11" ht="12.75">
      <c r="A474" s="69">
        <f ca="1">IFERROR(__xludf.DUMMYFUNCTION("""COMPUTED_VALUE"""),90939)</f>
        <v>90939</v>
      </c>
      <c r="B474" s="4">
        <f ca="1">IFERROR(__xludf.DUMMYFUNCTION("""COMPUTED_VALUE"""),44595)</f>
        <v>44595</v>
      </c>
      <c r="C474" t="str">
        <f ca="1">IFERROR(__xludf.DUMMYFUNCTION("""COMPUTED_VALUE"""),"ООО ""ЧИСТЫЙ ГОРОД-ОМСК"" 116-СТР от 01.01.2021")</f>
        <v>ООО "ЧИСТЫЙ ГОРОД-ОМСК" 116-СТР от 01.01.2021</v>
      </c>
      <c r="D4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" t="str">
        <f ca="1">IFERROR(__xludf.DUMMYFUNCTION("""COMPUTED_VALUE"""),"Новый")</f>
        <v>Новый</v>
      </c>
      <c r="G474" s="68"/>
      <c r="K474" s="68"/>
    </row>
    <row r="475" spans="1:11" ht="12.75">
      <c r="A475" s="69">
        <f ca="1">IFERROR(__xludf.DUMMYFUNCTION("""COMPUTED_VALUE"""),90940)</f>
        <v>90940</v>
      </c>
      <c r="B475" s="4">
        <f ca="1">IFERROR(__xludf.DUMMYFUNCTION("""COMPUTED_VALUE"""),44595)</f>
        <v>44595</v>
      </c>
      <c r="C475" t="str">
        <f ca="1">IFERROR(__xludf.DUMMYFUNCTION("""COMPUTED_VALUE"""),"ООО ""ЧИСТЫЙ ГОРОД-ОМСК"" 116-СТР от 01.01.2021")</f>
        <v>ООО "ЧИСТЫЙ ГОРОД-ОМСК" 116-СТР от 01.01.2021</v>
      </c>
      <c r="D4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" t="str">
        <f ca="1">IFERROR(__xludf.DUMMYFUNCTION("""COMPUTED_VALUE"""),"Новый")</f>
        <v>Новый</v>
      </c>
      <c r="G475" s="68"/>
      <c r="K475" s="68"/>
    </row>
    <row r="476" spans="1:11" ht="12.75">
      <c r="A476" s="69">
        <f ca="1">IFERROR(__xludf.DUMMYFUNCTION("""COMPUTED_VALUE"""),90941)</f>
        <v>90941</v>
      </c>
      <c r="B476" s="4">
        <f ca="1">IFERROR(__xludf.DUMMYFUNCTION("""COMPUTED_VALUE"""),44595)</f>
        <v>44595</v>
      </c>
      <c r="C476" t="str">
        <f ca="1">IFERROR(__xludf.DUMMYFUNCTION("""COMPUTED_VALUE"""),"ООО ""ЧИСТЫЙ ГОРОД-ОМСК"" 116-СТР от 01.01.2021")</f>
        <v>ООО "ЧИСТЫЙ ГОРОД-ОМСК" 116-СТР от 01.01.2021</v>
      </c>
      <c r="D4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" t="str">
        <f ca="1">IFERROR(__xludf.DUMMYFUNCTION("""COMPUTED_VALUE"""),"Новый")</f>
        <v>Новый</v>
      </c>
      <c r="G476" s="68"/>
      <c r="K476" s="68"/>
    </row>
    <row r="477" spans="1:11" ht="12.75">
      <c r="A477" s="69">
        <f ca="1">IFERROR(__xludf.DUMMYFUNCTION("""COMPUTED_VALUE"""),90942)</f>
        <v>90942</v>
      </c>
      <c r="B477" s="4">
        <f ca="1">IFERROR(__xludf.DUMMYFUNCTION("""COMPUTED_VALUE"""),44595)</f>
        <v>44595</v>
      </c>
      <c r="C477" t="str">
        <f ca="1">IFERROR(__xludf.DUMMYFUNCTION("""COMPUTED_VALUE"""),"ООО ""ЧИСТЫЙ ГОРОД-ОМСК"" 116-СТР от 01.01.2021")</f>
        <v>ООО "ЧИСТЫЙ ГОРОД-ОМСК" 116-СТР от 01.01.2021</v>
      </c>
      <c r="D4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" t="str">
        <f ca="1">IFERROR(__xludf.DUMMYFUNCTION("""COMPUTED_VALUE"""),"Новый")</f>
        <v>Новый</v>
      </c>
      <c r="G477" s="68"/>
      <c r="K477" s="68"/>
    </row>
    <row r="478" spans="1:11" ht="12.75">
      <c r="A478" s="69">
        <f ca="1">IFERROR(__xludf.DUMMYFUNCTION("""COMPUTED_VALUE"""),90943)</f>
        <v>90943</v>
      </c>
      <c r="B478" s="4">
        <f ca="1">IFERROR(__xludf.DUMMYFUNCTION("""COMPUTED_VALUE"""),44595)</f>
        <v>44595</v>
      </c>
      <c r="C478" t="str">
        <f ca="1">IFERROR(__xludf.DUMMYFUNCTION("""COMPUTED_VALUE"""),"ООО ""ЧИСТЫЙ ГОРОД-ОМСК"" 116-СТР от 01.01.2021")</f>
        <v>ООО "ЧИСТЫЙ ГОРОД-ОМСК" 116-СТР от 01.01.2021</v>
      </c>
      <c r="D4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" t="str">
        <f ca="1">IFERROR(__xludf.DUMMYFUNCTION("""COMPUTED_VALUE"""),"Новый")</f>
        <v>Новый</v>
      </c>
      <c r="G478" s="68"/>
      <c r="K478" s="68"/>
    </row>
    <row r="479" spans="1:11" ht="12.75">
      <c r="A479" s="69">
        <f ca="1">IFERROR(__xludf.DUMMYFUNCTION("""COMPUTED_VALUE"""),90944)</f>
        <v>90944</v>
      </c>
      <c r="B479" s="4">
        <f ca="1">IFERROR(__xludf.DUMMYFUNCTION("""COMPUTED_VALUE"""),44595)</f>
        <v>44595</v>
      </c>
      <c r="C479" t="str">
        <f ca="1">IFERROR(__xludf.DUMMYFUNCTION("""COMPUTED_VALUE"""),"ООО ""ЧИСТЫЙ ГОРОД-ОМСК"" 116-СТР от 01.01.2021")</f>
        <v>ООО "ЧИСТЫЙ ГОРОД-ОМСК" 116-СТР от 01.01.2021</v>
      </c>
      <c r="D4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" t="str">
        <f ca="1">IFERROR(__xludf.DUMMYFUNCTION("""COMPUTED_VALUE"""),"Новый")</f>
        <v>Новый</v>
      </c>
      <c r="G479" s="68"/>
      <c r="K479" s="68"/>
    </row>
    <row r="480" spans="1:11" ht="12.75">
      <c r="A480" s="69">
        <f ca="1">IFERROR(__xludf.DUMMYFUNCTION("""COMPUTED_VALUE"""),90945)</f>
        <v>90945</v>
      </c>
      <c r="B480" s="4">
        <f ca="1">IFERROR(__xludf.DUMMYFUNCTION("""COMPUTED_VALUE"""),44595)</f>
        <v>44595</v>
      </c>
      <c r="C480" t="str">
        <f ca="1">IFERROR(__xludf.DUMMYFUNCTION("""COMPUTED_VALUE"""),"ООО ""ЧИСТЫЙ ГОРОД-ОМСК"" 116-СТР от 01.01.2021")</f>
        <v>ООО "ЧИСТЫЙ ГОРОД-ОМСК" 116-СТР от 01.01.2021</v>
      </c>
      <c r="D4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" t="str">
        <f ca="1">IFERROR(__xludf.DUMMYFUNCTION("""COMPUTED_VALUE"""),"Новый")</f>
        <v>Новый</v>
      </c>
      <c r="G480" s="68"/>
      <c r="K480" s="68"/>
    </row>
    <row r="481" spans="1:11" ht="12.75">
      <c r="A481" s="69">
        <f ca="1">IFERROR(__xludf.DUMMYFUNCTION("""COMPUTED_VALUE"""),90946)</f>
        <v>90946</v>
      </c>
      <c r="B481" s="4">
        <f ca="1">IFERROR(__xludf.DUMMYFUNCTION("""COMPUTED_VALUE"""),44595)</f>
        <v>44595</v>
      </c>
      <c r="C481" t="str">
        <f ca="1">IFERROR(__xludf.DUMMYFUNCTION("""COMPUTED_VALUE"""),"ООО ""ЧИСТЫЙ ГОРОД-ОМСК"" 116-СТР от 01.01.2021")</f>
        <v>ООО "ЧИСТЫЙ ГОРОД-ОМСК" 116-СТР от 01.01.2021</v>
      </c>
      <c r="D4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" t="str">
        <f ca="1">IFERROR(__xludf.DUMMYFUNCTION("""COMPUTED_VALUE"""),"Новый")</f>
        <v>Новый</v>
      </c>
      <c r="G481" s="68"/>
      <c r="K481" s="68"/>
    </row>
    <row r="482" spans="1:11" ht="12.75">
      <c r="A482" s="69">
        <f ca="1">IFERROR(__xludf.DUMMYFUNCTION("""COMPUTED_VALUE"""),90947)</f>
        <v>90947</v>
      </c>
      <c r="B482" s="4">
        <f ca="1">IFERROR(__xludf.DUMMYFUNCTION("""COMPUTED_VALUE"""),44595)</f>
        <v>44595</v>
      </c>
      <c r="C482" t="str">
        <f ca="1">IFERROR(__xludf.DUMMYFUNCTION("""COMPUTED_VALUE"""),"ООО ""ЧИСТЫЙ ГОРОД-ОМСК"" 116-СТР от 01.01.2021")</f>
        <v>ООО "ЧИСТЫЙ ГОРОД-ОМСК" 116-СТР от 01.01.2021</v>
      </c>
      <c r="D4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" t="str">
        <f ca="1">IFERROR(__xludf.DUMMYFUNCTION("""COMPUTED_VALUE"""),"Новый")</f>
        <v>Новый</v>
      </c>
      <c r="G482" s="68"/>
      <c r="K482" s="68"/>
    </row>
    <row r="483" spans="1:11" ht="12.75">
      <c r="A483" s="69">
        <f ca="1">IFERROR(__xludf.DUMMYFUNCTION("""COMPUTED_VALUE"""),90948)</f>
        <v>90948</v>
      </c>
      <c r="B483" s="4">
        <f ca="1">IFERROR(__xludf.DUMMYFUNCTION("""COMPUTED_VALUE"""),44595)</f>
        <v>44595</v>
      </c>
      <c r="C483" t="str">
        <f ca="1">IFERROR(__xludf.DUMMYFUNCTION("""COMPUTED_VALUE"""),"ООО ""ЧИСТЫЙ ГОРОД-ОМСК"" 116-СТР от 01.01.2021")</f>
        <v>ООО "ЧИСТЫЙ ГОРОД-ОМСК" 116-СТР от 01.01.2021</v>
      </c>
      <c r="D4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" t="str">
        <f ca="1">IFERROR(__xludf.DUMMYFUNCTION("""COMPUTED_VALUE"""),"Новый")</f>
        <v>Новый</v>
      </c>
      <c r="G483" s="68"/>
      <c r="K483" s="68"/>
    </row>
    <row r="484" spans="1:11" ht="12.75">
      <c r="A484" s="69">
        <f ca="1">IFERROR(__xludf.DUMMYFUNCTION("""COMPUTED_VALUE"""),90949)</f>
        <v>90949</v>
      </c>
      <c r="B484" s="4">
        <f ca="1">IFERROR(__xludf.DUMMYFUNCTION("""COMPUTED_VALUE"""),44595)</f>
        <v>44595</v>
      </c>
      <c r="C484" t="str">
        <f ca="1">IFERROR(__xludf.DUMMYFUNCTION("""COMPUTED_VALUE"""),"ООО ""ЧИСТЫЙ ГОРОД-ОМСК"" 116-СТР от 01.01.2021")</f>
        <v>ООО "ЧИСТЫЙ ГОРОД-ОМСК" 116-СТР от 01.01.2021</v>
      </c>
      <c r="D4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" t="str">
        <f ca="1">IFERROR(__xludf.DUMMYFUNCTION("""COMPUTED_VALUE"""),"Новый")</f>
        <v>Новый</v>
      </c>
      <c r="G484" s="68"/>
      <c r="K484" s="68"/>
    </row>
    <row r="485" spans="1:11" ht="12.75">
      <c r="A485" s="69">
        <f ca="1">IFERROR(__xludf.DUMMYFUNCTION("""COMPUTED_VALUE"""),90950)</f>
        <v>90950</v>
      </c>
      <c r="B485" s="4">
        <f ca="1">IFERROR(__xludf.DUMMYFUNCTION("""COMPUTED_VALUE"""),44595)</f>
        <v>44595</v>
      </c>
      <c r="C485" t="str">
        <f ca="1">IFERROR(__xludf.DUMMYFUNCTION("""COMPUTED_VALUE"""),"ООО ""ЧИСТЫЙ ГОРОД-ОМСК"" 116-СТР от 01.01.2021")</f>
        <v>ООО "ЧИСТЫЙ ГОРОД-ОМСК" 116-СТР от 01.01.2021</v>
      </c>
      <c r="D4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" t="str">
        <f ca="1">IFERROR(__xludf.DUMMYFUNCTION("""COMPUTED_VALUE"""),"Новый")</f>
        <v>Новый</v>
      </c>
      <c r="G485" s="68"/>
      <c r="K485" s="68"/>
    </row>
    <row r="486" spans="1:11" ht="12.75">
      <c r="A486" s="69">
        <f ca="1">IFERROR(__xludf.DUMMYFUNCTION("""COMPUTED_VALUE"""),90952)</f>
        <v>90952</v>
      </c>
      <c r="B486" s="4">
        <f ca="1">IFERROR(__xludf.DUMMYFUNCTION("""COMPUTED_VALUE"""),44595)</f>
        <v>44595</v>
      </c>
      <c r="C486" t="str">
        <f ca="1">IFERROR(__xludf.DUMMYFUNCTION("""COMPUTED_VALUE"""),"ООО ""ЧИСТЫЙ ГОРОД-ОМСК"" 116-СТР от 01.01.2021")</f>
        <v>ООО "ЧИСТЫЙ ГОРОД-ОМСК" 116-СТР от 01.01.2021</v>
      </c>
      <c r="D4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" t="str">
        <f ca="1">IFERROR(__xludf.DUMMYFUNCTION("""COMPUTED_VALUE"""),"Новый")</f>
        <v>Новый</v>
      </c>
      <c r="G486" s="68"/>
      <c r="K486" s="68"/>
    </row>
    <row r="487" spans="1:11" ht="12.75">
      <c r="A487" s="69">
        <f ca="1">IFERROR(__xludf.DUMMYFUNCTION("""COMPUTED_VALUE"""),90954)</f>
        <v>90954</v>
      </c>
      <c r="B487" s="4">
        <f ca="1">IFERROR(__xludf.DUMMYFUNCTION("""COMPUTED_VALUE"""),44595)</f>
        <v>44595</v>
      </c>
      <c r="C487" t="str">
        <f ca="1">IFERROR(__xludf.DUMMYFUNCTION("""COMPUTED_VALUE"""),"ООО ""ЧИСТЫЙ ГОРОД-ОМСК"" 116-СТР от 01.01.2021")</f>
        <v>ООО "ЧИСТЫЙ ГОРОД-ОМСК" 116-СТР от 01.01.2021</v>
      </c>
      <c r="D4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" t="str">
        <f ca="1">IFERROR(__xludf.DUMMYFUNCTION("""COMPUTED_VALUE"""),"Новый")</f>
        <v>Новый</v>
      </c>
      <c r="G487" s="68"/>
      <c r="K487" s="68"/>
    </row>
    <row r="488" spans="1:11" ht="12.75">
      <c r="A488" s="69">
        <f ca="1">IFERROR(__xludf.DUMMYFUNCTION("""COMPUTED_VALUE"""),90963)</f>
        <v>90963</v>
      </c>
      <c r="B488" s="4">
        <f ca="1">IFERROR(__xludf.DUMMYFUNCTION("""COMPUTED_VALUE"""),44595)</f>
        <v>44595</v>
      </c>
      <c r="C488" t="str">
        <f ca="1">IFERROR(__xludf.DUMMYFUNCTION("""COMPUTED_VALUE"""),"ООО ""ЧИСТЫЙ ГОРОД-ОМСК"" 127-РДО от 01.01.2022")</f>
        <v>ООО "ЧИСТЫЙ ГОРОД-ОМСК" 127-РДО от 01.01.2022</v>
      </c>
      <c r="D4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88" t="str">
        <f ca="1">IFERROR(__xludf.DUMMYFUNCTION("""COMPUTED_VALUE"""),"Новый")</f>
        <v>Новый</v>
      </c>
      <c r="G488" s="68"/>
      <c r="K488" s="68"/>
    </row>
    <row r="489" spans="1:11" ht="12.75">
      <c r="A489" s="69">
        <f ca="1">IFERROR(__xludf.DUMMYFUNCTION("""COMPUTED_VALUE"""),90964)</f>
        <v>90964</v>
      </c>
      <c r="B489" s="4">
        <f ca="1">IFERROR(__xludf.DUMMYFUNCTION("""COMPUTED_VALUE"""),44595)</f>
        <v>44595</v>
      </c>
      <c r="C489" t="str">
        <f ca="1">IFERROR(__xludf.DUMMYFUNCTION("""COMPUTED_VALUE"""),"ООО ""ЧИСТЫЙ ГОРОД-ОМСК"" 127-РДО от 01.01.2022")</f>
        <v>ООО "ЧИСТЫЙ ГОРОД-ОМСК" 127-РДО от 01.01.2022</v>
      </c>
      <c r="D4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89" t="str">
        <f ca="1">IFERROR(__xludf.DUMMYFUNCTION("""COMPUTED_VALUE"""),"Новый")</f>
        <v>Новый</v>
      </c>
      <c r="G489" s="68"/>
      <c r="K489" s="68"/>
    </row>
    <row r="490" spans="1:11" ht="12.75">
      <c r="A490" s="69">
        <f ca="1">IFERROR(__xludf.DUMMYFUNCTION("""COMPUTED_VALUE"""),90965)</f>
        <v>90965</v>
      </c>
      <c r="B490" s="4">
        <f ca="1">IFERROR(__xludf.DUMMYFUNCTION("""COMPUTED_VALUE"""),44595)</f>
        <v>44595</v>
      </c>
      <c r="C490" t="str">
        <f ca="1">IFERROR(__xludf.DUMMYFUNCTION("""COMPUTED_VALUE"""),"ООО ""ЧИСТЫЙ ГОРОД-ОМСК"" 127-РДО от 01.01.2022")</f>
        <v>ООО "ЧИСТЫЙ ГОРОД-ОМСК" 127-РДО от 01.01.2022</v>
      </c>
      <c r="D4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0" t="str">
        <f ca="1">IFERROR(__xludf.DUMMYFUNCTION("""COMPUTED_VALUE"""),"Новый")</f>
        <v>Новый</v>
      </c>
      <c r="G490" s="68"/>
      <c r="K490" s="68"/>
    </row>
    <row r="491" spans="1:11" ht="12.75">
      <c r="A491" s="69">
        <f ca="1">IFERROR(__xludf.DUMMYFUNCTION("""COMPUTED_VALUE"""),90966)</f>
        <v>90966</v>
      </c>
      <c r="B491" s="4">
        <f ca="1">IFERROR(__xludf.DUMMYFUNCTION("""COMPUTED_VALUE"""),44595)</f>
        <v>44595</v>
      </c>
      <c r="C491" t="str">
        <f ca="1">IFERROR(__xludf.DUMMYFUNCTION("""COMPUTED_VALUE"""),"ООО ""ЧИСТЫЙ ГОРОД-ОМСК"" 127-РДО от 01.01.2022")</f>
        <v>ООО "ЧИСТЫЙ ГОРОД-ОМСК" 127-РДО от 01.01.2022</v>
      </c>
      <c r="D4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1" t="str">
        <f ca="1">IFERROR(__xludf.DUMMYFUNCTION("""COMPUTED_VALUE"""),"Новый")</f>
        <v>Новый</v>
      </c>
      <c r="G491" s="68"/>
      <c r="K491" s="68"/>
    </row>
    <row r="492" spans="1:11" ht="12.75">
      <c r="A492" s="69">
        <f ca="1">IFERROR(__xludf.DUMMYFUNCTION("""COMPUTED_VALUE"""),90967)</f>
        <v>90967</v>
      </c>
      <c r="B492" s="4">
        <f ca="1">IFERROR(__xludf.DUMMYFUNCTION("""COMPUTED_VALUE"""),44595)</f>
        <v>44595</v>
      </c>
      <c r="C492" t="str">
        <f ca="1">IFERROR(__xludf.DUMMYFUNCTION("""COMPUTED_VALUE"""),"ООО ""ЧИСТЫЙ ГОРОД-ОМСК"" 127-РДО от 01.01.2022")</f>
        <v>ООО "ЧИСТЫЙ ГОРОД-ОМСК" 127-РДО от 01.01.2022</v>
      </c>
      <c r="D4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2" t="str">
        <f ca="1">IFERROR(__xludf.DUMMYFUNCTION("""COMPUTED_VALUE"""),"Новый")</f>
        <v>Новый</v>
      </c>
      <c r="G492" s="68"/>
      <c r="K492" s="68"/>
    </row>
    <row r="493" spans="1:11" ht="12.75">
      <c r="A493" s="69">
        <f ca="1">IFERROR(__xludf.DUMMYFUNCTION("""COMPUTED_VALUE"""),90968)</f>
        <v>90968</v>
      </c>
      <c r="B493" s="4">
        <f ca="1">IFERROR(__xludf.DUMMYFUNCTION("""COMPUTED_VALUE"""),44595)</f>
        <v>44595</v>
      </c>
      <c r="C493" t="str">
        <f ca="1">IFERROR(__xludf.DUMMYFUNCTION("""COMPUTED_VALUE"""),"ООО ""ЧИСТЫЙ ГОРОД-ОМСК"" 127-РДО от 01.01.2022")</f>
        <v>ООО "ЧИСТЫЙ ГОРОД-ОМСК" 127-РДО от 01.01.2022</v>
      </c>
      <c r="D4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3" t="str">
        <f ca="1">IFERROR(__xludf.DUMMYFUNCTION("""COMPUTED_VALUE"""),"Новый")</f>
        <v>Новый</v>
      </c>
      <c r="G493" s="68"/>
      <c r="K493" s="68"/>
    </row>
    <row r="494" spans="1:11" ht="12.75">
      <c r="A494" s="69">
        <f ca="1">IFERROR(__xludf.DUMMYFUNCTION("""COMPUTED_VALUE"""),90969)</f>
        <v>90969</v>
      </c>
      <c r="B494" s="4">
        <f ca="1">IFERROR(__xludf.DUMMYFUNCTION("""COMPUTED_VALUE"""),44595)</f>
        <v>44595</v>
      </c>
      <c r="C494" t="str">
        <f ca="1">IFERROR(__xludf.DUMMYFUNCTION("""COMPUTED_VALUE"""),"ООО ""ЧИСТЫЙ ГОРОД-ОМСК"" 127-РДО от 01.01.2022")</f>
        <v>ООО "ЧИСТЫЙ ГОРОД-ОМСК" 127-РДО от 01.01.2022</v>
      </c>
      <c r="D4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4" t="str">
        <f ca="1">IFERROR(__xludf.DUMMYFUNCTION("""COMPUTED_VALUE"""),"Новый")</f>
        <v>Новый</v>
      </c>
      <c r="G494" s="68"/>
      <c r="K494" s="68"/>
    </row>
    <row r="495" spans="1:11" ht="12.75">
      <c r="A495" s="69">
        <f ca="1">IFERROR(__xludf.DUMMYFUNCTION("""COMPUTED_VALUE"""),90970)</f>
        <v>90970</v>
      </c>
      <c r="B495" s="4">
        <f ca="1">IFERROR(__xludf.DUMMYFUNCTION("""COMPUTED_VALUE"""),44595)</f>
        <v>44595</v>
      </c>
      <c r="C495" t="str">
        <f ca="1">IFERROR(__xludf.DUMMYFUNCTION("""COMPUTED_VALUE"""),"ООО ""ЧИСТЫЙ ГОРОД-ОМСК"" 127-РДО от 01.01.2022")</f>
        <v>ООО "ЧИСТЫЙ ГОРОД-ОМСК" 127-РДО от 01.01.2022</v>
      </c>
      <c r="D4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5" t="str">
        <f ca="1">IFERROR(__xludf.DUMMYFUNCTION("""COMPUTED_VALUE"""),"Новый")</f>
        <v>Новый</v>
      </c>
      <c r="G495" s="68"/>
      <c r="K495" s="68"/>
    </row>
    <row r="496" spans="1:11" ht="12.75">
      <c r="A496" s="69">
        <f ca="1">IFERROR(__xludf.DUMMYFUNCTION("""COMPUTED_VALUE"""),90971)</f>
        <v>90971</v>
      </c>
      <c r="B496" s="4">
        <f ca="1">IFERROR(__xludf.DUMMYFUNCTION("""COMPUTED_VALUE"""),44595)</f>
        <v>44595</v>
      </c>
      <c r="C496" t="str">
        <f ca="1">IFERROR(__xludf.DUMMYFUNCTION("""COMPUTED_VALUE"""),"ООО ""ЧИСТЫЙ ГОРОД-ОМСК"" 127-РДО от 01.01.2022")</f>
        <v>ООО "ЧИСТЫЙ ГОРОД-ОМСК" 127-РДО от 01.01.2022</v>
      </c>
      <c r="D4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6" t="str">
        <f ca="1">IFERROR(__xludf.DUMMYFUNCTION("""COMPUTED_VALUE"""),"Новый")</f>
        <v>Новый</v>
      </c>
      <c r="G496" s="68"/>
      <c r="K496" s="68"/>
    </row>
    <row r="497" spans="1:11" ht="12.75">
      <c r="A497" s="69">
        <f ca="1">IFERROR(__xludf.DUMMYFUNCTION("""COMPUTED_VALUE"""),90972)</f>
        <v>90972</v>
      </c>
      <c r="B497" s="4">
        <f ca="1">IFERROR(__xludf.DUMMYFUNCTION("""COMPUTED_VALUE"""),44595)</f>
        <v>44595</v>
      </c>
      <c r="C497" t="str">
        <f ca="1">IFERROR(__xludf.DUMMYFUNCTION("""COMPUTED_VALUE"""),"ООО ""ЧИСТЫЙ ГОРОД-ОМСК"" 127-РДО от 01.01.2022")</f>
        <v>ООО "ЧИСТЫЙ ГОРОД-ОМСК" 127-РДО от 01.01.2022</v>
      </c>
      <c r="D4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" t="str">
        <f ca="1">IFERROR(__xludf.DUMMYFUNCTION("""COMPUTED_VALUE"""),"Новый")</f>
        <v>Новый</v>
      </c>
      <c r="G497" s="68"/>
      <c r="K497" s="68"/>
    </row>
    <row r="498" spans="1:11" ht="12.75">
      <c r="A498" s="69">
        <f ca="1">IFERROR(__xludf.DUMMYFUNCTION("""COMPUTED_VALUE"""),90973)</f>
        <v>90973</v>
      </c>
      <c r="B498" s="4">
        <f ca="1">IFERROR(__xludf.DUMMYFUNCTION("""COMPUTED_VALUE"""),44595)</f>
        <v>44595</v>
      </c>
      <c r="C498" t="str">
        <f ca="1">IFERROR(__xludf.DUMMYFUNCTION("""COMPUTED_VALUE"""),"ООО ""ЧИСТЫЙ ГОРОД-ОМСК"" 127-РДО от 01.01.2022")</f>
        <v>ООО "ЧИСТЫЙ ГОРОД-ОМСК" 127-РДО от 01.01.2022</v>
      </c>
      <c r="D4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8" t="str">
        <f ca="1">IFERROR(__xludf.DUMMYFUNCTION("""COMPUTED_VALUE"""),"Новый")</f>
        <v>Новый</v>
      </c>
      <c r="G498" s="68"/>
      <c r="K498" s="68"/>
    </row>
    <row r="499" spans="1:11" ht="12.75">
      <c r="A499" s="69">
        <f ca="1">IFERROR(__xludf.DUMMYFUNCTION("""COMPUTED_VALUE"""),90974)</f>
        <v>90974</v>
      </c>
      <c r="B499" s="4">
        <f ca="1">IFERROR(__xludf.DUMMYFUNCTION("""COMPUTED_VALUE"""),44595)</f>
        <v>44595</v>
      </c>
      <c r="C499" t="str">
        <f ca="1">IFERROR(__xludf.DUMMYFUNCTION("""COMPUTED_VALUE"""),"ООО ""ЧИСТЫЙ ГОРОД-ОМСК"" 127-РДО от 01.01.2022")</f>
        <v>ООО "ЧИСТЫЙ ГОРОД-ОМСК" 127-РДО от 01.01.2022</v>
      </c>
      <c r="D4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9" t="str">
        <f ca="1">IFERROR(__xludf.DUMMYFUNCTION("""COMPUTED_VALUE"""),"Новый")</f>
        <v>Новый</v>
      </c>
      <c r="G499" s="68"/>
      <c r="K499" s="68"/>
    </row>
    <row r="500" spans="1:11" ht="12.75">
      <c r="A500" s="69">
        <f ca="1">IFERROR(__xludf.DUMMYFUNCTION("""COMPUTED_VALUE"""),90975)</f>
        <v>90975</v>
      </c>
      <c r="B500" s="4">
        <f ca="1">IFERROR(__xludf.DUMMYFUNCTION("""COMPUTED_VALUE"""),44595)</f>
        <v>44595</v>
      </c>
      <c r="C500" t="str">
        <f ca="1">IFERROR(__xludf.DUMMYFUNCTION("""COMPUTED_VALUE"""),"ООО ""ЧИСТЫЙ ГОРОД-ОМСК"" 127-РДО от 01.01.2022")</f>
        <v>ООО "ЧИСТЫЙ ГОРОД-ОМСК" 127-РДО от 01.01.2022</v>
      </c>
      <c r="D5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0" t="str">
        <f ca="1">IFERROR(__xludf.DUMMYFUNCTION("""COMPUTED_VALUE"""),"Новый")</f>
        <v>Новый</v>
      </c>
      <c r="G500" s="68"/>
      <c r="K500" s="68"/>
    </row>
    <row r="501" spans="1:11" ht="12.75">
      <c r="A501" s="69">
        <f ca="1">IFERROR(__xludf.DUMMYFUNCTION("""COMPUTED_VALUE"""),90976)</f>
        <v>90976</v>
      </c>
      <c r="B501" s="4">
        <f ca="1">IFERROR(__xludf.DUMMYFUNCTION("""COMPUTED_VALUE"""),44595)</f>
        <v>44595</v>
      </c>
      <c r="C501" t="str">
        <f ca="1">IFERROR(__xludf.DUMMYFUNCTION("""COMPUTED_VALUE"""),"ООО ""ЧИСТЫЙ ГОРОД-ОМСК"" 127-РДО от 01.01.2022")</f>
        <v>ООО "ЧИСТЫЙ ГОРОД-ОМСК" 127-РДО от 01.01.2022</v>
      </c>
      <c r="D5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1" t="str">
        <f ca="1">IFERROR(__xludf.DUMMYFUNCTION("""COMPUTED_VALUE"""),"Новый")</f>
        <v>Новый</v>
      </c>
      <c r="G501" s="68"/>
      <c r="K501" s="68"/>
    </row>
    <row r="502" spans="1:11" ht="12.75">
      <c r="A502" s="69">
        <f ca="1">IFERROR(__xludf.DUMMYFUNCTION("""COMPUTED_VALUE"""),90977)</f>
        <v>90977</v>
      </c>
      <c r="B502" s="4">
        <f ca="1">IFERROR(__xludf.DUMMYFUNCTION("""COMPUTED_VALUE"""),44595)</f>
        <v>44595</v>
      </c>
      <c r="C502" t="str">
        <f ca="1">IFERROR(__xludf.DUMMYFUNCTION("""COMPUTED_VALUE"""),"ООО ""ЧИСТЫЙ ГОРОД-ОМСК"" 127-РДО от 01.01.2022")</f>
        <v>ООО "ЧИСТЫЙ ГОРОД-ОМСК" 127-РДО от 01.01.2022</v>
      </c>
      <c r="D5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2" t="str">
        <f ca="1">IFERROR(__xludf.DUMMYFUNCTION("""COMPUTED_VALUE"""),"Новый")</f>
        <v>Новый</v>
      </c>
      <c r="G502" s="68"/>
      <c r="K502" s="68"/>
    </row>
    <row r="503" spans="1:11" ht="12.75">
      <c r="A503" s="69">
        <f ca="1">IFERROR(__xludf.DUMMYFUNCTION("""COMPUTED_VALUE"""),90978)</f>
        <v>90978</v>
      </c>
      <c r="B503" s="4">
        <f ca="1">IFERROR(__xludf.DUMMYFUNCTION("""COMPUTED_VALUE"""),44595)</f>
        <v>44595</v>
      </c>
      <c r="C503" t="str">
        <f ca="1">IFERROR(__xludf.DUMMYFUNCTION("""COMPUTED_VALUE"""),"ООО ""ЧИСТЫЙ ГОРОД-ОМСК"" 127-РДО от 01.01.2022")</f>
        <v>ООО "ЧИСТЫЙ ГОРОД-ОМСК" 127-РДО от 01.01.2022</v>
      </c>
      <c r="D5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3" t="str">
        <f ca="1">IFERROR(__xludf.DUMMYFUNCTION("""COMPUTED_VALUE"""),"Новый")</f>
        <v>Новый</v>
      </c>
      <c r="G503" s="68"/>
      <c r="K503" s="68"/>
    </row>
    <row r="504" spans="1:11" ht="12.75">
      <c r="A504" s="69">
        <f ca="1">IFERROR(__xludf.DUMMYFUNCTION("""COMPUTED_VALUE"""),90979)</f>
        <v>90979</v>
      </c>
      <c r="B504" s="4">
        <f ca="1">IFERROR(__xludf.DUMMYFUNCTION("""COMPUTED_VALUE"""),44595)</f>
        <v>44595</v>
      </c>
      <c r="C504" t="str">
        <f ca="1">IFERROR(__xludf.DUMMYFUNCTION("""COMPUTED_VALUE"""),"ООО ""ЧИСТЫЙ ГОРОД-ОМСК"" 127-РДО от 01.01.2022")</f>
        <v>ООО "ЧИСТЫЙ ГОРОД-ОМСК" 127-РДО от 01.01.2022</v>
      </c>
      <c r="D5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4" t="str">
        <f ca="1">IFERROR(__xludf.DUMMYFUNCTION("""COMPUTED_VALUE"""),"Новый")</f>
        <v>Новый</v>
      </c>
      <c r="G504" s="68"/>
      <c r="K504" s="68"/>
    </row>
    <row r="505" spans="1:11" ht="12.75">
      <c r="A505" s="69">
        <f ca="1">IFERROR(__xludf.DUMMYFUNCTION("""COMPUTED_VALUE"""),90980)</f>
        <v>90980</v>
      </c>
      <c r="B505" s="4">
        <f ca="1">IFERROR(__xludf.DUMMYFUNCTION("""COMPUTED_VALUE"""),44595)</f>
        <v>44595</v>
      </c>
      <c r="C505" t="str">
        <f ca="1">IFERROR(__xludf.DUMMYFUNCTION("""COMPUTED_VALUE"""),"ООО ""ЧИСТЫЙ ГОРОД-ОМСК"" 127-РДО от 01.01.2022")</f>
        <v>ООО "ЧИСТЫЙ ГОРОД-ОМСК" 127-РДО от 01.01.2022</v>
      </c>
      <c r="D5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5" t="str">
        <f ca="1">IFERROR(__xludf.DUMMYFUNCTION("""COMPUTED_VALUE"""),"Новый")</f>
        <v>Новый</v>
      </c>
      <c r="G505" s="68"/>
      <c r="K505" s="68"/>
    </row>
    <row r="506" spans="1:11" ht="12.75">
      <c r="A506" s="69">
        <f ca="1">IFERROR(__xludf.DUMMYFUNCTION("""COMPUTED_VALUE"""),90981)</f>
        <v>90981</v>
      </c>
      <c r="B506" s="4">
        <f ca="1">IFERROR(__xludf.DUMMYFUNCTION("""COMPUTED_VALUE"""),44595)</f>
        <v>44595</v>
      </c>
      <c r="C506" t="str">
        <f ca="1">IFERROR(__xludf.DUMMYFUNCTION("""COMPUTED_VALUE"""),"ООО ""ЧИСТЫЙ ГОРОД-ОМСК"" 127-РДО от 01.01.2022")</f>
        <v>ООО "ЧИСТЫЙ ГОРОД-ОМСК" 127-РДО от 01.01.2022</v>
      </c>
      <c r="D5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6" t="str">
        <f ca="1">IFERROR(__xludf.DUMMYFUNCTION("""COMPUTED_VALUE"""),"Новый")</f>
        <v>Новый</v>
      </c>
      <c r="G506" s="68"/>
      <c r="K506" s="68"/>
    </row>
    <row r="507" spans="1:11" ht="12.75">
      <c r="A507" s="69">
        <f ca="1">IFERROR(__xludf.DUMMYFUNCTION("""COMPUTED_VALUE"""),90982)</f>
        <v>90982</v>
      </c>
      <c r="B507" s="4">
        <f ca="1">IFERROR(__xludf.DUMMYFUNCTION("""COMPUTED_VALUE"""),44595)</f>
        <v>44595</v>
      </c>
      <c r="C507" t="str">
        <f ca="1">IFERROR(__xludf.DUMMYFUNCTION("""COMPUTED_VALUE"""),"ООО ""ЧИСТЫЙ ГОРОД-ОМСК"" 127-РДО от 01.01.2022")</f>
        <v>ООО "ЧИСТЫЙ ГОРОД-ОМСК" 127-РДО от 01.01.2022</v>
      </c>
      <c r="D5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7" t="str">
        <f ca="1">IFERROR(__xludf.DUMMYFUNCTION("""COMPUTED_VALUE"""),"Новый")</f>
        <v>Новый</v>
      </c>
      <c r="G507" s="68"/>
      <c r="K507" s="68"/>
    </row>
    <row r="508" spans="1:11" ht="12.75">
      <c r="A508" s="69">
        <f ca="1">IFERROR(__xludf.DUMMYFUNCTION("""COMPUTED_VALUE"""),90983)</f>
        <v>90983</v>
      </c>
      <c r="B508" s="4">
        <f ca="1">IFERROR(__xludf.DUMMYFUNCTION("""COMPUTED_VALUE"""),44595)</f>
        <v>44595</v>
      </c>
      <c r="C508" t="str">
        <f ca="1">IFERROR(__xludf.DUMMYFUNCTION("""COMPUTED_VALUE"""),"ООО ""ЧИСТЫЙ ГОРОД-ОМСК"" 127-РДО от 01.01.2022")</f>
        <v>ООО "ЧИСТЫЙ ГОРОД-ОМСК" 127-РДО от 01.01.2022</v>
      </c>
      <c r="D5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8" t="str">
        <f ca="1">IFERROR(__xludf.DUMMYFUNCTION("""COMPUTED_VALUE"""),"Новый")</f>
        <v>Новый</v>
      </c>
      <c r="G508" s="68"/>
      <c r="K508" s="68"/>
    </row>
    <row r="509" spans="1:11" ht="12.75">
      <c r="A509" s="69">
        <f ca="1">IFERROR(__xludf.DUMMYFUNCTION("""COMPUTED_VALUE"""),90984)</f>
        <v>90984</v>
      </c>
      <c r="B509" s="4">
        <f ca="1">IFERROR(__xludf.DUMMYFUNCTION("""COMPUTED_VALUE"""),44595)</f>
        <v>44595</v>
      </c>
      <c r="C509" t="str">
        <f ca="1">IFERROR(__xludf.DUMMYFUNCTION("""COMPUTED_VALUE"""),"ООО ""ЧИСТЫЙ ГОРОД-ОМСК"" 127-РДО от 01.01.2022")</f>
        <v>ООО "ЧИСТЫЙ ГОРОД-ОМСК" 127-РДО от 01.01.2022</v>
      </c>
      <c r="D5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09" t="str">
        <f ca="1">IFERROR(__xludf.DUMMYFUNCTION("""COMPUTED_VALUE"""),"Новый")</f>
        <v>Новый</v>
      </c>
      <c r="G509" s="68"/>
      <c r="K509" s="68"/>
    </row>
    <row r="510" spans="1:11" ht="12.75">
      <c r="A510" s="69">
        <f ca="1">IFERROR(__xludf.DUMMYFUNCTION("""COMPUTED_VALUE"""),90985)</f>
        <v>90985</v>
      </c>
      <c r="B510" s="4">
        <f ca="1">IFERROR(__xludf.DUMMYFUNCTION("""COMPUTED_VALUE"""),44595)</f>
        <v>44595</v>
      </c>
      <c r="C510" t="str">
        <f ca="1">IFERROR(__xludf.DUMMYFUNCTION("""COMPUTED_VALUE"""),"ООО ""ЧИСТЫЙ ГОРОД-ОМСК"" 127-РДО от 01.01.2022")</f>
        <v>ООО "ЧИСТЫЙ ГОРОД-ОМСК" 127-РДО от 01.01.2022</v>
      </c>
      <c r="D5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0" t="str">
        <f ca="1">IFERROR(__xludf.DUMMYFUNCTION("""COMPUTED_VALUE"""),"Новый")</f>
        <v>Новый</v>
      </c>
      <c r="G510" s="68"/>
      <c r="K510" s="68"/>
    </row>
    <row r="511" spans="1:11" ht="12.75">
      <c r="A511" s="69">
        <f ca="1">IFERROR(__xludf.DUMMYFUNCTION("""COMPUTED_VALUE"""),90986)</f>
        <v>90986</v>
      </c>
      <c r="B511" s="4">
        <f ca="1">IFERROR(__xludf.DUMMYFUNCTION("""COMPUTED_VALUE"""),44595)</f>
        <v>44595</v>
      </c>
      <c r="C511" t="str">
        <f ca="1">IFERROR(__xludf.DUMMYFUNCTION("""COMPUTED_VALUE"""),"ООО ""ЧИСТЫЙ ГОРОД-ОМСК"" 127-РДО от 01.01.2022")</f>
        <v>ООО "ЧИСТЫЙ ГОРОД-ОМСК" 127-РДО от 01.01.2022</v>
      </c>
      <c r="D5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1" t="str">
        <f ca="1">IFERROR(__xludf.DUMMYFUNCTION("""COMPUTED_VALUE"""),"Новый")</f>
        <v>Новый</v>
      </c>
      <c r="G511" s="68"/>
      <c r="K511" s="68"/>
    </row>
    <row r="512" spans="1:11" ht="12.75">
      <c r="A512" s="69">
        <f ca="1">IFERROR(__xludf.DUMMYFUNCTION("""COMPUTED_VALUE"""),90987)</f>
        <v>90987</v>
      </c>
      <c r="B512" s="4">
        <f ca="1">IFERROR(__xludf.DUMMYFUNCTION("""COMPUTED_VALUE"""),44595)</f>
        <v>44595</v>
      </c>
      <c r="C512" t="str">
        <f ca="1">IFERROR(__xludf.DUMMYFUNCTION("""COMPUTED_VALUE"""),"ООО ""ЧИСТЫЙ ГОРОД-ОМСК"" 127-РДО от 01.01.2022")</f>
        <v>ООО "ЧИСТЫЙ ГОРОД-ОМСК" 127-РДО от 01.01.2022</v>
      </c>
      <c r="D5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2" t="str">
        <f ca="1">IFERROR(__xludf.DUMMYFUNCTION("""COMPUTED_VALUE"""),"Новый")</f>
        <v>Новый</v>
      </c>
      <c r="G512" s="68"/>
      <c r="K512" s="68"/>
    </row>
    <row r="513" spans="1:11" ht="12.75">
      <c r="A513" s="69">
        <f ca="1">IFERROR(__xludf.DUMMYFUNCTION("""COMPUTED_VALUE"""),90988)</f>
        <v>90988</v>
      </c>
      <c r="B513" s="4">
        <f ca="1">IFERROR(__xludf.DUMMYFUNCTION("""COMPUTED_VALUE"""),44595)</f>
        <v>44595</v>
      </c>
      <c r="C513" t="str">
        <f ca="1">IFERROR(__xludf.DUMMYFUNCTION("""COMPUTED_VALUE"""),"ООО ""ЧИСТЫЙ ГОРОД-ОМСК"" 127-РДО от 01.01.2022")</f>
        <v>ООО "ЧИСТЫЙ ГОРОД-ОМСК" 127-РДО от 01.01.2022</v>
      </c>
      <c r="D5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" t="str">
        <f ca="1">IFERROR(__xludf.DUMMYFUNCTION("""COMPUTED_VALUE"""),"Новый")</f>
        <v>Новый</v>
      </c>
      <c r="G513" s="68"/>
      <c r="K513" s="68"/>
    </row>
    <row r="514" spans="1:11" ht="12.75">
      <c r="A514" s="69">
        <f ca="1">IFERROR(__xludf.DUMMYFUNCTION("""COMPUTED_VALUE"""),90989)</f>
        <v>90989</v>
      </c>
      <c r="B514" s="4">
        <f ca="1">IFERROR(__xludf.DUMMYFUNCTION("""COMPUTED_VALUE"""),44595)</f>
        <v>44595</v>
      </c>
      <c r="C514" t="str">
        <f ca="1">IFERROR(__xludf.DUMMYFUNCTION("""COMPUTED_VALUE"""),"ООО ""ЧИСТЫЙ ГОРОД-ОМСК"" 127-РДО от 01.01.2022")</f>
        <v>ООО "ЧИСТЫЙ ГОРОД-ОМСК" 127-РДО от 01.01.2022</v>
      </c>
      <c r="D5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" t="str">
        <f ca="1">IFERROR(__xludf.DUMMYFUNCTION("""COMPUTED_VALUE"""),"Новый")</f>
        <v>Новый</v>
      </c>
      <c r="G514" s="68"/>
      <c r="K514" s="68"/>
    </row>
    <row r="515" spans="1:11" ht="12.75">
      <c r="A515" s="69">
        <f ca="1">IFERROR(__xludf.DUMMYFUNCTION("""COMPUTED_VALUE"""),90990)</f>
        <v>90990</v>
      </c>
      <c r="B515" s="4">
        <f ca="1">IFERROR(__xludf.DUMMYFUNCTION("""COMPUTED_VALUE"""),44595)</f>
        <v>44595</v>
      </c>
      <c r="C515" t="str">
        <f ca="1">IFERROR(__xludf.DUMMYFUNCTION("""COMPUTED_VALUE"""),"ООО ""ЧИСТЫЙ ГОРОД-ОМСК"" 127-РДО от 01.01.2022")</f>
        <v>ООО "ЧИСТЫЙ ГОРОД-ОМСК" 127-РДО от 01.01.2022</v>
      </c>
      <c r="D5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" t="str">
        <f ca="1">IFERROR(__xludf.DUMMYFUNCTION("""COMPUTED_VALUE"""),"Новый")</f>
        <v>Новый</v>
      </c>
      <c r="G515" s="68"/>
      <c r="K515" s="68"/>
    </row>
    <row r="516" spans="1:11" ht="12.75">
      <c r="A516" s="69">
        <f ca="1">IFERROR(__xludf.DUMMYFUNCTION("""COMPUTED_VALUE"""),90991)</f>
        <v>90991</v>
      </c>
      <c r="B516" s="4">
        <f ca="1">IFERROR(__xludf.DUMMYFUNCTION("""COMPUTED_VALUE"""),44595)</f>
        <v>44595</v>
      </c>
      <c r="C516" t="str">
        <f ca="1">IFERROR(__xludf.DUMMYFUNCTION("""COMPUTED_VALUE"""),"ООО ""ЧИСТЫЙ ГОРОД-ОМСК"" 127-РДО от 01.01.2022")</f>
        <v>ООО "ЧИСТЫЙ ГОРОД-ОМСК" 127-РДО от 01.01.2022</v>
      </c>
      <c r="D5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" t="str">
        <f ca="1">IFERROR(__xludf.DUMMYFUNCTION("""COMPUTED_VALUE"""),"Новый")</f>
        <v>Новый</v>
      </c>
      <c r="G516" s="68"/>
      <c r="K516" s="68"/>
    </row>
    <row r="517" spans="1:11" ht="12.75">
      <c r="A517" s="69">
        <f ca="1">IFERROR(__xludf.DUMMYFUNCTION("""COMPUTED_VALUE"""),90992)</f>
        <v>90992</v>
      </c>
      <c r="B517" s="4">
        <f ca="1">IFERROR(__xludf.DUMMYFUNCTION("""COMPUTED_VALUE"""),44595)</f>
        <v>44595</v>
      </c>
      <c r="C517" t="str">
        <f ca="1">IFERROR(__xludf.DUMMYFUNCTION("""COMPUTED_VALUE"""),"ООО ""ЧИСТЫЙ ГОРОД-ОМСК"" 127-РДО от 01.01.2022")</f>
        <v>ООО "ЧИСТЫЙ ГОРОД-ОМСК" 127-РДО от 01.01.2022</v>
      </c>
      <c r="D5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" t="str">
        <f ca="1">IFERROR(__xludf.DUMMYFUNCTION("""COMPUTED_VALUE"""),"Новый")</f>
        <v>Новый</v>
      </c>
      <c r="G517" s="68"/>
      <c r="K517" s="68"/>
    </row>
    <row r="518" spans="1:11" ht="12.75">
      <c r="A518" s="69">
        <f ca="1">IFERROR(__xludf.DUMMYFUNCTION("""COMPUTED_VALUE"""),90993)</f>
        <v>90993</v>
      </c>
      <c r="B518" s="4">
        <f ca="1">IFERROR(__xludf.DUMMYFUNCTION("""COMPUTED_VALUE"""),44595)</f>
        <v>44595</v>
      </c>
      <c r="C518" t="str">
        <f ca="1">IFERROR(__xludf.DUMMYFUNCTION("""COMPUTED_VALUE"""),"ООО ""ЧИСТЫЙ ГОРОД-ОМСК"" 127-РДО от 01.01.2022")</f>
        <v>ООО "ЧИСТЫЙ ГОРОД-ОМСК" 127-РДО от 01.01.2022</v>
      </c>
      <c r="D5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" t="str">
        <f ca="1">IFERROR(__xludf.DUMMYFUNCTION("""COMPUTED_VALUE"""),"Новый")</f>
        <v>Новый</v>
      </c>
      <c r="G518" s="68"/>
      <c r="K518" s="68"/>
    </row>
    <row r="519" spans="1:11" ht="12.75">
      <c r="A519" s="69">
        <f ca="1">IFERROR(__xludf.DUMMYFUNCTION("""COMPUTED_VALUE"""),90994)</f>
        <v>90994</v>
      </c>
      <c r="B519" s="4">
        <f ca="1">IFERROR(__xludf.DUMMYFUNCTION("""COMPUTED_VALUE"""),44595)</f>
        <v>44595</v>
      </c>
      <c r="C519" t="str">
        <f ca="1">IFERROR(__xludf.DUMMYFUNCTION("""COMPUTED_VALUE"""),"ООО ""ЧИСТЫЙ ГОРОД-ОМСК"" 127-РДО от 01.01.2022")</f>
        <v>ООО "ЧИСТЫЙ ГОРОД-ОМСК" 127-РДО от 01.01.2022</v>
      </c>
      <c r="D5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" t="str">
        <f ca="1">IFERROR(__xludf.DUMMYFUNCTION("""COMPUTED_VALUE"""),"Новый")</f>
        <v>Новый</v>
      </c>
      <c r="G519" s="68"/>
      <c r="K519" s="68"/>
    </row>
    <row r="520" spans="1:11" ht="12.75">
      <c r="A520" s="69">
        <f ca="1">IFERROR(__xludf.DUMMYFUNCTION("""COMPUTED_VALUE"""),90995)</f>
        <v>90995</v>
      </c>
      <c r="B520" s="4">
        <f ca="1">IFERROR(__xludf.DUMMYFUNCTION("""COMPUTED_VALUE"""),44595)</f>
        <v>44595</v>
      </c>
      <c r="C520" t="str">
        <f ca="1">IFERROR(__xludf.DUMMYFUNCTION("""COMPUTED_VALUE"""),"ООО ""ЧИСТЫЙ ГОРОД-ОМСК"" 127-РДО от 01.01.2022")</f>
        <v>ООО "ЧИСТЫЙ ГОРОД-ОМСК" 127-РДО от 01.01.2022</v>
      </c>
      <c r="D5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" t="str">
        <f ca="1">IFERROR(__xludf.DUMMYFUNCTION("""COMPUTED_VALUE"""),"Новый")</f>
        <v>Новый</v>
      </c>
      <c r="G520" s="68"/>
      <c r="K520" s="68"/>
    </row>
    <row r="521" spans="1:11" ht="12.75">
      <c r="A521" s="69">
        <f ca="1">IFERROR(__xludf.DUMMYFUNCTION("""COMPUTED_VALUE"""),90996)</f>
        <v>90996</v>
      </c>
      <c r="B521" s="4">
        <f ca="1">IFERROR(__xludf.DUMMYFUNCTION("""COMPUTED_VALUE"""),44595)</f>
        <v>44595</v>
      </c>
      <c r="C521" t="str">
        <f ca="1">IFERROR(__xludf.DUMMYFUNCTION("""COMPUTED_VALUE"""),"ООО ""ЧИСТЫЙ ГОРОД-ОМСК"" 127-РДО от 01.01.2022")</f>
        <v>ООО "ЧИСТЫЙ ГОРОД-ОМСК" 127-РДО от 01.01.2022</v>
      </c>
      <c r="D5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" t="str">
        <f ca="1">IFERROR(__xludf.DUMMYFUNCTION("""COMPUTED_VALUE"""),"Новый")</f>
        <v>Новый</v>
      </c>
      <c r="G521" s="68"/>
      <c r="K521" s="68"/>
    </row>
    <row r="522" spans="1:11" ht="12.75">
      <c r="A522" s="69">
        <f ca="1">IFERROR(__xludf.DUMMYFUNCTION("""COMPUTED_VALUE"""),90997)</f>
        <v>90997</v>
      </c>
      <c r="B522" s="4">
        <f ca="1">IFERROR(__xludf.DUMMYFUNCTION("""COMPUTED_VALUE"""),44595)</f>
        <v>44595</v>
      </c>
      <c r="C522" t="str">
        <f ca="1">IFERROR(__xludf.DUMMYFUNCTION("""COMPUTED_VALUE"""),"ООО ""ЧИСТЫЙ ГОРОД-ОМСК"" 127-РДО от 01.01.2022")</f>
        <v>ООО "ЧИСТЫЙ ГОРОД-ОМСК" 127-РДО от 01.01.2022</v>
      </c>
      <c r="D5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" t="str">
        <f ca="1">IFERROR(__xludf.DUMMYFUNCTION("""COMPUTED_VALUE"""),"Новый")</f>
        <v>Новый</v>
      </c>
      <c r="G522" s="68"/>
      <c r="K522" s="68"/>
    </row>
    <row r="523" spans="1:11" ht="12.75">
      <c r="A523" s="69">
        <f ca="1">IFERROR(__xludf.DUMMYFUNCTION("""COMPUTED_VALUE"""),90998)</f>
        <v>90998</v>
      </c>
      <c r="B523" s="4">
        <f ca="1">IFERROR(__xludf.DUMMYFUNCTION("""COMPUTED_VALUE"""),44595)</f>
        <v>44595</v>
      </c>
      <c r="C523" t="str">
        <f ca="1">IFERROR(__xludf.DUMMYFUNCTION("""COMPUTED_VALUE"""),"ООО ""ЧИСТЫЙ ГОРОД-ОМСК"" 127-РДО от 01.01.2022")</f>
        <v>ООО "ЧИСТЫЙ ГОРОД-ОМСК" 127-РДО от 01.01.2022</v>
      </c>
      <c r="D5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" t="str">
        <f ca="1">IFERROR(__xludf.DUMMYFUNCTION("""COMPUTED_VALUE"""),"Новый")</f>
        <v>Новый</v>
      </c>
      <c r="G523" s="68"/>
      <c r="K523" s="68"/>
    </row>
    <row r="524" spans="1:11" ht="12.75">
      <c r="A524" s="69">
        <f ca="1">IFERROR(__xludf.DUMMYFUNCTION("""COMPUTED_VALUE"""),90999)</f>
        <v>90999</v>
      </c>
      <c r="B524" s="4">
        <f ca="1">IFERROR(__xludf.DUMMYFUNCTION("""COMPUTED_VALUE"""),44595)</f>
        <v>44595</v>
      </c>
      <c r="C524" t="str">
        <f ca="1">IFERROR(__xludf.DUMMYFUNCTION("""COMPUTED_VALUE"""),"ООО ""ЧИСТЫЙ ГОРОД-ОМСК"" 127-РДО от 01.01.2022")</f>
        <v>ООО "ЧИСТЫЙ ГОРОД-ОМСК" 127-РДО от 01.01.2022</v>
      </c>
      <c r="D5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" t="str">
        <f ca="1">IFERROR(__xludf.DUMMYFUNCTION("""COMPUTED_VALUE"""),"Новый")</f>
        <v>Новый</v>
      </c>
      <c r="G524" s="68"/>
      <c r="K524" s="68"/>
    </row>
    <row r="525" spans="1:11" ht="12.75">
      <c r="A525" s="69">
        <f ca="1">IFERROR(__xludf.DUMMYFUNCTION("""COMPUTED_VALUE"""),91000)</f>
        <v>91000</v>
      </c>
      <c r="B525" s="4">
        <f ca="1">IFERROR(__xludf.DUMMYFUNCTION("""COMPUTED_VALUE"""),44595)</f>
        <v>44595</v>
      </c>
      <c r="C525" t="str">
        <f ca="1">IFERROR(__xludf.DUMMYFUNCTION("""COMPUTED_VALUE"""),"ООО ""ЧИСТЫЙ ГОРОД-ОМСК"" 127-РДО от 01.01.2022")</f>
        <v>ООО "ЧИСТЫЙ ГОРОД-ОМСК" 127-РДО от 01.01.2022</v>
      </c>
      <c r="D5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5" t="str">
        <f ca="1">IFERROR(__xludf.DUMMYFUNCTION("""COMPUTED_VALUE"""),"Новый")</f>
        <v>Новый</v>
      </c>
      <c r="G525" s="68"/>
      <c r="K525" s="68"/>
    </row>
    <row r="526" spans="1:11" ht="12.75">
      <c r="A526" s="69">
        <f ca="1">IFERROR(__xludf.DUMMYFUNCTION("""COMPUTED_VALUE"""),91001)</f>
        <v>91001</v>
      </c>
      <c r="B526" s="4">
        <f ca="1">IFERROR(__xludf.DUMMYFUNCTION("""COMPUTED_VALUE"""),44595)</f>
        <v>44595</v>
      </c>
      <c r="C526" t="str">
        <f ca="1">IFERROR(__xludf.DUMMYFUNCTION("""COMPUTED_VALUE"""),"ООО ""ЧИСТЫЙ ГОРОД-ОМСК"" 127-РДО от 01.01.2022")</f>
        <v>ООО "ЧИСТЫЙ ГОРОД-ОМСК" 127-РДО от 01.01.2022</v>
      </c>
      <c r="D5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" t="str">
        <f ca="1">IFERROR(__xludf.DUMMYFUNCTION("""COMPUTED_VALUE"""),"Новый")</f>
        <v>Новый</v>
      </c>
      <c r="G526" s="68"/>
      <c r="K526" s="68"/>
    </row>
    <row r="527" spans="1:11" ht="12.75">
      <c r="A527" s="69">
        <f ca="1">IFERROR(__xludf.DUMMYFUNCTION("""COMPUTED_VALUE"""),91002)</f>
        <v>91002</v>
      </c>
      <c r="B527" s="4">
        <f ca="1">IFERROR(__xludf.DUMMYFUNCTION("""COMPUTED_VALUE"""),44595)</f>
        <v>44595</v>
      </c>
      <c r="C527" t="str">
        <f ca="1">IFERROR(__xludf.DUMMYFUNCTION("""COMPUTED_VALUE"""),"ООО ""ЧИСТЫЙ ГОРОД-ОМСК"" 127-РДО от 01.01.2022")</f>
        <v>ООО "ЧИСТЫЙ ГОРОД-ОМСК" 127-РДО от 01.01.2022</v>
      </c>
      <c r="D5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" t="str">
        <f ca="1">IFERROR(__xludf.DUMMYFUNCTION("""COMPUTED_VALUE"""),"Новый")</f>
        <v>Новый</v>
      </c>
      <c r="G527" s="68"/>
      <c r="K527" s="68"/>
    </row>
    <row r="528" spans="1:11" ht="12.75">
      <c r="A528" s="69">
        <f ca="1">IFERROR(__xludf.DUMMYFUNCTION("""COMPUTED_VALUE"""),91003)</f>
        <v>91003</v>
      </c>
      <c r="B528" s="4">
        <f ca="1">IFERROR(__xludf.DUMMYFUNCTION("""COMPUTED_VALUE"""),44595)</f>
        <v>44595</v>
      </c>
      <c r="C528" t="str">
        <f ca="1">IFERROR(__xludf.DUMMYFUNCTION("""COMPUTED_VALUE"""),"ООО ""ЧИСТЫЙ ГОРОД-ОМСК"" 127-РДО от 01.01.2022")</f>
        <v>ООО "ЧИСТЫЙ ГОРОД-ОМСК" 127-РДО от 01.01.2022</v>
      </c>
      <c r="D5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" t="str">
        <f ca="1">IFERROR(__xludf.DUMMYFUNCTION("""COMPUTED_VALUE"""),"Новый")</f>
        <v>Новый</v>
      </c>
      <c r="G528" s="68"/>
      <c r="K528" s="68"/>
    </row>
    <row r="529" spans="1:11" ht="12.75">
      <c r="A529" s="69">
        <f ca="1">IFERROR(__xludf.DUMMYFUNCTION("""COMPUTED_VALUE"""),91004)</f>
        <v>91004</v>
      </c>
      <c r="B529" s="4">
        <f ca="1">IFERROR(__xludf.DUMMYFUNCTION("""COMPUTED_VALUE"""),44595)</f>
        <v>44595</v>
      </c>
      <c r="C529" t="str">
        <f ca="1">IFERROR(__xludf.DUMMYFUNCTION("""COMPUTED_VALUE"""),"ООО ""ЧИСТЫЙ ГОРОД-ОМСК"" 127-РДО от 01.01.2022")</f>
        <v>ООО "ЧИСТЫЙ ГОРОД-ОМСК" 127-РДО от 01.01.2022</v>
      </c>
      <c r="D5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" t="str">
        <f ca="1">IFERROR(__xludf.DUMMYFUNCTION("""COMPUTED_VALUE"""),"Новый")</f>
        <v>Новый</v>
      </c>
      <c r="G529" s="68"/>
      <c r="K529" s="68"/>
    </row>
    <row r="530" spans="1:11" ht="12.75">
      <c r="A530" s="69">
        <f ca="1">IFERROR(__xludf.DUMMYFUNCTION("""COMPUTED_VALUE"""),91005)</f>
        <v>91005</v>
      </c>
      <c r="B530" s="4">
        <f ca="1">IFERROR(__xludf.DUMMYFUNCTION("""COMPUTED_VALUE"""),44595)</f>
        <v>44595</v>
      </c>
      <c r="C530" t="str">
        <f ca="1">IFERROR(__xludf.DUMMYFUNCTION("""COMPUTED_VALUE"""),"ООО ""ЧИСТЫЙ ГОРОД-ОМСК"" 127-РДО от 01.01.2022")</f>
        <v>ООО "ЧИСТЫЙ ГОРОД-ОМСК" 127-РДО от 01.01.2022</v>
      </c>
      <c r="D5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0" t="str">
        <f ca="1">IFERROR(__xludf.DUMMYFUNCTION("""COMPUTED_VALUE"""),"Новый")</f>
        <v>Новый</v>
      </c>
      <c r="G530" s="68"/>
      <c r="K530" s="68"/>
    </row>
    <row r="531" spans="1:11" ht="12.75">
      <c r="A531" s="69">
        <f ca="1">IFERROR(__xludf.DUMMYFUNCTION("""COMPUTED_VALUE"""),91006)</f>
        <v>91006</v>
      </c>
      <c r="B531" s="4">
        <f ca="1">IFERROR(__xludf.DUMMYFUNCTION("""COMPUTED_VALUE"""),44595)</f>
        <v>44595</v>
      </c>
      <c r="C531" t="str">
        <f ca="1">IFERROR(__xludf.DUMMYFUNCTION("""COMPUTED_VALUE"""),"ООО ""ЧИСТЫЙ ГОРОД-ОМСК"" 127-РДО от 01.01.2022")</f>
        <v>ООО "ЧИСТЫЙ ГОРОД-ОМСК" 127-РДО от 01.01.2022</v>
      </c>
      <c r="D5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1" t="str">
        <f ca="1">IFERROR(__xludf.DUMMYFUNCTION("""COMPUTED_VALUE"""),"Новый")</f>
        <v>Новый</v>
      </c>
      <c r="G531" s="68"/>
      <c r="K531" s="68"/>
    </row>
    <row r="532" spans="1:11" ht="12.75">
      <c r="A532" s="69">
        <f ca="1">IFERROR(__xludf.DUMMYFUNCTION("""COMPUTED_VALUE"""),91007)</f>
        <v>91007</v>
      </c>
      <c r="B532" s="4">
        <f ca="1">IFERROR(__xludf.DUMMYFUNCTION("""COMPUTED_VALUE"""),44595)</f>
        <v>44595</v>
      </c>
      <c r="C532" t="str">
        <f ca="1">IFERROR(__xludf.DUMMYFUNCTION("""COMPUTED_VALUE"""),"ООО ""ЧИСТЫЙ ГОРОД-ОМСК"" 127-РДО от 01.01.2022")</f>
        <v>ООО "ЧИСТЫЙ ГОРОД-ОМСК" 127-РДО от 01.01.2022</v>
      </c>
      <c r="D5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2" t="str">
        <f ca="1">IFERROR(__xludf.DUMMYFUNCTION("""COMPUTED_VALUE"""),"Новый")</f>
        <v>Новый</v>
      </c>
      <c r="G532" s="68"/>
      <c r="K532" s="68"/>
    </row>
    <row r="533" spans="1:11" ht="12.75">
      <c r="A533" s="69">
        <f ca="1">IFERROR(__xludf.DUMMYFUNCTION("""COMPUTED_VALUE"""),91008)</f>
        <v>91008</v>
      </c>
      <c r="B533" s="4">
        <f ca="1">IFERROR(__xludf.DUMMYFUNCTION("""COMPUTED_VALUE"""),44595)</f>
        <v>44595</v>
      </c>
      <c r="C533" t="str">
        <f ca="1">IFERROR(__xludf.DUMMYFUNCTION("""COMPUTED_VALUE"""),"ООО ""ЧИСТЫЙ ГОРОД-ОМСК"" 127-РДО от 01.01.2022")</f>
        <v>ООО "ЧИСТЫЙ ГОРОД-ОМСК" 127-РДО от 01.01.2022</v>
      </c>
      <c r="D5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3" t="str">
        <f ca="1">IFERROR(__xludf.DUMMYFUNCTION("""COMPUTED_VALUE"""),"Новый")</f>
        <v>Новый</v>
      </c>
      <c r="G533" s="68"/>
      <c r="K533" s="68"/>
    </row>
    <row r="534" spans="1:11" ht="12.75">
      <c r="A534" s="69">
        <f ca="1">IFERROR(__xludf.DUMMYFUNCTION("""COMPUTED_VALUE"""),91009)</f>
        <v>91009</v>
      </c>
      <c r="B534" s="4">
        <f ca="1">IFERROR(__xludf.DUMMYFUNCTION("""COMPUTED_VALUE"""),44595)</f>
        <v>44595</v>
      </c>
      <c r="C534" t="str">
        <f ca="1">IFERROR(__xludf.DUMMYFUNCTION("""COMPUTED_VALUE"""),"ООО ""ЧИСТЫЙ ГОРОД-ОМСК"" 127-РДО от 01.01.2022")</f>
        <v>ООО "ЧИСТЫЙ ГОРОД-ОМСК" 127-РДО от 01.01.2022</v>
      </c>
      <c r="D5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4" t="str">
        <f ca="1">IFERROR(__xludf.DUMMYFUNCTION("""COMPUTED_VALUE"""),"Новый")</f>
        <v>Новый</v>
      </c>
      <c r="G534" s="68"/>
      <c r="K534" s="68"/>
    </row>
    <row r="535" spans="1:11" ht="12.75">
      <c r="A535" s="69">
        <f ca="1">IFERROR(__xludf.DUMMYFUNCTION("""COMPUTED_VALUE"""),91010)</f>
        <v>91010</v>
      </c>
      <c r="B535" s="4">
        <f ca="1">IFERROR(__xludf.DUMMYFUNCTION("""COMPUTED_VALUE"""),44595)</f>
        <v>44595</v>
      </c>
      <c r="C535" t="str">
        <f ca="1">IFERROR(__xludf.DUMMYFUNCTION("""COMPUTED_VALUE"""),"ООО ""ЧИСТЫЙ ГОРОД-ОМСК"" 127-РДО от 01.01.2022")</f>
        <v>ООО "ЧИСТЫЙ ГОРОД-ОМСК" 127-РДО от 01.01.2022</v>
      </c>
      <c r="D5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5" t="str">
        <f ca="1">IFERROR(__xludf.DUMMYFUNCTION("""COMPUTED_VALUE"""),"Новый")</f>
        <v>Новый</v>
      </c>
      <c r="G535" s="68"/>
      <c r="K535" s="68"/>
    </row>
    <row r="536" spans="1:11" ht="12.75">
      <c r="A536" s="69">
        <f ca="1">IFERROR(__xludf.DUMMYFUNCTION("""COMPUTED_VALUE"""),91011)</f>
        <v>91011</v>
      </c>
      <c r="B536" s="4">
        <f ca="1">IFERROR(__xludf.DUMMYFUNCTION("""COMPUTED_VALUE"""),44595)</f>
        <v>44595</v>
      </c>
      <c r="C536" t="str">
        <f ca="1">IFERROR(__xludf.DUMMYFUNCTION("""COMPUTED_VALUE"""),"ООО ""ЧИСТЫЙ ГОРОД-ОМСК"" 127-РДО от 01.01.2022")</f>
        <v>ООО "ЧИСТЫЙ ГОРОД-ОМСК" 127-РДО от 01.01.2022</v>
      </c>
      <c r="D5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6" t="str">
        <f ca="1">IFERROR(__xludf.DUMMYFUNCTION("""COMPUTED_VALUE"""),"Новый")</f>
        <v>Новый</v>
      </c>
      <c r="G536" s="68"/>
      <c r="K536" s="68"/>
    </row>
    <row r="537" spans="1:11" ht="12.75">
      <c r="A537" s="69">
        <f ca="1">IFERROR(__xludf.DUMMYFUNCTION("""COMPUTED_VALUE"""),91012)</f>
        <v>91012</v>
      </c>
      <c r="B537" s="4">
        <f ca="1">IFERROR(__xludf.DUMMYFUNCTION("""COMPUTED_VALUE"""),44595)</f>
        <v>44595</v>
      </c>
      <c r="C537" t="str">
        <f ca="1">IFERROR(__xludf.DUMMYFUNCTION("""COMPUTED_VALUE"""),"ООО ""ЧИСТЫЙ ГОРОД-ОМСК"" 127-РДО от 01.01.2022")</f>
        <v>ООО "ЧИСТЫЙ ГОРОД-ОМСК" 127-РДО от 01.01.2022</v>
      </c>
      <c r="D5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7" t="str">
        <f ca="1">IFERROR(__xludf.DUMMYFUNCTION("""COMPUTED_VALUE"""),"Новый")</f>
        <v>Новый</v>
      </c>
      <c r="G537" s="68"/>
      <c r="K537" s="68"/>
    </row>
    <row r="538" spans="1:11" ht="12.75">
      <c r="A538" s="69">
        <f ca="1">IFERROR(__xludf.DUMMYFUNCTION("""COMPUTED_VALUE"""),91013)</f>
        <v>91013</v>
      </c>
      <c r="B538" s="4">
        <f ca="1">IFERROR(__xludf.DUMMYFUNCTION("""COMPUTED_VALUE"""),44595)</f>
        <v>44595</v>
      </c>
      <c r="C538" t="str">
        <f ca="1">IFERROR(__xludf.DUMMYFUNCTION("""COMPUTED_VALUE"""),"ООО ""ЧИСТЫЙ ГОРОД-ОМСК"" 127-РДО от 01.01.2022")</f>
        <v>ООО "ЧИСТЫЙ ГОРОД-ОМСК" 127-РДО от 01.01.2022</v>
      </c>
      <c r="D5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8" t="str">
        <f ca="1">IFERROR(__xludf.DUMMYFUNCTION("""COMPUTED_VALUE"""),"Новый")</f>
        <v>Новый</v>
      </c>
      <c r="G538" s="68"/>
      <c r="K538" s="68"/>
    </row>
    <row r="539" spans="1:11" ht="12.75">
      <c r="A539" s="69">
        <f ca="1">IFERROR(__xludf.DUMMYFUNCTION("""COMPUTED_VALUE"""),91014)</f>
        <v>91014</v>
      </c>
      <c r="B539" s="4">
        <f ca="1">IFERROR(__xludf.DUMMYFUNCTION("""COMPUTED_VALUE"""),44595)</f>
        <v>44595</v>
      </c>
      <c r="C539" t="str">
        <f ca="1">IFERROR(__xludf.DUMMYFUNCTION("""COMPUTED_VALUE"""),"ООО ""ЧИСТЫЙ ГОРОД-ОМСК"" 127-РДО от 01.01.2022")</f>
        <v>ООО "ЧИСТЫЙ ГОРОД-ОМСК" 127-РДО от 01.01.2022</v>
      </c>
      <c r="D5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39" t="str">
        <f ca="1">IFERROR(__xludf.DUMMYFUNCTION("""COMPUTED_VALUE"""),"Новый")</f>
        <v>Новый</v>
      </c>
      <c r="G539" s="68"/>
      <c r="K539" s="68"/>
    </row>
    <row r="540" spans="1:11" ht="12.75">
      <c r="A540" s="69">
        <f ca="1">IFERROR(__xludf.DUMMYFUNCTION("""COMPUTED_VALUE"""),91015)</f>
        <v>91015</v>
      </c>
      <c r="B540" s="4">
        <f ca="1">IFERROR(__xludf.DUMMYFUNCTION("""COMPUTED_VALUE"""),44595)</f>
        <v>44595</v>
      </c>
      <c r="C540" t="str">
        <f ca="1">IFERROR(__xludf.DUMMYFUNCTION("""COMPUTED_VALUE"""),"ООО ""ЧИСТЫЙ ГОРОД-ОМСК"" 127-РДО от 01.01.2022")</f>
        <v>ООО "ЧИСТЫЙ ГОРОД-ОМСК" 127-РДО от 01.01.2022</v>
      </c>
      <c r="D5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0" t="str">
        <f ca="1">IFERROR(__xludf.DUMMYFUNCTION("""COMPUTED_VALUE"""),"Новый")</f>
        <v>Новый</v>
      </c>
      <c r="G540" s="68"/>
      <c r="K540" s="68"/>
    </row>
    <row r="541" spans="1:11" ht="12.75">
      <c r="A541" s="69">
        <f ca="1">IFERROR(__xludf.DUMMYFUNCTION("""COMPUTED_VALUE"""),91016)</f>
        <v>91016</v>
      </c>
      <c r="B541" s="4">
        <f ca="1">IFERROR(__xludf.DUMMYFUNCTION("""COMPUTED_VALUE"""),44595)</f>
        <v>44595</v>
      </c>
      <c r="C541" t="str">
        <f ca="1">IFERROR(__xludf.DUMMYFUNCTION("""COMPUTED_VALUE"""),"ООО ""ЧИСТЫЙ ГОРОД-ОМСК"" 127-РДО от 01.01.2022")</f>
        <v>ООО "ЧИСТЫЙ ГОРОД-ОМСК" 127-РДО от 01.01.2022</v>
      </c>
      <c r="D5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1" t="str">
        <f ca="1">IFERROR(__xludf.DUMMYFUNCTION("""COMPUTED_VALUE"""),"Новый")</f>
        <v>Новый</v>
      </c>
      <c r="G541" s="68"/>
      <c r="K541" s="68"/>
    </row>
    <row r="542" spans="1:11" ht="12.75">
      <c r="A542" s="69">
        <f ca="1">IFERROR(__xludf.DUMMYFUNCTION("""COMPUTED_VALUE"""),91017)</f>
        <v>91017</v>
      </c>
      <c r="B542" s="4">
        <f ca="1">IFERROR(__xludf.DUMMYFUNCTION("""COMPUTED_VALUE"""),44595)</f>
        <v>44595</v>
      </c>
      <c r="C542" t="str">
        <f ca="1">IFERROR(__xludf.DUMMYFUNCTION("""COMPUTED_VALUE"""),"ООО ""ЧИСТЫЙ ГОРОД-ОМСК"" 127-РДО от 01.01.2022")</f>
        <v>ООО "ЧИСТЫЙ ГОРОД-ОМСК" 127-РДО от 01.01.2022</v>
      </c>
      <c r="D5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2" t="str">
        <f ca="1">IFERROR(__xludf.DUMMYFUNCTION("""COMPUTED_VALUE"""),"Новый")</f>
        <v>Новый</v>
      </c>
      <c r="G542" s="68"/>
      <c r="K542" s="68"/>
    </row>
    <row r="543" spans="1:11" ht="12.75">
      <c r="A543" s="69">
        <f ca="1">IFERROR(__xludf.DUMMYFUNCTION("""COMPUTED_VALUE"""),91018)</f>
        <v>91018</v>
      </c>
      <c r="B543" s="4">
        <f ca="1">IFERROR(__xludf.DUMMYFUNCTION("""COMPUTED_VALUE"""),44595)</f>
        <v>44595</v>
      </c>
      <c r="C543" t="str">
        <f ca="1">IFERROR(__xludf.DUMMYFUNCTION("""COMPUTED_VALUE"""),"ООО ""ЧИСТЫЙ ГОРОД-ОМСК"" 127-РДО от 01.01.2022")</f>
        <v>ООО "ЧИСТЫЙ ГОРОД-ОМСК" 127-РДО от 01.01.2022</v>
      </c>
      <c r="D5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" t="str">
        <f ca="1">IFERROR(__xludf.DUMMYFUNCTION("""COMPUTED_VALUE"""),"Новый")</f>
        <v>Новый</v>
      </c>
      <c r="G543" s="68"/>
      <c r="K543" s="68"/>
    </row>
    <row r="544" spans="1:11" ht="12.75">
      <c r="A544" s="69">
        <f ca="1">IFERROR(__xludf.DUMMYFUNCTION("""COMPUTED_VALUE"""),91019)</f>
        <v>91019</v>
      </c>
      <c r="B544" s="4">
        <f ca="1">IFERROR(__xludf.DUMMYFUNCTION("""COMPUTED_VALUE"""),44595)</f>
        <v>44595</v>
      </c>
      <c r="C544" t="str">
        <f ca="1">IFERROR(__xludf.DUMMYFUNCTION("""COMPUTED_VALUE"""),"ООО ""ЧИСТЫЙ ГОРОД-ОМСК"" 127-РДО от 01.01.2022")</f>
        <v>ООО "ЧИСТЫЙ ГОРОД-ОМСК" 127-РДО от 01.01.2022</v>
      </c>
      <c r="D5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" t="str">
        <f ca="1">IFERROR(__xludf.DUMMYFUNCTION("""COMPUTED_VALUE"""),"Новый")</f>
        <v>Новый</v>
      </c>
      <c r="G544" s="68"/>
      <c r="K544" s="68"/>
    </row>
    <row r="545" spans="1:11" ht="12.75">
      <c r="A545" s="69">
        <f ca="1">IFERROR(__xludf.DUMMYFUNCTION("""COMPUTED_VALUE"""),91020)</f>
        <v>91020</v>
      </c>
      <c r="B545" s="4">
        <f ca="1">IFERROR(__xludf.DUMMYFUNCTION("""COMPUTED_VALUE"""),44595)</f>
        <v>44595</v>
      </c>
      <c r="C545" t="str">
        <f ca="1">IFERROR(__xludf.DUMMYFUNCTION("""COMPUTED_VALUE"""),"ООО ""ЧИСТЫЙ ГОРОД-ОМСК"" 127-РДО от 01.01.2022")</f>
        <v>ООО "ЧИСТЫЙ ГОРОД-ОМСК" 127-РДО от 01.01.2022</v>
      </c>
      <c r="D5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" t="str">
        <f ca="1">IFERROR(__xludf.DUMMYFUNCTION("""COMPUTED_VALUE"""),"Новый")</f>
        <v>Новый</v>
      </c>
      <c r="G545" s="68"/>
      <c r="K545" s="68"/>
    </row>
    <row r="546" spans="1:11" ht="12.75">
      <c r="A546" s="69">
        <f ca="1">IFERROR(__xludf.DUMMYFUNCTION("""COMPUTED_VALUE"""),91021)</f>
        <v>91021</v>
      </c>
      <c r="B546" s="4">
        <f ca="1">IFERROR(__xludf.DUMMYFUNCTION("""COMPUTED_VALUE"""),44595)</f>
        <v>44595</v>
      </c>
      <c r="C546" t="str">
        <f ca="1">IFERROR(__xludf.DUMMYFUNCTION("""COMPUTED_VALUE"""),"ООО ""ЧИСТЫЙ ГОРОД-ОМСК"" 127-РДО от 01.01.2022")</f>
        <v>ООО "ЧИСТЫЙ ГОРОД-ОМСК" 127-РДО от 01.01.2022</v>
      </c>
      <c r="D5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" t="str">
        <f ca="1">IFERROR(__xludf.DUMMYFUNCTION("""COMPUTED_VALUE"""),"Новый")</f>
        <v>Новый</v>
      </c>
      <c r="G546" s="68"/>
      <c r="K546" s="68"/>
    </row>
    <row r="547" spans="1:11" ht="12.75">
      <c r="A547" s="69">
        <f ca="1">IFERROR(__xludf.DUMMYFUNCTION("""COMPUTED_VALUE"""),91022)</f>
        <v>91022</v>
      </c>
      <c r="B547" s="4">
        <f ca="1">IFERROR(__xludf.DUMMYFUNCTION("""COMPUTED_VALUE"""),44595)</f>
        <v>44595</v>
      </c>
      <c r="C547" t="str">
        <f ca="1">IFERROR(__xludf.DUMMYFUNCTION("""COMPUTED_VALUE"""),"ООО ""ЧИСТЫЙ ГОРОД-ОМСК"" 127-РДО от 01.01.2022")</f>
        <v>ООО "ЧИСТЫЙ ГОРОД-ОМСК" 127-РДО от 01.01.2022</v>
      </c>
      <c r="D5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" t="str">
        <f ca="1">IFERROR(__xludf.DUMMYFUNCTION("""COMPUTED_VALUE"""),"Новый")</f>
        <v>Новый</v>
      </c>
      <c r="G547" s="68"/>
      <c r="K547" s="68"/>
    </row>
    <row r="548" spans="1:11" ht="12.75">
      <c r="A548" s="69">
        <f ca="1">IFERROR(__xludf.DUMMYFUNCTION("""COMPUTED_VALUE"""),91023)</f>
        <v>91023</v>
      </c>
      <c r="B548" s="4">
        <f ca="1">IFERROR(__xludf.DUMMYFUNCTION("""COMPUTED_VALUE"""),44595)</f>
        <v>44595</v>
      </c>
      <c r="C548" t="str">
        <f ca="1">IFERROR(__xludf.DUMMYFUNCTION("""COMPUTED_VALUE"""),"ООО ""ЧИСТЫЙ ГОРОД-ОМСК"" 127-РДО от 01.01.2022")</f>
        <v>ООО "ЧИСТЫЙ ГОРОД-ОМСК" 127-РДО от 01.01.2022</v>
      </c>
      <c r="D5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8" t="str">
        <f ca="1">IFERROR(__xludf.DUMMYFUNCTION("""COMPUTED_VALUE"""),"Новый")</f>
        <v>Новый</v>
      </c>
      <c r="G548" s="68"/>
      <c r="K548" s="68"/>
    </row>
    <row r="549" spans="1:11" ht="12.75">
      <c r="A549" s="69">
        <f ca="1">IFERROR(__xludf.DUMMYFUNCTION("""COMPUTED_VALUE"""),91024)</f>
        <v>91024</v>
      </c>
      <c r="B549" s="4">
        <f ca="1">IFERROR(__xludf.DUMMYFUNCTION("""COMPUTED_VALUE"""),44595)</f>
        <v>44595</v>
      </c>
      <c r="C549" t="str">
        <f ca="1">IFERROR(__xludf.DUMMYFUNCTION("""COMPUTED_VALUE"""),"ООО ""ЧИСТЫЙ ГОРОД-ОМСК"" 127-РДО от 01.01.2022")</f>
        <v>ООО "ЧИСТЫЙ ГОРОД-ОМСК" 127-РДО от 01.01.2022</v>
      </c>
      <c r="D5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9" t="str">
        <f ca="1">IFERROR(__xludf.DUMMYFUNCTION("""COMPUTED_VALUE"""),"Новый")</f>
        <v>Новый</v>
      </c>
      <c r="G549" s="68"/>
      <c r="K549" s="68"/>
    </row>
    <row r="550" spans="1:11" ht="12.75">
      <c r="A550" s="69">
        <f ca="1">IFERROR(__xludf.DUMMYFUNCTION("""COMPUTED_VALUE"""),91025)</f>
        <v>91025</v>
      </c>
      <c r="B550" s="4">
        <f ca="1">IFERROR(__xludf.DUMMYFUNCTION("""COMPUTED_VALUE"""),44595)</f>
        <v>44595</v>
      </c>
      <c r="C550" t="str">
        <f ca="1">IFERROR(__xludf.DUMMYFUNCTION("""COMPUTED_VALUE"""),"ООО ""ЧИСТЫЙ ГОРОД-ОМСК"" 127-РДО от 01.01.2022")</f>
        <v>ООО "ЧИСТЫЙ ГОРОД-ОМСК" 127-РДО от 01.01.2022</v>
      </c>
      <c r="D5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0" t="str">
        <f ca="1">IFERROR(__xludf.DUMMYFUNCTION("""COMPUTED_VALUE"""),"Новый")</f>
        <v>Новый</v>
      </c>
      <c r="G550" s="68"/>
      <c r="K550" s="68"/>
    </row>
    <row r="551" spans="1:11" ht="12.75">
      <c r="A551" s="69">
        <f ca="1">IFERROR(__xludf.DUMMYFUNCTION("""COMPUTED_VALUE"""),91026)</f>
        <v>91026</v>
      </c>
      <c r="B551" s="4">
        <f ca="1">IFERROR(__xludf.DUMMYFUNCTION("""COMPUTED_VALUE"""),44595)</f>
        <v>44595</v>
      </c>
      <c r="C551" t="str">
        <f ca="1">IFERROR(__xludf.DUMMYFUNCTION("""COMPUTED_VALUE"""),"ООО ""ЧИСТЫЙ ГОРОД-ОМСК"" 127-РДО от 01.01.2022")</f>
        <v>ООО "ЧИСТЫЙ ГОРОД-ОМСК" 127-РДО от 01.01.2022</v>
      </c>
      <c r="D5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1" t="str">
        <f ca="1">IFERROR(__xludf.DUMMYFUNCTION("""COMPUTED_VALUE"""),"Новый")</f>
        <v>Новый</v>
      </c>
      <c r="G551" s="68"/>
      <c r="K551" s="68"/>
    </row>
    <row r="552" spans="1:11" ht="12.75">
      <c r="A552" s="69">
        <f ca="1">IFERROR(__xludf.DUMMYFUNCTION("""COMPUTED_VALUE"""),91027)</f>
        <v>91027</v>
      </c>
      <c r="B552" s="4">
        <f ca="1">IFERROR(__xludf.DUMMYFUNCTION("""COMPUTED_VALUE"""),44595)</f>
        <v>44595</v>
      </c>
      <c r="C552" t="str">
        <f ca="1">IFERROR(__xludf.DUMMYFUNCTION("""COMPUTED_VALUE"""),"ООО ""ЧИСТЫЙ ГОРОД-ОМСК"" 127-РДО от 01.01.2022")</f>
        <v>ООО "ЧИСТЫЙ ГОРОД-ОМСК" 127-РДО от 01.01.2022</v>
      </c>
      <c r="D5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2" t="str">
        <f ca="1">IFERROR(__xludf.DUMMYFUNCTION("""COMPUTED_VALUE"""),"Новый")</f>
        <v>Новый</v>
      </c>
      <c r="G552" s="68"/>
      <c r="K552" s="68"/>
    </row>
    <row r="553" spans="1:11" ht="12.75">
      <c r="A553" s="69">
        <f ca="1">IFERROR(__xludf.DUMMYFUNCTION("""COMPUTED_VALUE"""),91028)</f>
        <v>91028</v>
      </c>
      <c r="B553" s="4">
        <f ca="1">IFERROR(__xludf.DUMMYFUNCTION("""COMPUTED_VALUE"""),44595)</f>
        <v>44595</v>
      </c>
      <c r="C553" t="str">
        <f ca="1">IFERROR(__xludf.DUMMYFUNCTION("""COMPUTED_VALUE"""),"ООО ""ЧИСТЫЙ ГОРОД-ОМСК"" 127-РДО от 01.01.2022")</f>
        <v>ООО "ЧИСТЫЙ ГОРОД-ОМСК" 127-РДО от 01.01.2022</v>
      </c>
      <c r="D5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3" t="str">
        <f ca="1">IFERROR(__xludf.DUMMYFUNCTION("""COMPUTED_VALUE"""),"Новый")</f>
        <v>Новый</v>
      </c>
      <c r="G553" s="68"/>
      <c r="K553" s="68"/>
    </row>
    <row r="554" spans="1:11" ht="12.75">
      <c r="A554" s="69">
        <f ca="1">IFERROR(__xludf.DUMMYFUNCTION("""COMPUTED_VALUE"""),91029)</f>
        <v>91029</v>
      </c>
      <c r="B554" s="4">
        <f ca="1">IFERROR(__xludf.DUMMYFUNCTION("""COMPUTED_VALUE"""),44595)</f>
        <v>44595</v>
      </c>
      <c r="C554" t="str">
        <f ca="1">IFERROR(__xludf.DUMMYFUNCTION("""COMPUTED_VALUE"""),"ООО ""ЧИСТЫЙ ГОРОД-ОМСК"" 127-РДО от 01.01.2022")</f>
        <v>ООО "ЧИСТЫЙ ГОРОД-ОМСК" 127-РДО от 01.01.2022</v>
      </c>
      <c r="D5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4" t="str">
        <f ca="1">IFERROR(__xludf.DUMMYFUNCTION("""COMPUTED_VALUE"""),"Новый")</f>
        <v>Новый</v>
      </c>
      <c r="G554" s="68"/>
      <c r="K554" s="68"/>
    </row>
    <row r="555" spans="1:11" ht="12.75">
      <c r="A555" s="69">
        <f ca="1">IFERROR(__xludf.DUMMYFUNCTION("""COMPUTED_VALUE"""),91030)</f>
        <v>91030</v>
      </c>
      <c r="B555" s="4">
        <f ca="1">IFERROR(__xludf.DUMMYFUNCTION("""COMPUTED_VALUE"""),44595)</f>
        <v>44595</v>
      </c>
      <c r="C555" t="str">
        <f ca="1">IFERROR(__xludf.DUMMYFUNCTION("""COMPUTED_VALUE"""),"ООО ""ЧИСТЫЙ ГОРОД-ОМСК"" 127-РДО от 01.01.2022")</f>
        <v>ООО "ЧИСТЫЙ ГОРОД-ОМСК" 127-РДО от 01.01.2022</v>
      </c>
      <c r="D5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5" t="str">
        <f ca="1">IFERROR(__xludf.DUMMYFUNCTION("""COMPUTED_VALUE"""),"Новый")</f>
        <v>Новый</v>
      </c>
      <c r="G555" s="68"/>
      <c r="K555" s="68"/>
    </row>
    <row r="556" spans="1:11" ht="12.75">
      <c r="A556" s="69">
        <f ca="1">IFERROR(__xludf.DUMMYFUNCTION("""COMPUTED_VALUE"""),91031)</f>
        <v>91031</v>
      </c>
      <c r="B556" s="4">
        <f ca="1">IFERROR(__xludf.DUMMYFUNCTION("""COMPUTED_VALUE"""),44595)</f>
        <v>44595</v>
      </c>
      <c r="C556" t="str">
        <f ca="1">IFERROR(__xludf.DUMMYFUNCTION("""COMPUTED_VALUE"""),"ООО ""ЧИСТЫЙ ГОРОД-ОМСК"" 127-РДО от 01.01.2022")</f>
        <v>ООО "ЧИСТЫЙ ГОРОД-ОМСК" 127-РДО от 01.01.2022</v>
      </c>
      <c r="D5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6" t="str">
        <f ca="1">IFERROR(__xludf.DUMMYFUNCTION("""COMPUTED_VALUE"""),"Новый")</f>
        <v>Новый</v>
      </c>
      <c r="G556" s="68"/>
      <c r="K556" s="68"/>
    </row>
    <row r="557" spans="1:11" ht="12.75">
      <c r="A557" s="69">
        <f ca="1">IFERROR(__xludf.DUMMYFUNCTION("""COMPUTED_VALUE"""),91032)</f>
        <v>91032</v>
      </c>
      <c r="B557" s="4">
        <f ca="1">IFERROR(__xludf.DUMMYFUNCTION("""COMPUTED_VALUE"""),44595)</f>
        <v>44595</v>
      </c>
      <c r="C557" t="str">
        <f ca="1">IFERROR(__xludf.DUMMYFUNCTION("""COMPUTED_VALUE"""),"ООО ""ЧИСТЫЙ ГОРОД-ОМСК"" 127-РДО от 01.01.2022")</f>
        <v>ООО "ЧИСТЫЙ ГОРОД-ОМСК" 127-РДО от 01.01.2022</v>
      </c>
      <c r="D5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" t="str">
        <f ca="1">IFERROR(__xludf.DUMMYFUNCTION("""COMPUTED_VALUE"""),"Новый")</f>
        <v>Новый</v>
      </c>
      <c r="G557" s="68"/>
      <c r="K557" s="68"/>
    </row>
    <row r="558" spans="1:11" ht="12.75">
      <c r="A558" s="69">
        <f ca="1">IFERROR(__xludf.DUMMYFUNCTION("""COMPUTED_VALUE"""),91033)</f>
        <v>91033</v>
      </c>
      <c r="B558" s="4">
        <f ca="1">IFERROR(__xludf.DUMMYFUNCTION("""COMPUTED_VALUE"""),44595)</f>
        <v>44595</v>
      </c>
      <c r="C558" t="str">
        <f ca="1">IFERROR(__xludf.DUMMYFUNCTION("""COMPUTED_VALUE"""),"ООО ""ЧИСТЫЙ ГОРОД-ОМСК"" 127-РДО от 01.01.2022")</f>
        <v>ООО "ЧИСТЫЙ ГОРОД-ОМСК" 127-РДО от 01.01.2022</v>
      </c>
      <c r="D5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" t="str">
        <f ca="1">IFERROR(__xludf.DUMMYFUNCTION("""COMPUTED_VALUE"""),"Новый")</f>
        <v>Новый</v>
      </c>
      <c r="G558" s="68"/>
      <c r="K558" s="68"/>
    </row>
    <row r="559" spans="1:11" ht="12.75">
      <c r="A559" s="69">
        <f ca="1">IFERROR(__xludf.DUMMYFUNCTION("""COMPUTED_VALUE"""),91034)</f>
        <v>91034</v>
      </c>
      <c r="B559" s="4">
        <f ca="1">IFERROR(__xludf.DUMMYFUNCTION("""COMPUTED_VALUE"""),44595)</f>
        <v>44595</v>
      </c>
      <c r="C559" t="str">
        <f ca="1">IFERROR(__xludf.DUMMYFUNCTION("""COMPUTED_VALUE"""),"ООО ""ЧИСТЫЙ ГОРОД-ОМСК"" 127-РДО от 01.01.2022")</f>
        <v>ООО "ЧИСТЫЙ ГОРОД-ОМСК" 127-РДО от 01.01.2022</v>
      </c>
      <c r="D5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" t="str">
        <f ca="1">IFERROR(__xludf.DUMMYFUNCTION("""COMPUTED_VALUE"""),"Новый")</f>
        <v>Новый</v>
      </c>
      <c r="G559" s="68"/>
      <c r="K559" s="68"/>
    </row>
    <row r="560" spans="1:11" ht="12.75">
      <c r="A560" s="69">
        <f ca="1">IFERROR(__xludf.DUMMYFUNCTION("""COMPUTED_VALUE"""),91035)</f>
        <v>91035</v>
      </c>
      <c r="B560" s="4">
        <f ca="1">IFERROR(__xludf.DUMMYFUNCTION("""COMPUTED_VALUE"""),44595)</f>
        <v>44595</v>
      </c>
      <c r="C560" t="str">
        <f ca="1">IFERROR(__xludf.DUMMYFUNCTION("""COMPUTED_VALUE"""),"ООО ""ЧИСТЫЙ ГОРОД-ОМСК"" 127-РДО от 01.01.2022")</f>
        <v>ООО "ЧИСТЫЙ ГОРОД-ОМСК" 127-РДО от 01.01.2022</v>
      </c>
      <c r="D5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" t="str">
        <f ca="1">IFERROR(__xludf.DUMMYFUNCTION("""COMPUTED_VALUE"""),"Новый")</f>
        <v>Новый</v>
      </c>
      <c r="G560" s="68"/>
      <c r="K560" s="68"/>
    </row>
    <row r="561" spans="1:11" ht="12.75">
      <c r="A561" s="69">
        <f ca="1">IFERROR(__xludf.DUMMYFUNCTION("""COMPUTED_VALUE"""),91036)</f>
        <v>91036</v>
      </c>
      <c r="B561" s="4">
        <f ca="1">IFERROR(__xludf.DUMMYFUNCTION("""COMPUTED_VALUE"""),44595)</f>
        <v>44595</v>
      </c>
      <c r="C561" t="str">
        <f ca="1">IFERROR(__xludf.DUMMYFUNCTION("""COMPUTED_VALUE"""),"ООО ""ЧИСТЫЙ ГОРОД-ОМСК"" 127-РДО от 01.01.2022")</f>
        <v>ООО "ЧИСТЫЙ ГОРОД-ОМСК" 127-РДО от 01.01.2022</v>
      </c>
      <c r="D5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" t="str">
        <f ca="1">IFERROR(__xludf.DUMMYFUNCTION("""COMPUTED_VALUE"""),"Новый")</f>
        <v>Новый</v>
      </c>
      <c r="G561" s="68"/>
      <c r="K561" s="68"/>
    </row>
    <row r="562" spans="1:11" ht="12.75">
      <c r="A562" s="69">
        <f ca="1">IFERROR(__xludf.DUMMYFUNCTION("""COMPUTED_VALUE"""),91037)</f>
        <v>91037</v>
      </c>
      <c r="B562" s="4">
        <f ca="1">IFERROR(__xludf.DUMMYFUNCTION("""COMPUTED_VALUE"""),44595)</f>
        <v>44595</v>
      </c>
      <c r="C562" t="str">
        <f ca="1">IFERROR(__xludf.DUMMYFUNCTION("""COMPUTED_VALUE"""),"ООО ""ЧИСТЫЙ ГОРОД-ОМСК"" 127-РДО от 01.01.2022")</f>
        <v>ООО "ЧИСТЫЙ ГОРОД-ОМСК" 127-РДО от 01.01.2022</v>
      </c>
      <c r="D5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" t="str">
        <f ca="1">IFERROR(__xludf.DUMMYFUNCTION("""COMPUTED_VALUE"""),"Новый")</f>
        <v>Новый</v>
      </c>
      <c r="G562" s="68"/>
      <c r="K562" s="68"/>
    </row>
    <row r="563" spans="1:11" ht="12.75">
      <c r="A563" s="69">
        <f ca="1">IFERROR(__xludf.DUMMYFUNCTION("""COMPUTED_VALUE"""),91038)</f>
        <v>91038</v>
      </c>
      <c r="B563" s="4">
        <f ca="1">IFERROR(__xludf.DUMMYFUNCTION("""COMPUTED_VALUE"""),44595)</f>
        <v>44595</v>
      </c>
      <c r="C563" t="str">
        <f ca="1">IFERROR(__xludf.DUMMYFUNCTION("""COMPUTED_VALUE"""),"ООО ""ЧИСТЫЙ ГОРОД-ОМСК"" 127-РДО от 01.01.2022")</f>
        <v>ООО "ЧИСТЫЙ ГОРОД-ОМСК" 127-РДО от 01.01.2022</v>
      </c>
      <c r="D5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" t="str">
        <f ca="1">IFERROR(__xludf.DUMMYFUNCTION("""COMPUTED_VALUE"""),"Новый")</f>
        <v>Новый</v>
      </c>
      <c r="G563" s="68"/>
      <c r="K563" s="68"/>
    </row>
    <row r="564" spans="1:11" ht="12.75">
      <c r="A564" s="69">
        <f ca="1">IFERROR(__xludf.DUMMYFUNCTION("""COMPUTED_VALUE"""),91039)</f>
        <v>91039</v>
      </c>
      <c r="B564" s="4">
        <f ca="1">IFERROR(__xludf.DUMMYFUNCTION("""COMPUTED_VALUE"""),44595)</f>
        <v>44595</v>
      </c>
      <c r="C564" t="str">
        <f ca="1">IFERROR(__xludf.DUMMYFUNCTION("""COMPUTED_VALUE"""),"ООО ""ЧИСТЫЙ ГОРОД-ОМСК"" 127-РДО от 01.01.2022")</f>
        <v>ООО "ЧИСТЫЙ ГОРОД-ОМСК" 127-РДО от 01.01.2022</v>
      </c>
      <c r="D5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4" t="str">
        <f ca="1">IFERROR(__xludf.DUMMYFUNCTION("""COMPUTED_VALUE"""),"Новый")</f>
        <v>Новый</v>
      </c>
      <c r="G564" s="68"/>
      <c r="K564" s="68"/>
    </row>
    <row r="565" spans="1:11" ht="12.75">
      <c r="A565" s="69">
        <f ca="1">IFERROR(__xludf.DUMMYFUNCTION("""COMPUTED_VALUE"""),91040)</f>
        <v>91040</v>
      </c>
      <c r="B565" s="4">
        <f ca="1">IFERROR(__xludf.DUMMYFUNCTION("""COMPUTED_VALUE"""),44595)</f>
        <v>44595</v>
      </c>
      <c r="C565" t="str">
        <f ca="1">IFERROR(__xludf.DUMMYFUNCTION("""COMPUTED_VALUE"""),"ООО ""ЧИСТЫЙ ГОРОД-ОМСК"" 127-РДО от 01.01.2022")</f>
        <v>ООО "ЧИСТЫЙ ГОРОД-ОМСК" 127-РДО от 01.01.2022</v>
      </c>
      <c r="D5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5" t="str">
        <f ca="1">IFERROR(__xludf.DUMMYFUNCTION("""COMPUTED_VALUE"""),"Новый")</f>
        <v>Новый</v>
      </c>
      <c r="G565" s="68"/>
      <c r="K565" s="68"/>
    </row>
    <row r="566" spans="1:11" ht="12.75">
      <c r="A566" s="69">
        <f ca="1">IFERROR(__xludf.DUMMYFUNCTION("""COMPUTED_VALUE"""),91041)</f>
        <v>91041</v>
      </c>
      <c r="B566" s="4">
        <f ca="1">IFERROR(__xludf.DUMMYFUNCTION("""COMPUTED_VALUE"""),44595)</f>
        <v>44595</v>
      </c>
      <c r="C566" t="str">
        <f ca="1">IFERROR(__xludf.DUMMYFUNCTION("""COMPUTED_VALUE"""),"ООО ""ЧИСТЫЙ ГОРОД-ОМСК"" 127-РДО от 01.01.2022")</f>
        <v>ООО "ЧИСТЫЙ ГОРОД-ОМСК" 127-РДО от 01.01.2022</v>
      </c>
      <c r="D5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6" t="str">
        <f ca="1">IFERROR(__xludf.DUMMYFUNCTION("""COMPUTED_VALUE"""),"Новый")</f>
        <v>Новый</v>
      </c>
      <c r="G566" s="68"/>
      <c r="K566" s="68"/>
    </row>
    <row r="567" spans="1:11" ht="12.75">
      <c r="A567" s="69">
        <f ca="1">IFERROR(__xludf.DUMMYFUNCTION("""COMPUTED_VALUE"""),91042)</f>
        <v>91042</v>
      </c>
      <c r="B567" s="4">
        <f ca="1">IFERROR(__xludf.DUMMYFUNCTION("""COMPUTED_VALUE"""),44595)</f>
        <v>44595</v>
      </c>
      <c r="C567" t="str">
        <f ca="1">IFERROR(__xludf.DUMMYFUNCTION("""COMPUTED_VALUE"""),"ООО ""ЧИСТЫЙ ГОРОД-ОМСК"" 127-РДО от 01.01.2022")</f>
        <v>ООО "ЧИСТЫЙ ГОРОД-ОМСК" 127-РДО от 01.01.2022</v>
      </c>
      <c r="D5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7" t="str">
        <f ca="1">IFERROR(__xludf.DUMMYFUNCTION("""COMPUTED_VALUE"""),"Новый")</f>
        <v>Новый</v>
      </c>
      <c r="G567" s="68"/>
      <c r="K567" s="68"/>
    </row>
    <row r="568" spans="1:11" ht="12.75">
      <c r="A568" s="69">
        <f ca="1">IFERROR(__xludf.DUMMYFUNCTION("""COMPUTED_VALUE"""),91043)</f>
        <v>91043</v>
      </c>
      <c r="B568" s="4">
        <f ca="1">IFERROR(__xludf.DUMMYFUNCTION("""COMPUTED_VALUE"""),44595)</f>
        <v>44595</v>
      </c>
      <c r="C568" t="str">
        <f ca="1">IFERROR(__xludf.DUMMYFUNCTION("""COMPUTED_VALUE"""),"ООО ""ЧИСТЫЙ ГОРОД-ОМСК"" 127-РДО от 01.01.2022")</f>
        <v>ООО "ЧИСТЫЙ ГОРОД-ОМСК" 127-РДО от 01.01.2022</v>
      </c>
      <c r="D5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8" t="str">
        <f ca="1">IFERROR(__xludf.DUMMYFUNCTION("""COMPUTED_VALUE"""),"Новый")</f>
        <v>Новый</v>
      </c>
      <c r="G568" s="68"/>
      <c r="K568" s="68"/>
    </row>
    <row r="569" spans="1:11" ht="12.75">
      <c r="A569" s="69">
        <f ca="1">IFERROR(__xludf.DUMMYFUNCTION("""COMPUTED_VALUE"""),91044)</f>
        <v>91044</v>
      </c>
      <c r="B569" s="4">
        <f ca="1">IFERROR(__xludf.DUMMYFUNCTION("""COMPUTED_VALUE"""),44595)</f>
        <v>44595</v>
      </c>
      <c r="C569" t="str">
        <f ca="1">IFERROR(__xludf.DUMMYFUNCTION("""COMPUTED_VALUE"""),"ООО ""ЧИСТЫЙ ГОРОД-ОМСК"" 127-РДО от 01.01.2022")</f>
        <v>ООО "ЧИСТЫЙ ГОРОД-ОМСК" 127-РДО от 01.01.2022</v>
      </c>
      <c r="D5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9" t="str">
        <f ca="1">IFERROR(__xludf.DUMMYFUNCTION("""COMPUTED_VALUE"""),"Новый")</f>
        <v>Новый</v>
      </c>
      <c r="G569" s="68"/>
      <c r="K569" s="68"/>
    </row>
    <row r="570" spans="1:11" ht="12.75">
      <c r="A570" s="69">
        <f ca="1">IFERROR(__xludf.DUMMYFUNCTION("""COMPUTED_VALUE"""),91045)</f>
        <v>91045</v>
      </c>
      <c r="B570" s="4">
        <f ca="1">IFERROR(__xludf.DUMMYFUNCTION("""COMPUTED_VALUE"""),44595)</f>
        <v>44595</v>
      </c>
      <c r="C570" t="str">
        <f ca="1">IFERROR(__xludf.DUMMYFUNCTION("""COMPUTED_VALUE"""),"ООО ""ЧИСТЫЙ ГОРОД-ОМСК"" 127-РДО от 01.01.2022")</f>
        <v>ООО "ЧИСТЫЙ ГОРОД-ОМСК" 127-РДО от 01.01.2022</v>
      </c>
      <c r="D5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0" t="str">
        <f ca="1">IFERROR(__xludf.DUMMYFUNCTION("""COMPUTED_VALUE"""),"Новый")</f>
        <v>Новый</v>
      </c>
      <c r="G570" s="68"/>
      <c r="K570" s="68"/>
    </row>
    <row r="571" spans="1:11" ht="12.75">
      <c r="A571" s="69">
        <f ca="1">IFERROR(__xludf.DUMMYFUNCTION("""COMPUTED_VALUE"""),91046)</f>
        <v>91046</v>
      </c>
      <c r="B571" s="4">
        <f ca="1">IFERROR(__xludf.DUMMYFUNCTION("""COMPUTED_VALUE"""),44595)</f>
        <v>44595</v>
      </c>
      <c r="C571" t="str">
        <f ca="1">IFERROR(__xludf.DUMMYFUNCTION("""COMPUTED_VALUE"""),"ООО ""ЧИСТЫЙ ГОРОД-ОМСК"" 127-РДО от 01.01.2022")</f>
        <v>ООО "ЧИСТЫЙ ГОРОД-ОМСК" 127-РДО от 01.01.2022</v>
      </c>
      <c r="D5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1" t="str">
        <f ca="1">IFERROR(__xludf.DUMMYFUNCTION("""COMPUTED_VALUE"""),"Новый")</f>
        <v>Новый</v>
      </c>
      <c r="G571" s="68"/>
      <c r="K571" s="68"/>
    </row>
    <row r="572" spans="1:11" ht="12.75">
      <c r="A572" s="69">
        <f ca="1">IFERROR(__xludf.DUMMYFUNCTION("""COMPUTED_VALUE"""),91047)</f>
        <v>91047</v>
      </c>
      <c r="B572" s="4">
        <f ca="1">IFERROR(__xludf.DUMMYFUNCTION("""COMPUTED_VALUE"""),44595)</f>
        <v>44595</v>
      </c>
      <c r="C572" t="str">
        <f ca="1">IFERROR(__xludf.DUMMYFUNCTION("""COMPUTED_VALUE"""),"ООО ""ЧИСТЫЙ ГОРОД-ОМСК"" 127-РДО от 01.01.2022")</f>
        <v>ООО "ЧИСТЫЙ ГОРОД-ОМСК" 127-РДО от 01.01.2022</v>
      </c>
      <c r="D5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2" t="str">
        <f ca="1">IFERROR(__xludf.DUMMYFUNCTION("""COMPUTED_VALUE"""),"Новый")</f>
        <v>Новый</v>
      </c>
      <c r="G572" s="68"/>
      <c r="K572" s="68"/>
    </row>
    <row r="573" spans="1:11" ht="12.75">
      <c r="A573" s="69">
        <f ca="1">IFERROR(__xludf.DUMMYFUNCTION("""COMPUTED_VALUE"""),91048)</f>
        <v>91048</v>
      </c>
      <c r="B573" s="4">
        <f ca="1">IFERROR(__xludf.DUMMYFUNCTION("""COMPUTED_VALUE"""),44595)</f>
        <v>44595</v>
      </c>
      <c r="C573" t="str">
        <f ca="1">IFERROR(__xludf.DUMMYFUNCTION("""COMPUTED_VALUE"""),"ООО ""ЧИСТЫЙ ГОРОД-ОМСК"" 127-РДО от 01.01.2022")</f>
        <v>ООО "ЧИСТЫЙ ГОРОД-ОМСК" 127-РДО от 01.01.2022</v>
      </c>
      <c r="D5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3" t="str">
        <f ca="1">IFERROR(__xludf.DUMMYFUNCTION("""COMPUTED_VALUE"""),"Новый")</f>
        <v>Новый</v>
      </c>
      <c r="G573" s="68"/>
      <c r="K573" s="68"/>
    </row>
    <row r="574" spans="1:11" ht="12.75">
      <c r="A574" s="69">
        <f ca="1">IFERROR(__xludf.DUMMYFUNCTION("""COMPUTED_VALUE"""),91049)</f>
        <v>91049</v>
      </c>
      <c r="B574" s="4">
        <f ca="1">IFERROR(__xludf.DUMMYFUNCTION("""COMPUTED_VALUE"""),44595)</f>
        <v>44595</v>
      </c>
      <c r="C574" t="str">
        <f ca="1">IFERROR(__xludf.DUMMYFUNCTION("""COMPUTED_VALUE"""),"ООО ""ЧИСТЫЙ ГОРОД-ОМСК"" 127-РДО от 01.01.2022")</f>
        <v>ООО "ЧИСТЫЙ ГОРОД-ОМСК" 127-РДО от 01.01.2022</v>
      </c>
      <c r="D5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4" t="str">
        <f ca="1">IFERROR(__xludf.DUMMYFUNCTION("""COMPUTED_VALUE"""),"Новый")</f>
        <v>Новый</v>
      </c>
      <c r="G574" s="68"/>
      <c r="K574" s="68"/>
    </row>
    <row r="575" spans="1:11" ht="12.75">
      <c r="A575" s="69">
        <f ca="1">IFERROR(__xludf.DUMMYFUNCTION("""COMPUTED_VALUE"""),91050)</f>
        <v>91050</v>
      </c>
      <c r="B575" s="4">
        <f ca="1">IFERROR(__xludf.DUMMYFUNCTION("""COMPUTED_VALUE"""),44595)</f>
        <v>44595</v>
      </c>
      <c r="C575" t="str">
        <f ca="1">IFERROR(__xludf.DUMMYFUNCTION("""COMPUTED_VALUE"""),"ООО ""ЧИСТЫЙ ГОРОД-ОМСК"" 127-РДО от 01.01.2022")</f>
        <v>ООО "ЧИСТЫЙ ГОРОД-ОМСК" 127-РДО от 01.01.2022</v>
      </c>
      <c r="D5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5" t="str">
        <f ca="1">IFERROR(__xludf.DUMMYFUNCTION("""COMPUTED_VALUE"""),"Новый")</f>
        <v>Новый</v>
      </c>
      <c r="G575" s="68"/>
      <c r="K575" s="68"/>
    </row>
    <row r="576" spans="1:11" ht="12.75">
      <c r="A576" s="69">
        <f ca="1">IFERROR(__xludf.DUMMYFUNCTION("""COMPUTED_VALUE"""),91051)</f>
        <v>91051</v>
      </c>
      <c r="B576" s="4">
        <f ca="1">IFERROR(__xludf.DUMMYFUNCTION("""COMPUTED_VALUE"""),44595)</f>
        <v>44595</v>
      </c>
      <c r="C576" t="str">
        <f ca="1">IFERROR(__xludf.DUMMYFUNCTION("""COMPUTED_VALUE"""),"ООО ""ЧИСТЫЙ ГОРОД-ОМСК"" 127-РДО от 01.01.2022")</f>
        <v>ООО "ЧИСТЫЙ ГОРОД-ОМСК" 127-РДО от 01.01.2022</v>
      </c>
      <c r="D5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6" t="str">
        <f ca="1">IFERROR(__xludf.DUMMYFUNCTION("""COMPUTED_VALUE"""),"Новый")</f>
        <v>Новый</v>
      </c>
      <c r="G576" s="68"/>
      <c r="K576" s="68"/>
    </row>
    <row r="577" spans="1:11" ht="12.75">
      <c r="A577" s="69">
        <f ca="1">IFERROR(__xludf.DUMMYFUNCTION("""COMPUTED_VALUE"""),91052)</f>
        <v>91052</v>
      </c>
      <c r="B577" s="4">
        <f ca="1">IFERROR(__xludf.DUMMYFUNCTION("""COMPUTED_VALUE"""),44595)</f>
        <v>44595</v>
      </c>
      <c r="C577" t="str">
        <f ca="1">IFERROR(__xludf.DUMMYFUNCTION("""COMPUTED_VALUE"""),"ООО ""ЧИСТЫЙ ГОРОД-ОМСК"" 127-РДО от 01.01.2022")</f>
        <v>ООО "ЧИСТЫЙ ГОРОД-ОМСК" 127-РДО от 01.01.2022</v>
      </c>
      <c r="D5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7" t="str">
        <f ca="1">IFERROR(__xludf.DUMMYFUNCTION("""COMPUTED_VALUE"""),"Новый")</f>
        <v>Новый</v>
      </c>
      <c r="G577" s="68"/>
      <c r="K577" s="68"/>
    </row>
    <row r="578" spans="1:11" ht="12.75">
      <c r="A578" s="69">
        <f ca="1">IFERROR(__xludf.DUMMYFUNCTION("""COMPUTED_VALUE"""),91053)</f>
        <v>91053</v>
      </c>
      <c r="B578" s="4">
        <f ca="1">IFERROR(__xludf.DUMMYFUNCTION("""COMPUTED_VALUE"""),44595)</f>
        <v>44595</v>
      </c>
      <c r="C578" t="str">
        <f ca="1">IFERROR(__xludf.DUMMYFUNCTION("""COMPUTED_VALUE"""),"ООО ""ЧИСТЫЙ ГОРОД-ОМСК"" 127-РДО от 01.01.2022")</f>
        <v>ООО "ЧИСТЫЙ ГОРОД-ОМСК" 127-РДО от 01.01.2022</v>
      </c>
      <c r="D5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8" t="str">
        <f ca="1">IFERROR(__xludf.DUMMYFUNCTION("""COMPUTED_VALUE"""),"Новый")</f>
        <v>Новый</v>
      </c>
      <c r="G578" s="68"/>
      <c r="K578" s="68"/>
    </row>
    <row r="579" spans="1:11" ht="12.75">
      <c r="A579" s="69">
        <f ca="1">IFERROR(__xludf.DUMMYFUNCTION("""COMPUTED_VALUE"""),91054)</f>
        <v>91054</v>
      </c>
      <c r="B579" s="4">
        <f ca="1">IFERROR(__xludf.DUMMYFUNCTION("""COMPUTED_VALUE"""),44595)</f>
        <v>44595</v>
      </c>
      <c r="C579" t="str">
        <f ca="1">IFERROR(__xludf.DUMMYFUNCTION("""COMPUTED_VALUE"""),"ООО ""ЧИСТЫЙ ГОРОД-ОМСК"" 127-РДО от 01.01.2022")</f>
        <v>ООО "ЧИСТЫЙ ГОРОД-ОМСК" 127-РДО от 01.01.2022</v>
      </c>
      <c r="D5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" t="str">
        <f ca="1">IFERROR(__xludf.DUMMYFUNCTION("""COMPUTED_VALUE"""),"Новый")</f>
        <v>Новый</v>
      </c>
      <c r="G579" s="68"/>
      <c r="K579" s="68"/>
    </row>
    <row r="580" spans="1:11" ht="12.75">
      <c r="A580" s="69">
        <f ca="1">IFERROR(__xludf.DUMMYFUNCTION("""COMPUTED_VALUE"""),91055)</f>
        <v>91055</v>
      </c>
      <c r="B580" s="4">
        <f ca="1">IFERROR(__xludf.DUMMYFUNCTION("""COMPUTED_VALUE"""),44595)</f>
        <v>44595</v>
      </c>
      <c r="C580" t="str">
        <f ca="1">IFERROR(__xludf.DUMMYFUNCTION("""COMPUTED_VALUE"""),"ООО ""ЧИСТЫЙ ГОРОД-ОМСК"" 127-РДО от 01.01.2022")</f>
        <v>ООО "ЧИСТЫЙ ГОРОД-ОМСК" 127-РДО от 01.01.2022</v>
      </c>
      <c r="D5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0" t="str">
        <f ca="1">IFERROR(__xludf.DUMMYFUNCTION("""COMPUTED_VALUE"""),"Новый")</f>
        <v>Новый</v>
      </c>
      <c r="G580" s="68"/>
      <c r="K580" s="68"/>
    </row>
    <row r="581" spans="1:11" ht="12.75">
      <c r="A581" s="69">
        <f ca="1">IFERROR(__xludf.DUMMYFUNCTION("""COMPUTED_VALUE"""),91056)</f>
        <v>91056</v>
      </c>
      <c r="B581" s="4">
        <f ca="1">IFERROR(__xludf.DUMMYFUNCTION("""COMPUTED_VALUE"""),44595)</f>
        <v>44595</v>
      </c>
      <c r="C581" t="str">
        <f ca="1">IFERROR(__xludf.DUMMYFUNCTION("""COMPUTED_VALUE"""),"ООО ""ЧИСТЫЙ ГОРОД-ОМСК"" 127-РДО от 01.01.2022")</f>
        <v>ООО "ЧИСТЫЙ ГОРОД-ОМСК" 127-РДО от 01.01.2022</v>
      </c>
      <c r="D5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1" t="str">
        <f ca="1">IFERROR(__xludf.DUMMYFUNCTION("""COMPUTED_VALUE"""),"Новый")</f>
        <v>Новый</v>
      </c>
      <c r="G581" s="68"/>
      <c r="K581" s="68"/>
    </row>
    <row r="582" spans="1:11" ht="12.75">
      <c r="A582" s="69">
        <f ca="1">IFERROR(__xludf.DUMMYFUNCTION("""COMPUTED_VALUE"""),91057)</f>
        <v>91057</v>
      </c>
      <c r="B582" s="4">
        <f ca="1">IFERROR(__xludf.DUMMYFUNCTION("""COMPUTED_VALUE"""),44595)</f>
        <v>44595</v>
      </c>
      <c r="C582" t="str">
        <f ca="1">IFERROR(__xludf.DUMMYFUNCTION("""COMPUTED_VALUE"""),"ООО ""ЧИСТЫЙ ГОРОД-ОМСК"" 127-РДО от 01.01.2022")</f>
        <v>ООО "ЧИСТЫЙ ГОРОД-ОМСК" 127-РДО от 01.01.2022</v>
      </c>
      <c r="D5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2" t="str">
        <f ca="1">IFERROR(__xludf.DUMMYFUNCTION("""COMPUTED_VALUE"""),"Новый")</f>
        <v>Новый</v>
      </c>
      <c r="G582" s="68"/>
      <c r="K582" s="68"/>
    </row>
    <row r="583" spans="1:11" ht="12.75">
      <c r="A583" s="69">
        <f ca="1">IFERROR(__xludf.DUMMYFUNCTION("""COMPUTED_VALUE"""),91058)</f>
        <v>91058</v>
      </c>
      <c r="B583" s="4">
        <f ca="1">IFERROR(__xludf.DUMMYFUNCTION("""COMPUTED_VALUE"""),44595)</f>
        <v>44595</v>
      </c>
      <c r="C583" t="str">
        <f ca="1">IFERROR(__xludf.DUMMYFUNCTION("""COMPUTED_VALUE"""),"ООО ""ЧИСТЫЙ ГОРОД-ОМСК"" 127-РДО от 01.01.2022")</f>
        <v>ООО "ЧИСТЫЙ ГОРОД-ОМСК" 127-РДО от 01.01.2022</v>
      </c>
      <c r="D5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" t="str">
        <f ca="1">IFERROR(__xludf.DUMMYFUNCTION("""COMPUTED_VALUE"""),"Новый")</f>
        <v>Новый</v>
      </c>
      <c r="G583" s="68"/>
      <c r="K583" s="68"/>
    </row>
    <row r="584" spans="1:11" ht="12.75">
      <c r="A584" s="69">
        <f ca="1">IFERROR(__xludf.DUMMYFUNCTION("""COMPUTED_VALUE"""),91059)</f>
        <v>91059</v>
      </c>
      <c r="B584" s="4">
        <f ca="1">IFERROR(__xludf.DUMMYFUNCTION("""COMPUTED_VALUE"""),44595)</f>
        <v>44595</v>
      </c>
      <c r="C584" t="str">
        <f ca="1">IFERROR(__xludf.DUMMYFUNCTION("""COMPUTED_VALUE"""),"ООО ""ЧИСТЫЙ ГОРОД-ОМСК"" 127-РДО от 01.01.2022")</f>
        <v>ООО "ЧИСТЫЙ ГОРОД-ОМСК" 127-РДО от 01.01.2022</v>
      </c>
      <c r="D5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" t="str">
        <f ca="1">IFERROR(__xludf.DUMMYFUNCTION("""COMPUTED_VALUE"""),"Новый")</f>
        <v>Новый</v>
      </c>
      <c r="G584" s="68"/>
      <c r="K584" s="68"/>
    </row>
    <row r="585" spans="1:11" ht="12.75">
      <c r="A585" s="69">
        <f ca="1">IFERROR(__xludf.DUMMYFUNCTION("""COMPUTED_VALUE"""),91060)</f>
        <v>91060</v>
      </c>
      <c r="B585" s="4">
        <f ca="1">IFERROR(__xludf.DUMMYFUNCTION("""COMPUTED_VALUE"""),44595)</f>
        <v>44595</v>
      </c>
      <c r="C585" t="str">
        <f ca="1">IFERROR(__xludf.DUMMYFUNCTION("""COMPUTED_VALUE"""),"ООО ""ЧИСТЫЙ ГОРОД-ОМСК"" 127-РДО от 01.01.2022")</f>
        <v>ООО "ЧИСТЫЙ ГОРОД-ОМСК" 127-РДО от 01.01.2022</v>
      </c>
      <c r="D5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" t="str">
        <f ca="1">IFERROR(__xludf.DUMMYFUNCTION("""COMPUTED_VALUE"""),"Новый")</f>
        <v>Новый</v>
      </c>
      <c r="G585" s="68"/>
      <c r="K585" s="68"/>
    </row>
    <row r="586" spans="1:11" ht="12.75">
      <c r="A586" s="69">
        <f ca="1">IFERROR(__xludf.DUMMYFUNCTION("""COMPUTED_VALUE"""),91061)</f>
        <v>91061</v>
      </c>
      <c r="B586" s="4">
        <f ca="1">IFERROR(__xludf.DUMMYFUNCTION("""COMPUTED_VALUE"""),44595)</f>
        <v>44595</v>
      </c>
      <c r="C586" t="str">
        <f ca="1">IFERROR(__xludf.DUMMYFUNCTION("""COMPUTED_VALUE"""),"ООО ""ЧИСТЫЙ ГОРОД-ОМСК"" 127-РДО от 01.01.2022")</f>
        <v>ООО "ЧИСТЫЙ ГОРОД-ОМСК" 127-РДО от 01.01.2022</v>
      </c>
      <c r="D5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" t="str">
        <f ca="1">IFERROR(__xludf.DUMMYFUNCTION("""COMPUTED_VALUE"""),"Новый")</f>
        <v>Новый</v>
      </c>
      <c r="G586" s="68"/>
      <c r="K586" s="68"/>
    </row>
    <row r="587" spans="1:11" ht="12.75">
      <c r="A587" s="69">
        <f ca="1">IFERROR(__xludf.DUMMYFUNCTION("""COMPUTED_VALUE"""),91062)</f>
        <v>91062</v>
      </c>
      <c r="B587" s="4">
        <f ca="1">IFERROR(__xludf.DUMMYFUNCTION("""COMPUTED_VALUE"""),44595)</f>
        <v>44595</v>
      </c>
      <c r="C587" t="str">
        <f ca="1">IFERROR(__xludf.DUMMYFUNCTION("""COMPUTED_VALUE"""),"ООО ""ЧИСТЫЙ ГОРОД-ОМСК"" 127-РДО от 01.01.2022")</f>
        <v>ООО "ЧИСТЫЙ ГОРОД-ОМСК" 127-РДО от 01.01.2022</v>
      </c>
      <c r="D5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" t="str">
        <f ca="1">IFERROR(__xludf.DUMMYFUNCTION("""COMPUTED_VALUE"""),"Новый")</f>
        <v>Новый</v>
      </c>
      <c r="G587" s="68"/>
      <c r="K587" s="68"/>
    </row>
    <row r="588" spans="1:11" ht="12.75">
      <c r="A588" s="69">
        <f ca="1">IFERROR(__xludf.DUMMYFUNCTION("""COMPUTED_VALUE"""),91063)</f>
        <v>91063</v>
      </c>
      <c r="B588" s="4">
        <f ca="1">IFERROR(__xludf.DUMMYFUNCTION("""COMPUTED_VALUE"""),44595)</f>
        <v>44595</v>
      </c>
      <c r="C588" t="str">
        <f ca="1">IFERROR(__xludf.DUMMYFUNCTION("""COMPUTED_VALUE"""),"ООО ""ЧИСТЫЙ ГОРОД-ОМСК"" 127-РДО от 01.01.2022")</f>
        <v>ООО "ЧИСТЫЙ ГОРОД-ОМСК" 127-РДО от 01.01.2022</v>
      </c>
      <c r="D5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" t="str">
        <f ca="1">IFERROR(__xludf.DUMMYFUNCTION("""COMPUTED_VALUE"""),"Новый")</f>
        <v>Новый</v>
      </c>
      <c r="G588" s="68"/>
      <c r="K588" s="68"/>
    </row>
    <row r="589" spans="1:11" ht="12.75">
      <c r="A589" s="69">
        <f ca="1">IFERROR(__xludf.DUMMYFUNCTION("""COMPUTED_VALUE"""),91064)</f>
        <v>91064</v>
      </c>
      <c r="B589" s="4">
        <f ca="1">IFERROR(__xludf.DUMMYFUNCTION("""COMPUTED_VALUE"""),44595)</f>
        <v>44595</v>
      </c>
      <c r="C589" t="str">
        <f ca="1">IFERROR(__xludf.DUMMYFUNCTION("""COMPUTED_VALUE"""),"ООО ""ЧИСТЫЙ ГОРОД-ОМСК"" 127-РДО от 01.01.2022")</f>
        <v>ООО "ЧИСТЫЙ ГОРОД-ОМСК" 127-РДО от 01.01.2022</v>
      </c>
      <c r="D5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" t="str">
        <f ca="1">IFERROR(__xludf.DUMMYFUNCTION("""COMPUTED_VALUE"""),"Новый")</f>
        <v>Новый</v>
      </c>
      <c r="G589" s="68"/>
      <c r="K589" s="68"/>
    </row>
    <row r="590" spans="1:11" ht="12.75">
      <c r="A590" s="69">
        <f ca="1">IFERROR(__xludf.DUMMYFUNCTION("""COMPUTED_VALUE"""),91065)</f>
        <v>91065</v>
      </c>
      <c r="B590" s="4">
        <f ca="1">IFERROR(__xludf.DUMMYFUNCTION("""COMPUTED_VALUE"""),44595)</f>
        <v>44595</v>
      </c>
      <c r="C590" t="str">
        <f ca="1">IFERROR(__xludf.DUMMYFUNCTION("""COMPUTED_VALUE"""),"ООО ""ЧИСТЫЙ ГОРОД-ОМСК"" 127-РДО от 01.01.2022")</f>
        <v>ООО "ЧИСТЫЙ ГОРОД-ОМСК" 127-РДО от 01.01.2022</v>
      </c>
      <c r="D5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" t="str">
        <f ca="1">IFERROR(__xludf.DUMMYFUNCTION("""COMPUTED_VALUE"""),"Новый")</f>
        <v>Новый</v>
      </c>
      <c r="G590" s="68"/>
      <c r="K590" s="68"/>
    </row>
    <row r="591" spans="1:11" ht="12.75">
      <c r="A591" s="69">
        <f ca="1">IFERROR(__xludf.DUMMYFUNCTION("""COMPUTED_VALUE"""),91066)</f>
        <v>91066</v>
      </c>
      <c r="B591" s="4">
        <f ca="1">IFERROR(__xludf.DUMMYFUNCTION("""COMPUTED_VALUE"""),44595)</f>
        <v>44595</v>
      </c>
      <c r="C591" t="str">
        <f ca="1">IFERROR(__xludf.DUMMYFUNCTION("""COMPUTED_VALUE"""),"ООО ""ЧИСТЫЙ ГОРОД-ОМСК"" 127-РДО от 01.01.2022")</f>
        <v>ООО "ЧИСТЫЙ ГОРОД-ОМСК" 127-РДО от 01.01.2022</v>
      </c>
      <c r="D5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" t="str">
        <f ca="1">IFERROR(__xludf.DUMMYFUNCTION("""COMPUTED_VALUE"""),"Новый")</f>
        <v>Новый</v>
      </c>
      <c r="G591" s="68"/>
      <c r="K591" s="68"/>
    </row>
    <row r="592" spans="1:11" ht="12.75">
      <c r="A592" s="69">
        <f ca="1">IFERROR(__xludf.DUMMYFUNCTION("""COMPUTED_VALUE"""),91067)</f>
        <v>91067</v>
      </c>
      <c r="B592" s="4">
        <f ca="1">IFERROR(__xludf.DUMMYFUNCTION("""COMPUTED_VALUE"""),44595)</f>
        <v>44595</v>
      </c>
      <c r="C592" t="str">
        <f ca="1">IFERROR(__xludf.DUMMYFUNCTION("""COMPUTED_VALUE"""),"ООО ""ЧИСТЫЙ ГОРОД-ОМСК"" 127-РДО от 01.01.2022")</f>
        <v>ООО "ЧИСТЫЙ ГОРОД-ОМСК" 127-РДО от 01.01.2022</v>
      </c>
      <c r="D5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" t="str">
        <f ca="1">IFERROR(__xludf.DUMMYFUNCTION("""COMPUTED_VALUE"""),"Новый")</f>
        <v>Новый</v>
      </c>
      <c r="G592" s="68"/>
      <c r="K592" s="68"/>
    </row>
    <row r="593" spans="1:11" ht="12.75">
      <c r="A593" s="69">
        <f ca="1">IFERROR(__xludf.DUMMYFUNCTION("""COMPUTED_VALUE"""),91068)</f>
        <v>91068</v>
      </c>
      <c r="B593" s="4">
        <f ca="1">IFERROR(__xludf.DUMMYFUNCTION("""COMPUTED_VALUE"""),44595)</f>
        <v>44595</v>
      </c>
      <c r="C593" t="str">
        <f ca="1">IFERROR(__xludf.DUMMYFUNCTION("""COMPUTED_VALUE"""),"ООО ""ЧИСТЫЙ ГОРОД-ОМСК"" 127-РДО от 01.01.2022")</f>
        <v>ООО "ЧИСТЫЙ ГОРОД-ОМСК" 127-РДО от 01.01.2022</v>
      </c>
      <c r="D5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" t="str">
        <f ca="1">IFERROR(__xludf.DUMMYFUNCTION("""COMPUTED_VALUE"""),"Новый")</f>
        <v>Новый</v>
      </c>
      <c r="G593" s="68"/>
      <c r="K593" s="68"/>
    </row>
    <row r="594" spans="1:11" ht="12.75">
      <c r="A594" s="69">
        <f ca="1">IFERROR(__xludf.DUMMYFUNCTION("""COMPUTED_VALUE"""),91069)</f>
        <v>91069</v>
      </c>
      <c r="B594" s="4">
        <f ca="1">IFERROR(__xludf.DUMMYFUNCTION("""COMPUTED_VALUE"""),44595)</f>
        <v>44595</v>
      </c>
      <c r="C594" t="str">
        <f ca="1">IFERROR(__xludf.DUMMYFUNCTION("""COMPUTED_VALUE"""),"ООО ""ЧИСТЫЙ ГОРОД-ОМСК"" 127-РДО от 01.01.2022")</f>
        <v>ООО "ЧИСТЫЙ ГОРОД-ОМСК" 127-РДО от 01.01.2022</v>
      </c>
      <c r="D5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" t="str">
        <f ca="1">IFERROR(__xludf.DUMMYFUNCTION("""COMPUTED_VALUE"""),"Новый")</f>
        <v>Новый</v>
      </c>
      <c r="G594" s="68"/>
      <c r="K594" s="68"/>
    </row>
    <row r="595" spans="1:11" ht="12.75">
      <c r="A595" s="69">
        <f ca="1">IFERROR(__xludf.DUMMYFUNCTION("""COMPUTED_VALUE"""),91070)</f>
        <v>91070</v>
      </c>
      <c r="B595" s="4">
        <f ca="1">IFERROR(__xludf.DUMMYFUNCTION("""COMPUTED_VALUE"""),44595)</f>
        <v>44595</v>
      </c>
      <c r="C595" t="str">
        <f ca="1">IFERROR(__xludf.DUMMYFUNCTION("""COMPUTED_VALUE"""),"ООО ""ЧИСТЫЙ ГОРОД-ОМСК"" 127-РДО от 01.01.2022")</f>
        <v>ООО "ЧИСТЫЙ ГОРОД-ОМСК" 127-РДО от 01.01.2022</v>
      </c>
      <c r="D5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" t="str">
        <f ca="1">IFERROR(__xludf.DUMMYFUNCTION("""COMPUTED_VALUE"""),"Новый")</f>
        <v>Новый</v>
      </c>
      <c r="G595" s="68"/>
      <c r="K595" s="68"/>
    </row>
    <row r="596" spans="1:11" ht="12.75">
      <c r="A596" s="69">
        <f ca="1">IFERROR(__xludf.DUMMYFUNCTION("""COMPUTED_VALUE"""),91071)</f>
        <v>91071</v>
      </c>
      <c r="B596" s="4">
        <f ca="1">IFERROR(__xludf.DUMMYFUNCTION("""COMPUTED_VALUE"""),44595)</f>
        <v>44595</v>
      </c>
      <c r="C596" t="str">
        <f ca="1">IFERROR(__xludf.DUMMYFUNCTION("""COMPUTED_VALUE"""),"ООО ""ЧИСТЫЙ ГОРОД-ОМСК"" 127-РДО от 01.01.2022")</f>
        <v>ООО "ЧИСТЫЙ ГОРОД-ОМСК" 127-РДО от 01.01.2022</v>
      </c>
      <c r="D5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" t="str">
        <f ca="1">IFERROR(__xludf.DUMMYFUNCTION("""COMPUTED_VALUE"""),"Новый")</f>
        <v>Новый</v>
      </c>
      <c r="G596" s="68"/>
      <c r="K596" s="68"/>
    </row>
    <row r="597" spans="1:11" ht="12.75">
      <c r="A597" s="69">
        <f ca="1">IFERROR(__xludf.DUMMYFUNCTION("""COMPUTED_VALUE"""),91072)</f>
        <v>91072</v>
      </c>
      <c r="B597" s="4">
        <f ca="1">IFERROR(__xludf.DUMMYFUNCTION("""COMPUTED_VALUE"""),44595)</f>
        <v>44595</v>
      </c>
      <c r="C597" t="str">
        <f ca="1">IFERROR(__xludf.DUMMYFUNCTION("""COMPUTED_VALUE"""),"ООО ""ЧИСТЫЙ ГОРОД-ОМСК"" 127-РДО от 01.01.2022")</f>
        <v>ООО "ЧИСТЫЙ ГОРОД-ОМСК" 127-РДО от 01.01.2022</v>
      </c>
      <c r="D5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" t="str">
        <f ca="1">IFERROR(__xludf.DUMMYFUNCTION("""COMPUTED_VALUE"""),"Новый")</f>
        <v>Новый</v>
      </c>
      <c r="G597" s="68"/>
      <c r="K597" s="68"/>
    </row>
    <row r="598" spans="1:11" ht="12.75">
      <c r="A598" s="69">
        <f ca="1">IFERROR(__xludf.DUMMYFUNCTION("""COMPUTED_VALUE"""),91073)</f>
        <v>91073</v>
      </c>
      <c r="B598" s="4">
        <f ca="1">IFERROR(__xludf.DUMMYFUNCTION("""COMPUTED_VALUE"""),44595)</f>
        <v>44595</v>
      </c>
      <c r="C598" t="str">
        <f ca="1">IFERROR(__xludf.DUMMYFUNCTION("""COMPUTED_VALUE"""),"ООО ""ЧИСТЫЙ ГОРОД-ОМСК"" 127-РДО от 01.01.2022")</f>
        <v>ООО "ЧИСТЫЙ ГОРОД-ОМСК" 127-РДО от 01.01.2022</v>
      </c>
      <c r="D5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" t="str">
        <f ca="1">IFERROR(__xludf.DUMMYFUNCTION("""COMPUTED_VALUE"""),"Новый")</f>
        <v>Новый</v>
      </c>
      <c r="G598" s="68"/>
      <c r="K598" s="68"/>
    </row>
    <row r="599" spans="1:11" ht="12.75">
      <c r="A599" s="69">
        <f ca="1">IFERROR(__xludf.DUMMYFUNCTION("""COMPUTED_VALUE"""),91074)</f>
        <v>91074</v>
      </c>
      <c r="B599" s="4">
        <f ca="1">IFERROR(__xludf.DUMMYFUNCTION("""COMPUTED_VALUE"""),44595)</f>
        <v>44595</v>
      </c>
      <c r="C599" t="str">
        <f ca="1">IFERROR(__xludf.DUMMYFUNCTION("""COMPUTED_VALUE"""),"ООО ""ЧИСТЫЙ ГОРОД-ОМСК"" 127-РДО от 01.01.2022")</f>
        <v>ООО "ЧИСТЫЙ ГОРОД-ОМСК" 127-РДО от 01.01.2022</v>
      </c>
      <c r="D5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" t="str">
        <f ca="1">IFERROR(__xludf.DUMMYFUNCTION("""COMPUTED_VALUE"""),"Новый")</f>
        <v>Новый</v>
      </c>
      <c r="G599" s="68"/>
      <c r="K599" s="68"/>
    </row>
    <row r="600" spans="1:11" ht="12.75">
      <c r="A600" s="69">
        <f ca="1">IFERROR(__xludf.DUMMYFUNCTION("""COMPUTED_VALUE"""),91075)</f>
        <v>91075</v>
      </c>
      <c r="B600" s="4">
        <f ca="1">IFERROR(__xludf.DUMMYFUNCTION("""COMPUTED_VALUE"""),44595)</f>
        <v>44595</v>
      </c>
      <c r="C600" t="str">
        <f ca="1">IFERROR(__xludf.DUMMYFUNCTION("""COMPUTED_VALUE"""),"ООО ""ЧИСТЫЙ ГОРОД-ОМСК"" 127-РДО от 01.01.2022")</f>
        <v>ООО "ЧИСТЫЙ ГОРОД-ОМСК" 127-РДО от 01.01.2022</v>
      </c>
      <c r="D6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" t="str">
        <f ca="1">IFERROR(__xludf.DUMMYFUNCTION("""COMPUTED_VALUE"""),"Новый")</f>
        <v>Новый</v>
      </c>
      <c r="G600" s="68"/>
      <c r="K600" s="68"/>
    </row>
    <row r="601" spans="1:11" ht="12.75">
      <c r="A601" s="69">
        <f ca="1">IFERROR(__xludf.DUMMYFUNCTION("""COMPUTED_VALUE"""),91076)</f>
        <v>91076</v>
      </c>
      <c r="B601" s="4">
        <f ca="1">IFERROR(__xludf.DUMMYFUNCTION("""COMPUTED_VALUE"""),44595)</f>
        <v>44595</v>
      </c>
      <c r="C601" t="str">
        <f ca="1">IFERROR(__xludf.DUMMYFUNCTION("""COMPUTED_VALUE"""),"ООО ""ЧИСТЫЙ ГОРОД-ОМСК"" 127-РДО от 01.01.2022")</f>
        <v>ООО "ЧИСТЫЙ ГОРОД-ОМСК" 127-РДО от 01.01.2022</v>
      </c>
      <c r="D6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" t="str">
        <f ca="1">IFERROR(__xludf.DUMMYFUNCTION("""COMPUTED_VALUE"""),"Новый")</f>
        <v>Новый</v>
      </c>
      <c r="G601" s="68"/>
      <c r="K601" s="68"/>
    </row>
    <row r="602" spans="1:11" ht="12.75">
      <c r="A602" s="69">
        <f ca="1">IFERROR(__xludf.DUMMYFUNCTION("""COMPUTED_VALUE"""),91077)</f>
        <v>91077</v>
      </c>
      <c r="B602" s="4">
        <f ca="1">IFERROR(__xludf.DUMMYFUNCTION("""COMPUTED_VALUE"""),44595)</f>
        <v>44595</v>
      </c>
      <c r="C602" t="str">
        <f ca="1">IFERROR(__xludf.DUMMYFUNCTION("""COMPUTED_VALUE"""),"ООО ""ЧИСТЫЙ ГОРОД-ОМСК"" 127-РДО от 01.01.2022")</f>
        <v>ООО "ЧИСТЫЙ ГОРОД-ОМСК" 127-РДО от 01.01.2022</v>
      </c>
      <c r="D6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" t="str">
        <f ca="1">IFERROR(__xludf.DUMMYFUNCTION("""COMPUTED_VALUE"""),"Новый")</f>
        <v>Новый</v>
      </c>
      <c r="G602" s="68"/>
      <c r="K602" s="68"/>
    </row>
    <row r="603" spans="1:11" ht="12.75">
      <c r="A603" s="69">
        <f ca="1">IFERROR(__xludf.DUMMYFUNCTION("""COMPUTED_VALUE"""),91078)</f>
        <v>91078</v>
      </c>
      <c r="B603" s="4">
        <f ca="1">IFERROR(__xludf.DUMMYFUNCTION("""COMPUTED_VALUE"""),44595)</f>
        <v>44595</v>
      </c>
      <c r="C603" t="str">
        <f ca="1">IFERROR(__xludf.DUMMYFUNCTION("""COMPUTED_VALUE"""),"ООО ""ЧИСТЫЙ ГОРОД-ОМСК"" 127-РДО от 01.01.2022")</f>
        <v>ООО "ЧИСТЫЙ ГОРОД-ОМСК" 127-РДО от 01.01.2022</v>
      </c>
      <c r="D6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" t="str">
        <f ca="1">IFERROR(__xludf.DUMMYFUNCTION("""COMPUTED_VALUE"""),"Новый")</f>
        <v>Новый</v>
      </c>
      <c r="G603" s="68"/>
      <c r="K603" s="68"/>
    </row>
    <row r="604" spans="1:11" ht="12.75">
      <c r="A604" s="69">
        <f ca="1">IFERROR(__xludf.DUMMYFUNCTION("""COMPUTED_VALUE"""),91079)</f>
        <v>91079</v>
      </c>
      <c r="B604" s="4">
        <f ca="1">IFERROR(__xludf.DUMMYFUNCTION("""COMPUTED_VALUE"""),44595)</f>
        <v>44595</v>
      </c>
      <c r="C604" t="str">
        <f ca="1">IFERROR(__xludf.DUMMYFUNCTION("""COMPUTED_VALUE"""),"ООО ""ЧИСТЫЙ ГОРОД-ОМСК"" 127-РДО от 01.01.2022")</f>
        <v>ООО "ЧИСТЫЙ ГОРОД-ОМСК" 127-РДО от 01.01.2022</v>
      </c>
      <c r="D6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" t="str">
        <f ca="1">IFERROR(__xludf.DUMMYFUNCTION("""COMPUTED_VALUE"""),"Новый")</f>
        <v>Новый</v>
      </c>
      <c r="G604" s="68"/>
      <c r="K604" s="68"/>
    </row>
    <row r="605" spans="1:11" ht="12.75">
      <c r="A605" s="69">
        <f ca="1">IFERROR(__xludf.DUMMYFUNCTION("""COMPUTED_VALUE"""),91080)</f>
        <v>91080</v>
      </c>
      <c r="B605" s="4">
        <f ca="1">IFERROR(__xludf.DUMMYFUNCTION("""COMPUTED_VALUE"""),44595)</f>
        <v>44595</v>
      </c>
      <c r="C605" t="str">
        <f ca="1">IFERROR(__xludf.DUMMYFUNCTION("""COMPUTED_VALUE"""),"ООО ""ЧИСТЫЙ ГОРОД-ОМСК"" 127-РДО от 01.01.2022")</f>
        <v>ООО "ЧИСТЫЙ ГОРОД-ОМСК" 127-РДО от 01.01.2022</v>
      </c>
      <c r="D6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" t="str">
        <f ca="1">IFERROR(__xludf.DUMMYFUNCTION("""COMPUTED_VALUE"""),"Новый")</f>
        <v>Новый</v>
      </c>
      <c r="G605" s="68"/>
      <c r="K605" s="68"/>
    </row>
    <row r="606" spans="1:11" ht="12.75">
      <c r="A606" s="69">
        <f ca="1">IFERROR(__xludf.DUMMYFUNCTION("""COMPUTED_VALUE"""),91081)</f>
        <v>91081</v>
      </c>
      <c r="B606" s="4">
        <f ca="1">IFERROR(__xludf.DUMMYFUNCTION("""COMPUTED_VALUE"""),44595)</f>
        <v>44595</v>
      </c>
      <c r="C606" t="str">
        <f ca="1">IFERROR(__xludf.DUMMYFUNCTION("""COMPUTED_VALUE"""),"ООО ""ЧИСТЫЙ ГОРОД-ОМСК"" 127-РДО от 01.01.2022")</f>
        <v>ООО "ЧИСТЫЙ ГОРОД-ОМСК" 127-РДО от 01.01.2022</v>
      </c>
      <c r="D6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6" t="str">
        <f ca="1">IFERROR(__xludf.DUMMYFUNCTION("""COMPUTED_VALUE"""),"Новый")</f>
        <v>Новый</v>
      </c>
      <c r="G606" s="68"/>
      <c r="K606" s="68"/>
    </row>
    <row r="607" spans="1:11" ht="12.75">
      <c r="A607" s="69">
        <f ca="1">IFERROR(__xludf.DUMMYFUNCTION("""COMPUTED_VALUE"""),91082)</f>
        <v>91082</v>
      </c>
      <c r="B607" s="4">
        <f ca="1">IFERROR(__xludf.DUMMYFUNCTION("""COMPUTED_VALUE"""),44595)</f>
        <v>44595</v>
      </c>
      <c r="C607" t="str">
        <f ca="1">IFERROR(__xludf.DUMMYFUNCTION("""COMPUTED_VALUE"""),"ООО ""ЧИСТЫЙ ГОРОД-ОМСК"" 127-РДО от 01.01.2022")</f>
        <v>ООО "ЧИСТЫЙ ГОРОД-ОМСК" 127-РДО от 01.01.2022</v>
      </c>
      <c r="D6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7" t="str">
        <f ca="1">IFERROR(__xludf.DUMMYFUNCTION("""COMPUTED_VALUE"""),"Новый")</f>
        <v>Новый</v>
      </c>
      <c r="G607" s="68"/>
      <c r="K607" s="68"/>
    </row>
    <row r="608" spans="1:11" ht="12.75">
      <c r="A608" s="69">
        <f ca="1">IFERROR(__xludf.DUMMYFUNCTION("""COMPUTED_VALUE"""),91083)</f>
        <v>91083</v>
      </c>
      <c r="B608" s="4">
        <f ca="1">IFERROR(__xludf.DUMMYFUNCTION("""COMPUTED_VALUE"""),44595)</f>
        <v>44595</v>
      </c>
      <c r="C608" t="str">
        <f ca="1">IFERROR(__xludf.DUMMYFUNCTION("""COMPUTED_VALUE"""),"ООО ""ЧИСТЫЙ ГОРОД-ОМСК"" 127-РДО от 01.01.2022")</f>
        <v>ООО "ЧИСТЫЙ ГОРОД-ОМСК" 127-РДО от 01.01.2022</v>
      </c>
      <c r="D6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" t="str">
        <f ca="1">IFERROR(__xludf.DUMMYFUNCTION("""COMPUTED_VALUE"""),"Новый")</f>
        <v>Новый</v>
      </c>
      <c r="G608" s="68"/>
      <c r="K608" s="68"/>
    </row>
    <row r="609" spans="1:11" ht="12.75">
      <c r="A609" s="69">
        <f ca="1">IFERROR(__xludf.DUMMYFUNCTION("""COMPUTED_VALUE"""),91084)</f>
        <v>91084</v>
      </c>
      <c r="B609" s="4">
        <f ca="1">IFERROR(__xludf.DUMMYFUNCTION("""COMPUTED_VALUE"""),44595)</f>
        <v>44595</v>
      </c>
      <c r="C609" t="str">
        <f ca="1">IFERROR(__xludf.DUMMYFUNCTION("""COMPUTED_VALUE"""),"ООО ""ЧИСТЫЙ ГОРОД-ОМСК"" 127-РДО от 01.01.2022")</f>
        <v>ООО "ЧИСТЫЙ ГОРОД-ОМСК" 127-РДО от 01.01.2022</v>
      </c>
      <c r="D6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" t="str">
        <f ca="1">IFERROR(__xludf.DUMMYFUNCTION("""COMPUTED_VALUE"""),"Новый")</f>
        <v>Новый</v>
      </c>
      <c r="G609" s="68"/>
      <c r="K609" s="68"/>
    </row>
    <row r="610" spans="1:11" ht="12.75">
      <c r="A610" s="69">
        <f ca="1">IFERROR(__xludf.DUMMYFUNCTION("""COMPUTED_VALUE"""),91085)</f>
        <v>91085</v>
      </c>
      <c r="B610" s="4">
        <f ca="1">IFERROR(__xludf.DUMMYFUNCTION("""COMPUTED_VALUE"""),44595)</f>
        <v>44595</v>
      </c>
      <c r="C610" t="str">
        <f ca="1">IFERROR(__xludf.DUMMYFUNCTION("""COMPUTED_VALUE"""),"ООО ""ЧИСТЫЙ ГОРОД-ОМСК"" 127-РДО от 01.01.2022")</f>
        <v>ООО "ЧИСТЫЙ ГОРОД-ОМСК" 127-РДО от 01.01.2022</v>
      </c>
      <c r="D6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0" t="str">
        <f ca="1">IFERROR(__xludf.DUMMYFUNCTION("""COMPUTED_VALUE"""),"Новый")</f>
        <v>Новый</v>
      </c>
      <c r="G610" s="68"/>
      <c r="K610" s="68"/>
    </row>
    <row r="611" spans="1:11" ht="12.75">
      <c r="A611" s="69">
        <f ca="1">IFERROR(__xludf.DUMMYFUNCTION("""COMPUTED_VALUE"""),91086)</f>
        <v>91086</v>
      </c>
      <c r="B611" s="4">
        <f ca="1">IFERROR(__xludf.DUMMYFUNCTION("""COMPUTED_VALUE"""),44595)</f>
        <v>44595</v>
      </c>
      <c r="C611" t="str">
        <f ca="1">IFERROR(__xludf.DUMMYFUNCTION("""COMPUTED_VALUE"""),"ООО ""ЧИСТЫЙ ГОРОД-ОМСК"" 127-РДО от 01.01.2022")</f>
        <v>ООО "ЧИСТЫЙ ГОРОД-ОМСК" 127-РДО от 01.01.2022</v>
      </c>
      <c r="D6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1" t="str">
        <f ca="1">IFERROR(__xludf.DUMMYFUNCTION("""COMPUTED_VALUE"""),"Новый")</f>
        <v>Новый</v>
      </c>
      <c r="G611" s="68"/>
      <c r="K611" s="68"/>
    </row>
    <row r="612" spans="1:11" ht="12.75">
      <c r="A612" s="69">
        <f ca="1">IFERROR(__xludf.DUMMYFUNCTION("""COMPUTED_VALUE"""),91087)</f>
        <v>91087</v>
      </c>
      <c r="B612" s="4">
        <f ca="1">IFERROR(__xludf.DUMMYFUNCTION("""COMPUTED_VALUE"""),44595)</f>
        <v>44595</v>
      </c>
      <c r="C612" t="str">
        <f ca="1">IFERROR(__xludf.DUMMYFUNCTION("""COMPUTED_VALUE"""),"ООО ""ЧИСТЫЙ ГОРОД-ОМСК"" 127-РДО от 01.01.2022")</f>
        <v>ООО "ЧИСТЫЙ ГОРОД-ОМСК" 127-РДО от 01.01.2022</v>
      </c>
      <c r="D6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2" t="str">
        <f ca="1">IFERROR(__xludf.DUMMYFUNCTION("""COMPUTED_VALUE"""),"Новый")</f>
        <v>Новый</v>
      </c>
      <c r="G612" s="68"/>
      <c r="K612" s="68"/>
    </row>
    <row r="613" spans="1:11" ht="12.75">
      <c r="A613" s="69">
        <f ca="1">IFERROR(__xludf.DUMMYFUNCTION("""COMPUTED_VALUE"""),91088)</f>
        <v>91088</v>
      </c>
      <c r="B613" s="4">
        <f ca="1">IFERROR(__xludf.DUMMYFUNCTION("""COMPUTED_VALUE"""),44595)</f>
        <v>44595</v>
      </c>
      <c r="C613" t="str">
        <f ca="1">IFERROR(__xludf.DUMMYFUNCTION("""COMPUTED_VALUE"""),"ООО ""ЧИСТЫЙ ГОРОД-ОМСК"" 127-РДО от 01.01.2022")</f>
        <v>ООО "ЧИСТЫЙ ГОРОД-ОМСК" 127-РДО от 01.01.2022</v>
      </c>
      <c r="D6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3" t="str">
        <f ca="1">IFERROR(__xludf.DUMMYFUNCTION("""COMPUTED_VALUE"""),"Новый")</f>
        <v>Новый</v>
      </c>
      <c r="G613" s="68"/>
      <c r="K613" s="68"/>
    </row>
    <row r="614" spans="1:11" ht="12.75">
      <c r="A614" s="69">
        <f ca="1">IFERROR(__xludf.DUMMYFUNCTION("""COMPUTED_VALUE"""),91089)</f>
        <v>91089</v>
      </c>
      <c r="B614" s="4">
        <f ca="1">IFERROR(__xludf.DUMMYFUNCTION("""COMPUTED_VALUE"""),44595)</f>
        <v>44595</v>
      </c>
      <c r="C614" t="str">
        <f ca="1">IFERROR(__xludf.DUMMYFUNCTION("""COMPUTED_VALUE"""),"ООО ""ЧИСТЫЙ ГОРОД-ОМСК"" 127-РДО от 01.01.2022")</f>
        <v>ООО "ЧИСТЫЙ ГОРОД-ОМСК" 127-РДО от 01.01.2022</v>
      </c>
      <c r="D6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4" t="str">
        <f ca="1">IFERROR(__xludf.DUMMYFUNCTION("""COMPUTED_VALUE"""),"Новый")</f>
        <v>Новый</v>
      </c>
      <c r="G614" s="68"/>
      <c r="K614" s="68"/>
    </row>
    <row r="615" spans="1:11" ht="12.75">
      <c r="A615" s="69">
        <f ca="1">IFERROR(__xludf.DUMMYFUNCTION("""COMPUTED_VALUE"""),91090)</f>
        <v>91090</v>
      </c>
      <c r="B615" s="4">
        <f ca="1">IFERROR(__xludf.DUMMYFUNCTION("""COMPUTED_VALUE"""),44595)</f>
        <v>44595</v>
      </c>
      <c r="C615" t="str">
        <f ca="1">IFERROR(__xludf.DUMMYFUNCTION("""COMPUTED_VALUE"""),"ООО ""ЧИСТЫЙ ГОРОД-ОМСК"" 127-РДО от 01.01.2022")</f>
        <v>ООО "ЧИСТЫЙ ГОРОД-ОМСК" 127-РДО от 01.01.2022</v>
      </c>
      <c r="D6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5" t="str">
        <f ca="1">IFERROR(__xludf.DUMMYFUNCTION("""COMPUTED_VALUE"""),"Новый")</f>
        <v>Новый</v>
      </c>
      <c r="G615" s="68"/>
      <c r="K615" s="68"/>
    </row>
    <row r="616" spans="1:11" ht="12.75">
      <c r="A616" s="69">
        <f ca="1">IFERROR(__xludf.DUMMYFUNCTION("""COMPUTED_VALUE"""),91091)</f>
        <v>91091</v>
      </c>
      <c r="B616" s="4">
        <f ca="1">IFERROR(__xludf.DUMMYFUNCTION("""COMPUTED_VALUE"""),44595)</f>
        <v>44595</v>
      </c>
      <c r="C616" t="str">
        <f ca="1">IFERROR(__xludf.DUMMYFUNCTION("""COMPUTED_VALUE"""),"ООО ""ЧИСТЫЙ ГОРОД-ОМСК"" 127-РДО от 01.01.2022")</f>
        <v>ООО "ЧИСТЫЙ ГОРОД-ОМСК" 127-РДО от 01.01.2022</v>
      </c>
      <c r="D6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6" t="str">
        <f ca="1">IFERROR(__xludf.DUMMYFUNCTION("""COMPUTED_VALUE"""),"Новый")</f>
        <v>Новый</v>
      </c>
      <c r="G616" s="68"/>
      <c r="K616" s="68"/>
    </row>
    <row r="617" spans="1:11" ht="12.75">
      <c r="A617" s="69">
        <f ca="1">IFERROR(__xludf.DUMMYFUNCTION("""COMPUTED_VALUE"""),91092)</f>
        <v>91092</v>
      </c>
      <c r="B617" s="4">
        <f ca="1">IFERROR(__xludf.DUMMYFUNCTION("""COMPUTED_VALUE"""),44595)</f>
        <v>44595</v>
      </c>
      <c r="C617" t="str">
        <f ca="1">IFERROR(__xludf.DUMMYFUNCTION("""COMPUTED_VALUE"""),"ООО ""ЧИСТЫЙ ГОРОД-ОМСК"" 127-РДО от 01.01.2022")</f>
        <v>ООО "ЧИСТЫЙ ГОРОД-ОМСК" 127-РДО от 01.01.2022</v>
      </c>
      <c r="D6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7" t="str">
        <f ca="1">IFERROR(__xludf.DUMMYFUNCTION("""COMPUTED_VALUE"""),"Новый")</f>
        <v>Новый</v>
      </c>
      <c r="G617" s="68"/>
      <c r="K617" s="68"/>
    </row>
    <row r="618" spans="1:11" ht="12.75">
      <c r="A618" s="69">
        <f ca="1">IFERROR(__xludf.DUMMYFUNCTION("""COMPUTED_VALUE"""),91093)</f>
        <v>91093</v>
      </c>
      <c r="B618" s="4">
        <f ca="1">IFERROR(__xludf.DUMMYFUNCTION("""COMPUTED_VALUE"""),44595)</f>
        <v>44595</v>
      </c>
      <c r="C618" t="str">
        <f ca="1">IFERROR(__xludf.DUMMYFUNCTION("""COMPUTED_VALUE"""),"ООО ""ЧИСТЫЙ ГОРОД-ОМСК"" 127-РДО от 01.01.2022")</f>
        <v>ООО "ЧИСТЫЙ ГОРОД-ОМСК" 127-РДО от 01.01.2022</v>
      </c>
      <c r="D6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8" t="str">
        <f ca="1">IFERROR(__xludf.DUMMYFUNCTION("""COMPUTED_VALUE"""),"Новый")</f>
        <v>Новый</v>
      </c>
      <c r="G618" s="68"/>
      <c r="K618" s="68"/>
    </row>
    <row r="619" spans="1:11" ht="12.75">
      <c r="A619" s="69">
        <f ca="1">IFERROR(__xludf.DUMMYFUNCTION("""COMPUTED_VALUE"""),91094)</f>
        <v>91094</v>
      </c>
      <c r="B619" s="4">
        <f ca="1">IFERROR(__xludf.DUMMYFUNCTION("""COMPUTED_VALUE"""),44595)</f>
        <v>44595</v>
      </c>
      <c r="C619" t="str">
        <f ca="1">IFERROR(__xludf.DUMMYFUNCTION("""COMPUTED_VALUE"""),"ООО ""ЧИСТЫЙ ГОРОД-ОМСК"" 127-РДО от 01.01.2022")</f>
        <v>ООО "ЧИСТЫЙ ГОРОД-ОМСК" 127-РДО от 01.01.2022</v>
      </c>
      <c r="D6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19" t="str">
        <f ca="1">IFERROR(__xludf.DUMMYFUNCTION("""COMPUTED_VALUE"""),"Новый")</f>
        <v>Новый</v>
      </c>
      <c r="G619" s="68"/>
      <c r="K619" s="68"/>
    </row>
    <row r="620" spans="1:11" ht="12.75">
      <c r="A620" s="69">
        <f ca="1">IFERROR(__xludf.DUMMYFUNCTION("""COMPUTED_VALUE"""),91095)</f>
        <v>91095</v>
      </c>
      <c r="B620" s="4">
        <f ca="1">IFERROR(__xludf.DUMMYFUNCTION("""COMPUTED_VALUE"""),44595)</f>
        <v>44595</v>
      </c>
      <c r="C620" t="str">
        <f ca="1">IFERROR(__xludf.DUMMYFUNCTION("""COMPUTED_VALUE"""),"ООО ""ЧИСТЫЙ ГОРОД-ОМСК"" 127-РДО от 01.01.2022")</f>
        <v>ООО "ЧИСТЫЙ ГОРОД-ОМСК" 127-РДО от 01.01.2022</v>
      </c>
      <c r="D6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0" t="str">
        <f ca="1">IFERROR(__xludf.DUMMYFUNCTION("""COMPUTED_VALUE"""),"Новый")</f>
        <v>Новый</v>
      </c>
      <c r="G620" s="68"/>
      <c r="K620" s="68"/>
    </row>
    <row r="621" spans="1:11" ht="12.75">
      <c r="A621" s="69">
        <f ca="1">IFERROR(__xludf.DUMMYFUNCTION("""COMPUTED_VALUE"""),91096)</f>
        <v>91096</v>
      </c>
      <c r="B621" s="4">
        <f ca="1">IFERROR(__xludf.DUMMYFUNCTION("""COMPUTED_VALUE"""),44595)</f>
        <v>44595</v>
      </c>
      <c r="C621" t="str">
        <f ca="1">IFERROR(__xludf.DUMMYFUNCTION("""COMPUTED_VALUE"""),"ООО ""ЧИСТЫЙ ГОРОД-ОМСК"" 127-РДО от 01.01.2022")</f>
        <v>ООО "ЧИСТЫЙ ГОРОД-ОМСК" 127-РДО от 01.01.2022</v>
      </c>
      <c r="D6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1" t="str">
        <f ca="1">IFERROR(__xludf.DUMMYFUNCTION("""COMPUTED_VALUE"""),"Новый")</f>
        <v>Новый</v>
      </c>
      <c r="G621" s="68"/>
      <c r="K621" s="68"/>
    </row>
    <row r="622" spans="1:11" ht="12.75">
      <c r="A622" s="69">
        <f ca="1">IFERROR(__xludf.DUMMYFUNCTION("""COMPUTED_VALUE"""),91097)</f>
        <v>91097</v>
      </c>
      <c r="B622" s="4">
        <f ca="1">IFERROR(__xludf.DUMMYFUNCTION("""COMPUTED_VALUE"""),44595)</f>
        <v>44595</v>
      </c>
      <c r="C622" t="str">
        <f ca="1">IFERROR(__xludf.DUMMYFUNCTION("""COMPUTED_VALUE"""),"ООО ""ЧИСТЫЙ ГОРОД-ОМСК"" 127-РДО от 01.01.2022")</f>
        <v>ООО "ЧИСТЫЙ ГОРОД-ОМСК" 127-РДО от 01.01.2022</v>
      </c>
      <c r="D6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2" t="str">
        <f ca="1">IFERROR(__xludf.DUMMYFUNCTION("""COMPUTED_VALUE"""),"Новый")</f>
        <v>Новый</v>
      </c>
      <c r="G622" s="68"/>
      <c r="K622" s="68"/>
    </row>
    <row r="623" spans="1:11" ht="12.75">
      <c r="A623" s="69">
        <f ca="1">IFERROR(__xludf.DUMMYFUNCTION("""COMPUTED_VALUE"""),91098)</f>
        <v>91098</v>
      </c>
      <c r="B623" s="4">
        <f ca="1">IFERROR(__xludf.DUMMYFUNCTION("""COMPUTED_VALUE"""),44595)</f>
        <v>44595</v>
      </c>
      <c r="C623" t="str">
        <f ca="1">IFERROR(__xludf.DUMMYFUNCTION("""COMPUTED_VALUE"""),"ООО ""ЧИСТЫЙ ГОРОД-ОМСК"" 127-РДО от 01.01.2022")</f>
        <v>ООО "ЧИСТЫЙ ГОРОД-ОМСК" 127-РДО от 01.01.2022</v>
      </c>
      <c r="D6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3" t="str">
        <f ca="1">IFERROR(__xludf.DUMMYFUNCTION("""COMPUTED_VALUE"""),"Новый")</f>
        <v>Новый</v>
      </c>
      <c r="G623" s="68"/>
      <c r="K623" s="68"/>
    </row>
    <row r="624" spans="1:11" ht="12.75">
      <c r="A624" s="69">
        <f ca="1">IFERROR(__xludf.DUMMYFUNCTION("""COMPUTED_VALUE"""),91099)</f>
        <v>91099</v>
      </c>
      <c r="B624" s="4">
        <f ca="1">IFERROR(__xludf.DUMMYFUNCTION("""COMPUTED_VALUE"""),44595)</f>
        <v>44595</v>
      </c>
      <c r="C624" t="str">
        <f ca="1">IFERROR(__xludf.DUMMYFUNCTION("""COMPUTED_VALUE"""),"ООО ""ЧИСТЫЙ ГОРОД-ОМСК"" 127-РДО от 01.01.2022")</f>
        <v>ООО "ЧИСТЫЙ ГОРОД-ОМСК" 127-РДО от 01.01.2022</v>
      </c>
      <c r="D6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4" t="str">
        <f ca="1">IFERROR(__xludf.DUMMYFUNCTION("""COMPUTED_VALUE"""),"Новый")</f>
        <v>Новый</v>
      </c>
      <c r="G624" s="68"/>
      <c r="K624" s="68"/>
    </row>
    <row r="625" spans="1:11" ht="12.75">
      <c r="A625" s="69">
        <f ca="1">IFERROR(__xludf.DUMMYFUNCTION("""COMPUTED_VALUE"""),91100)</f>
        <v>91100</v>
      </c>
      <c r="B625" s="4">
        <f ca="1">IFERROR(__xludf.DUMMYFUNCTION("""COMPUTED_VALUE"""),44595)</f>
        <v>44595</v>
      </c>
      <c r="C625" t="str">
        <f ca="1">IFERROR(__xludf.DUMMYFUNCTION("""COMPUTED_VALUE"""),"ООО ""ЧИСТЫЙ ГОРОД-ОМСК"" 127-РДО от 01.01.2022")</f>
        <v>ООО "ЧИСТЫЙ ГОРОД-ОМСК" 127-РДО от 01.01.2022</v>
      </c>
      <c r="D6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5" t="str">
        <f ca="1">IFERROR(__xludf.DUMMYFUNCTION("""COMPUTED_VALUE"""),"Новый")</f>
        <v>Новый</v>
      </c>
      <c r="G625" s="68"/>
      <c r="K625" s="68"/>
    </row>
    <row r="626" spans="1:11" ht="12.75">
      <c r="A626" s="69">
        <f ca="1">IFERROR(__xludf.DUMMYFUNCTION("""COMPUTED_VALUE"""),91101)</f>
        <v>91101</v>
      </c>
      <c r="B626" s="4">
        <f ca="1">IFERROR(__xludf.DUMMYFUNCTION("""COMPUTED_VALUE"""),44595)</f>
        <v>44595</v>
      </c>
      <c r="C626" t="str">
        <f ca="1">IFERROR(__xludf.DUMMYFUNCTION("""COMPUTED_VALUE"""),"ООО ""ЧИСТЫЙ ГОРОД-ОМСК"" 127-РДО от 01.01.2022")</f>
        <v>ООО "ЧИСТЫЙ ГОРОД-ОМСК" 127-РДО от 01.01.2022</v>
      </c>
      <c r="D6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" t="str">
        <f ca="1">IFERROR(__xludf.DUMMYFUNCTION("""COMPUTED_VALUE"""),"Новый")</f>
        <v>Новый</v>
      </c>
      <c r="G626" s="68"/>
      <c r="K626" s="68"/>
    </row>
    <row r="627" spans="1:11" ht="12.75">
      <c r="A627" s="69">
        <f ca="1">IFERROR(__xludf.DUMMYFUNCTION("""COMPUTED_VALUE"""),91102)</f>
        <v>91102</v>
      </c>
      <c r="B627" s="4">
        <f ca="1">IFERROR(__xludf.DUMMYFUNCTION("""COMPUTED_VALUE"""),44595)</f>
        <v>44595</v>
      </c>
      <c r="C627" t="str">
        <f ca="1">IFERROR(__xludf.DUMMYFUNCTION("""COMPUTED_VALUE"""),"ООО ""ЧИСТЫЙ ГОРОД-ОМСК"" 127-РДО от 01.01.2022")</f>
        <v>ООО "ЧИСТЫЙ ГОРОД-ОМСК" 127-РДО от 01.01.2022</v>
      </c>
      <c r="D6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" t="str">
        <f ca="1">IFERROR(__xludf.DUMMYFUNCTION("""COMPUTED_VALUE"""),"Новый")</f>
        <v>Новый</v>
      </c>
      <c r="G627" s="68"/>
      <c r="K627" s="68"/>
    </row>
    <row r="628" spans="1:11" ht="12.75">
      <c r="A628" s="69">
        <f ca="1">IFERROR(__xludf.DUMMYFUNCTION("""COMPUTED_VALUE"""),91103)</f>
        <v>91103</v>
      </c>
      <c r="B628" s="4">
        <f ca="1">IFERROR(__xludf.DUMMYFUNCTION("""COMPUTED_VALUE"""),44595)</f>
        <v>44595</v>
      </c>
      <c r="C628" t="str">
        <f ca="1">IFERROR(__xludf.DUMMYFUNCTION("""COMPUTED_VALUE"""),"ООО ""ЧИСТЫЙ ГОРОД-ОМСК"" 127-РДО от 01.01.2022")</f>
        <v>ООО "ЧИСТЫЙ ГОРОД-ОМСК" 127-РДО от 01.01.2022</v>
      </c>
      <c r="D6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" t="str">
        <f ca="1">IFERROR(__xludf.DUMMYFUNCTION("""COMPUTED_VALUE"""),"Новый")</f>
        <v>Новый</v>
      </c>
      <c r="G628" s="68"/>
      <c r="K628" s="68"/>
    </row>
    <row r="629" spans="1:11" ht="12.75">
      <c r="A629" s="69">
        <f ca="1">IFERROR(__xludf.DUMMYFUNCTION("""COMPUTED_VALUE"""),91104)</f>
        <v>91104</v>
      </c>
      <c r="B629" s="4">
        <f ca="1">IFERROR(__xludf.DUMMYFUNCTION("""COMPUTED_VALUE"""),44595)</f>
        <v>44595</v>
      </c>
      <c r="C629" t="str">
        <f ca="1">IFERROR(__xludf.DUMMYFUNCTION("""COMPUTED_VALUE"""),"ООО ""ЧИСТЫЙ ГОРОД-ОМСК"" 127-РДО от 01.01.2022")</f>
        <v>ООО "ЧИСТЫЙ ГОРОД-ОМСК" 127-РДО от 01.01.2022</v>
      </c>
      <c r="D6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" t="str">
        <f ca="1">IFERROR(__xludf.DUMMYFUNCTION("""COMPUTED_VALUE"""),"Новый")</f>
        <v>Новый</v>
      </c>
      <c r="G629" s="68"/>
      <c r="K629" s="68"/>
    </row>
    <row r="630" spans="1:11" ht="12.75">
      <c r="A630" s="69">
        <f ca="1">IFERROR(__xludf.DUMMYFUNCTION("""COMPUTED_VALUE"""),91105)</f>
        <v>91105</v>
      </c>
      <c r="B630" s="4">
        <f ca="1">IFERROR(__xludf.DUMMYFUNCTION("""COMPUTED_VALUE"""),44595)</f>
        <v>44595</v>
      </c>
      <c r="C630" t="str">
        <f ca="1">IFERROR(__xludf.DUMMYFUNCTION("""COMPUTED_VALUE"""),"ООО ""ЧИСТЫЙ ГОРОД-ОМСК"" 127-РДО от 01.01.2022")</f>
        <v>ООО "ЧИСТЫЙ ГОРОД-ОМСК" 127-РДО от 01.01.2022</v>
      </c>
      <c r="D6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" t="str">
        <f ca="1">IFERROR(__xludf.DUMMYFUNCTION("""COMPUTED_VALUE"""),"Новый")</f>
        <v>Новый</v>
      </c>
      <c r="G630" s="68"/>
      <c r="K630" s="68"/>
    </row>
    <row r="631" spans="1:11" ht="12.75">
      <c r="A631" s="69">
        <f ca="1">IFERROR(__xludf.DUMMYFUNCTION("""COMPUTED_VALUE"""),91106)</f>
        <v>91106</v>
      </c>
      <c r="B631" s="4">
        <f ca="1">IFERROR(__xludf.DUMMYFUNCTION("""COMPUTED_VALUE"""),44595)</f>
        <v>44595</v>
      </c>
      <c r="C631" t="str">
        <f ca="1">IFERROR(__xludf.DUMMYFUNCTION("""COMPUTED_VALUE"""),"ООО ""ЧИСТЫЙ ГОРОД-ОМСК"" 127-РДО от 01.01.2022")</f>
        <v>ООО "ЧИСТЫЙ ГОРОД-ОМСК" 127-РДО от 01.01.2022</v>
      </c>
      <c r="D6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" t="str">
        <f ca="1">IFERROR(__xludf.DUMMYFUNCTION("""COMPUTED_VALUE"""),"Новый")</f>
        <v>Новый</v>
      </c>
      <c r="G631" s="68"/>
      <c r="K631" s="68"/>
    </row>
    <row r="632" spans="1:11" ht="12.75">
      <c r="A632" s="69">
        <f ca="1">IFERROR(__xludf.DUMMYFUNCTION("""COMPUTED_VALUE"""),91107)</f>
        <v>91107</v>
      </c>
      <c r="B632" s="4">
        <f ca="1">IFERROR(__xludf.DUMMYFUNCTION("""COMPUTED_VALUE"""),44595)</f>
        <v>44595</v>
      </c>
      <c r="C632" t="str">
        <f ca="1">IFERROR(__xludf.DUMMYFUNCTION("""COMPUTED_VALUE"""),"ООО ""ЧИСТЫЙ ГОРОД-ОМСК"" 127-РДО от 01.01.2022")</f>
        <v>ООО "ЧИСТЫЙ ГОРОД-ОМСК" 127-РДО от 01.01.2022</v>
      </c>
      <c r="D6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" t="str">
        <f ca="1">IFERROR(__xludf.DUMMYFUNCTION("""COMPUTED_VALUE"""),"Новый")</f>
        <v>Новый</v>
      </c>
      <c r="G632" s="68"/>
      <c r="K632" s="68"/>
    </row>
    <row r="633" spans="1:11" ht="12.75">
      <c r="A633" s="69">
        <f ca="1">IFERROR(__xludf.DUMMYFUNCTION("""COMPUTED_VALUE"""),91108)</f>
        <v>91108</v>
      </c>
      <c r="B633" s="4">
        <f ca="1">IFERROR(__xludf.DUMMYFUNCTION("""COMPUTED_VALUE"""),44595)</f>
        <v>44595</v>
      </c>
      <c r="C633" t="str">
        <f ca="1">IFERROR(__xludf.DUMMYFUNCTION("""COMPUTED_VALUE"""),"ООО ""ЧИСТЫЙ ГОРОД-ОМСК"" 127-РДО от 01.01.2022")</f>
        <v>ООО "ЧИСТЫЙ ГОРОД-ОМСК" 127-РДО от 01.01.2022</v>
      </c>
      <c r="D6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" t="str">
        <f ca="1">IFERROR(__xludf.DUMMYFUNCTION("""COMPUTED_VALUE"""),"Новый")</f>
        <v>Новый</v>
      </c>
      <c r="G633" s="68"/>
      <c r="K633" s="68"/>
    </row>
    <row r="634" spans="1:11" ht="12.75">
      <c r="A634" s="69">
        <f ca="1">IFERROR(__xludf.DUMMYFUNCTION("""COMPUTED_VALUE"""),91109)</f>
        <v>91109</v>
      </c>
      <c r="B634" s="4">
        <f ca="1">IFERROR(__xludf.DUMMYFUNCTION("""COMPUTED_VALUE"""),44595)</f>
        <v>44595</v>
      </c>
      <c r="C634" t="str">
        <f ca="1">IFERROR(__xludf.DUMMYFUNCTION("""COMPUTED_VALUE"""),"ООО ""ЧИСТЫЙ ГОРОД-ОМСК"" 127-РДО от 01.01.2022")</f>
        <v>ООО "ЧИСТЫЙ ГОРОД-ОМСК" 127-РДО от 01.01.2022</v>
      </c>
      <c r="D6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" t="str">
        <f ca="1">IFERROR(__xludf.DUMMYFUNCTION("""COMPUTED_VALUE"""),"Новый")</f>
        <v>Новый</v>
      </c>
      <c r="G634" s="68"/>
      <c r="K634" s="68"/>
    </row>
    <row r="635" spans="1:11" ht="12.75">
      <c r="A635" s="69">
        <f ca="1">IFERROR(__xludf.DUMMYFUNCTION("""COMPUTED_VALUE"""),91110)</f>
        <v>91110</v>
      </c>
      <c r="B635" s="4">
        <f ca="1">IFERROR(__xludf.DUMMYFUNCTION("""COMPUTED_VALUE"""),44595)</f>
        <v>44595</v>
      </c>
      <c r="C635" t="str">
        <f ca="1">IFERROR(__xludf.DUMMYFUNCTION("""COMPUTED_VALUE"""),"ООО ""ЧИСТЫЙ ГОРОД-ОМСК"" 127-РДО от 01.01.2022")</f>
        <v>ООО "ЧИСТЫЙ ГОРОД-ОМСК" 127-РДО от 01.01.2022</v>
      </c>
      <c r="D6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" t="str">
        <f ca="1">IFERROR(__xludf.DUMMYFUNCTION("""COMPUTED_VALUE"""),"Новый")</f>
        <v>Новый</v>
      </c>
      <c r="G635" s="68"/>
      <c r="K635" s="68"/>
    </row>
    <row r="636" spans="1:11" ht="12.75">
      <c r="A636" s="69">
        <f ca="1">IFERROR(__xludf.DUMMYFUNCTION("""COMPUTED_VALUE"""),91111)</f>
        <v>91111</v>
      </c>
      <c r="B636" s="4">
        <f ca="1">IFERROR(__xludf.DUMMYFUNCTION("""COMPUTED_VALUE"""),44595)</f>
        <v>44595</v>
      </c>
      <c r="C636" t="str">
        <f ca="1">IFERROR(__xludf.DUMMYFUNCTION("""COMPUTED_VALUE"""),"ООО ""ЧИСТЫЙ ГОРОД-ОМСК"" 127-РДО от 01.01.2022")</f>
        <v>ООО "ЧИСТЫЙ ГОРОД-ОМСК" 127-РДО от 01.01.2022</v>
      </c>
      <c r="D6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" t="str">
        <f ca="1">IFERROR(__xludf.DUMMYFUNCTION("""COMPUTED_VALUE"""),"Новый")</f>
        <v>Новый</v>
      </c>
      <c r="G636" s="68"/>
      <c r="K636" s="68"/>
    </row>
    <row r="637" spans="1:11" ht="12.75">
      <c r="A637" s="69">
        <f ca="1">IFERROR(__xludf.DUMMYFUNCTION("""COMPUTED_VALUE"""),91112)</f>
        <v>91112</v>
      </c>
      <c r="B637" s="4">
        <f ca="1">IFERROR(__xludf.DUMMYFUNCTION("""COMPUTED_VALUE"""),44595)</f>
        <v>44595</v>
      </c>
      <c r="C637" t="str">
        <f ca="1">IFERROR(__xludf.DUMMYFUNCTION("""COMPUTED_VALUE"""),"ООО ""ЧИСТЫЙ ГОРОД-ОМСК"" 127-РДО от 01.01.2022")</f>
        <v>ООО "ЧИСТЫЙ ГОРОД-ОМСК" 127-РДО от 01.01.2022</v>
      </c>
      <c r="D6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" t="str">
        <f ca="1">IFERROR(__xludf.DUMMYFUNCTION("""COMPUTED_VALUE"""),"Новый")</f>
        <v>Новый</v>
      </c>
      <c r="G637" s="68"/>
      <c r="K637" s="68"/>
    </row>
    <row r="638" spans="1:11" ht="12.75">
      <c r="A638" s="69">
        <f ca="1">IFERROR(__xludf.DUMMYFUNCTION("""COMPUTED_VALUE"""),91113)</f>
        <v>91113</v>
      </c>
      <c r="B638" s="4">
        <f ca="1">IFERROR(__xludf.DUMMYFUNCTION("""COMPUTED_VALUE"""),44595)</f>
        <v>44595</v>
      </c>
      <c r="C638" t="str">
        <f ca="1">IFERROR(__xludf.DUMMYFUNCTION("""COMPUTED_VALUE"""),"ООО ""ЧИСТЫЙ ГОРОД-ОМСК"" 127-РДО от 01.01.2022")</f>
        <v>ООО "ЧИСТЫЙ ГОРОД-ОМСК" 127-РДО от 01.01.2022</v>
      </c>
      <c r="D6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" t="str">
        <f ca="1">IFERROR(__xludf.DUMMYFUNCTION("""COMPUTED_VALUE"""),"Новый")</f>
        <v>Новый</v>
      </c>
      <c r="G638" s="68"/>
      <c r="K638" s="68"/>
    </row>
    <row r="639" spans="1:11" ht="12.75">
      <c r="A639" s="69">
        <f ca="1">IFERROR(__xludf.DUMMYFUNCTION("""COMPUTED_VALUE"""),91115)</f>
        <v>91115</v>
      </c>
      <c r="B639" s="4">
        <f ca="1">IFERROR(__xludf.DUMMYFUNCTION("""COMPUTED_VALUE"""),44595)</f>
        <v>44595</v>
      </c>
      <c r="C639" t="str">
        <f ca="1">IFERROR(__xludf.DUMMYFUNCTION("""COMPUTED_VALUE"""),"ООО ""ЧИСТЫЙ ГОРОД-ОМСК"" 127-РДО от 01.01.2022")</f>
        <v>ООО "ЧИСТЫЙ ГОРОД-ОМСК" 127-РДО от 01.01.2022</v>
      </c>
      <c r="D6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" t="str">
        <f ca="1">IFERROR(__xludf.DUMMYFUNCTION("""COMPUTED_VALUE"""),"Новый")</f>
        <v>Новый</v>
      </c>
      <c r="G639" s="68"/>
      <c r="K639" s="68"/>
    </row>
    <row r="640" spans="1:11" ht="12.75">
      <c r="A640" s="69">
        <f ca="1">IFERROR(__xludf.DUMMYFUNCTION("""COMPUTED_VALUE"""),91116)</f>
        <v>91116</v>
      </c>
      <c r="B640" s="4">
        <f ca="1">IFERROR(__xludf.DUMMYFUNCTION("""COMPUTED_VALUE"""),44595)</f>
        <v>44595</v>
      </c>
      <c r="C640" t="str">
        <f ca="1">IFERROR(__xludf.DUMMYFUNCTION("""COMPUTED_VALUE"""),"ООО ""ЧИСТЫЙ ГОРОД-ОМСК"" 127-РДО от 01.01.2022")</f>
        <v>ООО "ЧИСТЫЙ ГОРОД-ОМСК" 127-РДО от 01.01.2022</v>
      </c>
      <c r="D6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" t="str">
        <f ca="1">IFERROR(__xludf.DUMMYFUNCTION("""COMPUTED_VALUE"""),"Новый")</f>
        <v>Новый</v>
      </c>
      <c r="G640" s="68"/>
      <c r="K640" s="68"/>
    </row>
    <row r="641" spans="1:11" ht="12.75">
      <c r="A641" s="69">
        <f ca="1">IFERROR(__xludf.DUMMYFUNCTION("""COMPUTED_VALUE"""),91117)</f>
        <v>91117</v>
      </c>
      <c r="B641" s="4">
        <f ca="1">IFERROR(__xludf.DUMMYFUNCTION("""COMPUTED_VALUE"""),44595)</f>
        <v>44595</v>
      </c>
      <c r="C641" t="str">
        <f ca="1">IFERROR(__xludf.DUMMYFUNCTION("""COMPUTED_VALUE"""),"ООО ""ЧИСТЫЙ ГОРОД-ОМСК"" 127-РДО от 01.01.2022")</f>
        <v>ООО "ЧИСТЫЙ ГОРОД-ОМСК" 127-РДО от 01.01.2022</v>
      </c>
      <c r="D6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" t="str">
        <f ca="1">IFERROR(__xludf.DUMMYFUNCTION("""COMPUTED_VALUE"""),"Новый")</f>
        <v>Новый</v>
      </c>
      <c r="G641" s="68"/>
      <c r="K641" s="68"/>
    </row>
    <row r="642" spans="1:11" ht="12.75">
      <c r="A642" s="69">
        <f ca="1">IFERROR(__xludf.DUMMYFUNCTION("""COMPUTED_VALUE"""),91118)</f>
        <v>91118</v>
      </c>
      <c r="B642" s="4">
        <f ca="1">IFERROR(__xludf.DUMMYFUNCTION("""COMPUTED_VALUE"""),44595)</f>
        <v>44595</v>
      </c>
      <c r="C642" t="str">
        <f ca="1">IFERROR(__xludf.DUMMYFUNCTION("""COMPUTED_VALUE"""),"ООО ""ЧИСТЫЙ ГОРОД-ОМСК"" 127-РДО от 01.01.2022")</f>
        <v>ООО "ЧИСТЫЙ ГОРОД-ОМСК" 127-РДО от 01.01.2022</v>
      </c>
      <c r="D6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" t="str">
        <f ca="1">IFERROR(__xludf.DUMMYFUNCTION("""COMPUTED_VALUE"""),"Новый")</f>
        <v>Новый</v>
      </c>
      <c r="G642" s="68"/>
      <c r="K642" s="68"/>
    </row>
    <row r="643" spans="1:11" ht="12.75">
      <c r="A643" s="69">
        <f ca="1">IFERROR(__xludf.DUMMYFUNCTION("""COMPUTED_VALUE"""),91119)</f>
        <v>91119</v>
      </c>
      <c r="B643" s="4">
        <f ca="1">IFERROR(__xludf.DUMMYFUNCTION("""COMPUTED_VALUE"""),44595)</f>
        <v>44595</v>
      </c>
      <c r="C643" t="str">
        <f ca="1">IFERROR(__xludf.DUMMYFUNCTION("""COMPUTED_VALUE"""),"ООО ""ЧИСТЫЙ ГОРОД-ОМСК"" 127-РДО от 01.01.2022")</f>
        <v>ООО "ЧИСТЫЙ ГОРОД-ОМСК" 127-РДО от 01.01.2022</v>
      </c>
      <c r="D6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3" t="str">
        <f ca="1">IFERROR(__xludf.DUMMYFUNCTION("""COMPUTED_VALUE"""),"Новый")</f>
        <v>Новый</v>
      </c>
      <c r="G643" s="68"/>
      <c r="K643" s="68"/>
    </row>
    <row r="644" spans="1:11" ht="12.75">
      <c r="A644" s="69">
        <f ca="1">IFERROR(__xludf.DUMMYFUNCTION("""COMPUTED_VALUE"""),91120)</f>
        <v>91120</v>
      </c>
      <c r="B644" s="4">
        <f ca="1">IFERROR(__xludf.DUMMYFUNCTION("""COMPUTED_VALUE"""),44595)</f>
        <v>44595</v>
      </c>
      <c r="C644" t="str">
        <f ca="1">IFERROR(__xludf.DUMMYFUNCTION("""COMPUTED_VALUE"""),"ООО ""ЧИСТЫЙ ГОРОД-ОМСК"" 127-РДО от 01.01.2022")</f>
        <v>ООО "ЧИСТЫЙ ГОРОД-ОМСК" 127-РДО от 01.01.2022</v>
      </c>
      <c r="D6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" t="str">
        <f ca="1">IFERROR(__xludf.DUMMYFUNCTION("""COMPUTED_VALUE"""),"Новый")</f>
        <v>Новый</v>
      </c>
      <c r="G644" s="68"/>
      <c r="K644" s="68"/>
    </row>
    <row r="645" spans="1:11" ht="12.75">
      <c r="A645" s="69">
        <f ca="1">IFERROR(__xludf.DUMMYFUNCTION("""COMPUTED_VALUE"""),91121)</f>
        <v>91121</v>
      </c>
      <c r="B645" s="4">
        <f ca="1">IFERROR(__xludf.DUMMYFUNCTION("""COMPUTED_VALUE"""),44595)</f>
        <v>44595</v>
      </c>
      <c r="C645" t="str">
        <f ca="1">IFERROR(__xludf.DUMMYFUNCTION("""COMPUTED_VALUE"""),"ООО ""ЧИСТЫЙ ГОРОД-ОМСК"" 127-РДО от 01.01.2022")</f>
        <v>ООО "ЧИСТЫЙ ГОРОД-ОМСК" 127-РДО от 01.01.2022</v>
      </c>
      <c r="D6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" t="str">
        <f ca="1">IFERROR(__xludf.DUMMYFUNCTION("""COMPUTED_VALUE"""),"Новый")</f>
        <v>Новый</v>
      </c>
      <c r="G645" s="68"/>
      <c r="K645" s="68"/>
    </row>
    <row r="646" spans="1:11" ht="12.75">
      <c r="A646" s="69">
        <f ca="1">IFERROR(__xludf.DUMMYFUNCTION("""COMPUTED_VALUE"""),91122)</f>
        <v>91122</v>
      </c>
      <c r="B646" s="4">
        <f ca="1">IFERROR(__xludf.DUMMYFUNCTION("""COMPUTED_VALUE"""),44595)</f>
        <v>44595</v>
      </c>
      <c r="C646" t="str">
        <f ca="1">IFERROR(__xludf.DUMMYFUNCTION("""COMPUTED_VALUE"""),"ООО ""ЧИСТЫЙ ГОРОД-ОМСК"" 127-РДО от 01.01.2022")</f>
        <v>ООО "ЧИСТЫЙ ГОРОД-ОМСК" 127-РДО от 01.01.2022</v>
      </c>
      <c r="D6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" t="str">
        <f ca="1">IFERROR(__xludf.DUMMYFUNCTION("""COMPUTED_VALUE"""),"Новый")</f>
        <v>Новый</v>
      </c>
      <c r="G646" s="68"/>
      <c r="K646" s="68"/>
    </row>
    <row r="647" spans="1:11" ht="12.75">
      <c r="A647" s="69">
        <f ca="1">IFERROR(__xludf.DUMMYFUNCTION("""COMPUTED_VALUE"""),91123)</f>
        <v>91123</v>
      </c>
      <c r="B647" s="4">
        <f ca="1">IFERROR(__xludf.DUMMYFUNCTION("""COMPUTED_VALUE"""),44595)</f>
        <v>44595</v>
      </c>
      <c r="C647" t="str">
        <f ca="1">IFERROR(__xludf.DUMMYFUNCTION("""COMPUTED_VALUE"""),"ООО ""ЧИСТЫЙ ГОРОД-ОМСК"" 127-РДО от 01.01.2022")</f>
        <v>ООО "ЧИСТЫЙ ГОРОД-ОМСК" 127-РДО от 01.01.2022</v>
      </c>
      <c r="D6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" t="str">
        <f ca="1">IFERROR(__xludf.DUMMYFUNCTION("""COMPUTED_VALUE"""),"Новый")</f>
        <v>Новый</v>
      </c>
      <c r="G647" s="68"/>
      <c r="K647" s="68"/>
    </row>
    <row r="648" spans="1:11" ht="12.75">
      <c r="A648" s="69">
        <f ca="1">IFERROR(__xludf.DUMMYFUNCTION("""COMPUTED_VALUE"""),91124)</f>
        <v>91124</v>
      </c>
      <c r="B648" s="4">
        <f ca="1">IFERROR(__xludf.DUMMYFUNCTION("""COMPUTED_VALUE"""),44595)</f>
        <v>44595</v>
      </c>
      <c r="C648" t="str">
        <f ca="1">IFERROR(__xludf.DUMMYFUNCTION("""COMPUTED_VALUE"""),"ООО ""ЧИСТЫЙ ГОРОД-ОМСК"" 127-РДО от 01.01.2022")</f>
        <v>ООО "ЧИСТЫЙ ГОРОД-ОМСК" 127-РДО от 01.01.2022</v>
      </c>
      <c r="D6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" t="str">
        <f ca="1">IFERROR(__xludf.DUMMYFUNCTION("""COMPUTED_VALUE"""),"Новый")</f>
        <v>Новый</v>
      </c>
      <c r="G648" s="68"/>
      <c r="K648" s="68"/>
    </row>
    <row r="649" spans="1:11" ht="12.75">
      <c r="A649" s="69">
        <f ca="1">IFERROR(__xludf.DUMMYFUNCTION("""COMPUTED_VALUE"""),91125)</f>
        <v>91125</v>
      </c>
      <c r="B649" s="4">
        <f ca="1">IFERROR(__xludf.DUMMYFUNCTION("""COMPUTED_VALUE"""),44595)</f>
        <v>44595</v>
      </c>
      <c r="C649" t="str">
        <f ca="1">IFERROR(__xludf.DUMMYFUNCTION("""COMPUTED_VALUE"""),"ООО ""ЧИСТЫЙ ГОРОД-ОМСК"" 127-РДО от 01.01.2022")</f>
        <v>ООО "ЧИСТЫЙ ГОРОД-ОМСК" 127-РДО от 01.01.2022</v>
      </c>
      <c r="D6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" t="str">
        <f ca="1">IFERROR(__xludf.DUMMYFUNCTION("""COMPUTED_VALUE"""),"Новый")</f>
        <v>Новый</v>
      </c>
      <c r="G649" s="68"/>
      <c r="K649" s="68"/>
    </row>
    <row r="650" spans="1:11" ht="12.75">
      <c r="A650" s="69">
        <f ca="1">IFERROR(__xludf.DUMMYFUNCTION("""COMPUTED_VALUE"""),91126)</f>
        <v>91126</v>
      </c>
      <c r="B650" s="4">
        <f ca="1">IFERROR(__xludf.DUMMYFUNCTION("""COMPUTED_VALUE"""),44595)</f>
        <v>44595</v>
      </c>
      <c r="C650" t="str">
        <f ca="1">IFERROR(__xludf.DUMMYFUNCTION("""COMPUTED_VALUE"""),"ООО ""ЧИСТЫЙ ГОРОД-ОМСК"" 127-РДО от 01.01.2022")</f>
        <v>ООО "ЧИСТЫЙ ГОРОД-ОМСК" 127-РДО от 01.01.2022</v>
      </c>
      <c r="D6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" t="str">
        <f ca="1">IFERROR(__xludf.DUMMYFUNCTION("""COMPUTED_VALUE"""),"Новый")</f>
        <v>Новый</v>
      </c>
      <c r="G650" s="68"/>
      <c r="K650" s="68"/>
    </row>
    <row r="651" spans="1:11" ht="12.75">
      <c r="A651" s="69">
        <f ca="1">IFERROR(__xludf.DUMMYFUNCTION("""COMPUTED_VALUE"""),91127)</f>
        <v>91127</v>
      </c>
      <c r="B651" s="4">
        <f ca="1">IFERROR(__xludf.DUMMYFUNCTION("""COMPUTED_VALUE"""),44595)</f>
        <v>44595</v>
      </c>
      <c r="C651" t="str">
        <f ca="1">IFERROR(__xludf.DUMMYFUNCTION("""COMPUTED_VALUE"""),"ООО ""ЧИСТЫЙ ГОРОД-ОМСК"" 127-РДО от 01.01.2022")</f>
        <v>ООО "ЧИСТЫЙ ГОРОД-ОМСК" 127-РДО от 01.01.2022</v>
      </c>
      <c r="D6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1" t="str">
        <f ca="1">IFERROR(__xludf.DUMMYFUNCTION("""COMPUTED_VALUE"""),"Новый")</f>
        <v>Новый</v>
      </c>
      <c r="G651" s="68"/>
      <c r="K651" s="68"/>
    </row>
    <row r="652" spans="1:11" ht="12.75">
      <c r="A652" s="69">
        <f ca="1">IFERROR(__xludf.DUMMYFUNCTION("""COMPUTED_VALUE"""),91128)</f>
        <v>91128</v>
      </c>
      <c r="B652" s="4">
        <f ca="1">IFERROR(__xludf.DUMMYFUNCTION("""COMPUTED_VALUE"""),44595)</f>
        <v>44595</v>
      </c>
      <c r="C652" t="str">
        <f ca="1">IFERROR(__xludf.DUMMYFUNCTION("""COMPUTED_VALUE"""),"ООО ""ЧИСТЫЙ ГОРОД-ОМСК"" 127-РДО от 01.01.2022")</f>
        <v>ООО "ЧИСТЫЙ ГОРОД-ОМСК" 127-РДО от 01.01.2022</v>
      </c>
      <c r="D6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2" t="str">
        <f ca="1">IFERROR(__xludf.DUMMYFUNCTION("""COMPUTED_VALUE"""),"Новый")</f>
        <v>Новый</v>
      </c>
      <c r="G652" s="68"/>
      <c r="K652" s="68"/>
    </row>
    <row r="653" spans="1:11" ht="12.75">
      <c r="A653" s="69">
        <f ca="1">IFERROR(__xludf.DUMMYFUNCTION("""COMPUTED_VALUE"""),91129)</f>
        <v>91129</v>
      </c>
      <c r="B653" s="4">
        <f ca="1">IFERROR(__xludf.DUMMYFUNCTION("""COMPUTED_VALUE"""),44595)</f>
        <v>44595</v>
      </c>
      <c r="C653" t="str">
        <f ca="1">IFERROR(__xludf.DUMMYFUNCTION("""COMPUTED_VALUE"""),"ООО ""ЧИСТЫЙ ГОРОД-ОМСК"" 127-РДО от 01.01.2022")</f>
        <v>ООО "ЧИСТЫЙ ГОРОД-ОМСК" 127-РДО от 01.01.2022</v>
      </c>
      <c r="D6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" t="str">
        <f ca="1">IFERROR(__xludf.DUMMYFUNCTION("""COMPUTED_VALUE"""),"Новый")</f>
        <v>Новый</v>
      </c>
      <c r="G653" s="68"/>
      <c r="K653" s="68"/>
    </row>
    <row r="654" spans="1:11" ht="12.75">
      <c r="A654" s="69">
        <f ca="1">IFERROR(__xludf.DUMMYFUNCTION("""COMPUTED_VALUE"""),91130)</f>
        <v>91130</v>
      </c>
      <c r="B654" s="4">
        <f ca="1">IFERROR(__xludf.DUMMYFUNCTION("""COMPUTED_VALUE"""),44595)</f>
        <v>44595</v>
      </c>
      <c r="C654" t="str">
        <f ca="1">IFERROR(__xludf.DUMMYFUNCTION("""COMPUTED_VALUE"""),"ООО ""ЧИСТЫЙ ГОРОД-ОМСК"" 127-РДО от 01.01.2022")</f>
        <v>ООО "ЧИСТЫЙ ГОРОД-ОМСК" 127-РДО от 01.01.2022</v>
      </c>
      <c r="D6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4" t="str">
        <f ca="1">IFERROR(__xludf.DUMMYFUNCTION("""COMPUTED_VALUE"""),"Новый")</f>
        <v>Новый</v>
      </c>
      <c r="G654" s="68"/>
      <c r="K654" s="68"/>
    </row>
    <row r="655" spans="1:11" ht="12.75">
      <c r="A655" s="69">
        <f ca="1">IFERROR(__xludf.DUMMYFUNCTION("""COMPUTED_VALUE"""),91131)</f>
        <v>91131</v>
      </c>
      <c r="B655" s="4">
        <f ca="1">IFERROR(__xludf.DUMMYFUNCTION("""COMPUTED_VALUE"""),44595)</f>
        <v>44595</v>
      </c>
      <c r="C655" t="str">
        <f ca="1">IFERROR(__xludf.DUMMYFUNCTION("""COMPUTED_VALUE"""),"ООО ""ЧИСТЫЙ ГОРОД-ОМСК"" 127-РДО от 01.01.2022")</f>
        <v>ООО "ЧИСТЫЙ ГОРОД-ОМСК" 127-РДО от 01.01.2022</v>
      </c>
      <c r="D6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5" t="str">
        <f ca="1">IFERROR(__xludf.DUMMYFUNCTION("""COMPUTED_VALUE"""),"Новый")</f>
        <v>Новый</v>
      </c>
      <c r="G655" s="68"/>
      <c r="K655" s="68"/>
    </row>
    <row r="656" spans="1:11" ht="12.75">
      <c r="A656" s="69">
        <f ca="1">IFERROR(__xludf.DUMMYFUNCTION("""COMPUTED_VALUE"""),91132)</f>
        <v>91132</v>
      </c>
      <c r="B656" s="4">
        <f ca="1">IFERROR(__xludf.DUMMYFUNCTION("""COMPUTED_VALUE"""),44595)</f>
        <v>44595</v>
      </c>
      <c r="C656" t="str">
        <f ca="1">IFERROR(__xludf.DUMMYFUNCTION("""COMPUTED_VALUE"""),"ООО ""ЧИСТЫЙ ГОРОД-ОМСК"" 127-РДО от 01.01.2022")</f>
        <v>ООО "ЧИСТЫЙ ГОРОД-ОМСК" 127-РДО от 01.01.2022</v>
      </c>
      <c r="D6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6" t="str">
        <f ca="1">IFERROR(__xludf.DUMMYFUNCTION("""COMPUTED_VALUE"""),"Новый")</f>
        <v>Новый</v>
      </c>
      <c r="G656" s="68"/>
      <c r="K656" s="68"/>
    </row>
    <row r="657" spans="1:11" ht="12.75">
      <c r="A657" s="69">
        <f ca="1">IFERROR(__xludf.DUMMYFUNCTION("""COMPUTED_VALUE"""),91133)</f>
        <v>91133</v>
      </c>
      <c r="B657" s="4">
        <f ca="1">IFERROR(__xludf.DUMMYFUNCTION("""COMPUTED_VALUE"""),44595)</f>
        <v>44595</v>
      </c>
      <c r="C657" t="str">
        <f ca="1">IFERROR(__xludf.DUMMYFUNCTION("""COMPUTED_VALUE"""),"ООО ""ЧИСТЫЙ ГОРОД-ОМСК"" 127-РДО от 01.01.2022")</f>
        <v>ООО "ЧИСТЫЙ ГОРОД-ОМСК" 127-РДО от 01.01.2022</v>
      </c>
      <c r="D6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7" t="str">
        <f ca="1">IFERROR(__xludf.DUMMYFUNCTION("""COMPUTED_VALUE"""),"Новый")</f>
        <v>Новый</v>
      </c>
      <c r="G657" s="68"/>
      <c r="K657" s="68"/>
    </row>
    <row r="658" spans="1:11" ht="12.75">
      <c r="A658" s="69">
        <f ca="1">IFERROR(__xludf.DUMMYFUNCTION("""COMPUTED_VALUE"""),91134)</f>
        <v>91134</v>
      </c>
      <c r="B658" s="4">
        <f ca="1">IFERROR(__xludf.DUMMYFUNCTION("""COMPUTED_VALUE"""),44595)</f>
        <v>44595</v>
      </c>
      <c r="C658" t="str">
        <f ca="1">IFERROR(__xludf.DUMMYFUNCTION("""COMPUTED_VALUE"""),"ООО ""ЧИСТЫЙ ГОРОД-ОМСК"" 127-РДО от 01.01.2022")</f>
        <v>ООО "ЧИСТЫЙ ГОРОД-ОМСК" 127-РДО от 01.01.2022</v>
      </c>
      <c r="D6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" t="str">
        <f ca="1">IFERROR(__xludf.DUMMYFUNCTION("""COMPUTED_VALUE"""),"Новый")</f>
        <v>Новый</v>
      </c>
      <c r="G658" s="68"/>
      <c r="K658" s="68"/>
    </row>
    <row r="659" spans="1:11" ht="12.75">
      <c r="A659" s="69">
        <f ca="1">IFERROR(__xludf.DUMMYFUNCTION("""COMPUTED_VALUE"""),91135)</f>
        <v>91135</v>
      </c>
      <c r="B659" s="4">
        <f ca="1">IFERROR(__xludf.DUMMYFUNCTION("""COMPUTED_VALUE"""),44595)</f>
        <v>44595</v>
      </c>
      <c r="C659" t="str">
        <f ca="1">IFERROR(__xludf.DUMMYFUNCTION("""COMPUTED_VALUE"""),"ООО ""ЧИСТЫЙ ГОРОД-ОМСК"" 127-РДО от 01.01.2022")</f>
        <v>ООО "ЧИСТЫЙ ГОРОД-ОМСК" 127-РДО от 01.01.2022</v>
      </c>
      <c r="D6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" t="str">
        <f ca="1">IFERROR(__xludf.DUMMYFUNCTION("""COMPUTED_VALUE"""),"Новый")</f>
        <v>Новый</v>
      </c>
      <c r="G659" s="68"/>
      <c r="K659" s="68"/>
    </row>
    <row r="660" spans="1:11" ht="12.75">
      <c r="A660" s="69">
        <f ca="1">IFERROR(__xludf.DUMMYFUNCTION("""COMPUTED_VALUE"""),91136)</f>
        <v>91136</v>
      </c>
      <c r="B660" s="4">
        <f ca="1">IFERROR(__xludf.DUMMYFUNCTION("""COMPUTED_VALUE"""),44595)</f>
        <v>44595</v>
      </c>
      <c r="C660" t="str">
        <f ca="1">IFERROR(__xludf.DUMMYFUNCTION("""COMPUTED_VALUE"""),"ООО ""ЧИСТЫЙ ГОРОД-ОМСК"" 127-РДО от 01.01.2022")</f>
        <v>ООО "ЧИСТЫЙ ГОРОД-ОМСК" 127-РДО от 01.01.2022</v>
      </c>
      <c r="D6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" t="str">
        <f ca="1">IFERROR(__xludf.DUMMYFUNCTION("""COMPUTED_VALUE"""),"Новый")</f>
        <v>Новый</v>
      </c>
      <c r="G660" s="68"/>
      <c r="K660" s="68"/>
    </row>
    <row r="661" spans="1:11" ht="12.75">
      <c r="A661" s="69">
        <f ca="1">IFERROR(__xludf.DUMMYFUNCTION("""COMPUTED_VALUE"""),91138)</f>
        <v>91138</v>
      </c>
      <c r="B661" s="4">
        <f ca="1">IFERROR(__xludf.DUMMYFUNCTION("""COMPUTED_VALUE"""),44595)</f>
        <v>44595</v>
      </c>
      <c r="C661" t="str">
        <f ca="1">IFERROR(__xludf.DUMMYFUNCTION("""COMPUTED_VALUE"""),"ООО ""ЧИСТЫЙ ГОРОД-ОМСК"" 127-РДО от 01.01.2022")</f>
        <v>ООО "ЧИСТЫЙ ГОРОД-ОМСК" 127-РДО от 01.01.2022</v>
      </c>
      <c r="D6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" t="str">
        <f ca="1">IFERROR(__xludf.DUMMYFUNCTION("""COMPUTED_VALUE"""),"Новый")</f>
        <v>Новый</v>
      </c>
      <c r="G661" s="68"/>
      <c r="K661" s="68"/>
    </row>
    <row r="662" spans="1:11" ht="12.75">
      <c r="A662" s="69">
        <f ca="1">IFERROR(__xludf.DUMMYFUNCTION("""COMPUTED_VALUE"""),91139)</f>
        <v>91139</v>
      </c>
      <c r="B662" s="4">
        <f ca="1">IFERROR(__xludf.DUMMYFUNCTION("""COMPUTED_VALUE"""),44595)</f>
        <v>44595</v>
      </c>
      <c r="C662" t="str">
        <f ca="1">IFERROR(__xludf.DUMMYFUNCTION("""COMPUTED_VALUE"""),"ООО ""ЧИСТЫЙ ГОРОД-ОМСК"" 127-РДО от 01.01.2022")</f>
        <v>ООО "ЧИСТЫЙ ГОРОД-ОМСК" 127-РДО от 01.01.2022</v>
      </c>
      <c r="D6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" t="str">
        <f ca="1">IFERROR(__xludf.DUMMYFUNCTION("""COMPUTED_VALUE"""),"Новый")</f>
        <v>Новый</v>
      </c>
      <c r="G662" s="68"/>
      <c r="K662" s="68"/>
    </row>
    <row r="663" spans="1:11" ht="12.75">
      <c r="A663" s="69">
        <f ca="1">IFERROR(__xludf.DUMMYFUNCTION("""COMPUTED_VALUE"""),91140)</f>
        <v>91140</v>
      </c>
      <c r="B663" s="4">
        <f ca="1">IFERROR(__xludf.DUMMYFUNCTION("""COMPUTED_VALUE"""),44595)</f>
        <v>44595</v>
      </c>
      <c r="C663" t="str">
        <f ca="1">IFERROR(__xludf.DUMMYFUNCTION("""COMPUTED_VALUE"""),"ООО ""ЧИСТЫЙ ГОРОД-ОМСК"" 127-РДО от 01.01.2022")</f>
        <v>ООО "ЧИСТЫЙ ГОРОД-ОМСК" 127-РДО от 01.01.2022</v>
      </c>
      <c r="D6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" t="str">
        <f ca="1">IFERROR(__xludf.DUMMYFUNCTION("""COMPUTED_VALUE"""),"Новый")</f>
        <v>Новый</v>
      </c>
      <c r="G663" s="68"/>
      <c r="K663" s="68"/>
    </row>
    <row r="664" spans="1:11" ht="12.75">
      <c r="A664" s="69">
        <f ca="1">IFERROR(__xludf.DUMMYFUNCTION("""COMPUTED_VALUE"""),91141)</f>
        <v>91141</v>
      </c>
      <c r="B664" s="4">
        <f ca="1">IFERROR(__xludf.DUMMYFUNCTION("""COMPUTED_VALUE"""),44595)</f>
        <v>44595</v>
      </c>
      <c r="C664" t="str">
        <f ca="1">IFERROR(__xludf.DUMMYFUNCTION("""COMPUTED_VALUE"""),"ООО ""ЧИСТЫЙ ГОРОД-ОМСК"" 127-РДО от 01.01.2022")</f>
        <v>ООО "ЧИСТЫЙ ГОРОД-ОМСК" 127-РДО от 01.01.2022</v>
      </c>
      <c r="D6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" t="str">
        <f ca="1">IFERROR(__xludf.DUMMYFUNCTION("""COMPUTED_VALUE"""),"Новый")</f>
        <v>Новый</v>
      </c>
      <c r="G664" s="68"/>
      <c r="K664" s="68"/>
    </row>
    <row r="665" spans="1:11" ht="12.75">
      <c r="A665" s="69">
        <f ca="1">IFERROR(__xludf.DUMMYFUNCTION("""COMPUTED_VALUE"""),91142)</f>
        <v>91142</v>
      </c>
      <c r="B665" s="4">
        <f ca="1">IFERROR(__xludf.DUMMYFUNCTION("""COMPUTED_VALUE"""),44595)</f>
        <v>44595</v>
      </c>
      <c r="C665" t="str">
        <f ca="1">IFERROR(__xludf.DUMMYFUNCTION("""COMPUTED_VALUE"""),"ООО ""ЧИСТЫЙ ГОРОД-ОМСК"" 127-РДО от 01.01.2022")</f>
        <v>ООО "ЧИСТЫЙ ГОРОД-ОМСК" 127-РДО от 01.01.2022</v>
      </c>
      <c r="D6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" t="str">
        <f ca="1">IFERROR(__xludf.DUMMYFUNCTION("""COMPUTED_VALUE"""),"Новый")</f>
        <v>Новый</v>
      </c>
      <c r="G665" s="68"/>
      <c r="K665" s="68"/>
    </row>
    <row r="666" spans="1:11" ht="12.75">
      <c r="A666" s="69">
        <f ca="1">IFERROR(__xludf.DUMMYFUNCTION("""COMPUTED_VALUE"""),91160)</f>
        <v>91160</v>
      </c>
      <c r="B666" s="4">
        <f ca="1">IFERROR(__xludf.DUMMYFUNCTION("""COMPUTED_VALUE"""),44595)</f>
        <v>44595</v>
      </c>
      <c r="C666" t="str">
        <f ca="1">IFERROR(__xludf.DUMMYFUNCTION("""COMPUTED_VALUE"""),"ООО ""ЧИСТЫЙ ГОРОД-ОМСК"" 127-РДО от 01.01.2022")</f>
        <v>ООО "ЧИСТЫЙ ГОРОД-ОМСК" 127-РДО от 01.01.2022</v>
      </c>
      <c r="D6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" t="str">
        <f ca="1">IFERROR(__xludf.DUMMYFUNCTION("""COMPUTED_VALUE"""),"Новый")</f>
        <v>Новый</v>
      </c>
      <c r="G666" s="68"/>
      <c r="K666" s="68"/>
    </row>
    <row r="667" spans="1:11" ht="12.75">
      <c r="A667" s="69">
        <f ca="1">IFERROR(__xludf.DUMMYFUNCTION("""COMPUTED_VALUE"""),91163)</f>
        <v>91163</v>
      </c>
      <c r="B667" s="4">
        <f ca="1">IFERROR(__xludf.DUMMYFUNCTION("""COMPUTED_VALUE"""),44595)</f>
        <v>44595</v>
      </c>
      <c r="C667" t="str">
        <f ca="1">IFERROR(__xludf.DUMMYFUNCTION("""COMPUTED_VALUE"""),"ООО ""ЧИСТЫЙ ГОРОД-ОМСК"" 127-РДО от 01.01.2022")</f>
        <v>ООО "ЧИСТЫЙ ГОРОД-ОМСК" 127-РДО от 01.01.2022</v>
      </c>
      <c r="D6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" t="str">
        <f ca="1">IFERROR(__xludf.DUMMYFUNCTION("""COMPUTED_VALUE"""),"Новый")</f>
        <v>Новый</v>
      </c>
      <c r="G667" s="68"/>
      <c r="K667" s="68"/>
    </row>
    <row r="668" spans="1:11" ht="12.75">
      <c r="A668" s="69">
        <f ca="1">IFERROR(__xludf.DUMMYFUNCTION("""COMPUTED_VALUE"""),91164)</f>
        <v>91164</v>
      </c>
      <c r="B668" s="4">
        <f ca="1">IFERROR(__xludf.DUMMYFUNCTION("""COMPUTED_VALUE"""),44595)</f>
        <v>44595</v>
      </c>
      <c r="C668" t="str">
        <f ca="1">IFERROR(__xludf.DUMMYFUNCTION("""COMPUTED_VALUE"""),"ООО ""ЧИСТЫЙ ГОРОД-ОМСК"" 127-РДО от 01.01.2022")</f>
        <v>ООО "ЧИСТЫЙ ГОРОД-ОМСК" 127-РДО от 01.01.2022</v>
      </c>
      <c r="D6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" t="str">
        <f ca="1">IFERROR(__xludf.DUMMYFUNCTION("""COMPUTED_VALUE"""),"Новый")</f>
        <v>Новый</v>
      </c>
      <c r="G668" s="68"/>
      <c r="K668" s="68"/>
    </row>
    <row r="669" spans="1:11" ht="12.75">
      <c r="A669" s="69">
        <f ca="1">IFERROR(__xludf.DUMMYFUNCTION("""COMPUTED_VALUE"""),91165)</f>
        <v>91165</v>
      </c>
      <c r="B669" s="4">
        <f ca="1">IFERROR(__xludf.DUMMYFUNCTION("""COMPUTED_VALUE"""),44595)</f>
        <v>44595</v>
      </c>
      <c r="C669" t="str">
        <f ca="1">IFERROR(__xludf.DUMMYFUNCTION("""COMPUTED_VALUE"""),"ООО ""ЧИСТЫЙ ГОРОД-ОМСК"" 127-РДО от 01.01.2022")</f>
        <v>ООО "ЧИСТЫЙ ГОРОД-ОМСК" 127-РДО от 01.01.2022</v>
      </c>
      <c r="D6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" t="str">
        <f ca="1">IFERROR(__xludf.DUMMYFUNCTION("""COMPUTED_VALUE"""),"Новый")</f>
        <v>Новый</v>
      </c>
      <c r="G669" s="68"/>
      <c r="K669" s="68"/>
    </row>
    <row r="670" spans="1:11" ht="12.75">
      <c r="A670" s="69">
        <f ca="1">IFERROR(__xludf.DUMMYFUNCTION("""COMPUTED_VALUE"""),91166)</f>
        <v>91166</v>
      </c>
      <c r="B670" s="4">
        <f ca="1">IFERROR(__xludf.DUMMYFUNCTION("""COMPUTED_VALUE"""),44595)</f>
        <v>44595</v>
      </c>
      <c r="C670" t="str">
        <f ca="1">IFERROR(__xludf.DUMMYFUNCTION("""COMPUTED_VALUE"""),"ООО ""ЧИСТЫЙ ГОРОД-ОМСК"" 127-РДО от 01.01.2022")</f>
        <v>ООО "ЧИСТЫЙ ГОРОД-ОМСК" 127-РДО от 01.01.2022</v>
      </c>
      <c r="D6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0" t="str">
        <f ca="1">IFERROR(__xludf.DUMMYFUNCTION("""COMPUTED_VALUE"""),"Новый")</f>
        <v>Новый</v>
      </c>
      <c r="G670" s="68"/>
      <c r="K670" s="68"/>
    </row>
    <row r="671" spans="1:11" ht="12.75">
      <c r="A671" s="69">
        <f ca="1">IFERROR(__xludf.DUMMYFUNCTION("""COMPUTED_VALUE"""),91167)</f>
        <v>91167</v>
      </c>
      <c r="B671" s="4">
        <f ca="1">IFERROR(__xludf.DUMMYFUNCTION("""COMPUTED_VALUE"""),44595)</f>
        <v>44595</v>
      </c>
      <c r="C671" t="str">
        <f ca="1">IFERROR(__xludf.DUMMYFUNCTION("""COMPUTED_VALUE"""),"ООО ""ЧИСТЫЙ ГОРОД-ОМСК"" 127-РДО от 01.01.2022")</f>
        <v>ООО "ЧИСТЫЙ ГОРОД-ОМСК" 127-РДО от 01.01.2022</v>
      </c>
      <c r="D6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1" t="str">
        <f ca="1">IFERROR(__xludf.DUMMYFUNCTION("""COMPUTED_VALUE"""),"Новый")</f>
        <v>Новый</v>
      </c>
      <c r="G671" s="68"/>
      <c r="K671" s="68"/>
    </row>
    <row r="672" spans="1:11" ht="12.75">
      <c r="A672" s="69">
        <f ca="1">IFERROR(__xludf.DUMMYFUNCTION("""COMPUTED_VALUE"""),91168)</f>
        <v>91168</v>
      </c>
      <c r="B672" s="4">
        <f ca="1">IFERROR(__xludf.DUMMYFUNCTION("""COMPUTED_VALUE"""),44595)</f>
        <v>44595</v>
      </c>
      <c r="C672" t="str">
        <f ca="1">IFERROR(__xludf.DUMMYFUNCTION("""COMPUTED_VALUE"""),"ООО ""ЧИСТЫЙ ГОРОД-ОМСК"" 127-РДО от 01.01.2022")</f>
        <v>ООО "ЧИСТЫЙ ГОРОД-ОМСК" 127-РДО от 01.01.2022</v>
      </c>
      <c r="D6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2" t="str">
        <f ca="1">IFERROR(__xludf.DUMMYFUNCTION("""COMPUTED_VALUE"""),"Новый")</f>
        <v>Новый</v>
      </c>
      <c r="G672" s="68"/>
      <c r="K672" s="68"/>
    </row>
    <row r="673" spans="1:11" ht="12.75">
      <c r="A673" s="69">
        <f ca="1">IFERROR(__xludf.DUMMYFUNCTION("""COMPUTED_VALUE"""),91169)</f>
        <v>91169</v>
      </c>
      <c r="B673" s="4">
        <f ca="1">IFERROR(__xludf.DUMMYFUNCTION("""COMPUTED_VALUE"""),44595)</f>
        <v>44595</v>
      </c>
      <c r="C673" t="str">
        <f ca="1">IFERROR(__xludf.DUMMYFUNCTION("""COMPUTED_VALUE"""),"ООО ""ЧИСТЫЙ ГОРОД-ОМСК"" 127-РДО от 01.01.2022")</f>
        <v>ООО "ЧИСТЫЙ ГОРОД-ОМСК" 127-РДО от 01.01.2022</v>
      </c>
      <c r="D6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3" t="str">
        <f ca="1">IFERROR(__xludf.DUMMYFUNCTION("""COMPUTED_VALUE"""),"Новый")</f>
        <v>Новый</v>
      </c>
      <c r="G673" s="68"/>
      <c r="K673" s="68"/>
    </row>
    <row r="674" spans="1:11" ht="12.75">
      <c r="A674" s="69">
        <f ca="1">IFERROR(__xludf.DUMMYFUNCTION("""COMPUTED_VALUE"""),91170)</f>
        <v>91170</v>
      </c>
      <c r="B674" s="4">
        <f ca="1">IFERROR(__xludf.DUMMYFUNCTION("""COMPUTED_VALUE"""),44595)</f>
        <v>44595</v>
      </c>
      <c r="C674" t="str">
        <f ca="1">IFERROR(__xludf.DUMMYFUNCTION("""COMPUTED_VALUE"""),"ООО ""ЧИСТЫЙ ГОРОД-ОМСК"" 127-РДО от 01.01.2022")</f>
        <v>ООО "ЧИСТЫЙ ГОРОД-ОМСК" 127-РДО от 01.01.2022</v>
      </c>
      <c r="D6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4" t="str">
        <f ca="1">IFERROR(__xludf.DUMMYFUNCTION("""COMPUTED_VALUE"""),"Новый")</f>
        <v>Новый</v>
      </c>
      <c r="G674" s="68"/>
      <c r="K674" s="68"/>
    </row>
    <row r="675" spans="1:11" ht="12.75">
      <c r="A675" s="69">
        <f ca="1">IFERROR(__xludf.DUMMYFUNCTION("""COMPUTED_VALUE"""),91171)</f>
        <v>91171</v>
      </c>
      <c r="B675" s="4">
        <f ca="1">IFERROR(__xludf.DUMMYFUNCTION("""COMPUTED_VALUE"""),44595)</f>
        <v>44595</v>
      </c>
      <c r="C675" t="str">
        <f ca="1">IFERROR(__xludf.DUMMYFUNCTION("""COMPUTED_VALUE"""),"ООО ""ЧИСТЫЙ ГОРОД-ОМСК"" 127-РДО от 01.01.2022")</f>
        <v>ООО "ЧИСТЫЙ ГОРОД-ОМСК" 127-РДО от 01.01.2022</v>
      </c>
      <c r="D6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5" t="str">
        <f ca="1">IFERROR(__xludf.DUMMYFUNCTION("""COMPUTED_VALUE"""),"Новый")</f>
        <v>Новый</v>
      </c>
      <c r="G675" s="68"/>
      <c r="K675" s="68"/>
    </row>
    <row r="676" spans="1:11" ht="12.75">
      <c r="A676" s="69">
        <f ca="1">IFERROR(__xludf.DUMMYFUNCTION("""COMPUTED_VALUE"""),91172)</f>
        <v>91172</v>
      </c>
      <c r="B676" s="4">
        <f ca="1">IFERROR(__xludf.DUMMYFUNCTION("""COMPUTED_VALUE"""),44595)</f>
        <v>44595</v>
      </c>
      <c r="C676" t="str">
        <f ca="1">IFERROR(__xludf.DUMMYFUNCTION("""COMPUTED_VALUE"""),"ООО ""ЧИСТЫЙ ГОРОД-ОМСК"" 127-РДО от 01.01.2022")</f>
        <v>ООО "ЧИСТЫЙ ГОРОД-ОМСК" 127-РДО от 01.01.2022</v>
      </c>
      <c r="D6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6" t="str">
        <f ca="1">IFERROR(__xludf.DUMMYFUNCTION("""COMPUTED_VALUE"""),"Новый")</f>
        <v>Новый</v>
      </c>
      <c r="G676" s="68"/>
      <c r="K676" s="68"/>
    </row>
    <row r="677" spans="1:11" ht="12.75">
      <c r="A677" s="69">
        <f ca="1">IFERROR(__xludf.DUMMYFUNCTION("""COMPUTED_VALUE"""),91173)</f>
        <v>91173</v>
      </c>
      <c r="B677" s="4">
        <f ca="1">IFERROR(__xludf.DUMMYFUNCTION("""COMPUTED_VALUE"""),44595)</f>
        <v>44595</v>
      </c>
      <c r="C677" t="str">
        <f ca="1">IFERROR(__xludf.DUMMYFUNCTION("""COMPUTED_VALUE"""),"ООО ""ЧИСТЫЙ ГОРОД-ОМСК"" 127-РДО от 01.01.2022")</f>
        <v>ООО "ЧИСТЫЙ ГОРОД-ОМСК" 127-РДО от 01.01.2022</v>
      </c>
      <c r="D6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" t="str">
        <f ca="1">IFERROR(__xludf.DUMMYFUNCTION("""COMPUTED_VALUE"""),"Новый")</f>
        <v>Новый</v>
      </c>
      <c r="G677" s="68"/>
      <c r="K677" s="68"/>
    </row>
    <row r="678" spans="1:11" ht="12.75">
      <c r="A678" s="69">
        <f ca="1">IFERROR(__xludf.DUMMYFUNCTION("""COMPUTED_VALUE"""),91174)</f>
        <v>91174</v>
      </c>
      <c r="B678" s="4">
        <f ca="1">IFERROR(__xludf.DUMMYFUNCTION("""COMPUTED_VALUE"""),44595)</f>
        <v>44595</v>
      </c>
      <c r="C678" t="str">
        <f ca="1">IFERROR(__xludf.DUMMYFUNCTION("""COMPUTED_VALUE"""),"ООО ""ЧИСТЫЙ ГОРОД-ОМСК"" 127-РДО от 01.01.2022")</f>
        <v>ООО "ЧИСТЫЙ ГОРОД-ОМСК" 127-РДО от 01.01.2022</v>
      </c>
      <c r="D6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" t="str">
        <f ca="1">IFERROR(__xludf.DUMMYFUNCTION("""COMPUTED_VALUE"""),"Новый")</f>
        <v>Новый</v>
      </c>
      <c r="G678" s="68"/>
      <c r="K678" s="68"/>
    </row>
    <row r="679" spans="1:11" ht="12.75">
      <c r="A679" s="69">
        <f ca="1">IFERROR(__xludf.DUMMYFUNCTION("""COMPUTED_VALUE"""),91175)</f>
        <v>91175</v>
      </c>
      <c r="B679" s="4">
        <f ca="1">IFERROR(__xludf.DUMMYFUNCTION("""COMPUTED_VALUE"""),44595)</f>
        <v>44595</v>
      </c>
      <c r="C679" t="str">
        <f ca="1">IFERROR(__xludf.DUMMYFUNCTION("""COMPUTED_VALUE"""),"ООО ""ЧИСТЫЙ ГОРОД-ОМСК"" 127-РДО от 01.01.2022")</f>
        <v>ООО "ЧИСТЫЙ ГОРОД-ОМСК" 127-РДО от 01.01.2022</v>
      </c>
      <c r="D6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" t="str">
        <f ca="1">IFERROR(__xludf.DUMMYFUNCTION("""COMPUTED_VALUE"""),"Новый")</f>
        <v>Новый</v>
      </c>
      <c r="G679" s="68"/>
      <c r="K679" s="68"/>
    </row>
    <row r="680" spans="1:11" ht="12.75">
      <c r="A680" s="69">
        <f ca="1">IFERROR(__xludf.DUMMYFUNCTION("""COMPUTED_VALUE"""),91176)</f>
        <v>91176</v>
      </c>
      <c r="B680" s="4">
        <f ca="1">IFERROR(__xludf.DUMMYFUNCTION("""COMPUTED_VALUE"""),44595)</f>
        <v>44595</v>
      </c>
      <c r="C680" t="str">
        <f ca="1">IFERROR(__xludf.DUMMYFUNCTION("""COMPUTED_VALUE"""),"ООО ""ЧИСТЫЙ ГОРОД-ОМСК"" 127-РДО от 01.01.2022")</f>
        <v>ООО "ЧИСТЫЙ ГОРОД-ОМСК" 127-РДО от 01.01.2022</v>
      </c>
      <c r="D6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" t="str">
        <f ca="1">IFERROR(__xludf.DUMMYFUNCTION("""COMPUTED_VALUE"""),"Новый")</f>
        <v>Новый</v>
      </c>
      <c r="G680" s="68"/>
      <c r="K680" s="68"/>
    </row>
    <row r="681" spans="1:11" ht="12.75">
      <c r="A681" s="69">
        <f ca="1">IFERROR(__xludf.DUMMYFUNCTION("""COMPUTED_VALUE"""),91177)</f>
        <v>91177</v>
      </c>
      <c r="B681" s="4">
        <f ca="1">IFERROR(__xludf.DUMMYFUNCTION("""COMPUTED_VALUE"""),44595)</f>
        <v>44595</v>
      </c>
      <c r="C681" t="str">
        <f ca="1">IFERROR(__xludf.DUMMYFUNCTION("""COMPUTED_VALUE"""),"ООО ""ЧИСТЫЙ ГОРОД-ОМСК"" 127-РДО от 01.01.2022")</f>
        <v>ООО "ЧИСТЫЙ ГОРОД-ОМСК" 127-РДО от 01.01.2022</v>
      </c>
      <c r="D6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" t="str">
        <f ca="1">IFERROR(__xludf.DUMMYFUNCTION("""COMPUTED_VALUE"""),"Новый")</f>
        <v>Новый</v>
      </c>
      <c r="G681" s="68"/>
      <c r="K681" s="68"/>
    </row>
    <row r="682" spans="1:11" ht="12.75">
      <c r="A682" s="69">
        <f ca="1">IFERROR(__xludf.DUMMYFUNCTION("""COMPUTED_VALUE"""),91178)</f>
        <v>91178</v>
      </c>
      <c r="B682" s="4">
        <f ca="1">IFERROR(__xludf.DUMMYFUNCTION("""COMPUTED_VALUE"""),44595)</f>
        <v>44595</v>
      </c>
      <c r="C682" t="str">
        <f ca="1">IFERROR(__xludf.DUMMYFUNCTION("""COMPUTED_VALUE"""),"ООО ""ЧИСТЫЙ ГОРОД-ОМСК"" 127-РДО от 01.01.2022")</f>
        <v>ООО "ЧИСТЫЙ ГОРОД-ОМСК" 127-РДО от 01.01.2022</v>
      </c>
      <c r="D6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" t="str">
        <f ca="1">IFERROR(__xludf.DUMMYFUNCTION("""COMPUTED_VALUE"""),"Новый")</f>
        <v>Новый</v>
      </c>
      <c r="G682" s="68"/>
      <c r="K682" s="68"/>
    </row>
    <row r="683" spans="1:11" ht="12.75">
      <c r="A683" s="69">
        <f ca="1">IFERROR(__xludf.DUMMYFUNCTION("""COMPUTED_VALUE"""),91179)</f>
        <v>91179</v>
      </c>
      <c r="B683" s="4">
        <f ca="1">IFERROR(__xludf.DUMMYFUNCTION("""COMPUTED_VALUE"""),44595)</f>
        <v>44595</v>
      </c>
      <c r="C683" t="str">
        <f ca="1">IFERROR(__xludf.DUMMYFUNCTION("""COMPUTED_VALUE"""),"ООО ""ЧИСТЫЙ ГОРОД-ОМСК"" 127-РДО от 01.01.2022")</f>
        <v>ООО "ЧИСТЫЙ ГОРОД-ОМСК" 127-РДО от 01.01.2022</v>
      </c>
      <c r="D6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" t="str">
        <f ca="1">IFERROR(__xludf.DUMMYFUNCTION("""COMPUTED_VALUE"""),"Новый")</f>
        <v>Новый</v>
      </c>
      <c r="G683" s="68"/>
      <c r="K683" s="68"/>
    </row>
    <row r="684" spans="1:11" ht="12.75">
      <c r="A684" s="69">
        <f ca="1">IFERROR(__xludf.DUMMYFUNCTION("""COMPUTED_VALUE"""),91180)</f>
        <v>91180</v>
      </c>
      <c r="B684" s="4">
        <f ca="1">IFERROR(__xludf.DUMMYFUNCTION("""COMPUTED_VALUE"""),44595)</f>
        <v>44595</v>
      </c>
      <c r="C684" t="str">
        <f ca="1">IFERROR(__xludf.DUMMYFUNCTION("""COMPUTED_VALUE"""),"ООО ""ЧИСТЫЙ ГОРОД-ОМСК"" 127-РДО от 01.01.2022")</f>
        <v>ООО "ЧИСТЫЙ ГОРОД-ОМСК" 127-РДО от 01.01.2022</v>
      </c>
      <c r="D6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" t="str">
        <f ca="1">IFERROR(__xludf.DUMMYFUNCTION("""COMPUTED_VALUE"""),"Новый")</f>
        <v>Новый</v>
      </c>
      <c r="G684" s="68"/>
      <c r="K684" s="68"/>
    </row>
    <row r="685" spans="1:11" ht="12.75">
      <c r="A685" s="69">
        <f ca="1">IFERROR(__xludf.DUMMYFUNCTION("""COMPUTED_VALUE"""),91181)</f>
        <v>91181</v>
      </c>
      <c r="B685" s="4">
        <f ca="1">IFERROR(__xludf.DUMMYFUNCTION("""COMPUTED_VALUE"""),44595)</f>
        <v>44595</v>
      </c>
      <c r="C685" t="str">
        <f ca="1">IFERROR(__xludf.DUMMYFUNCTION("""COMPUTED_VALUE"""),"ООО ""ЧИСТЫЙ ГОРОД-ОМСК"" 127-РДО от 01.01.2022")</f>
        <v>ООО "ЧИСТЫЙ ГОРОД-ОМСК" 127-РДО от 01.01.2022</v>
      </c>
      <c r="D6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" t="str">
        <f ca="1">IFERROR(__xludf.DUMMYFUNCTION("""COMPUTED_VALUE"""),"Новый")</f>
        <v>Новый</v>
      </c>
      <c r="G685" s="68"/>
      <c r="K685" s="68"/>
    </row>
    <row r="686" spans="1:11" ht="12.75">
      <c r="A686" s="69">
        <f ca="1">IFERROR(__xludf.DUMMYFUNCTION("""COMPUTED_VALUE"""),91182)</f>
        <v>91182</v>
      </c>
      <c r="B686" s="4">
        <f ca="1">IFERROR(__xludf.DUMMYFUNCTION("""COMPUTED_VALUE"""),44595)</f>
        <v>44595</v>
      </c>
      <c r="C686" t="str">
        <f ca="1">IFERROR(__xludf.DUMMYFUNCTION("""COMPUTED_VALUE"""),"ООО ""ЧИСТЫЙ ГОРОД-ОМСК"" 127-РДО от 01.01.2022")</f>
        <v>ООО "ЧИСТЫЙ ГОРОД-ОМСК" 127-РДО от 01.01.2022</v>
      </c>
      <c r="D6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" t="str">
        <f ca="1">IFERROR(__xludf.DUMMYFUNCTION("""COMPUTED_VALUE"""),"Новый")</f>
        <v>Новый</v>
      </c>
      <c r="G686" s="68"/>
      <c r="K686" s="68"/>
    </row>
    <row r="687" spans="1:11" ht="12.75">
      <c r="A687" s="69">
        <f ca="1">IFERROR(__xludf.DUMMYFUNCTION("""COMPUTED_VALUE"""),91203)</f>
        <v>91203</v>
      </c>
      <c r="B687" s="4">
        <f ca="1">IFERROR(__xludf.DUMMYFUNCTION("""COMPUTED_VALUE"""),44595)</f>
        <v>44595</v>
      </c>
      <c r="C687" t="str">
        <f ca="1">IFERROR(__xludf.DUMMYFUNCTION("""COMPUTED_VALUE"""),"ООО ""ЧИСТЫЙ ГОРОД-ОМСК"" 127-РДО от 01.01.2022")</f>
        <v>ООО "ЧИСТЫЙ ГОРОД-ОМСК" 127-РДО от 01.01.2022</v>
      </c>
      <c r="D6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" t="str">
        <f ca="1">IFERROR(__xludf.DUMMYFUNCTION("""COMPUTED_VALUE"""),"Новый")</f>
        <v>Новый</v>
      </c>
      <c r="G687" s="68"/>
      <c r="K687" s="68"/>
    </row>
    <row r="688" spans="1:11" ht="12.75">
      <c r="A688" s="69">
        <f ca="1">IFERROR(__xludf.DUMMYFUNCTION("""COMPUTED_VALUE"""),91204)</f>
        <v>91204</v>
      </c>
      <c r="B688" s="4">
        <f ca="1">IFERROR(__xludf.DUMMYFUNCTION("""COMPUTED_VALUE"""),44595)</f>
        <v>44595</v>
      </c>
      <c r="C688" t="str">
        <f ca="1">IFERROR(__xludf.DUMMYFUNCTION("""COMPUTED_VALUE"""),"ООО ""ЧИСТЫЙ ГОРОД-ОМСК"" 127-РДО от 01.01.2022")</f>
        <v>ООО "ЧИСТЫЙ ГОРОД-ОМСК" 127-РДО от 01.01.2022</v>
      </c>
      <c r="D6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" t="str">
        <f ca="1">IFERROR(__xludf.DUMMYFUNCTION("""COMPUTED_VALUE"""),"Новый")</f>
        <v>Новый</v>
      </c>
      <c r="G688" s="68"/>
      <c r="K688" s="68"/>
    </row>
    <row r="689" spans="1:11" ht="12.75">
      <c r="A689" s="69">
        <f ca="1">IFERROR(__xludf.DUMMYFUNCTION("""COMPUTED_VALUE"""),91205)</f>
        <v>91205</v>
      </c>
      <c r="B689" s="4">
        <f ca="1">IFERROR(__xludf.DUMMYFUNCTION("""COMPUTED_VALUE"""),44595)</f>
        <v>44595</v>
      </c>
      <c r="C689" t="str">
        <f ca="1">IFERROR(__xludf.DUMMYFUNCTION("""COMPUTED_VALUE"""),"ООО ""ЧИСТЫЙ ГОРОД-ОМСК"" 127-РДО от 01.01.2022")</f>
        <v>ООО "ЧИСТЫЙ ГОРОД-ОМСК" 127-РДО от 01.01.2022</v>
      </c>
      <c r="D6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" t="str">
        <f ca="1">IFERROR(__xludf.DUMMYFUNCTION("""COMPUTED_VALUE"""),"Новый")</f>
        <v>Новый</v>
      </c>
      <c r="G689" s="68"/>
      <c r="K689" s="68"/>
    </row>
    <row r="690" spans="1:11" ht="12.75">
      <c r="A690" s="69">
        <f ca="1">IFERROR(__xludf.DUMMYFUNCTION("""COMPUTED_VALUE"""),91206)</f>
        <v>91206</v>
      </c>
      <c r="B690" s="4">
        <f ca="1">IFERROR(__xludf.DUMMYFUNCTION("""COMPUTED_VALUE"""),44595)</f>
        <v>44595</v>
      </c>
      <c r="C690" t="str">
        <f ca="1">IFERROR(__xludf.DUMMYFUNCTION("""COMPUTED_VALUE"""),"ООО ""ЧИСТЫЙ ГОРОД-ОМСК"" 127-РДО от 01.01.2022")</f>
        <v>ООО "ЧИСТЫЙ ГОРОД-ОМСК" 127-РДО от 01.01.2022</v>
      </c>
      <c r="D6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" t="str">
        <f ca="1">IFERROR(__xludf.DUMMYFUNCTION("""COMPUTED_VALUE"""),"Новый")</f>
        <v>Новый</v>
      </c>
      <c r="G690" s="68"/>
      <c r="K690" s="68"/>
    </row>
    <row r="691" spans="1:11" ht="12.75">
      <c r="A691" s="69">
        <f ca="1">IFERROR(__xludf.DUMMYFUNCTION("""COMPUTED_VALUE"""),91207)</f>
        <v>91207</v>
      </c>
      <c r="B691" s="4">
        <f ca="1">IFERROR(__xludf.DUMMYFUNCTION("""COMPUTED_VALUE"""),44595)</f>
        <v>44595</v>
      </c>
      <c r="C691" t="str">
        <f ca="1">IFERROR(__xludf.DUMMYFUNCTION("""COMPUTED_VALUE"""),"ООО ""ЧИСТЫЙ ГОРОД-ОМСК"" 127-РДО от 01.01.2022")</f>
        <v>ООО "ЧИСТЫЙ ГОРОД-ОМСК" 127-РДО от 01.01.2022</v>
      </c>
      <c r="D6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" t="str">
        <f ca="1">IFERROR(__xludf.DUMMYFUNCTION("""COMPUTED_VALUE"""),"Новый")</f>
        <v>Новый</v>
      </c>
      <c r="G691" s="68"/>
      <c r="K691" s="68"/>
    </row>
    <row r="692" spans="1:11" ht="12.75">
      <c r="A692" s="69">
        <f ca="1">IFERROR(__xludf.DUMMYFUNCTION("""COMPUTED_VALUE"""),91208)</f>
        <v>91208</v>
      </c>
      <c r="B692" s="4">
        <f ca="1">IFERROR(__xludf.DUMMYFUNCTION("""COMPUTED_VALUE"""),44595)</f>
        <v>44595</v>
      </c>
      <c r="C692" t="str">
        <f ca="1">IFERROR(__xludf.DUMMYFUNCTION("""COMPUTED_VALUE"""),"ООО ""ЧИСТЫЙ ГОРОД-ОМСК"" 127-РДО от 01.01.2022")</f>
        <v>ООО "ЧИСТЫЙ ГОРОД-ОМСК" 127-РДО от 01.01.2022</v>
      </c>
      <c r="D6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" t="str">
        <f ca="1">IFERROR(__xludf.DUMMYFUNCTION("""COMPUTED_VALUE"""),"Новый")</f>
        <v>Новый</v>
      </c>
      <c r="G692" s="68"/>
      <c r="K692" s="68"/>
    </row>
    <row r="693" spans="1:11" ht="12.75">
      <c r="A693" s="69">
        <f ca="1">IFERROR(__xludf.DUMMYFUNCTION("""COMPUTED_VALUE"""),91209)</f>
        <v>91209</v>
      </c>
      <c r="B693" s="4">
        <f ca="1">IFERROR(__xludf.DUMMYFUNCTION("""COMPUTED_VALUE"""),44595)</f>
        <v>44595</v>
      </c>
      <c r="C693" t="str">
        <f ca="1">IFERROR(__xludf.DUMMYFUNCTION("""COMPUTED_VALUE"""),"ООО ""ЧИСТЫЙ ГОРОД-ОМСК"" 127-РДО от 01.01.2022")</f>
        <v>ООО "ЧИСТЫЙ ГОРОД-ОМСК" 127-РДО от 01.01.2022</v>
      </c>
      <c r="D6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" t="str">
        <f ca="1">IFERROR(__xludf.DUMMYFUNCTION("""COMPUTED_VALUE"""),"Новый")</f>
        <v>Новый</v>
      </c>
      <c r="G693" s="68"/>
      <c r="K693" s="68"/>
    </row>
    <row r="694" spans="1:11" ht="12.75">
      <c r="A694" s="69">
        <f ca="1">IFERROR(__xludf.DUMMYFUNCTION("""COMPUTED_VALUE"""),91210)</f>
        <v>91210</v>
      </c>
      <c r="B694" s="4">
        <f ca="1">IFERROR(__xludf.DUMMYFUNCTION("""COMPUTED_VALUE"""),44595)</f>
        <v>44595</v>
      </c>
      <c r="C694" t="str">
        <f ca="1">IFERROR(__xludf.DUMMYFUNCTION("""COMPUTED_VALUE"""),"ООО ""ЧИСТЫЙ ГОРОД-ОМСК"" 127-РДО от 01.01.2022")</f>
        <v>ООО "ЧИСТЫЙ ГОРОД-ОМСК" 127-РДО от 01.01.2022</v>
      </c>
      <c r="D6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" t="str">
        <f ca="1">IFERROR(__xludf.DUMMYFUNCTION("""COMPUTED_VALUE"""),"Новый")</f>
        <v>Новый</v>
      </c>
      <c r="G694" s="68"/>
      <c r="K694" s="68"/>
    </row>
    <row r="695" spans="1:11" ht="12.75">
      <c r="A695" s="69">
        <f ca="1">IFERROR(__xludf.DUMMYFUNCTION("""COMPUTED_VALUE"""),91211)</f>
        <v>91211</v>
      </c>
      <c r="B695" s="4">
        <f ca="1">IFERROR(__xludf.DUMMYFUNCTION("""COMPUTED_VALUE"""),44595)</f>
        <v>44595</v>
      </c>
      <c r="C695" t="str">
        <f ca="1">IFERROR(__xludf.DUMMYFUNCTION("""COMPUTED_VALUE"""),"ООО ""ЧИСТЫЙ ГОРОД-ОМСК"" 127-РДО от 01.01.2022")</f>
        <v>ООО "ЧИСТЫЙ ГОРОД-ОМСК" 127-РДО от 01.01.2022</v>
      </c>
      <c r="D6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" t="str">
        <f ca="1">IFERROR(__xludf.DUMMYFUNCTION("""COMPUTED_VALUE"""),"Новый")</f>
        <v>Новый</v>
      </c>
      <c r="G695" s="68"/>
      <c r="K695" s="68"/>
    </row>
    <row r="696" spans="1:11" ht="12.75">
      <c r="A696" s="69">
        <f ca="1">IFERROR(__xludf.DUMMYFUNCTION("""COMPUTED_VALUE"""),91212)</f>
        <v>91212</v>
      </c>
      <c r="B696" s="4">
        <f ca="1">IFERROR(__xludf.DUMMYFUNCTION("""COMPUTED_VALUE"""),44595)</f>
        <v>44595</v>
      </c>
      <c r="C696" t="str">
        <f ca="1">IFERROR(__xludf.DUMMYFUNCTION("""COMPUTED_VALUE"""),"ООО ""ЧИСТЫЙ ГОРОД-ОМСК"" 127-РДО от 01.01.2022")</f>
        <v>ООО "ЧИСТЫЙ ГОРОД-ОМСК" 127-РДО от 01.01.2022</v>
      </c>
      <c r="D6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" t="str">
        <f ca="1">IFERROR(__xludf.DUMMYFUNCTION("""COMPUTED_VALUE"""),"Новый")</f>
        <v>Новый</v>
      </c>
      <c r="G696" s="68"/>
      <c r="K696" s="68"/>
    </row>
    <row r="697" spans="1:11" ht="12.75">
      <c r="A697" s="69">
        <f ca="1">IFERROR(__xludf.DUMMYFUNCTION("""COMPUTED_VALUE"""),91213)</f>
        <v>91213</v>
      </c>
      <c r="B697" s="4">
        <f ca="1">IFERROR(__xludf.DUMMYFUNCTION("""COMPUTED_VALUE"""),44595)</f>
        <v>44595</v>
      </c>
      <c r="C697" t="str">
        <f ca="1">IFERROR(__xludf.DUMMYFUNCTION("""COMPUTED_VALUE"""),"ООО ""ЧИСТЫЙ ГОРОД-ОМСК"" 127-РДО от 01.01.2022")</f>
        <v>ООО "ЧИСТЫЙ ГОРОД-ОМСК" 127-РДО от 01.01.2022</v>
      </c>
      <c r="D6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" t="str">
        <f ca="1">IFERROR(__xludf.DUMMYFUNCTION("""COMPUTED_VALUE"""),"Новый")</f>
        <v>Новый</v>
      </c>
      <c r="G697" s="68"/>
      <c r="K697" s="68"/>
    </row>
    <row r="698" spans="1:11" ht="12.75">
      <c r="A698" s="69">
        <f ca="1">IFERROR(__xludf.DUMMYFUNCTION("""COMPUTED_VALUE"""),91214)</f>
        <v>91214</v>
      </c>
      <c r="B698" s="4">
        <f ca="1">IFERROR(__xludf.DUMMYFUNCTION("""COMPUTED_VALUE"""),44595)</f>
        <v>44595</v>
      </c>
      <c r="C698" t="str">
        <f ca="1">IFERROR(__xludf.DUMMYFUNCTION("""COMPUTED_VALUE"""),"ООО ""ЧИСТЫЙ ГОРОД-ОМСК"" 127-РДО от 01.01.2022")</f>
        <v>ООО "ЧИСТЫЙ ГОРОД-ОМСК" 127-РДО от 01.01.2022</v>
      </c>
      <c r="D6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" t="str">
        <f ca="1">IFERROR(__xludf.DUMMYFUNCTION("""COMPUTED_VALUE"""),"Новый")</f>
        <v>Новый</v>
      </c>
      <c r="G698" s="68"/>
      <c r="K698" s="68"/>
    </row>
    <row r="699" spans="1:11" ht="12.75">
      <c r="A699" s="69">
        <f ca="1">IFERROR(__xludf.DUMMYFUNCTION("""COMPUTED_VALUE"""),91215)</f>
        <v>91215</v>
      </c>
      <c r="B699" s="4">
        <f ca="1">IFERROR(__xludf.DUMMYFUNCTION("""COMPUTED_VALUE"""),44595)</f>
        <v>44595</v>
      </c>
      <c r="C699" t="str">
        <f ca="1">IFERROR(__xludf.DUMMYFUNCTION("""COMPUTED_VALUE"""),"ООО ""ЧИСТЫЙ ГОРОД-ОМСК"" 127-РДО от 01.01.2022")</f>
        <v>ООО "ЧИСТЫЙ ГОРОД-ОМСК" 127-РДО от 01.01.2022</v>
      </c>
      <c r="D6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" t="str">
        <f ca="1">IFERROR(__xludf.DUMMYFUNCTION("""COMPUTED_VALUE"""),"Новый")</f>
        <v>Новый</v>
      </c>
      <c r="G699" s="68"/>
      <c r="K699" s="68"/>
    </row>
    <row r="700" spans="1:11" ht="12.75">
      <c r="A700" s="69">
        <f ca="1">IFERROR(__xludf.DUMMYFUNCTION("""COMPUTED_VALUE"""),91216)</f>
        <v>91216</v>
      </c>
      <c r="B700" s="4">
        <f ca="1">IFERROR(__xludf.DUMMYFUNCTION("""COMPUTED_VALUE"""),44595)</f>
        <v>44595</v>
      </c>
      <c r="C700" t="str">
        <f ca="1">IFERROR(__xludf.DUMMYFUNCTION("""COMPUTED_VALUE"""),"ООО ""ЧИСТЫЙ ГОРОД-ОМСК"" 127-РДО от 01.01.2022")</f>
        <v>ООО "ЧИСТЫЙ ГОРОД-ОМСК" 127-РДО от 01.01.2022</v>
      </c>
      <c r="D7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" t="str">
        <f ca="1">IFERROR(__xludf.DUMMYFUNCTION("""COMPUTED_VALUE"""),"Новый")</f>
        <v>Новый</v>
      </c>
      <c r="G700" s="68"/>
      <c r="K700" s="68"/>
    </row>
    <row r="701" spans="1:11" ht="12.75">
      <c r="A701" s="69">
        <f ca="1">IFERROR(__xludf.DUMMYFUNCTION("""COMPUTED_VALUE"""),91217)</f>
        <v>91217</v>
      </c>
      <c r="B701" s="4">
        <f ca="1">IFERROR(__xludf.DUMMYFUNCTION("""COMPUTED_VALUE"""),44595)</f>
        <v>44595</v>
      </c>
      <c r="C701" t="str">
        <f ca="1">IFERROR(__xludf.DUMMYFUNCTION("""COMPUTED_VALUE"""),"ООО ""ЧИСТЫЙ ГОРОД-ОМСК"" 127-РДО от 01.01.2022")</f>
        <v>ООО "ЧИСТЫЙ ГОРОД-ОМСК" 127-РДО от 01.01.2022</v>
      </c>
      <c r="D7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" t="str">
        <f ca="1">IFERROR(__xludf.DUMMYFUNCTION("""COMPUTED_VALUE"""),"Новый")</f>
        <v>Новый</v>
      </c>
      <c r="G701" s="68"/>
      <c r="K701" s="68"/>
    </row>
    <row r="702" spans="1:11" ht="12.75">
      <c r="A702" s="69">
        <f ca="1">IFERROR(__xludf.DUMMYFUNCTION("""COMPUTED_VALUE"""),91218)</f>
        <v>91218</v>
      </c>
      <c r="B702" s="4">
        <f ca="1">IFERROR(__xludf.DUMMYFUNCTION("""COMPUTED_VALUE"""),44595)</f>
        <v>44595</v>
      </c>
      <c r="C702" t="str">
        <f ca="1">IFERROR(__xludf.DUMMYFUNCTION("""COMPUTED_VALUE"""),"ООО ""ЧИСТЫЙ ГОРОД-ОМСК"" 127-РДО от 01.01.2022")</f>
        <v>ООО "ЧИСТЫЙ ГОРОД-ОМСК" 127-РДО от 01.01.2022</v>
      </c>
      <c r="D7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" t="str">
        <f ca="1">IFERROR(__xludf.DUMMYFUNCTION("""COMPUTED_VALUE"""),"Новый")</f>
        <v>Новый</v>
      </c>
      <c r="G702" s="68"/>
      <c r="K702" s="68"/>
    </row>
    <row r="703" spans="1:11" ht="12.75">
      <c r="A703" s="69">
        <f ca="1">IFERROR(__xludf.DUMMYFUNCTION("""COMPUTED_VALUE"""),91219)</f>
        <v>91219</v>
      </c>
      <c r="B703" s="4">
        <f ca="1">IFERROR(__xludf.DUMMYFUNCTION("""COMPUTED_VALUE"""),44595)</f>
        <v>44595</v>
      </c>
      <c r="C703" t="str">
        <f ca="1">IFERROR(__xludf.DUMMYFUNCTION("""COMPUTED_VALUE"""),"ООО ""ЧИСТЫЙ ГОРОД-ОМСК"" 127-РДО от 01.01.2022")</f>
        <v>ООО "ЧИСТЫЙ ГОРОД-ОМСК" 127-РДО от 01.01.2022</v>
      </c>
      <c r="D7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" t="str">
        <f ca="1">IFERROR(__xludf.DUMMYFUNCTION("""COMPUTED_VALUE"""),"Новый")</f>
        <v>Новый</v>
      </c>
      <c r="G703" s="68"/>
      <c r="K703" s="68"/>
    </row>
    <row r="704" spans="1:11" ht="12.75">
      <c r="A704" s="69">
        <f ca="1">IFERROR(__xludf.DUMMYFUNCTION("""COMPUTED_VALUE"""),91220)</f>
        <v>91220</v>
      </c>
      <c r="B704" s="4">
        <f ca="1">IFERROR(__xludf.DUMMYFUNCTION("""COMPUTED_VALUE"""),44595)</f>
        <v>44595</v>
      </c>
      <c r="C704" t="str">
        <f ca="1">IFERROR(__xludf.DUMMYFUNCTION("""COMPUTED_VALUE"""),"ООО ""ЧИСТЫЙ ГОРОД-ОМСК"" 127-РДО от 01.01.2022")</f>
        <v>ООО "ЧИСТЫЙ ГОРОД-ОМСК" 127-РДО от 01.01.2022</v>
      </c>
      <c r="D7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" t="str">
        <f ca="1">IFERROR(__xludf.DUMMYFUNCTION("""COMPUTED_VALUE"""),"Новый")</f>
        <v>Новый</v>
      </c>
      <c r="G704" s="68"/>
      <c r="K704" s="68"/>
    </row>
    <row r="705" spans="1:11" ht="12.75">
      <c r="A705" s="69">
        <f ca="1">IFERROR(__xludf.DUMMYFUNCTION("""COMPUTED_VALUE"""),91221)</f>
        <v>91221</v>
      </c>
      <c r="B705" s="4">
        <f ca="1">IFERROR(__xludf.DUMMYFUNCTION("""COMPUTED_VALUE"""),44595)</f>
        <v>44595</v>
      </c>
      <c r="C705" t="str">
        <f ca="1">IFERROR(__xludf.DUMMYFUNCTION("""COMPUTED_VALUE"""),"ООО ""ЧИСТЫЙ ГОРОД-ОМСК"" 127-РДО от 01.01.2022")</f>
        <v>ООО "ЧИСТЫЙ ГОРОД-ОМСК" 127-РДО от 01.01.2022</v>
      </c>
      <c r="D7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" t="str">
        <f ca="1">IFERROR(__xludf.DUMMYFUNCTION("""COMPUTED_VALUE"""),"Новый")</f>
        <v>Новый</v>
      </c>
      <c r="G705" s="68"/>
      <c r="K705" s="68"/>
    </row>
    <row r="706" spans="1:11" ht="12.75">
      <c r="A706" s="69">
        <f ca="1">IFERROR(__xludf.DUMMYFUNCTION("""COMPUTED_VALUE"""),91222)</f>
        <v>91222</v>
      </c>
      <c r="B706" s="4">
        <f ca="1">IFERROR(__xludf.DUMMYFUNCTION("""COMPUTED_VALUE"""),44595)</f>
        <v>44595</v>
      </c>
      <c r="C706" t="str">
        <f ca="1">IFERROR(__xludf.DUMMYFUNCTION("""COMPUTED_VALUE"""),"ООО ""ЧИСТЫЙ ГОРОД-ОМСК"" 127-РДО от 01.01.2022")</f>
        <v>ООО "ЧИСТЫЙ ГОРОД-ОМСК" 127-РДО от 01.01.2022</v>
      </c>
      <c r="D7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" t="str">
        <f ca="1">IFERROR(__xludf.DUMMYFUNCTION("""COMPUTED_VALUE"""),"Новый")</f>
        <v>Новый</v>
      </c>
      <c r="G706" s="68"/>
      <c r="K706" s="68"/>
    </row>
    <row r="707" spans="1:11" ht="12.75">
      <c r="A707" s="69">
        <f ca="1">IFERROR(__xludf.DUMMYFUNCTION("""COMPUTED_VALUE"""),91242)</f>
        <v>91242</v>
      </c>
      <c r="B707" s="4">
        <f ca="1">IFERROR(__xludf.DUMMYFUNCTION("""COMPUTED_VALUE"""),44595)</f>
        <v>44595</v>
      </c>
      <c r="C707" t="str">
        <f ca="1">IFERROR(__xludf.DUMMYFUNCTION("""COMPUTED_VALUE"""),"ООО ""ЧИСТЫЙ ГОРОД-ОМСК"" 127-РДО от 01.01.2022")</f>
        <v>ООО "ЧИСТЫЙ ГОРОД-ОМСК" 127-РДО от 01.01.2022</v>
      </c>
      <c r="D7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" t="str">
        <f ca="1">IFERROR(__xludf.DUMMYFUNCTION("""COMPUTED_VALUE"""),"Новый")</f>
        <v>Новый</v>
      </c>
      <c r="G707" s="68"/>
      <c r="K707" s="68"/>
    </row>
    <row r="708" spans="1:11" ht="12.75">
      <c r="A708" s="69">
        <f ca="1">IFERROR(__xludf.DUMMYFUNCTION("""COMPUTED_VALUE"""),91253)</f>
        <v>91253</v>
      </c>
      <c r="B708" s="4">
        <f ca="1">IFERROR(__xludf.DUMMYFUNCTION("""COMPUTED_VALUE"""),44595)</f>
        <v>44595</v>
      </c>
      <c r="C708" t="str">
        <f ca="1">IFERROR(__xludf.DUMMYFUNCTION("""COMPUTED_VALUE"""),"ООО ""ЧИСТЫЙ ГОРОД-ОМСК"" 127-РДО от 01.01.2022")</f>
        <v>ООО "ЧИСТЫЙ ГОРОД-ОМСК" 127-РДО от 01.01.2022</v>
      </c>
      <c r="D7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" t="str">
        <f ca="1">IFERROR(__xludf.DUMMYFUNCTION("""COMPUTED_VALUE"""),"Новый")</f>
        <v>Новый</v>
      </c>
      <c r="G708" s="68"/>
      <c r="K708" s="68"/>
    </row>
    <row r="709" spans="1:11" ht="12.75">
      <c r="A709" s="69">
        <f ca="1">IFERROR(__xludf.DUMMYFUNCTION("""COMPUTED_VALUE"""),91257)</f>
        <v>91257</v>
      </c>
      <c r="B709" s="4">
        <f ca="1">IFERROR(__xludf.DUMMYFUNCTION("""COMPUTED_VALUE"""),44595)</f>
        <v>44595</v>
      </c>
      <c r="C709" t="str">
        <f ca="1">IFERROR(__xludf.DUMMYFUNCTION("""COMPUTED_VALUE"""),"ООО ""ЧИСТЫЙ ГОРОД-ОМСК"" 127-РДО от 01.01.2022")</f>
        <v>ООО "ЧИСТЫЙ ГОРОД-ОМСК" 127-РДО от 01.01.2022</v>
      </c>
      <c r="D7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" t="str">
        <f ca="1">IFERROR(__xludf.DUMMYFUNCTION("""COMPUTED_VALUE"""),"Новый")</f>
        <v>Новый</v>
      </c>
      <c r="G709" s="68"/>
      <c r="K709" s="68"/>
    </row>
    <row r="710" spans="1:11" ht="12.75">
      <c r="A710" s="69">
        <f ca="1">IFERROR(__xludf.DUMMYFUNCTION("""COMPUTED_VALUE"""),91583)</f>
        <v>91583</v>
      </c>
      <c r="B710" s="4">
        <f ca="1">IFERROR(__xludf.DUMMYFUNCTION("""COMPUTED_VALUE"""),44560)</f>
        <v>44560</v>
      </c>
      <c r="C710" t="str">
        <f ca="1">IFERROR(__xludf.DUMMYFUNCTION("""COMPUTED_VALUE"""),"ЗАО ""ЭКОС"" 115-СТР от 01.01.2022")</f>
        <v>ЗАО "ЭКОС" 115-СТР от 01.01.2022</v>
      </c>
      <c r="D7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" t="str">
        <f ca="1">IFERROR(__xludf.DUMMYFUNCTION("""COMPUTED_VALUE"""),"Новый")</f>
        <v>Новый</v>
      </c>
      <c r="G710" s="68"/>
      <c r="K710" s="68"/>
    </row>
    <row r="711" spans="1:11" ht="12.75">
      <c r="A711" s="69">
        <f ca="1">IFERROR(__xludf.DUMMYFUNCTION("""COMPUTED_VALUE"""),91584)</f>
        <v>91584</v>
      </c>
      <c r="B711" s="4">
        <f ca="1">IFERROR(__xludf.DUMMYFUNCTION("""COMPUTED_VALUE"""),44560)</f>
        <v>44560</v>
      </c>
      <c r="C711" t="str">
        <f ca="1">IFERROR(__xludf.DUMMYFUNCTION("""COMPUTED_VALUE"""),"ЗАО ""ЭКОС"" 115-СТР от 01.01.2022")</f>
        <v>ЗАО "ЭКОС" 115-СТР от 01.01.2022</v>
      </c>
      <c r="D7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" t="str">
        <f ca="1">IFERROR(__xludf.DUMMYFUNCTION("""COMPUTED_VALUE"""),"Новый")</f>
        <v>Новый</v>
      </c>
      <c r="G711" s="68"/>
      <c r="K711" s="68"/>
    </row>
    <row r="712" spans="1:11" ht="12.75">
      <c r="A712" s="69">
        <f ca="1">IFERROR(__xludf.DUMMYFUNCTION("""COMPUTED_VALUE"""),91585)</f>
        <v>91585</v>
      </c>
      <c r="B712" s="4">
        <f ca="1">IFERROR(__xludf.DUMMYFUNCTION("""COMPUTED_VALUE"""),44560)</f>
        <v>44560</v>
      </c>
      <c r="C712" t="str">
        <f ca="1">IFERROR(__xludf.DUMMYFUNCTION("""COMPUTED_VALUE"""),"ЗАО ""ЭКОС"" 115-СТР от 01.01.2022")</f>
        <v>ЗАО "ЭКОС" 115-СТР от 01.01.2022</v>
      </c>
      <c r="D7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" t="str">
        <f ca="1">IFERROR(__xludf.DUMMYFUNCTION("""COMPUTED_VALUE"""),"Новый")</f>
        <v>Новый</v>
      </c>
      <c r="G712" s="68"/>
      <c r="K712" s="68"/>
    </row>
    <row r="713" spans="1:11" ht="12.75">
      <c r="A713" s="69">
        <f ca="1">IFERROR(__xludf.DUMMYFUNCTION("""COMPUTED_VALUE"""),91586)</f>
        <v>91586</v>
      </c>
      <c r="B713" s="4">
        <f ca="1">IFERROR(__xludf.DUMMYFUNCTION("""COMPUTED_VALUE"""),44560)</f>
        <v>44560</v>
      </c>
      <c r="C713" t="str">
        <f ca="1">IFERROR(__xludf.DUMMYFUNCTION("""COMPUTED_VALUE"""),"ЗАО ""ЭКОС"" 115-СТР от 01.01.2022")</f>
        <v>ЗАО "ЭКОС" 115-СТР от 01.01.2022</v>
      </c>
      <c r="D7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" t="str">
        <f ca="1">IFERROR(__xludf.DUMMYFUNCTION("""COMPUTED_VALUE"""),"Новый")</f>
        <v>Новый</v>
      </c>
      <c r="G713" s="68"/>
      <c r="K713" s="68"/>
    </row>
    <row r="714" spans="1:11" ht="12.75">
      <c r="A714" s="69">
        <f ca="1">IFERROR(__xludf.DUMMYFUNCTION("""COMPUTED_VALUE"""),91587)</f>
        <v>91587</v>
      </c>
      <c r="B714" s="4">
        <f ca="1">IFERROR(__xludf.DUMMYFUNCTION("""COMPUTED_VALUE"""),44560)</f>
        <v>44560</v>
      </c>
      <c r="C714" t="str">
        <f ca="1">IFERROR(__xludf.DUMMYFUNCTION("""COMPUTED_VALUE"""),"ЗАО ""ЭКОС"" 115-СТР от 01.01.2022")</f>
        <v>ЗАО "ЭКОС" 115-СТР от 01.01.2022</v>
      </c>
      <c r="D7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" t="str">
        <f ca="1">IFERROR(__xludf.DUMMYFUNCTION("""COMPUTED_VALUE"""),"Новый")</f>
        <v>Новый</v>
      </c>
      <c r="G714" s="68"/>
      <c r="K714" s="68"/>
    </row>
    <row r="715" spans="1:11" ht="12.75">
      <c r="A715" s="69">
        <f ca="1">IFERROR(__xludf.DUMMYFUNCTION("""COMPUTED_VALUE"""),91588)</f>
        <v>91588</v>
      </c>
      <c r="B715" s="4">
        <f ca="1">IFERROR(__xludf.DUMMYFUNCTION("""COMPUTED_VALUE"""),44560)</f>
        <v>44560</v>
      </c>
      <c r="C715" t="str">
        <f ca="1">IFERROR(__xludf.DUMMYFUNCTION("""COMPUTED_VALUE"""),"ЗАО ""ЭКОС"" 115-СТР от 01.01.2022")</f>
        <v>ЗАО "ЭКОС" 115-СТР от 01.01.2022</v>
      </c>
      <c r="D7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" t="str">
        <f ca="1">IFERROR(__xludf.DUMMYFUNCTION("""COMPUTED_VALUE"""),"Новый")</f>
        <v>Новый</v>
      </c>
      <c r="G715" s="68"/>
      <c r="K715" s="68"/>
    </row>
    <row r="716" spans="1:11" ht="12.75">
      <c r="A716" s="69">
        <f ca="1">IFERROR(__xludf.DUMMYFUNCTION("""COMPUTED_VALUE"""),91589)</f>
        <v>91589</v>
      </c>
      <c r="B716" s="4">
        <f ca="1">IFERROR(__xludf.DUMMYFUNCTION("""COMPUTED_VALUE"""),44560)</f>
        <v>44560</v>
      </c>
      <c r="C716" t="str">
        <f ca="1">IFERROR(__xludf.DUMMYFUNCTION("""COMPUTED_VALUE"""),"ЗАО ""ЭКОС"" 115-СТР от 01.01.2022")</f>
        <v>ЗАО "ЭКОС" 115-СТР от 01.01.2022</v>
      </c>
      <c r="D7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" t="str">
        <f ca="1">IFERROR(__xludf.DUMMYFUNCTION("""COMPUTED_VALUE"""),"Новый")</f>
        <v>Новый</v>
      </c>
      <c r="G716" s="68"/>
      <c r="K716" s="68"/>
    </row>
    <row r="717" spans="1:11" ht="12.75">
      <c r="A717" s="69">
        <f ca="1">IFERROR(__xludf.DUMMYFUNCTION("""COMPUTED_VALUE"""),91590)</f>
        <v>91590</v>
      </c>
      <c r="B717" s="4">
        <f ca="1">IFERROR(__xludf.DUMMYFUNCTION("""COMPUTED_VALUE"""),44560)</f>
        <v>44560</v>
      </c>
      <c r="C717" t="str">
        <f ca="1">IFERROR(__xludf.DUMMYFUNCTION("""COMPUTED_VALUE"""),"ЗАО ""ЭКОС"" 115-СТР от 01.01.2022")</f>
        <v>ЗАО "ЭКОС" 115-СТР от 01.01.2022</v>
      </c>
      <c r="D7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" t="str">
        <f ca="1">IFERROR(__xludf.DUMMYFUNCTION("""COMPUTED_VALUE"""),"Новый")</f>
        <v>Новый</v>
      </c>
      <c r="G717" s="68"/>
      <c r="K717" s="68"/>
    </row>
    <row r="718" spans="1:11" ht="12.75">
      <c r="A718" s="69">
        <f ca="1">IFERROR(__xludf.DUMMYFUNCTION("""COMPUTED_VALUE"""),91591)</f>
        <v>91591</v>
      </c>
      <c r="B718" s="4">
        <f ca="1">IFERROR(__xludf.DUMMYFUNCTION("""COMPUTED_VALUE"""),44560)</f>
        <v>44560</v>
      </c>
      <c r="C718" t="str">
        <f ca="1">IFERROR(__xludf.DUMMYFUNCTION("""COMPUTED_VALUE"""),"ЗАО ""ЭКОС"" 115-СТР от 01.01.2022")</f>
        <v>ЗАО "ЭКОС" 115-СТР от 01.01.2022</v>
      </c>
      <c r="D7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" t="str">
        <f ca="1">IFERROR(__xludf.DUMMYFUNCTION("""COMPUTED_VALUE"""),"Новый")</f>
        <v>Новый</v>
      </c>
      <c r="G718" s="68"/>
      <c r="K718" s="68"/>
    </row>
    <row r="719" spans="1:11" ht="12.75">
      <c r="A719" s="69">
        <f ca="1">IFERROR(__xludf.DUMMYFUNCTION("""COMPUTED_VALUE"""),91592)</f>
        <v>91592</v>
      </c>
      <c r="B719" s="4">
        <f ca="1">IFERROR(__xludf.DUMMYFUNCTION("""COMPUTED_VALUE"""),44560)</f>
        <v>44560</v>
      </c>
      <c r="C719" t="str">
        <f ca="1">IFERROR(__xludf.DUMMYFUNCTION("""COMPUTED_VALUE"""),"ЗАО ""ЭКОС"" 115-СТР от 01.01.2022")</f>
        <v>ЗАО "ЭКОС" 115-СТР от 01.01.2022</v>
      </c>
      <c r="D7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" t="str">
        <f ca="1">IFERROR(__xludf.DUMMYFUNCTION("""COMPUTED_VALUE"""),"Новый")</f>
        <v>Новый</v>
      </c>
      <c r="G719" s="68"/>
      <c r="K719" s="68"/>
    </row>
    <row r="720" spans="1:11" ht="12.75">
      <c r="A720" s="69">
        <f ca="1">IFERROR(__xludf.DUMMYFUNCTION("""COMPUTED_VALUE"""),91593)</f>
        <v>91593</v>
      </c>
      <c r="B720" s="4">
        <f ca="1">IFERROR(__xludf.DUMMYFUNCTION("""COMPUTED_VALUE"""),44560)</f>
        <v>44560</v>
      </c>
      <c r="C720" t="str">
        <f ca="1">IFERROR(__xludf.DUMMYFUNCTION("""COMPUTED_VALUE"""),"ЗАО ""ЭКОС"" 115-СТР от 01.01.2022")</f>
        <v>ЗАО "ЭКОС" 115-СТР от 01.01.2022</v>
      </c>
      <c r="D7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" t="str">
        <f ca="1">IFERROR(__xludf.DUMMYFUNCTION("""COMPUTED_VALUE"""),"Новый")</f>
        <v>Новый</v>
      </c>
      <c r="G720" s="68"/>
      <c r="K720" s="68"/>
    </row>
    <row r="721" spans="1:11" ht="12.75">
      <c r="A721" s="69">
        <f ca="1">IFERROR(__xludf.DUMMYFUNCTION("""COMPUTED_VALUE"""),91594)</f>
        <v>91594</v>
      </c>
      <c r="B721" s="4">
        <f ca="1">IFERROR(__xludf.DUMMYFUNCTION("""COMPUTED_VALUE"""),44560)</f>
        <v>44560</v>
      </c>
      <c r="C721" t="str">
        <f ca="1">IFERROR(__xludf.DUMMYFUNCTION("""COMPUTED_VALUE"""),"ЗАО ""ЭКОС"" 115-СТР от 01.01.2022")</f>
        <v>ЗАО "ЭКОС" 115-СТР от 01.01.2022</v>
      </c>
      <c r="D7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" t="str">
        <f ca="1">IFERROR(__xludf.DUMMYFUNCTION("""COMPUTED_VALUE"""),"Новый")</f>
        <v>Новый</v>
      </c>
      <c r="G721" s="68"/>
      <c r="K721" s="68"/>
    </row>
    <row r="722" spans="1:11" ht="12.75">
      <c r="A722" s="69">
        <f ca="1">IFERROR(__xludf.DUMMYFUNCTION("""COMPUTED_VALUE"""),91595)</f>
        <v>91595</v>
      </c>
      <c r="B722" s="4">
        <f ca="1">IFERROR(__xludf.DUMMYFUNCTION("""COMPUTED_VALUE"""),44560)</f>
        <v>44560</v>
      </c>
      <c r="C722" t="str">
        <f ca="1">IFERROR(__xludf.DUMMYFUNCTION("""COMPUTED_VALUE"""),"ЗАО ""ЭКОС"" 115-СТР от 01.01.2022")</f>
        <v>ЗАО "ЭКОС" 115-СТР от 01.01.2022</v>
      </c>
      <c r="D7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" t="str">
        <f ca="1">IFERROR(__xludf.DUMMYFUNCTION("""COMPUTED_VALUE"""),"Новый")</f>
        <v>Новый</v>
      </c>
      <c r="G722" s="68"/>
      <c r="K722" s="68"/>
    </row>
    <row r="723" spans="1:11" ht="12.75">
      <c r="A723" s="69">
        <f ca="1">IFERROR(__xludf.DUMMYFUNCTION("""COMPUTED_VALUE"""),91596)</f>
        <v>91596</v>
      </c>
      <c r="B723" s="4">
        <f ca="1">IFERROR(__xludf.DUMMYFUNCTION("""COMPUTED_VALUE"""),44560)</f>
        <v>44560</v>
      </c>
      <c r="C723" t="str">
        <f ca="1">IFERROR(__xludf.DUMMYFUNCTION("""COMPUTED_VALUE"""),"ЗАО ""ЭКОС"" 115-СТР от 01.01.2022")</f>
        <v>ЗАО "ЭКОС" 115-СТР от 01.01.2022</v>
      </c>
      <c r="D7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" t="str">
        <f ca="1">IFERROR(__xludf.DUMMYFUNCTION("""COMPUTED_VALUE"""),"Новый")</f>
        <v>Новый</v>
      </c>
      <c r="G723" s="68"/>
      <c r="K723" s="68"/>
    </row>
    <row r="724" spans="1:11" ht="12.75">
      <c r="A724" s="69">
        <f ca="1">IFERROR(__xludf.DUMMYFUNCTION("""COMPUTED_VALUE"""),91597)</f>
        <v>91597</v>
      </c>
      <c r="B724" s="4">
        <f ca="1">IFERROR(__xludf.DUMMYFUNCTION("""COMPUTED_VALUE"""),44560)</f>
        <v>44560</v>
      </c>
      <c r="C724" t="str">
        <f ca="1">IFERROR(__xludf.DUMMYFUNCTION("""COMPUTED_VALUE"""),"ЗАО ""ЭКОС"" 115-СТР от 01.01.2022")</f>
        <v>ЗАО "ЭКОС" 115-СТР от 01.01.2022</v>
      </c>
      <c r="D7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" t="str">
        <f ca="1">IFERROR(__xludf.DUMMYFUNCTION("""COMPUTED_VALUE"""),"Новый")</f>
        <v>Новый</v>
      </c>
      <c r="G724" s="68"/>
      <c r="K724" s="68"/>
    </row>
    <row r="725" spans="1:11" ht="12.75">
      <c r="A725" s="69">
        <f ca="1">IFERROR(__xludf.DUMMYFUNCTION("""COMPUTED_VALUE"""),91598)</f>
        <v>91598</v>
      </c>
      <c r="B725" s="4">
        <f ca="1">IFERROR(__xludf.DUMMYFUNCTION("""COMPUTED_VALUE"""),44560)</f>
        <v>44560</v>
      </c>
      <c r="C725" t="str">
        <f ca="1">IFERROR(__xludf.DUMMYFUNCTION("""COMPUTED_VALUE"""),"ЗАО ""ЭКОС"" 115-СТР от 01.01.2022")</f>
        <v>ЗАО "ЭКОС" 115-СТР от 01.01.2022</v>
      </c>
      <c r="D7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" t="str">
        <f ca="1">IFERROR(__xludf.DUMMYFUNCTION("""COMPUTED_VALUE"""),"Новый")</f>
        <v>Новый</v>
      </c>
      <c r="G725" s="68"/>
      <c r="K725" s="68"/>
    </row>
    <row r="726" spans="1:11" ht="12.75">
      <c r="A726" s="69">
        <f ca="1">IFERROR(__xludf.DUMMYFUNCTION("""COMPUTED_VALUE"""),91599)</f>
        <v>91599</v>
      </c>
      <c r="B726" s="4">
        <f ca="1">IFERROR(__xludf.DUMMYFUNCTION("""COMPUTED_VALUE"""),44560)</f>
        <v>44560</v>
      </c>
      <c r="C726" t="str">
        <f ca="1">IFERROR(__xludf.DUMMYFUNCTION("""COMPUTED_VALUE"""),"ЗАО ""ЭКОС"" 115-СТР от 01.01.2022")</f>
        <v>ЗАО "ЭКОС" 115-СТР от 01.01.2022</v>
      </c>
      <c r="D7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" t="str">
        <f ca="1">IFERROR(__xludf.DUMMYFUNCTION("""COMPUTED_VALUE"""),"Новый")</f>
        <v>Новый</v>
      </c>
      <c r="G726" s="68"/>
      <c r="K726" s="68"/>
    </row>
    <row r="727" spans="1:11" ht="12.75">
      <c r="A727" s="69">
        <f ca="1">IFERROR(__xludf.DUMMYFUNCTION("""COMPUTED_VALUE"""),91600)</f>
        <v>91600</v>
      </c>
      <c r="B727" s="4">
        <f ca="1">IFERROR(__xludf.DUMMYFUNCTION("""COMPUTED_VALUE"""),44560)</f>
        <v>44560</v>
      </c>
      <c r="C727" t="str">
        <f ca="1">IFERROR(__xludf.DUMMYFUNCTION("""COMPUTED_VALUE"""),"ЗАО ""ЭКОС"" 115-СТР от 01.01.2022")</f>
        <v>ЗАО "ЭКОС" 115-СТР от 01.01.2022</v>
      </c>
      <c r="D7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" t="str">
        <f ca="1">IFERROR(__xludf.DUMMYFUNCTION("""COMPUTED_VALUE"""),"Новый")</f>
        <v>Новый</v>
      </c>
      <c r="G727" s="68"/>
      <c r="K727" s="68"/>
    </row>
    <row r="728" spans="1:11" ht="12.75">
      <c r="A728" s="69">
        <f ca="1">IFERROR(__xludf.DUMMYFUNCTION("""COMPUTED_VALUE"""),91601)</f>
        <v>91601</v>
      </c>
      <c r="B728" s="4">
        <f ca="1">IFERROR(__xludf.DUMMYFUNCTION("""COMPUTED_VALUE"""),44560)</f>
        <v>44560</v>
      </c>
      <c r="C728" t="str">
        <f ca="1">IFERROR(__xludf.DUMMYFUNCTION("""COMPUTED_VALUE"""),"ЗАО ""ЭКОС"" 115-СТР от 01.01.2022")</f>
        <v>ЗАО "ЭКОС" 115-СТР от 01.01.2022</v>
      </c>
      <c r="D7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" t="str">
        <f ca="1">IFERROR(__xludf.DUMMYFUNCTION("""COMPUTED_VALUE"""),"Новый")</f>
        <v>Новый</v>
      </c>
      <c r="G728" s="68"/>
      <c r="K728" s="68"/>
    </row>
    <row r="729" spans="1:11" ht="12.75">
      <c r="A729" s="69">
        <f ca="1">IFERROR(__xludf.DUMMYFUNCTION("""COMPUTED_VALUE"""),91602)</f>
        <v>91602</v>
      </c>
      <c r="B729" s="4">
        <f ca="1">IFERROR(__xludf.DUMMYFUNCTION("""COMPUTED_VALUE"""),44560)</f>
        <v>44560</v>
      </c>
      <c r="C729" t="str">
        <f ca="1">IFERROR(__xludf.DUMMYFUNCTION("""COMPUTED_VALUE"""),"ЗАО ""ЭКОС"" 115-СТР от 01.01.2022")</f>
        <v>ЗАО "ЭКОС" 115-СТР от 01.01.2022</v>
      </c>
      <c r="D7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" t="str">
        <f ca="1">IFERROR(__xludf.DUMMYFUNCTION("""COMPUTED_VALUE"""),"Новый")</f>
        <v>Новый</v>
      </c>
      <c r="G729" s="68"/>
      <c r="K729" s="68"/>
    </row>
    <row r="730" spans="1:11" ht="12.75">
      <c r="A730" s="69">
        <f ca="1">IFERROR(__xludf.DUMMYFUNCTION("""COMPUTED_VALUE"""),91603)</f>
        <v>91603</v>
      </c>
      <c r="B730" s="4">
        <f ca="1">IFERROR(__xludf.DUMMYFUNCTION("""COMPUTED_VALUE"""),44560)</f>
        <v>44560</v>
      </c>
      <c r="C730" t="str">
        <f ca="1">IFERROR(__xludf.DUMMYFUNCTION("""COMPUTED_VALUE"""),"ЗАО ""ЭКОС"" 115-СТР от 01.01.2022")</f>
        <v>ЗАО "ЭКОС" 115-СТР от 01.01.2022</v>
      </c>
      <c r="D7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" t="str">
        <f ca="1">IFERROR(__xludf.DUMMYFUNCTION("""COMPUTED_VALUE"""),"Новый")</f>
        <v>Новый</v>
      </c>
      <c r="G730" s="68"/>
      <c r="K730" s="68"/>
    </row>
    <row r="731" spans="1:11" ht="12.75">
      <c r="A731" s="69">
        <f ca="1">IFERROR(__xludf.DUMMYFUNCTION("""COMPUTED_VALUE"""),91604)</f>
        <v>91604</v>
      </c>
      <c r="B731" s="4">
        <f ca="1">IFERROR(__xludf.DUMMYFUNCTION("""COMPUTED_VALUE"""),44560)</f>
        <v>44560</v>
      </c>
      <c r="C731" t="str">
        <f ca="1">IFERROR(__xludf.DUMMYFUNCTION("""COMPUTED_VALUE"""),"ЗАО ""ЭКОС"" 115-СТР от 01.01.2022")</f>
        <v>ЗАО "ЭКОС" 115-СТР от 01.01.2022</v>
      </c>
      <c r="D7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" t="str">
        <f ca="1">IFERROR(__xludf.DUMMYFUNCTION("""COMPUTED_VALUE"""),"Новый")</f>
        <v>Новый</v>
      </c>
      <c r="G731" s="68"/>
      <c r="K731" s="68"/>
    </row>
    <row r="732" spans="1:11" ht="12.75">
      <c r="A732" s="69">
        <f ca="1">IFERROR(__xludf.DUMMYFUNCTION("""COMPUTED_VALUE"""),91605)</f>
        <v>91605</v>
      </c>
      <c r="B732" s="4">
        <f ca="1">IFERROR(__xludf.DUMMYFUNCTION("""COMPUTED_VALUE"""),44560)</f>
        <v>44560</v>
      </c>
      <c r="C732" t="str">
        <f ca="1">IFERROR(__xludf.DUMMYFUNCTION("""COMPUTED_VALUE"""),"ЗАО ""ЭКОС"" 115-СТР от 01.01.2022")</f>
        <v>ЗАО "ЭКОС" 115-СТР от 01.01.2022</v>
      </c>
      <c r="D7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" t="str">
        <f ca="1">IFERROR(__xludf.DUMMYFUNCTION("""COMPUTED_VALUE"""),"Новый")</f>
        <v>Новый</v>
      </c>
      <c r="G732" s="68"/>
      <c r="K732" s="68"/>
    </row>
    <row r="733" spans="1:11" ht="12.75">
      <c r="A733" s="69">
        <f ca="1">IFERROR(__xludf.DUMMYFUNCTION("""COMPUTED_VALUE"""),91606)</f>
        <v>91606</v>
      </c>
      <c r="B733" s="4">
        <f ca="1">IFERROR(__xludf.DUMMYFUNCTION("""COMPUTED_VALUE"""),44560)</f>
        <v>44560</v>
      </c>
      <c r="C733" t="str">
        <f ca="1">IFERROR(__xludf.DUMMYFUNCTION("""COMPUTED_VALUE"""),"ЗАО ""ЭКОС"" 115-СТР от 01.01.2022")</f>
        <v>ЗАО "ЭКОС" 115-СТР от 01.01.2022</v>
      </c>
      <c r="D7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" t="str">
        <f ca="1">IFERROR(__xludf.DUMMYFUNCTION("""COMPUTED_VALUE"""),"Новый")</f>
        <v>Новый</v>
      </c>
      <c r="G733" s="68"/>
      <c r="K733" s="68"/>
    </row>
    <row r="734" spans="1:11" ht="12.75">
      <c r="A734" s="69">
        <f ca="1">IFERROR(__xludf.DUMMYFUNCTION("""COMPUTED_VALUE"""),91607)</f>
        <v>91607</v>
      </c>
      <c r="B734" s="4">
        <f ca="1">IFERROR(__xludf.DUMMYFUNCTION("""COMPUTED_VALUE"""),44560)</f>
        <v>44560</v>
      </c>
      <c r="C734" t="str">
        <f ca="1">IFERROR(__xludf.DUMMYFUNCTION("""COMPUTED_VALUE"""),"ЗАО ""ЭКОС"" 115-СТР от 01.01.2022")</f>
        <v>ЗАО "ЭКОС" 115-СТР от 01.01.2022</v>
      </c>
      <c r="D7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" t="str">
        <f ca="1">IFERROR(__xludf.DUMMYFUNCTION("""COMPUTED_VALUE"""),"Новый")</f>
        <v>Новый</v>
      </c>
      <c r="G734" s="68"/>
      <c r="K734" s="68"/>
    </row>
    <row r="735" spans="1:11" ht="12.75">
      <c r="A735" s="69">
        <f ca="1">IFERROR(__xludf.DUMMYFUNCTION("""COMPUTED_VALUE"""),91608)</f>
        <v>91608</v>
      </c>
      <c r="B735" s="4">
        <f ca="1">IFERROR(__xludf.DUMMYFUNCTION("""COMPUTED_VALUE"""),44560)</f>
        <v>44560</v>
      </c>
      <c r="C735" t="str">
        <f ca="1">IFERROR(__xludf.DUMMYFUNCTION("""COMPUTED_VALUE"""),"ЗАО ""ЭКОС"" 115-СТР от 01.01.2022")</f>
        <v>ЗАО "ЭКОС" 115-СТР от 01.01.2022</v>
      </c>
      <c r="D7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" t="str">
        <f ca="1">IFERROR(__xludf.DUMMYFUNCTION("""COMPUTED_VALUE"""),"Новый")</f>
        <v>Новый</v>
      </c>
      <c r="G735" s="68"/>
      <c r="K735" s="68"/>
    </row>
    <row r="736" spans="1:11" ht="12.75">
      <c r="A736" s="69">
        <f ca="1">IFERROR(__xludf.DUMMYFUNCTION("""COMPUTED_VALUE"""),91609)</f>
        <v>91609</v>
      </c>
      <c r="B736" s="4">
        <f ca="1">IFERROR(__xludf.DUMMYFUNCTION("""COMPUTED_VALUE"""),44560)</f>
        <v>44560</v>
      </c>
      <c r="C736" t="str">
        <f ca="1">IFERROR(__xludf.DUMMYFUNCTION("""COMPUTED_VALUE"""),"ЗАО ""ЭКОС"" 115-СТР от 01.01.2022")</f>
        <v>ЗАО "ЭКОС" 115-СТР от 01.01.2022</v>
      </c>
      <c r="D7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" t="str">
        <f ca="1">IFERROR(__xludf.DUMMYFUNCTION("""COMPUTED_VALUE"""),"Новый")</f>
        <v>Новый</v>
      </c>
      <c r="G736" s="68"/>
      <c r="K736" s="68"/>
    </row>
    <row r="737" spans="1:11" ht="12.75">
      <c r="A737" s="69">
        <f ca="1">IFERROR(__xludf.DUMMYFUNCTION("""COMPUTED_VALUE"""),91610)</f>
        <v>91610</v>
      </c>
      <c r="B737" s="4">
        <f ca="1">IFERROR(__xludf.DUMMYFUNCTION("""COMPUTED_VALUE"""),44560)</f>
        <v>44560</v>
      </c>
      <c r="C737" t="str">
        <f ca="1">IFERROR(__xludf.DUMMYFUNCTION("""COMPUTED_VALUE"""),"ЗАО ""ЭКОС"" 115-СТР от 01.01.2022")</f>
        <v>ЗАО "ЭКОС" 115-СТР от 01.01.2022</v>
      </c>
      <c r="D7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" t="str">
        <f ca="1">IFERROR(__xludf.DUMMYFUNCTION("""COMPUTED_VALUE"""),"Новый")</f>
        <v>Новый</v>
      </c>
      <c r="G737" s="68"/>
      <c r="K737" s="68"/>
    </row>
    <row r="738" spans="1:11" ht="12.75">
      <c r="A738" s="69">
        <f ca="1">IFERROR(__xludf.DUMMYFUNCTION("""COMPUTED_VALUE"""),91611)</f>
        <v>91611</v>
      </c>
      <c r="B738" s="4">
        <f ca="1">IFERROR(__xludf.DUMMYFUNCTION("""COMPUTED_VALUE"""),44560)</f>
        <v>44560</v>
      </c>
      <c r="C738" t="str">
        <f ca="1">IFERROR(__xludf.DUMMYFUNCTION("""COMPUTED_VALUE"""),"ЗАО ""ЭКОС"" 115-СТР от 01.01.2022")</f>
        <v>ЗАО "ЭКОС" 115-СТР от 01.01.2022</v>
      </c>
      <c r="D7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" t="str">
        <f ca="1">IFERROR(__xludf.DUMMYFUNCTION("""COMPUTED_VALUE"""),"Новый")</f>
        <v>Новый</v>
      </c>
      <c r="G738" s="68"/>
      <c r="K738" s="68"/>
    </row>
    <row r="739" spans="1:11" ht="12.75">
      <c r="A739" s="69">
        <f ca="1">IFERROR(__xludf.DUMMYFUNCTION("""COMPUTED_VALUE"""),91612)</f>
        <v>91612</v>
      </c>
      <c r="B739" s="4">
        <f ca="1">IFERROR(__xludf.DUMMYFUNCTION("""COMPUTED_VALUE"""),44560)</f>
        <v>44560</v>
      </c>
      <c r="C739" t="str">
        <f ca="1">IFERROR(__xludf.DUMMYFUNCTION("""COMPUTED_VALUE"""),"ЗАО ""ЭКОС"" 115-СТР от 01.01.2022")</f>
        <v>ЗАО "ЭКОС" 115-СТР от 01.01.2022</v>
      </c>
      <c r="D7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" t="str">
        <f ca="1">IFERROR(__xludf.DUMMYFUNCTION("""COMPUTED_VALUE"""),"Новый")</f>
        <v>Новый</v>
      </c>
      <c r="G739" s="68"/>
      <c r="K739" s="68"/>
    </row>
    <row r="740" spans="1:11" ht="12.75">
      <c r="A740" s="69">
        <f ca="1">IFERROR(__xludf.DUMMYFUNCTION("""COMPUTED_VALUE"""),91913)</f>
        <v>91913</v>
      </c>
      <c r="B740" s="4">
        <f ca="1">IFERROR(__xludf.DUMMYFUNCTION("""COMPUTED_VALUE"""),44562)</f>
        <v>44562</v>
      </c>
      <c r="C740" t="str">
        <f ca="1">IFERROR(__xludf.DUMMYFUNCTION("""COMPUTED_VALUE"""),"ЗАО ""ЭКОС"" 115-СТР от 01.01.2022")</f>
        <v>ЗАО "ЭКОС" 115-СТР от 01.01.2022</v>
      </c>
      <c r="D7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0" t="str">
        <f ca="1">IFERROR(__xludf.DUMMYFUNCTION("""COMPUTED_VALUE"""),"Новый")</f>
        <v>Новый</v>
      </c>
      <c r="G740" s="68"/>
      <c r="K740" s="68"/>
    </row>
    <row r="741" spans="1:11" ht="12.75">
      <c r="A741" s="69">
        <f ca="1">IFERROR(__xludf.DUMMYFUNCTION("""COMPUTED_VALUE"""),91914)</f>
        <v>91914</v>
      </c>
      <c r="B741" s="4">
        <f ca="1">IFERROR(__xludf.DUMMYFUNCTION("""COMPUTED_VALUE"""),44562)</f>
        <v>44562</v>
      </c>
      <c r="C741" t="str">
        <f ca="1">IFERROR(__xludf.DUMMYFUNCTION("""COMPUTED_VALUE"""),"ЗАО ""ЭКОС"" 115-СТР от 01.01.2022")</f>
        <v>ЗАО "ЭКОС" 115-СТР от 01.01.2022</v>
      </c>
      <c r="D7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1" t="str">
        <f ca="1">IFERROR(__xludf.DUMMYFUNCTION("""COMPUTED_VALUE"""),"Новый")</f>
        <v>Новый</v>
      </c>
      <c r="G741" s="68"/>
      <c r="K741" s="68"/>
    </row>
    <row r="742" spans="1:11" ht="12.75">
      <c r="A742" s="69">
        <f ca="1">IFERROR(__xludf.DUMMYFUNCTION("""COMPUTED_VALUE"""),91915)</f>
        <v>91915</v>
      </c>
      <c r="B742" s="4">
        <f ca="1">IFERROR(__xludf.DUMMYFUNCTION("""COMPUTED_VALUE"""),44562)</f>
        <v>44562</v>
      </c>
      <c r="C742" t="str">
        <f ca="1">IFERROR(__xludf.DUMMYFUNCTION("""COMPUTED_VALUE"""),"ЗАО ""ЭКОС"" 115-СТР от 01.01.2022")</f>
        <v>ЗАО "ЭКОС" 115-СТР от 01.01.2022</v>
      </c>
      <c r="D7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" t="str">
        <f ca="1">IFERROR(__xludf.DUMMYFUNCTION("""COMPUTED_VALUE"""),"Новый")</f>
        <v>Новый</v>
      </c>
      <c r="G742" s="68"/>
      <c r="K742" s="68"/>
    </row>
    <row r="743" spans="1:11" ht="12.75">
      <c r="A743" s="69">
        <f ca="1">IFERROR(__xludf.DUMMYFUNCTION("""COMPUTED_VALUE"""),91916)</f>
        <v>91916</v>
      </c>
      <c r="B743" s="4">
        <f ca="1">IFERROR(__xludf.DUMMYFUNCTION("""COMPUTED_VALUE"""),44562)</f>
        <v>44562</v>
      </c>
      <c r="C743" t="str">
        <f ca="1">IFERROR(__xludf.DUMMYFUNCTION("""COMPUTED_VALUE"""),"ЗАО ""ЭКОС"" 115-СТР от 01.01.2022")</f>
        <v>ЗАО "ЭКОС" 115-СТР от 01.01.2022</v>
      </c>
      <c r="D7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" t="str">
        <f ca="1">IFERROR(__xludf.DUMMYFUNCTION("""COMPUTED_VALUE"""),"Новый")</f>
        <v>Новый</v>
      </c>
      <c r="G743" s="68"/>
      <c r="K743" s="68"/>
    </row>
    <row r="744" spans="1:11" ht="12.75">
      <c r="A744" s="69">
        <f ca="1">IFERROR(__xludf.DUMMYFUNCTION("""COMPUTED_VALUE"""),91917)</f>
        <v>91917</v>
      </c>
      <c r="B744" s="4">
        <f ca="1">IFERROR(__xludf.DUMMYFUNCTION("""COMPUTED_VALUE"""),44562)</f>
        <v>44562</v>
      </c>
      <c r="C744" t="str">
        <f ca="1">IFERROR(__xludf.DUMMYFUNCTION("""COMPUTED_VALUE"""),"ЗАО ""ЭКОС"" 115-СТР от 01.01.2022")</f>
        <v>ЗАО "ЭКОС" 115-СТР от 01.01.2022</v>
      </c>
      <c r="D7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" t="str">
        <f ca="1">IFERROR(__xludf.DUMMYFUNCTION("""COMPUTED_VALUE"""),"Новый")</f>
        <v>Новый</v>
      </c>
      <c r="G744" s="68"/>
      <c r="K744" s="68"/>
    </row>
    <row r="745" spans="1:11" ht="12.75">
      <c r="A745" s="69">
        <f ca="1">IFERROR(__xludf.DUMMYFUNCTION("""COMPUTED_VALUE"""),91918)</f>
        <v>91918</v>
      </c>
      <c r="B745" s="4">
        <f ca="1">IFERROR(__xludf.DUMMYFUNCTION("""COMPUTED_VALUE"""),44562)</f>
        <v>44562</v>
      </c>
      <c r="C745" t="str">
        <f ca="1">IFERROR(__xludf.DUMMYFUNCTION("""COMPUTED_VALUE"""),"ЗАО ""ЭКОС"" 115-СТР от 01.01.2022")</f>
        <v>ЗАО "ЭКОС" 115-СТР от 01.01.2022</v>
      </c>
      <c r="D7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" t="str">
        <f ca="1">IFERROR(__xludf.DUMMYFUNCTION("""COMPUTED_VALUE"""),"Новый")</f>
        <v>Новый</v>
      </c>
      <c r="G745" s="68"/>
      <c r="K745" s="68"/>
    </row>
    <row r="746" spans="1:11" ht="12.75">
      <c r="A746" s="69">
        <f ca="1">IFERROR(__xludf.DUMMYFUNCTION("""COMPUTED_VALUE"""),91919)</f>
        <v>91919</v>
      </c>
      <c r="B746" s="4">
        <f ca="1">IFERROR(__xludf.DUMMYFUNCTION("""COMPUTED_VALUE"""),44562)</f>
        <v>44562</v>
      </c>
      <c r="C746" t="str">
        <f ca="1">IFERROR(__xludf.DUMMYFUNCTION("""COMPUTED_VALUE"""),"ЗАО ""ЭКОС"" 115-СТР от 01.01.2022")</f>
        <v>ЗАО "ЭКОС" 115-СТР от 01.01.2022</v>
      </c>
      <c r="D7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6" t="str">
        <f ca="1">IFERROR(__xludf.DUMMYFUNCTION("""COMPUTED_VALUE"""),"Новый")</f>
        <v>Новый</v>
      </c>
      <c r="G746" s="68"/>
      <c r="K746" s="68"/>
    </row>
    <row r="747" spans="1:11" ht="12.75">
      <c r="A747" s="69">
        <f ca="1">IFERROR(__xludf.DUMMYFUNCTION("""COMPUTED_VALUE"""),91920)</f>
        <v>91920</v>
      </c>
      <c r="B747" s="4">
        <f ca="1">IFERROR(__xludf.DUMMYFUNCTION("""COMPUTED_VALUE"""),44562)</f>
        <v>44562</v>
      </c>
      <c r="C747" t="str">
        <f ca="1">IFERROR(__xludf.DUMMYFUNCTION("""COMPUTED_VALUE"""),"ЗАО ""ЭКОС"" 115-СТР от 01.01.2022")</f>
        <v>ЗАО "ЭКОС" 115-СТР от 01.01.2022</v>
      </c>
      <c r="D7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7" t="str">
        <f ca="1">IFERROR(__xludf.DUMMYFUNCTION("""COMPUTED_VALUE"""),"Новый")</f>
        <v>Новый</v>
      </c>
      <c r="G747" s="68"/>
      <c r="K747" s="68"/>
    </row>
    <row r="748" spans="1:11" ht="12.75">
      <c r="A748" s="69">
        <f ca="1">IFERROR(__xludf.DUMMYFUNCTION("""COMPUTED_VALUE"""),91921)</f>
        <v>91921</v>
      </c>
      <c r="B748" s="4">
        <f ca="1">IFERROR(__xludf.DUMMYFUNCTION("""COMPUTED_VALUE"""),44562)</f>
        <v>44562</v>
      </c>
      <c r="C748" t="str">
        <f ca="1">IFERROR(__xludf.DUMMYFUNCTION("""COMPUTED_VALUE"""),"ЗАО ""ЭКОС"" 115-СТР от 01.01.2022")</f>
        <v>ЗАО "ЭКОС" 115-СТР от 01.01.2022</v>
      </c>
      <c r="D7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" t="str">
        <f ca="1">IFERROR(__xludf.DUMMYFUNCTION("""COMPUTED_VALUE"""),"Новый")</f>
        <v>Новый</v>
      </c>
      <c r="G748" s="68"/>
      <c r="K748" s="68"/>
    </row>
    <row r="749" spans="1:11" ht="12.75">
      <c r="A749" s="69">
        <f ca="1">IFERROR(__xludf.DUMMYFUNCTION("""COMPUTED_VALUE"""),91922)</f>
        <v>91922</v>
      </c>
      <c r="B749" s="4">
        <f ca="1">IFERROR(__xludf.DUMMYFUNCTION("""COMPUTED_VALUE"""),44562)</f>
        <v>44562</v>
      </c>
      <c r="C749" t="str">
        <f ca="1">IFERROR(__xludf.DUMMYFUNCTION("""COMPUTED_VALUE"""),"ЗАО ""ЭКОС"" 115-СТР от 01.01.2022")</f>
        <v>ЗАО "ЭКОС" 115-СТР от 01.01.2022</v>
      </c>
      <c r="D7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" t="str">
        <f ca="1">IFERROR(__xludf.DUMMYFUNCTION("""COMPUTED_VALUE"""),"Новый")</f>
        <v>Новый</v>
      </c>
      <c r="G749" s="68"/>
      <c r="K749" s="68"/>
    </row>
    <row r="750" spans="1:11" ht="12.75">
      <c r="A750" s="69">
        <f ca="1">IFERROR(__xludf.DUMMYFUNCTION("""COMPUTED_VALUE"""),92063)</f>
        <v>92063</v>
      </c>
      <c r="B750" s="4">
        <f ca="1">IFERROR(__xludf.DUMMYFUNCTION("""COMPUTED_VALUE"""),44607)</f>
        <v>44607</v>
      </c>
      <c r="C750" t="str">
        <f ca="1">IFERROR(__xludf.DUMMYFUNCTION("""COMPUTED_VALUE"""),"ЗАО ""ЭКОС"" 115-СТР от 01.01.2022")</f>
        <v>ЗАО "ЭКОС" 115-СТР от 01.01.2022</v>
      </c>
      <c r="D7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" t="str">
        <f ca="1">IFERROR(__xludf.DUMMYFUNCTION("""COMPUTED_VALUE"""),"Новый")</f>
        <v>Новый</v>
      </c>
      <c r="G750" s="68"/>
      <c r="K750" s="68"/>
    </row>
    <row r="751" spans="1:11" ht="12.75">
      <c r="A751" s="69">
        <f ca="1">IFERROR(__xludf.DUMMYFUNCTION("""COMPUTED_VALUE"""),92064)</f>
        <v>92064</v>
      </c>
      <c r="B751" s="4">
        <f ca="1">IFERROR(__xludf.DUMMYFUNCTION("""COMPUTED_VALUE"""),44607)</f>
        <v>44607</v>
      </c>
      <c r="C751" t="str">
        <f ca="1">IFERROR(__xludf.DUMMYFUNCTION("""COMPUTED_VALUE"""),"ЗАО ""ЭКОС"" 115-СТР от 01.01.2022")</f>
        <v>ЗАО "ЭКОС" 115-СТР от 01.01.2022</v>
      </c>
      <c r="D7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" t="str">
        <f ca="1">IFERROR(__xludf.DUMMYFUNCTION("""COMPUTED_VALUE"""),"Новый")</f>
        <v>Новый</v>
      </c>
      <c r="G751" s="68"/>
      <c r="K751" s="68"/>
    </row>
    <row r="752" spans="1:11" ht="12.75">
      <c r="A752" s="69">
        <f ca="1">IFERROR(__xludf.DUMMYFUNCTION("""COMPUTED_VALUE"""),92065)</f>
        <v>92065</v>
      </c>
      <c r="B752" s="4">
        <f ca="1">IFERROR(__xludf.DUMMYFUNCTION("""COMPUTED_VALUE"""),44607)</f>
        <v>44607</v>
      </c>
      <c r="C752" t="str">
        <f ca="1">IFERROR(__xludf.DUMMYFUNCTION("""COMPUTED_VALUE"""),"ЗАО ""ЭКОС"" 115-СТР от 01.01.2022")</f>
        <v>ЗАО "ЭКОС" 115-СТР от 01.01.2022</v>
      </c>
      <c r="D7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" t="str">
        <f ca="1">IFERROR(__xludf.DUMMYFUNCTION("""COMPUTED_VALUE"""),"Новый")</f>
        <v>Новый</v>
      </c>
      <c r="G752" s="68"/>
      <c r="K752" s="68"/>
    </row>
    <row r="753" spans="1:11" ht="12.75">
      <c r="A753" s="69">
        <f ca="1">IFERROR(__xludf.DUMMYFUNCTION("""COMPUTED_VALUE"""),92066)</f>
        <v>92066</v>
      </c>
      <c r="B753" s="4">
        <f ca="1">IFERROR(__xludf.DUMMYFUNCTION("""COMPUTED_VALUE"""),44607)</f>
        <v>44607</v>
      </c>
      <c r="C753" t="str">
        <f ca="1">IFERROR(__xludf.DUMMYFUNCTION("""COMPUTED_VALUE"""),"ЗАО ""ЭКОС"" 115-СТР от 01.01.2022")</f>
        <v>ЗАО "ЭКОС" 115-СТР от 01.01.2022</v>
      </c>
      <c r="D7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" t="str">
        <f ca="1">IFERROR(__xludf.DUMMYFUNCTION("""COMPUTED_VALUE"""),"Новый")</f>
        <v>Новый</v>
      </c>
      <c r="G753" s="68"/>
      <c r="K753" s="68"/>
    </row>
    <row r="754" spans="1:11" ht="12.75">
      <c r="A754" s="69">
        <f ca="1">IFERROR(__xludf.DUMMYFUNCTION("""COMPUTED_VALUE"""),92067)</f>
        <v>92067</v>
      </c>
      <c r="B754" s="4">
        <f ca="1">IFERROR(__xludf.DUMMYFUNCTION("""COMPUTED_VALUE"""),44607)</f>
        <v>44607</v>
      </c>
      <c r="C754" t="str">
        <f ca="1">IFERROR(__xludf.DUMMYFUNCTION("""COMPUTED_VALUE"""),"ЗАО ""ЭКОС"" 115-СТР от 01.01.2022")</f>
        <v>ЗАО "ЭКОС" 115-СТР от 01.01.2022</v>
      </c>
      <c r="D7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" t="str">
        <f ca="1">IFERROR(__xludf.DUMMYFUNCTION("""COMPUTED_VALUE"""),"Новый")</f>
        <v>Новый</v>
      </c>
      <c r="G754" s="68"/>
      <c r="K754" s="68"/>
    </row>
    <row r="755" spans="1:11" ht="12.75">
      <c r="A755" s="69">
        <f ca="1">IFERROR(__xludf.DUMMYFUNCTION("""COMPUTED_VALUE"""),92068)</f>
        <v>92068</v>
      </c>
      <c r="B755" s="4">
        <f ca="1">IFERROR(__xludf.DUMMYFUNCTION("""COMPUTED_VALUE"""),44607)</f>
        <v>44607</v>
      </c>
      <c r="C755" t="str">
        <f ca="1">IFERROR(__xludf.DUMMYFUNCTION("""COMPUTED_VALUE"""),"ЗАО ""ЭКОС"" 115-СТР от 01.01.2022")</f>
        <v>ЗАО "ЭКОС" 115-СТР от 01.01.2022</v>
      </c>
      <c r="D7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" t="str">
        <f ca="1">IFERROR(__xludf.DUMMYFUNCTION("""COMPUTED_VALUE"""),"Новый")</f>
        <v>Новый</v>
      </c>
      <c r="G755" s="68"/>
      <c r="K755" s="68"/>
    </row>
    <row r="756" spans="1:11" ht="12.75">
      <c r="A756" s="69">
        <f ca="1">IFERROR(__xludf.DUMMYFUNCTION("""COMPUTED_VALUE"""),92069)</f>
        <v>92069</v>
      </c>
      <c r="B756" s="4">
        <f ca="1">IFERROR(__xludf.DUMMYFUNCTION("""COMPUTED_VALUE"""),44607)</f>
        <v>44607</v>
      </c>
      <c r="C756" t="str">
        <f ca="1">IFERROR(__xludf.DUMMYFUNCTION("""COMPUTED_VALUE"""),"ЗАО ""ЭКОС"" 115-СТР от 01.01.2022")</f>
        <v>ЗАО "ЭКОС" 115-СТР от 01.01.2022</v>
      </c>
      <c r="D7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" t="str">
        <f ca="1">IFERROR(__xludf.DUMMYFUNCTION("""COMPUTED_VALUE"""),"Новый")</f>
        <v>Новый</v>
      </c>
      <c r="G756" s="68"/>
      <c r="K756" s="68"/>
    </row>
    <row r="757" spans="1:11" ht="12.75">
      <c r="A757" s="69">
        <f ca="1">IFERROR(__xludf.DUMMYFUNCTION("""COMPUTED_VALUE"""),92070)</f>
        <v>92070</v>
      </c>
      <c r="B757" s="4">
        <f ca="1">IFERROR(__xludf.DUMMYFUNCTION("""COMPUTED_VALUE"""),44607)</f>
        <v>44607</v>
      </c>
      <c r="C757" t="str">
        <f ca="1">IFERROR(__xludf.DUMMYFUNCTION("""COMPUTED_VALUE"""),"ЗАО ""ЭКОС"" 115-СТР от 01.01.2022")</f>
        <v>ЗАО "ЭКОС" 115-СТР от 01.01.2022</v>
      </c>
      <c r="D7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" t="str">
        <f ca="1">IFERROR(__xludf.DUMMYFUNCTION("""COMPUTED_VALUE"""),"Новый")</f>
        <v>Новый</v>
      </c>
      <c r="G757" s="68"/>
      <c r="K757" s="68"/>
    </row>
    <row r="758" spans="1:11" ht="12.75">
      <c r="A758" s="69">
        <f ca="1">IFERROR(__xludf.DUMMYFUNCTION("""COMPUTED_VALUE"""),92071)</f>
        <v>92071</v>
      </c>
      <c r="B758" s="4">
        <f ca="1">IFERROR(__xludf.DUMMYFUNCTION("""COMPUTED_VALUE"""),44607)</f>
        <v>44607</v>
      </c>
      <c r="C758" t="str">
        <f ca="1">IFERROR(__xludf.DUMMYFUNCTION("""COMPUTED_VALUE"""),"ЗАО ""ЭКОС"" 115-СТР от 01.01.2022")</f>
        <v>ЗАО "ЭКОС" 115-СТР от 01.01.2022</v>
      </c>
      <c r="D7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" t="str">
        <f ca="1">IFERROR(__xludf.DUMMYFUNCTION("""COMPUTED_VALUE"""),"Новый")</f>
        <v>Новый</v>
      </c>
      <c r="G758" s="68"/>
      <c r="K758" s="68"/>
    </row>
    <row r="759" spans="1:11" ht="12.75">
      <c r="A759" s="69">
        <f ca="1">IFERROR(__xludf.DUMMYFUNCTION("""COMPUTED_VALUE"""),92072)</f>
        <v>92072</v>
      </c>
      <c r="B759" s="4">
        <f ca="1">IFERROR(__xludf.DUMMYFUNCTION("""COMPUTED_VALUE"""),44607)</f>
        <v>44607</v>
      </c>
      <c r="C759" t="str">
        <f ca="1">IFERROR(__xludf.DUMMYFUNCTION("""COMPUTED_VALUE"""),"ЗАО ""ЭКОС"" 115-СТР от 01.01.2022")</f>
        <v>ЗАО "ЭКОС" 115-СТР от 01.01.2022</v>
      </c>
      <c r="D7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9" t="str">
        <f ca="1">IFERROR(__xludf.DUMMYFUNCTION("""COMPUTED_VALUE"""),"Новый")</f>
        <v>Новый</v>
      </c>
      <c r="G759" s="68"/>
      <c r="K759" s="68"/>
    </row>
    <row r="760" spans="1:11" ht="12.75">
      <c r="A760" s="69">
        <f ca="1">IFERROR(__xludf.DUMMYFUNCTION("""COMPUTED_VALUE"""),92073)</f>
        <v>92073</v>
      </c>
      <c r="B760" s="4">
        <f ca="1">IFERROR(__xludf.DUMMYFUNCTION("""COMPUTED_VALUE"""),44607)</f>
        <v>44607</v>
      </c>
      <c r="C760" t="str">
        <f ca="1">IFERROR(__xludf.DUMMYFUNCTION("""COMPUTED_VALUE"""),"ЗАО ""ЭКОС"" 115-СТР от 01.01.2022")</f>
        <v>ЗАО "ЭКОС" 115-СТР от 01.01.2022</v>
      </c>
      <c r="D7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0" t="str">
        <f ca="1">IFERROR(__xludf.DUMMYFUNCTION("""COMPUTED_VALUE"""),"Новый")</f>
        <v>Новый</v>
      </c>
      <c r="G760" s="68"/>
      <c r="K760" s="68"/>
    </row>
    <row r="761" spans="1:11" ht="12.75">
      <c r="A761" s="69">
        <f ca="1">IFERROR(__xludf.DUMMYFUNCTION("""COMPUTED_VALUE"""),92074)</f>
        <v>92074</v>
      </c>
      <c r="B761" s="4">
        <f ca="1">IFERROR(__xludf.DUMMYFUNCTION("""COMPUTED_VALUE"""),44607)</f>
        <v>44607</v>
      </c>
      <c r="C761" t="str">
        <f ca="1">IFERROR(__xludf.DUMMYFUNCTION("""COMPUTED_VALUE"""),"ЗАО ""ЭКОС"" 115-СТР от 01.01.2022")</f>
        <v>ЗАО "ЭКОС" 115-СТР от 01.01.2022</v>
      </c>
      <c r="D7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1" t="str">
        <f ca="1">IFERROR(__xludf.DUMMYFUNCTION("""COMPUTED_VALUE"""),"Новый")</f>
        <v>Новый</v>
      </c>
      <c r="G761" s="68"/>
      <c r="K761" s="68"/>
    </row>
    <row r="762" spans="1:11" ht="12.75">
      <c r="A762" s="69">
        <f ca="1">IFERROR(__xludf.DUMMYFUNCTION("""COMPUTED_VALUE"""),92075)</f>
        <v>92075</v>
      </c>
      <c r="B762" s="4">
        <f ca="1">IFERROR(__xludf.DUMMYFUNCTION("""COMPUTED_VALUE"""),44607)</f>
        <v>44607</v>
      </c>
      <c r="C762" t="str">
        <f ca="1">IFERROR(__xludf.DUMMYFUNCTION("""COMPUTED_VALUE"""),"ЗАО ""ЭКОС"" 115-СТР от 01.01.2022")</f>
        <v>ЗАО "ЭКОС" 115-СТР от 01.01.2022</v>
      </c>
      <c r="D7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2" t="str">
        <f ca="1">IFERROR(__xludf.DUMMYFUNCTION("""COMPUTED_VALUE"""),"Новый")</f>
        <v>Новый</v>
      </c>
      <c r="G762" s="68"/>
      <c r="K762" s="68"/>
    </row>
    <row r="763" spans="1:11" ht="12.75">
      <c r="A763" s="69">
        <f ca="1">IFERROR(__xludf.DUMMYFUNCTION("""COMPUTED_VALUE"""),92076)</f>
        <v>92076</v>
      </c>
      <c r="B763" s="4">
        <f ca="1">IFERROR(__xludf.DUMMYFUNCTION("""COMPUTED_VALUE"""),44607)</f>
        <v>44607</v>
      </c>
      <c r="C763" t="str">
        <f ca="1">IFERROR(__xludf.DUMMYFUNCTION("""COMPUTED_VALUE"""),"ЗАО ""ЭКОС"" 115-СТР от 01.01.2022")</f>
        <v>ЗАО "ЭКОС" 115-СТР от 01.01.2022</v>
      </c>
      <c r="D7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3" t="str">
        <f ca="1">IFERROR(__xludf.DUMMYFUNCTION("""COMPUTED_VALUE"""),"Новый")</f>
        <v>Новый</v>
      </c>
      <c r="G763" s="68"/>
      <c r="K763" s="68"/>
    </row>
    <row r="764" spans="1:11" ht="12.75">
      <c r="A764" s="69">
        <f ca="1">IFERROR(__xludf.DUMMYFUNCTION("""COMPUTED_VALUE"""),92077)</f>
        <v>92077</v>
      </c>
      <c r="B764" s="4">
        <f ca="1">IFERROR(__xludf.DUMMYFUNCTION("""COMPUTED_VALUE"""),44607)</f>
        <v>44607</v>
      </c>
      <c r="C764" t="str">
        <f ca="1">IFERROR(__xludf.DUMMYFUNCTION("""COMPUTED_VALUE"""),"ЗАО ""ЭКОС"" 115-СТР от 01.01.2022")</f>
        <v>ЗАО "ЭКОС" 115-СТР от 01.01.2022</v>
      </c>
      <c r="D7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4" t="str">
        <f ca="1">IFERROR(__xludf.DUMMYFUNCTION("""COMPUTED_VALUE"""),"Новый")</f>
        <v>Новый</v>
      </c>
      <c r="G764" s="68"/>
      <c r="K764" s="68"/>
    </row>
    <row r="765" spans="1:11" ht="12.75">
      <c r="A765" s="69">
        <f ca="1">IFERROR(__xludf.DUMMYFUNCTION("""COMPUTED_VALUE"""),92078)</f>
        <v>92078</v>
      </c>
      <c r="B765" s="4">
        <f ca="1">IFERROR(__xludf.DUMMYFUNCTION("""COMPUTED_VALUE"""),44607)</f>
        <v>44607</v>
      </c>
      <c r="C765" t="str">
        <f ca="1">IFERROR(__xludf.DUMMYFUNCTION("""COMPUTED_VALUE"""),"ЗАО ""ЭКОС"" 115-СТР от 01.01.2022")</f>
        <v>ЗАО "ЭКОС" 115-СТР от 01.01.2022</v>
      </c>
      <c r="D7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5" t="str">
        <f ca="1">IFERROR(__xludf.DUMMYFUNCTION("""COMPUTED_VALUE"""),"Новый")</f>
        <v>Новый</v>
      </c>
      <c r="G765" s="68"/>
      <c r="K765" s="68"/>
    </row>
    <row r="766" spans="1:11" ht="12.75">
      <c r="A766" s="69">
        <f ca="1">IFERROR(__xludf.DUMMYFUNCTION("""COMPUTED_VALUE"""),92079)</f>
        <v>92079</v>
      </c>
      <c r="B766" s="4">
        <f ca="1">IFERROR(__xludf.DUMMYFUNCTION("""COMPUTED_VALUE"""),44607)</f>
        <v>44607</v>
      </c>
      <c r="C766" t="str">
        <f ca="1">IFERROR(__xludf.DUMMYFUNCTION("""COMPUTED_VALUE"""),"ЗАО ""ЭКОС"" 115-СТР от 01.01.2022")</f>
        <v>ЗАО "ЭКОС" 115-СТР от 01.01.2022</v>
      </c>
      <c r="D7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6" t="str">
        <f ca="1">IFERROR(__xludf.DUMMYFUNCTION("""COMPUTED_VALUE"""),"Новый")</f>
        <v>Новый</v>
      </c>
      <c r="G766" s="68"/>
      <c r="K766" s="68"/>
    </row>
    <row r="767" spans="1:11" ht="12.75">
      <c r="A767" s="69">
        <f ca="1">IFERROR(__xludf.DUMMYFUNCTION("""COMPUTED_VALUE"""),92080)</f>
        <v>92080</v>
      </c>
      <c r="B767" s="4">
        <f ca="1">IFERROR(__xludf.DUMMYFUNCTION("""COMPUTED_VALUE"""),44607)</f>
        <v>44607</v>
      </c>
      <c r="C767" t="str">
        <f ca="1">IFERROR(__xludf.DUMMYFUNCTION("""COMPUTED_VALUE"""),"ЗАО ""ЭКОС"" 115-СТР от 01.01.2022")</f>
        <v>ЗАО "ЭКОС" 115-СТР от 01.01.2022</v>
      </c>
      <c r="D7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7" t="str">
        <f ca="1">IFERROR(__xludf.DUMMYFUNCTION("""COMPUTED_VALUE"""),"Новый")</f>
        <v>Новый</v>
      </c>
      <c r="G767" s="68"/>
      <c r="K767" s="68"/>
    </row>
    <row r="768" spans="1:11" ht="12.75">
      <c r="A768" s="69">
        <f ca="1">IFERROR(__xludf.DUMMYFUNCTION("""COMPUTED_VALUE"""),92081)</f>
        <v>92081</v>
      </c>
      <c r="B768" s="4">
        <f ca="1">IFERROR(__xludf.DUMMYFUNCTION("""COMPUTED_VALUE"""),44607)</f>
        <v>44607</v>
      </c>
      <c r="C768" t="str">
        <f ca="1">IFERROR(__xludf.DUMMYFUNCTION("""COMPUTED_VALUE"""),"ЗАО ""ЭКОС"" 115-СТР от 01.01.2022")</f>
        <v>ЗАО "ЭКОС" 115-СТР от 01.01.2022</v>
      </c>
      <c r="D7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8" t="str">
        <f ca="1">IFERROR(__xludf.DUMMYFUNCTION("""COMPUTED_VALUE"""),"Новый")</f>
        <v>Новый</v>
      </c>
      <c r="G768" s="68"/>
      <c r="K768" s="68"/>
    </row>
    <row r="769" spans="1:11" ht="12.75">
      <c r="A769" s="69">
        <f ca="1">IFERROR(__xludf.DUMMYFUNCTION("""COMPUTED_VALUE"""),92082)</f>
        <v>92082</v>
      </c>
      <c r="B769" s="4">
        <f ca="1">IFERROR(__xludf.DUMMYFUNCTION("""COMPUTED_VALUE"""),44607)</f>
        <v>44607</v>
      </c>
      <c r="C769" t="str">
        <f ca="1">IFERROR(__xludf.DUMMYFUNCTION("""COMPUTED_VALUE"""),"ЗАО ""ЭКОС"" 115-СТР от 01.01.2022")</f>
        <v>ЗАО "ЭКОС" 115-СТР от 01.01.2022</v>
      </c>
      <c r="D7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69" t="str">
        <f ca="1">IFERROR(__xludf.DUMMYFUNCTION("""COMPUTED_VALUE"""),"Новый")</f>
        <v>Новый</v>
      </c>
      <c r="G769" s="68"/>
      <c r="K769" s="68"/>
    </row>
    <row r="770" spans="1:11" ht="12.75">
      <c r="A770" s="69">
        <f ca="1">IFERROR(__xludf.DUMMYFUNCTION("""COMPUTED_VALUE"""),92083)</f>
        <v>92083</v>
      </c>
      <c r="B770" s="4">
        <f ca="1">IFERROR(__xludf.DUMMYFUNCTION("""COMPUTED_VALUE"""),44562)</f>
        <v>44562</v>
      </c>
      <c r="C770" t="str">
        <f ca="1">IFERROR(__xludf.DUMMYFUNCTION("""COMPUTED_VALUE"""),"ЗАО ""ЭКОС"" 115-СТР от 01.01.2022")</f>
        <v>ЗАО "ЭКОС" 115-СТР от 01.01.2022</v>
      </c>
      <c r="D7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0" t="str">
        <f ca="1">IFERROR(__xludf.DUMMYFUNCTION("""COMPUTED_VALUE"""),"Новый")</f>
        <v>Новый</v>
      </c>
      <c r="G770" s="68"/>
      <c r="K770" s="68"/>
    </row>
    <row r="771" spans="1:11" ht="12.75">
      <c r="A771" s="69">
        <f ca="1">IFERROR(__xludf.DUMMYFUNCTION("""COMPUTED_VALUE"""),92084)</f>
        <v>92084</v>
      </c>
      <c r="B771" s="4">
        <f ca="1">IFERROR(__xludf.DUMMYFUNCTION("""COMPUTED_VALUE"""),44562)</f>
        <v>44562</v>
      </c>
      <c r="C771" t="str">
        <f ca="1">IFERROR(__xludf.DUMMYFUNCTION("""COMPUTED_VALUE"""),"ЗАО ""ЭКОС"" 115-СТР от 01.01.2022")</f>
        <v>ЗАО "ЭКОС" 115-СТР от 01.01.2022</v>
      </c>
      <c r="D7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1" t="str">
        <f ca="1">IFERROR(__xludf.DUMMYFUNCTION("""COMPUTED_VALUE"""),"Новый")</f>
        <v>Новый</v>
      </c>
      <c r="G771" s="68"/>
      <c r="K771" s="68"/>
    </row>
    <row r="772" spans="1:11" ht="12.75">
      <c r="A772" s="69">
        <f ca="1">IFERROR(__xludf.DUMMYFUNCTION("""COMPUTED_VALUE"""),92085)</f>
        <v>92085</v>
      </c>
      <c r="B772" s="4">
        <f ca="1">IFERROR(__xludf.DUMMYFUNCTION("""COMPUTED_VALUE"""),44562)</f>
        <v>44562</v>
      </c>
      <c r="C772" t="str">
        <f ca="1">IFERROR(__xludf.DUMMYFUNCTION("""COMPUTED_VALUE"""),"ЗАО ""ЭКОС"" 115-СТР от 01.01.2022")</f>
        <v>ЗАО "ЭКОС" 115-СТР от 01.01.2022</v>
      </c>
      <c r="D7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2" t="str">
        <f ca="1">IFERROR(__xludf.DUMMYFUNCTION("""COMPUTED_VALUE"""),"Новый")</f>
        <v>Новый</v>
      </c>
      <c r="G772" s="68"/>
      <c r="K772" s="68"/>
    </row>
    <row r="773" spans="1:11" ht="12.75">
      <c r="A773" s="69">
        <f ca="1">IFERROR(__xludf.DUMMYFUNCTION("""COMPUTED_VALUE"""),92086)</f>
        <v>92086</v>
      </c>
      <c r="B773" s="4">
        <f ca="1">IFERROR(__xludf.DUMMYFUNCTION("""COMPUTED_VALUE"""),44562)</f>
        <v>44562</v>
      </c>
      <c r="C773" t="str">
        <f ca="1">IFERROR(__xludf.DUMMYFUNCTION("""COMPUTED_VALUE"""),"ЗАО ""ЭКОС"" 115-СТР от 01.01.2022")</f>
        <v>ЗАО "ЭКОС" 115-СТР от 01.01.2022</v>
      </c>
      <c r="D7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3" t="str">
        <f ca="1">IFERROR(__xludf.DUMMYFUNCTION("""COMPUTED_VALUE"""),"Новый")</f>
        <v>Новый</v>
      </c>
      <c r="G773" s="68"/>
      <c r="K773" s="68"/>
    </row>
    <row r="774" spans="1:11" ht="12.75">
      <c r="A774" s="69">
        <f ca="1">IFERROR(__xludf.DUMMYFUNCTION("""COMPUTED_VALUE"""),92087)</f>
        <v>92087</v>
      </c>
      <c r="B774" s="4">
        <f ca="1">IFERROR(__xludf.DUMMYFUNCTION("""COMPUTED_VALUE"""),44562)</f>
        <v>44562</v>
      </c>
      <c r="C774" t="str">
        <f ca="1">IFERROR(__xludf.DUMMYFUNCTION("""COMPUTED_VALUE"""),"ЗАО ""ЭКОС"" 115-СТР от 01.01.2022")</f>
        <v>ЗАО "ЭКОС" 115-СТР от 01.01.2022</v>
      </c>
      <c r="D7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4" t="str">
        <f ca="1">IFERROR(__xludf.DUMMYFUNCTION("""COMPUTED_VALUE"""),"Новый")</f>
        <v>Новый</v>
      </c>
      <c r="G774" s="68"/>
      <c r="K774" s="68"/>
    </row>
    <row r="775" spans="1:11" ht="12.75">
      <c r="A775" s="69">
        <f ca="1">IFERROR(__xludf.DUMMYFUNCTION("""COMPUTED_VALUE"""),92088)</f>
        <v>92088</v>
      </c>
      <c r="B775" s="4">
        <f ca="1">IFERROR(__xludf.DUMMYFUNCTION("""COMPUTED_VALUE"""),44562)</f>
        <v>44562</v>
      </c>
      <c r="C775" t="str">
        <f ca="1">IFERROR(__xludf.DUMMYFUNCTION("""COMPUTED_VALUE"""),"ЗАО ""ЭКОС"" 115-СТР от 01.01.2022")</f>
        <v>ЗАО "ЭКОС" 115-СТР от 01.01.2022</v>
      </c>
      <c r="D7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5" t="str">
        <f ca="1">IFERROR(__xludf.DUMMYFUNCTION("""COMPUTED_VALUE"""),"Новый")</f>
        <v>Новый</v>
      </c>
      <c r="G775" s="68"/>
      <c r="K775" s="68"/>
    </row>
    <row r="776" spans="1:11" ht="12.75">
      <c r="A776" s="69">
        <f ca="1">IFERROR(__xludf.DUMMYFUNCTION("""COMPUTED_VALUE"""),92089)</f>
        <v>92089</v>
      </c>
      <c r="B776" s="4">
        <f ca="1">IFERROR(__xludf.DUMMYFUNCTION("""COMPUTED_VALUE"""),44562)</f>
        <v>44562</v>
      </c>
      <c r="C776" t="str">
        <f ca="1">IFERROR(__xludf.DUMMYFUNCTION("""COMPUTED_VALUE"""),"ЗАО ""ЭКОС"" 115-СТР от 01.01.2022")</f>
        <v>ЗАО "ЭКОС" 115-СТР от 01.01.2022</v>
      </c>
      <c r="D7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6" t="str">
        <f ca="1">IFERROR(__xludf.DUMMYFUNCTION("""COMPUTED_VALUE"""),"Новый")</f>
        <v>Новый</v>
      </c>
      <c r="G776" s="68"/>
      <c r="K776" s="68"/>
    </row>
    <row r="777" spans="1:11" ht="12.75">
      <c r="A777" s="69">
        <f ca="1">IFERROR(__xludf.DUMMYFUNCTION("""COMPUTED_VALUE"""),92090)</f>
        <v>92090</v>
      </c>
      <c r="B777" s="4">
        <f ca="1">IFERROR(__xludf.DUMMYFUNCTION("""COMPUTED_VALUE"""),44562)</f>
        <v>44562</v>
      </c>
      <c r="C777" t="str">
        <f ca="1">IFERROR(__xludf.DUMMYFUNCTION("""COMPUTED_VALUE"""),"ЗАО ""ЭКОС"" 115-СТР от 01.01.2022")</f>
        <v>ЗАО "ЭКОС" 115-СТР от 01.01.2022</v>
      </c>
      <c r="D7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7" t="str">
        <f ca="1">IFERROR(__xludf.DUMMYFUNCTION("""COMPUTED_VALUE"""),"Новый")</f>
        <v>Новый</v>
      </c>
      <c r="G777" s="68"/>
      <c r="K777" s="68"/>
    </row>
    <row r="778" spans="1:11" ht="12.75">
      <c r="A778" s="69">
        <f ca="1">IFERROR(__xludf.DUMMYFUNCTION("""COMPUTED_VALUE"""),92091)</f>
        <v>92091</v>
      </c>
      <c r="B778" s="4">
        <f ca="1">IFERROR(__xludf.DUMMYFUNCTION("""COMPUTED_VALUE"""),44562)</f>
        <v>44562</v>
      </c>
      <c r="C778" t="str">
        <f ca="1">IFERROR(__xludf.DUMMYFUNCTION("""COMPUTED_VALUE"""),"ЗАО ""ЭКОС"" 115-СТР от 01.01.2022")</f>
        <v>ЗАО "ЭКОС" 115-СТР от 01.01.2022</v>
      </c>
      <c r="D7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8" t="str">
        <f ca="1">IFERROR(__xludf.DUMMYFUNCTION("""COMPUTED_VALUE"""),"Новый")</f>
        <v>Новый</v>
      </c>
      <c r="G778" s="68"/>
      <c r="K778" s="68"/>
    </row>
    <row r="779" spans="1:11" ht="12.75">
      <c r="A779" s="69">
        <f ca="1">IFERROR(__xludf.DUMMYFUNCTION("""COMPUTED_VALUE"""),92092)</f>
        <v>92092</v>
      </c>
      <c r="B779" s="4">
        <f ca="1">IFERROR(__xludf.DUMMYFUNCTION("""COMPUTED_VALUE"""),44562)</f>
        <v>44562</v>
      </c>
      <c r="C779" t="str">
        <f ca="1">IFERROR(__xludf.DUMMYFUNCTION("""COMPUTED_VALUE"""),"ЗАО ""ЭКОС"" 115-СТР от 01.01.2022")</f>
        <v>ЗАО "ЭКОС" 115-СТР от 01.01.2022</v>
      </c>
      <c r="D7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79" t="str">
        <f ca="1">IFERROR(__xludf.DUMMYFUNCTION("""COMPUTED_VALUE"""),"Новый")</f>
        <v>Новый</v>
      </c>
      <c r="G779" s="68"/>
      <c r="K779" s="68"/>
    </row>
    <row r="780" spans="1:11" ht="12.75">
      <c r="A780" s="69">
        <f ca="1">IFERROR(__xludf.DUMMYFUNCTION("""COMPUTED_VALUE"""),92093)</f>
        <v>92093</v>
      </c>
      <c r="B780" s="4">
        <f ca="1">IFERROR(__xludf.DUMMYFUNCTION("""COMPUTED_VALUE"""),44562)</f>
        <v>44562</v>
      </c>
      <c r="C780" t="str">
        <f ca="1">IFERROR(__xludf.DUMMYFUNCTION("""COMPUTED_VALUE"""),"ЗАО ""ЭКОС"" 115-СТР от 01.01.2022")</f>
        <v>ЗАО "ЭКОС" 115-СТР от 01.01.2022</v>
      </c>
      <c r="D7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0" t="str">
        <f ca="1">IFERROR(__xludf.DUMMYFUNCTION("""COMPUTED_VALUE"""),"Новый")</f>
        <v>Новый</v>
      </c>
      <c r="G780" s="68"/>
      <c r="K780" s="68"/>
    </row>
    <row r="781" spans="1:11" ht="12.75">
      <c r="A781" s="69">
        <f ca="1">IFERROR(__xludf.DUMMYFUNCTION("""COMPUTED_VALUE"""),92094)</f>
        <v>92094</v>
      </c>
      <c r="B781" s="4">
        <f ca="1">IFERROR(__xludf.DUMMYFUNCTION("""COMPUTED_VALUE"""),44562)</f>
        <v>44562</v>
      </c>
      <c r="C781" t="str">
        <f ca="1">IFERROR(__xludf.DUMMYFUNCTION("""COMPUTED_VALUE"""),"ЗАО ""ЭКОС"" 115-СТР от 01.01.2022")</f>
        <v>ЗАО "ЭКОС" 115-СТР от 01.01.2022</v>
      </c>
      <c r="D7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1" t="str">
        <f ca="1">IFERROR(__xludf.DUMMYFUNCTION("""COMPUTED_VALUE"""),"Новый")</f>
        <v>Новый</v>
      </c>
      <c r="G781" s="68"/>
      <c r="K781" s="68"/>
    </row>
    <row r="782" spans="1:11" ht="12.75">
      <c r="A782" s="69">
        <f ca="1">IFERROR(__xludf.DUMMYFUNCTION("""COMPUTED_VALUE"""),92095)</f>
        <v>92095</v>
      </c>
      <c r="B782" s="4">
        <f ca="1">IFERROR(__xludf.DUMMYFUNCTION("""COMPUTED_VALUE"""),44562)</f>
        <v>44562</v>
      </c>
      <c r="C782" t="str">
        <f ca="1">IFERROR(__xludf.DUMMYFUNCTION("""COMPUTED_VALUE"""),"ЗАО ""ЭКОС"" 115-СТР от 01.01.2022")</f>
        <v>ЗАО "ЭКОС" 115-СТР от 01.01.2022</v>
      </c>
      <c r="D7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2" t="str">
        <f ca="1">IFERROR(__xludf.DUMMYFUNCTION("""COMPUTED_VALUE"""),"Новый")</f>
        <v>Новый</v>
      </c>
      <c r="G782" s="68"/>
      <c r="K782" s="68"/>
    </row>
    <row r="783" spans="1:11" ht="12.75">
      <c r="A783" s="69">
        <f ca="1">IFERROR(__xludf.DUMMYFUNCTION("""COMPUTED_VALUE"""),92096)</f>
        <v>92096</v>
      </c>
      <c r="B783" s="4">
        <f ca="1">IFERROR(__xludf.DUMMYFUNCTION("""COMPUTED_VALUE"""),44562)</f>
        <v>44562</v>
      </c>
      <c r="C783" t="str">
        <f ca="1">IFERROR(__xludf.DUMMYFUNCTION("""COMPUTED_VALUE"""),"ЗАО ""ЭКОС"" 115-СТР от 01.01.2022")</f>
        <v>ЗАО "ЭКОС" 115-СТР от 01.01.2022</v>
      </c>
      <c r="D7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3" t="str">
        <f ca="1">IFERROR(__xludf.DUMMYFUNCTION("""COMPUTED_VALUE"""),"Новый")</f>
        <v>Новый</v>
      </c>
      <c r="G783" s="68"/>
      <c r="K783" s="68"/>
    </row>
    <row r="784" spans="1:11" ht="12.75">
      <c r="A784" s="69">
        <f ca="1">IFERROR(__xludf.DUMMYFUNCTION("""COMPUTED_VALUE"""),92097)</f>
        <v>92097</v>
      </c>
      <c r="B784" s="4">
        <f ca="1">IFERROR(__xludf.DUMMYFUNCTION("""COMPUTED_VALUE"""),44562)</f>
        <v>44562</v>
      </c>
      <c r="C784" t="str">
        <f ca="1">IFERROR(__xludf.DUMMYFUNCTION("""COMPUTED_VALUE"""),"ЗАО ""ЭКОС"" 115-СТР от 01.01.2022")</f>
        <v>ЗАО "ЭКОС" 115-СТР от 01.01.2022</v>
      </c>
      <c r="D7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4" t="str">
        <f ca="1">IFERROR(__xludf.DUMMYFUNCTION("""COMPUTED_VALUE"""),"Новый")</f>
        <v>Новый</v>
      </c>
      <c r="G784" s="68"/>
      <c r="K784" s="68"/>
    </row>
    <row r="785" spans="1:11" ht="12.75">
      <c r="A785" s="69">
        <f ca="1">IFERROR(__xludf.DUMMYFUNCTION("""COMPUTED_VALUE"""),92098)</f>
        <v>92098</v>
      </c>
      <c r="B785" s="4">
        <f ca="1">IFERROR(__xludf.DUMMYFUNCTION("""COMPUTED_VALUE"""),44562)</f>
        <v>44562</v>
      </c>
      <c r="C785" t="str">
        <f ca="1">IFERROR(__xludf.DUMMYFUNCTION("""COMPUTED_VALUE"""),"ЗАО ""ЭКОС"" 115-СТР от 01.01.2022")</f>
        <v>ЗАО "ЭКОС" 115-СТР от 01.01.2022</v>
      </c>
      <c r="D7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5" t="str">
        <f ca="1">IFERROR(__xludf.DUMMYFUNCTION("""COMPUTED_VALUE"""),"Новый")</f>
        <v>Новый</v>
      </c>
      <c r="G785" s="68"/>
      <c r="K785" s="68"/>
    </row>
    <row r="786" spans="1:11" ht="12.75">
      <c r="A786" s="69">
        <f ca="1">IFERROR(__xludf.DUMMYFUNCTION("""COMPUTED_VALUE"""),92099)</f>
        <v>92099</v>
      </c>
      <c r="B786" s="4">
        <f ca="1">IFERROR(__xludf.DUMMYFUNCTION("""COMPUTED_VALUE"""),44562)</f>
        <v>44562</v>
      </c>
      <c r="C786" t="str">
        <f ca="1">IFERROR(__xludf.DUMMYFUNCTION("""COMPUTED_VALUE"""),"ЗАО ""ЭКОС"" 115-СТР от 01.01.2022")</f>
        <v>ЗАО "ЭКОС" 115-СТР от 01.01.2022</v>
      </c>
      <c r="D7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6" t="str">
        <f ca="1">IFERROR(__xludf.DUMMYFUNCTION("""COMPUTED_VALUE"""),"Новый")</f>
        <v>Новый</v>
      </c>
      <c r="G786" s="68"/>
      <c r="K786" s="68"/>
    </row>
    <row r="787" spans="1:11" ht="12.75">
      <c r="A787" s="69">
        <f ca="1">IFERROR(__xludf.DUMMYFUNCTION("""COMPUTED_VALUE"""),92100)</f>
        <v>92100</v>
      </c>
      <c r="B787" s="4">
        <f ca="1">IFERROR(__xludf.DUMMYFUNCTION("""COMPUTED_VALUE"""),44562)</f>
        <v>44562</v>
      </c>
      <c r="C787" t="str">
        <f ca="1">IFERROR(__xludf.DUMMYFUNCTION("""COMPUTED_VALUE"""),"ЗАО ""ЭКОС"" 115-СТР от 01.01.2022")</f>
        <v>ЗАО "ЭКОС" 115-СТР от 01.01.2022</v>
      </c>
      <c r="D7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7" t="str">
        <f ca="1">IFERROR(__xludf.DUMMYFUNCTION("""COMPUTED_VALUE"""),"Новый")</f>
        <v>Новый</v>
      </c>
      <c r="G787" s="68"/>
      <c r="K787" s="68"/>
    </row>
    <row r="788" spans="1:11" ht="12.75">
      <c r="A788" s="69">
        <f ca="1">IFERROR(__xludf.DUMMYFUNCTION("""COMPUTED_VALUE"""),92101)</f>
        <v>92101</v>
      </c>
      <c r="B788" s="4">
        <f ca="1">IFERROR(__xludf.DUMMYFUNCTION("""COMPUTED_VALUE"""),44562)</f>
        <v>44562</v>
      </c>
      <c r="C788" t="str">
        <f ca="1">IFERROR(__xludf.DUMMYFUNCTION("""COMPUTED_VALUE"""),"ЗАО ""ЭКОС"" 115-СТР от 01.01.2022")</f>
        <v>ЗАО "ЭКОС" 115-СТР от 01.01.2022</v>
      </c>
      <c r="D7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8" t="str">
        <f ca="1">IFERROR(__xludf.DUMMYFUNCTION("""COMPUTED_VALUE"""),"Новый")</f>
        <v>Новый</v>
      </c>
      <c r="G788" s="68"/>
      <c r="K788" s="68"/>
    </row>
    <row r="789" spans="1:11" ht="12.75">
      <c r="A789" s="69">
        <f ca="1">IFERROR(__xludf.DUMMYFUNCTION("""COMPUTED_VALUE"""),92102)</f>
        <v>92102</v>
      </c>
      <c r="B789" s="4">
        <f ca="1">IFERROR(__xludf.DUMMYFUNCTION("""COMPUTED_VALUE"""),44562)</f>
        <v>44562</v>
      </c>
      <c r="C789" t="str">
        <f ca="1">IFERROR(__xludf.DUMMYFUNCTION("""COMPUTED_VALUE"""),"ЗАО ""ЭКОС"" 115-СТР от 01.01.2022")</f>
        <v>ЗАО "ЭКОС" 115-СТР от 01.01.2022</v>
      </c>
      <c r="D7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89" t="str">
        <f ca="1">IFERROR(__xludf.DUMMYFUNCTION("""COMPUTED_VALUE"""),"Новый")</f>
        <v>Новый</v>
      </c>
      <c r="G789" s="68"/>
      <c r="K789" s="68"/>
    </row>
    <row r="790" spans="1:11" ht="12.75">
      <c r="A790" s="69">
        <f ca="1">IFERROR(__xludf.DUMMYFUNCTION("""COMPUTED_VALUE"""),92103)</f>
        <v>92103</v>
      </c>
      <c r="B790" s="4">
        <f ca="1">IFERROR(__xludf.DUMMYFUNCTION("""COMPUTED_VALUE"""),44562)</f>
        <v>44562</v>
      </c>
      <c r="C790" t="str">
        <f ca="1">IFERROR(__xludf.DUMMYFUNCTION("""COMPUTED_VALUE"""),"ЗАО ""ЭКОС"" 115-СТР от 01.01.2022")</f>
        <v>ЗАО "ЭКОС" 115-СТР от 01.01.2022</v>
      </c>
      <c r="D7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0" t="str">
        <f ca="1">IFERROR(__xludf.DUMMYFUNCTION("""COMPUTED_VALUE"""),"Новый")</f>
        <v>Новый</v>
      </c>
      <c r="G790" s="68"/>
      <c r="K790" s="68"/>
    </row>
    <row r="791" spans="1:11" ht="12.75">
      <c r="A791" s="69">
        <f ca="1">IFERROR(__xludf.DUMMYFUNCTION("""COMPUTED_VALUE"""),92104)</f>
        <v>92104</v>
      </c>
      <c r="B791" s="4">
        <f ca="1">IFERROR(__xludf.DUMMYFUNCTION("""COMPUTED_VALUE"""),44562)</f>
        <v>44562</v>
      </c>
      <c r="C791" t="str">
        <f ca="1">IFERROR(__xludf.DUMMYFUNCTION("""COMPUTED_VALUE"""),"ЗАО ""ЭКОС"" 115-СТР от 01.01.2022")</f>
        <v>ЗАО "ЭКОС" 115-СТР от 01.01.2022</v>
      </c>
      <c r="D7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1" t="str">
        <f ca="1">IFERROR(__xludf.DUMMYFUNCTION("""COMPUTED_VALUE"""),"Новый")</f>
        <v>Новый</v>
      </c>
      <c r="G791" s="68"/>
      <c r="K791" s="68"/>
    </row>
    <row r="792" spans="1:11" ht="12.75">
      <c r="A792" s="69">
        <f ca="1">IFERROR(__xludf.DUMMYFUNCTION("""COMPUTED_VALUE"""),92105)</f>
        <v>92105</v>
      </c>
      <c r="B792" s="4">
        <f ca="1">IFERROR(__xludf.DUMMYFUNCTION("""COMPUTED_VALUE"""),44562)</f>
        <v>44562</v>
      </c>
      <c r="C792" t="str">
        <f ca="1">IFERROR(__xludf.DUMMYFUNCTION("""COMPUTED_VALUE"""),"ЗАО ""ЭКОС"" 115-СТР от 01.01.2022")</f>
        <v>ЗАО "ЭКОС" 115-СТР от 01.01.2022</v>
      </c>
      <c r="D7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2" t="str">
        <f ca="1">IFERROR(__xludf.DUMMYFUNCTION("""COMPUTED_VALUE"""),"Новый")</f>
        <v>Новый</v>
      </c>
      <c r="G792" s="68"/>
      <c r="K792" s="68"/>
    </row>
    <row r="793" spans="1:11" ht="12.75">
      <c r="A793" s="69">
        <f ca="1">IFERROR(__xludf.DUMMYFUNCTION("""COMPUTED_VALUE"""),92106)</f>
        <v>92106</v>
      </c>
      <c r="B793" s="4">
        <f ca="1">IFERROR(__xludf.DUMMYFUNCTION("""COMPUTED_VALUE"""),44562)</f>
        <v>44562</v>
      </c>
      <c r="C793" t="str">
        <f ca="1">IFERROR(__xludf.DUMMYFUNCTION("""COMPUTED_VALUE"""),"ЗАО ""ЭКОС"" 115-СТР от 01.01.2022")</f>
        <v>ЗАО "ЭКОС" 115-СТР от 01.01.2022</v>
      </c>
      <c r="D7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3" t="str">
        <f ca="1">IFERROR(__xludf.DUMMYFUNCTION("""COMPUTED_VALUE"""),"Новый")</f>
        <v>Новый</v>
      </c>
      <c r="G793" s="68"/>
      <c r="K793" s="68"/>
    </row>
    <row r="794" spans="1:11" ht="12.75">
      <c r="A794" s="69">
        <f ca="1">IFERROR(__xludf.DUMMYFUNCTION("""COMPUTED_VALUE"""),92107)</f>
        <v>92107</v>
      </c>
      <c r="B794" s="4">
        <f ca="1">IFERROR(__xludf.DUMMYFUNCTION("""COMPUTED_VALUE"""),44562)</f>
        <v>44562</v>
      </c>
      <c r="C794" t="str">
        <f ca="1">IFERROR(__xludf.DUMMYFUNCTION("""COMPUTED_VALUE"""),"ЗАО ""ЭКОС"" 115-СТР от 01.01.2022")</f>
        <v>ЗАО "ЭКОС" 115-СТР от 01.01.2022</v>
      </c>
      <c r="D7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4" t="str">
        <f ca="1">IFERROR(__xludf.DUMMYFUNCTION("""COMPUTED_VALUE"""),"Новый")</f>
        <v>Новый</v>
      </c>
      <c r="G794" s="68"/>
      <c r="K794" s="68"/>
    </row>
    <row r="795" spans="1:11" ht="12.75">
      <c r="A795" s="69">
        <f ca="1">IFERROR(__xludf.DUMMYFUNCTION("""COMPUTED_VALUE"""),92108)</f>
        <v>92108</v>
      </c>
      <c r="B795" s="4">
        <f ca="1">IFERROR(__xludf.DUMMYFUNCTION("""COMPUTED_VALUE"""),44562)</f>
        <v>44562</v>
      </c>
      <c r="C795" t="str">
        <f ca="1">IFERROR(__xludf.DUMMYFUNCTION("""COMPUTED_VALUE"""),"ЗАО ""ЭКОС"" 115-СТР от 01.01.2022")</f>
        <v>ЗАО "ЭКОС" 115-СТР от 01.01.2022</v>
      </c>
      <c r="D7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5" t="str">
        <f ca="1">IFERROR(__xludf.DUMMYFUNCTION("""COMPUTED_VALUE"""),"Новый")</f>
        <v>Новый</v>
      </c>
      <c r="G795" s="68"/>
      <c r="K795" s="68"/>
    </row>
    <row r="796" spans="1:11" ht="12.75">
      <c r="A796" s="69">
        <f ca="1">IFERROR(__xludf.DUMMYFUNCTION("""COMPUTED_VALUE"""),92109)</f>
        <v>92109</v>
      </c>
      <c r="B796" s="4">
        <f ca="1">IFERROR(__xludf.DUMMYFUNCTION("""COMPUTED_VALUE"""),44562)</f>
        <v>44562</v>
      </c>
      <c r="C796" t="str">
        <f ca="1">IFERROR(__xludf.DUMMYFUNCTION("""COMPUTED_VALUE"""),"ЗАО ""ЭКОС"" 115-СТР от 01.01.2022")</f>
        <v>ЗАО "ЭКОС" 115-СТР от 01.01.2022</v>
      </c>
      <c r="D7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6" t="str">
        <f ca="1">IFERROR(__xludf.DUMMYFUNCTION("""COMPUTED_VALUE"""),"Новый")</f>
        <v>Новый</v>
      </c>
      <c r="G796" s="68"/>
      <c r="K796" s="68"/>
    </row>
    <row r="797" spans="1:11" ht="12.75">
      <c r="A797" s="69">
        <f ca="1">IFERROR(__xludf.DUMMYFUNCTION("""COMPUTED_VALUE"""),92110)</f>
        <v>92110</v>
      </c>
      <c r="B797" s="4">
        <f ca="1">IFERROR(__xludf.DUMMYFUNCTION("""COMPUTED_VALUE"""),44562)</f>
        <v>44562</v>
      </c>
      <c r="C797" t="str">
        <f ca="1">IFERROR(__xludf.DUMMYFUNCTION("""COMPUTED_VALUE"""),"ЗАО ""ЭКОС"" 115-СТР от 01.01.2022")</f>
        <v>ЗАО "ЭКОС" 115-СТР от 01.01.2022</v>
      </c>
      <c r="D7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7" t="str">
        <f ca="1">IFERROR(__xludf.DUMMYFUNCTION("""COMPUTED_VALUE"""),"Новый")</f>
        <v>Новый</v>
      </c>
      <c r="G797" s="68"/>
      <c r="K797" s="68"/>
    </row>
    <row r="798" spans="1:11" ht="12.75">
      <c r="A798" s="69">
        <f ca="1">IFERROR(__xludf.DUMMYFUNCTION("""COMPUTED_VALUE"""),92111)</f>
        <v>92111</v>
      </c>
      <c r="B798" s="4">
        <f ca="1">IFERROR(__xludf.DUMMYFUNCTION("""COMPUTED_VALUE"""),44562)</f>
        <v>44562</v>
      </c>
      <c r="C798" t="str">
        <f ca="1">IFERROR(__xludf.DUMMYFUNCTION("""COMPUTED_VALUE"""),"ЗАО ""ЭКОС"" 115-СТР от 01.01.2022")</f>
        <v>ЗАО "ЭКОС" 115-СТР от 01.01.2022</v>
      </c>
      <c r="D7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8" t="str">
        <f ca="1">IFERROR(__xludf.DUMMYFUNCTION("""COMPUTED_VALUE"""),"Новый")</f>
        <v>Новый</v>
      </c>
      <c r="G798" s="68"/>
      <c r="K798" s="68"/>
    </row>
    <row r="799" spans="1:11" ht="12.75">
      <c r="A799" s="69">
        <f ca="1">IFERROR(__xludf.DUMMYFUNCTION("""COMPUTED_VALUE"""),92112)</f>
        <v>92112</v>
      </c>
      <c r="B799" s="4">
        <f ca="1">IFERROR(__xludf.DUMMYFUNCTION("""COMPUTED_VALUE"""),44562)</f>
        <v>44562</v>
      </c>
      <c r="C799" t="str">
        <f ca="1">IFERROR(__xludf.DUMMYFUNCTION("""COMPUTED_VALUE"""),"ЗАО ""ЭКОС"" 115-СТР от 01.01.2022")</f>
        <v>ЗАО "ЭКОС" 115-СТР от 01.01.2022</v>
      </c>
      <c r="D7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99" t="str">
        <f ca="1">IFERROR(__xludf.DUMMYFUNCTION("""COMPUTED_VALUE"""),"Новый")</f>
        <v>Новый</v>
      </c>
      <c r="G799" s="68"/>
      <c r="K799" s="68"/>
    </row>
    <row r="800" spans="1:11" ht="12.75">
      <c r="A800" s="69">
        <f ca="1">IFERROR(__xludf.DUMMYFUNCTION("""COMPUTED_VALUE"""),92113)</f>
        <v>92113</v>
      </c>
      <c r="B800" s="4">
        <f ca="1">IFERROR(__xludf.DUMMYFUNCTION("""COMPUTED_VALUE"""),44562)</f>
        <v>44562</v>
      </c>
      <c r="C800" t="str">
        <f ca="1">IFERROR(__xludf.DUMMYFUNCTION("""COMPUTED_VALUE"""),"ЗАО ""ЭКОС"" 115-СТР от 01.01.2022")</f>
        <v>ЗАО "ЭКОС" 115-СТР от 01.01.2022</v>
      </c>
      <c r="D8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0" t="str">
        <f ca="1">IFERROR(__xludf.DUMMYFUNCTION("""COMPUTED_VALUE"""),"Новый")</f>
        <v>Новый</v>
      </c>
      <c r="G800" s="68"/>
      <c r="K800" s="68"/>
    </row>
    <row r="801" spans="1:11" ht="12.75">
      <c r="A801" s="69">
        <f ca="1">IFERROR(__xludf.DUMMYFUNCTION("""COMPUTED_VALUE"""),92114)</f>
        <v>92114</v>
      </c>
      <c r="B801" s="4">
        <f ca="1">IFERROR(__xludf.DUMMYFUNCTION("""COMPUTED_VALUE"""),44562)</f>
        <v>44562</v>
      </c>
      <c r="C801" t="str">
        <f ca="1">IFERROR(__xludf.DUMMYFUNCTION("""COMPUTED_VALUE"""),"ЗАО ""ЭКОС"" 115-СТР от 01.01.2022")</f>
        <v>ЗАО "ЭКОС" 115-СТР от 01.01.2022</v>
      </c>
      <c r="D8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1" t="str">
        <f ca="1">IFERROR(__xludf.DUMMYFUNCTION("""COMPUTED_VALUE"""),"Новый")</f>
        <v>Новый</v>
      </c>
      <c r="G801" s="68"/>
      <c r="K801" s="68"/>
    </row>
    <row r="802" spans="1:11" ht="12.75">
      <c r="A802" s="69">
        <f ca="1">IFERROR(__xludf.DUMMYFUNCTION("""COMPUTED_VALUE"""),92115)</f>
        <v>92115</v>
      </c>
      <c r="B802" s="4">
        <f ca="1">IFERROR(__xludf.DUMMYFUNCTION("""COMPUTED_VALUE"""),44562)</f>
        <v>44562</v>
      </c>
      <c r="C802" t="str">
        <f ca="1">IFERROR(__xludf.DUMMYFUNCTION("""COMPUTED_VALUE"""),"ЗАО ""ЭКОС"" 115-СТР от 01.01.2022")</f>
        <v>ЗАО "ЭКОС" 115-СТР от 01.01.2022</v>
      </c>
      <c r="D8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2" t="str">
        <f ca="1">IFERROR(__xludf.DUMMYFUNCTION("""COMPUTED_VALUE"""),"Новый")</f>
        <v>Новый</v>
      </c>
      <c r="G802" s="68"/>
      <c r="K802" s="68"/>
    </row>
    <row r="803" spans="1:11" ht="12.75">
      <c r="A803" s="69">
        <f ca="1">IFERROR(__xludf.DUMMYFUNCTION("""COMPUTED_VALUE"""),92116)</f>
        <v>92116</v>
      </c>
      <c r="B803" s="4">
        <f ca="1">IFERROR(__xludf.DUMMYFUNCTION("""COMPUTED_VALUE"""),44562)</f>
        <v>44562</v>
      </c>
      <c r="C803" t="str">
        <f ca="1">IFERROR(__xludf.DUMMYFUNCTION("""COMPUTED_VALUE"""),"ЗАО ""ЭКОС"" 115-СТР от 01.01.2022")</f>
        <v>ЗАО "ЭКОС" 115-СТР от 01.01.2022</v>
      </c>
      <c r="D8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3" t="str">
        <f ca="1">IFERROR(__xludf.DUMMYFUNCTION("""COMPUTED_VALUE"""),"Новый")</f>
        <v>Новый</v>
      </c>
      <c r="G803" s="68"/>
      <c r="K803" s="68"/>
    </row>
    <row r="804" spans="1:11" ht="12.75">
      <c r="A804" s="69">
        <f ca="1">IFERROR(__xludf.DUMMYFUNCTION("""COMPUTED_VALUE"""),92117)</f>
        <v>92117</v>
      </c>
      <c r="B804" s="4">
        <f ca="1">IFERROR(__xludf.DUMMYFUNCTION("""COMPUTED_VALUE"""),44562)</f>
        <v>44562</v>
      </c>
      <c r="C804" t="str">
        <f ca="1">IFERROR(__xludf.DUMMYFUNCTION("""COMPUTED_VALUE"""),"ЗАО ""ЭКОС"" 115-СТР от 01.01.2022")</f>
        <v>ЗАО "ЭКОС" 115-СТР от 01.01.2022</v>
      </c>
      <c r="D8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4" t="str">
        <f ca="1">IFERROR(__xludf.DUMMYFUNCTION("""COMPUTED_VALUE"""),"Новый")</f>
        <v>Новый</v>
      </c>
      <c r="G804" s="68"/>
      <c r="K804" s="68"/>
    </row>
    <row r="805" spans="1:11" ht="12.75">
      <c r="A805" s="69">
        <f ca="1">IFERROR(__xludf.DUMMYFUNCTION("""COMPUTED_VALUE"""),92118)</f>
        <v>92118</v>
      </c>
      <c r="B805" s="4">
        <f ca="1">IFERROR(__xludf.DUMMYFUNCTION("""COMPUTED_VALUE"""),44562)</f>
        <v>44562</v>
      </c>
      <c r="C805" t="str">
        <f ca="1">IFERROR(__xludf.DUMMYFUNCTION("""COMPUTED_VALUE"""),"ЗАО ""ЭКОС"" 115-СТР от 01.01.2022")</f>
        <v>ЗАО "ЭКОС" 115-СТР от 01.01.2022</v>
      </c>
      <c r="D8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5" t="str">
        <f ca="1">IFERROR(__xludf.DUMMYFUNCTION("""COMPUTED_VALUE"""),"Новый")</f>
        <v>Новый</v>
      </c>
      <c r="G805" s="68"/>
      <c r="K805" s="68"/>
    </row>
    <row r="806" spans="1:11" ht="12.75">
      <c r="A806" s="69">
        <f ca="1">IFERROR(__xludf.DUMMYFUNCTION("""COMPUTED_VALUE"""),92119)</f>
        <v>92119</v>
      </c>
      <c r="B806" s="4">
        <f ca="1">IFERROR(__xludf.DUMMYFUNCTION("""COMPUTED_VALUE"""),44562)</f>
        <v>44562</v>
      </c>
      <c r="C806" t="str">
        <f ca="1">IFERROR(__xludf.DUMMYFUNCTION("""COMPUTED_VALUE"""),"ЗАО ""ЭКОС"" 115-СТР от 01.01.2022")</f>
        <v>ЗАО "ЭКОС" 115-СТР от 01.01.2022</v>
      </c>
      <c r="D8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" t="str">
        <f ca="1">IFERROR(__xludf.DUMMYFUNCTION("""COMPUTED_VALUE"""),"Новый")</f>
        <v>Новый</v>
      </c>
      <c r="G806" s="68"/>
      <c r="K806" s="68"/>
    </row>
    <row r="807" spans="1:11" ht="12.75">
      <c r="A807" s="69">
        <f ca="1">IFERROR(__xludf.DUMMYFUNCTION("""COMPUTED_VALUE"""),92120)</f>
        <v>92120</v>
      </c>
      <c r="B807" s="4">
        <f ca="1">IFERROR(__xludf.DUMMYFUNCTION("""COMPUTED_VALUE"""),44562)</f>
        <v>44562</v>
      </c>
      <c r="C807" t="str">
        <f ca="1">IFERROR(__xludf.DUMMYFUNCTION("""COMPUTED_VALUE"""),"ЗАО ""ЭКОС"" 115-СТР от 01.01.2022")</f>
        <v>ЗАО "ЭКОС" 115-СТР от 01.01.2022</v>
      </c>
      <c r="D8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" t="str">
        <f ca="1">IFERROR(__xludf.DUMMYFUNCTION("""COMPUTED_VALUE"""),"Новый")</f>
        <v>Новый</v>
      </c>
      <c r="G807" s="68"/>
      <c r="K807" s="68"/>
    </row>
    <row r="808" spans="1:11" ht="12.75">
      <c r="A808" s="69">
        <f ca="1">IFERROR(__xludf.DUMMYFUNCTION("""COMPUTED_VALUE"""),92121)</f>
        <v>92121</v>
      </c>
      <c r="B808" s="4">
        <f ca="1">IFERROR(__xludf.DUMMYFUNCTION("""COMPUTED_VALUE"""),44562)</f>
        <v>44562</v>
      </c>
      <c r="C808" t="str">
        <f ca="1">IFERROR(__xludf.DUMMYFUNCTION("""COMPUTED_VALUE"""),"ЗАО ""ЭКОС"" 115-СТР от 01.01.2022")</f>
        <v>ЗАО "ЭКОС" 115-СТР от 01.01.2022</v>
      </c>
      <c r="D8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8" t="str">
        <f ca="1">IFERROR(__xludf.DUMMYFUNCTION("""COMPUTED_VALUE"""),"Новый")</f>
        <v>Новый</v>
      </c>
      <c r="G808" s="68"/>
      <c r="K808" s="68"/>
    </row>
    <row r="809" spans="1:11" ht="12.75">
      <c r="A809" s="69">
        <f ca="1">IFERROR(__xludf.DUMMYFUNCTION("""COMPUTED_VALUE"""),92122)</f>
        <v>92122</v>
      </c>
      <c r="B809" s="4">
        <f ca="1">IFERROR(__xludf.DUMMYFUNCTION("""COMPUTED_VALUE"""),44562)</f>
        <v>44562</v>
      </c>
      <c r="C809" t="str">
        <f ca="1">IFERROR(__xludf.DUMMYFUNCTION("""COMPUTED_VALUE"""),"ЗАО ""ЭКОС"" 115-СТР от 01.01.2022")</f>
        <v>ЗАО "ЭКОС" 115-СТР от 01.01.2022</v>
      </c>
      <c r="D8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9" t="str">
        <f ca="1">IFERROR(__xludf.DUMMYFUNCTION("""COMPUTED_VALUE"""),"Новый")</f>
        <v>Новый</v>
      </c>
      <c r="G809" s="68"/>
      <c r="K809" s="68"/>
    </row>
    <row r="810" spans="1:11" ht="12.75">
      <c r="A810" s="69">
        <f ca="1">IFERROR(__xludf.DUMMYFUNCTION("""COMPUTED_VALUE"""),92123)</f>
        <v>92123</v>
      </c>
      <c r="B810" s="4">
        <f ca="1">IFERROR(__xludf.DUMMYFUNCTION("""COMPUTED_VALUE"""),44562)</f>
        <v>44562</v>
      </c>
      <c r="C810" t="str">
        <f ca="1">IFERROR(__xludf.DUMMYFUNCTION("""COMPUTED_VALUE"""),"ЗАО ""ЭКОС"" 115-СТР от 01.01.2022")</f>
        <v>ЗАО "ЭКОС" 115-СТР от 01.01.2022</v>
      </c>
      <c r="D8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0" t="str">
        <f ca="1">IFERROR(__xludf.DUMMYFUNCTION("""COMPUTED_VALUE"""),"Новый")</f>
        <v>Новый</v>
      </c>
      <c r="G810" s="68"/>
      <c r="K810" s="68"/>
    </row>
    <row r="811" spans="1:11" ht="12.75">
      <c r="A811" s="69">
        <f ca="1">IFERROR(__xludf.DUMMYFUNCTION("""COMPUTED_VALUE"""),92124)</f>
        <v>92124</v>
      </c>
      <c r="B811" s="4">
        <f ca="1">IFERROR(__xludf.DUMMYFUNCTION("""COMPUTED_VALUE"""),44562)</f>
        <v>44562</v>
      </c>
      <c r="C811" t="str">
        <f ca="1">IFERROR(__xludf.DUMMYFUNCTION("""COMPUTED_VALUE"""),"ЗАО ""ЭКОС"" 115-СТР от 01.01.2022")</f>
        <v>ЗАО "ЭКОС" 115-СТР от 01.01.2022</v>
      </c>
      <c r="D8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1" t="str">
        <f ca="1">IFERROR(__xludf.DUMMYFUNCTION("""COMPUTED_VALUE"""),"Новый")</f>
        <v>Новый</v>
      </c>
      <c r="G811" s="68"/>
      <c r="K811" s="68"/>
    </row>
    <row r="812" spans="1:11" ht="12.75">
      <c r="A812" s="69">
        <f ca="1">IFERROR(__xludf.DUMMYFUNCTION("""COMPUTED_VALUE"""),92125)</f>
        <v>92125</v>
      </c>
      <c r="B812" s="4">
        <f ca="1">IFERROR(__xludf.DUMMYFUNCTION("""COMPUTED_VALUE"""),44562)</f>
        <v>44562</v>
      </c>
      <c r="C812" t="str">
        <f ca="1">IFERROR(__xludf.DUMMYFUNCTION("""COMPUTED_VALUE"""),"ЗАО ""ЭКОС"" 115-СТР от 01.01.2022")</f>
        <v>ЗАО "ЭКОС" 115-СТР от 01.01.2022</v>
      </c>
      <c r="D8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2" t="str">
        <f ca="1">IFERROR(__xludf.DUMMYFUNCTION("""COMPUTED_VALUE"""),"Новый")</f>
        <v>Новый</v>
      </c>
      <c r="G812" s="68"/>
      <c r="K812" s="68"/>
    </row>
    <row r="813" spans="1:11" ht="12.75">
      <c r="A813" s="69">
        <f ca="1">IFERROR(__xludf.DUMMYFUNCTION("""COMPUTED_VALUE"""),92126)</f>
        <v>92126</v>
      </c>
      <c r="B813" s="4">
        <f ca="1">IFERROR(__xludf.DUMMYFUNCTION("""COMPUTED_VALUE"""),44562)</f>
        <v>44562</v>
      </c>
      <c r="C813" t="str">
        <f ca="1">IFERROR(__xludf.DUMMYFUNCTION("""COMPUTED_VALUE"""),"ЗАО ""ЭКОС"" 115-СТР от 01.01.2022")</f>
        <v>ЗАО "ЭКОС" 115-СТР от 01.01.2022</v>
      </c>
      <c r="D8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3" t="str">
        <f ca="1">IFERROR(__xludf.DUMMYFUNCTION("""COMPUTED_VALUE"""),"Новый")</f>
        <v>Новый</v>
      </c>
      <c r="G813" s="68"/>
      <c r="K813" s="68"/>
    </row>
    <row r="814" spans="1:11" ht="12.75">
      <c r="A814" s="69">
        <f ca="1">IFERROR(__xludf.DUMMYFUNCTION("""COMPUTED_VALUE"""),92127)</f>
        <v>92127</v>
      </c>
      <c r="B814" s="4">
        <f ca="1">IFERROR(__xludf.DUMMYFUNCTION("""COMPUTED_VALUE"""),44562)</f>
        <v>44562</v>
      </c>
      <c r="C814" t="str">
        <f ca="1">IFERROR(__xludf.DUMMYFUNCTION("""COMPUTED_VALUE"""),"ЗАО ""ЭКОС"" 115-СТР от 01.01.2022")</f>
        <v>ЗАО "ЭКОС" 115-СТР от 01.01.2022</v>
      </c>
      <c r="D8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" t="str">
        <f ca="1">IFERROR(__xludf.DUMMYFUNCTION("""COMPUTED_VALUE"""),"Новый")</f>
        <v>Новый</v>
      </c>
      <c r="G814" s="68"/>
      <c r="K814" s="68"/>
    </row>
    <row r="815" spans="1:11" ht="12.75">
      <c r="A815" s="69">
        <f ca="1">IFERROR(__xludf.DUMMYFUNCTION("""COMPUTED_VALUE"""),92128)</f>
        <v>92128</v>
      </c>
      <c r="B815" s="4">
        <f ca="1">IFERROR(__xludf.DUMMYFUNCTION("""COMPUTED_VALUE"""),44562)</f>
        <v>44562</v>
      </c>
      <c r="C815" t="str">
        <f ca="1">IFERROR(__xludf.DUMMYFUNCTION("""COMPUTED_VALUE"""),"ЗАО ""ЭКОС"" 115-СТР от 01.01.2022")</f>
        <v>ЗАО "ЭКОС" 115-СТР от 01.01.2022</v>
      </c>
      <c r="D8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5" t="str">
        <f ca="1">IFERROR(__xludf.DUMMYFUNCTION("""COMPUTED_VALUE"""),"Новый")</f>
        <v>Новый</v>
      </c>
      <c r="G815" s="68"/>
      <c r="K815" s="68"/>
    </row>
    <row r="816" spans="1:11" ht="12.75">
      <c r="A816" s="69">
        <f ca="1">IFERROR(__xludf.DUMMYFUNCTION("""COMPUTED_VALUE"""),92129)</f>
        <v>92129</v>
      </c>
      <c r="B816" s="4">
        <f ca="1">IFERROR(__xludf.DUMMYFUNCTION("""COMPUTED_VALUE"""),44562)</f>
        <v>44562</v>
      </c>
      <c r="C816" t="str">
        <f ca="1">IFERROR(__xludf.DUMMYFUNCTION("""COMPUTED_VALUE"""),"ЗАО ""ЭКОС"" 115-СТР от 01.01.2022")</f>
        <v>ЗАО "ЭКОС" 115-СТР от 01.01.2022</v>
      </c>
      <c r="D8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6" t="str">
        <f ca="1">IFERROR(__xludf.DUMMYFUNCTION("""COMPUTED_VALUE"""),"Новый")</f>
        <v>Новый</v>
      </c>
      <c r="G816" s="68"/>
      <c r="K816" s="68"/>
    </row>
    <row r="817" spans="1:11" ht="12.75">
      <c r="A817" s="69">
        <f ca="1">IFERROR(__xludf.DUMMYFUNCTION("""COMPUTED_VALUE"""),92130)</f>
        <v>92130</v>
      </c>
      <c r="B817" s="4">
        <f ca="1">IFERROR(__xludf.DUMMYFUNCTION("""COMPUTED_VALUE"""),44562)</f>
        <v>44562</v>
      </c>
      <c r="C817" t="str">
        <f ca="1">IFERROR(__xludf.DUMMYFUNCTION("""COMPUTED_VALUE"""),"ЗАО ""ЭКОС"" 115-СТР от 01.01.2022")</f>
        <v>ЗАО "ЭКОС" 115-СТР от 01.01.2022</v>
      </c>
      <c r="D8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7" t="str">
        <f ca="1">IFERROR(__xludf.DUMMYFUNCTION("""COMPUTED_VALUE"""),"Новый")</f>
        <v>Новый</v>
      </c>
      <c r="G817" s="68"/>
      <c r="K817" s="68"/>
    </row>
    <row r="818" spans="1:11" ht="12.75">
      <c r="A818" s="69">
        <f ca="1">IFERROR(__xludf.DUMMYFUNCTION("""COMPUTED_VALUE"""),92131)</f>
        <v>92131</v>
      </c>
      <c r="B818" s="4">
        <f ca="1">IFERROR(__xludf.DUMMYFUNCTION("""COMPUTED_VALUE"""),44562)</f>
        <v>44562</v>
      </c>
      <c r="C818" t="str">
        <f ca="1">IFERROR(__xludf.DUMMYFUNCTION("""COMPUTED_VALUE"""),"ЗАО ""ЭКОС"" 115-СТР от 01.01.2022")</f>
        <v>ЗАО "ЭКОС" 115-СТР от 01.01.2022</v>
      </c>
      <c r="D8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8" t="str">
        <f ca="1">IFERROR(__xludf.DUMMYFUNCTION("""COMPUTED_VALUE"""),"Новый")</f>
        <v>Новый</v>
      </c>
      <c r="G818" s="68"/>
      <c r="K818" s="68"/>
    </row>
    <row r="819" spans="1:11" ht="12.75">
      <c r="A819" s="69">
        <f ca="1">IFERROR(__xludf.DUMMYFUNCTION("""COMPUTED_VALUE"""),92132)</f>
        <v>92132</v>
      </c>
      <c r="B819" s="4">
        <f ca="1">IFERROR(__xludf.DUMMYFUNCTION("""COMPUTED_VALUE"""),44562)</f>
        <v>44562</v>
      </c>
      <c r="C819" t="str">
        <f ca="1">IFERROR(__xludf.DUMMYFUNCTION("""COMPUTED_VALUE"""),"ЗАО ""ЭКОС"" 115-СТР от 01.01.2022")</f>
        <v>ЗАО "ЭКОС" 115-СТР от 01.01.2022</v>
      </c>
      <c r="D8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" t="str">
        <f ca="1">IFERROR(__xludf.DUMMYFUNCTION("""COMPUTED_VALUE"""),"Новый")</f>
        <v>Новый</v>
      </c>
      <c r="G819" s="68"/>
      <c r="K819" s="68"/>
    </row>
    <row r="820" spans="1:11" ht="12.75">
      <c r="A820" s="69">
        <f ca="1">IFERROR(__xludf.DUMMYFUNCTION("""COMPUTED_VALUE"""),92133)</f>
        <v>92133</v>
      </c>
      <c r="B820" s="4">
        <f ca="1">IFERROR(__xludf.DUMMYFUNCTION("""COMPUTED_VALUE"""),44562)</f>
        <v>44562</v>
      </c>
      <c r="C820" t="str">
        <f ca="1">IFERROR(__xludf.DUMMYFUNCTION("""COMPUTED_VALUE"""),"ЗАО ""ЭКОС"" 115-СТР от 01.01.2022")</f>
        <v>ЗАО "ЭКОС" 115-СТР от 01.01.2022</v>
      </c>
      <c r="D8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0" t="str">
        <f ca="1">IFERROR(__xludf.DUMMYFUNCTION("""COMPUTED_VALUE"""),"Новый")</f>
        <v>Новый</v>
      </c>
      <c r="G820" s="68"/>
      <c r="K820" s="68"/>
    </row>
    <row r="821" spans="1:11" ht="12.75">
      <c r="A821" s="69">
        <f ca="1">IFERROR(__xludf.DUMMYFUNCTION("""COMPUTED_VALUE"""),92134)</f>
        <v>92134</v>
      </c>
      <c r="B821" s="4">
        <f ca="1">IFERROR(__xludf.DUMMYFUNCTION("""COMPUTED_VALUE"""),44562)</f>
        <v>44562</v>
      </c>
      <c r="C821" t="str">
        <f ca="1">IFERROR(__xludf.DUMMYFUNCTION("""COMPUTED_VALUE"""),"ЗАО ""ЭКОС"" 115-СТР от 01.01.2022")</f>
        <v>ЗАО "ЭКОС" 115-СТР от 01.01.2022</v>
      </c>
      <c r="D8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1" t="str">
        <f ca="1">IFERROR(__xludf.DUMMYFUNCTION("""COMPUTED_VALUE"""),"Новый")</f>
        <v>Новый</v>
      </c>
      <c r="G821" s="68"/>
      <c r="K821" s="68"/>
    </row>
    <row r="822" spans="1:11" ht="12.75">
      <c r="A822" s="69">
        <f ca="1">IFERROR(__xludf.DUMMYFUNCTION("""COMPUTED_VALUE"""),92135)</f>
        <v>92135</v>
      </c>
      <c r="B822" s="4">
        <f ca="1">IFERROR(__xludf.DUMMYFUNCTION("""COMPUTED_VALUE"""),44562)</f>
        <v>44562</v>
      </c>
      <c r="C822" t="str">
        <f ca="1">IFERROR(__xludf.DUMMYFUNCTION("""COMPUTED_VALUE"""),"ЗАО ""ЭКОС"" 115-СТР от 01.01.2022")</f>
        <v>ЗАО "ЭКОС" 115-СТР от 01.01.2022</v>
      </c>
      <c r="D8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2" t="str">
        <f ca="1">IFERROR(__xludf.DUMMYFUNCTION("""COMPUTED_VALUE"""),"Новый")</f>
        <v>Новый</v>
      </c>
      <c r="G822" s="68"/>
      <c r="K822" s="68"/>
    </row>
    <row r="823" spans="1:11" ht="12.75">
      <c r="A823" s="69">
        <f ca="1">IFERROR(__xludf.DUMMYFUNCTION("""COMPUTED_VALUE"""),92136)</f>
        <v>92136</v>
      </c>
      <c r="B823" s="4">
        <f ca="1">IFERROR(__xludf.DUMMYFUNCTION("""COMPUTED_VALUE"""),44562)</f>
        <v>44562</v>
      </c>
      <c r="C823" t="str">
        <f ca="1">IFERROR(__xludf.DUMMYFUNCTION("""COMPUTED_VALUE"""),"ЗАО ""ЭКОС"" 115-СТР от 01.01.2022")</f>
        <v>ЗАО "ЭКОС" 115-СТР от 01.01.2022</v>
      </c>
      <c r="D8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3" t="str">
        <f ca="1">IFERROR(__xludf.DUMMYFUNCTION("""COMPUTED_VALUE"""),"Новый")</f>
        <v>Новый</v>
      </c>
      <c r="G823" s="68"/>
      <c r="K823" s="68"/>
    </row>
    <row r="824" spans="1:11" ht="12.75">
      <c r="A824" s="69">
        <f ca="1">IFERROR(__xludf.DUMMYFUNCTION("""COMPUTED_VALUE"""),92137)</f>
        <v>92137</v>
      </c>
      <c r="B824" s="4">
        <f ca="1">IFERROR(__xludf.DUMMYFUNCTION("""COMPUTED_VALUE"""),44562)</f>
        <v>44562</v>
      </c>
      <c r="C824" t="str">
        <f ca="1">IFERROR(__xludf.DUMMYFUNCTION("""COMPUTED_VALUE"""),"ЗАО ""ЭКОС"" 115-СТР от 01.01.2022")</f>
        <v>ЗАО "ЭКОС" 115-СТР от 01.01.2022</v>
      </c>
      <c r="D8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" t="str">
        <f ca="1">IFERROR(__xludf.DUMMYFUNCTION("""COMPUTED_VALUE"""),"Новый")</f>
        <v>Новый</v>
      </c>
      <c r="G824" s="68"/>
      <c r="K824" s="68"/>
    </row>
    <row r="825" spans="1:11" ht="12.75">
      <c r="A825" s="69">
        <f ca="1">IFERROR(__xludf.DUMMYFUNCTION("""COMPUTED_VALUE"""),92138)</f>
        <v>92138</v>
      </c>
      <c r="B825" s="4">
        <f ca="1">IFERROR(__xludf.DUMMYFUNCTION("""COMPUTED_VALUE"""),44562)</f>
        <v>44562</v>
      </c>
      <c r="C825" t="str">
        <f ca="1">IFERROR(__xludf.DUMMYFUNCTION("""COMPUTED_VALUE"""),"ЗАО ""ЭКОС"" 115-СТР от 01.01.2022")</f>
        <v>ЗАО "ЭКОС" 115-СТР от 01.01.2022</v>
      </c>
      <c r="D8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" t="str">
        <f ca="1">IFERROR(__xludf.DUMMYFUNCTION("""COMPUTED_VALUE"""),"Новый")</f>
        <v>Новый</v>
      </c>
      <c r="G825" s="68"/>
      <c r="K825" s="68"/>
    </row>
    <row r="826" spans="1:11" ht="12.75">
      <c r="A826" s="69">
        <f ca="1">IFERROR(__xludf.DUMMYFUNCTION("""COMPUTED_VALUE"""),92139)</f>
        <v>92139</v>
      </c>
      <c r="B826" s="4">
        <f ca="1">IFERROR(__xludf.DUMMYFUNCTION("""COMPUTED_VALUE"""),44562)</f>
        <v>44562</v>
      </c>
      <c r="C826" t="str">
        <f ca="1">IFERROR(__xludf.DUMMYFUNCTION("""COMPUTED_VALUE"""),"ЗАО ""ЭКОС"" 115-СТР от 01.01.2022")</f>
        <v>ЗАО "ЭКОС" 115-СТР от 01.01.2022</v>
      </c>
      <c r="D8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" t="str">
        <f ca="1">IFERROR(__xludf.DUMMYFUNCTION("""COMPUTED_VALUE"""),"Новый")</f>
        <v>Новый</v>
      </c>
      <c r="G826" s="68"/>
      <c r="K826" s="68"/>
    </row>
    <row r="827" spans="1:11" ht="12.75">
      <c r="A827" s="69">
        <f ca="1">IFERROR(__xludf.DUMMYFUNCTION("""COMPUTED_VALUE"""),92140)</f>
        <v>92140</v>
      </c>
      <c r="B827" s="4">
        <f ca="1">IFERROR(__xludf.DUMMYFUNCTION("""COMPUTED_VALUE"""),44562)</f>
        <v>44562</v>
      </c>
      <c r="C827" t="str">
        <f ca="1">IFERROR(__xludf.DUMMYFUNCTION("""COMPUTED_VALUE"""),"ЗАО ""ЭКОС"" 115-СТР от 01.01.2022")</f>
        <v>ЗАО "ЭКОС" 115-СТР от 01.01.2022</v>
      </c>
      <c r="D8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" t="str">
        <f ca="1">IFERROR(__xludf.DUMMYFUNCTION("""COMPUTED_VALUE"""),"Новый")</f>
        <v>Новый</v>
      </c>
      <c r="G827" s="68"/>
      <c r="K827" s="68"/>
    </row>
    <row r="828" spans="1:11" ht="12.75">
      <c r="A828" s="69">
        <f ca="1">IFERROR(__xludf.DUMMYFUNCTION("""COMPUTED_VALUE"""),92141)</f>
        <v>92141</v>
      </c>
      <c r="B828" s="4">
        <f ca="1">IFERROR(__xludf.DUMMYFUNCTION("""COMPUTED_VALUE"""),44562)</f>
        <v>44562</v>
      </c>
      <c r="C828" t="str">
        <f ca="1">IFERROR(__xludf.DUMMYFUNCTION("""COMPUTED_VALUE"""),"ЗАО ""ЭКОС"" 115-СТР от 01.01.2022")</f>
        <v>ЗАО "ЭКОС" 115-СТР от 01.01.2022</v>
      </c>
      <c r="D8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8" t="str">
        <f ca="1">IFERROR(__xludf.DUMMYFUNCTION("""COMPUTED_VALUE"""),"Новый")</f>
        <v>Новый</v>
      </c>
      <c r="G828" s="68"/>
      <c r="K828" s="68"/>
    </row>
    <row r="829" spans="1:11" ht="12.75">
      <c r="A829" s="69">
        <f ca="1">IFERROR(__xludf.DUMMYFUNCTION("""COMPUTED_VALUE"""),92142)</f>
        <v>92142</v>
      </c>
      <c r="B829" s="4">
        <f ca="1">IFERROR(__xludf.DUMMYFUNCTION("""COMPUTED_VALUE"""),44562)</f>
        <v>44562</v>
      </c>
      <c r="C829" t="str">
        <f ca="1">IFERROR(__xludf.DUMMYFUNCTION("""COMPUTED_VALUE"""),"ЗАО ""ЭКОС"" 115-СТР от 01.01.2022")</f>
        <v>ЗАО "ЭКОС" 115-СТР от 01.01.2022</v>
      </c>
      <c r="D8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9" t="str">
        <f ca="1">IFERROR(__xludf.DUMMYFUNCTION("""COMPUTED_VALUE"""),"Новый")</f>
        <v>Новый</v>
      </c>
      <c r="G829" s="68"/>
      <c r="K829" s="68"/>
    </row>
    <row r="830" spans="1:11" ht="12.75">
      <c r="A830" s="69">
        <f ca="1">IFERROR(__xludf.DUMMYFUNCTION("""COMPUTED_VALUE"""),92143)</f>
        <v>92143</v>
      </c>
      <c r="B830" s="4">
        <f ca="1">IFERROR(__xludf.DUMMYFUNCTION("""COMPUTED_VALUE"""),44562)</f>
        <v>44562</v>
      </c>
      <c r="C830" t="str">
        <f ca="1">IFERROR(__xludf.DUMMYFUNCTION("""COMPUTED_VALUE"""),"ЗАО ""ЭКОС"" 115-СТР от 01.01.2022")</f>
        <v>ЗАО "ЭКОС" 115-СТР от 01.01.2022</v>
      </c>
      <c r="D8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0" t="str">
        <f ca="1">IFERROR(__xludf.DUMMYFUNCTION("""COMPUTED_VALUE"""),"Новый")</f>
        <v>Новый</v>
      </c>
      <c r="G830" s="68"/>
      <c r="K830" s="68"/>
    </row>
    <row r="831" spans="1:11" ht="12.75">
      <c r="A831" s="69">
        <f ca="1">IFERROR(__xludf.DUMMYFUNCTION("""COMPUTED_VALUE"""),92144)</f>
        <v>92144</v>
      </c>
      <c r="B831" s="4">
        <f ca="1">IFERROR(__xludf.DUMMYFUNCTION("""COMPUTED_VALUE"""),44562)</f>
        <v>44562</v>
      </c>
      <c r="C831" t="str">
        <f ca="1">IFERROR(__xludf.DUMMYFUNCTION("""COMPUTED_VALUE"""),"ЗАО ""ЭКОС"" 115-СТР от 01.01.2022")</f>
        <v>ЗАО "ЭКОС" 115-СТР от 01.01.2022</v>
      </c>
      <c r="D8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1" t="str">
        <f ca="1">IFERROR(__xludf.DUMMYFUNCTION("""COMPUTED_VALUE"""),"Новый")</f>
        <v>Новый</v>
      </c>
      <c r="G831" s="68"/>
      <c r="K831" s="68"/>
    </row>
    <row r="832" spans="1:11" ht="12.75">
      <c r="A832" s="69">
        <f ca="1">IFERROR(__xludf.DUMMYFUNCTION("""COMPUTED_VALUE"""),92145)</f>
        <v>92145</v>
      </c>
      <c r="B832" s="4">
        <f ca="1">IFERROR(__xludf.DUMMYFUNCTION("""COMPUTED_VALUE"""),44562)</f>
        <v>44562</v>
      </c>
      <c r="C832" t="str">
        <f ca="1">IFERROR(__xludf.DUMMYFUNCTION("""COMPUTED_VALUE"""),"ЗАО ""ЭКОС"" 115-СТР от 01.01.2022")</f>
        <v>ЗАО "ЭКОС" 115-СТР от 01.01.2022</v>
      </c>
      <c r="D8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" t="str">
        <f ca="1">IFERROR(__xludf.DUMMYFUNCTION("""COMPUTED_VALUE"""),"Новый")</f>
        <v>Новый</v>
      </c>
      <c r="G832" s="68"/>
      <c r="K832" s="68"/>
    </row>
    <row r="833" spans="1:11" ht="12.75">
      <c r="A833" s="69">
        <f ca="1">IFERROR(__xludf.DUMMYFUNCTION("""COMPUTED_VALUE"""),92146)</f>
        <v>92146</v>
      </c>
      <c r="B833" s="4">
        <f ca="1">IFERROR(__xludf.DUMMYFUNCTION("""COMPUTED_VALUE"""),44562)</f>
        <v>44562</v>
      </c>
      <c r="C833" t="str">
        <f ca="1">IFERROR(__xludf.DUMMYFUNCTION("""COMPUTED_VALUE"""),"ЗАО ""ЭКОС"" 115-СТР от 01.01.2022")</f>
        <v>ЗАО "ЭКОС" 115-СТР от 01.01.2022</v>
      </c>
      <c r="D8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3" t="str">
        <f ca="1">IFERROR(__xludf.DUMMYFUNCTION("""COMPUTED_VALUE"""),"Новый")</f>
        <v>Новый</v>
      </c>
      <c r="G833" s="68"/>
      <c r="K833" s="68"/>
    </row>
    <row r="834" spans="1:11" ht="12.75">
      <c r="A834" s="69">
        <f ca="1">IFERROR(__xludf.DUMMYFUNCTION("""COMPUTED_VALUE"""),92147)</f>
        <v>92147</v>
      </c>
      <c r="B834" s="4">
        <f ca="1">IFERROR(__xludf.DUMMYFUNCTION("""COMPUTED_VALUE"""),44562)</f>
        <v>44562</v>
      </c>
      <c r="C834" t="str">
        <f ca="1">IFERROR(__xludf.DUMMYFUNCTION("""COMPUTED_VALUE"""),"ЗАО ""ЭКОС"" 115-СТР от 01.01.2022")</f>
        <v>ЗАО "ЭКОС" 115-СТР от 01.01.2022</v>
      </c>
      <c r="D8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4" t="str">
        <f ca="1">IFERROR(__xludf.DUMMYFUNCTION("""COMPUTED_VALUE"""),"Новый")</f>
        <v>Новый</v>
      </c>
      <c r="G834" s="68"/>
      <c r="K834" s="68"/>
    </row>
    <row r="835" spans="1:11" ht="12.75">
      <c r="A835" s="69">
        <f ca="1">IFERROR(__xludf.DUMMYFUNCTION("""COMPUTED_VALUE"""),92148)</f>
        <v>92148</v>
      </c>
      <c r="B835" s="4">
        <f ca="1">IFERROR(__xludf.DUMMYFUNCTION("""COMPUTED_VALUE"""),44562)</f>
        <v>44562</v>
      </c>
      <c r="C835" t="str">
        <f ca="1">IFERROR(__xludf.DUMMYFUNCTION("""COMPUTED_VALUE"""),"ЗАО ""ЭКОС"" 115-СТР от 01.01.2022")</f>
        <v>ЗАО "ЭКОС" 115-СТР от 01.01.2022</v>
      </c>
      <c r="D8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5" t="str">
        <f ca="1">IFERROR(__xludf.DUMMYFUNCTION("""COMPUTED_VALUE"""),"Новый")</f>
        <v>Новый</v>
      </c>
      <c r="G835" s="68"/>
      <c r="K835" s="68"/>
    </row>
    <row r="836" spans="1:11" ht="12.75">
      <c r="A836" s="69">
        <f ca="1">IFERROR(__xludf.DUMMYFUNCTION("""COMPUTED_VALUE"""),92149)</f>
        <v>92149</v>
      </c>
      <c r="B836" s="4">
        <f ca="1">IFERROR(__xludf.DUMMYFUNCTION("""COMPUTED_VALUE"""),44562)</f>
        <v>44562</v>
      </c>
      <c r="C836" t="str">
        <f ca="1">IFERROR(__xludf.DUMMYFUNCTION("""COMPUTED_VALUE"""),"ЗАО ""ЭКОС"" 115-СТР от 01.01.2022")</f>
        <v>ЗАО "ЭКОС" 115-СТР от 01.01.2022</v>
      </c>
      <c r="D8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6" t="str">
        <f ca="1">IFERROR(__xludf.DUMMYFUNCTION("""COMPUTED_VALUE"""),"Новый")</f>
        <v>Новый</v>
      </c>
      <c r="G836" s="68"/>
      <c r="K836" s="68"/>
    </row>
    <row r="837" spans="1:11" ht="12.75">
      <c r="A837" s="69">
        <f ca="1">IFERROR(__xludf.DUMMYFUNCTION("""COMPUTED_VALUE"""),92150)</f>
        <v>92150</v>
      </c>
      <c r="B837" s="4">
        <f ca="1">IFERROR(__xludf.DUMMYFUNCTION("""COMPUTED_VALUE"""),44562)</f>
        <v>44562</v>
      </c>
      <c r="C837" t="str">
        <f ca="1">IFERROR(__xludf.DUMMYFUNCTION("""COMPUTED_VALUE"""),"ЗАО ""ЭКОС"" 115-СТР от 01.01.2022")</f>
        <v>ЗАО "ЭКОС" 115-СТР от 01.01.2022</v>
      </c>
      <c r="D8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7" t="str">
        <f ca="1">IFERROR(__xludf.DUMMYFUNCTION("""COMPUTED_VALUE"""),"Новый")</f>
        <v>Новый</v>
      </c>
      <c r="G837" s="68"/>
      <c r="K837" s="68"/>
    </row>
    <row r="838" spans="1:11" ht="12.75">
      <c r="A838" s="69">
        <f ca="1">IFERROR(__xludf.DUMMYFUNCTION("""COMPUTED_VALUE"""),92151)</f>
        <v>92151</v>
      </c>
      <c r="B838" s="4">
        <f ca="1">IFERROR(__xludf.DUMMYFUNCTION("""COMPUTED_VALUE"""),44562)</f>
        <v>44562</v>
      </c>
      <c r="C838" t="str">
        <f ca="1">IFERROR(__xludf.DUMMYFUNCTION("""COMPUTED_VALUE"""),"ЗАО ""ЭКОС"" 115-СТР от 01.01.2022")</f>
        <v>ЗАО "ЭКОС" 115-СТР от 01.01.2022</v>
      </c>
      <c r="D8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8" t="str">
        <f ca="1">IFERROR(__xludf.DUMMYFUNCTION("""COMPUTED_VALUE"""),"Новый")</f>
        <v>Новый</v>
      </c>
      <c r="G838" s="68"/>
      <c r="K838" s="68"/>
    </row>
    <row r="839" spans="1:11" ht="12.75">
      <c r="A839" s="69">
        <f ca="1">IFERROR(__xludf.DUMMYFUNCTION("""COMPUTED_VALUE"""),92152)</f>
        <v>92152</v>
      </c>
      <c r="B839" s="4">
        <f ca="1">IFERROR(__xludf.DUMMYFUNCTION("""COMPUTED_VALUE"""),44562)</f>
        <v>44562</v>
      </c>
      <c r="C839" t="str">
        <f ca="1">IFERROR(__xludf.DUMMYFUNCTION("""COMPUTED_VALUE"""),"ЗАО ""ЭКОС"" 115-СТР от 01.01.2022")</f>
        <v>ЗАО "ЭКОС" 115-СТР от 01.01.2022</v>
      </c>
      <c r="D8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9" t="str">
        <f ca="1">IFERROR(__xludf.DUMMYFUNCTION("""COMPUTED_VALUE"""),"Новый")</f>
        <v>Новый</v>
      </c>
      <c r="G839" s="68"/>
      <c r="K839" s="68"/>
    </row>
    <row r="840" spans="1:11" ht="12.75">
      <c r="A840" s="69">
        <f ca="1">IFERROR(__xludf.DUMMYFUNCTION("""COMPUTED_VALUE"""),92153)</f>
        <v>92153</v>
      </c>
      <c r="B840" s="4">
        <f ca="1">IFERROR(__xludf.DUMMYFUNCTION("""COMPUTED_VALUE"""),44562)</f>
        <v>44562</v>
      </c>
      <c r="C840" t="str">
        <f ca="1">IFERROR(__xludf.DUMMYFUNCTION("""COMPUTED_VALUE"""),"ЗАО ""ЭКОС"" 115-СТР от 01.01.2022")</f>
        <v>ЗАО "ЭКОС" 115-СТР от 01.01.2022</v>
      </c>
      <c r="D8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0" t="str">
        <f ca="1">IFERROR(__xludf.DUMMYFUNCTION("""COMPUTED_VALUE"""),"Новый")</f>
        <v>Новый</v>
      </c>
      <c r="G840" s="68"/>
      <c r="K840" s="68"/>
    </row>
    <row r="841" spans="1:11" ht="12.75">
      <c r="A841" s="69">
        <f ca="1">IFERROR(__xludf.DUMMYFUNCTION("""COMPUTED_VALUE"""),92154)</f>
        <v>92154</v>
      </c>
      <c r="B841" s="4">
        <f ca="1">IFERROR(__xludf.DUMMYFUNCTION("""COMPUTED_VALUE"""),44562)</f>
        <v>44562</v>
      </c>
      <c r="C841" t="str">
        <f ca="1">IFERROR(__xludf.DUMMYFUNCTION("""COMPUTED_VALUE"""),"ЗАО ""ЭКОС"" 115-СТР от 01.01.2022")</f>
        <v>ЗАО "ЭКОС" 115-СТР от 01.01.2022</v>
      </c>
      <c r="D8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1" t="str">
        <f ca="1">IFERROR(__xludf.DUMMYFUNCTION("""COMPUTED_VALUE"""),"Новый")</f>
        <v>Новый</v>
      </c>
      <c r="G841" s="68"/>
      <c r="K841" s="68"/>
    </row>
    <row r="842" spans="1:11" ht="12.75">
      <c r="A842" s="69">
        <f ca="1">IFERROR(__xludf.DUMMYFUNCTION("""COMPUTED_VALUE"""),92155)</f>
        <v>92155</v>
      </c>
      <c r="B842" s="4">
        <f ca="1">IFERROR(__xludf.DUMMYFUNCTION("""COMPUTED_VALUE"""),44562)</f>
        <v>44562</v>
      </c>
      <c r="C842" t="str">
        <f ca="1">IFERROR(__xludf.DUMMYFUNCTION("""COMPUTED_VALUE"""),"ЗАО ""ЭКОС"" 115-СТР от 01.01.2022")</f>
        <v>ЗАО "ЭКОС" 115-СТР от 01.01.2022</v>
      </c>
      <c r="D8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2" t="str">
        <f ca="1">IFERROR(__xludf.DUMMYFUNCTION("""COMPUTED_VALUE"""),"Новый")</f>
        <v>Новый</v>
      </c>
      <c r="G842" s="68"/>
      <c r="K842" s="68"/>
    </row>
    <row r="843" spans="1:11" ht="12.75">
      <c r="A843" s="69">
        <f ca="1">IFERROR(__xludf.DUMMYFUNCTION("""COMPUTED_VALUE"""),92156)</f>
        <v>92156</v>
      </c>
      <c r="B843" s="4">
        <f ca="1">IFERROR(__xludf.DUMMYFUNCTION("""COMPUTED_VALUE"""),44562)</f>
        <v>44562</v>
      </c>
      <c r="C843" t="str">
        <f ca="1">IFERROR(__xludf.DUMMYFUNCTION("""COMPUTED_VALUE"""),"ЗАО ""ЭКОС"" 115-СТР от 01.01.2022")</f>
        <v>ЗАО "ЭКОС" 115-СТР от 01.01.2022</v>
      </c>
      <c r="D8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3" t="str">
        <f ca="1">IFERROR(__xludf.DUMMYFUNCTION("""COMPUTED_VALUE"""),"Новый")</f>
        <v>Новый</v>
      </c>
      <c r="G843" s="68"/>
      <c r="K843" s="68"/>
    </row>
    <row r="844" spans="1:11" ht="12.75">
      <c r="A844" s="69">
        <f ca="1">IFERROR(__xludf.DUMMYFUNCTION("""COMPUTED_VALUE"""),92157)</f>
        <v>92157</v>
      </c>
      <c r="B844" s="4">
        <f ca="1">IFERROR(__xludf.DUMMYFUNCTION("""COMPUTED_VALUE"""),44562)</f>
        <v>44562</v>
      </c>
      <c r="C844" t="str">
        <f ca="1">IFERROR(__xludf.DUMMYFUNCTION("""COMPUTED_VALUE"""),"ЗАО ""ЭКОС"" 115-СТР от 01.01.2022")</f>
        <v>ЗАО "ЭКОС" 115-СТР от 01.01.2022</v>
      </c>
      <c r="D8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4" t="str">
        <f ca="1">IFERROR(__xludf.DUMMYFUNCTION("""COMPUTED_VALUE"""),"Новый")</f>
        <v>Новый</v>
      </c>
      <c r="G844" s="68"/>
      <c r="K844" s="68"/>
    </row>
    <row r="845" spans="1:11" ht="12.75">
      <c r="A845" s="69">
        <f ca="1">IFERROR(__xludf.DUMMYFUNCTION("""COMPUTED_VALUE"""),92158)</f>
        <v>92158</v>
      </c>
      <c r="B845" s="4">
        <f ca="1">IFERROR(__xludf.DUMMYFUNCTION("""COMPUTED_VALUE"""),44562)</f>
        <v>44562</v>
      </c>
      <c r="C845" t="str">
        <f ca="1">IFERROR(__xludf.DUMMYFUNCTION("""COMPUTED_VALUE"""),"ЗАО ""ЭКОС"" 115-СТР от 01.01.2022")</f>
        <v>ЗАО "ЭКОС" 115-СТР от 01.01.2022</v>
      </c>
      <c r="D8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5" t="str">
        <f ca="1">IFERROR(__xludf.DUMMYFUNCTION("""COMPUTED_VALUE"""),"Новый")</f>
        <v>Новый</v>
      </c>
      <c r="G845" s="68"/>
      <c r="K845" s="68"/>
    </row>
    <row r="846" spans="1:11" ht="12.75">
      <c r="A846" s="69">
        <f ca="1">IFERROR(__xludf.DUMMYFUNCTION("""COMPUTED_VALUE"""),92159)</f>
        <v>92159</v>
      </c>
      <c r="B846" s="4">
        <f ca="1">IFERROR(__xludf.DUMMYFUNCTION("""COMPUTED_VALUE"""),44562)</f>
        <v>44562</v>
      </c>
      <c r="C846" t="str">
        <f ca="1">IFERROR(__xludf.DUMMYFUNCTION("""COMPUTED_VALUE"""),"ЗАО ""ЭКОС"" 115-СТР от 01.01.2022")</f>
        <v>ЗАО "ЭКОС" 115-СТР от 01.01.2022</v>
      </c>
      <c r="D8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6" t="str">
        <f ca="1">IFERROR(__xludf.DUMMYFUNCTION("""COMPUTED_VALUE"""),"Новый")</f>
        <v>Новый</v>
      </c>
      <c r="G846" s="68"/>
      <c r="K846" s="68"/>
    </row>
    <row r="847" spans="1:11" ht="12.75">
      <c r="A847" s="69">
        <f ca="1">IFERROR(__xludf.DUMMYFUNCTION("""COMPUTED_VALUE"""),92160)</f>
        <v>92160</v>
      </c>
      <c r="B847" s="4">
        <f ca="1">IFERROR(__xludf.DUMMYFUNCTION("""COMPUTED_VALUE"""),44562)</f>
        <v>44562</v>
      </c>
      <c r="C847" t="str">
        <f ca="1">IFERROR(__xludf.DUMMYFUNCTION("""COMPUTED_VALUE"""),"ЗАО ""ЭКОС"" 115-СТР от 01.01.2022")</f>
        <v>ЗАО "ЭКОС" 115-СТР от 01.01.2022</v>
      </c>
      <c r="D8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7" t="str">
        <f ca="1">IFERROR(__xludf.DUMMYFUNCTION("""COMPUTED_VALUE"""),"Новый")</f>
        <v>Новый</v>
      </c>
      <c r="G847" s="68"/>
      <c r="K847" s="68"/>
    </row>
    <row r="848" spans="1:11" ht="12.75">
      <c r="A848" s="69">
        <f ca="1">IFERROR(__xludf.DUMMYFUNCTION("""COMPUTED_VALUE"""),92161)</f>
        <v>92161</v>
      </c>
      <c r="B848" s="4">
        <f ca="1">IFERROR(__xludf.DUMMYFUNCTION("""COMPUTED_VALUE"""),44562)</f>
        <v>44562</v>
      </c>
      <c r="C848" t="str">
        <f ca="1">IFERROR(__xludf.DUMMYFUNCTION("""COMPUTED_VALUE"""),"ЗАО ""ЭКОС"" 115-СТР от 01.01.2022")</f>
        <v>ЗАО "ЭКОС" 115-СТР от 01.01.2022</v>
      </c>
      <c r="D8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8" t="str">
        <f ca="1">IFERROR(__xludf.DUMMYFUNCTION("""COMPUTED_VALUE"""),"Новый")</f>
        <v>Новый</v>
      </c>
      <c r="G848" s="68"/>
      <c r="K848" s="68"/>
    </row>
    <row r="849" spans="1:11" ht="12.75">
      <c r="A849" s="69">
        <f ca="1">IFERROR(__xludf.DUMMYFUNCTION("""COMPUTED_VALUE"""),92162)</f>
        <v>92162</v>
      </c>
      <c r="B849" s="4">
        <f ca="1">IFERROR(__xludf.DUMMYFUNCTION("""COMPUTED_VALUE"""),44562)</f>
        <v>44562</v>
      </c>
      <c r="C849" t="str">
        <f ca="1">IFERROR(__xludf.DUMMYFUNCTION("""COMPUTED_VALUE"""),"ЗАО ""ЭКОС"" 115-СТР от 01.01.2022")</f>
        <v>ЗАО "ЭКОС" 115-СТР от 01.01.2022</v>
      </c>
      <c r="D8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49" t="str">
        <f ca="1">IFERROR(__xludf.DUMMYFUNCTION("""COMPUTED_VALUE"""),"Новый")</f>
        <v>Новый</v>
      </c>
      <c r="G849" s="68"/>
      <c r="K849" s="68"/>
    </row>
    <row r="850" spans="1:11" ht="12.75">
      <c r="A850" s="69">
        <f ca="1">IFERROR(__xludf.DUMMYFUNCTION("""COMPUTED_VALUE"""),92163)</f>
        <v>92163</v>
      </c>
      <c r="B850" s="4">
        <f ca="1">IFERROR(__xludf.DUMMYFUNCTION("""COMPUTED_VALUE"""),44562)</f>
        <v>44562</v>
      </c>
      <c r="C850" t="str">
        <f ca="1">IFERROR(__xludf.DUMMYFUNCTION("""COMPUTED_VALUE"""),"ЗАО ""ЭКОС"" 115-СТР от 01.01.2022")</f>
        <v>ЗАО "ЭКОС" 115-СТР от 01.01.2022</v>
      </c>
      <c r="D8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0" t="str">
        <f ca="1">IFERROR(__xludf.DUMMYFUNCTION("""COMPUTED_VALUE"""),"Новый")</f>
        <v>Новый</v>
      </c>
      <c r="G850" s="68"/>
      <c r="K850" s="68"/>
    </row>
    <row r="851" spans="1:11" ht="12.75">
      <c r="A851" s="69">
        <f ca="1">IFERROR(__xludf.DUMMYFUNCTION("""COMPUTED_VALUE"""),92164)</f>
        <v>92164</v>
      </c>
      <c r="B851" s="4">
        <f ca="1">IFERROR(__xludf.DUMMYFUNCTION("""COMPUTED_VALUE"""),44562)</f>
        <v>44562</v>
      </c>
      <c r="C851" t="str">
        <f ca="1">IFERROR(__xludf.DUMMYFUNCTION("""COMPUTED_VALUE"""),"ЗАО ""ЭКОС"" 115-СТР от 01.01.2022")</f>
        <v>ЗАО "ЭКОС" 115-СТР от 01.01.2022</v>
      </c>
      <c r="D8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1" t="str">
        <f ca="1">IFERROR(__xludf.DUMMYFUNCTION("""COMPUTED_VALUE"""),"Новый")</f>
        <v>Новый</v>
      </c>
      <c r="G851" s="68"/>
      <c r="K851" s="68"/>
    </row>
    <row r="852" spans="1:11" ht="12.75">
      <c r="A852" s="69">
        <f ca="1">IFERROR(__xludf.DUMMYFUNCTION("""COMPUTED_VALUE"""),92165)</f>
        <v>92165</v>
      </c>
      <c r="B852" s="4">
        <f ca="1">IFERROR(__xludf.DUMMYFUNCTION("""COMPUTED_VALUE"""),44562)</f>
        <v>44562</v>
      </c>
      <c r="C852" t="str">
        <f ca="1">IFERROR(__xludf.DUMMYFUNCTION("""COMPUTED_VALUE"""),"ЗАО ""ЭКОС"" 115-СТР от 01.01.2022")</f>
        <v>ЗАО "ЭКОС" 115-СТР от 01.01.2022</v>
      </c>
      <c r="D8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2" t="str">
        <f ca="1">IFERROR(__xludf.DUMMYFUNCTION("""COMPUTED_VALUE"""),"Новый")</f>
        <v>Новый</v>
      </c>
      <c r="G852" s="68"/>
      <c r="K852" s="68"/>
    </row>
    <row r="853" spans="1:11" ht="12.75">
      <c r="A853" s="69">
        <f ca="1">IFERROR(__xludf.DUMMYFUNCTION("""COMPUTED_VALUE"""),92166)</f>
        <v>92166</v>
      </c>
      <c r="B853" s="4">
        <f ca="1">IFERROR(__xludf.DUMMYFUNCTION("""COMPUTED_VALUE"""),44562)</f>
        <v>44562</v>
      </c>
      <c r="C853" t="str">
        <f ca="1">IFERROR(__xludf.DUMMYFUNCTION("""COMPUTED_VALUE"""),"ЗАО ""ЭКОС"" 115-СТР от 01.01.2022")</f>
        <v>ЗАО "ЭКОС" 115-СТР от 01.01.2022</v>
      </c>
      <c r="D8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3" t="str">
        <f ca="1">IFERROR(__xludf.DUMMYFUNCTION("""COMPUTED_VALUE"""),"Новый")</f>
        <v>Новый</v>
      </c>
      <c r="G853" s="68"/>
      <c r="K853" s="68"/>
    </row>
    <row r="854" spans="1:11" ht="12.75">
      <c r="A854" s="69">
        <f ca="1">IFERROR(__xludf.DUMMYFUNCTION("""COMPUTED_VALUE"""),92167)</f>
        <v>92167</v>
      </c>
      <c r="B854" s="4">
        <f ca="1">IFERROR(__xludf.DUMMYFUNCTION("""COMPUTED_VALUE"""),44562)</f>
        <v>44562</v>
      </c>
      <c r="C854" t="str">
        <f ca="1">IFERROR(__xludf.DUMMYFUNCTION("""COMPUTED_VALUE"""),"ЗАО ""ЭКОС"" 115-СТР от 01.01.2022")</f>
        <v>ЗАО "ЭКОС" 115-СТР от 01.01.2022</v>
      </c>
      <c r="D8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4" t="str">
        <f ca="1">IFERROR(__xludf.DUMMYFUNCTION("""COMPUTED_VALUE"""),"Новый")</f>
        <v>Новый</v>
      </c>
      <c r="G854" s="68"/>
      <c r="K854" s="68"/>
    </row>
    <row r="855" spans="1:11" ht="12.75">
      <c r="A855" s="69">
        <f ca="1">IFERROR(__xludf.DUMMYFUNCTION("""COMPUTED_VALUE"""),92168)</f>
        <v>92168</v>
      </c>
      <c r="B855" s="4">
        <f ca="1">IFERROR(__xludf.DUMMYFUNCTION("""COMPUTED_VALUE"""),44562)</f>
        <v>44562</v>
      </c>
      <c r="C855" t="str">
        <f ca="1">IFERROR(__xludf.DUMMYFUNCTION("""COMPUTED_VALUE"""),"ЗАО ""ЭКОС"" 115-СТР от 01.01.2022")</f>
        <v>ЗАО "ЭКОС" 115-СТР от 01.01.2022</v>
      </c>
      <c r="D8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5" t="str">
        <f ca="1">IFERROR(__xludf.DUMMYFUNCTION("""COMPUTED_VALUE"""),"Новый")</f>
        <v>Новый</v>
      </c>
      <c r="G855" s="68"/>
      <c r="K855" s="68"/>
    </row>
    <row r="856" spans="1:11" ht="12.75">
      <c r="A856" s="69">
        <f ca="1">IFERROR(__xludf.DUMMYFUNCTION("""COMPUTED_VALUE"""),92169)</f>
        <v>92169</v>
      </c>
      <c r="B856" s="4">
        <f ca="1">IFERROR(__xludf.DUMMYFUNCTION("""COMPUTED_VALUE"""),44562)</f>
        <v>44562</v>
      </c>
      <c r="C856" t="str">
        <f ca="1">IFERROR(__xludf.DUMMYFUNCTION("""COMPUTED_VALUE"""),"ЗАО ""ЭКОС"" 115-СТР от 01.01.2022")</f>
        <v>ЗАО "ЭКОС" 115-СТР от 01.01.2022</v>
      </c>
      <c r="D8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6" t="str">
        <f ca="1">IFERROR(__xludf.DUMMYFUNCTION("""COMPUTED_VALUE"""),"Новый")</f>
        <v>Новый</v>
      </c>
      <c r="G856" s="68"/>
      <c r="K856" s="68"/>
    </row>
    <row r="857" spans="1:11" ht="12.75">
      <c r="A857" s="69">
        <f ca="1">IFERROR(__xludf.DUMMYFUNCTION("""COMPUTED_VALUE"""),92170)</f>
        <v>92170</v>
      </c>
      <c r="B857" s="4">
        <f ca="1">IFERROR(__xludf.DUMMYFUNCTION("""COMPUTED_VALUE"""),44562)</f>
        <v>44562</v>
      </c>
      <c r="C857" t="str">
        <f ca="1">IFERROR(__xludf.DUMMYFUNCTION("""COMPUTED_VALUE"""),"ЗАО ""ЭКОС"" 115-СТР от 01.01.2022")</f>
        <v>ЗАО "ЭКОС" 115-СТР от 01.01.2022</v>
      </c>
      <c r="D8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7" t="str">
        <f ca="1">IFERROR(__xludf.DUMMYFUNCTION("""COMPUTED_VALUE"""),"Новый")</f>
        <v>Новый</v>
      </c>
      <c r="G857" s="68"/>
      <c r="K857" s="68"/>
    </row>
    <row r="858" spans="1:11" ht="12.75">
      <c r="A858" s="69">
        <f ca="1">IFERROR(__xludf.DUMMYFUNCTION("""COMPUTED_VALUE"""),92171)</f>
        <v>92171</v>
      </c>
      <c r="B858" s="4">
        <f ca="1">IFERROR(__xludf.DUMMYFUNCTION("""COMPUTED_VALUE"""),44562)</f>
        <v>44562</v>
      </c>
      <c r="C858" t="str">
        <f ca="1">IFERROR(__xludf.DUMMYFUNCTION("""COMPUTED_VALUE"""),"ЗАО ""ЭКОС"" 115-СТР от 01.01.2022")</f>
        <v>ЗАО "ЭКОС" 115-СТР от 01.01.2022</v>
      </c>
      <c r="D8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8" t="str">
        <f ca="1">IFERROR(__xludf.DUMMYFUNCTION("""COMPUTED_VALUE"""),"Новый")</f>
        <v>Новый</v>
      </c>
      <c r="G858" s="68"/>
      <c r="K858" s="68"/>
    </row>
    <row r="859" spans="1:11" ht="12.75">
      <c r="A859" s="69">
        <f ca="1">IFERROR(__xludf.DUMMYFUNCTION("""COMPUTED_VALUE"""),92172)</f>
        <v>92172</v>
      </c>
      <c r="B859" s="4">
        <f ca="1">IFERROR(__xludf.DUMMYFUNCTION("""COMPUTED_VALUE"""),44562)</f>
        <v>44562</v>
      </c>
      <c r="C859" t="str">
        <f ca="1">IFERROR(__xludf.DUMMYFUNCTION("""COMPUTED_VALUE"""),"ЗАО ""ЭКОС"" 115-СТР от 01.01.2022")</f>
        <v>ЗАО "ЭКОС" 115-СТР от 01.01.2022</v>
      </c>
      <c r="D8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59" t="str">
        <f ca="1">IFERROR(__xludf.DUMMYFUNCTION("""COMPUTED_VALUE"""),"Новый")</f>
        <v>Новый</v>
      </c>
      <c r="G859" s="68"/>
      <c r="K859" s="68"/>
    </row>
    <row r="860" spans="1:11" ht="12.75">
      <c r="A860" s="69">
        <f ca="1">IFERROR(__xludf.DUMMYFUNCTION("""COMPUTED_VALUE"""),92173)</f>
        <v>92173</v>
      </c>
      <c r="B860" s="4">
        <f ca="1">IFERROR(__xludf.DUMMYFUNCTION("""COMPUTED_VALUE"""),44562)</f>
        <v>44562</v>
      </c>
      <c r="C860" t="str">
        <f ca="1">IFERROR(__xludf.DUMMYFUNCTION("""COMPUTED_VALUE"""),"ЗАО ""ЭКОС"" 115-СТР от 01.01.2022")</f>
        <v>ЗАО "ЭКОС" 115-СТР от 01.01.2022</v>
      </c>
      <c r="D8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0" t="str">
        <f ca="1">IFERROR(__xludf.DUMMYFUNCTION("""COMPUTED_VALUE"""),"Новый")</f>
        <v>Новый</v>
      </c>
      <c r="G860" s="68"/>
      <c r="K860" s="68"/>
    </row>
    <row r="861" spans="1:11" ht="12.75">
      <c r="A861" s="69">
        <f ca="1">IFERROR(__xludf.DUMMYFUNCTION("""COMPUTED_VALUE"""),92174)</f>
        <v>92174</v>
      </c>
      <c r="B861" s="4">
        <f ca="1">IFERROR(__xludf.DUMMYFUNCTION("""COMPUTED_VALUE"""),44562)</f>
        <v>44562</v>
      </c>
      <c r="C861" t="str">
        <f ca="1">IFERROR(__xludf.DUMMYFUNCTION("""COMPUTED_VALUE"""),"ЗАО ""ЭКОС"" 115-СТР от 01.01.2022")</f>
        <v>ЗАО "ЭКОС" 115-СТР от 01.01.2022</v>
      </c>
      <c r="D8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1" t="str">
        <f ca="1">IFERROR(__xludf.DUMMYFUNCTION("""COMPUTED_VALUE"""),"Новый")</f>
        <v>Новый</v>
      </c>
      <c r="G861" s="68"/>
      <c r="K861" s="68"/>
    </row>
    <row r="862" spans="1:11" ht="12.75">
      <c r="A862" s="69">
        <f ca="1">IFERROR(__xludf.DUMMYFUNCTION("""COMPUTED_VALUE"""),92175)</f>
        <v>92175</v>
      </c>
      <c r="B862" s="4">
        <f ca="1">IFERROR(__xludf.DUMMYFUNCTION("""COMPUTED_VALUE"""),44562)</f>
        <v>44562</v>
      </c>
      <c r="C862" t="str">
        <f ca="1">IFERROR(__xludf.DUMMYFUNCTION("""COMPUTED_VALUE"""),"ЗАО ""ЭКОС"" 115-СТР от 01.01.2022")</f>
        <v>ЗАО "ЭКОС" 115-СТР от 01.01.2022</v>
      </c>
      <c r="D8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2" t="str">
        <f ca="1">IFERROR(__xludf.DUMMYFUNCTION("""COMPUTED_VALUE"""),"Новый")</f>
        <v>Новый</v>
      </c>
      <c r="G862" s="68"/>
      <c r="K862" s="68"/>
    </row>
    <row r="863" spans="1:11" ht="12.75">
      <c r="A863" s="69">
        <f ca="1">IFERROR(__xludf.DUMMYFUNCTION("""COMPUTED_VALUE"""),92176)</f>
        <v>92176</v>
      </c>
      <c r="B863" s="4">
        <f ca="1">IFERROR(__xludf.DUMMYFUNCTION("""COMPUTED_VALUE"""),44562)</f>
        <v>44562</v>
      </c>
      <c r="C863" t="str">
        <f ca="1">IFERROR(__xludf.DUMMYFUNCTION("""COMPUTED_VALUE"""),"ЗАО ""ЭКОС"" 115-СТР от 01.01.2022")</f>
        <v>ЗАО "ЭКОС" 115-СТР от 01.01.2022</v>
      </c>
      <c r="D8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3" t="str">
        <f ca="1">IFERROR(__xludf.DUMMYFUNCTION("""COMPUTED_VALUE"""),"Новый")</f>
        <v>Новый</v>
      </c>
      <c r="G863" s="68"/>
      <c r="K863" s="68"/>
    </row>
    <row r="864" spans="1:11" ht="12.75">
      <c r="A864" s="69">
        <f ca="1">IFERROR(__xludf.DUMMYFUNCTION("""COMPUTED_VALUE"""),92177)</f>
        <v>92177</v>
      </c>
      <c r="B864" s="4">
        <f ca="1">IFERROR(__xludf.DUMMYFUNCTION("""COMPUTED_VALUE"""),44562)</f>
        <v>44562</v>
      </c>
      <c r="C864" t="str">
        <f ca="1">IFERROR(__xludf.DUMMYFUNCTION("""COMPUTED_VALUE"""),"ЗАО ""ЭКОС"" 115-СТР от 01.01.2022")</f>
        <v>ЗАО "ЭКОС" 115-СТР от 01.01.2022</v>
      </c>
      <c r="D8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4" t="str">
        <f ca="1">IFERROR(__xludf.DUMMYFUNCTION("""COMPUTED_VALUE"""),"Новый")</f>
        <v>Новый</v>
      </c>
      <c r="G864" s="68"/>
      <c r="K864" s="68"/>
    </row>
    <row r="865" spans="1:11" ht="12.75">
      <c r="A865" s="69">
        <f ca="1">IFERROR(__xludf.DUMMYFUNCTION("""COMPUTED_VALUE"""),92178)</f>
        <v>92178</v>
      </c>
      <c r="B865" s="4">
        <f ca="1">IFERROR(__xludf.DUMMYFUNCTION("""COMPUTED_VALUE"""),44562)</f>
        <v>44562</v>
      </c>
      <c r="C865" t="str">
        <f ca="1">IFERROR(__xludf.DUMMYFUNCTION("""COMPUTED_VALUE"""),"ЗАО ""ЭКОС"" 115-СТР от 01.01.2022")</f>
        <v>ЗАО "ЭКОС" 115-СТР от 01.01.2022</v>
      </c>
      <c r="D8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5" t="str">
        <f ca="1">IFERROR(__xludf.DUMMYFUNCTION("""COMPUTED_VALUE"""),"Новый")</f>
        <v>Новый</v>
      </c>
      <c r="G865" s="68"/>
      <c r="K865" s="68"/>
    </row>
    <row r="866" spans="1:11" ht="12.75">
      <c r="A866" s="69">
        <f ca="1">IFERROR(__xludf.DUMMYFUNCTION("""COMPUTED_VALUE"""),92179)</f>
        <v>92179</v>
      </c>
      <c r="B866" s="4">
        <f ca="1">IFERROR(__xludf.DUMMYFUNCTION("""COMPUTED_VALUE"""),44562)</f>
        <v>44562</v>
      </c>
      <c r="C866" t="str">
        <f ca="1">IFERROR(__xludf.DUMMYFUNCTION("""COMPUTED_VALUE"""),"ЗАО ""ЭКОС"" 115-СТР от 01.01.2022")</f>
        <v>ЗАО "ЭКОС" 115-СТР от 01.01.2022</v>
      </c>
      <c r="D8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6" t="str">
        <f ca="1">IFERROR(__xludf.DUMMYFUNCTION("""COMPUTED_VALUE"""),"Новый")</f>
        <v>Новый</v>
      </c>
      <c r="G866" s="68"/>
      <c r="K866" s="68"/>
    </row>
    <row r="867" spans="1:11" ht="12.75">
      <c r="A867" s="69">
        <f ca="1">IFERROR(__xludf.DUMMYFUNCTION("""COMPUTED_VALUE"""),92180)</f>
        <v>92180</v>
      </c>
      <c r="B867" s="4">
        <f ca="1">IFERROR(__xludf.DUMMYFUNCTION("""COMPUTED_VALUE"""),44562)</f>
        <v>44562</v>
      </c>
      <c r="C867" t="str">
        <f ca="1">IFERROR(__xludf.DUMMYFUNCTION("""COMPUTED_VALUE"""),"ЗАО ""ЭКОС"" 115-СТР от 01.01.2022")</f>
        <v>ЗАО "ЭКОС" 115-СТР от 01.01.2022</v>
      </c>
      <c r="D8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7" t="str">
        <f ca="1">IFERROR(__xludf.DUMMYFUNCTION("""COMPUTED_VALUE"""),"Новый")</f>
        <v>Новый</v>
      </c>
      <c r="G867" s="68"/>
      <c r="K867" s="68"/>
    </row>
    <row r="868" spans="1:11" ht="12.75">
      <c r="A868" s="69">
        <f ca="1">IFERROR(__xludf.DUMMYFUNCTION("""COMPUTED_VALUE"""),92181)</f>
        <v>92181</v>
      </c>
      <c r="B868" s="4">
        <f ca="1">IFERROR(__xludf.DUMMYFUNCTION("""COMPUTED_VALUE"""),44562)</f>
        <v>44562</v>
      </c>
      <c r="C868" t="str">
        <f ca="1">IFERROR(__xludf.DUMMYFUNCTION("""COMPUTED_VALUE"""),"ЗАО ""ЭКОС"" 115-СТР от 01.01.2022")</f>
        <v>ЗАО "ЭКОС" 115-СТР от 01.01.2022</v>
      </c>
      <c r="D8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8" t="str">
        <f ca="1">IFERROR(__xludf.DUMMYFUNCTION("""COMPUTED_VALUE"""),"Новый")</f>
        <v>Новый</v>
      </c>
      <c r="G868" s="68"/>
      <c r="K868" s="68"/>
    </row>
    <row r="869" spans="1:11" ht="12.75">
      <c r="A869" s="69">
        <f ca="1">IFERROR(__xludf.DUMMYFUNCTION("""COMPUTED_VALUE"""),92182)</f>
        <v>92182</v>
      </c>
      <c r="B869" s="4">
        <f ca="1">IFERROR(__xludf.DUMMYFUNCTION("""COMPUTED_VALUE"""),44562)</f>
        <v>44562</v>
      </c>
      <c r="C869" t="str">
        <f ca="1">IFERROR(__xludf.DUMMYFUNCTION("""COMPUTED_VALUE"""),"ЗАО ""ЭКОС"" 115-СТР от 01.01.2022")</f>
        <v>ЗАО "ЭКОС" 115-СТР от 01.01.2022</v>
      </c>
      <c r="D8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69" t="str">
        <f ca="1">IFERROR(__xludf.DUMMYFUNCTION("""COMPUTED_VALUE"""),"Новый")</f>
        <v>Новый</v>
      </c>
      <c r="G869" s="68"/>
      <c r="K869" s="68"/>
    </row>
    <row r="870" spans="1:11" ht="12.75">
      <c r="A870" s="69">
        <f ca="1">IFERROR(__xludf.DUMMYFUNCTION("""COMPUTED_VALUE"""),92183)</f>
        <v>92183</v>
      </c>
      <c r="B870" s="4">
        <f ca="1">IFERROR(__xludf.DUMMYFUNCTION("""COMPUTED_VALUE"""),44562)</f>
        <v>44562</v>
      </c>
      <c r="C870" t="str">
        <f ca="1">IFERROR(__xludf.DUMMYFUNCTION("""COMPUTED_VALUE"""),"ЗАО ""ЭКОС"" 115-СТР от 01.01.2022")</f>
        <v>ЗАО "ЭКОС" 115-СТР от 01.01.2022</v>
      </c>
      <c r="D8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0" t="str">
        <f ca="1">IFERROR(__xludf.DUMMYFUNCTION("""COMPUTED_VALUE"""),"Новый")</f>
        <v>Новый</v>
      </c>
      <c r="G870" s="68"/>
      <c r="K870" s="68"/>
    </row>
    <row r="871" spans="1:11" ht="12.75">
      <c r="A871" s="69">
        <f ca="1">IFERROR(__xludf.DUMMYFUNCTION("""COMPUTED_VALUE"""),92184)</f>
        <v>92184</v>
      </c>
      <c r="B871" s="4">
        <f ca="1">IFERROR(__xludf.DUMMYFUNCTION("""COMPUTED_VALUE"""),44562)</f>
        <v>44562</v>
      </c>
      <c r="C871" t="str">
        <f ca="1">IFERROR(__xludf.DUMMYFUNCTION("""COMPUTED_VALUE"""),"ЗАО ""ЭКОС"" 115-СТР от 01.01.2022")</f>
        <v>ЗАО "ЭКОС" 115-СТР от 01.01.2022</v>
      </c>
      <c r="D8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1" t="str">
        <f ca="1">IFERROR(__xludf.DUMMYFUNCTION("""COMPUTED_VALUE"""),"Новый")</f>
        <v>Новый</v>
      </c>
      <c r="G871" s="68"/>
      <c r="K871" s="68"/>
    </row>
    <row r="872" spans="1:11" ht="12.75">
      <c r="A872" s="69">
        <f ca="1">IFERROR(__xludf.DUMMYFUNCTION("""COMPUTED_VALUE"""),92185)</f>
        <v>92185</v>
      </c>
      <c r="B872" s="4">
        <f ca="1">IFERROR(__xludf.DUMMYFUNCTION("""COMPUTED_VALUE"""),44562)</f>
        <v>44562</v>
      </c>
      <c r="C872" t="str">
        <f ca="1">IFERROR(__xludf.DUMMYFUNCTION("""COMPUTED_VALUE"""),"ЗАО ""ЭКОС"" 115-СТР от 01.01.2022")</f>
        <v>ЗАО "ЭКОС" 115-СТР от 01.01.2022</v>
      </c>
      <c r="D8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2" t="str">
        <f ca="1">IFERROR(__xludf.DUMMYFUNCTION("""COMPUTED_VALUE"""),"Новый")</f>
        <v>Новый</v>
      </c>
      <c r="G872" s="68"/>
      <c r="K872" s="68"/>
    </row>
    <row r="873" spans="1:11" ht="12.75">
      <c r="A873" s="69">
        <f ca="1">IFERROR(__xludf.DUMMYFUNCTION("""COMPUTED_VALUE"""),92186)</f>
        <v>92186</v>
      </c>
      <c r="B873" s="4">
        <f ca="1">IFERROR(__xludf.DUMMYFUNCTION("""COMPUTED_VALUE"""),44562)</f>
        <v>44562</v>
      </c>
      <c r="C873" t="str">
        <f ca="1">IFERROR(__xludf.DUMMYFUNCTION("""COMPUTED_VALUE"""),"ЗАО ""ЭКОС"" 115-СТР от 01.01.2022")</f>
        <v>ЗАО "ЭКОС" 115-СТР от 01.01.2022</v>
      </c>
      <c r="D8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3" t="str">
        <f ca="1">IFERROR(__xludf.DUMMYFUNCTION("""COMPUTED_VALUE"""),"Новый")</f>
        <v>Новый</v>
      </c>
      <c r="G873" s="68"/>
      <c r="K873" s="68"/>
    </row>
    <row r="874" spans="1:11" ht="12.75">
      <c r="A874" s="69">
        <f ca="1">IFERROR(__xludf.DUMMYFUNCTION("""COMPUTED_VALUE"""),92187)</f>
        <v>92187</v>
      </c>
      <c r="B874" s="4">
        <f ca="1">IFERROR(__xludf.DUMMYFUNCTION("""COMPUTED_VALUE"""),44562)</f>
        <v>44562</v>
      </c>
      <c r="C874" t="str">
        <f ca="1">IFERROR(__xludf.DUMMYFUNCTION("""COMPUTED_VALUE"""),"ЗАО ""ЭКОС"" 115-СТР от 01.01.2022")</f>
        <v>ЗАО "ЭКОС" 115-СТР от 01.01.2022</v>
      </c>
      <c r="D8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4" t="str">
        <f ca="1">IFERROR(__xludf.DUMMYFUNCTION("""COMPUTED_VALUE"""),"Новый")</f>
        <v>Новый</v>
      </c>
      <c r="G874" s="68"/>
      <c r="K874" s="68"/>
    </row>
    <row r="875" spans="1:11" ht="12.75">
      <c r="A875" s="69">
        <f ca="1">IFERROR(__xludf.DUMMYFUNCTION("""COMPUTED_VALUE"""),92188)</f>
        <v>92188</v>
      </c>
      <c r="B875" s="4">
        <f ca="1">IFERROR(__xludf.DUMMYFUNCTION("""COMPUTED_VALUE"""),44562)</f>
        <v>44562</v>
      </c>
      <c r="C875" t="str">
        <f ca="1">IFERROR(__xludf.DUMMYFUNCTION("""COMPUTED_VALUE"""),"ЗАО ""ЭКОС"" 115-СТР от 01.01.2022")</f>
        <v>ЗАО "ЭКОС" 115-СТР от 01.01.2022</v>
      </c>
      <c r="D8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5" t="str">
        <f ca="1">IFERROR(__xludf.DUMMYFUNCTION("""COMPUTED_VALUE"""),"Новый")</f>
        <v>Новый</v>
      </c>
      <c r="G875" s="68"/>
      <c r="K875" s="68"/>
    </row>
    <row r="876" spans="1:11" ht="12.75">
      <c r="A876" s="69">
        <f ca="1">IFERROR(__xludf.DUMMYFUNCTION("""COMPUTED_VALUE"""),92189)</f>
        <v>92189</v>
      </c>
      <c r="B876" s="4">
        <f ca="1">IFERROR(__xludf.DUMMYFUNCTION("""COMPUTED_VALUE"""),44562)</f>
        <v>44562</v>
      </c>
      <c r="C876" t="str">
        <f ca="1">IFERROR(__xludf.DUMMYFUNCTION("""COMPUTED_VALUE"""),"ЗАО ""ЭКОС"" 115-СТР от 01.01.2022")</f>
        <v>ЗАО "ЭКОС" 115-СТР от 01.01.2022</v>
      </c>
      <c r="D8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6" t="str">
        <f ca="1">IFERROR(__xludf.DUMMYFUNCTION("""COMPUTED_VALUE"""),"Новый")</f>
        <v>Новый</v>
      </c>
      <c r="G876" s="68"/>
      <c r="K876" s="68"/>
    </row>
    <row r="877" spans="1:11" ht="12.75">
      <c r="A877" s="69">
        <f ca="1">IFERROR(__xludf.DUMMYFUNCTION("""COMPUTED_VALUE"""),92190)</f>
        <v>92190</v>
      </c>
      <c r="B877" s="4">
        <f ca="1">IFERROR(__xludf.DUMMYFUNCTION("""COMPUTED_VALUE"""),44562)</f>
        <v>44562</v>
      </c>
      <c r="C877" t="str">
        <f ca="1">IFERROR(__xludf.DUMMYFUNCTION("""COMPUTED_VALUE"""),"ЗАО ""ЭКОС"" 115-СТР от 01.01.2022")</f>
        <v>ЗАО "ЭКОС" 115-СТР от 01.01.2022</v>
      </c>
      <c r="D8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7" t="str">
        <f ca="1">IFERROR(__xludf.DUMMYFUNCTION("""COMPUTED_VALUE"""),"Новый")</f>
        <v>Новый</v>
      </c>
      <c r="G877" s="68"/>
      <c r="K877" s="68"/>
    </row>
    <row r="878" spans="1:11" ht="12.75">
      <c r="A878" s="69">
        <f ca="1">IFERROR(__xludf.DUMMYFUNCTION("""COMPUTED_VALUE"""),92191)</f>
        <v>92191</v>
      </c>
      <c r="B878" s="4">
        <f ca="1">IFERROR(__xludf.DUMMYFUNCTION("""COMPUTED_VALUE"""),44562)</f>
        <v>44562</v>
      </c>
      <c r="C878" t="str">
        <f ca="1">IFERROR(__xludf.DUMMYFUNCTION("""COMPUTED_VALUE"""),"ЗАО ""ЭКОС"" 115-СТР от 01.01.2022")</f>
        <v>ЗАО "ЭКОС" 115-СТР от 01.01.2022</v>
      </c>
      <c r="D8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8" t="str">
        <f ca="1">IFERROR(__xludf.DUMMYFUNCTION("""COMPUTED_VALUE"""),"Новый")</f>
        <v>Новый</v>
      </c>
      <c r="G878" s="68"/>
      <c r="K878" s="68"/>
    </row>
    <row r="879" spans="1:11" ht="12.75">
      <c r="A879" s="69">
        <f ca="1">IFERROR(__xludf.DUMMYFUNCTION("""COMPUTED_VALUE"""),92192)</f>
        <v>92192</v>
      </c>
      <c r="B879" s="4">
        <f ca="1">IFERROR(__xludf.DUMMYFUNCTION("""COMPUTED_VALUE"""),44562)</f>
        <v>44562</v>
      </c>
      <c r="C879" t="str">
        <f ca="1">IFERROR(__xludf.DUMMYFUNCTION("""COMPUTED_VALUE"""),"ЗАО ""ЭКОС"" 115-СТР от 01.01.2022")</f>
        <v>ЗАО "ЭКОС" 115-СТР от 01.01.2022</v>
      </c>
      <c r="D8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79" t="str">
        <f ca="1">IFERROR(__xludf.DUMMYFUNCTION("""COMPUTED_VALUE"""),"Новый")</f>
        <v>Новый</v>
      </c>
      <c r="G879" s="68"/>
      <c r="K879" s="68"/>
    </row>
    <row r="880" spans="1:11" ht="12.75">
      <c r="A880" s="69">
        <f ca="1">IFERROR(__xludf.DUMMYFUNCTION("""COMPUTED_VALUE"""),92193)</f>
        <v>92193</v>
      </c>
      <c r="B880" s="4">
        <f ca="1">IFERROR(__xludf.DUMMYFUNCTION("""COMPUTED_VALUE"""),44562)</f>
        <v>44562</v>
      </c>
      <c r="C880" t="str">
        <f ca="1">IFERROR(__xludf.DUMMYFUNCTION("""COMPUTED_VALUE"""),"ЗАО ""ЭКОС"" 115-СТР от 01.01.2022")</f>
        <v>ЗАО "ЭКОС" 115-СТР от 01.01.2022</v>
      </c>
      <c r="D8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0" t="str">
        <f ca="1">IFERROR(__xludf.DUMMYFUNCTION("""COMPUTED_VALUE"""),"Новый")</f>
        <v>Новый</v>
      </c>
      <c r="G880" s="68"/>
      <c r="K880" s="68"/>
    </row>
    <row r="881" spans="1:11" ht="12.75">
      <c r="A881" s="69">
        <f ca="1">IFERROR(__xludf.DUMMYFUNCTION("""COMPUTED_VALUE"""),92194)</f>
        <v>92194</v>
      </c>
      <c r="B881" s="4">
        <f ca="1">IFERROR(__xludf.DUMMYFUNCTION("""COMPUTED_VALUE"""),44562)</f>
        <v>44562</v>
      </c>
      <c r="C881" t="str">
        <f ca="1">IFERROR(__xludf.DUMMYFUNCTION("""COMPUTED_VALUE"""),"ЗАО ""ЭКОС"" 115-СТР от 01.01.2022")</f>
        <v>ЗАО "ЭКОС" 115-СТР от 01.01.2022</v>
      </c>
      <c r="D8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1" t="str">
        <f ca="1">IFERROR(__xludf.DUMMYFUNCTION("""COMPUTED_VALUE"""),"Новый")</f>
        <v>Новый</v>
      </c>
      <c r="G881" s="68"/>
      <c r="K881" s="68"/>
    </row>
    <row r="882" spans="1:11" ht="12.75">
      <c r="A882" s="69">
        <f ca="1">IFERROR(__xludf.DUMMYFUNCTION("""COMPUTED_VALUE"""),92195)</f>
        <v>92195</v>
      </c>
      <c r="B882" s="4">
        <f ca="1">IFERROR(__xludf.DUMMYFUNCTION("""COMPUTED_VALUE"""),44562)</f>
        <v>44562</v>
      </c>
      <c r="C882" t="str">
        <f ca="1">IFERROR(__xludf.DUMMYFUNCTION("""COMPUTED_VALUE"""),"ЗАО ""ЭКОС"" 115-СТР от 01.01.2022")</f>
        <v>ЗАО "ЭКОС" 115-СТР от 01.01.2022</v>
      </c>
      <c r="D8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2" t="str">
        <f ca="1">IFERROR(__xludf.DUMMYFUNCTION("""COMPUTED_VALUE"""),"Новый")</f>
        <v>Новый</v>
      </c>
      <c r="G882" s="68"/>
      <c r="K882" s="68"/>
    </row>
    <row r="883" spans="1:11" ht="12.75">
      <c r="A883" s="69">
        <f ca="1">IFERROR(__xludf.DUMMYFUNCTION("""COMPUTED_VALUE"""),92196)</f>
        <v>92196</v>
      </c>
      <c r="B883" s="4">
        <f ca="1">IFERROR(__xludf.DUMMYFUNCTION("""COMPUTED_VALUE"""),44562)</f>
        <v>44562</v>
      </c>
      <c r="C883" t="str">
        <f ca="1">IFERROR(__xludf.DUMMYFUNCTION("""COMPUTED_VALUE"""),"ЗАО ""ЭКОС"" 115-СТР от 01.01.2022")</f>
        <v>ЗАО "ЭКОС" 115-СТР от 01.01.2022</v>
      </c>
      <c r="D8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3" t="str">
        <f ca="1">IFERROR(__xludf.DUMMYFUNCTION("""COMPUTED_VALUE"""),"Новый")</f>
        <v>Новый</v>
      </c>
      <c r="G883" s="68"/>
      <c r="K883" s="68"/>
    </row>
    <row r="884" spans="1:11" ht="12.75">
      <c r="A884" s="69">
        <f ca="1">IFERROR(__xludf.DUMMYFUNCTION("""COMPUTED_VALUE"""),92197)</f>
        <v>92197</v>
      </c>
      <c r="B884" s="4">
        <f ca="1">IFERROR(__xludf.DUMMYFUNCTION("""COMPUTED_VALUE"""),44562)</f>
        <v>44562</v>
      </c>
      <c r="C884" t="str">
        <f ca="1">IFERROR(__xludf.DUMMYFUNCTION("""COMPUTED_VALUE"""),"ЗАО ""ЭКОС"" 115-СТР от 01.01.2022")</f>
        <v>ЗАО "ЭКОС" 115-СТР от 01.01.2022</v>
      </c>
      <c r="D8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4" t="str">
        <f ca="1">IFERROR(__xludf.DUMMYFUNCTION("""COMPUTED_VALUE"""),"Новый")</f>
        <v>Новый</v>
      </c>
      <c r="G884" s="68"/>
      <c r="K884" s="68"/>
    </row>
    <row r="885" spans="1:11" ht="12.75">
      <c r="A885" s="69">
        <f ca="1">IFERROR(__xludf.DUMMYFUNCTION("""COMPUTED_VALUE"""),92198)</f>
        <v>92198</v>
      </c>
      <c r="B885" s="4">
        <f ca="1">IFERROR(__xludf.DUMMYFUNCTION("""COMPUTED_VALUE"""),44562)</f>
        <v>44562</v>
      </c>
      <c r="C885" t="str">
        <f ca="1">IFERROR(__xludf.DUMMYFUNCTION("""COMPUTED_VALUE"""),"ЗАО ""ЭКОС"" 115-СТР от 01.01.2022")</f>
        <v>ЗАО "ЭКОС" 115-СТР от 01.01.2022</v>
      </c>
      <c r="D8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5" t="str">
        <f ca="1">IFERROR(__xludf.DUMMYFUNCTION("""COMPUTED_VALUE"""),"Новый")</f>
        <v>Новый</v>
      </c>
      <c r="G885" s="68"/>
      <c r="K885" s="68"/>
    </row>
    <row r="886" spans="1:11" ht="12.75">
      <c r="A886" s="69">
        <f ca="1">IFERROR(__xludf.DUMMYFUNCTION("""COMPUTED_VALUE"""),92199)</f>
        <v>92199</v>
      </c>
      <c r="B886" s="4">
        <f ca="1">IFERROR(__xludf.DUMMYFUNCTION("""COMPUTED_VALUE"""),44562)</f>
        <v>44562</v>
      </c>
      <c r="C886" t="str">
        <f ca="1">IFERROR(__xludf.DUMMYFUNCTION("""COMPUTED_VALUE"""),"ЗАО ""ЭКОС"" 115-СТР от 01.01.2022")</f>
        <v>ЗАО "ЭКОС" 115-СТР от 01.01.2022</v>
      </c>
      <c r="D8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6" t="str">
        <f ca="1">IFERROR(__xludf.DUMMYFUNCTION("""COMPUTED_VALUE"""),"Новый")</f>
        <v>Новый</v>
      </c>
      <c r="G886" s="68"/>
      <c r="K886" s="68"/>
    </row>
    <row r="887" spans="1:11" ht="12.75">
      <c r="A887" s="69">
        <f ca="1">IFERROR(__xludf.DUMMYFUNCTION("""COMPUTED_VALUE"""),92200)</f>
        <v>92200</v>
      </c>
      <c r="B887" s="4">
        <f ca="1">IFERROR(__xludf.DUMMYFUNCTION("""COMPUTED_VALUE"""),44562)</f>
        <v>44562</v>
      </c>
      <c r="C887" t="str">
        <f ca="1">IFERROR(__xludf.DUMMYFUNCTION("""COMPUTED_VALUE"""),"ЗАО ""ЭКОС"" 115-СТР от 01.01.2022")</f>
        <v>ЗАО "ЭКОС" 115-СТР от 01.01.2022</v>
      </c>
      <c r="D8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7" t="str">
        <f ca="1">IFERROR(__xludf.DUMMYFUNCTION("""COMPUTED_VALUE"""),"Новый")</f>
        <v>Новый</v>
      </c>
      <c r="G887" s="68"/>
      <c r="K887" s="68"/>
    </row>
    <row r="888" spans="1:11" ht="12.75">
      <c r="A888" s="69">
        <f ca="1">IFERROR(__xludf.DUMMYFUNCTION("""COMPUTED_VALUE"""),92201)</f>
        <v>92201</v>
      </c>
      <c r="B888" s="4">
        <f ca="1">IFERROR(__xludf.DUMMYFUNCTION("""COMPUTED_VALUE"""),44562)</f>
        <v>44562</v>
      </c>
      <c r="C888" t="str">
        <f ca="1">IFERROR(__xludf.DUMMYFUNCTION("""COMPUTED_VALUE"""),"ЗАО ""ЭКОС"" 115-СТР от 01.01.2022")</f>
        <v>ЗАО "ЭКОС" 115-СТР от 01.01.2022</v>
      </c>
      <c r="D8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8" t="str">
        <f ca="1">IFERROR(__xludf.DUMMYFUNCTION("""COMPUTED_VALUE"""),"Новый")</f>
        <v>Новый</v>
      </c>
      <c r="G888" s="68"/>
      <c r="K888" s="68"/>
    </row>
    <row r="889" spans="1:11" ht="12.75">
      <c r="A889" s="69">
        <f ca="1">IFERROR(__xludf.DUMMYFUNCTION("""COMPUTED_VALUE"""),92202)</f>
        <v>92202</v>
      </c>
      <c r="B889" s="4">
        <f ca="1">IFERROR(__xludf.DUMMYFUNCTION("""COMPUTED_VALUE"""),44562)</f>
        <v>44562</v>
      </c>
      <c r="C889" t="str">
        <f ca="1">IFERROR(__xludf.DUMMYFUNCTION("""COMPUTED_VALUE"""),"ООО ""ЧИСТЫЙ ГОРОД-ОМСК"" 116-СТР от 01.01.2021")</f>
        <v>ООО "ЧИСТЫЙ ГОРОД-ОМСК" 116-СТР от 01.01.2021</v>
      </c>
      <c r="D8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89" t="str">
        <f ca="1">IFERROR(__xludf.DUMMYFUNCTION("""COMPUTED_VALUE"""),"Новый")</f>
        <v>Новый</v>
      </c>
      <c r="G889" s="68"/>
      <c r="K889" s="68"/>
    </row>
    <row r="890" spans="1:11" ht="12.75">
      <c r="A890" s="69">
        <f ca="1">IFERROR(__xludf.DUMMYFUNCTION("""COMPUTED_VALUE"""),92203)</f>
        <v>92203</v>
      </c>
      <c r="B890" s="4">
        <f ca="1">IFERROR(__xludf.DUMMYFUNCTION("""COMPUTED_VALUE"""),44562)</f>
        <v>44562</v>
      </c>
      <c r="C890" t="str">
        <f ca="1">IFERROR(__xludf.DUMMYFUNCTION("""COMPUTED_VALUE"""),"ООО ""ЧИСТЫЙ ГОРОД-ОМСК"" 116-СТР от 01.01.2021")</f>
        <v>ООО "ЧИСТЫЙ ГОРОД-ОМСК" 116-СТР от 01.01.2021</v>
      </c>
      <c r="D8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0" t="str">
        <f ca="1">IFERROR(__xludf.DUMMYFUNCTION("""COMPUTED_VALUE"""),"Новый")</f>
        <v>Новый</v>
      </c>
      <c r="G890" s="68"/>
      <c r="K890" s="68"/>
    </row>
    <row r="891" spans="1:11" ht="12.75">
      <c r="A891" s="69">
        <f ca="1">IFERROR(__xludf.DUMMYFUNCTION("""COMPUTED_VALUE"""),92204)</f>
        <v>92204</v>
      </c>
      <c r="B891" s="4">
        <f ca="1">IFERROR(__xludf.DUMMYFUNCTION("""COMPUTED_VALUE"""),44562)</f>
        <v>44562</v>
      </c>
      <c r="C891" t="str">
        <f ca="1">IFERROR(__xludf.DUMMYFUNCTION("""COMPUTED_VALUE"""),"ООО ""ЧИСТЫЙ ГОРОД-ОМСК"" 116-СТР от 01.01.2021")</f>
        <v>ООО "ЧИСТЫЙ ГОРОД-ОМСК" 116-СТР от 01.01.2021</v>
      </c>
      <c r="D8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1" t="str">
        <f ca="1">IFERROR(__xludf.DUMMYFUNCTION("""COMPUTED_VALUE"""),"Новый")</f>
        <v>Новый</v>
      </c>
      <c r="G891" s="68"/>
      <c r="K891" s="68"/>
    </row>
    <row r="892" spans="1:11" ht="12.75">
      <c r="A892" s="69">
        <f ca="1">IFERROR(__xludf.DUMMYFUNCTION("""COMPUTED_VALUE"""),92205)</f>
        <v>92205</v>
      </c>
      <c r="B892" s="4">
        <f ca="1">IFERROR(__xludf.DUMMYFUNCTION("""COMPUTED_VALUE"""),44562)</f>
        <v>44562</v>
      </c>
      <c r="C892" t="str">
        <f ca="1">IFERROR(__xludf.DUMMYFUNCTION("""COMPUTED_VALUE"""),"ООО ""ЧИСТЫЙ ГОРОД-ОМСК"" 116-СТР от 01.01.2021")</f>
        <v>ООО "ЧИСТЫЙ ГОРОД-ОМСК" 116-СТР от 01.01.2021</v>
      </c>
      <c r="D8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2" t="str">
        <f ca="1">IFERROR(__xludf.DUMMYFUNCTION("""COMPUTED_VALUE"""),"Новый")</f>
        <v>Новый</v>
      </c>
      <c r="G892" s="68"/>
      <c r="K892" s="68"/>
    </row>
    <row r="893" spans="1:11" ht="12.75">
      <c r="A893" s="69">
        <f ca="1">IFERROR(__xludf.DUMMYFUNCTION("""COMPUTED_VALUE"""),92206)</f>
        <v>92206</v>
      </c>
      <c r="B893" s="4">
        <f ca="1">IFERROR(__xludf.DUMMYFUNCTION("""COMPUTED_VALUE"""),44562)</f>
        <v>44562</v>
      </c>
      <c r="C893" t="str">
        <f ca="1">IFERROR(__xludf.DUMMYFUNCTION("""COMPUTED_VALUE"""),"ООО ""ЧИСТЫЙ ГОРОД-ОМСК"" 116-СТР от 01.01.2021")</f>
        <v>ООО "ЧИСТЫЙ ГОРОД-ОМСК" 116-СТР от 01.01.2021</v>
      </c>
      <c r="D8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3" t="str">
        <f ca="1">IFERROR(__xludf.DUMMYFUNCTION("""COMPUTED_VALUE"""),"Новый")</f>
        <v>Новый</v>
      </c>
      <c r="G893" s="68"/>
      <c r="K893" s="68"/>
    </row>
    <row r="894" spans="1:11" ht="12.75">
      <c r="A894" s="69">
        <f ca="1">IFERROR(__xludf.DUMMYFUNCTION("""COMPUTED_VALUE"""),92207)</f>
        <v>92207</v>
      </c>
      <c r="B894" s="4">
        <f ca="1">IFERROR(__xludf.DUMMYFUNCTION("""COMPUTED_VALUE"""),44562)</f>
        <v>44562</v>
      </c>
      <c r="C894" t="str">
        <f ca="1">IFERROR(__xludf.DUMMYFUNCTION("""COMPUTED_VALUE"""),"ООО ""ЧИСТЫЙ ГОРОД-ОМСК"" 116-СТР от 01.01.2021")</f>
        <v>ООО "ЧИСТЫЙ ГОРОД-ОМСК" 116-СТР от 01.01.2021</v>
      </c>
      <c r="D8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4" t="str">
        <f ca="1">IFERROR(__xludf.DUMMYFUNCTION("""COMPUTED_VALUE"""),"Новый")</f>
        <v>Новый</v>
      </c>
      <c r="G894" s="68"/>
      <c r="K894" s="68"/>
    </row>
    <row r="895" spans="1:11" ht="12.75">
      <c r="A895" s="69">
        <f ca="1">IFERROR(__xludf.DUMMYFUNCTION("""COMPUTED_VALUE"""),92208)</f>
        <v>92208</v>
      </c>
      <c r="B895" s="4">
        <f ca="1">IFERROR(__xludf.DUMMYFUNCTION("""COMPUTED_VALUE"""),44562)</f>
        <v>44562</v>
      </c>
      <c r="C895" t="str">
        <f ca="1">IFERROR(__xludf.DUMMYFUNCTION("""COMPUTED_VALUE"""),"ООО ""ЧИСТЫЙ ГОРОД-ОМСК"" 116-СТР от 01.01.2021")</f>
        <v>ООО "ЧИСТЫЙ ГОРОД-ОМСК" 116-СТР от 01.01.2021</v>
      </c>
      <c r="D8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5" t="str">
        <f ca="1">IFERROR(__xludf.DUMMYFUNCTION("""COMPUTED_VALUE"""),"Новый")</f>
        <v>Новый</v>
      </c>
      <c r="G895" s="68"/>
      <c r="K895" s="68"/>
    </row>
    <row r="896" spans="1:11" ht="12.75">
      <c r="A896" s="69">
        <f ca="1">IFERROR(__xludf.DUMMYFUNCTION("""COMPUTED_VALUE"""),92209)</f>
        <v>92209</v>
      </c>
      <c r="B896" s="4">
        <f ca="1">IFERROR(__xludf.DUMMYFUNCTION("""COMPUTED_VALUE"""),44562)</f>
        <v>44562</v>
      </c>
      <c r="C896" t="str">
        <f ca="1">IFERROR(__xludf.DUMMYFUNCTION("""COMPUTED_VALUE"""),"ООО ""ЧИСТЫЙ ГОРОД-ОМСК"" 116-СТР от 01.01.2021")</f>
        <v>ООО "ЧИСТЫЙ ГОРОД-ОМСК" 116-СТР от 01.01.2021</v>
      </c>
      <c r="D8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6" t="str">
        <f ca="1">IFERROR(__xludf.DUMMYFUNCTION("""COMPUTED_VALUE"""),"Новый")</f>
        <v>Новый</v>
      </c>
      <c r="G896" s="68"/>
      <c r="K896" s="68"/>
    </row>
    <row r="897" spans="1:11" ht="12.75">
      <c r="A897" s="69">
        <f ca="1">IFERROR(__xludf.DUMMYFUNCTION("""COMPUTED_VALUE"""),92210)</f>
        <v>92210</v>
      </c>
      <c r="B897" s="4">
        <f ca="1">IFERROR(__xludf.DUMMYFUNCTION("""COMPUTED_VALUE"""),44562)</f>
        <v>44562</v>
      </c>
      <c r="C897" t="str">
        <f ca="1">IFERROR(__xludf.DUMMYFUNCTION("""COMPUTED_VALUE"""),"ООО ""ЧИСТЫЙ ГОРОД-ОМСК"" 116-СТР от 01.01.2021")</f>
        <v>ООО "ЧИСТЫЙ ГОРОД-ОМСК" 116-СТР от 01.01.2021</v>
      </c>
      <c r="D8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7" t="str">
        <f ca="1">IFERROR(__xludf.DUMMYFUNCTION("""COMPUTED_VALUE"""),"Новый")</f>
        <v>Новый</v>
      </c>
      <c r="G897" s="68"/>
      <c r="K897" s="68"/>
    </row>
    <row r="898" spans="1:11" ht="12.75">
      <c r="A898" s="69">
        <f ca="1">IFERROR(__xludf.DUMMYFUNCTION("""COMPUTED_VALUE"""),92211)</f>
        <v>92211</v>
      </c>
      <c r="B898" s="4">
        <f ca="1">IFERROR(__xludf.DUMMYFUNCTION("""COMPUTED_VALUE"""),44613)</f>
        <v>44613</v>
      </c>
      <c r="C898" t="str">
        <f ca="1">IFERROR(__xludf.DUMMYFUNCTION("""COMPUTED_VALUE"""),"ЗАО ""ЭКОС"" 115-СТР от 01.01.2022")</f>
        <v>ЗАО "ЭКОС" 115-СТР от 01.01.2022</v>
      </c>
      <c r="D8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8" t="str">
        <f ca="1">IFERROR(__xludf.DUMMYFUNCTION("""COMPUTED_VALUE"""),"Новый")</f>
        <v>Новый</v>
      </c>
      <c r="G898" s="68"/>
      <c r="K898" s="68"/>
    </row>
    <row r="899" spans="1:11" ht="12.75">
      <c r="A899" s="69">
        <f ca="1">IFERROR(__xludf.DUMMYFUNCTION("""COMPUTED_VALUE"""),92212)</f>
        <v>92212</v>
      </c>
      <c r="B899" s="4">
        <f ca="1">IFERROR(__xludf.DUMMYFUNCTION("""COMPUTED_VALUE"""),44613)</f>
        <v>44613</v>
      </c>
      <c r="C899" t="str">
        <f ca="1">IFERROR(__xludf.DUMMYFUNCTION("""COMPUTED_VALUE"""),"ЗАО ""ЭКОС"" 115-СТР от 01.01.2022")</f>
        <v>ЗАО "ЭКОС" 115-СТР от 01.01.2022</v>
      </c>
      <c r="D8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99" t="str">
        <f ca="1">IFERROR(__xludf.DUMMYFUNCTION("""COMPUTED_VALUE"""),"Новый")</f>
        <v>Новый</v>
      </c>
      <c r="G899" s="68"/>
      <c r="K899" s="68"/>
    </row>
    <row r="900" spans="1:11" ht="12.75">
      <c r="A900" s="69">
        <f ca="1">IFERROR(__xludf.DUMMYFUNCTION("""COMPUTED_VALUE"""),92213)</f>
        <v>92213</v>
      </c>
      <c r="B900" s="4">
        <f ca="1">IFERROR(__xludf.DUMMYFUNCTION("""COMPUTED_VALUE"""),44613)</f>
        <v>44613</v>
      </c>
      <c r="C900" t="str">
        <f ca="1">IFERROR(__xludf.DUMMYFUNCTION("""COMPUTED_VALUE"""),"ЗАО ""ЭКОС"" 115-СТР от 01.01.2022")</f>
        <v>ЗАО "ЭКОС" 115-СТР от 01.01.2022</v>
      </c>
      <c r="D9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0" t="str">
        <f ca="1">IFERROR(__xludf.DUMMYFUNCTION("""COMPUTED_VALUE"""),"Новый")</f>
        <v>Новый</v>
      </c>
      <c r="G900" s="68"/>
      <c r="K900" s="68"/>
    </row>
    <row r="901" spans="1:11" ht="12.75">
      <c r="A901" s="69">
        <f ca="1">IFERROR(__xludf.DUMMYFUNCTION("""COMPUTED_VALUE"""),92214)</f>
        <v>92214</v>
      </c>
      <c r="B901" s="4">
        <f ca="1">IFERROR(__xludf.DUMMYFUNCTION("""COMPUTED_VALUE"""),44613)</f>
        <v>44613</v>
      </c>
      <c r="C901" t="str">
        <f ca="1">IFERROR(__xludf.DUMMYFUNCTION("""COMPUTED_VALUE"""),"ЗАО ""ЭКОС"" 115-СТР от 01.01.2022")</f>
        <v>ЗАО "ЭКОС" 115-СТР от 01.01.2022</v>
      </c>
      <c r="D9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1" t="str">
        <f ca="1">IFERROR(__xludf.DUMMYFUNCTION("""COMPUTED_VALUE"""),"Новый")</f>
        <v>Новый</v>
      </c>
      <c r="G901" s="68"/>
      <c r="K901" s="68"/>
    </row>
    <row r="902" spans="1:11" ht="12.75">
      <c r="A902" s="69">
        <f ca="1">IFERROR(__xludf.DUMMYFUNCTION("""COMPUTED_VALUE"""),92215)</f>
        <v>92215</v>
      </c>
      <c r="B902" s="4">
        <f ca="1">IFERROR(__xludf.DUMMYFUNCTION("""COMPUTED_VALUE"""),44613)</f>
        <v>44613</v>
      </c>
      <c r="C902" t="str">
        <f ca="1">IFERROR(__xludf.DUMMYFUNCTION("""COMPUTED_VALUE"""),"ЗАО ""ЭКОС"" 115-СТР от 01.01.2022")</f>
        <v>ЗАО "ЭКОС" 115-СТР от 01.01.2022</v>
      </c>
      <c r="D9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2" t="str">
        <f ca="1">IFERROR(__xludf.DUMMYFUNCTION("""COMPUTED_VALUE"""),"Новый")</f>
        <v>Новый</v>
      </c>
      <c r="G902" s="68"/>
      <c r="K902" s="68"/>
    </row>
    <row r="903" spans="1:11" ht="12.75">
      <c r="A903" s="69">
        <f ca="1">IFERROR(__xludf.DUMMYFUNCTION("""COMPUTED_VALUE"""),92216)</f>
        <v>92216</v>
      </c>
      <c r="B903" s="4">
        <f ca="1">IFERROR(__xludf.DUMMYFUNCTION("""COMPUTED_VALUE"""),44613)</f>
        <v>44613</v>
      </c>
      <c r="C903" t="str">
        <f ca="1">IFERROR(__xludf.DUMMYFUNCTION("""COMPUTED_VALUE"""),"ЗАО ""ЭКОС"" 115-СТР от 01.01.2022")</f>
        <v>ЗАО "ЭКОС" 115-СТР от 01.01.2022</v>
      </c>
      <c r="D9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3" t="str">
        <f ca="1">IFERROR(__xludf.DUMMYFUNCTION("""COMPUTED_VALUE"""),"Новый")</f>
        <v>Новый</v>
      </c>
      <c r="G903" s="68"/>
      <c r="K903" s="68"/>
    </row>
    <row r="904" spans="1:11" ht="12.75">
      <c r="A904" s="69">
        <f ca="1">IFERROR(__xludf.DUMMYFUNCTION("""COMPUTED_VALUE"""),92217)</f>
        <v>92217</v>
      </c>
      <c r="B904" s="4">
        <f ca="1">IFERROR(__xludf.DUMMYFUNCTION("""COMPUTED_VALUE"""),44613)</f>
        <v>44613</v>
      </c>
      <c r="C904" t="str">
        <f ca="1">IFERROR(__xludf.DUMMYFUNCTION("""COMPUTED_VALUE"""),"ЗАО ""ЭКОС"" 115-СТР от 01.01.2022")</f>
        <v>ЗАО "ЭКОС" 115-СТР от 01.01.2022</v>
      </c>
      <c r="D9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4" t="str">
        <f ca="1">IFERROR(__xludf.DUMMYFUNCTION("""COMPUTED_VALUE"""),"Новый")</f>
        <v>Новый</v>
      </c>
      <c r="G904" s="68"/>
      <c r="K904" s="68"/>
    </row>
    <row r="905" spans="1:11" ht="12.75">
      <c r="A905" s="69">
        <f ca="1">IFERROR(__xludf.DUMMYFUNCTION("""COMPUTED_VALUE"""),92218)</f>
        <v>92218</v>
      </c>
      <c r="B905" s="4">
        <f ca="1">IFERROR(__xludf.DUMMYFUNCTION("""COMPUTED_VALUE"""),44613)</f>
        <v>44613</v>
      </c>
      <c r="C905" t="str">
        <f ca="1">IFERROR(__xludf.DUMMYFUNCTION("""COMPUTED_VALUE"""),"ЗАО ""ЭКОС"" 115-СТР от 01.01.2022")</f>
        <v>ЗАО "ЭКОС" 115-СТР от 01.01.2022</v>
      </c>
      <c r="D9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5" t="str">
        <f ca="1">IFERROR(__xludf.DUMMYFUNCTION("""COMPUTED_VALUE"""),"Новый")</f>
        <v>Новый</v>
      </c>
      <c r="G905" s="68"/>
      <c r="K905" s="68"/>
    </row>
    <row r="906" spans="1:11" ht="12.75">
      <c r="A906" s="69">
        <f ca="1">IFERROR(__xludf.DUMMYFUNCTION("""COMPUTED_VALUE"""),92219)</f>
        <v>92219</v>
      </c>
      <c r="B906" s="4">
        <f ca="1">IFERROR(__xludf.DUMMYFUNCTION("""COMPUTED_VALUE"""),44613)</f>
        <v>44613</v>
      </c>
      <c r="C906" t="str">
        <f ca="1">IFERROR(__xludf.DUMMYFUNCTION("""COMPUTED_VALUE"""),"ЗАО ""ЭКОС"" 115-СТР от 01.01.2022")</f>
        <v>ЗАО "ЭКОС" 115-СТР от 01.01.2022</v>
      </c>
      <c r="D9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6" t="str">
        <f ca="1">IFERROR(__xludf.DUMMYFUNCTION("""COMPUTED_VALUE"""),"Новый")</f>
        <v>Новый</v>
      </c>
      <c r="G906" s="68"/>
      <c r="K906" s="68"/>
    </row>
    <row r="907" spans="1:11" ht="12.75">
      <c r="A907" s="69">
        <f ca="1">IFERROR(__xludf.DUMMYFUNCTION("""COMPUTED_VALUE"""),92220)</f>
        <v>92220</v>
      </c>
      <c r="B907" s="4">
        <f ca="1">IFERROR(__xludf.DUMMYFUNCTION("""COMPUTED_VALUE"""),44613)</f>
        <v>44613</v>
      </c>
      <c r="C907" t="str">
        <f ca="1">IFERROR(__xludf.DUMMYFUNCTION("""COMPUTED_VALUE"""),"ЗАО ""ЭКОС"" 115-СТР от 01.01.2022")</f>
        <v>ЗАО "ЭКОС" 115-СТР от 01.01.2022</v>
      </c>
      <c r="D9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7" t="str">
        <f ca="1">IFERROR(__xludf.DUMMYFUNCTION("""COMPUTED_VALUE"""),"Новый")</f>
        <v>Новый</v>
      </c>
      <c r="G907" s="68"/>
      <c r="K907" s="68"/>
    </row>
    <row r="908" spans="1:11" ht="12.75">
      <c r="A908" s="69">
        <f ca="1">IFERROR(__xludf.DUMMYFUNCTION("""COMPUTED_VALUE"""),92221)</f>
        <v>92221</v>
      </c>
      <c r="B908" s="4">
        <f ca="1">IFERROR(__xludf.DUMMYFUNCTION("""COMPUTED_VALUE"""),44613)</f>
        <v>44613</v>
      </c>
      <c r="C908" t="str">
        <f ca="1">IFERROR(__xludf.DUMMYFUNCTION("""COMPUTED_VALUE"""),"ЗАО ""ЭКОС"" 115-СТР от 01.01.2022")</f>
        <v>ЗАО "ЭКОС" 115-СТР от 01.01.2022</v>
      </c>
      <c r="D9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8" t="str">
        <f ca="1">IFERROR(__xludf.DUMMYFUNCTION("""COMPUTED_VALUE"""),"Новый")</f>
        <v>Новый</v>
      </c>
      <c r="G908" s="68"/>
      <c r="K908" s="68"/>
    </row>
    <row r="909" spans="1:11" ht="12.75">
      <c r="A909" s="69">
        <f ca="1">IFERROR(__xludf.DUMMYFUNCTION("""COMPUTED_VALUE"""),92222)</f>
        <v>92222</v>
      </c>
      <c r="B909" s="4">
        <f ca="1">IFERROR(__xludf.DUMMYFUNCTION("""COMPUTED_VALUE"""),44613)</f>
        <v>44613</v>
      </c>
      <c r="C909" t="str">
        <f ca="1">IFERROR(__xludf.DUMMYFUNCTION("""COMPUTED_VALUE"""),"ЗАО ""ЭКОС"" 115-СТР от 01.01.2022")</f>
        <v>ЗАО "ЭКОС" 115-СТР от 01.01.2022</v>
      </c>
      <c r="D9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09" t="str">
        <f ca="1">IFERROR(__xludf.DUMMYFUNCTION("""COMPUTED_VALUE"""),"Новый")</f>
        <v>Новый</v>
      </c>
      <c r="G909" s="68"/>
      <c r="K909" s="68"/>
    </row>
    <row r="910" spans="1:11" ht="12.75">
      <c r="A910" s="69">
        <f ca="1">IFERROR(__xludf.DUMMYFUNCTION("""COMPUTED_VALUE"""),92223)</f>
        <v>92223</v>
      </c>
      <c r="B910" s="4">
        <f ca="1">IFERROR(__xludf.DUMMYFUNCTION("""COMPUTED_VALUE"""),44613)</f>
        <v>44613</v>
      </c>
      <c r="C910" t="str">
        <f ca="1">IFERROR(__xludf.DUMMYFUNCTION("""COMPUTED_VALUE"""),"ЗАО ""ЭКОС"" 115-СТР от 01.01.2022")</f>
        <v>ЗАО "ЭКОС" 115-СТР от 01.01.2022</v>
      </c>
      <c r="D9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0" t="str">
        <f ca="1">IFERROR(__xludf.DUMMYFUNCTION("""COMPUTED_VALUE"""),"Новый")</f>
        <v>Новый</v>
      </c>
      <c r="G910" s="68"/>
      <c r="K910" s="68"/>
    </row>
    <row r="911" spans="1:11" ht="12.75">
      <c r="A911" s="69">
        <f ca="1">IFERROR(__xludf.DUMMYFUNCTION("""COMPUTED_VALUE"""),92224)</f>
        <v>92224</v>
      </c>
      <c r="B911" s="4">
        <f ca="1">IFERROR(__xludf.DUMMYFUNCTION("""COMPUTED_VALUE"""),44613)</f>
        <v>44613</v>
      </c>
      <c r="C911" t="str">
        <f ca="1">IFERROR(__xludf.DUMMYFUNCTION("""COMPUTED_VALUE"""),"ЗАО ""ЭКОС"" 115-СТР от 01.01.2022")</f>
        <v>ЗАО "ЭКОС" 115-СТР от 01.01.2022</v>
      </c>
      <c r="D9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1" t="str">
        <f ca="1">IFERROR(__xludf.DUMMYFUNCTION("""COMPUTED_VALUE"""),"Новый")</f>
        <v>Новый</v>
      </c>
      <c r="G911" s="68"/>
      <c r="K911" s="68"/>
    </row>
    <row r="912" spans="1:11" ht="12.75">
      <c r="A912" s="69">
        <f ca="1">IFERROR(__xludf.DUMMYFUNCTION("""COMPUTED_VALUE"""),92225)</f>
        <v>92225</v>
      </c>
      <c r="B912" s="4">
        <f ca="1">IFERROR(__xludf.DUMMYFUNCTION("""COMPUTED_VALUE"""),44613)</f>
        <v>44613</v>
      </c>
      <c r="C912" t="str">
        <f ca="1">IFERROR(__xludf.DUMMYFUNCTION("""COMPUTED_VALUE"""),"ЗАО ""ЭКОС"" 115-СТР от 01.01.2022")</f>
        <v>ЗАО "ЭКОС" 115-СТР от 01.01.2022</v>
      </c>
      <c r="D9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2" t="str">
        <f ca="1">IFERROR(__xludf.DUMMYFUNCTION("""COMPUTED_VALUE"""),"Новый")</f>
        <v>Новый</v>
      </c>
      <c r="G912" s="68"/>
      <c r="K912" s="68"/>
    </row>
    <row r="913" spans="1:11" ht="12.75">
      <c r="A913" s="69">
        <f ca="1">IFERROR(__xludf.DUMMYFUNCTION("""COMPUTED_VALUE"""),92226)</f>
        <v>92226</v>
      </c>
      <c r="B913" s="4">
        <f ca="1">IFERROR(__xludf.DUMMYFUNCTION("""COMPUTED_VALUE"""),44613)</f>
        <v>44613</v>
      </c>
      <c r="C913" t="str">
        <f ca="1">IFERROR(__xludf.DUMMYFUNCTION("""COMPUTED_VALUE"""),"ЗАО ""ЭКОС"" 115-СТР от 01.01.2022")</f>
        <v>ЗАО "ЭКОС" 115-СТР от 01.01.2022</v>
      </c>
      <c r="D9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3" t="str">
        <f ca="1">IFERROR(__xludf.DUMMYFUNCTION("""COMPUTED_VALUE"""),"Новый")</f>
        <v>Новый</v>
      </c>
      <c r="G913" s="68"/>
      <c r="K913" s="68"/>
    </row>
    <row r="914" spans="1:11" ht="12.75">
      <c r="A914" s="69">
        <f ca="1">IFERROR(__xludf.DUMMYFUNCTION("""COMPUTED_VALUE"""),92227)</f>
        <v>92227</v>
      </c>
      <c r="B914" s="4">
        <f ca="1">IFERROR(__xludf.DUMMYFUNCTION("""COMPUTED_VALUE"""),44613)</f>
        <v>44613</v>
      </c>
      <c r="C914" t="str">
        <f ca="1">IFERROR(__xludf.DUMMYFUNCTION("""COMPUTED_VALUE"""),"ЗАО ""ЭКОС"" 115-СТР от 01.01.2022")</f>
        <v>ЗАО "ЭКОС" 115-СТР от 01.01.2022</v>
      </c>
      <c r="D9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4" t="str">
        <f ca="1">IFERROR(__xludf.DUMMYFUNCTION("""COMPUTED_VALUE"""),"Новый")</f>
        <v>Новый</v>
      </c>
      <c r="G914" s="68"/>
      <c r="K914" s="68"/>
    </row>
    <row r="915" spans="1:11" ht="12.75">
      <c r="A915" s="69">
        <f ca="1">IFERROR(__xludf.DUMMYFUNCTION("""COMPUTED_VALUE"""),92228)</f>
        <v>92228</v>
      </c>
      <c r="B915" s="4">
        <f ca="1">IFERROR(__xludf.DUMMYFUNCTION("""COMPUTED_VALUE"""),44613)</f>
        <v>44613</v>
      </c>
      <c r="C915" t="str">
        <f ca="1">IFERROR(__xludf.DUMMYFUNCTION("""COMPUTED_VALUE"""),"ЗАО ""ЭКОС"" 115-СТР от 01.01.2022")</f>
        <v>ЗАО "ЭКОС" 115-СТР от 01.01.2022</v>
      </c>
      <c r="D9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5" t="str">
        <f ca="1">IFERROR(__xludf.DUMMYFUNCTION("""COMPUTED_VALUE"""),"Новый")</f>
        <v>Новый</v>
      </c>
      <c r="G915" s="68"/>
      <c r="K915" s="68"/>
    </row>
    <row r="916" spans="1:11" ht="12.75">
      <c r="A916" s="69">
        <f ca="1">IFERROR(__xludf.DUMMYFUNCTION("""COMPUTED_VALUE"""),92229)</f>
        <v>92229</v>
      </c>
      <c r="B916" s="4">
        <f ca="1">IFERROR(__xludf.DUMMYFUNCTION("""COMPUTED_VALUE"""),44613)</f>
        <v>44613</v>
      </c>
      <c r="C916" t="str">
        <f ca="1">IFERROR(__xludf.DUMMYFUNCTION("""COMPUTED_VALUE"""),"ЗАО ""ЭКОС"" 115-СТР от 01.01.2022")</f>
        <v>ЗАО "ЭКОС" 115-СТР от 01.01.2022</v>
      </c>
      <c r="D9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6" t="str">
        <f ca="1">IFERROR(__xludf.DUMMYFUNCTION("""COMPUTED_VALUE"""),"Новый")</f>
        <v>Новый</v>
      </c>
      <c r="G916" s="68"/>
      <c r="K916" s="68"/>
    </row>
    <row r="917" spans="1:11" ht="12.75">
      <c r="A917" s="69">
        <f ca="1">IFERROR(__xludf.DUMMYFUNCTION("""COMPUTED_VALUE"""),92230)</f>
        <v>92230</v>
      </c>
      <c r="B917" s="4">
        <f ca="1">IFERROR(__xludf.DUMMYFUNCTION("""COMPUTED_VALUE"""),44613)</f>
        <v>44613</v>
      </c>
      <c r="C917" t="str">
        <f ca="1">IFERROR(__xludf.DUMMYFUNCTION("""COMPUTED_VALUE"""),"ЗАО ""ЭКОС"" 115-СТР от 01.01.2022")</f>
        <v>ЗАО "ЭКОС" 115-СТР от 01.01.2022</v>
      </c>
      <c r="D9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7" t="str">
        <f ca="1">IFERROR(__xludf.DUMMYFUNCTION("""COMPUTED_VALUE"""),"Новый")</f>
        <v>Новый</v>
      </c>
      <c r="G917" s="68"/>
      <c r="K917" s="68"/>
    </row>
    <row r="918" spans="1:11" ht="12.75">
      <c r="A918" s="69">
        <f ca="1">IFERROR(__xludf.DUMMYFUNCTION("""COMPUTED_VALUE"""),92231)</f>
        <v>92231</v>
      </c>
      <c r="B918" s="4">
        <f ca="1">IFERROR(__xludf.DUMMYFUNCTION("""COMPUTED_VALUE"""),44613)</f>
        <v>44613</v>
      </c>
      <c r="C918" t="str">
        <f ca="1">IFERROR(__xludf.DUMMYFUNCTION("""COMPUTED_VALUE"""),"ЗАО ""ЭКОС"" 115-СТР от 01.01.2022")</f>
        <v>ЗАО "ЭКОС" 115-СТР от 01.01.2022</v>
      </c>
      <c r="D9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8" t="str">
        <f ca="1">IFERROR(__xludf.DUMMYFUNCTION("""COMPUTED_VALUE"""),"Новый")</f>
        <v>Новый</v>
      </c>
      <c r="G918" s="68"/>
      <c r="K918" s="68"/>
    </row>
    <row r="919" spans="1:11" ht="12.75">
      <c r="A919" s="69">
        <f ca="1">IFERROR(__xludf.DUMMYFUNCTION("""COMPUTED_VALUE"""),92232)</f>
        <v>92232</v>
      </c>
      <c r="B919" s="4">
        <f ca="1">IFERROR(__xludf.DUMMYFUNCTION("""COMPUTED_VALUE"""),44613)</f>
        <v>44613</v>
      </c>
      <c r="C919" t="str">
        <f ca="1">IFERROR(__xludf.DUMMYFUNCTION("""COMPUTED_VALUE"""),"ЗАО ""ЭКОС"" 115-СТР от 01.01.2022")</f>
        <v>ЗАО "ЭКОС" 115-СТР от 01.01.2022</v>
      </c>
      <c r="D9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19" t="str">
        <f ca="1">IFERROR(__xludf.DUMMYFUNCTION("""COMPUTED_VALUE"""),"Новый")</f>
        <v>Новый</v>
      </c>
      <c r="G919" s="68"/>
      <c r="K919" s="68"/>
    </row>
    <row r="920" spans="1:11" ht="12.75">
      <c r="A920" s="69">
        <f ca="1">IFERROR(__xludf.DUMMYFUNCTION("""COMPUTED_VALUE"""),92233)</f>
        <v>92233</v>
      </c>
      <c r="B920" s="4">
        <f ca="1">IFERROR(__xludf.DUMMYFUNCTION("""COMPUTED_VALUE"""),44613)</f>
        <v>44613</v>
      </c>
      <c r="C920" t="str">
        <f ca="1">IFERROR(__xludf.DUMMYFUNCTION("""COMPUTED_VALUE"""),"ЗАО ""ЭКОС"" 115-СТР от 01.01.2022")</f>
        <v>ЗАО "ЭКОС" 115-СТР от 01.01.2022</v>
      </c>
      <c r="D9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0" t="str">
        <f ca="1">IFERROR(__xludf.DUMMYFUNCTION("""COMPUTED_VALUE"""),"Новый")</f>
        <v>Новый</v>
      </c>
      <c r="G920" s="68"/>
      <c r="K920" s="68"/>
    </row>
    <row r="921" spans="1:11" ht="12.75">
      <c r="A921" s="69">
        <f ca="1">IFERROR(__xludf.DUMMYFUNCTION("""COMPUTED_VALUE"""),92234)</f>
        <v>92234</v>
      </c>
      <c r="B921" s="4">
        <f ca="1">IFERROR(__xludf.DUMMYFUNCTION("""COMPUTED_VALUE"""),44613)</f>
        <v>44613</v>
      </c>
      <c r="C921" t="str">
        <f ca="1">IFERROR(__xludf.DUMMYFUNCTION("""COMPUTED_VALUE"""),"ЗАО ""ЭКОС"" 115-СТР от 01.01.2022")</f>
        <v>ЗАО "ЭКОС" 115-СТР от 01.01.2022</v>
      </c>
      <c r="D9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1" t="str">
        <f ca="1">IFERROR(__xludf.DUMMYFUNCTION("""COMPUTED_VALUE"""),"Новый")</f>
        <v>Новый</v>
      </c>
      <c r="G921" s="68"/>
      <c r="K921" s="68"/>
    </row>
    <row r="922" spans="1:11" ht="12.75">
      <c r="A922" s="69">
        <f ca="1">IFERROR(__xludf.DUMMYFUNCTION("""COMPUTED_VALUE"""),92235)</f>
        <v>92235</v>
      </c>
      <c r="B922" s="4">
        <f ca="1">IFERROR(__xludf.DUMMYFUNCTION("""COMPUTED_VALUE"""),44613)</f>
        <v>44613</v>
      </c>
      <c r="C922" t="str">
        <f ca="1">IFERROR(__xludf.DUMMYFUNCTION("""COMPUTED_VALUE"""),"ЗАО ""ЭКОС"" 115-СТР от 01.01.2022")</f>
        <v>ЗАО "ЭКОС" 115-СТР от 01.01.2022</v>
      </c>
      <c r="D9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2" t="str">
        <f ca="1">IFERROR(__xludf.DUMMYFUNCTION("""COMPUTED_VALUE"""),"Новый")</f>
        <v>Новый</v>
      </c>
      <c r="G922" s="68"/>
      <c r="K922" s="68"/>
    </row>
    <row r="923" spans="1:11" ht="12.75">
      <c r="A923" s="69">
        <f ca="1">IFERROR(__xludf.DUMMYFUNCTION("""COMPUTED_VALUE"""),92236)</f>
        <v>92236</v>
      </c>
      <c r="B923" s="4">
        <f ca="1">IFERROR(__xludf.DUMMYFUNCTION("""COMPUTED_VALUE"""),44613)</f>
        <v>44613</v>
      </c>
      <c r="C923" t="str">
        <f ca="1">IFERROR(__xludf.DUMMYFUNCTION("""COMPUTED_VALUE"""),"ЗАО ""ЭКОС"" 115-СТР от 01.01.2022")</f>
        <v>ЗАО "ЭКОС" 115-СТР от 01.01.2022</v>
      </c>
      <c r="D9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3" t="str">
        <f ca="1">IFERROR(__xludf.DUMMYFUNCTION("""COMPUTED_VALUE"""),"Новый")</f>
        <v>Новый</v>
      </c>
      <c r="G923" s="68"/>
      <c r="K923" s="68"/>
    </row>
    <row r="924" spans="1:11" ht="12.75">
      <c r="A924" s="69">
        <f ca="1">IFERROR(__xludf.DUMMYFUNCTION("""COMPUTED_VALUE"""),92237)</f>
        <v>92237</v>
      </c>
      <c r="B924" s="4">
        <f ca="1">IFERROR(__xludf.DUMMYFUNCTION("""COMPUTED_VALUE"""),44613)</f>
        <v>44613</v>
      </c>
      <c r="C924" t="str">
        <f ca="1">IFERROR(__xludf.DUMMYFUNCTION("""COMPUTED_VALUE"""),"ЗАО ""ЭКОС"" 115-СТР от 01.01.2022")</f>
        <v>ЗАО "ЭКОС" 115-СТР от 01.01.2022</v>
      </c>
      <c r="D9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4" t="str">
        <f ca="1">IFERROR(__xludf.DUMMYFUNCTION("""COMPUTED_VALUE"""),"Новый")</f>
        <v>Новый</v>
      </c>
      <c r="G924" s="68"/>
      <c r="K924" s="68"/>
    </row>
    <row r="925" spans="1:11" ht="12.75">
      <c r="A925" s="69">
        <f ca="1">IFERROR(__xludf.DUMMYFUNCTION("""COMPUTED_VALUE"""),92238)</f>
        <v>92238</v>
      </c>
      <c r="B925" s="4">
        <f ca="1">IFERROR(__xludf.DUMMYFUNCTION("""COMPUTED_VALUE"""),44613)</f>
        <v>44613</v>
      </c>
      <c r="C925" t="str">
        <f ca="1">IFERROR(__xludf.DUMMYFUNCTION("""COMPUTED_VALUE"""),"ЗАО ""ЭКОС"" 115-СТР от 01.01.2022")</f>
        <v>ЗАО "ЭКОС" 115-СТР от 01.01.2022</v>
      </c>
      <c r="D9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5" t="str">
        <f ca="1">IFERROR(__xludf.DUMMYFUNCTION("""COMPUTED_VALUE"""),"Новый")</f>
        <v>Новый</v>
      </c>
      <c r="G925" s="68"/>
      <c r="K925" s="68"/>
    </row>
    <row r="926" spans="1:11" ht="12.75">
      <c r="A926" s="69">
        <f ca="1">IFERROR(__xludf.DUMMYFUNCTION("""COMPUTED_VALUE"""),92239)</f>
        <v>92239</v>
      </c>
      <c r="B926" s="4">
        <f ca="1">IFERROR(__xludf.DUMMYFUNCTION("""COMPUTED_VALUE"""),44613)</f>
        <v>44613</v>
      </c>
      <c r="C926" t="str">
        <f ca="1">IFERROR(__xludf.DUMMYFUNCTION("""COMPUTED_VALUE"""),"ЗАО ""ЭКОС"" 115-СТР от 01.01.2022")</f>
        <v>ЗАО "ЭКОС" 115-СТР от 01.01.2022</v>
      </c>
      <c r="D9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6" t="str">
        <f ca="1">IFERROR(__xludf.DUMMYFUNCTION("""COMPUTED_VALUE"""),"Новый")</f>
        <v>Новый</v>
      </c>
      <c r="G926" s="68"/>
      <c r="K926" s="68"/>
    </row>
    <row r="927" spans="1:11" ht="12.75">
      <c r="A927" s="69">
        <f ca="1">IFERROR(__xludf.DUMMYFUNCTION("""COMPUTED_VALUE"""),92240)</f>
        <v>92240</v>
      </c>
      <c r="B927" s="4">
        <f ca="1">IFERROR(__xludf.DUMMYFUNCTION("""COMPUTED_VALUE"""),44613)</f>
        <v>44613</v>
      </c>
      <c r="C927" t="str">
        <f ca="1">IFERROR(__xludf.DUMMYFUNCTION("""COMPUTED_VALUE"""),"ЗАО ""ЭКОС"" 115-СТР от 01.01.2022")</f>
        <v>ЗАО "ЭКОС" 115-СТР от 01.01.2022</v>
      </c>
      <c r="D9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7" t="str">
        <f ca="1">IFERROR(__xludf.DUMMYFUNCTION("""COMPUTED_VALUE"""),"Новый")</f>
        <v>Новый</v>
      </c>
      <c r="G927" s="68"/>
      <c r="K927" s="68"/>
    </row>
    <row r="928" spans="1:11" ht="12.75">
      <c r="A928" s="69">
        <f ca="1">IFERROR(__xludf.DUMMYFUNCTION("""COMPUTED_VALUE"""),92241)</f>
        <v>92241</v>
      </c>
      <c r="B928" s="4">
        <f ca="1">IFERROR(__xludf.DUMMYFUNCTION("""COMPUTED_VALUE"""),44613)</f>
        <v>44613</v>
      </c>
      <c r="C928" t="str">
        <f ca="1">IFERROR(__xludf.DUMMYFUNCTION("""COMPUTED_VALUE"""),"ЗАО ""ЭКОС"" 115-СТР от 01.01.2022")</f>
        <v>ЗАО "ЭКОС" 115-СТР от 01.01.2022</v>
      </c>
      <c r="D9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8" t="str">
        <f ca="1">IFERROR(__xludf.DUMMYFUNCTION("""COMPUTED_VALUE"""),"Новый")</f>
        <v>Новый</v>
      </c>
      <c r="G928" s="68"/>
      <c r="K928" s="68"/>
    </row>
    <row r="929" spans="1:11" ht="12.75">
      <c r="A929" s="69">
        <f ca="1">IFERROR(__xludf.DUMMYFUNCTION("""COMPUTED_VALUE"""),92242)</f>
        <v>92242</v>
      </c>
      <c r="B929" s="4">
        <f ca="1">IFERROR(__xludf.DUMMYFUNCTION("""COMPUTED_VALUE"""),44613)</f>
        <v>44613</v>
      </c>
      <c r="C929" t="str">
        <f ca="1">IFERROR(__xludf.DUMMYFUNCTION("""COMPUTED_VALUE"""),"ЗАО ""ЭКОС"" 115-СТР от 01.01.2022")</f>
        <v>ЗАО "ЭКОС" 115-СТР от 01.01.2022</v>
      </c>
      <c r="D9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29" t="str">
        <f ca="1">IFERROR(__xludf.DUMMYFUNCTION("""COMPUTED_VALUE"""),"Новый")</f>
        <v>Новый</v>
      </c>
      <c r="G929" s="68"/>
      <c r="K929" s="68"/>
    </row>
    <row r="930" spans="1:11" ht="12.75">
      <c r="A930" s="69">
        <f ca="1">IFERROR(__xludf.DUMMYFUNCTION("""COMPUTED_VALUE"""),92243)</f>
        <v>92243</v>
      </c>
      <c r="B930" s="4">
        <f ca="1">IFERROR(__xludf.DUMMYFUNCTION("""COMPUTED_VALUE"""),44613)</f>
        <v>44613</v>
      </c>
      <c r="C930" t="str">
        <f ca="1">IFERROR(__xludf.DUMMYFUNCTION("""COMPUTED_VALUE"""),"ЗАО ""ЭКОС"" 115-СТР от 01.01.2022")</f>
        <v>ЗАО "ЭКОС" 115-СТР от 01.01.2022</v>
      </c>
      <c r="D9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0" t="str">
        <f ca="1">IFERROR(__xludf.DUMMYFUNCTION("""COMPUTED_VALUE"""),"Новый")</f>
        <v>Новый</v>
      </c>
      <c r="G930" s="68"/>
      <c r="K930" s="68"/>
    </row>
    <row r="931" spans="1:11" ht="12.75">
      <c r="A931" s="69">
        <f ca="1">IFERROR(__xludf.DUMMYFUNCTION("""COMPUTED_VALUE"""),92244)</f>
        <v>92244</v>
      </c>
      <c r="B931" s="4">
        <f ca="1">IFERROR(__xludf.DUMMYFUNCTION("""COMPUTED_VALUE"""),44613)</f>
        <v>44613</v>
      </c>
      <c r="C931" t="str">
        <f ca="1">IFERROR(__xludf.DUMMYFUNCTION("""COMPUTED_VALUE"""),"ЗАО ""ЭКОС"" 115-СТР от 01.01.2022")</f>
        <v>ЗАО "ЭКОС" 115-СТР от 01.01.2022</v>
      </c>
      <c r="D9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1" t="str">
        <f ca="1">IFERROR(__xludf.DUMMYFUNCTION("""COMPUTED_VALUE"""),"Новый")</f>
        <v>Новый</v>
      </c>
      <c r="G931" s="68"/>
      <c r="K931" s="68"/>
    </row>
    <row r="932" spans="1:11" ht="12.75">
      <c r="A932" s="69">
        <f ca="1">IFERROR(__xludf.DUMMYFUNCTION("""COMPUTED_VALUE"""),92245)</f>
        <v>92245</v>
      </c>
      <c r="B932" s="4">
        <f ca="1">IFERROR(__xludf.DUMMYFUNCTION("""COMPUTED_VALUE"""),44613)</f>
        <v>44613</v>
      </c>
      <c r="C932" t="str">
        <f ca="1">IFERROR(__xludf.DUMMYFUNCTION("""COMPUTED_VALUE"""),"ЗАО ""ЭКОС"" 115-СТР от 01.01.2022")</f>
        <v>ЗАО "ЭКОС" 115-СТР от 01.01.2022</v>
      </c>
      <c r="D9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2" t="str">
        <f ca="1">IFERROR(__xludf.DUMMYFUNCTION("""COMPUTED_VALUE"""),"Новый")</f>
        <v>Новый</v>
      </c>
      <c r="G932" s="68"/>
      <c r="K932" s="68"/>
    </row>
    <row r="933" spans="1:11" ht="12.75">
      <c r="A933" s="69">
        <f ca="1">IFERROR(__xludf.DUMMYFUNCTION("""COMPUTED_VALUE"""),92246)</f>
        <v>92246</v>
      </c>
      <c r="B933" s="4">
        <f ca="1">IFERROR(__xludf.DUMMYFUNCTION("""COMPUTED_VALUE"""),44613)</f>
        <v>44613</v>
      </c>
      <c r="C933" t="str">
        <f ca="1">IFERROR(__xludf.DUMMYFUNCTION("""COMPUTED_VALUE"""),"ЗАО ""ЭКОС"" 115-СТР от 01.01.2022")</f>
        <v>ЗАО "ЭКОС" 115-СТР от 01.01.2022</v>
      </c>
      <c r="D9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3" t="str">
        <f ca="1">IFERROR(__xludf.DUMMYFUNCTION("""COMPUTED_VALUE"""),"Новый")</f>
        <v>Новый</v>
      </c>
      <c r="G933" s="68"/>
      <c r="K933" s="68"/>
    </row>
    <row r="934" spans="1:11" ht="12.75">
      <c r="A934" s="69">
        <f ca="1">IFERROR(__xludf.DUMMYFUNCTION("""COMPUTED_VALUE"""),92247)</f>
        <v>92247</v>
      </c>
      <c r="B934" s="4">
        <f ca="1">IFERROR(__xludf.DUMMYFUNCTION("""COMPUTED_VALUE"""),44613)</f>
        <v>44613</v>
      </c>
      <c r="C934" t="str">
        <f ca="1">IFERROR(__xludf.DUMMYFUNCTION("""COMPUTED_VALUE"""),"ЗАО ""ЭКОС"" 115-СТР от 01.01.2022")</f>
        <v>ЗАО "ЭКОС" 115-СТР от 01.01.2022</v>
      </c>
      <c r="D9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4" t="str">
        <f ca="1">IFERROR(__xludf.DUMMYFUNCTION("""COMPUTED_VALUE"""),"Новый")</f>
        <v>Новый</v>
      </c>
      <c r="G934" s="68"/>
      <c r="K934" s="68"/>
    </row>
    <row r="935" spans="1:11" ht="12.75">
      <c r="A935" s="69">
        <f ca="1">IFERROR(__xludf.DUMMYFUNCTION("""COMPUTED_VALUE"""),92248)</f>
        <v>92248</v>
      </c>
      <c r="B935" s="4">
        <f ca="1">IFERROR(__xludf.DUMMYFUNCTION("""COMPUTED_VALUE"""),44613)</f>
        <v>44613</v>
      </c>
      <c r="C935" t="str">
        <f ca="1">IFERROR(__xludf.DUMMYFUNCTION("""COMPUTED_VALUE"""),"ЗАО ""ЭКОС"" 115-СТР от 01.01.2022")</f>
        <v>ЗАО "ЭКОС" 115-СТР от 01.01.2022</v>
      </c>
      <c r="D9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5" t="str">
        <f ca="1">IFERROR(__xludf.DUMMYFUNCTION("""COMPUTED_VALUE"""),"Новый")</f>
        <v>Новый</v>
      </c>
      <c r="G935" s="68"/>
      <c r="K935" s="68"/>
    </row>
    <row r="936" spans="1:11" ht="12.75">
      <c r="A936" s="69">
        <f ca="1">IFERROR(__xludf.DUMMYFUNCTION("""COMPUTED_VALUE"""),92249)</f>
        <v>92249</v>
      </c>
      <c r="B936" s="4">
        <f ca="1">IFERROR(__xludf.DUMMYFUNCTION("""COMPUTED_VALUE"""),44613)</f>
        <v>44613</v>
      </c>
      <c r="C936" t="str">
        <f ca="1">IFERROR(__xludf.DUMMYFUNCTION("""COMPUTED_VALUE"""),"ЗАО ""ЭКОС"" 115-СТР от 01.01.2022")</f>
        <v>ЗАО "ЭКОС" 115-СТР от 01.01.2022</v>
      </c>
      <c r="D9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6" t="str">
        <f ca="1">IFERROR(__xludf.DUMMYFUNCTION("""COMPUTED_VALUE"""),"Новый")</f>
        <v>Новый</v>
      </c>
      <c r="G936" s="68"/>
      <c r="K936" s="68"/>
    </row>
    <row r="937" spans="1:11" ht="12.75">
      <c r="A937" s="69">
        <f ca="1">IFERROR(__xludf.DUMMYFUNCTION("""COMPUTED_VALUE"""),92250)</f>
        <v>92250</v>
      </c>
      <c r="B937" s="4">
        <f ca="1">IFERROR(__xludf.DUMMYFUNCTION("""COMPUTED_VALUE"""),44613)</f>
        <v>44613</v>
      </c>
      <c r="C937" t="str">
        <f ca="1">IFERROR(__xludf.DUMMYFUNCTION("""COMPUTED_VALUE"""),"ЗАО ""ЭКОС"" 115-СТР от 01.01.2022")</f>
        <v>ЗАО "ЭКОС" 115-СТР от 01.01.2022</v>
      </c>
      <c r="D9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7" t="str">
        <f ca="1">IFERROR(__xludf.DUMMYFUNCTION("""COMPUTED_VALUE"""),"Новый")</f>
        <v>Новый</v>
      </c>
      <c r="G937" s="68"/>
      <c r="K937" s="68"/>
    </row>
    <row r="938" spans="1:11" ht="12.75">
      <c r="A938" s="69">
        <f ca="1">IFERROR(__xludf.DUMMYFUNCTION("""COMPUTED_VALUE"""),92251)</f>
        <v>92251</v>
      </c>
      <c r="B938" s="4">
        <f ca="1">IFERROR(__xludf.DUMMYFUNCTION("""COMPUTED_VALUE"""),44613)</f>
        <v>44613</v>
      </c>
      <c r="C938" t="str">
        <f ca="1">IFERROR(__xludf.DUMMYFUNCTION("""COMPUTED_VALUE"""),"ЗАО ""ЭКОС"" 115-СТР от 01.01.2022")</f>
        <v>ЗАО "ЭКОС" 115-СТР от 01.01.2022</v>
      </c>
      <c r="D9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8" t="str">
        <f ca="1">IFERROR(__xludf.DUMMYFUNCTION("""COMPUTED_VALUE"""),"Новый")</f>
        <v>Новый</v>
      </c>
      <c r="G938" s="68"/>
      <c r="K938" s="68"/>
    </row>
    <row r="939" spans="1:11" ht="12.75">
      <c r="A939" s="69">
        <f ca="1">IFERROR(__xludf.DUMMYFUNCTION("""COMPUTED_VALUE"""),92252)</f>
        <v>92252</v>
      </c>
      <c r="B939" s="4">
        <f ca="1">IFERROR(__xludf.DUMMYFUNCTION("""COMPUTED_VALUE"""),44613)</f>
        <v>44613</v>
      </c>
      <c r="C939" t="str">
        <f ca="1">IFERROR(__xludf.DUMMYFUNCTION("""COMPUTED_VALUE"""),"ЗАО ""ЭКОС"" 115-СТР от 01.01.2022")</f>
        <v>ЗАО "ЭКОС" 115-СТР от 01.01.2022</v>
      </c>
      <c r="D9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39" t="str">
        <f ca="1">IFERROR(__xludf.DUMMYFUNCTION("""COMPUTED_VALUE"""),"Новый")</f>
        <v>Новый</v>
      </c>
      <c r="G939" s="68"/>
      <c r="K939" s="68"/>
    </row>
    <row r="940" spans="1:11" ht="12.75">
      <c r="A940" s="69">
        <f ca="1">IFERROR(__xludf.DUMMYFUNCTION("""COMPUTED_VALUE"""),92253)</f>
        <v>92253</v>
      </c>
      <c r="B940" s="4">
        <f ca="1">IFERROR(__xludf.DUMMYFUNCTION("""COMPUTED_VALUE"""),44613)</f>
        <v>44613</v>
      </c>
      <c r="C940" t="str">
        <f ca="1">IFERROR(__xludf.DUMMYFUNCTION("""COMPUTED_VALUE"""),"ЗАО ""ЭКОС"" 115-СТР от 01.01.2022")</f>
        <v>ЗАО "ЭКОС" 115-СТР от 01.01.2022</v>
      </c>
      <c r="D9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0" t="str">
        <f ca="1">IFERROR(__xludf.DUMMYFUNCTION("""COMPUTED_VALUE"""),"Новый")</f>
        <v>Новый</v>
      </c>
      <c r="G940" s="68"/>
      <c r="K940" s="68"/>
    </row>
    <row r="941" spans="1:11" ht="12.75">
      <c r="A941" s="69">
        <f ca="1">IFERROR(__xludf.DUMMYFUNCTION("""COMPUTED_VALUE"""),92254)</f>
        <v>92254</v>
      </c>
      <c r="B941" s="4">
        <f ca="1">IFERROR(__xludf.DUMMYFUNCTION("""COMPUTED_VALUE"""),44613)</f>
        <v>44613</v>
      </c>
      <c r="C941" t="str">
        <f ca="1">IFERROR(__xludf.DUMMYFUNCTION("""COMPUTED_VALUE"""),"ЗАО ""ЭКОС"" 115-СТР от 01.01.2022")</f>
        <v>ЗАО "ЭКОС" 115-СТР от 01.01.2022</v>
      </c>
      <c r="D9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1" t="str">
        <f ca="1">IFERROR(__xludf.DUMMYFUNCTION("""COMPUTED_VALUE"""),"Новый")</f>
        <v>Новый</v>
      </c>
      <c r="G941" s="68"/>
      <c r="K941" s="68"/>
    </row>
    <row r="942" spans="1:11" ht="12.75">
      <c r="A942" s="69">
        <f ca="1">IFERROR(__xludf.DUMMYFUNCTION("""COMPUTED_VALUE"""),92255)</f>
        <v>92255</v>
      </c>
      <c r="B942" s="4">
        <f ca="1">IFERROR(__xludf.DUMMYFUNCTION("""COMPUTED_VALUE"""),44613)</f>
        <v>44613</v>
      </c>
      <c r="C942" t="str">
        <f ca="1">IFERROR(__xludf.DUMMYFUNCTION("""COMPUTED_VALUE"""),"ЗАО ""ЭКОС"" 115-СТР от 01.01.2022")</f>
        <v>ЗАО "ЭКОС" 115-СТР от 01.01.2022</v>
      </c>
      <c r="D9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2" t="str">
        <f ca="1">IFERROR(__xludf.DUMMYFUNCTION("""COMPUTED_VALUE"""),"Новый")</f>
        <v>Новый</v>
      </c>
      <c r="G942" s="68"/>
      <c r="K942" s="68"/>
    </row>
    <row r="943" spans="1:11" ht="12.75">
      <c r="A943" s="69">
        <f ca="1">IFERROR(__xludf.DUMMYFUNCTION("""COMPUTED_VALUE"""),92256)</f>
        <v>92256</v>
      </c>
      <c r="B943" s="4">
        <f ca="1">IFERROR(__xludf.DUMMYFUNCTION("""COMPUTED_VALUE"""),44613)</f>
        <v>44613</v>
      </c>
      <c r="C943" t="str">
        <f ca="1">IFERROR(__xludf.DUMMYFUNCTION("""COMPUTED_VALUE"""),"ЗАО ""ЭКОС"" 115-СТР от 01.01.2022")</f>
        <v>ЗАО "ЭКОС" 115-СТР от 01.01.2022</v>
      </c>
      <c r="D9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3" t="str">
        <f ca="1">IFERROR(__xludf.DUMMYFUNCTION("""COMPUTED_VALUE"""),"Новый")</f>
        <v>Новый</v>
      </c>
      <c r="G943" s="68"/>
      <c r="K943" s="68"/>
    </row>
    <row r="944" spans="1:11" ht="12.75">
      <c r="A944" s="69">
        <f ca="1">IFERROR(__xludf.DUMMYFUNCTION("""COMPUTED_VALUE"""),92257)</f>
        <v>92257</v>
      </c>
      <c r="B944" s="4">
        <f ca="1">IFERROR(__xludf.DUMMYFUNCTION("""COMPUTED_VALUE"""),44613)</f>
        <v>44613</v>
      </c>
      <c r="C944" t="str">
        <f ca="1">IFERROR(__xludf.DUMMYFUNCTION("""COMPUTED_VALUE"""),"ЗАО ""ЭКОС"" 115-СТР от 01.01.2022")</f>
        <v>ЗАО "ЭКОС" 115-СТР от 01.01.2022</v>
      </c>
      <c r="D9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4" t="str">
        <f ca="1">IFERROR(__xludf.DUMMYFUNCTION("""COMPUTED_VALUE"""),"Новый")</f>
        <v>Новый</v>
      </c>
      <c r="G944" s="68"/>
      <c r="K944" s="68"/>
    </row>
    <row r="945" spans="1:11" ht="12.75">
      <c r="A945" s="69">
        <f ca="1">IFERROR(__xludf.DUMMYFUNCTION("""COMPUTED_VALUE"""),92258)</f>
        <v>92258</v>
      </c>
      <c r="B945" s="4">
        <f ca="1">IFERROR(__xludf.DUMMYFUNCTION("""COMPUTED_VALUE"""),44613)</f>
        <v>44613</v>
      </c>
      <c r="C945" t="str">
        <f ca="1">IFERROR(__xludf.DUMMYFUNCTION("""COMPUTED_VALUE"""),"ЗАО ""ЭКОС"" 115-СТР от 01.01.2022")</f>
        <v>ЗАО "ЭКОС" 115-СТР от 01.01.2022</v>
      </c>
      <c r="D9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5" t="str">
        <f ca="1">IFERROR(__xludf.DUMMYFUNCTION("""COMPUTED_VALUE"""),"Новый")</f>
        <v>Новый</v>
      </c>
      <c r="G945" s="68"/>
      <c r="K945" s="68"/>
    </row>
    <row r="946" spans="1:11" ht="12.75">
      <c r="A946" s="69">
        <f ca="1">IFERROR(__xludf.DUMMYFUNCTION("""COMPUTED_VALUE"""),92259)</f>
        <v>92259</v>
      </c>
      <c r="B946" s="4">
        <f ca="1">IFERROR(__xludf.DUMMYFUNCTION("""COMPUTED_VALUE"""),44613)</f>
        <v>44613</v>
      </c>
      <c r="C946" t="str">
        <f ca="1">IFERROR(__xludf.DUMMYFUNCTION("""COMPUTED_VALUE"""),"ЗАО ""ЭКОС"" 115-СТР от 01.01.2022")</f>
        <v>ЗАО "ЭКОС" 115-СТР от 01.01.2022</v>
      </c>
      <c r="D9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6" t="str">
        <f ca="1">IFERROR(__xludf.DUMMYFUNCTION("""COMPUTED_VALUE"""),"Новый")</f>
        <v>Новый</v>
      </c>
      <c r="G946" s="68"/>
      <c r="K946" s="68"/>
    </row>
    <row r="947" spans="1:11" ht="12.75">
      <c r="A947" s="69">
        <f ca="1">IFERROR(__xludf.DUMMYFUNCTION("""COMPUTED_VALUE"""),92260)</f>
        <v>92260</v>
      </c>
      <c r="B947" s="4">
        <f ca="1">IFERROR(__xludf.DUMMYFUNCTION("""COMPUTED_VALUE"""),44613)</f>
        <v>44613</v>
      </c>
      <c r="C947" t="str">
        <f ca="1">IFERROR(__xludf.DUMMYFUNCTION("""COMPUTED_VALUE"""),"ЗАО ""ЭКОС"" 115-СТР от 01.01.2022")</f>
        <v>ЗАО "ЭКОС" 115-СТР от 01.01.2022</v>
      </c>
      <c r="D9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7" t="str">
        <f ca="1">IFERROR(__xludf.DUMMYFUNCTION("""COMPUTED_VALUE"""),"Новый")</f>
        <v>Новый</v>
      </c>
      <c r="G947" s="68"/>
      <c r="K947" s="68"/>
    </row>
    <row r="948" spans="1:11" ht="12.75">
      <c r="A948" s="69">
        <f ca="1">IFERROR(__xludf.DUMMYFUNCTION("""COMPUTED_VALUE"""),92272)</f>
        <v>92272</v>
      </c>
      <c r="B948" s="4">
        <f ca="1">IFERROR(__xludf.DUMMYFUNCTION("""COMPUTED_VALUE"""),44613)</f>
        <v>44613</v>
      </c>
      <c r="C948" t="str">
        <f ca="1">IFERROR(__xludf.DUMMYFUNCTION("""COMPUTED_VALUE"""),"ЗАО ""ЭКОС"" 115-СТР от 01.01.2022")</f>
        <v>ЗАО "ЭКОС" 115-СТР от 01.01.2022</v>
      </c>
      <c r="D9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8" t="str">
        <f ca="1">IFERROR(__xludf.DUMMYFUNCTION("""COMPUTED_VALUE"""),"Новый")</f>
        <v>Новый</v>
      </c>
      <c r="G948" s="68"/>
      <c r="K948" s="68"/>
    </row>
    <row r="949" spans="1:11" ht="12.75">
      <c r="A949" s="69">
        <f ca="1">IFERROR(__xludf.DUMMYFUNCTION("""COMPUTED_VALUE"""),92273)</f>
        <v>92273</v>
      </c>
      <c r="B949" s="4">
        <f ca="1">IFERROR(__xludf.DUMMYFUNCTION("""COMPUTED_VALUE"""),44613)</f>
        <v>44613</v>
      </c>
      <c r="C949" t="str">
        <f ca="1">IFERROR(__xludf.DUMMYFUNCTION("""COMPUTED_VALUE"""),"ЗАО ""ЭКОС"" 115-СТР от 01.01.2022")</f>
        <v>ЗАО "ЭКОС" 115-СТР от 01.01.2022</v>
      </c>
      <c r="D9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49" t="str">
        <f ca="1">IFERROR(__xludf.DUMMYFUNCTION("""COMPUTED_VALUE"""),"Новый")</f>
        <v>Новый</v>
      </c>
      <c r="G949" s="68"/>
      <c r="K949" s="68"/>
    </row>
    <row r="950" spans="1:11" ht="12.75">
      <c r="A950" s="69">
        <f ca="1">IFERROR(__xludf.DUMMYFUNCTION("""COMPUTED_VALUE"""),92274)</f>
        <v>92274</v>
      </c>
      <c r="B950" s="4">
        <f ca="1">IFERROR(__xludf.DUMMYFUNCTION("""COMPUTED_VALUE"""),44613)</f>
        <v>44613</v>
      </c>
      <c r="C950" t="str">
        <f ca="1">IFERROR(__xludf.DUMMYFUNCTION("""COMPUTED_VALUE"""),"ЗАО ""ЭКОС"" 115-СТР от 01.01.2022")</f>
        <v>ЗАО "ЭКОС" 115-СТР от 01.01.2022</v>
      </c>
      <c r="D9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0" t="str">
        <f ca="1">IFERROR(__xludf.DUMMYFUNCTION("""COMPUTED_VALUE"""),"Новый")</f>
        <v>Новый</v>
      </c>
      <c r="G950" s="68"/>
      <c r="K950" s="68"/>
    </row>
    <row r="951" spans="1:11" ht="12.75">
      <c r="A951" s="69">
        <f ca="1">IFERROR(__xludf.DUMMYFUNCTION("""COMPUTED_VALUE"""),92275)</f>
        <v>92275</v>
      </c>
      <c r="B951" s="4">
        <f ca="1">IFERROR(__xludf.DUMMYFUNCTION("""COMPUTED_VALUE"""),44613)</f>
        <v>44613</v>
      </c>
      <c r="C951" t="str">
        <f ca="1">IFERROR(__xludf.DUMMYFUNCTION("""COMPUTED_VALUE"""),"ЗАО ""ЭКОС"" 115-СТР от 01.01.2022")</f>
        <v>ЗАО "ЭКОС" 115-СТР от 01.01.2022</v>
      </c>
      <c r="D9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1" t="str">
        <f ca="1">IFERROR(__xludf.DUMMYFUNCTION("""COMPUTED_VALUE"""),"Новый")</f>
        <v>Новый</v>
      </c>
      <c r="G951" s="68"/>
      <c r="K951" s="68"/>
    </row>
    <row r="952" spans="1:11" ht="12.75">
      <c r="A952" s="69">
        <f ca="1">IFERROR(__xludf.DUMMYFUNCTION("""COMPUTED_VALUE"""),92276)</f>
        <v>92276</v>
      </c>
      <c r="B952" s="4">
        <f ca="1">IFERROR(__xludf.DUMMYFUNCTION("""COMPUTED_VALUE"""),44613)</f>
        <v>44613</v>
      </c>
      <c r="C952" t="str">
        <f ca="1">IFERROR(__xludf.DUMMYFUNCTION("""COMPUTED_VALUE"""),"ЗАО ""ЭКОС"" 115-СТР от 01.01.2022")</f>
        <v>ЗАО "ЭКОС" 115-СТР от 01.01.2022</v>
      </c>
      <c r="D9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2" t="str">
        <f ca="1">IFERROR(__xludf.DUMMYFUNCTION("""COMPUTED_VALUE"""),"Новый")</f>
        <v>Новый</v>
      </c>
      <c r="G952" s="68"/>
      <c r="K952" s="68"/>
    </row>
    <row r="953" spans="1:11" ht="12.75">
      <c r="A953" s="69">
        <f ca="1">IFERROR(__xludf.DUMMYFUNCTION("""COMPUTED_VALUE"""),92277)</f>
        <v>92277</v>
      </c>
      <c r="B953" s="4">
        <f ca="1">IFERROR(__xludf.DUMMYFUNCTION("""COMPUTED_VALUE"""),44613)</f>
        <v>44613</v>
      </c>
      <c r="C953" t="str">
        <f ca="1">IFERROR(__xludf.DUMMYFUNCTION("""COMPUTED_VALUE"""),"ЗАО ""ЭКОС"" 115-СТР от 01.01.2022")</f>
        <v>ЗАО "ЭКОС" 115-СТР от 01.01.2022</v>
      </c>
      <c r="D9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3" t="str">
        <f ca="1">IFERROR(__xludf.DUMMYFUNCTION("""COMPUTED_VALUE"""),"Новый")</f>
        <v>Новый</v>
      </c>
      <c r="G953" s="68"/>
      <c r="K953" s="68"/>
    </row>
    <row r="954" spans="1:11" ht="12.75">
      <c r="A954" s="69">
        <f ca="1">IFERROR(__xludf.DUMMYFUNCTION("""COMPUTED_VALUE"""),92278)</f>
        <v>92278</v>
      </c>
      <c r="B954" s="4">
        <f ca="1">IFERROR(__xludf.DUMMYFUNCTION("""COMPUTED_VALUE"""),44613)</f>
        <v>44613</v>
      </c>
      <c r="C954" t="str">
        <f ca="1">IFERROR(__xludf.DUMMYFUNCTION("""COMPUTED_VALUE"""),"ЗАО ""ЭКОС"" 115-СТР от 01.01.2022")</f>
        <v>ЗАО "ЭКОС" 115-СТР от 01.01.2022</v>
      </c>
      <c r="D9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4" t="str">
        <f ca="1">IFERROR(__xludf.DUMMYFUNCTION("""COMPUTED_VALUE"""),"Новый")</f>
        <v>Новый</v>
      </c>
      <c r="G954" s="68"/>
      <c r="K954" s="68"/>
    </row>
    <row r="955" spans="1:11" ht="12.75">
      <c r="A955" s="69">
        <f ca="1">IFERROR(__xludf.DUMMYFUNCTION("""COMPUTED_VALUE"""),92279)</f>
        <v>92279</v>
      </c>
      <c r="B955" s="4">
        <f ca="1">IFERROR(__xludf.DUMMYFUNCTION("""COMPUTED_VALUE"""),44613)</f>
        <v>44613</v>
      </c>
      <c r="C955" t="str">
        <f ca="1">IFERROR(__xludf.DUMMYFUNCTION("""COMPUTED_VALUE"""),"ЗАО ""ЭКОС"" 115-СТР от 01.01.2022")</f>
        <v>ЗАО "ЭКОС" 115-СТР от 01.01.2022</v>
      </c>
      <c r="D9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5" t="str">
        <f ca="1">IFERROR(__xludf.DUMMYFUNCTION("""COMPUTED_VALUE"""),"Новый")</f>
        <v>Новый</v>
      </c>
      <c r="G955" s="68"/>
      <c r="K955" s="68"/>
    </row>
    <row r="956" spans="1:11" ht="12.75">
      <c r="A956" s="69">
        <f ca="1">IFERROR(__xludf.DUMMYFUNCTION("""COMPUTED_VALUE"""),92280)</f>
        <v>92280</v>
      </c>
      <c r="B956" s="4">
        <f ca="1">IFERROR(__xludf.DUMMYFUNCTION("""COMPUTED_VALUE"""),44613)</f>
        <v>44613</v>
      </c>
      <c r="C956" t="str">
        <f ca="1">IFERROR(__xludf.DUMMYFUNCTION("""COMPUTED_VALUE"""),"ЗАО ""ЭКОС"" 115-СТР от 01.01.2022")</f>
        <v>ЗАО "ЭКОС" 115-СТР от 01.01.2022</v>
      </c>
      <c r="D9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6" t="str">
        <f ca="1">IFERROR(__xludf.DUMMYFUNCTION("""COMPUTED_VALUE"""),"Новый")</f>
        <v>Новый</v>
      </c>
      <c r="G956" s="68"/>
      <c r="K956" s="68"/>
    </row>
    <row r="957" spans="1:11" ht="12.75">
      <c r="A957" s="69">
        <f ca="1">IFERROR(__xludf.DUMMYFUNCTION("""COMPUTED_VALUE"""),92283)</f>
        <v>92283</v>
      </c>
      <c r="B957" s="4">
        <f ca="1">IFERROR(__xludf.DUMMYFUNCTION("""COMPUTED_VALUE"""),44613)</f>
        <v>44613</v>
      </c>
      <c r="C957" t="str">
        <f ca="1">IFERROR(__xludf.DUMMYFUNCTION("""COMPUTED_VALUE"""),"ЗАО ""ЭКОС"" 115-СТР от 01.01.2022")</f>
        <v>ЗАО "ЭКОС" 115-СТР от 01.01.2022</v>
      </c>
      <c r="D9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7" t="str">
        <f ca="1">IFERROR(__xludf.DUMMYFUNCTION("""COMPUTED_VALUE"""),"Новый")</f>
        <v>Новый</v>
      </c>
      <c r="G957" s="68"/>
      <c r="K957" s="68"/>
    </row>
    <row r="958" spans="1:11" ht="12.75">
      <c r="A958" s="69">
        <f ca="1">IFERROR(__xludf.DUMMYFUNCTION("""COMPUTED_VALUE"""),92301)</f>
        <v>92301</v>
      </c>
      <c r="B958" s="4">
        <f ca="1">IFERROR(__xludf.DUMMYFUNCTION("""COMPUTED_VALUE"""),44613)</f>
        <v>44613</v>
      </c>
      <c r="C958" t="str">
        <f ca="1">IFERROR(__xludf.DUMMYFUNCTION("""COMPUTED_VALUE"""),"ЗАО ""ЭКОС"" 115-СТР от 01.01.2022")</f>
        <v>ЗАО "ЭКОС" 115-СТР от 01.01.2022</v>
      </c>
      <c r="D9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8" t="str">
        <f ca="1">IFERROR(__xludf.DUMMYFUNCTION("""COMPUTED_VALUE"""),"Новый")</f>
        <v>Новый</v>
      </c>
      <c r="G958" s="68"/>
      <c r="K958" s="68"/>
    </row>
    <row r="959" spans="1:11" ht="12.75">
      <c r="A959" s="69">
        <f ca="1">IFERROR(__xludf.DUMMYFUNCTION("""COMPUTED_VALUE"""),92302)</f>
        <v>92302</v>
      </c>
      <c r="B959" s="4">
        <f ca="1">IFERROR(__xludf.DUMMYFUNCTION("""COMPUTED_VALUE"""),44613)</f>
        <v>44613</v>
      </c>
      <c r="C959" t="str">
        <f ca="1">IFERROR(__xludf.DUMMYFUNCTION("""COMPUTED_VALUE"""),"ЗАО ""ЭКОС"" 115-СТР от 01.01.2022")</f>
        <v>ЗАО "ЭКОС" 115-СТР от 01.01.2022</v>
      </c>
      <c r="D9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59" t="str">
        <f ca="1">IFERROR(__xludf.DUMMYFUNCTION("""COMPUTED_VALUE"""),"Новый")</f>
        <v>Новый</v>
      </c>
      <c r="G959" s="68"/>
      <c r="K959" s="68"/>
    </row>
    <row r="960" spans="1:11" ht="12.75">
      <c r="A960" s="69">
        <f ca="1">IFERROR(__xludf.DUMMYFUNCTION("""COMPUTED_VALUE"""),92303)</f>
        <v>92303</v>
      </c>
      <c r="B960" s="4">
        <f ca="1">IFERROR(__xludf.DUMMYFUNCTION("""COMPUTED_VALUE"""),44613)</f>
        <v>44613</v>
      </c>
      <c r="C960" t="str">
        <f ca="1">IFERROR(__xludf.DUMMYFUNCTION("""COMPUTED_VALUE"""),"ЗАО ""ЭКОС"" 115-СТР от 01.01.2022")</f>
        <v>ЗАО "ЭКОС" 115-СТР от 01.01.2022</v>
      </c>
      <c r="D9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0" t="str">
        <f ca="1">IFERROR(__xludf.DUMMYFUNCTION("""COMPUTED_VALUE"""),"Новый")</f>
        <v>Новый</v>
      </c>
      <c r="G960" s="68"/>
      <c r="K960" s="68"/>
    </row>
    <row r="961" spans="1:11" ht="12.75">
      <c r="A961" s="69">
        <f ca="1">IFERROR(__xludf.DUMMYFUNCTION("""COMPUTED_VALUE"""),92304)</f>
        <v>92304</v>
      </c>
      <c r="B961" s="4">
        <f ca="1">IFERROR(__xludf.DUMMYFUNCTION("""COMPUTED_VALUE"""),44613)</f>
        <v>44613</v>
      </c>
      <c r="C961" t="str">
        <f ca="1">IFERROR(__xludf.DUMMYFUNCTION("""COMPUTED_VALUE"""),"ЗАО ""ЭКОС"" 115-СТР от 01.01.2022")</f>
        <v>ЗАО "ЭКОС" 115-СТР от 01.01.2022</v>
      </c>
      <c r="D9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1" t="str">
        <f ca="1">IFERROR(__xludf.DUMMYFUNCTION("""COMPUTED_VALUE"""),"Новый")</f>
        <v>Новый</v>
      </c>
      <c r="G961" s="68"/>
      <c r="K961" s="68"/>
    </row>
    <row r="962" spans="1:11" ht="12.75">
      <c r="A962" s="69">
        <f ca="1">IFERROR(__xludf.DUMMYFUNCTION("""COMPUTED_VALUE"""),92305)</f>
        <v>92305</v>
      </c>
      <c r="B962" s="4">
        <f ca="1">IFERROR(__xludf.DUMMYFUNCTION("""COMPUTED_VALUE"""),44613)</f>
        <v>44613</v>
      </c>
      <c r="C962" t="str">
        <f ca="1">IFERROR(__xludf.DUMMYFUNCTION("""COMPUTED_VALUE"""),"ЗАО ""ЭКОС"" 115-СТР от 01.01.2022")</f>
        <v>ЗАО "ЭКОС" 115-СТР от 01.01.2022</v>
      </c>
      <c r="D9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2" t="str">
        <f ca="1">IFERROR(__xludf.DUMMYFUNCTION("""COMPUTED_VALUE"""),"Новый")</f>
        <v>Новый</v>
      </c>
      <c r="G962" s="68"/>
      <c r="K962" s="68"/>
    </row>
    <row r="963" spans="1:11" ht="12.75">
      <c r="A963" s="69">
        <f ca="1">IFERROR(__xludf.DUMMYFUNCTION("""COMPUTED_VALUE"""),92306)</f>
        <v>92306</v>
      </c>
      <c r="B963" s="4">
        <f ca="1">IFERROR(__xludf.DUMMYFUNCTION("""COMPUTED_VALUE"""),44613)</f>
        <v>44613</v>
      </c>
      <c r="C963" t="str">
        <f ca="1">IFERROR(__xludf.DUMMYFUNCTION("""COMPUTED_VALUE"""),"ЗАО ""ЭКОС"" 115-СТР от 01.01.2022")</f>
        <v>ЗАО "ЭКОС" 115-СТР от 01.01.2022</v>
      </c>
      <c r="D9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3" t="str">
        <f ca="1">IFERROR(__xludf.DUMMYFUNCTION("""COMPUTED_VALUE"""),"Новый")</f>
        <v>Новый</v>
      </c>
      <c r="G963" s="68"/>
      <c r="K963" s="68"/>
    </row>
    <row r="964" spans="1:11" ht="12.75">
      <c r="A964" s="69">
        <f ca="1">IFERROR(__xludf.DUMMYFUNCTION("""COMPUTED_VALUE"""),92307)</f>
        <v>92307</v>
      </c>
      <c r="B964" s="4">
        <f ca="1">IFERROR(__xludf.DUMMYFUNCTION("""COMPUTED_VALUE"""),44613)</f>
        <v>44613</v>
      </c>
      <c r="C964" t="str">
        <f ca="1">IFERROR(__xludf.DUMMYFUNCTION("""COMPUTED_VALUE"""),"ЗАО ""ЭКОС"" 115-СТР от 01.01.2022")</f>
        <v>ЗАО "ЭКОС" 115-СТР от 01.01.2022</v>
      </c>
      <c r="D9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4" t="str">
        <f ca="1">IFERROR(__xludf.DUMMYFUNCTION("""COMPUTED_VALUE"""),"Новый")</f>
        <v>Новый</v>
      </c>
      <c r="G964" s="68"/>
      <c r="K964" s="68"/>
    </row>
    <row r="965" spans="1:11" ht="12.75">
      <c r="A965" s="69">
        <f ca="1">IFERROR(__xludf.DUMMYFUNCTION("""COMPUTED_VALUE"""),92308)</f>
        <v>92308</v>
      </c>
      <c r="B965" s="4">
        <f ca="1">IFERROR(__xludf.DUMMYFUNCTION("""COMPUTED_VALUE"""),44613)</f>
        <v>44613</v>
      </c>
      <c r="C965" t="str">
        <f ca="1">IFERROR(__xludf.DUMMYFUNCTION("""COMPUTED_VALUE"""),"ЗАО ""ЭКОС"" 115-СТР от 01.01.2022")</f>
        <v>ЗАО "ЭКОС" 115-СТР от 01.01.2022</v>
      </c>
      <c r="D9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5" t="str">
        <f ca="1">IFERROR(__xludf.DUMMYFUNCTION("""COMPUTED_VALUE"""),"Новый")</f>
        <v>Новый</v>
      </c>
      <c r="G965" s="68"/>
      <c r="K965" s="68"/>
    </row>
    <row r="966" spans="1:11" ht="12.75">
      <c r="A966" s="69">
        <f ca="1">IFERROR(__xludf.DUMMYFUNCTION("""COMPUTED_VALUE"""),92309)</f>
        <v>92309</v>
      </c>
      <c r="B966" s="4">
        <f ca="1">IFERROR(__xludf.DUMMYFUNCTION("""COMPUTED_VALUE"""),44613)</f>
        <v>44613</v>
      </c>
      <c r="C966" t="str">
        <f ca="1">IFERROR(__xludf.DUMMYFUNCTION("""COMPUTED_VALUE"""),"ЗАО ""ЭКОС"" 115-СТР от 01.01.2022")</f>
        <v>ЗАО "ЭКОС" 115-СТР от 01.01.2022</v>
      </c>
      <c r="D9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6" t="str">
        <f ca="1">IFERROR(__xludf.DUMMYFUNCTION("""COMPUTED_VALUE"""),"Новый")</f>
        <v>Новый</v>
      </c>
      <c r="G966" s="68"/>
      <c r="K966" s="68"/>
    </row>
    <row r="967" spans="1:11" ht="12.75">
      <c r="A967" s="69">
        <f ca="1">IFERROR(__xludf.DUMMYFUNCTION("""COMPUTED_VALUE"""),92310)</f>
        <v>92310</v>
      </c>
      <c r="B967" s="4">
        <f ca="1">IFERROR(__xludf.DUMMYFUNCTION("""COMPUTED_VALUE"""),44613)</f>
        <v>44613</v>
      </c>
      <c r="C967" t="str">
        <f ca="1">IFERROR(__xludf.DUMMYFUNCTION("""COMPUTED_VALUE"""),"ЗАО ""ЭКОС"" 115-СТР от 01.01.2022")</f>
        <v>ЗАО "ЭКОС" 115-СТР от 01.01.2022</v>
      </c>
      <c r="D9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7" t="str">
        <f ca="1">IFERROR(__xludf.DUMMYFUNCTION("""COMPUTED_VALUE"""),"Новый")</f>
        <v>Новый</v>
      </c>
      <c r="G967" s="68"/>
      <c r="K967" s="68"/>
    </row>
    <row r="968" spans="1:11" ht="12.75">
      <c r="A968" s="69">
        <f ca="1">IFERROR(__xludf.DUMMYFUNCTION("""COMPUTED_VALUE"""),92311)</f>
        <v>92311</v>
      </c>
      <c r="B968" s="4">
        <f ca="1">IFERROR(__xludf.DUMMYFUNCTION("""COMPUTED_VALUE"""),44613)</f>
        <v>44613</v>
      </c>
      <c r="C968" t="str">
        <f ca="1">IFERROR(__xludf.DUMMYFUNCTION("""COMPUTED_VALUE"""),"ЗАО ""ЭКОС"" 115-СТР от 01.01.2022")</f>
        <v>ЗАО "ЭКОС" 115-СТР от 01.01.2022</v>
      </c>
      <c r="D9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8" t="str">
        <f ca="1">IFERROR(__xludf.DUMMYFUNCTION("""COMPUTED_VALUE"""),"Новый")</f>
        <v>Новый</v>
      </c>
      <c r="G968" s="68"/>
      <c r="K968" s="68"/>
    </row>
    <row r="969" spans="1:11" ht="12.75">
      <c r="A969" s="69">
        <f ca="1">IFERROR(__xludf.DUMMYFUNCTION("""COMPUTED_VALUE"""),92312)</f>
        <v>92312</v>
      </c>
      <c r="B969" s="4">
        <f ca="1">IFERROR(__xludf.DUMMYFUNCTION("""COMPUTED_VALUE"""),44613)</f>
        <v>44613</v>
      </c>
      <c r="C969" t="str">
        <f ca="1">IFERROR(__xludf.DUMMYFUNCTION("""COMPUTED_VALUE"""),"ЗАО ""ЭКОС"" 115-СТР от 01.01.2022")</f>
        <v>ЗАО "ЭКОС" 115-СТР от 01.01.2022</v>
      </c>
      <c r="D9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69" t="str">
        <f ca="1">IFERROR(__xludf.DUMMYFUNCTION("""COMPUTED_VALUE"""),"Новый")</f>
        <v>Новый</v>
      </c>
      <c r="G969" s="68"/>
      <c r="K969" s="68"/>
    </row>
    <row r="970" spans="1:11" ht="12.75">
      <c r="A970" s="69">
        <f ca="1">IFERROR(__xludf.DUMMYFUNCTION("""COMPUTED_VALUE"""),92313)</f>
        <v>92313</v>
      </c>
      <c r="B970" s="4">
        <f ca="1">IFERROR(__xludf.DUMMYFUNCTION("""COMPUTED_VALUE"""),44613)</f>
        <v>44613</v>
      </c>
      <c r="C970" t="str">
        <f ca="1">IFERROR(__xludf.DUMMYFUNCTION("""COMPUTED_VALUE"""),"ЗАО ""ЭКОС"" 115-СТР от 01.01.2022")</f>
        <v>ЗАО "ЭКОС" 115-СТР от 01.01.2022</v>
      </c>
      <c r="D9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0" t="str">
        <f ca="1">IFERROR(__xludf.DUMMYFUNCTION("""COMPUTED_VALUE"""),"Новый")</f>
        <v>Новый</v>
      </c>
      <c r="G970" s="68"/>
      <c r="K970" s="68"/>
    </row>
    <row r="971" spans="1:11" ht="12.75">
      <c r="A971" s="69">
        <f ca="1">IFERROR(__xludf.DUMMYFUNCTION("""COMPUTED_VALUE"""),92314)</f>
        <v>92314</v>
      </c>
      <c r="B971" s="4">
        <f ca="1">IFERROR(__xludf.DUMMYFUNCTION("""COMPUTED_VALUE"""),44613)</f>
        <v>44613</v>
      </c>
      <c r="C971" t="str">
        <f ca="1">IFERROR(__xludf.DUMMYFUNCTION("""COMPUTED_VALUE"""),"ЗАО ""ЭКОС"" 115-СТР от 01.01.2022")</f>
        <v>ЗАО "ЭКОС" 115-СТР от 01.01.2022</v>
      </c>
      <c r="D9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1" t="str">
        <f ca="1">IFERROR(__xludf.DUMMYFUNCTION("""COMPUTED_VALUE"""),"Новый")</f>
        <v>Новый</v>
      </c>
      <c r="G971" s="68"/>
      <c r="K971" s="68"/>
    </row>
    <row r="972" spans="1:11" ht="12.75">
      <c r="A972" s="69">
        <f ca="1">IFERROR(__xludf.DUMMYFUNCTION("""COMPUTED_VALUE"""),92315)</f>
        <v>92315</v>
      </c>
      <c r="B972" s="4">
        <f ca="1">IFERROR(__xludf.DUMMYFUNCTION("""COMPUTED_VALUE"""),44613)</f>
        <v>44613</v>
      </c>
      <c r="C972" t="str">
        <f ca="1">IFERROR(__xludf.DUMMYFUNCTION("""COMPUTED_VALUE"""),"ЗАО ""ЭКОС"" 115-СТР от 01.01.2022")</f>
        <v>ЗАО "ЭКОС" 115-СТР от 01.01.2022</v>
      </c>
      <c r="D9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2" t="str">
        <f ca="1">IFERROR(__xludf.DUMMYFUNCTION("""COMPUTED_VALUE"""),"Новый")</f>
        <v>Новый</v>
      </c>
      <c r="G972" s="68"/>
      <c r="K972" s="68"/>
    </row>
    <row r="973" spans="1:11" ht="12.75">
      <c r="A973" s="69">
        <f ca="1">IFERROR(__xludf.DUMMYFUNCTION("""COMPUTED_VALUE"""),92316)</f>
        <v>92316</v>
      </c>
      <c r="B973" s="4">
        <f ca="1">IFERROR(__xludf.DUMMYFUNCTION("""COMPUTED_VALUE"""),44613)</f>
        <v>44613</v>
      </c>
      <c r="C973" t="str">
        <f ca="1">IFERROR(__xludf.DUMMYFUNCTION("""COMPUTED_VALUE"""),"ЗАО ""ЭКОС"" 115-СТР от 01.01.2022")</f>
        <v>ЗАО "ЭКОС" 115-СТР от 01.01.2022</v>
      </c>
      <c r="D9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3" t="str">
        <f ca="1">IFERROR(__xludf.DUMMYFUNCTION("""COMPUTED_VALUE"""),"Новый")</f>
        <v>Новый</v>
      </c>
      <c r="G973" s="68"/>
      <c r="K973" s="68"/>
    </row>
    <row r="974" spans="1:11" ht="12.75">
      <c r="A974" s="69">
        <f ca="1">IFERROR(__xludf.DUMMYFUNCTION("""COMPUTED_VALUE"""),92317)</f>
        <v>92317</v>
      </c>
      <c r="B974" s="4">
        <f ca="1">IFERROR(__xludf.DUMMYFUNCTION("""COMPUTED_VALUE"""),44613)</f>
        <v>44613</v>
      </c>
      <c r="C974" t="str">
        <f ca="1">IFERROR(__xludf.DUMMYFUNCTION("""COMPUTED_VALUE"""),"ЗАО ""ЭКОС"" 115-СТР от 01.01.2022")</f>
        <v>ЗАО "ЭКОС" 115-СТР от 01.01.2022</v>
      </c>
      <c r="D9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4" t="str">
        <f ca="1">IFERROR(__xludf.DUMMYFUNCTION("""COMPUTED_VALUE"""),"Новый")</f>
        <v>Новый</v>
      </c>
      <c r="G974" s="68"/>
      <c r="K974" s="68"/>
    </row>
    <row r="975" spans="1:11" ht="12.75">
      <c r="A975" s="69">
        <f ca="1">IFERROR(__xludf.DUMMYFUNCTION("""COMPUTED_VALUE"""),92318)</f>
        <v>92318</v>
      </c>
      <c r="B975" s="4">
        <f ca="1">IFERROR(__xludf.DUMMYFUNCTION("""COMPUTED_VALUE"""),44613)</f>
        <v>44613</v>
      </c>
      <c r="C975" t="str">
        <f ca="1">IFERROR(__xludf.DUMMYFUNCTION("""COMPUTED_VALUE"""),"ЗАО ""ЭКОС"" 115-СТР от 01.01.2022")</f>
        <v>ЗАО "ЭКОС" 115-СТР от 01.01.2022</v>
      </c>
      <c r="D9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5" t="str">
        <f ca="1">IFERROR(__xludf.DUMMYFUNCTION("""COMPUTED_VALUE"""),"Новый")</f>
        <v>Новый</v>
      </c>
      <c r="G975" s="68"/>
      <c r="K975" s="68"/>
    </row>
    <row r="976" spans="1:11" ht="12.75">
      <c r="A976" s="69">
        <f ca="1">IFERROR(__xludf.DUMMYFUNCTION("""COMPUTED_VALUE"""),92319)</f>
        <v>92319</v>
      </c>
      <c r="B976" s="4">
        <f ca="1">IFERROR(__xludf.DUMMYFUNCTION("""COMPUTED_VALUE"""),44613)</f>
        <v>44613</v>
      </c>
      <c r="C976" t="str">
        <f ca="1">IFERROR(__xludf.DUMMYFUNCTION("""COMPUTED_VALUE"""),"ЗАО ""ЭКОС"" 115-СТР от 01.01.2022")</f>
        <v>ЗАО "ЭКОС" 115-СТР от 01.01.2022</v>
      </c>
      <c r="D9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6" t="str">
        <f ca="1">IFERROR(__xludf.DUMMYFUNCTION("""COMPUTED_VALUE"""),"Новый")</f>
        <v>Новый</v>
      </c>
      <c r="G976" s="68"/>
      <c r="K976" s="68"/>
    </row>
    <row r="977" spans="1:11" ht="12.75">
      <c r="A977" s="69">
        <f ca="1">IFERROR(__xludf.DUMMYFUNCTION("""COMPUTED_VALUE"""),92320)</f>
        <v>92320</v>
      </c>
      <c r="B977" s="4">
        <f ca="1">IFERROR(__xludf.DUMMYFUNCTION("""COMPUTED_VALUE"""),44613)</f>
        <v>44613</v>
      </c>
      <c r="C977" t="str">
        <f ca="1">IFERROR(__xludf.DUMMYFUNCTION("""COMPUTED_VALUE"""),"ЗАО ""ЭКОС"" 115-СТР от 01.01.2022")</f>
        <v>ЗАО "ЭКОС" 115-СТР от 01.01.2022</v>
      </c>
      <c r="D9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7" t="str">
        <f ca="1">IFERROR(__xludf.DUMMYFUNCTION("""COMPUTED_VALUE"""),"Новый")</f>
        <v>Новый</v>
      </c>
      <c r="G977" s="68"/>
      <c r="K977" s="68"/>
    </row>
    <row r="978" spans="1:11" ht="12.75">
      <c r="A978" s="69">
        <f ca="1">IFERROR(__xludf.DUMMYFUNCTION("""COMPUTED_VALUE"""),92321)</f>
        <v>92321</v>
      </c>
      <c r="B978" s="4">
        <f ca="1">IFERROR(__xludf.DUMMYFUNCTION("""COMPUTED_VALUE"""),44613)</f>
        <v>44613</v>
      </c>
      <c r="C978" t="str">
        <f ca="1">IFERROR(__xludf.DUMMYFUNCTION("""COMPUTED_VALUE"""),"ЗАО ""ЭКОС"" 115-СТР от 01.01.2022")</f>
        <v>ЗАО "ЭКОС" 115-СТР от 01.01.2022</v>
      </c>
      <c r="D9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8" t="str">
        <f ca="1">IFERROR(__xludf.DUMMYFUNCTION("""COMPUTED_VALUE"""),"Новый")</f>
        <v>Новый</v>
      </c>
      <c r="G978" s="68"/>
      <c r="K978" s="68"/>
    </row>
    <row r="979" spans="1:11" ht="12.75">
      <c r="A979" s="69">
        <f ca="1">IFERROR(__xludf.DUMMYFUNCTION("""COMPUTED_VALUE"""),92322)</f>
        <v>92322</v>
      </c>
      <c r="B979" s="4">
        <f ca="1">IFERROR(__xludf.DUMMYFUNCTION("""COMPUTED_VALUE"""),44613)</f>
        <v>44613</v>
      </c>
      <c r="C979" t="str">
        <f ca="1">IFERROR(__xludf.DUMMYFUNCTION("""COMPUTED_VALUE"""),"ЗАО ""ЭКОС"" 115-СТР от 01.01.2022")</f>
        <v>ЗАО "ЭКОС" 115-СТР от 01.01.2022</v>
      </c>
      <c r="D9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79" t="str">
        <f ca="1">IFERROR(__xludf.DUMMYFUNCTION("""COMPUTED_VALUE"""),"Новый")</f>
        <v>Новый</v>
      </c>
      <c r="G979" s="68"/>
      <c r="K979" s="68"/>
    </row>
    <row r="980" spans="1:11" ht="12.75">
      <c r="A980" s="69">
        <f ca="1">IFERROR(__xludf.DUMMYFUNCTION("""COMPUTED_VALUE"""),92323)</f>
        <v>92323</v>
      </c>
      <c r="B980" s="4">
        <f ca="1">IFERROR(__xludf.DUMMYFUNCTION("""COMPUTED_VALUE"""),44613)</f>
        <v>44613</v>
      </c>
      <c r="C980" t="str">
        <f ca="1">IFERROR(__xludf.DUMMYFUNCTION("""COMPUTED_VALUE"""),"ЗАО ""ЭКОС"" 115-СТР от 01.01.2022")</f>
        <v>ЗАО "ЭКОС" 115-СТР от 01.01.2022</v>
      </c>
      <c r="D9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0" t="str">
        <f ca="1">IFERROR(__xludf.DUMMYFUNCTION("""COMPUTED_VALUE"""),"Новый")</f>
        <v>Новый</v>
      </c>
      <c r="G980" s="68"/>
      <c r="K980" s="68"/>
    </row>
    <row r="981" spans="1:11" ht="12.75">
      <c r="A981" s="69">
        <f ca="1">IFERROR(__xludf.DUMMYFUNCTION("""COMPUTED_VALUE"""),92324)</f>
        <v>92324</v>
      </c>
      <c r="B981" s="4">
        <f ca="1">IFERROR(__xludf.DUMMYFUNCTION("""COMPUTED_VALUE"""),44613)</f>
        <v>44613</v>
      </c>
      <c r="C981" t="str">
        <f ca="1">IFERROR(__xludf.DUMMYFUNCTION("""COMPUTED_VALUE"""),"ЗАО ""ЭКОС"" 115-СТР от 01.01.2022")</f>
        <v>ЗАО "ЭКОС" 115-СТР от 01.01.2022</v>
      </c>
      <c r="D9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1" t="str">
        <f ca="1">IFERROR(__xludf.DUMMYFUNCTION("""COMPUTED_VALUE"""),"Новый")</f>
        <v>Новый</v>
      </c>
      <c r="G981" s="68"/>
      <c r="K981" s="68"/>
    </row>
    <row r="982" spans="1:11" ht="12.75">
      <c r="A982" s="69">
        <f ca="1">IFERROR(__xludf.DUMMYFUNCTION("""COMPUTED_VALUE"""),92325)</f>
        <v>92325</v>
      </c>
      <c r="B982" s="4">
        <f ca="1">IFERROR(__xludf.DUMMYFUNCTION("""COMPUTED_VALUE"""),44613)</f>
        <v>44613</v>
      </c>
      <c r="C982" t="str">
        <f ca="1">IFERROR(__xludf.DUMMYFUNCTION("""COMPUTED_VALUE"""),"ЗАО ""ЭКОС"" 115-СТР от 01.01.2022")</f>
        <v>ЗАО "ЭКОС" 115-СТР от 01.01.2022</v>
      </c>
      <c r="D9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2" t="str">
        <f ca="1">IFERROR(__xludf.DUMMYFUNCTION("""COMPUTED_VALUE"""),"Новый")</f>
        <v>Новый</v>
      </c>
      <c r="G982" s="68"/>
      <c r="K982" s="68"/>
    </row>
    <row r="983" spans="1:11" ht="12.75">
      <c r="A983" s="69">
        <f ca="1">IFERROR(__xludf.DUMMYFUNCTION("""COMPUTED_VALUE"""),92326)</f>
        <v>92326</v>
      </c>
      <c r="B983" s="4">
        <f ca="1">IFERROR(__xludf.DUMMYFUNCTION("""COMPUTED_VALUE"""),44613)</f>
        <v>44613</v>
      </c>
      <c r="C983" t="str">
        <f ca="1">IFERROR(__xludf.DUMMYFUNCTION("""COMPUTED_VALUE"""),"ЗАО ""ЭКОС"" 115-СТР от 01.01.2022")</f>
        <v>ЗАО "ЭКОС" 115-СТР от 01.01.2022</v>
      </c>
      <c r="D9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3" t="str">
        <f ca="1">IFERROR(__xludf.DUMMYFUNCTION("""COMPUTED_VALUE"""),"Новый")</f>
        <v>Новый</v>
      </c>
      <c r="G983" s="68"/>
      <c r="K983" s="68"/>
    </row>
    <row r="984" spans="1:11" ht="12.75">
      <c r="A984" s="69">
        <f ca="1">IFERROR(__xludf.DUMMYFUNCTION("""COMPUTED_VALUE"""),92327)</f>
        <v>92327</v>
      </c>
      <c r="B984" s="4">
        <f ca="1">IFERROR(__xludf.DUMMYFUNCTION("""COMPUTED_VALUE"""),44613)</f>
        <v>44613</v>
      </c>
      <c r="C984" t="str">
        <f ca="1">IFERROR(__xludf.DUMMYFUNCTION("""COMPUTED_VALUE"""),"ЗАО ""ЭКОС"" 115-СТР от 01.01.2022")</f>
        <v>ЗАО "ЭКОС" 115-СТР от 01.01.2022</v>
      </c>
      <c r="D9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4" t="str">
        <f ca="1">IFERROR(__xludf.DUMMYFUNCTION("""COMPUTED_VALUE"""),"Новый")</f>
        <v>Новый</v>
      </c>
      <c r="G984" s="68"/>
      <c r="K984" s="68"/>
    </row>
    <row r="985" spans="1:11" ht="12.75">
      <c r="A985" s="69">
        <f ca="1">IFERROR(__xludf.DUMMYFUNCTION("""COMPUTED_VALUE"""),92328)</f>
        <v>92328</v>
      </c>
      <c r="B985" s="4">
        <f ca="1">IFERROR(__xludf.DUMMYFUNCTION("""COMPUTED_VALUE"""),44613)</f>
        <v>44613</v>
      </c>
      <c r="C985" t="str">
        <f ca="1">IFERROR(__xludf.DUMMYFUNCTION("""COMPUTED_VALUE"""),"ЗАО ""ЭКОС"" 115-СТР от 01.01.2022")</f>
        <v>ЗАО "ЭКОС" 115-СТР от 01.01.2022</v>
      </c>
      <c r="D9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5" t="str">
        <f ca="1">IFERROR(__xludf.DUMMYFUNCTION("""COMPUTED_VALUE"""),"Новый")</f>
        <v>Новый</v>
      </c>
      <c r="G985" s="68"/>
      <c r="K985" s="68"/>
    </row>
    <row r="986" spans="1:11" ht="12.75">
      <c r="A986" s="69">
        <f ca="1">IFERROR(__xludf.DUMMYFUNCTION("""COMPUTED_VALUE"""),92329)</f>
        <v>92329</v>
      </c>
      <c r="B986" s="4">
        <f ca="1">IFERROR(__xludf.DUMMYFUNCTION("""COMPUTED_VALUE"""),44613)</f>
        <v>44613</v>
      </c>
      <c r="C986" t="str">
        <f ca="1">IFERROR(__xludf.DUMMYFUNCTION("""COMPUTED_VALUE"""),"ЗАО ""ЭКОС"" 115-СТР от 01.01.2022")</f>
        <v>ЗАО "ЭКОС" 115-СТР от 01.01.2022</v>
      </c>
      <c r="D9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6" t="str">
        <f ca="1">IFERROR(__xludf.DUMMYFUNCTION("""COMPUTED_VALUE"""),"Новый")</f>
        <v>Новый</v>
      </c>
      <c r="G986" s="68"/>
      <c r="K986" s="68"/>
    </row>
    <row r="987" spans="1:11" ht="12.75">
      <c r="A987" s="69">
        <f ca="1">IFERROR(__xludf.DUMMYFUNCTION("""COMPUTED_VALUE"""),92330)</f>
        <v>92330</v>
      </c>
      <c r="B987" s="4">
        <f ca="1">IFERROR(__xludf.DUMMYFUNCTION("""COMPUTED_VALUE"""),44613)</f>
        <v>44613</v>
      </c>
      <c r="C987" t="str">
        <f ca="1">IFERROR(__xludf.DUMMYFUNCTION("""COMPUTED_VALUE"""),"ЗАО ""ЭКОС"" 115-СТР от 01.01.2022")</f>
        <v>ЗАО "ЭКОС" 115-СТР от 01.01.2022</v>
      </c>
      <c r="D9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7" t="str">
        <f ca="1">IFERROR(__xludf.DUMMYFUNCTION("""COMPUTED_VALUE"""),"Новый")</f>
        <v>Новый</v>
      </c>
      <c r="G987" s="68"/>
      <c r="K987" s="68"/>
    </row>
    <row r="988" spans="1:11" ht="12.75">
      <c r="A988" s="69">
        <f ca="1">IFERROR(__xludf.DUMMYFUNCTION("""COMPUTED_VALUE"""),92331)</f>
        <v>92331</v>
      </c>
      <c r="B988" s="4">
        <f ca="1">IFERROR(__xludf.DUMMYFUNCTION("""COMPUTED_VALUE"""),44613)</f>
        <v>44613</v>
      </c>
      <c r="C988" t="str">
        <f ca="1">IFERROR(__xludf.DUMMYFUNCTION("""COMPUTED_VALUE"""),"ЗАО ""ЭКОС"" 115-СТР от 01.01.2022")</f>
        <v>ЗАО "ЭКОС" 115-СТР от 01.01.2022</v>
      </c>
      <c r="D9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8" t="str">
        <f ca="1">IFERROR(__xludf.DUMMYFUNCTION("""COMPUTED_VALUE"""),"Новый")</f>
        <v>Новый</v>
      </c>
      <c r="G988" s="68"/>
      <c r="K988" s="68"/>
    </row>
    <row r="989" spans="1:11" ht="12.75">
      <c r="A989" s="69">
        <f ca="1">IFERROR(__xludf.DUMMYFUNCTION("""COMPUTED_VALUE"""),92332)</f>
        <v>92332</v>
      </c>
      <c r="B989" s="4">
        <f ca="1">IFERROR(__xludf.DUMMYFUNCTION("""COMPUTED_VALUE"""),44613)</f>
        <v>44613</v>
      </c>
      <c r="C989" t="str">
        <f ca="1">IFERROR(__xludf.DUMMYFUNCTION("""COMPUTED_VALUE"""),"ЗАО ""ЭКОС"" 115-СТР от 01.01.2022")</f>
        <v>ЗАО "ЭКОС" 115-СТР от 01.01.2022</v>
      </c>
      <c r="D9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89" t="str">
        <f ca="1">IFERROR(__xludf.DUMMYFUNCTION("""COMPUTED_VALUE"""),"Новый")</f>
        <v>Новый</v>
      </c>
      <c r="G989" s="68"/>
      <c r="K989" s="68"/>
    </row>
    <row r="990" spans="1:11" ht="12.75">
      <c r="A990" s="69">
        <f ca="1">IFERROR(__xludf.DUMMYFUNCTION("""COMPUTED_VALUE"""),92333)</f>
        <v>92333</v>
      </c>
      <c r="B990" s="4">
        <f ca="1">IFERROR(__xludf.DUMMYFUNCTION("""COMPUTED_VALUE"""),44613)</f>
        <v>44613</v>
      </c>
      <c r="C990" t="str">
        <f ca="1">IFERROR(__xludf.DUMMYFUNCTION("""COMPUTED_VALUE"""),"ЗАО ""ЭКОС"" 115-СТР от 01.01.2022")</f>
        <v>ЗАО "ЭКОС" 115-СТР от 01.01.2022</v>
      </c>
      <c r="D9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0" t="str">
        <f ca="1">IFERROR(__xludf.DUMMYFUNCTION("""COMPUTED_VALUE"""),"Новый")</f>
        <v>Новый</v>
      </c>
      <c r="G990" s="68"/>
      <c r="K990" s="68"/>
    </row>
    <row r="991" spans="1:11" ht="12.75">
      <c r="A991" s="69">
        <f ca="1">IFERROR(__xludf.DUMMYFUNCTION("""COMPUTED_VALUE"""),92334)</f>
        <v>92334</v>
      </c>
      <c r="B991" s="4">
        <f ca="1">IFERROR(__xludf.DUMMYFUNCTION("""COMPUTED_VALUE"""),44613)</f>
        <v>44613</v>
      </c>
      <c r="C991" t="str">
        <f ca="1">IFERROR(__xludf.DUMMYFUNCTION("""COMPUTED_VALUE"""),"ЗАО ""ЭКОС"" 115-СТР от 01.01.2022")</f>
        <v>ЗАО "ЭКОС" 115-СТР от 01.01.2022</v>
      </c>
      <c r="D9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1" t="str">
        <f ca="1">IFERROR(__xludf.DUMMYFUNCTION("""COMPUTED_VALUE"""),"Новый")</f>
        <v>Новый</v>
      </c>
      <c r="G991" s="68"/>
      <c r="K991" s="68"/>
    </row>
    <row r="992" spans="1:11" ht="12.75">
      <c r="A992" s="69">
        <f ca="1">IFERROR(__xludf.DUMMYFUNCTION("""COMPUTED_VALUE"""),92335)</f>
        <v>92335</v>
      </c>
      <c r="B992" s="4">
        <f ca="1">IFERROR(__xludf.DUMMYFUNCTION("""COMPUTED_VALUE"""),44613)</f>
        <v>44613</v>
      </c>
      <c r="C992" t="str">
        <f ca="1">IFERROR(__xludf.DUMMYFUNCTION("""COMPUTED_VALUE"""),"ЗАО ""ЭКОС"" 115-СТР от 01.01.2022")</f>
        <v>ЗАО "ЭКОС" 115-СТР от 01.01.2022</v>
      </c>
      <c r="D9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2" t="str">
        <f ca="1">IFERROR(__xludf.DUMMYFUNCTION("""COMPUTED_VALUE"""),"Новый")</f>
        <v>Новый</v>
      </c>
      <c r="G992" s="68"/>
      <c r="K992" s="68"/>
    </row>
    <row r="993" spans="1:11" ht="12.75">
      <c r="A993" s="69">
        <f ca="1">IFERROR(__xludf.DUMMYFUNCTION("""COMPUTED_VALUE"""),92336)</f>
        <v>92336</v>
      </c>
      <c r="B993" s="4">
        <f ca="1">IFERROR(__xludf.DUMMYFUNCTION("""COMPUTED_VALUE"""),44613)</f>
        <v>44613</v>
      </c>
      <c r="C993" t="str">
        <f ca="1">IFERROR(__xludf.DUMMYFUNCTION("""COMPUTED_VALUE"""),"ЗАО ""ЭКОС"" 115-СТР от 01.01.2022")</f>
        <v>ЗАО "ЭКОС" 115-СТР от 01.01.2022</v>
      </c>
      <c r="D9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3" t="str">
        <f ca="1">IFERROR(__xludf.DUMMYFUNCTION("""COMPUTED_VALUE"""),"Новый")</f>
        <v>Новый</v>
      </c>
      <c r="G993" s="68"/>
      <c r="K993" s="68"/>
    </row>
    <row r="994" spans="1:11" ht="12.75">
      <c r="A994" s="69">
        <f ca="1">IFERROR(__xludf.DUMMYFUNCTION("""COMPUTED_VALUE"""),92337)</f>
        <v>92337</v>
      </c>
      <c r="B994" s="4">
        <f ca="1">IFERROR(__xludf.DUMMYFUNCTION("""COMPUTED_VALUE"""),44613)</f>
        <v>44613</v>
      </c>
      <c r="C994" t="str">
        <f ca="1">IFERROR(__xludf.DUMMYFUNCTION("""COMPUTED_VALUE"""),"ЗАО ""ЭКОС"" 115-СТР от 01.01.2022")</f>
        <v>ЗАО "ЭКОС" 115-СТР от 01.01.2022</v>
      </c>
      <c r="D9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4" t="str">
        <f ca="1">IFERROR(__xludf.DUMMYFUNCTION("""COMPUTED_VALUE"""),"Новый")</f>
        <v>Новый</v>
      </c>
      <c r="G994" s="68"/>
      <c r="K994" s="68"/>
    </row>
    <row r="995" spans="1:11" ht="12.75">
      <c r="A995" s="69">
        <f ca="1">IFERROR(__xludf.DUMMYFUNCTION("""COMPUTED_VALUE"""),92338)</f>
        <v>92338</v>
      </c>
      <c r="B995" s="4">
        <f ca="1">IFERROR(__xludf.DUMMYFUNCTION("""COMPUTED_VALUE"""),44613)</f>
        <v>44613</v>
      </c>
      <c r="C995" t="str">
        <f ca="1">IFERROR(__xludf.DUMMYFUNCTION("""COMPUTED_VALUE"""),"ЗАО ""ЭКОС"" 115-СТР от 01.01.2022")</f>
        <v>ЗАО "ЭКОС" 115-СТР от 01.01.2022</v>
      </c>
      <c r="D9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5" t="str">
        <f ca="1">IFERROR(__xludf.DUMMYFUNCTION("""COMPUTED_VALUE"""),"Новый")</f>
        <v>Новый</v>
      </c>
      <c r="G995" s="68"/>
      <c r="K995" s="68"/>
    </row>
    <row r="996" spans="1:11" ht="12.75">
      <c r="A996" s="69">
        <f ca="1">IFERROR(__xludf.DUMMYFUNCTION("""COMPUTED_VALUE"""),92339)</f>
        <v>92339</v>
      </c>
      <c r="B996" s="4">
        <f ca="1">IFERROR(__xludf.DUMMYFUNCTION("""COMPUTED_VALUE"""),44613)</f>
        <v>44613</v>
      </c>
      <c r="C996" t="str">
        <f ca="1">IFERROR(__xludf.DUMMYFUNCTION("""COMPUTED_VALUE"""),"ЗАО ""ЭКОС"" 115-СТР от 01.01.2022")</f>
        <v>ЗАО "ЭКОС" 115-СТР от 01.01.2022</v>
      </c>
      <c r="D9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6" t="str">
        <f ca="1">IFERROR(__xludf.DUMMYFUNCTION("""COMPUTED_VALUE"""),"Новый")</f>
        <v>Новый</v>
      </c>
      <c r="G996" s="68"/>
      <c r="K996" s="68"/>
    </row>
    <row r="997" spans="1:11" ht="12.75">
      <c r="A997" s="69">
        <f ca="1">IFERROR(__xludf.DUMMYFUNCTION("""COMPUTED_VALUE"""),92340)</f>
        <v>92340</v>
      </c>
      <c r="B997" s="4">
        <f ca="1">IFERROR(__xludf.DUMMYFUNCTION("""COMPUTED_VALUE"""),44613)</f>
        <v>44613</v>
      </c>
      <c r="C997" t="str">
        <f ca="1">IFERROR(__xludf.DUMMYFUNCTION("""COMPUTED_VALUE"""),"ЗАО ""ЭКОС"" 115-СТР от 01.01.2022")</f>
        <v>ЗАО "ЭКОС" 115-СТР от 01.01.2022</v>
      </c>
      <c r="D9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7" t="str">
        <f ca="1">IFERROR(__xludf.DUMMYFUNCTION("""COMPUTED_VALUE"""),"Новый")</f>
        <v>Новый</v>
      </c>
      <c r="G997" s="68"/>
      <c r="K997" s="68"/>
    </row>
    <row r="998" spans="1:11" ht="12.75">
      <c r="A998" s="69">
        <f ca="1">IFERROR(__xludf.DUMMYFUNCTION("""COMPUTED_VALUE"""),92361)</f>
        <v>92361</v>
      </c>
      <c r="B998" s="4">
        <f ca="1">IFERROR(__xludf.DUMMYFUNCTION("""COMPUTED_VALUE"""),44613)</f>
        <v>44613</v>
      </c>
      <c r="C998" t="str">
        <f ca="1">IFERROR(__xludf.DUMMYFUNCTION("""COMPUTED_VALUE"""),"ЗАО ""ЭКОС"" 115-СТР от 01.01.2022")</f>
        <v>ЗАО "ЭКОС" 115-СТР от 01.01.2022</v>
      </c>
      <c r="D9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8" t="str">
        <f ca="1">IFERROR(__xludf.DUMMYFUNCTION("""COMPUTED_VALUE"""),"Новый")</f>
        <v>Новый</v>
      </c>
      <c r="G998" s="68"/>
      <c r="K998" s="68"/>
    </row>
    <row r="999" spans="1:11" ht="12.75">
      <c r="A999" s="69">
        <f ca="1">IFERROR(__xludf.DUMMYFUNCTION("""COMPUTED_VALUE"""),92362)</f>
        <v>92362</v>
      </c>
      <c r="B999" s="4">
        <f ca="1">IFERROR(__xludf.DUMMYFUNCTION("""COMPUTED_VALUE"""),44613)</f>
        <v>44613</v>
      </c>
      <c r="C999" t="str">
        <f ca="1">IFERROR(__xludf.DUMMYFUNCTION("""COMPUTED_VALUE"""),"ЗАО ""ЭКОС"" 115-СТР от 01.01.2022")</f>
        <v>ЗАО "ЭКОС" 115-СТР от 01.01.2022</v>
      </c>
      <c r="D9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999" t="str">
        <f ca="1">IFERROR(__xludf.DUMMYFUNCTION("""COMPUTED_VALUE"""),"Новый")</f>
        <v>Новый</v>
      </c>
      <c r="G999" s="68"/>
      <c r="K999" s="68"/>
    </row>
    <row r="1000" spans="1:11" ht="12.75">
      <c r="A1000" s="69">
        <f ca="1">IFERROR(__xludf.DUMMYFUNCTION("""COMPUTED_VALUE"""),92363)</f>
        <v>92363</v>
      </c>
      <c r="B1000" s="4">
        <f ca="1">IFERROR(__xludf.DUMMYFUNCTION("""COMPUTED_VALUE"""),44613)</f>
        <v>44613</v>
      </c>
      <c r="C1000" t="str">
        <f ca="1">IFERROR(__xludf.DUMMYFUNCTION("""COMPUTED_VALUE"""),"ЗАО ""ЭКОС"" 115-СТР от 01.01.2022")</f>
        <v>ЗАО "ЭКОС" 115-СТР от 01.01.2022</v>
      </c>
      <c r="D10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0" t="str">
        <f ca="1">IFERROR(__xludf.DUMMYFUNCTION("""COMPUTED_VALUE"""),"Новый")</f>
        <v>Новый</v>
      </c>
      <c r="G1000" s="68"/>
      <c r="K1000" s="68"/>
    </row>
    <row r="1001" spans="1:11" ht="12.75">
      <c r="A1001" s="69">
        <f ca="1">IFERROR(__xludf.DUMMYFUNCTION("""COMPUTED_VALUE"""),92364)</f>
        <v>92364</v>
      </c>
      <c r="B1001" s="4">
        <f ca="1">IFERROR(__xludf.DUMMYFUNCTION("""COMPUTED_VALUE"""),44613)</f>
        <v>44613</v>
      </c>
      <c r="C1001" t="str">
        <f ca="1">IFERROR(__xludf.DUMMYFUNCTION("""COMPUTED_VALUE"""),"ЗАО ""ЭКОС"" 115-СТР от 01.01.2022")</f>
        <v>ЗАО "ЭКОС" 115-СТР от 01.01.2022</v>
      </c>
      <c r="D10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1" t="str">
        <f ca="1">IFERROR(__xludf.DUMMYFUNCTION("""COMPUTED_VALUE"""),"Новый")</f>
        <v>Новый</v>
      </c>
      <c r="G1001" s="68"/>
      <c r="K1001" s="68"/>
    </row>
    <row r="1002" spans="1:11" ht="12.75">
      <c r="A1002" s="69">
        <f ca="1">IFERROR(__xludf.DUMMYFUNCTION("""COMPUTED_VALUE"""),92365)</f>
        <v>92365</v>
      </c>
      <c r="B1002" s="4">
        <f ca="1">IFERROR(__xludf.DUMMYFUNCTION("""COMPUTED_VALUE"""),44613)</f>
        <v>44613</v>
      </c>
      <c r="C1002" t="str">
        <f ca="1">IFERROR(__xludf.DUMMYFUNCTION("""COMPUTED_VALUE"""),"ЗАО ""ЭКОС"" 115-СТР от 01.01.2022")</f>
        <v>ЗАО "ЭКОС" 115-СТР от 01.01.2022</v>
      </c>
      <c r="D10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2" t="str">
        <f ca="1">IFERROR(__xludf.DUMMYFUNCTION("""COMPUTED_VALUE"""),"Новый")</f>
        <v>Новый</v>
      </c>
      <c r="G1002" s="68"/>
      <c r="K1002" s="68"/>
    </row>
    <row r="1003" spans="1:11" ht="12.75">
      <c r="A1003" s="69">
        <f ca="1">IFERROR(__xludf.DUMMYFUNCTION("""COMPUTED_VALUE"""),92366)</f>
        <v>92366</v>
      </c>
      <c r="B1003" s="4">
        <f ca="1">IFERROR(__xludf.DUMMYFUNCTION("""COMPUTED_VALUE"""),44613)</f>
        <v>44613</v>
      </c>
      <c r="C1003" t="str">
        <f ca="1">IFERROR(__xludf.DUMMYFUNCTION("""COMPUTED_VALUE"""),"ЗАО ""ЭКОС"" 115-СТР от 01.01.2022")</f>
        <v>ЗАО "ЭКОС" 115-СТР от 01.01.2022</v>
      </c>
      <c r="D10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3" t="str">
        <f ca="1">IFERROR(__xludf.DUMMYFUNCTION("""COMPUTED_VALUE"""),"Новый")</f>
        <v>Новый</v>
      </c>
      <c r="G1003" s="68"/>
      <c r="K1003" s="68"/>
    </row>
    <row r="1004" spans="1:11" ht="12.75">
      <c r="A1004" s="69">
        <f ca="1">IFERROR(__xludf.DUMMYFUNCTION("""COMPUTED_VALUE"""),92367)</f>
        <v>92367</v>
      </c>
      <c r="B1004" s="4">
        <f ca="1">IFERROR(__xludf.DUMMYFUNCTION("""COMPUTED_VALUE"""),44613)</f>
        <v>44613</v>
      </c>
      <c r="C1004" t="str">
        <f ca="1">IFERROR(__xludf.DUMMYFUNCTION("""COMPUTED_VALUE"""),"ЗАО ""ЭКОС"" 115-СТР от 01.01.2022")</f>
        <v>ЗАО "ЭКОС" 115-СТР от 01.01.2022</v>
      </c>
      <c r="D10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4" t="str">
        <f ca="1">IFERROR(__xludf.DUMMYFUNCTION("""COMPUTED_VALUE"""),"Новый")</f>
        <v>Новый</v>
      </c>
      <c r="G1004" s="68"/>
      <c r="K1004" s="68"/>
    </row>
    <row r="1005" spans="1:11" ht="12.75">
      <c r="A1005" s="69">
        <f ca="1">IFERROR(__xludf.DUMMYFUNCTION("""COMPUTED_VALUE"""),92368)</f>
        <v>92368</v>
      </c>
      <c r="B1005" s="4">
        <f ca="1">IFERROR(__xludf.DUMMYFUNCTION("""COMPUTED_VALUE"""),44613)</f>
        <v>44613</v>
      </c>
      <c r="C1005" t="str">
        <f ca="1">IFERROR(__xludf.DUMMYFUNCTION("""COMPUTED_VALUE"""),"ЗАО ""ЭКОС"" 115-СТР от 01.01.2022")</f>
        <v>ЗАО "ЭКОС" 115-СТР от 01.01.2022</v>
      </c>
      <c r="D10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5" t="str">
        <f ca="1">IFERROR(__xludf.DUMMYFUNCTION("""COMPUTED_VALUE"""),"Новый")</f>
        <v>Новый</v>
      </c>
      <c r="G1005" s="68"/>
      <c r="K1005" s="68"/>
    </row>
    <row r="1006" spans="1:11" ht="12.75">
      <c r="A1006" s="69">
        <f ca="1">IFERROR(__xludf.DUMMYFUNCTION("""COMPUTED_VALUE"""),92369)</f>
        <v>92369</v>
      </c>
      <c r="B1006" s="4">
        <f ca="1">IFERROR(__xludf.DUMMYFUNCTION("""COMPUTED_VALUE"""),44613)</f>
        <v>44613</v>
      </c>
      <c r="C1006" t="str">
        <f ca="1">IFERROR(__xludf.DUMMYFUNCTION("""COMPUTED_VALUE"""),"ЗАО ""ЭКОС"" 115-СТР от 01.01.2022")</f>
        <v>ЗАО "ЭКОС" 115-СТР от 01.01.2022</v>
      </c>
      <c r="D10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6" t="str">
        <f ca="1">IFERROR(__xludf.DUMMYFUNCTION("""COMPUTED_VALUE"""),"Новый")</f>
        <v>Новый</v>
      </c>
      <c r="G1006" s="68"/>
      <c r="K1006" s="68"/>
    </row>
    <row r="1007" spans="1:11" ht="12.75">
      <c r="A1007" s="69">
        <f ca="1">IFERROR(__xludf.DUMMYFUNCTION("""COMPUTED_VALUE"""),92370)</f>
        <v>92370</v>
      </c>
      <c r="B1007" s="4">
        <f ca="1">IFERROR(__xludf.DUMMYFUNCTION("""COMPUTED_VALUE"""),44613)</f>
        <v>44613</v>
      </c>
      <c r="C1007" t="str">
        <f ca="1">IFERROR(__xludf.DUMMYFUNCTION("""COMPUTED_VALUE"""),"ЗАО ""ЭКОС"" 115-СТР от 01.01.2022")</f>
        <v>ЗАО "ЭКОС" 115-СТР от 01.01.2022</v>
      </c>
      <c r="D10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7" t="str">
        <f ca="1">IFERROR(__xludf.DUMMYFUNCTION("""COMPUTED_VALUE"""),"Новый")</f>
        <v>Новый</v>
      </c>
      <c r="G1007" s="68"/>
      <c r="K1007" s="68"/>
    </row>
    <row r="1008" spans="1:11" ht="12.75">
      <c r="A1008" s="69">
        <f ca="1">IFERROR(__xludf.DUMMYFUNCTION("""COMPUTED_VALUE"""),92371)</f>
        <v>92371</v>
      </c>
      <c r="B1008" s="4">
        <f ca="1">IFERROR(__xludf.DUMMYFUNCTION("""COMPUTED_VALUE"""),44613)</f>
        <v>44613</v>
      </c>
      <c r="C1008" t="str">
        <f ca="1">IFERROR(__xludf.DUMMYFUNCTION("""COMPUTED_VALUE"""),"ЗАО ""ЭКОС"" 115-СТР от 01.01.2022")</f>
        <v>ЗАО "ЭКОС" 115-СТР от 01.01.2022</v>
      </c>
      <c r="D10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8" t="str">
        <f ca="1">IFERROR(__xludf.DUMMYFUNCTION("""COMPUTED_VALUE"""),"Новый")</f>
        <v>Новый</v>
      </c>
      <c r="G1008" s="68"/>
      <c r="K1008" s="68"/>
    </row>
    <row r="1009" spans="1:11" ht="12.75">
      <c r="A1009" s="69">
        <f ca="1">IFERROR(__xludf.DUMMYFUNCTION("""COMPUTED_VALUE"""),92372)</f>
        <v>92372</v>
      </c>
      <c r="B1009" s="4">
        <f ca="1">IFERROR(__xludf.DUMMYFUNCTION("""COMPUTED_VALUE"""),44613)</f>
        <v>44613</v>
      </c>
      <c r="C1009" t="str">
        <f ca="1">IFERROR(__xludf.DUMMYFUNCTION("""COMPUTED_VALUE"""),"ЗАО ""ЭКОС"" 115-СТР от 01.01.2022")</f>
        <v>ЗАО "ЭКОС" 115-СТР от 01.01.2022</v>
      </c>
      <c r="D10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09" t="str">
        <f ca="1">IFERROR(__xludf.DUMMYFUNCTION("""COMPUTED_VALUE"""),"Новый")</f>
        <v>Новый</v>
      </c>
      <c r="G1009" s="68"/>
      <c r="K1009" s="68"/>
    </row>
    <row r="1010" spans="1:11" ht="12.75">
      <c r="A1010" s="69">
        <f ca="1">IFERROR(__xludf.DUMMYFUNCTION("""COMPUTED_VALUE"""),92373)</f>
        <v>92373</v>
      </c>
      <c r="B1010" s="4">
        <f ca="1">IFERROR(__xludf.DUMMYFUNCTION("""COMPUTED_VALUE"""),44613)</f>
        <v>44613</v>
      </c>
      <c r="C1010" t="str">
        <f ca="1">IFERROR(__xludf.DUMMYFUNCTION("""COMPUTED_VALUE"""),"ЗАО ""ЭКОС"" 115-СТР от 01.01.2022")</f>
        <v>ЗАО "ЭКОС" 115-СТР от 01.01.2022</v>
      </c>
      <c r="D10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0" t="str">
        <f ca="1">IFERROR(__xludf.DUMMYFUNCTION("""COMPUTED_VALUE"""),"Новый")</f>
        <v>Новый</v>
      </c>
      <c r="G1010" s="68"/>
      <c r="K1010" s="68"/>
    </row>
    <row r="1011" spans="1:11" ht="12.75">
      <c r="A1011" s="69">
        <f ca="1">IFERROR(__xludf.DUMMYFUNCTION("""COMPUTED_VALUE"""),92374)</f>
        <v>92374</v>
      </c>
      <c r="B1011" s="4">
        <f ca="1">IFERROR(__xludf.DUMMYFUNCTION("""COMPUTED_VALUE"""),44613)</f>
        <v>44613</v>
      </c>
      <c r="C1011" t="str">
        <f ca="1">IFERROR(__xludf.DUMMYFUNCTION("""COMPUTED_VALUE"""),"ЗАО ""ЭКОС"" 115-СТР от 01.01.2022")</f>
        <v>ЗАО "ЭКОС" 115-СТР от 01.01.2022</v>
      </c>
      <c r="D10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1" t="str">
        <f ca="1">IFERROR(__xludf.DUMMYFUNCTION("""COMPUTED_VALUE"""),"Новый")</f>
        <v>Новый</v>
      </c>
      <c r="G1011" s="68"/>
      <c r="K1011" s="68"/>
    </row>
    <row r="1012" spans="1:11" ht="12.75">
      <c r="A1012" s="69">
        <f ca="1">IFERROR(__xludf.DUMMYFUNCTION("""COMPUTED_VALUE"""),92375)</f>
        <v>92375</v>
      </c>
      <c r="B1012" s="4">
        <f ca="1">IFERROR(__xludf.DUMMYFUNCTION("""COMPUTED_VALUE"""),44613)</f>
        <v>44613</v>
      </c>
      <c r="C1012" t="str">
        <f ca="1">IFERROR(__xludf.DUMMYFUNCTION("""COMPUTED_VALUE"""),"ЗАО ""ЭКОС"" 115-СТР от 01.01.2022")</f>
        <v>ЗАО "ЭКОС" 115-СТР от 01.01.2022</v>
      </c>
      <c r="D10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2" t="str">
        <f ca="1">IFERROR(__xludf.DUMMYFUNCTION("""COMPUTED_VALUE"""),"Новый")</f>
        <v>Новый</v>
      </c>
      <c r="G1012" s="68"/>
      <c r="K1012" s="68"/>
    </row>
    <row r="1013" spans="1:11" ht="12.75">
      <c r="A1013" s="69">
        <f ca="1">IFERROR(__xludf.DUMMYFUNCTION("""COMPUTED_VALUE"""),92376)</f>
        <v>92376</v>
      </c>
      <c r="B1013" s="4">
        <f ca="1">IFERROR(__xludf.DUMMYFUNCTION("""COMPUTED_VALUE"""),44613)</f>
        <v>44613</v>
      </c>
      <c r="C1013" t="str">
        <f ca="1">IFERROR(__xludf.DUMMYFUNCTION("""COMPUTED_VALUE"""),"ЗАО ""ЭКОС"" 115-СТР от 01.01.2022")</f>
        <v>ЗАО "ЭКОС" 115-СТР от 01.01.2022</v>
      </c>
      <c r="D10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3" t="str">
        <f ca="1">IFERROR(__xludf.DUMMYFUNCTION("""COMPUTED_VALUE"""),"Новый")</f>
        <v>Новый</v>
      </c>
      <c r="G1013" s="68"/>
      <c r="K1013" s="68"/>
    </row>
    <row r="1014" spans="1:11" ht="12.75">
      <c r="A1014" s="69">
        <f ca="1">IFERROR(__xludf.DUMMYFUNCTION("""COMPUTED_VALUE"""),92377)</f>
        <v>92377</v>
      </c>
      <c r="B1014" s="4">
        <f ca="1">IFERROR(__xludf.DUMMYFUNCTION("""COMPUTED_VALUE"""),44613)</f>
        <v>44613</v>
      </c>
      <c r="C1014" t="str">
        <f ca="1">IFERROR(__xludf.DUMMYFUNCTION("""COMPUTED_VALUE"""),"ЗАО ""ЭКОС"" 115-СТР от 01.01.2022")</f>
        <v>ЗАО "ЭКОС" 115-СТР от 01.01.2022</v>
      </c>
      <c r="D10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4" t="str">
        <f ca="1">IFERROR(__xludf.DUMMYFUNCTION("""COMPUTED_VALUE"""),"Новый")</f>
        <v>Новый</v>
      </c>
      <c r="G1014" s="68"/>
      <c r="K1014" s="68"/>
    </row>
    <row r="1015" spans="1:11" ht="12.75">
      <c r="A1015" s="69">
        <f ca="1">IFERROR(__xludf.DUMMYFUNCTION("""COMPUTED_VALUE"""),92378)</f>
        <v>92378</v>
      </c>
      <c r="B1015" s="4">
        <f ca="1">IFERROR(__xludf.DUMMYFUNCTION("""COMPUTED_VALUE"""),44613)</f>
        <v>44613</v>
      </c>
      <c r="C1015" t="str">
        <f ca="1">IFERROR(__xludf.DUMMYFUNCTION("""COMPUTED_VALUE"""),"ЗАО ""ЭКОС"" 115-СТР от 01.01.2022")</f>
        <v>ЗАО "ЭКОС" 115-СТР от 01.01.2022</v>
      </c>
      <c r="D10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5" t="str">
        <f ca="1">IFERROR(__xludf.DUMMYFUNCTION("""COMPUTED_VALUE"""),"Новый")</f>
        <v>Новый</v>
      </c>
      <c r="G1015" s="68"/>
      <c r="K1015" s="68"/>
    </row>
    <row r="1016" spans="1:11" ht="12.75">
      <c r="A1016" s="69">
        <f ca="1">IFERROR(__xludf.DUMMYFUNCTION("""COMPUTED_VALUE"""),92379)</f>
        <v>92379</v>
      </c>
      <c r="B1016" s="4">
        <f ca="1">IFERROR(__xludf.DUMMYFUNCTION("""COMPUTED_VALUE"""),44613)</f>
        <v>44613</v>
      </c>
      <c r="C1016" t="str">
        <f ca="1">IFERROR(__xludf.DUMMYFUNCTION("""COMPUTED_VALUE"""),"ЗАО ""ЭКОС"" 115-СТР от 01.01.2022")</f>
        <v>ЗАО "ЭКОС" 115-СТР от 01.01.2022</v>
      </c>
      <c r="D10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6" t="str">
        <f ca="1">IFERROR(__xludf.DUMMYFUNCTION("""COMPUTED_VALUE"""),"Новый")</f>
        <v>Новый</v>
      </c>
      <c r="G1016" s="68"/>
      <c r="K1016" s="68"/>
    </row>
    <row r="1017" spans="1:11" ht="12.75">
      <c r="A1017" s="69">
        <f ca="1">IFERROR(__xludf.DUMMYFUNCTION("""COMPUTED_VALUE"""),92380)</f>
        <v>92380</v>
      </c>
      <c r="B1017" s="4">
        <f ca="1">IFERROR(__xludf.DUMMYFUNCTION("""COMPUTED_VALUE"""),44613)</f>
        <v>44613</v>
      </c>
      <c r="C1017" t="str">
        <f ca="1">IFERROR(__xludf.DUMMYFUNCTION("""COMPUTED_VALUE"""),"ЗАО ""ЭКОС"" 115-СТР от 01.01.2022")</f>
        <v>ЗАО "ЭКОС" 115-СТР от 01.01.2022</v>
      </c>
      <c r="D10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7" t="str">
        <f ca="1">IFERROR(__xludf.DUMMYFUNCTION("""COMPUTED_VALUE"""),"Новый")</f>
        <v>Новый</v>
      </c>
      <c r="G1017" s="68"/>
      <c r="K1017" s="68"/>
    </row>
    <row r="1018" spans="1:11" ht="12.75">
      <c r="A1018" s="69">
        <f ca="1">IFERROR(__xludf.DUMMYFUNCTION("""COMPUTED_VALUE"""),92381)</f>
        <v>92381</v>
      </c>
      <c r="B1018" s="4">
        <f ca="1">IFERROR(__xludf.DUMMYFUNCTION("""COMPUTED_VALUE"""),44613)</f>
        <v>44613</v>
      </c>
      <c r="C1018" t="str">
        <f ca="1">IFERROR(__xludf.DUMMYFUNCTION("""COMPUTED_VALUE"""),"ЗАО ""ЭКОС"" 115-СТР от 01.01.2022")</f>
        <v>ЗАО "ЭКОС" 115-СТР от 01.01.2022</v>
      </c>
      <c r="D10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8" t="str">
        <f ca="1">IFERROR(__xludf.DUMMYFUNCTION("""COMPUTED_VALUE"""),"Новый")</f>
        <v>Новый</v>
      </c>
      <c r="G1018" s="68"/>
      <c r="K1018" s="68"/>
    </row>
    <row r="1019" spans="1:11" ht="12.75">
      <c r="A1019" s="69">
        <f ca="1">IFERROR(__xludf.DUMMYFUNCTION("""COMPUTED_VALUE"""),92382)</f>
        <v>92382</v>
      </c>
      <c r="B1019" s="4">
        <f ca="1">IFERROR(__xludf.DUMMYFUNCTION("""COMPUTED_VALUE"""),44613)</f>
        <v>44613</v>
      </c>
      <c r="C1019" t="str">
        <f ca="1">IFERROR(__xludf.DUMMYFUNCTION("""COMPUTED_VALUE"""),"ЗАО ""ЭКОС"" 115-СТР от 01.01.2022")</f>
        <v>ЗАО "ЭКОС" 115-СТР от 01.01.2022</v>
      </c>
      <c r="D10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19" t="str">
        <f ca="1">IFERROR(__xludf.DUMMYFUNCTION("""COMPUTED_VALUE"""),"Новый")</f>
        <v>Новый</v>
      </c>
      <c r="G1019" s="68"/>
      <c r="K1019" s="68"/>
    </row>
    <row r="1020" spans="1:11" ht="12.75">
      <c r="A1020" s="69">
        <f ca="1">IFERROR(__xludf.DUMMYFUNCTION("""COMPUTED_VALUE"""),92383)</f>
        <v>92383</v>
      </c>
      <c r="B1020" s="4">
        <f ca="1">IFERROR(__xludf.DUMMYFUNCTION("""COMPUTED_VALUE"""),44613)</f>
        <v>44613</v>
      </c>
      <c r="C1020" t="str">
        <f ca="1">IFERROR(__xludf.DUMMYFUNCTION("""COMPUTED_VALUE"""),"ЗАО ""ЭКОС"" 115-СТР от 01.01.2022")</f>
        <v>ЗАО "ЭКОС" 115-СТР от 01.01.2022</v>
      </c>
      <c r="D10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0" t="str">
        <f ca="1">IFERROR(__xludf.DUMMYFUNCTION("""COMPUTED_VALUE"""),"Новый")</f>
        <v>Новый</v>
      </c>
      <c r="G1020" s="68"/>
      <c r="K1020" s="68"/>
    </row>
    <row r="1021" spans="1:11" ht="12.75">
      <c r="A1021" s="69">
        <f ca="1">IFERROR(__xludf.DUMMYFUNCTION("""COMPUTED_VALUE"""),92384)</f>
        <v>92384</v>
      </c>
      <c r="B1021" s="4">
        <f ca="1">IFERROR(__xludf.DUMMYFUNCTION("""COMPUTED_VALUE"""),44613)</f>
        <v>44613</v>
      </c>
      <c r="C1021" t="str">
        <f ca="1">IFERROR(__xludf.DUMMYFUNCTION("""COMPUTED_VALUE"""),"ЗАО ""ЭКОС"" 115-СТР от 01.01.2022")</f>
        <v>ЗАО "ЭКОС" 115-СТР от 01.01.2022</v>
      </c>
      <c r="D10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1" t="str">
        <f ca="1">IFERROR(__xludf.DUMMYFUNCTION("""COMPUTED_VALUE"""),"Новый")</f>
        <v>Новый</v>
      </c>
      <c r="G1021" s="68"/>
      <c r="K1021" s="68"/>
    </row>
    <row r="1022" spans="1:11" ht="12.75">
      <c r="A1022" s="69">
        <f ca="1">IFERROR(__xludf.DUMMYFUNCTION("""COMPUTED_VALUE"""),92385)</f>
        <v>92385</v>
      </c>
      <c r="B1022" s="4">
        <f ca="1">IFERROR(__xludf.DUMMYFUNCTION("""COMPUTED_VALUE"""),44613)</f>
        <v>44613</v>
      </c>
      <c r="C1022" t="str">
        <f ca="1">IFERROR(__xludf.DUMMYFUNCTION("""COMPUTED_VALUE"""),"ЗАО ""ЭКОС"" 115-СТР от 01.01.2022")</f>
        <v>ЗАО "ЭКОС" 115-СТР от 01.01.2022</v>
      </c>
      <c r="D10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2" t="str">
        <f ca="1">IFERROR(__xludf.DUMMYFUNCTION("""COMPUTED_VALUE"""),"Новый")</f>
        <v>Новый</v>
      </c>
      <c r="G1022" s="68"/>
      <c r="K1022" s="68"/>
    </row>
    <row r="1023" spans="1:11" ht="12.75">
      <c r="A1023" s="69">
        <f ca="1">IFERROR(__xludf.DUMMYFUNCTION("""COMPUTED_VALUE"""),92386)</f>
        <v>92386</v>
      </c>
      <c r="B1023" s="4">
        <f ca="1">IFERROR(__xludf.DUMMYFUNCTION("""COMPUTED_VALUE"""),44613)</f>
        <v>44613</v>
      </c>
      <c r="C1023" t="str">
        <f ca="1">IFERROR(__xludf.DUMMYFUNCTION("""COMPUTED_VALUE"""),"ЗАО ""ЭКОС"" 115-СТР от 01.01.2022")</f>
        <v>ЗАО "ЭКОС" 115-СТР от 01.01.2022</v>
      </c>
      <c r="D10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3" t="str">
        <f ca="1">IFERROR(__xludf.DUMMYFUNCTION("""COMPUTED_VALUE"""),"Новый")</f>
        <v>Новый</v>
      </c>
      <c r="G1023" s="68"/>
      <c r="K1023" s="68"/>
    </row>
    <row r="1024" spans="1:11" ht="12.75">
      <c r="A1024" s="69">
        <f ca="1">IFERROR(__xludf.DUMMYFUNCTION("""COMPUTED_VALUE"""),92387)</f>
        <v>92387</v>
      </c>
      <c r="B1024" s="4">
        <f ca="1">IFERROR(__xludf.DUMMYFUNCTION("""COMPUTED_VALUE"""),44613)</f>
        <v>44613</v>
      </c>
      <c r="C1024" t="str">
        <f ca="1">IFERROR(__xludf.DUMMYFUNCTION("""COMPUTED_VALUE"""),"ЗАО ""ЭКОС"" 115-СТР от 01.01.2022")</f>
        <v>ЗАО "ЭКОС" 115-СТР от 01.01.2022</v>
      </c>
      <c r="D10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4" t="str">
        <f ca="1">IFERROR(__xludf.DUMMYFUNCTION("""COMPUTED_VALUE"""),"Новый")</f>
        <v>Новый</v>
      </c>
      <c r="G1024" s="68"/>
      <c r="K1024" s="68"/>
    </row>
    <row r="1025" spans="1:11" ht="12.75">
      <c r="A1025" s="69">
        <f ca="1">IFERROR(__xludf.DUMMYFUNCTION("""COMPUTED_VALUE"""),92388)</f>
        <v>92388</v>
      </c>
      <c r="B1025" s="4">
        <f ca="1">IFERROR(__xludf.DUMMYFUNCTION("""COMPUTED_VALUE"""),44613)</f>
        <v>44613</v>
      </c>
      <c r="C1025" t="str">
        <f ca="1">IFERROR(__xludf.DUMMYFUNCTION("""COMPUTED_VALUE"""),"ЗАО ""ЭКОС"" 115-СТР от 01.01.2022")</f>
        <v>ЗАО "ЭКОС" 115-СТР от 01.01.2022</v>
      </c>
      <c r="D10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5" t="str">
        <f ca="1">IFERROR(__xludf.DUMMYFUNCTION("""COMPUTED_VALUE"""),"Новый")</f>
        <v>Новый</v>
      </c>
      <c r="G1025" s="68"/>
      <c r="K1025" s="68"/>
    </row>
    <row r="1026" spans="1:11" ht="12.75">
      <c r="A1026" s="69">
        <f ca="1">IFERROR(__xludf.DUMMYFUNCTION("""COMPUTED_VALUE"""),92389)</f>
        <v>92389</v>
      </c>
      <c r="B1026" s="4">
        <f ca="1">IFERROR(__xludf.DUMMYFUNCTION("""COMPUTED_VALUE"""),44613)</f>
        <v>44613</v>
      </c>
      <c r="C1026" t="str">
        <f ca="1">IFERROR(__xludf.DUMMYFUNCTION("""COMPUTED_VALUE"""),"ЗАО ""ЭКОС"" 115-СТР от 01.01.2022")</f>
        <v>ЗАО "ЭКОС" 115-СТР от 01.01.2022</v>
      </c>
      <c r="D10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6" t="str">
        <f ca="1">IFERROR(__xludf.DUMMYFUNCTION("""COMPUTED_VALUE"""),"Новый")</f>
        <v>Новый</v>
      </c>
      <c r="G1026" s="68"/>
      <c r="K1026" s="68"/>
    </row>
    <row r="1027" spans="1:11" ht="12.75">
      <c r="A1027" s="69">
        <f ca="1">IFERROR(__xludf.DUMMYFUNCTION("""COMPUTED_VALUE"""),92390)</f>
        <v>92390</v>
      </c>
      <c r="B1027" s="4">
        <f ca="1">IFERROR(__xludf.DUMMYFUNCTION("""COMPUTED_VALUE"""),44613)</f>
        <v>44613</v>
      </c>
      <c r="C1027" t="str">
        <f ca="1">IFERROR(__xludf.DUMMYFUNCTION("""COMPUTED_VALUE"""),"ЗАО ""ЭКОС"" 115-СТР от 01.01.2022")</f>
        <v>ЗАО "ЭКОС" 115-СТР от 01.01.2022</v>
      </c>
      <c r="D10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7" t="str">
        <f ca="1">IFERROR(__xludf.DUMMYFUNCTION("""COMPUTED_VALUE"""),"Новый")</f>
        <v>Новый</v>
      </c>
      <c r="G1027" s="68"/>
      <c r="K1027" s="68"/>
    </row>
    <row r="1028" spans="1:11" ht="12.75">
      <c r="A1028" s="69">
        <f ca="1">IFERROR(__xludf.DUMMYFUNCTION("""COMPUTED_VALUE"""),92391)</f>
        <v>92391</v>
      </c>
      <c r="B1028" s="4">
        <f ca="1">IFERROR(__xludf.DUMMYFUNCTION("""COMPUTED_VALUE"""),44613)</f>
        <v>44613</v>
      </c>
      <c r="C1028" t="str">
        <f ca="1">IFERROR(__xludf.DUMMYFUNCTION("""COMPUTED_VALUE"""),"ЗАО ""ЭКОС"" 115-СТР от 01.01.2022")</f>
        <v>ЗАО "ЭКОС" 115-СТР от 01.01.2022</v>
      </c>
      <c r="D10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8" t="str">
        <f ca="1">IFERROR(__xludf.DUMMYFUNCTION("""COMPUTED_VALUE"""),"Новый")</f>
        <v>Новый</v>
      </c>
      <c r="G1028" s="68"/>
      <c r="K1028" s="68"/>
    </row>
    <row r="1029" spans="1:11" ht="12.75">
      <c r="A1029" s="69">
        <f ca="1">IFERROR(__xludf.DUMMYFUNCTION("""COMPUTED_VALUE"""),92392)</f>
        <v>92392</v>
      </c>
      <c r="B1029" s="4">
        <f ca="1">IFERROR(__xludf.DUMMYFUNCTION("""COMPUTED_VALUE"""),44613)</f>
        <v>44613</v>
      </c>
      <c r="C1029" t="str">
        <f ca="1">IFERROR(__xludf.DUMMYFUNCTION("""COMPUTED_VALUE"""),"ЗАО ""ЭКОС"" 115-СТР от 01.01.2022")</f>
        <v>ЗАО "ЭКОС" 115-СТР от 01.01.2022</v>
      </c>
      <c r="D10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29" t="str">
        <f ca="1">IFERROR(__xludf.DUMMYFUNCTION("""COMPUTED_VALUE"""),"Новый")</f>
        <v>Новый</v>
      </c>
      <c r="G1029" s="68"/>
      <c r="K1029" s="68"/>
    </row>
    <row r="1030" spans="1:11" ht="12.75">
      <c r="A1030" s="69">
        <f ca="1">IFERROR(__xludf.DUMMYFUNCTION("""COMPUTED_VALUE"""),92393)</f>
        <v>92393</v>
      </c>
      <c r="B1030" s="4">
        <f ca="1">IFERROR(__xludf.DUMMYFUNCTION("""COMPUTED_VALUE"""),44613)</f>
        <v>44613</v>
      </c>
      <c r="C1030" t="str">
        <f ca="1">IFERROR(__xludf.DUMMYFUNCTION("""COMPUTED_VALUE"""),"ЗАО ""ЭКОС"" 115-СТР от 01.01.2022")</f>
        <v>ЗАО "ЭКОС" 115-СТР от 01.01.2022</v>
      </c>
      <c r="D10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0" t="str">
        <f ca="1">IFERROR(__xludf.DUMMYFUNCTION("""COMPUTED_VALUE"""),"Новый")</f>
        <v>Новый</v>
      </c>
      <c r="G1030" s="68"/>
      <c r="K1030" s="68"/>
    </row>
    <row r="1031" spans="1:11" ht="12.75">
      <c r="A1031" s="69">
        <f ca="1">IFERROR(__xludf.DUMMYFUNCTION("""COMPUTED_VALUE"""),92394)</f>
        <v>92394</v>
      </c>
      <c r="B1031" s="4">
        <f ca="1">IFERROR(__xludf.DUMMYFUNCTION("""COMPUTED_VALUE"""),44613)</f>
        <v>44613</v>
      </c>
      <c r="C1031" t="str">
        <f ca="1">IFERROR(__xludf.DUMMYFUNCTION("""COMPUTED_VALUE"""),"ЗАО ""ЭКОС"" 115-СТР от 01.01.2022")</f>
        <v>ЗАО "ЭКОС" 115-СТР от 01.01.2022</v>
      </c>
      <c r="D10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1" t="str">
        <f ca="1">IFERROR(__xludf.DUMMYFUNCTION("""COMPUTED_VALUE"""),"Новый")</f>
        <v>Новый</v>
      </c>
      <c r="G1031" s="68"/>
      <c r="K1031" s="68"/>
    </row>
    <row r="1032" spans="1:11" ht="12.75">
      <c r="A1032" s="69">
        <f ca="1">IFERROR(__xludf.DUMMYFUNCTION("""COMPUTED_VALUE"""),92395)</f>
        <v>92395</v>
      </c>
      <c r="B1032" s="4">
        <f ca="1">IFERROR(__xludf.DUMMYFUNCTION("""COMPUTED_VALUE"""),44613)</f>
        <v>44613</v>
      </c>
      <c r="C1032" t="str">
        <f ca="1">IFERROR(__xludf.DUMMYFUNCTION("""COMPUTED_VALUE"""),"ЗАО ""ЭКОС"" 115-СТР от 01.01.2022")</f>
        <v>ЗАО "ЭКОС" 115-СТР от 01.01.2022</v>
      </c>
      <c r="D10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2" t="str">
        <f ca="1">IFERROR(__xludf.DUMMYFUNCTION("""COMPUTED_VALUE"""),"Новый")</f>
        <v>Новый</v>
      </c>
      <c r="G1032" s="68"/>
      <c r="K1032" s="68"/>
    </row>
    <row r="1033" spans="1:11" ht="12.75">
      <c r="A1033" s="69">
        <f ca="1">IFERROR(__xludf.DUMMYFUNCTION("""COMPUTED_VALUE"""),92396)</f>
        <v>92396</v>
      </c>
      <c r="B1033" s="4">
        <f ca="1">IFERROR(__xludf.DUMMYFUNCTION("""COMPUTED_VALUE"""),44613)</f>
        <v>44613</v>
      </c>
      <c r="C1033" t="str">
        <f ca="1">IFERROR(__xludf.DUMMYFUNCTION("""COMPUTED_VALUE"""),"ЗАО ""ЭКОС"" 115-СТР от 01.01.2022")</f>
        <v>ЗАО "ЭКОС" 115-СТР от 01.01.2022</v>
      </c>
      <c r="D10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3" t="str">
        <f ca="1">IFERROR(__xludf.DUMMYFUNCTION("""COMPUTED_VALUE"""),"Новый")</f>
        <v>Новый</v>
      </c>
      <c r="G1033" s="68"/>
      <c r="K1033" s="68"/>
    </row>
    <row r="1034" spans="1:11" ht="12.75">
      <c r="A1034" s="69">
        <f ca="1">IFERROR(__xludf.DUMMYFUNCTION("""COMPUTED_VALUE"""),92397)</f>
        <v>92397</v>
      </c>
      <c r="B1034" s="4">
        <f ca="1">IFERROR(__xludf.DUMMYFUNCTION("""COMPUTED_VALUE"""),44613)</f>
        <v>44613</v>
      </c>
      <c r="C1034" t="str">
        <f ca="1">IFERROR(__xludf.DUMMYFUNCTION("""COMPUTED_VALUE"""),"ЗАО ""ЭКОС"" 115-СТР от 01.01.2022")</f>
        <v>ЗАО "ЭКОС" 115-СТР от 01.01.2022</v>
      </c>
      <c r="D10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4" t="str">
        <f ca="1">IFERROR(__xludf.DUMMYFUNCTION("""COMPUTED_VALUE"""),"Новый")</f>
        <v>Новый</v>
      </c>
      <c r="G1034" s="68"/>
      <c r="K1034" s="68"/>
    </row>
    <row r="1035" spans="1:11" ht="12.75">
      <c r="A1035" s="69">
        <f ca="1">IFERROR(__xludf.DUMMYFUNCTION("""COMPUTED_VALUE"""),92398)</f>
        <v>92398</v>
      </c>
      <c r="B1035" s="4">
        <f ca="1">IFERROR(__xludf.DUMMYFUNCTION("""COMPUTED_VALUE"""),44613)</f>
        <v>44613</v>
      </c>
      <c r="C1035" t="str">
        <f ca="1">IFERROR(__xludf.DUMMYFUNCTION("""COMPUTED_VALUE"""),"ЗАО ""ЭКОС"" 115-СТР от 01.01.2022")</f>
        <v>ЗАО "ЭКОС" 115-СТР от 01.01.2022</v>
      </c>
      <c r="D10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5" t="str">
        <f ca="1">IFERROR(__xludf.DUMMYFUNCTION("""COMPUTED_VALUE"""),"Новый")</f>
        <v>Новый</v>
      </c>
      <c r="G1035" s="68"/>
      <c r="K1035" s="68"/>
    </row>
    <row r="1036" spans="1:11" ht="12.75">
      <c r="A1036" s="69">
        <f ca="1">IFERROR(__xludf.DUMMYFUNCTION("""COMPUTED_VALUE"""),92399)</f>
        <v>92399</v>
      </c>
      <c r="B1036" s="4">
        <f ca="1">IFERROR(__xludf.DUMMYFUNCTION("""COMPUTED_VALUE"""),44613)</f>
        <v>44613</v>
      </c>
      <c r="C1036" t="str">
        <f ca="1">IFERROR(__xludf.DUMMYFUNCTION("""COMPUTED_VALUE"""),"ЗАО ""ЭКОС"" 115-СТР от 01.01.2022")</f>
        <v>ЗАО "ЭКОС" 115-СТР от 01.01.2022</v>
      </c>
      <c r="D10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6" t="str">
        <f ca="1">IFERROR(__xludf.DUMMYFUNCTION("""COMPUTED_VALUE"""),"Новый")</f>
        <v>Новый</v>
      </c>
      <c r="G1036" s="68"/>
      <c r="K1036" s="68"/>
    </row>
    <row r="1037" spans="1:11" ht="12.75">
      <c r="A1037" s="69">
        <f ca="1">IFERROR(__xludf.DUMMYFUNCTION("""COMPUTED_VALUE"""),92400)</f>
        <v>92400</v>
      </c>
      <c r="B1037" s="4">
        <f ca="1">IFERROR(__xludf.DUMMYFUNCTION("""COMPUTED_VALUE"""),44613)</f>
        <v>44613</v>
      </c>
      <c r="C1037" t="str">
        <f ca="1">IFERROR(__xludf.DUMMYFUNCTION("""COMPUTED_VALUE"""),"ЗАО ""ЭКОС"" 115-СТР от 01.01.2022")</f>
        <v>ЗАО "ЭКОС" 115-СТР от 01.01.2022</v>
      </c>
      <c r="D10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7" t="str">
        <f ca="1">IFERROR(__xludf.DUMMYFUNCTION("""COMPUTED_VALUE"""),"Новый")</f>
        <v>Новый</v>
      </c>
      <c r="G1037" s="68"/>
      <c r="K1037" s="68"/>
    </row>
    <row r="1038" spans="1:11" ht="12.75">
      <c r="A1038" s="69">
        <f ca="1">IFERROR(__xludf.DUMMYFUNCTION("""COMPUTED_VALUE"""),92401)</f>
        <v>92401</v>
      </c>
      <c r="B1038" s="4">
        <f ca="1">IFERROR(__xludf.DUMMYFUNCTION("""COMPUTED_VALUE"""),44613)</f>
        <v>44613</v>
      </c>
      <c r="C1038" t="str">
        <f ca="1">IFERROR(__xludf.DUMMYFUNCTION("""COMPUTED_VALUE"""),"ЗАО ""ЭКОС"" 115-СТР от 01.01.2022")</f>
        <v>ЗАО "ЭКОС" 115-СТР от 01.01.2022</v>
      </c>
      <c r="D10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8" t="str">
        <f ca="1">IFERROR(__xludf.DUMMYFUNCTION("""COMPUTED_VALUE"""),"Новый")</f>
        <v>Новый</v>
      </c>
      <c r="G1038" s="68"/>
      <c r="K1038" s="68"/>
    </row>
    <row r="1039" spans="1:11" ht="12.75">
      <c r="A1039" s="69">
        <f ca="1">IFERROR(__xludf.DUMMYFUNCTION("""COMPUTED_VALUE"""),92402)</f>
        <v>92402</v>
      </c>
      <c r="B1039" s="4">
        <f ca="1">IFERROR(__xludf.DUMMYFUNCTION("""COMPUTED_VALUE"""),44613)</f>
        <v>44613</v>
      </c>
      <c r="C1039" t="str">
        <f ca="1">IFERROR(__xludf.DUMMYFUNCTION("""COMPUTED_VALUE"""),"ЗАО ""ЭКОС"" 115-СТР от 01.01.2022")</f>
        <v>ЗАО "ЭКОС" 115-СТР от 01.01.2022</v>
      </c>
      <c r="D10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39" t="str">
        <f ca="1">IFERROR(__xludf.DUMMYFUNCTION("""COMPUTED_VALUE"""),"Новый")</f>
        <v>Новый</v>
      </c>
      <c r="G1039" s="68"/>
      <c r="K1039" s="68"/>
    </row>
    <row r="1040" spans="1:11" ht="12.75">
      <c r="A1040" s="69">
        <f ca="1">IFERROR(__xludf.DUMMYFUNCTION("""COMPUTED_VALUE"""),92403)</f>
        <v>92403</v>
      </c>
      <c r="B1040" s="4">
        <f ca="1">IFERROR(__xludf.DUMMYFUNCTION("""COMPUTED_VALUE"""),44613)</f>
        <v>44613</v>
      </c>
      <c r="C1040" t="str">
        <f ca="1">IFERROR(__xludf.DUMMYFUNCTION("""COMPUTED_VALUE"""),"ЗАО ""ЭКОС"" 115-СТР от 01.01.2022")</f>
        <v>ЗАО "ЭКОС" 115-СТР от 01.01.2022</v>
      </c>
      <c r="D10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0" t="str">
        <f ca="1">IFERROR(__xludf.DUMMYFUNCTION("""COMPUTED_VALUE"""),"Новый")</f>
        <v>Новый</v>
      </c>
      <c r="G1040" s="68"/>
      <c r="K1040" s="68"/>
    </row>
    <row r="1041" spans="1:11" ht="12.75">
      <c r="A1041" s="69">
        <f ca="1">IFERROR(__xludf.DUMMYFUNCTION("""COMPUTED_VALUE"""),92404)</f>
        <v>92404</v>
      </c>
      <c r="B1041" s="4">
        <f ca="1">IFERROR(__xludf.DUMMYFUNCTION("""COMPUTED_VALUE"""),44613)</f>
        <v>44613</v>
      </c>
      <c r="C1041" t="str">
        <f ca="1">IFERROR(__xludf.DUMMYFUNCTION("""COMPUTED_VALUE"""),"ЗАО ""ЭКОС"" 115-СТР от 01.01.2022")</f>
        <v>ЗАО "ЭКОС" 115-СТР от 01.01.2022</v>
      </c>
      <c r="D10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1" t="str">
        <f ca="1">IFERROR(__xludf.DUMMYFUNCTION("""COMPUTED_VALUE"""),"Новый")</f>
        <v>Новый</v>
      </c>
      <c r="G1041" s="68"/>
      <c r="K1041" s="68"/>
    </row>
    <row r="1042" spans="1:11" ht="12.75">
      <c r="A1042" s="69">
        <f ca="1">IFERROR(__xludf.DUMMYFUNCTION("""COMPUTED_VALUE"""),92405)</f>
        <v>92405</v>
      </c>
      <c r="B1042" s="4">
        <f ca="1">IFERROR(__xludf.DUMMYFUNCTION("""COMPUTED_VALUE"""),44613)</f>
        <v>44613</v>
      </c>
      <c r="C1042" t="str">
        <f ca="1">IFERROR(__xludf.DUMMYFUNCTION("""COMPUTED_VALUE"""),"ЗАО ""ЭКОС"" 115-СТР от 01.01.2022")</f>
        <v>ЗАО "ЭКОС" 115-СТР от 01.01.2022</v>
      </c>
      <c r="D10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2" t="str">
        <f ca="1">IFERROR(__xludf.DUMMYFUNCTION("""COMPUTED_VALUE"""),"Новый")</f>
        <v>Новый</v>
      </c>
      <c r="G1042" s="68"/>
      <c r="K1042" s="68"/>
    </row>
    <row r="1043" spans="1:11" ht="12.75">
      <c r="A1043" s="69">
        <f ca="1">IFERROR(__xludf.DUMMYFUNCTION("""COMPUTED_VALUE"""),92406)</f>
        <v>92406</v>
      </c>
      <c r="B1043" s="4">
        <f ca="1">IFERROR(__xludf.DUMMYFUNCTION("""COMPUTED_VALUE"""),44613)</f>
        <v>44613</v>
      </c>
      <c r="C1043" t="str">
        <f ca="1">IFERROR(__xludf.DUMMYFUNCTION("""COMPUTED_VALUE"""),"ЗАО ""ЭКОС"" 115-СТР от 01.01.2022")</f>
        <v>ЗАО "ЭКОС" 115-СТР от 01.01.2022</v>
      </c>
      <c r="D10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3" t="str">
        <f ca="1">IFERROR(__xludf.DUMMYFUNCTION("""COMPUTED_VALUE"""),"Новый")</f>
        <v>Новый</v>
      </c>
      <c r="G1043" s="68"/>
      <c r="K1043" s="68"/>
    </row>
    <row r="1044" spans="1:11" ht="12.75">
      <c r="A1044" s="69">
        <f ca="1">IFERROR(__xludf.DUMMYFUNCTION("""COMPUTED_VALUE"""),92407)</f>
        <v>92407</v>
      </c>
      <c r="B1044" s="4">
        <f ca="1">IFERROR(__xludf.DUMMYFUNCTION("""COMPUTED_VALUE"""),44613)</f>
        <v>44613</v>
      </c>
      <c r="C1044" t="str">
        <f ca="1">IFERROR(__xludf.DUMMYFUNCTION("""COMPUTED_VALUE"""),"ЗАО ""ЭКОС"" 115-СТР от 01.01.2022")</f>
        <v>ЗАО "ЭКОС" 115-СТР от 01.01.2022</v>
      </c>
      <c r="D10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4" t="str">
        <f ca="1">IFERROR(__xludf.DUMMYFUNCTION("""COMPUTED_VALUE"""),"Новый")</f>
        <v>Новый</v>
      </c>
      <c r="G1044" s="68"/>
      <c r="K1044" s="68"/>
    </row>
    <row r="1045" spans="1:11" ht="12.75">
      <c r="A1045" s="69">
        <f ca="1">IFERROR(__xludf.DUMMYFUNCTION("""COMPUTED_VALUE"""),92408)</f>
        <v>92408</v>
      </c>
      <c r="B1045" s="4">
        <f ca="1">IFERROR(__xludf.DUMMYFUNCTION("""COMPUTED_VALUE"""),44613)</f>
        <v>44613</v>
      </c>
      <c r="C1045" t="str">
        <f ca="1">IFERROR(__xludf.DUMMYFUNCTION("""COMPUTED_VALUE"""),"ЗАО ""ЭКОС"" 115-СТР от 01.01.2022")</f>
        <v>ЗАО "ЭКОС" 115-СТР от 01.01.2022</v>
      </c>
      <c r="D10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5" t="str">
        <f ca="1">IFERROR(__xludf.DUMMYFUNCTION("""COMPUTED_VALUE"""),"Новый")</f>
        <v>Новый</v>
      </c>
      <c r="G1045" s="68"/>
      <c r="K1045" s="68"/>
    </row>
    <row r="1046" spans="1:11" ht="12.75">
      <c r="A1046" s="69">
        <f ca="1">IFERROR(__xludf.DUMMYFUNCTION("""COMPUTED_VALUE"""),92409)</f>
        <v>92409</v>
      </c>
      <c r="B1046" s="4">
        <f ca="1">IFERROR(__xludf.DUMMYFUNCTION("""COMPUTED_VALUE"""),44613)</f>
        <v>44613</v>
      </c>
      <c r="C1046" t="str">
        <f ca="1">IFERROR(__xludf.DUMMYFUNCTION("""COMPUTED_VALUE"""),"ЗАО ""ЭКОС"" 115-СТР от 01.01.2022")</f>
        <v>ЗАО "ЭКОС" 115-СТР от 01.01.2022</v>
      </c>
      <c r="D10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6" t="str">
        <f ca="1">IFERROR(__xludf.DUMMYFUNCTION("""COMPUTED_VALUE"""),"Новый")</f>
        <v>Новый</v>
      </c>
      <c r="G1046" s="68"/>
      <c r="K1046" s="68"/>
    </row>
    <row r="1047" spans="1:11" ht="12.75">
      <c r="A1047" s="69">
        <f ca="1">IFERROR(__xludf.DUMMYFUNCTION("""COMPUTED_VALUE"""),92410)</f>
        <v>92410</v>
      </c>
      <c r="B1047" s="4">
        <f ca="1">IFERROR(__xludf.DUMMYFUNCTION("""COMPUTED_VALUE"""),44613)</f>
        <v>44613</v>
      </c>
      <c r="C1047" t="str">
        <f ca="1">IFERROR(__xludf.DUMMYFUNCTION("""COMPUTED_VALUE"""),"ЗАО ""ЭКОС"" 115-СТР от 01.01.2022")</f>
        <v>ЗАО "ЭКОС" 115-СТР от 01.01.2022</v>
      </c>
      <c r="D10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7" t="str">
        <f ca="1">IFERROR(__xludf.DUMMYFUNCTION("""COMPUTED_VALUE"""),"Новый")</f>
        <v>Новый</v>
      </c>
      <c r="G1047" s="68"/>
      <c r="K1047" s="68"/>
    </row>
    <row r="1048" spans="1:11" ht="12.75">
      <c r="A1048" s="69">
        <f ca="1">IFERROR(__xludf.DUMMYFUNCTION("""COMPUTED_VALUE"""),92411)</f>
        <v>92411</v>
      </c>
      <c r="B1048" s="4">
        <f ca="1">IFERROR(__xludf.DUMMYFUNCTION("""COMPUTED_VALUE"""),44613)</f>
        <v>44613</v>
      </c>
      <c r="C1048" t="str">
        <f ca="1">IFERROR(__xludf.DUMMYFUNCTION("""COMPUTED_VALUE"""),"ЗАО ""ЭКОС"" 115-СТР от 01.01.2022")</f>
        <v>ЗАО "ЭКОС" 115-СТР от 01.01.2022</v>
      </c>
      <c r="D10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8" t="str">
        <f ca="1">IFERROR(__xludf.DUMMYFUNCTION("""COMPUTED_VALUE"""),"Новый")</f>
        <v>Новый</v>
      </c>
      <c r="G1048" s="68"/>
      <c r="K1048" s="68"/>
    </row>
    <row r="1049" spans="1:11" ht="12.75">
      <c r="A1049" s="69">
        <f ca="1">IFERROR(__xludf.DUMMYFUNCTION("""COMPUTED_VALUE"""),92412)</f>
        <v>92412</v>
      </c>
      <c r="B1049" s="4">
        <f ca="1">IFERROR(__xludf.DUMMYFUNCTION("""COMPUTED_VALUE"""),44613)</f>
        <v>44613</v>
      </c>
      <c r="C1049" t="str">
        <f ca="1">IFERROR(__xludf.DUMMYFUNCTION("""COMPUTED_VALUE"""),"ЗАО ""ЭКОС"" 115-СТР от 01.01.2022")</f>
        <v>ЗАО "ЭКОС" 115-СТР от 01.01.2022</v>
      </c>
      <c r="D10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49" t="str">
        <f ca="1">IFERROR(__xludf.DUMMYFUNCTION("""COMPUTED_VALUE"""),"Новый")</f>
        <v>Новый</v>
      </c>
      <c r="G1049" s="68"/>
      <c r="K1049" s="68"/>
    </row>
    <row r="1050" spans="1:11" ht="12.75">
      <c r="A1050" s="69">
        <f ca="1">IFERROR(__xludf.DUMMYFUNCTION("""COMPUTED_VALUE"""),92413)</f>
        <v>92413</v>
      </c>
      <c r="B1050" s="4">
        <f ca="1">IFERROR(__xludf.DUMMYFUNCTION("""COMPUTED_VALUE"""),44613)</f>
        <v>44613</v>
      </c>
      <c r="C1050" t="str">
        <f ca="1">IFERROR(__xludf.DUMMYFUNCTION("""COMPUTED_VALUE"""),"ЗАО ""ЭКОС"" 115-СТР от 01.01.2022")</f>
        <v>ЗАО "ЭКОС" 115-СТР от 01.01.2022</v>
      </c>
      <c r="D10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0" t="str">
        <f ca="1">IFERROR(__xludf.DUMMYFUNCTION("""COMPUTED_VALUE"""),"Новый")</f>
        <v>Новый</v>
      </c>
      <c r="G1050" s="68"/>
      <c r="K1050" s="68"/>
    </row>
    <row r="1051" spans="1:11" ht="12.75">
      <c r="A1051" s="69">
        <f ca="1">IFERROR(__xludf.DUMMYFUNCTION("""COMPUTED_VALUE"""),92414)</f>
        <v>92414</v>
      </c>
      <c r="B1051" s="4">
        <f ca="1">IFERROR(__xludf.DUMMYFUNCTION("""COMPUTED_VALUE"""),44613)</f>
        <v>44613</v>
      </c>
      <c r="C1051" t="str">
        <f ca="1">IFERROR(__xludf.DUMMYFUNCTION("""COMPUTED_VALUE"""),"ЗАО ""ЭКОС"" 115-СТР от 01.01.2022")</f>
        <v>ЗАО "ЭКОС" 115-СТР от 01.01.2022</v>
      </c>
      <c r="D10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1" t="str">
        <f ca="1">IFERROR(__xludf.DUMMYFUNCTION("""COMPUTED_VALUE"""),"Новый")</f>
        <v>Новый</v>
      </c>
      <c r="G1051" s="68"/>
      <c r="K1051" s="68"/>
    </row>
    <row r="1052" spans="1:11" ht="12.75">
      <c r="A1052" s="69">
        <f ca="1">IFERROR(__xludf.DUMMYFUNCTION("""COMPUTED_VALUE"""),92415)</f>
        <v>92415</v>
      </c>
      <c r="B1052" s="4">
        <f ca="1">IFERROR(__xludf.DUMMYFUNCTION("""COMPUTED_VALUE"""),44613)</f>
        <v>44613</v>
      </c>
      <c r="C1052" t="str">
        <f ca="1">IFERROR(__xludf.DUMMYFUNCTION("""COMPUTED_VALUE"""),"ЗАО ""ЭКОС"" 115-СТР от 01.01.2022")</f>
        <v>ЗАО "ЭКОС" 115-СТР от 01.01.2022</v>
      </c>
      <c r="D10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2" t="str">
        <f ca="1">IFERROR(__xludf.DUMMYFUNCTION("""COMPUTED_VALUE"""),"Новый")</f>
        <v>Новый</v>
      </c>
      <c r="G1052" s="68"/>
      <c r="K1052" s="68"/>
    </row>
    <row r="1053" spans="1:11" ht="12.75">
      <c r="A1053" s="69">
        <f ca="1">IFERROR(__xludf.DUMMYFUNCTION("""COMPUTED_VALUE"""),92416)</f>
        <v>92416</v>
      </c>
      <c r="B1053" s="4">
        <f ca="1">IFERROR(__xludf.DUMMYFUNCTION("""COMPUTED_VALUE"""),44613)</f>
        <v>44613</v>
      </c>
      <c r="C1053" t="str">
        <f ca="1">IFERROR(__xludf.DUMMYFUNCTION("""COMPUTED_VALUE"""),"ЗАО ""ЭКОС"" 115-СТР от 01.01.2022")</f>
        <v>ЗАО "ЭКОС" 115-СТР от 01.01.2022</v>
      </c>
      <c r="D10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3" t="str">
        <f ca="1">IFERROR(__xludf.DUMMYFUNCTION("""COMPUTED_VALUE"""),"Новый")</f>
        <v>Новый</v>
      </c>
      <c r="G1053" s="68"/>
      <c r="K1053" s="68"/>
    </row>
    <row r="1054" spans="1:11" ht="12.75">
      <c r="A1054" s="69">
        <f ca="1">IFERROR(__xludf.DUMMYFUNCTION("""COMPUTED_VALUE"""),92417)</f>
        <v>92417</v>
      </c>
      <c r="B1054" s="4">
        <f ca="1">IFERROR(__xludf.DUMMYFUNCTION("""COMPUTED_VALUE"""),44613)</f>
        <v>44613</v>
      </c>
      <c r="C1054" t="str">
        <f ca="1">IFERROR(__xludf.DUMMYFUNCTION("""COMPUTED_VALUE"""),"ЗАО ""ЭКОС"" 115-СТР от 01.01.2022")</f>
        <v>ЗАО "ЭКОС" 115-СТР от 01.01.2022</v>
      </c>
      <c r="D10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4" t="str">
        <f ca="1">IFERROR(__xludf.DUMMYFUNCTION("""COMPUTED_VALUE"""),"Новый")</f>
        <v>Новый</v>
      </c>
      <c r="G1054" s="68"/>
      <c r="K1054" s="68"/>
    </row>
    <row r="1055" spans="1:11" ht="12.75">
      <c r="A1055" s="69">
        <f ca="1">IFERROR(__xludf.DUMMYFUNCTION("""COMPUTED_VALUE"""),92418)</f>
        <v>92418</v>
      </c>
      <c r="B1055" s="4">
        <f ca="1">IFERROR(__xludf.DUMMYFUNCTION("""COMPUTED_VALUE"""),44613)</f>
        <v>44613</v>
      </c>
      <c r="C1055" t="str">
        <f ca="1">IFERROR(__xludf.DUMMYFUNCTION("""COMPUTED_VALUE"""),"ЗАО ""ЭКОС"" 115-СТР от 01.01.2022")</f>
        <v>ЗАО "ЭКОС" 115-СТР от 01.01.2022</v>
      </c>
      <c r="D10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5" t="str">
        <f ca="1">IFERROR(__xludf.DUMMYFUNCTION("""COMPUTED_VALUE"""),"Новый")</f>
        <v>Новый</v>
      </c>
      <c r="G1055" s="68"/>
      <c r="K1055" s="68"/>
    </row>
    <row r="1056" spans="1:11" ht="12.75">
      <c r="A1056" s="69">
        <f ca="1">IFERROR(__xludf.DUMMYFUNCTION("""COMPUTED_VALUE"""),92419)</f>
        <v>92419</v>
      </c>
      <c r="B1056" s="4">
        <f ca="1">IFERROR(__xludf.DUMMYFUNCTION("""COMPUTED_VALUE"""),44613)</f>
        <v>44613</v>
      </c>
      <c r="C1056" t="str">
        <f ca="1">IFERROR(__xludf.DUMMYFUNCTION("""COMPUTED_VALUE"""),"ЗАО ""ЭКОС"" 115-СТР от 01.01.2022")</f>
        <v>ЗАО "ЭКОС" 115-СТР от 01.01.2022</v>
      </c>
      <c r="D10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6" t="str">
        <f ca="1">IFERROR(__xludf.DUMMYFUNCTION("""COMPUTED_VALUE"""),"Новый")</f>
        <v>Новый</v>
      </c>
      <c r="G1056" s="68"/>
      <c r="K1056" s="68"/>
    </row>
    <row r="1057" spans="1:11" ht="12.75">
      <c r="A1057" s="69">
        <f ca="1">IFERROR(__xludf.DUMMYFUNCTION("""COMPUTED_VALUE"""),92420)</f>
        <v>92420</v>
      </c>
      <c r="B1057" s="4">
        <f ca="1">IFERROR(__xludf.DUMMYFUNCTION("""COMPUTED_VALUE"""),44613)</f>
        <v>44613</v>
      </c>
      <c r="C1057" t="str">
        <f ca="1">IFERROR(__xludf.DUMMYFUNCTION("""COMPUTED_VALUE"""),"ЗАО ""ЭКОС"" 115-СТР от 01.01.2022")</f>
        <v>ЗАО "ЭКОС" 115-СТР от 01.01.2022</v>
      </c>
      <c r="D10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7" t="str">
        <f ca="1">IFERROR(__xludf.DUMMYFUNCTION("""COMPUTED_VALUE"""),"Новый")</f>
        <v>Новый</v>
      </c>
      <c r="G1057" s="68"/>
      <c r="K1057" s="68"/>
    </row>
    <row r="1058" spans="1:11" ht="12.75">
      <c r="A1058" s="69">
        <f ca="1">IFERROR(__xludf.DUMMYFUNCTION("""COMPUTED_VALUE"""),92445)</f>
        <v>92445</v>
      </c>
      <c r="B1058" s="4">
        <f ca="1">IFERROR(__xludf.DUMMYFUNCTION("""COMPUTED_VALUE"""),44613)</f>
        <v>44613</v>
      </c>
      <c r="C1058" t="str">
        <f ca="1">IFERROR(__xludf.DUMMYFUNCTION("""COMPUTED_VALUE"""),"ЗАО ""ЭКОС"" 115-СТР от 01.01.2022")</f>
        <v>ЗАО "ЭКОС" 115-СТР от 01.01.2022</v>
      </c>
      <c r="D10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8" t="str">
        <f ca="1">IFERROR(__xludf.DUMMYFUNCTION("""COMPUTED_VALUE"""),"Новый")</f>
        <v>Новый</v>
      </c>
      <c r="G1058" s="68"/>
      <c r="K1058" s="68"/>
    </row>
    <row r="1059" spans="1:11" ht="12.75">
      <c r="A1059" s="69">
        <f ca="1">IFERROR(__xludf.DUMMYFUNCTION("""COMPUTED_VALUE"""),92446)</f>
        <v>92446</v>
      </c>
      <c r="B1059" s="4">
        <f ca="1">IFERROR(__xludf.DUMMYFUNCTION("""COMPUTED_VALUE"""),44613)</f>
        <v>44613</v>
      </c>
      <c r="C1059" t="str">
        <f ca="1">IFERROR(__xludf.DUMMYFUNCTION("""COMPUTED_VALUE"""),"ЗАО ""ЭКОС"" 115-СТР от 01.01.2022")</f>
        <v>ЗАО "ЭКОС" 115-СТР от 01.01.2022</v>
      </c>
      <c r="D10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59" t="str">
        <f ca="1">IFERROR(__xludf.DUMMYFUNCTION("""COMPUTED_VALUE"""),"Новый")</f>
        <v>Новый</v>
      </c>
      <c r="G1059" s="68"/>
      <c r="K1059" s="68"/>
    </row>
    <row r="1060" spans="1:11" ht="12.75">
      <c r="A1060" s="69">
        <f ca="1">IFERROR(__xludf.DUMMYFUNCTION("""COMPUTED_VALUE"""),92447)</f>
        <v>92447</v>
      </c>
      <c r="B1060" s="4">
        <f ca="1">IFERROR(__xludf.DUMMYFUNCTION("""COMPUTED_VALUE"""),44613)</f>
        <v>44613</v>
      </c>
      <c r="C1060" t="str">
        <f ca="1">IFERROR(__xludf.DUMMYFUNCTION("""COMPUTED_VALUE"""),"ЗАО ""ЭКОС"" 115-СТР от 01.01.2022")</f>
        <v>ЗАО "ЭКОС" 115-СТР от 01.01.2022</v>
      </c>
      <c r="D10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0" t="str">
        <f ca="1">IFERROR(__xludf.DUMMYFUNCTION("""COMPUTED_VALUE"""),"Новый")</f>
        <v>Новый</v>
      </c>
      <c r="G1060" s="68"/>
      <c r="K1060" s="68"/>
    </row>
    <row r="1061" spans="1:11" ht="12.75">
      <c r="A1061" s="69">
        <f ca="1">IFERROR(__xludf.DUMMYFUNCTION("""COMPUTED_VALUE"""),92448)</f>
        <v>92448</v>
      </c>
      <c r="B1061" s="4">
        <f ca="1">IFERROR(__xludf.DUMMYFUNCTION("""COMPUTED_VALUE"""),44613)</f>
        <v>44613</v>
      </c>
      <c r="C1061" t="str">
        <f ca="1">IFERROR(__xludf.DUMMYFUNCTION("""COMPUTED_VALUE"""),"ЗАО ""ЭКОС"" 115-СТР от 01.01.2022")</f>
        <v>ЗАО "ЭКОС" 115-СТР от 01.01.2022</v>
      </c>
      <c r="D10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1" t="str">
        <f ca="1">IFERROR(__xludf.DUMMYFUNCTION("""COMPUTED_VALUE"""),"Новый")</f>
        <v>Новый</v>
      </c>
      <c r="G1061" s="68"/>
      <c r="K1061" s="68"/>
    </row>
    <row r="1062" spans="1:11" ht="12.75">
      <c r="A1062" s="69">
        <f ca="1">IFERROR(__xludf.DUMMYFUNCTION("""COMPUTED_VALUE"""),92449)</f>
        <v>92449</v>
      </c>
      <c r="B1062" s="4">
        <f ca="1">IFERROR(__xludf.DUMMYFUNCTION("""COMPUTED_VALUE"""),44613)</f>
        <v>44613</v>
      </c>
      <c r="C1062" t="str">
        <f ca="1">IFERROR(__xludf.DUMMYFUNCTION("""COMPUTED_VALUE"""),"ЗАО ""ЭКОС"" 115-СТР от 01.01.2022")</f>
        <v>ЗАО "ЭКОС" 115-СТР от 01.01.2022</v>
      </c>
      <c r="D10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2" t="str">
        <f ca="1">IFERROR(__xludf.DUMMYFUNCTION("""COMPUTED_VALUE"""),"Новый")</f>
        <v>Новый</v>
      </c>
      <c r="G1062" s="68"/>
      <c r="K1062" s="68"/>
    </row>
    <row r="1063" spans="1:11" ht="12.75">
      <c r="A1063" s="69">
        <f ca="1">IFERROR(__xludf.DUMMYFUNCTION("""COMPUTED_VALUE"""),92450)</f>
        <v>92450</v>
      </c>
      <c r="B1063" s="4">
        <f ca="1">IFERROR(__xludf.DUMMYFUNCTION("""COMPUTED_VALUE"""),44613)</f>
        <v>44613</v>
      </c>
      <c r="C1063" t="str">
        <f ca="1">IFERROR(__xludf.DUMMYFUNCTION("""COMPUTED_VALUE"""),"ЗАО ""ЭКОС"" 115-СТР от 01.01.2022")</f>
        <v>ЗАО "ЭКОС" 115-СТР от 01.01.2022</v>
      </c>
      <c r="D10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3" t="str">
        <f ca="1">IFERROR(__xludf.DUMMYFUNCTION("""COMPUTED_VALUE"""),"Новый")</f>
        <v>Новый</v>
      </c>
      <c r="G1063" s="68"/>
      <c r="K1063" s="68"/>
    </row>
    <row r="1064" spans="1:11" ht="12.75">
      <c r="A1064" s="69">
        <f ca="1">IFERROR(__xludf.DUMMYFUNCTION("""COMPUTED_VALUE"""),92451)</f>
        <v>92451</v>
      </c>
      <c r="B1064" s="4">
        <f ca="1">IFERROR(__xludf.DUMMYFUNCTION("""COMPUTED_VALUE"""),44613)</f>
        <v>44613</v>
      </c>
      <c r="C1064" t="str">
        <f ca="1">IFERROR(__xludf.DUMMYFUNCTION("""COMPUTED_VALUE"""),"ЗАО ""ЭКОС"" 115-СТР от 01.01.2022")</f>
        <v>ЗАО "ЭКОС" 115-СТР от 01.01.2022</v>
      </c>
      <c r="D10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4" t="str">
        <f ca="1">IFERROR(__xludf.DUMMYFUNCTION("""COMPUTED_VALUE"""),"Новый")</f>
        <v>Новый</v>
      </c>
      <c r="G1064" s="68"/>
      <c r="K1064" s="68"/>
    </row>
    <row r="1065" spans="1:11" ht="12.75">
      <c r="A1065" s="69">
        <f ca="1">IFERROR(__xludf.DUMMYFUNCTION("""COMPUTED_VALUE"""),92452)</f>
        <v>92452</v>
      </c>
      <c r="B1065" s="4">
        <f ca="1">IFERROR(__xludf.DUMMYFUNCTION("""COMPUTED_VALUE"""),44613)</f>
        <v>44613</v>
      </c>
      <c r="C1065" t="str">
        <f ca="1">IFERROR(__xludf.DUMMYFUNCTION("""COMPUTED_VALUE"""),"ЗАО ""ЭКОС"" 115-СТР от 01.01.2022")</f>
        <v>ЗАО "ЭКОС" 115-СТР от 01.01.2022</v>
      </c>
      <c r="D10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5" t="str">
        <f ca="1">IFERROR(__xludf.DUMMYFUNCTION("""COMPUTED_VALUE"""),"Новый")</f>
        <v>Новый</v>
      </c>
      <c r="G1065" s="68"/>
      <c r="K1065" s="68"/>
    </row>
    <row r="1066" spans="1:11" ht="12.75">
      <c r="A1066" s="69">
        <f ca="1">IFERROR(__xludf.DUMMYFUNCTION("""COMPUTED_VALUE"""),92453)</f>
        <v>92453</v>
      </c>
      <c r="B1066" s="4">
        <f ca="1">IFERROR(__xludf.DUMMYFUNCTION("""COMPUTED_VALUE"""),44613)</f>
        <v>44613</v>
      </c>
      <c r="C1066" t="str">
        <f ca="1">IFERROR(__xludf.DUMMYFUNCTION("""COMPUTED_VALUE"""),"ЗАО ""ЭКОС"" 115-СТР от 01.01.2022")</f>
        <v>ЗАО "ЭКОС" 115-СТР от 01.01.2022</v>
      </c>
      <c r="D10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6" t="str">
        <f ca="1">IFERROR(__xludf.DUMMYFUNCTION("""COMPUTED_VALUE"""),"Новый")</f>
        <v>Новый</v>
      </c>
      <c r="G1066" s="68"/>
      <c r="K1066" s="68"/>
    </row>
    <row r="1067" spans="1:11" ht="12.75">
      <c r="A1067" s="69">
        <f ca="1">IFERROR(__xludf.DUMMYFUNCTION("""COMPUTED_VALUE"""),92454)</f>
        <v>92454</v>
      </c>
      <c r="B1067" s="4">
        <f ca="1">IFERROR(__xludf.DUMMYFUNCTION("""COMPUTED_VALUE"""),44613)</f>
        <v>44613</v>
      </c>
      <c r="C1067" t="str">
        <f ca="1">IFERROR(__xludf.DUMMYFUNCTION("""COMPUTED_VALUE"""),"ЗАО ""ЭКОС"" 115-СТР от 01.01.2022")</f>
        <v>ЗАО "ЭКОС" 115-СТР от 01.01.2022</v>
      </c>
      <c r="D10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7" t="str">
        <f ca="1">IFERROR(__xludf.DUMMYFUNCTION("""COMPUTED_VALUE"""),"Новый")</f>
        <v>Новый</v>
      </c>
      <c r="G1067" s="68"/>
      <c r="K1067" s="68"/>
    </row>
    <row r="1068" spans="1:11" ht="12.75">
      <c r="A1068" s="69">
        <f ca="1">IFERROR(__xludf.DUMMYFUNCTION("""COMPUTED_VALUE"""),92455)</f>
        <v>92455</v>
      </c>
      <c r="B1068" s="4">
        <f ca="1">IFERROR(__xludf.DUMMYFUNCTION("""COMPUTED_VALUE"""),44613)</f>
        <v>44613</v>
      </c>
      <c r="C1068" t="str">
        <f ca="1">IFERROR(__xludf.DUMMYFUNCTION("""COMPUTED_VALUE"""),"ЗАО ""ЭКОС"" 115-СТР от 01.01.2022")</f>
        <v>ЗАО "ЭКОС" 115-СТР от 01.01.2022</v>
      </c>
      <c r="D10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8" t="str">
        <f ca="1">IFERROR(__xludf.DUMMYFUNCTION("""COMPUTED_VALUE"""),"Новый")</f>
        <v>Новый</v>
      </c>
      <c r="G1068" s="68"/>
      <c r="K1068" s="68"/>
    </row>
    <row r="1069" spans="1:11" ht="12.75">
      <c r="A1069" s="69">
        <f ca="1">IFERROR(__xludf.DUMMYFUNCTION("""COMPUTED_VALUE"""),92456)</f>
        <v>92456</v>
      </c>
      <c r="B1069" s="4">
        <f ca="1">IFERROR(__xludf.DUMMYFUNCTION("""COMPUTED_VALUE"""),44613)</f>
        <v>44613</v>
      </c>
      <c r="C1069" t="str">
        <f ca="1">IFERROR(__xludf.DUMMYFUNCTION("""COMPUTED_VALUE"""),"ЗАО ""ЭКОС"" 115-СТР от 01.01.2022")</f>
        <v>ЗАО "ЭКОС" 115-СТР от 01.01.2022</v>
      </c>
      <c r="D10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69" t="str">
        <f ca="1">IFERROR(__xludf.DUMMYFUNCTION("""COMPUTED_VALUE"""),"Новый")</f>
        <v>Новый</v>
      </c>
      <c r="G1069" s="68"/>
      <c r="K1069" s="68"/>
    </row>
    <row r="1070" spans="1:11" ht="12.75">
      <c r="A1070" s="69">
        <f ca="1">IFERROR(__xludf.DUMMYFUNCTION("""COMPUTED_VALUE"""),92457)</f>
        <v>92457</v>
      </c>
      <c r="B1070" s="4">
        <f ca="1">IFERROR(__xludf.DUMMYFUNCTION("""COMPUTED_VALUE"""),44613)</f>
        <v>44613</v>
      </c>
      <c r="C1070" t="str">
        <f ca="1">IFERROR(__xludf.DUMMYFUNCTION("""COMPUTED_VALUE"""),"ЗАО ""ЭКОС"" 115-СТР от 01.01.2022")</f>
        <v>ЗАО "ЭКОС" 115-СТР от 01.01.2022</v>
      </c>
      <c r="D10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0" t="str">
        <f ca="1">IFERROR(__xludf.DUMMYFUNCTION("""COMPUTED_VALUE"""),"Новый")</f>
        <v>Новый</v>
      </c>
      <c r="G1070" s="68"/>
      <c r="K1070" s="68"/>
    </row>
    <row r="1071" spans="1:11" ht="12.75">
      <c r="A1071" s="69">
        <f ca="1">IFERROR(__xludf.DUMMYFUNCTION("""COMPUTED_VALUE"""),92458)</f>
        <v>92458</v>
      </c>
      <c r="B1071" s="4">
        <f ca="1">IFERROR(__xludf.DUMMYFUNCTION("""COMPUTED_VALUE"""),44613)</f>
        <v>44613</v>
      </c>
      <c r="C1071" t="str">
        <f ca="1">IFERROR(__xludf.DUMMYFUNCTION("""COMPUTED_VALUE"""),"ЗАО ""ЭКОС"" 115-СТР от 01.01.2022")</f>
        <v>ЗАО "ЭКОС" 115-СТР от 01.01.2022</v>
      </c>
      <c r="D10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1" t="str">
        <f ca="1">IFERROR(__xludf.DUMMYFUNCTION("""COMPUTED_VALUE"""),"Новый")</f>
        <v>Новый</v>
      </c>
      <c r="G1071" s="68"/>
      <c r="K1071" s="68"/>
    </row>
    <row r="1072" spans="1:11" ht="12.75">
      <c r="A1072" s="69">
        <f ca="1">IFERROR(__xludf.DUMMYFUNCTION("""COMPUTED_VALUE"""),92459)</f>
        <v>92459</v>
      </c>
      <c r="B1072" s="4">
        <f ca="1">IFERROR(__xludf.DUMMYFUNCTION("""COMPUTED_VALUE"""),44613)</f>
        <v>44613</v>
      </c>
      <c r="C1072" t="str">
        <f ca="1">IFERROR(__xludf.DUMMYFUNCTION("""COMPUTED_VALUE"""),"ЗАО ""ЭКОС"" 115-СТР от 01.01.2022")</f>
        <v>ЗАО "ЭКОС" 115-СТР от 01.01.2022</v>
      </c>
      <c r="D10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2" t="str">
        <f ca="1">IFERROR(__xludf.DUMMYFUNCTION("""COMPUTED_VALUE"""),"Новый")</f>
        <v>Новый</v>
      </c>
      <c r="G1072" s="68"/>
      <c r="K1072" s="68"/>
    </row>
    <row r="1073" spans="1:11" ht="12.75">
      <c r="A1073" s="69">
        <f ca="1">IFERROR(__xludf.DUMMYFUNCTION("""COMPUTED_VALUE"""),92460)</f>
        <v>92460</v>
      </c>
      <c r="B1073" s="4">
        <f ca="1">IFERROR(__xludf.DUMMYFUNCTION("""COMPUTED_VALUE"""),44613)</f>
        <v>44613</v>
      </c>
      <c r="C1073" t="str">
        <f ca="1">IFERROR(__xludf.DUMMYFUNCTION("""COMPUTED_VALUE"""),"ЗАО ""ЭКОС"" 115-СТР от 01.01.2022")</f>
        <v>ЗАО "ЭКОС" 115-СТР от 01.01.2022</v>
      </c>
      <c r="D10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3" t="str">
        <f ca="1">IFERROR(__xludf.DUMMYFUNCTION("""COMPUTED_VALUE"""),"Новый")</f>
        <v>Новый</v>
      </c>
      <c r="G1073" s="68"/>
      <c r="K1073" s="68"/>
    </row>
    <row r="1074" spans="1:11" ht="12.75">
      <c r="A1074" s="69">
        <f ca="1">IFERROR(__xludf.DUMMYFUNCTION("""COMPUTED_VALUE"""),92461)</f>
        <v>92461</v>
      </c>
      <c r="B1074" s="4">
        <f ca="1">IFERROR(__xludf.DUMMYFUNCTION("""COMPUTED_VALUE"""),44613)</f>
        <v>44613</v>
      </c>
      <c r="C1074" t="str">
        <f ca="1">IFERROR(__xludf.DUMMYFUNCTION("""COMPUTED_VALUE"""),"ЗАО ""ЭКОС"" 115-СТР от 01.01.2022")</f>
        <v>ЗАО "ЭКОС" 115-СТР от 01.01.2022</v>
      </c>
      <c r="D10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4" t="str">
        <f ca="1">IFERROR(__xludf.DUMMYFUNCTION("""COMPUTED_VALUE"""),"Новый")</f>
        <v>Новый</v>
      </c>
      <c r="G1074" s="68"/>
      <c r="K1074" s="68"/>
    </row>
    <row r="1075" spans="1:11" ht="12.75">
      <c r="A1075" s="69">
        <f ca="1">IFERROR(__xludf.DUMMYFUNCTION("""COMPUTED_VALUE"""),92462)</f>
        <v>92462</v>
      </c>
      <c r="B1075" s="4">
        <f ca="1">IFERROR(__xludf.DUMMYFUNCTION("""COMPUTED_VALUE"""),44613)</f>
        <v>44613</v>
      </c>
      <c r="C1075" t="str">
        <f ca="1">IFERROR(__xludf.DUMMYFUNCTION("""COMPUTED_VALUE"""),"ЗАО ""ЭКОС"" 115-СТР от 01.01.2022")</f>
        <v>ЗАО "ЭКОС" 115-СТР от 01.01.2022</v>
      </c>
      <c r="D10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5" t="str">
        <f ca="1">IFERROR(__xludf.DUMMYFUNCTION("""COMPUTED_VALUE"""),"Новый")</f>
        <v>Новый</v>
      </c>
      <c r="G1075" s="68"/>
      <c r="K1075" s="68"/>
    </row>
    <row r="1076" spans="1:11" ht="12.75">
      <c r="A1076" s="69">
        <f ca="1">IFERROR(__xludf.DUMMYFUNCTION("""COMPUTED_VALUE"""),92463)</f>
        <v>92463</v>
      </c>
      <c r="B1076" s="4">
        <f ca="1">IFERROR(__xludf.DUMMYFUNCTION("""COMPUTED_VALUE"""),44613)</f>
        <v>44613</v>
      </c>
      <c r="C1076" t="str">
        <f ca="1">IFERROR(__xludf.DUMMYFUNCTION("""COMPUTED_VALUE"""),"ЗАО ""ЭКОС"" 115-СТР от 01.01.2022")</f>
        <v>ЗАО "ЭКОС" 115-СТР от 01.01.2022</v>
      </c>
      <c r="D10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6" t="str">
        <f ca="1">IFERROR(__xludf.DUMMYFUNCTION("""COMPUTED_VALUE"""),"Новый")</f>
        <v>Новый</v>
      </c>
      <c r="G1076" s="68"/>
      <c r="K1076" s="68"/>
    </row>
    <row r="1077" spans="1:11" ht="12.75">
      <c r="A1077" s="69">
        <f ca="1">IFERROR(__xludf.DUMMYFUNCTION("""COMPUTED_VALUE"""),92464)</f>
        <v>92464</v>
      </c>
      <c r="B1077" s="4">
        <f ca="1">IFERROR(__xludf.DUMMYFUNCTION("""COMPUTED_VALUE"""),44613)</f>
        <v>44613</v>
      </c>
      <c r="C1077" t="str">
        <f ca="1">IFERROR(__xludf.DUMMYFUNCTION("""COMPUTED_VALUE"""),"ЗАО ""ЭКОС"" 115-СТР от 01.01.2022")</f>
        <v>ЗАО "ЭКОС" 115-СТР от 01.01.2022</v>
      </c>
      <c r="D10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7" t="str">
        <f ca="1">IFERROR(__xludf.DUMMYFUNCTION("""COMPUTED_VALUE"""),"Новый")</f>
        <v>Новый</v>
      </c>
      <c r="G1077" s="68"/>
      <c r="K1077" s="68"/>
    </row>
    <row r="1078" spans="1:11" ht="12.75">
      <c r="A1078" s="69">
        <f ca="1">IFERROR(__xludf.DUMMYFUNCTION("""COMPUTED_VALUE"""),92465)</f>
        <v>92465</v>
      </c>
      <c r="B1078" s="4">
        <f ca="1">IFERROR(__xludf.DUMMYFUNCTION("""COMPUTED_VALUE"""),44613)</f>
        <v>44613</v>
      </c>
      <c r="C1078" t="str">
        <f ca="1">IFERROR(__xludf.DUMMYFUNCTION("""COMPUTED_VALUE"""),"ЗАО ""ЭКОС"" 115-СТР от 01.01.2022")</f>
        <v>ЗАО "ЭКОС" 115-СТР от 01.01.2022</v>
      </c>
      <c r="D10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8" t="str">
        <f ca="1">IFERROR(__xludf.DUMMYFUNCTION("""COMPUTED_VALUE"""),"Новый")</f>
        <v>Новый</v>
      </c>
      <c r="G1078" s="68"/>
      <c r="K1078" s="68"/>
    </row>
    <row r="1079" spans="1:11" ht="12.75">
      <c r="A1079" s="69">
        <f ca="1">IFERROR(__xludf.DUMMYFUNCTION("""COMPUTED_VALUE"""),92466)</f>
        <v>92466</v>
      </c>
      <c r="B1079" s="4">
        <f ca="1">IFERROR(__xludf.DUMMYFUNCTION("""COMPUTED_VALUE"""),44613)</f>
        <v>44613</v>
      </c>
      <c r="C1079" t="str">
        <f ca="1">IFERROR(__xludf.DUMMYFUNCTION("""COMPUTED_VALUE"""),"ЗАО ""ЭКОС"" 115-СТР от 01.01.2022")</f>
        <v>ЗАО "ЭКОС" 115-СТР от 01.01.2022</v>
      </c>
      <c r="D10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79" t="str">
        <f ca="1">IFERROR(__xludf.DUMMYFUNCTION("""COMPUTED_VALUE"""),"Новый")</f>
        <v>Новый</v>
      </c>
      <c r="G1079" s="68"/>
      <c r="K1079" s="68"/>
    </row>
    <row r="1080" spans="1:11" ht="12.75">
      <c r="A1080" s="69">
        <f ca="1">IFERROR(__xludf.DUMMYFUNCTION("""COMPUTED_VALUE"""),92467)</f>
        <v>92467</v>
      </c>
      <c r="B1080" s="4">
        <f ca="1">IFERROR(__xludf.DUMMYFUNCTION("""COMPUTED_VALUE"""),44613)</f>
        <v>44613</v>
      </c>
      <c r="C1080" t="str">
        <f ca="1">IFERROR(__xludf.DUMMYFUNCTION("""COMPUTED_VALUE"""),"ЗАО ""ЭКОС"" 115-СТР от 01.01.2022")</f>
        <v>ЗАО "ЭКОС" 115-СТР от 01.01.2022</v>
      </c>
      <c r="D10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0" t="str">
        <f ca="1">IFERROR(__xludf.DUMMYFUNCTION("""COMPUTED_VALUE"""),"Новый")</f>
        <v>Новый</v>
      </c>
      <c r="G1080" s="68"/>
      <c r="K1080" s="68"/>
    </row>
    <row r="1081" spans="1:11" ht="12.75">
      <c r="A1081" s="69">
        <f ca="1">IFERROR(__xludf.DUMMYFUNCTION("""COMPUTED_VALUE"""),92468)</f>
        <v>92468</v>
      </c>
      <c r="B1081" s="4">
        <f ca="1">IFERROR(__xludf.DUMMYFUNCTION("""COMPUTED_VALUE"""),44613)</f>
        <v>44613</v>
      </c>
      <c r="C1081" t="str">
        <f ca="1">IFERROR(__xludf.DUMMYFUNCTION("""COMPUTED_VALUE"""),"ЗАО ""ЭКОС"" 115-СТР от 01.01.2022")</f>
        <v>ЗАО "ЭКОС" 115-СТР от 01.01.2022</v>
      </c>
      <c r="D10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1" t="str">
        <f ca="1">IFERROR(__xludf.DUMMYFUNCTION("""COMPUTED_VALUE"""),"Новый")</f>
        <v>Новый</v>
      </c>
      <c r="G1081" s="68"/>
      <c r="K1081" s="68"/>
    </row>
    <row r="1082" spans="1:11" ht="12.75">
      <c r="A1082" s="69">
        <f ca="1">IFERROR(__xludf.DUMMYFUNCTION("""COMPUTED_VALUE"""),92469)</f>
        <v>92469</v>
      </c>
      <c r="B1082" s="4">
        <f ca="1">IFERROR(__xludf.DUMMYFUNCTION("""COMPUTED_VALUE"""),44613)</f>
        <v>44613</v>
      </c>
      <c r="C1082" t="str">
        <f ca="1">IFERROR(__xludf.DUMMYFUNCTION("""COMPUTED_VALUE"""),"ЗАО ""ЭКОС"" 115-СТР от 01.01.2022")</f>
        <v>ЗАО "ЭКОС" 115-СТР от 01.01.2022</v>
      </c>
      <c r="D10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2" t="str">
        <f ca="1">IFERROR(__xludf.DUMMYFUNCTION("""COMPUTED_VALUE"""),"Новый")</f>
        <v>Новый</v>
      </c>
      <c r="G1082" s="68"/>
      <c r="K1082" s="68"/>
    </row>
    <row r="1083" spans="1:11" ht="12.75">
      <c r="A1083" s="69">
        <f ca="1">IFERROR(__xludf.DUMMYFUNCTION("""COMPUTED_VALUE"""),92470)</f>
        <v>92470</v>
      </c>
      <c r="B1083" s="4">
        <f ca="1">IFERROR(__xludf.DUMMYFUNCTION("""COMPUTED_VALUE"""),44613)</f>
        <v>44613</v>
      </c>
      <c r="C1083" t="str">
        <f ca="1">IFERROR(__xludf.DUMMYFUNCTION("""COMPUTED_VALUE"""),"ЗАО ""ЭКОС"" 115-СТР от 01.01.2022")</f>
        <v>ЗАО "ЭКОС" 115-СТР от 01.01.2022</v>
      </c>
      <c r="D10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3" t="str">
        <f ca="1">IFERROR(__xludf.DUMMYFUNCTION("""COMPUTED_VALUE"""),"Новый")</f>
        <v>Новый</v>
      </c>
      <c r="G1083" s="68"/>
      <c r="K1083" s="68"/>
    </row>
    <row r="1084" spans="1:11" ht="12.75">
      <c r="A1084" s="69">
        <f ca="1">IFERROR(__xludf.DUMMYFUNCTION("""COMPUTED_VALUE"""),92471)</f>
        <v>92471</v>
      </c>
      <c r="B1084" s="4">
        <f ca="1">IFERROR(__xludf.DUMMYFUNCTION("""COMPUTED_VALUE"""),44613)</f>
        <v>44613</v>
      </c>
      <c r="C1084" t="str">
        <f ca="1">IFERROR(__xludf.DUMMYFUNCTION("""COMPUTED_VALUE"""),"ЗАО ""ЭКОС"" 115-СТР от 01.01.2022")</f>
        <v>ЗАО "ЭКОС" 115-СТР от 01.01.2022</v>
      </c>
      <c r="D10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4" t="str">
        <f ca="1">IFERROR(__xludf.DUMMYFUNCTION("""COMPUTED_VALUE"""),"Новый")</f>
        <v>Новый</v>
      </c>
      <c r="G1084" s="68"/>
      <c r="K1084" s="68"/>
    </row>
    <row r="1085" spans="1:11" ht="12.75">
      <c r="A1085" s="69">
        <f ca="1">IFERROR(__xludf.DUMMYFUNCTION("""COMPUTED_VALUE"""),92472)</f>
        <v>92472</v>
      </c>
      <c r="B1085" s="4">
        <f ca="1">IFERROR(__xludf.DUMMYFUNCTION("""COMPUTED_VALUE"""),44613)</f>
        <v>44613</v>
      </c>
      <c r="C1085" t="str">
        <f ca="1">IFERROR(__xludf.DUMMYFUNCTION("""COMPUTED_VALUE"""),"ЗАО ""ЭКОС"" 115-СТР от 01.01.2022")</f>
        <v>ЗАО "ЭКОС" 115-СТР от 01.01.2022</v>
      </c>
      <c r="D10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5" t="str">
        <f ca="1">IFERROR(__xludf.DUMMYFUNCTION("""COMPUTED_VALUE"""),"Новый")</f>
        <v>Новый</v>
      </c>
      <c r="G1085" s="68"/>
      <c r="K1085" s="68"/>
    </row>
    <row r="1086" spans="1:11" ht="12.75">
      <c r="A1086" s="69">
        <f ca="1">IFERROR(__xludf.DUMMYFUNCTION("""COMPUTED_VALUE"""),92473)</f>
        <v>92473</v>
      </c>
      <c r="B1086" s="4">
        <f ca="1">IFERROR(__xludf.DUMMYFUNCTION("""COMPUTED_VALUE"""),44613)</f>
        <v>44613</v>
      </c>
      <c r="C1086" t="str">
        <f ca="1">IFERROR(__xludf.DUMMYFUNCTION("""COMPUTED_VALUE"""),"ЗАО ""ЭКОС"" 115-СТР от 01.01.2022")</f>
        <v>ЗАО "ЭКОС" 115-СТР от 01.01.2022</v>
      </c>
      <c r="D10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6" t="str">
        <f ca="1">IFERROR(__xludf.DUMMYFUNCTION("""COMPUTED_VALUE"""),"Новый")</f>
        <v>Новый</v>
      </c>
      <c r="G1086" s="68"/>
      <c r="K1086" s="68"/>
    </row>
    <row r="1087" spans="1:11" ht="12.75">
      <c r="A1087" s="69">
        <f ca="1">IFERROR(__xludf.DUMMYFUNCTION("""COMPUTED_VALUE"""),92474)</f>
        <v>92474</v>
      </c>
      <c r="B1087" s="4">
        <f ca="1">IFERROR(__xludf.DUMMYFUNCTION("""COMPUTED_VALUE"""),44613)</f>
        <v>44613</v>
      </c>
      <c r="C1087" t="str">
        <f ca="1">IFERROR(__xludf.DUMMYFUNCTION("""COMPUTED_VALUE"""),"ЗАО ""ЭКОС"" 115-СТР от 01.01.2022")</f>
        <v>ЗАО "ЭКОС" 115-СТР от 01.01.2022</v>
      </c>
      <c r="D10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7" t="str">
        <f ca="1">IFERROR(__xludf.DUMMYFUNCTION("""COMPUTED_VALUE"""),"Новый")</f>
        <v>Новый</v>
      </c>
      <c r="G1087" s="68"/>
      <c r="K1087" s="68"/>
    </row>
    <row r="1088" spans="1:11" ht="12.75">
      <c r="A1088" s="69">
        <f ca="1">IFERROR(__xludf.DUMMYFUNCTION("""COMPUTED_VALUE"""),92475)</f>
        <v>92475</v>
      </c>
      <c r="B1088" s="4">
        <f ca="1">IFERROR(__xludf.DUMMYFUNCTION("""COMPUTED_VALUE"""),44613)</f>
        <v>44613</v>
      </c>
      <c r="C1088" t="str">
        <f ca="1">IFERROR(__xludf.DUMMYFUNCTION("""COMPUTED_VALUE"""),"ЗАО ""ЭКОС"" 115-СТР от 01.01.2022")</f>
        <v>ЗАО "ЭКОС" 115-СТР от 01.01.2022</v>
      </c>
      <c r="D10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8" t="str">
        <f ca="1">IFERROR(__xludf.DUMMYFUNCTION("""COMPUTED_VALUE"""),"Новый")</f>
        <v>Новый</v>
      </c>
      <c r="G1088" s="68"/>
      <c r="K1088" s="68"/>
    </row>
    <row r="1089" spans="1:11" ht="12.75">
      <c r="A1089" s="69">
        <f ca="1">IFERROR(__xludf.DUMMYFUNCTION("""COMPUTED_VALUE"""),92476)</f>
        <v>92476</v>
      </c>
      <c r="B1089" s="4">
        <f ca="1">IFERROR(__xludf.DUMMYFUNCTION("""COMPUTED_VALUE"""),44613)</f>
        <v>44613</v>
      </c>
      <c r="C1089" t="str">
        <f ca="1">IFERROR(__xludf.DUMMYFUNCTION("""COMPUTED_VALUE"""),"ЗАО ""ЭКОС"" 115-СТР от 01.01.2022")</f>
        <v>ЗАО "ЭКОС" 115-СТР от 01.01.2022</v>
      </c>
      <c r="D10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89" t="str">
        <f ca="1">IFERROR(__xludf.DUMMYFUNCTION("""COMPUTED_VALUE"""),"Новый")</f>
        <v>Новый</v>
      </c>
      <c r="G1089" s="68"/>
      <c r="K1089" s="68"/>
    </row>
    <row r="1090" spans="1:11" ht="12.75">
      <c r="A1090" s="69">
        <f ca="1">IFERROR(__xludf.DUMMYFUNCTION("""COMPUTED_VALUE"""),92477)</f>
        <v>92477</v>
      </c>
      <c r="B1090" s="4">
        <f ca="1">IFERROR(__xludf.DUMMYFUNCTION("""COMPUTED_VALUE"""),44613)</f>
        <v>44613</v>
      </c>
      <c r="C1090" t="str">
        <f ca="1">IFERROR(__xludf.DUMMYFUNCTION("""COMPUTED_VALUE"""),"ЗАО ""ЭКОС"" 115-СТР от 01.01.2022")</f>
        <v>ЗАО "ЭКОС" 115-СТР от 01.01.2022</v>
      </c>
      <c r="D10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0" t="str">
        <f ca="1">IFERROR(__xludf.DUMMYFUNCTION("""COMPUTED_VALUE"""),"Новый")</f>
        <v>Новый</v>
      </c>
      <c r="G1090" s="68"/>
      <c r="K1090" s="68"/>
    </row>
    <row r="1091" spans="1:11" ht="12.75">
      <c r="A1091" s="69">
        <f ca="1">IFERROR(__xludf.DUMMYFUNCTION("""COMPUTED_VALUE"""),92478)</f>
        <v>92478</v>
      </c>
      <c r="B1091" s="4">
        <f ca="1">IFERROR(__xludf.DUMMYFUNCTION("""COMPUTED_VALUE"""),44613)</f>
        <v>44613</v>
      </c>
      <c r="C1091" t="str">
        <f ca="1">IFERROR(__xludf.DUMMYFUNCTION("""COMPUTED_VALUE"""),"ЗАО ""ЭКОС"" 115-СТР от 01.01.2022")</f>
        <v>ЗАО "ЭКОС" 115-СТР от 01.01.2022</v>
      </c>
      <c r="D10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1" t="str">
        <f ca="1">IFERROR(__xludf.DUMMYFUNCTION("""COMPUTED_VALUE"""),"Новый")</f>
        <v>Новый</v>
      </c>
      <c r="G1091" s="68"/>
      <c r="K1091" s="68"/>
    </row>
    <row r="1092" spans="1:11" ht="12.75">
      <c r="A1092" s="69">
        <f ca="1">IFERROR(__xludf.DUMMYFUNCTION("""COMPUTED_VALUE"""),92479)</f>
        <v>92479</v>
      </c>
      <c r="B1092" s="4">
        <f ca="1">IFERROR(__xludf.DUMMYFUNCTION("""COMPUTED_VALUE"""),44613)</f>
        <v>44613</v>
      </c>
      <c r="C1092" t="str">
        <f ca="1">IFERROR(__xludf.DUMMYFUNCTION("""COMPUTED_VALUE"""),"ЗАО ""ЭКОС"" 115-СТР от 01.01.2022")</f>
        <v>ЗАО "ЭКОС" 115-СТР от 01.01.2022</v>
      </c>
      <c r="D10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2" t="str">
        <f ca="1">IFERROR(__xludf.DUMMYFUNCTION("""COMPUTED_VALUE"""),"Новый")</f>
        <v>Новый</v>
      </c>
      <c r="G1092" s="68"/>
      <c r="K1092" s="68"/>
    </row>
    <row r="1093" spans="1:11" ht="12.75">
      <c r="A1093" s="69">
        <f ca="1">IFERROR(__xludf.DUMMYFUNCTION("""COMPUTED_VALUE"""),92480)</f>
        <v>92480</v>
      </c>
      <c r="B1093" s="4">
        <f ca="1">IFERROR(__xludf.DUMMYFUNCTION("""COMPUTED_VALUE"""),44613)</f>
        <v>44613</v>
      </c>
      <c r="C1093" t="str">
        <f ca="1">IFERROR(__xludf.DUMMYFUNCTION("""COMPUTED_VALUE"""),"ЗАО ""ЭКОС"" 115-СТР от 01.01.2022")</f>
        <v>ЗАО "ЭКОС" 115-СТР от 01.01.2022</v>
      </c>
      <c r="D10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3" t="str">
        <f ca="1">IFERROR(__xludf.DUMMYFUNCTION("""COMPUTED_VALUE"""),"Новый")</f>
        <v>Новый</v>
      </c>
      <c r="G1093" s="68"/>
      <c r="K1093" s="68"/>
    </row>
    <row r="1094" spans="1:11" ht="12.75">
      <c r="A1094" s="69">
        <f ca="1">IFERROR(__xludf.DUMMYFUNCTION("""COMPUTED_VALUE"""),92495)</f>
        <v>92495</v>
      </c>
      <c r="B1094" s="4">
        <f ca="1">IFERROR(__xludf.DUMMYFUNCTION("""COMPUTED_VALUE"""),44614)</f>
        <v>44614</v>
      </c>
      <c r="C1094" t="str">
        <f ca="1">IFERROR(__xludf.DUMMYFUNCTION("""COMPUTED_VALUE"""),"ЗАО ""ЭКОС"" 115-СТР от 01.01.2022")</f>
        <v>ЗАО "ЭКОС" 115-СТР от 01.01.2022</v>
      </c>
      <c r="D10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4" t="str">
        <f ca="1">IFERROR(__xludf.DUMMYFUNCTION("""COMPUTED_VALUE"""),"Новый")</f>
        <v>Новый</v>
      </c>
      <c r="G1094" s="68"/>
      <c r="K1094" s="68"/>
    </row>
    <row r="1095" spans="1:11" ht="12.75">
      <c r="A1095" s="69">
        <f ca="1">IFERROR(__xludf.DUMMYFUNCTION("""COMPUTED_VALUE"""),92551)</f>
        <v>92551</v>
      </c>
      <c r="B1095" s="4">
        <f ca="1">IFERROR(__xludf.DUMMYFUNCTION("""COMPUTED_VALUE"""),44616)</f>
        <v>44616</v>
      </c>
      <c r="C1095" t="str">
        <f ca="1">IFERROR(__xludf.DUMMYFUNCTION("""COMPUTED_VALUE"""),"ЗАО ""ЭКОС"" 115-СТР от 01.01.2022")</f>
        <v>ЗАО "ЭКОС" 115-СТР от 01.01.2022</v>
      </c>
      <c r="D10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5" t="str">
        <f ca="1">IFERROR(__xludf.DUMMYFUNCTION("""COMPUTED_VALUE"""),"Новый")</f>
        <v>Новый</v>
      </c>
      <c r="G1095" s="68"/>
      <c r="K1095" s="68"/>
    </row>
    <row r="1096" spans="1:11" ht="12.75">
      <c r="A1096" s="69">
        <f ca="1">IFERROR(__xludf.DUMMYFUNCTION("""COMPUTED_VALUE"""),92552)</f>
        <v>92552</v>
      </c>
      <c r="B1096" s="4">
        <f ca="1">IFERROR(__xludf.DUMMYFUNCTION("""COMPUTED_VALUE"""),44616)</f>
        <v>44616</v>
      </c>
      <c r="C1096" t="str">
        <f ca="1">IFERROR(__xludf.DUMMYFUNCTION("""COMPUTED_VALUE"""),"ЗАО ""ЭКОС"" 115-СТР от 01.01.2022")</f>
        <v>ЗАО "ЭКОС" 115-СТР от 01.01.2022</v>
      </c>
      <c r="D10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6" t="str">
        <f ca="1">IFERROR(__xludf.DUMMYFUNCTION("""COMPUTED_VALUE"""),"Новый")</f>
        <v>Новый</v>
      </c>
      <c r="G1096" s="68"/>
      <c r="K1096" s="68"/>
    </row>
    <row r="1097" spans="1:11" ht="12.75">
      <c r="A1097" s="69">
        <f ca="1">IFERROR(__xludf.DUMMYFUNCTION("""COMPUTED_VALUE"""),92553)</f>
        <v>92553</v>
      </c>
      <c r="B1097" s="4">
        <f ca="1">IFERROR(__xludf.DUMMYFUNCTION("""COMPUTED_VALUE"""),44616)</f>
        <v>44616</v>
      </c>
      <c r="C1097" t="str">
        <f ca="1">IFERROR(__xludf.DUMMYFUNCTION("""COMPUTED_VALUE"""),"ЗАО ""ЭКОС"" 115-СТР от 01.01.2022")</f>
        <v>ЗАО "ЭКОС" 115-СТР от 01.01.2022</v>
      </c>
      <c r="D10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7" t="str">
        <f ca="1">IFERROR(__xludf.DUMMYFUNCTION("""COMPUTED_VALUE"""),"Новый")</f>
        <v>Новый</v>
      </c>
      <c r="G1097" s="68"/>
      <c r="K1097" s="68"/>
    </row>
    <row r="1098" spans="1:11" ht="12.75">
      <c r="A1098" s="69">
        <f ca="1">IFERROR(__xludf.DUMMYFUNCTION("""COMPUTED_VALUE"""),92554)</f>
        <v>92554</v>
      </c>
      <c r="B1098" s="4">
        <f ca="1">IFERROR(__xludf.DUMMYFUNCTION("""COMPUTED_VALUE"""),44616)</f>
        <v>44616</v>
      </c>
      <c r="C1098" t="str">
        <f ca="1">IFERROR(__xludf.DUMMYFUNCTION("""COMPUTED_VALUE"""),"ЗАО ""ЭКОС"" 115-СТР от 01.01.2022")</f>
        <v>ЗАО "ЭКОС" 115-СТР от 01.01.2022</v>
      </c>
      <c r="D10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8" t="str">
        <f ca="1">IFERROR(__xludf.DUMMYFUNCTION("""COMPUTED_VALUE"""),"Новый")</f>
        <v>Новый</v>
      </c>
      <c r="G1098" s="68"/>
      <c r="K1098" s="68"/>
    </row>
    <row r="1099" spans="1:11" ht="12.75">
      <c r="A1099" s="69">
        <f ca="1">IFERROR(__xludf.DUMMYFUNCTION("""COMPUTED_VALUE"""),92555)</f>
        <v>92555</v>
      </c>
      <c r="B1099" s="4">
        <f ca="1">IFERROR(__xludf.DUMMYFUNCTION("""COMPUTED_VALUE"""),44616)</f>
        <v>44616</v>
      </c>
      <c r="C1099" t="str">
        <f ca="1">IFERROR(__xludf.DUMMYFUNCTION("""COMPUTED_VALUE"""),"ЗАО ""ЭКОС"" 115-СТР от 01.01.2022")</f>
        <v>ЗАО "ЭКОС" 115-СТР от 01.01.2022</v>
      </c>
      <c r="D10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099" t="str">
        <f ca="1">IFERROR(__xludf.DUMMYFUNCTION("""COMPUTED_VALUE"""),"Новый")</f>
        <v>Новый</v>
      </c>
      <c r="G1099" s="68"/>
      <c r="K1099" s="68"/>
    </row>
    <row r="1100" spans="1:11" ht="12.75">
      <c r="A1100" s="69">
        <f ca="1">IFERROR(__xludf.DUMMYFUNCTION("""COMPUTED_VALUE"""),92556)</f>
        <v>92556</v>
      </c>
      <c r="B1100" s="4">
        <f ca="1">IFERROR(__xludf.DUMMYFUNCTION("""COMPUTED_VALUE"""),44616)</f>
        <v>44616</v>
      </c>
      <c r="C1100" t="str">
        <f ca="1">IFERROR(__xludf.DUMMYFUNCTION("""COMPUTED_VALUE"""),"ЗАО ""ЭКОС"" 115-СТР от 01.01.2022")</f>
        <v>ЗАО "ЭКОС" 115-СТР от 01.01.2022</v>
      </c>
      <c r="D11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0" t="str">
        <f ca="1">IFERROR(__xludf.DUMMYFUNCTION("""COMPUTED_VALUE"""),"Новый")</f>
        <v>Новый</v>
      </c>
      <c r="G1100" s="68"/>
      <c r="K1100" s="68"/>
    </row>
    <row r="1101" spans="1:11" ht="12.75">
      <c r="A1101" s="69">
        <f ca="1">IFERROR(__xludf.DUMMYFUNCTION("""COMPUTED_VALUE"""),92557)</f>
        <v>92557</v>
      </c>
      <c r="B1101" s="4">
        <f ca="1">IFERROR(__xludf.DUMMYFUNCTION("""COMPUTED_VALUE"""),44616)</f>
        <v>44616</v>
      </c>
      <c r="C1101" t="str">
        <f ca="1">IFERROR(__xludf.DUMMYFUNCTION("""COMPUTED_VALUE"""),"ЗАО ""ЭКОС"" 115-СТР от 01.01.2022")</f>
        <v>ЗАО "ЭКОС" 115-СТР от 01.01.2022</v>
      </c>
      <c r="D11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1" t="str">
        <f ca="1">IFERROR(__xludf.DUMMYFUNCTION("""COMPUTED_VALUE"""),"Новый")</f>
        <v>Новый</v>
      </c>
      <c r="G1101" s="68"/>
      <c r="K1101" s="68"/>
    </row>
    <row r="1102" spans="1:11" ht="12.75">
      <c r="A1102" s="69">
        <f ca="1">IFERROR(__xludf.DUMMYFUNCTION("""COMPUTED_VALUE"""),92558)</f>
        <v>92558</v>
      </c>
      <c r="B1102" s="4">
        <f ca="1">IFERROR(__xludf.DUMMYFUNCTION("""COMPUTED_VALUE"""),44616)</f>
        <v>44616</v>
      </c>
      <c r="C1102" t="str">
        <f ca="1">IFERROR(__xludf.DUMMYFUNCTION("""COMPUTED_VALUE"""),"ЗАО ""ЭКОС"" 115-СТР от 01.01.2022")</f>
        <v>ЗАО "ЭКОС" 115-СТР от 01.01.2022</v>
      </c>
      <c r="D11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2" t="str">
        <f ca="1">IFERROR(__xludf.DUMMYFUNCTION("""COMPUTED_VALUE"""),"Новый")</f>
        <v>Новый</v>
      </c>
      <c r="G1102" s="68"/>
      <c r="K1102" s="68"/>
    </row>
    <row r="1103" spans="1:11" ht="12.75">
      <c r="A1103" s="69">
        <f ca="1">IFERROR(__xludf.DUMMYFUNCTION("""COMPUTED_VALUE"""),92559)</f>
        <v>92559</v>
      </c>
      <c r="B1103" s="4">
        <f ca="1">IFERROR(__xludf.DUMMYFUNCTION("""COMPUTED_VALUE"""),44616)</f>
        <v>44616</v>
      </c>
      <c r="C1103" t="str">
        <f ca="1">IFERROR(__xludf.DUMMYFUNCTION("""COMPUTED_VALUE"""),"ЗАО ""ЭКОС"" 115-СТР от 01.01.2022")</f>
        <v>ЗАО "ЭКОС" 115-СТР от 01.01.2022</v>
      </c>
      <c r="D11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3" t="str">
        <f ca="1">IFERROR(__xludf.DUMMYFUNCTION("""COMPUTED_VALUE"""),"Новый")</f>
        <v>Новый</v>
      </c>
      <c r="G1103" s="68"/>
      <c r="K1103" s="68"/>
    </row>
    <row r="1104" spans="1:11" ht="12.75">
      <c r="A1104" s="69">
        <f ca="1">IFERROR(__xludf.DUMMYFUNCTION("""COMPUTED_VALUE"""),92560)</f>
        <v>92560</v>
      </c>
      <c r="B1104" s="4">
        <f ca="1">IFERROR(__xludf.DUMMYFUNCTION("""COMPUTED_VALUE"""),44616)</f>
        <v>44616</v>
      </c>
      <c r="C1104" t="str">
        <f ca="1">IFERROR(__xludf.DUMMYFUNCTION("""COMPUTED_VALUE"""),"ЗАО ""ЭКОС"" 115-СТР от 01.01.2022")</f>
        <v>ЗАО "ЭКОС" 115-СТР от 01.01.2022</v>
      </c>
      <c r="D11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4" t="str">
        <f ca="1">IFERROR(__xludf.DUMMYFUNCTION("""COMPUTED_VALUE"""),"Новый")</f>
        <v>Новый</v>
      </c>
      <c r="G1104" s="68"/>
      <c r="K1104" s="68"/>
    </row>
    <row r="1105" spans="1:11" ht="12.75">
      <c r="A1105" s="69">
        <f ca="1">IFERROR(__xludf.DUMMYFUNCTION("""COMPUTED_VALUE"""),92561)</f>
        <v>92561</v>
      </c>
      <c r="B1105" s="4">
        <f ca="1">IFERROR(__xludf.DUMMYFUNCTION("""COMPUTED_VALUE"""),44616)</f>
        <v>44616</v>
      </c>
      <c r="C1105" t="str">
        <f ca="1">IFERROR(__xludf.DUMMYFUNCTION("""COMPUTED_VALUE"""),"ЗАО ""ЭКОС"" 115-СТР от 01.01.2022")</f>
        <v>ЗАО "ЭКОС" 115-СТР от 01.01.2022</v>
      </c>
      <c r="D11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5" t="str">
        <f ca="1">IFERROR(__xludf.DUMMYFUNCTION("""COMPUTED_VALUE"""),"Новый")</f>
        <v>Новый</v>
      </c>
      <c r="G1105" s="68"/>
      <c r="K1105" s="68"/>
    </row>
    <row r="1106" spans="1:11" ht="12.75">
      <c r="A1106" s="69">
        <f ca="1">IFERROR(__xludf.DUMMYFUNCTION("""COMPUTED_VALUE"""),92562)</f>
        <v>92562</v>
      </c>
      <c r="B1106" s="4">
        <f ca="1">IFERROR(__xludf.DUMMYFUNCTION("""COMPUTED_VALUE"""),44616)</f>
        <v>44616</v>
      </c>
      <c r="C1106" t="str">
        <f ca="1">IFERROR(__xludf.DUMMYFUNCTION("""COMPUTED_VALUE"""),"ЗАО ""ЭКОС"" 115-СТР от 01.01.2022")</f>
        <v>ЗАО "ЭКОС" 115-СТР от 01.01.2022</v>
      </c>
      <c r="D11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6" t="str">
        <f ca="1">IFERROR(__xludf.DUMMYFUNCTION("""COMPUTED_VALUE"""),"Новый")</f>
        <v>Новый</v>
      </c>
      <c r="G1106" s="68"/>
      <c r="K1106" s="68"/>
    </row>
    <row r="1107" spans="1:11" ht="12.75">
      <c r="A1107" s="69">
        <f ca="1">IFERROR(__xludf.DUMMYFUNCTION("""COMPUTED_VALUE"""),92563)</f>
        <v>92563</v>
      </c>
      <c r="B1107" s="4">
        <f ca="1">IFERROR(__xludf.DUMMYFUNCTION("""COMPUTED_VALUE"""),44616)</f>
        <v>44616</v>
      </c>
      <c r="C1107" t="str">
        <f ca="1">IFERROR(__xludf.DUMMYFUNCTION("""COMPUTED_VALUE"""),"ЗАО ""ЭКОС"" 115-СТР от 01.01.2022")</f>
        <v>ЗАО "ЭКОС" 115-СТР от 01.01.2022</v>
      </c>
      <c r="D11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7" t="str">
        <f ca="1">IFERROR(__xludf.DUMMYFUNCTION("""COMPUTED_VALUE"""),"Новый")</f>
        <v>Новый</v>
      </c>
      <c r="G1107" s="68"/>
      <c r="K1107" s="68"/>
    </row>
    <row r="1108" spans="1:11" ht="12.75">
      <c r="A1108" s="69">
        <f ca="1">IFERROR(__xludf.DUMMYFUNCTION("""COMPUTED_VALUE"""),92564)</f>
        <v>92564</v>
      </c>
      <c r="B1108" s="4">
        <f ca="1">IFERROR(__xludf.DUMMYFUNCTION("""COMPUTED_VALUE"""),44616)</f>
        <v>44616</v>
      </c>
      <c r="C1108" t="str">
        <f ca="1">IFERROR(__xludf.DUMMYFUNCTION("""COMPUTED_VALUE"""),"ЗАО ""ЭКОС"" 115-СТР от 01.01.2022")</f>
        <v>ЗАО "ЭКОС" 115-СТР от 01.01.2022</v>
      </c>
      <c r="D11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8" t="str">
        <f ca="1">IFERROR(__xludf.DUMMYFUNCTION("""COMPUTED_VALUE"""),"Новый")</f>
        <v>Новый</v>
      </c>
      <c r="G1108" s="68"/>
      <c r="K1108" s="68"/>
    </row>
    <row r="1109" spans="1:11" ht="12.75">
      <c r="A1109" s="69">
        <f ca="1">IFERROR(__xludf.DUMMYFUNCTION("""COMPUTED_VALUE"""),92565)</f>
        <v>92565</v>
      </c>
      <c r="B1109" s="4">
        <f ca="1">IFERROR(__xludf.DUMMYFUNCTION("""COMPUTED_VALUE"""),44616)</f>
        <v>44616</v>
      </c>
      <c r="C1109" t="str">
        <f ca="1">IFERROR(__xludf.DUMMYFUNCTION("""COMPUTED_VALUE"""),"ЗАО ""ЭКОС"" 115-СТР от 01.01.2022")</f>
        <v>ЗАО "ЭКОС" 115-СТР от 01.01.2022</v>
      </c>
      <c r="D11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09" t="str">
        <f ca="1">IFERROR(__xludf.DUMMYFUNCTION("""COMPUTED_VALUE"""),"Новый")</f>
        <v>Новый</v>
      </c>
      <c r="G1109" s="68"/>
      <c r="K1109" s="68"/>
    </row>
    <row r="1110" spans="1:11" ht="12.75">
      <c r="A1110" s="69">
        <f ca="1">IFERROR(__xludf.DUMMYFUNCTION("""COMPUTED_VALUE"""),92566)</f>
        <v>92566</v>
      </c>
      <c r="B1110" s="4">
        <f ca="1">IFERROR(__xludf.DUMMYFUNCTION("""COMPUTED_VALUE"""),44616)</f>
        <v>44616</v>
      </c>
      <c r="C1110" t="str">
        <f ca="1">IFERROR(__xludf.DUMMYFUNCTION("""COMPUTED_VALUE"""),"ЗАО ""ЭКОС"" 115-СТР от 01.01.2022")</f>
        <v>ЗАО "ЭКОС" 115-СТР от 01.01.2022</v>
      </c>
      <c r="D11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0" t="str">
        <f ca="1">IFERROR(__xludf.DUMMYFUNCTION("""COMPUTED_VALUE"""),"Новый")</f>
        <v>Новый</v>
      </c>
      <c r="G1110" s="68"/>
      <c r="K1110" s="68"/>
    </row>
    <row r="1111" spans="1:11" ht="12.75">
      <c r="A1111" s="69">
        <f ca="1">IFERROR(__xludf.DUMMYFUNCTION("""COMPUTED_VALUE"""),92567)</f>
        <v>92567</v>
      </c>
      <c r="B1111" s="4">
        <f ca="1">IFERROR(__xludf.DUMMYFUNCTION("""COMPUTED_VALUE"""),44616)</f>
        <v>44616</v>
      </c>
      <c r="C1111" t="str">
        <f ca="1">IFERROR(__xludf.DUMMYFUNCTION("""COMPUTED_VALUE"""),"ЗАО ""ЭКОС"" 115-СТР от 01.01.2022")</f>
        <v>ЗАО "ЭКОС" 115-СТР от 01.01.2022</v>
      </c>
      <c r="D11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1" t="str">
        <f ca="1">IFERROR(__xludf.DUMMYFUNCTION("""COMPUTED_VALUE"""),"Новый")</f>
        <v>Новый</v>
      </c>
      <c r="G1111" s="68"/>
      <c r="K1111" s="68"/>
    </row>
    <row r="1112" spans="1:11" ht="12.75">
      <c r="A1112" s="69">
        <f ca="1">IFERROR(__xludf.DUMMYFUNCTION("""COMPUTED_VALUE"""),92568)</f>
        <v>92568</v>
      </c>
      <c r="B1112" s="4">
        <f ca="1">IFERROR(__xludf.DUMMYFUNCTION("""COMPUTED_VALUE"""),44616)</f>
        <v>44616</v>
      </c>
      <c r="C1112" t="str">
        <f ca="1">IFERROR(__xludf.DUMMYFUNCTION("""COMPUTED_VALUE"""),"ЗАО ""ЭКОС"" 115-СТР от 01.01.2022")</f>
        <v>ЗАО "ЭКОС" 115-СТР от 01.01.2022</v>
      </c>
      <c r="D11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2" t="str">
        <f ca="1">IFERROR(__xludf.DUMMYFUNCTION("""COMPUTED_VALUE"""),"Новый")</f>
        <v>Новый</v>
      </c>
      <c r="G1112" s="68"/>
      <c r="K1112" s="68"/>
    </row>
    <row r="1113" spans="1:11" ht="12.75">
      <c r="A1113" s="69">
        <f ca="1">IFERROR(__xludf.DUMMYFUNCTION("""COMPUTED_VALUE"""),92569)</f>
        <v>92569</v>
      </c>
      <c r="B1113" s="4">
        <f ca="1">IFERROR(__xludf.DUMMYFUNCTION("""COMPUTED_VALUE"""),44616)</f>
        <v>44616</v>
      </c>
      <c r="C1113" t="str">
        <f ca="1">IFERROR(__xludf.DUMMYFUNCTION("""COMPUTED_VALUE"""),"ЗАО ""ЭКОС"" 115-СТР от 01.01.2022")</f>
        <v>ЗАО "ЭКОС" 115-СТР от 01.01.2022</v>
      </c>
      <c r="D11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3" t="str">
        <f ca="1">IFERROR(__xludf.DUMMYFUNCTION("""COMPUTED_VALUE"""),"Новый")</f>
        <v>Новый</v>
      </c>
      <c r="G1113" s="68"/>
      <c r="K1113" s="68"/>
    </row>
    <row r="1114" spans="1:11" ht="12.75">
      <c r="A1114" s="69">
        <f ca="1">IFERROR(__xludf.DUMMYFUNCTION("""COMPUTED_VALUE"""),92570)</f>
        <v>92570</v>
      </c>
      <c r="B1114" s="4">
        <f ca="1">IFERROR(__xludf.DUMMYFUNCTION("""COMPUTED_VALUE"""),44616)</f>
        <v>44616</v>
      </c>
      <c r="C1114" t="str">
        <f ca="1">IFERROR(__xludf.DUMMYFUNCTION("""COMPUTED_VALUE"""),"ЗАО ""ЭКОС"" 115-СТР от 01.01.2022")</f>
        <v>ЗАО "ЭКОС" 115-СТР от 01.01.2022</v>
      </c>
      <c r="D11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4" t="str">
        <f ca="1">IFERROR(__xludf.DUMMYFUNCTION("""COMPUTED_VALUE"""),"Новый")</f>
        <v>Новый</v>
      </c>
      <c r="G1114" s="68"/>
      <c r="K1114" s="68"/>
    </row>
    <row r="1115" spans="1:11" ht="12.75">
      <c r="A1115" s="69">
        <f ca="1">IFERROR(__xludf.DUMMYFUNCTION("""COMPUTED_VALUE"""),92889)</f>
        <v>92889</v>
      </c>
      <c r="B1115" s="4">
        <f ca="1">IFERROR(__xludf.DUMMYFUNCTION("""COMPUTED_VALUE"""),44617)</f>
        <v>44617</v>
      </c>
      <c r="C1115" t="str">
        <f ca="1">IFERROR(__xludf.DUMMYFUNCTION("""COMPUTED_VALUE"""),"ПАО ""ОНХП"" 95-СТР от 05.07.2021")</f>
        <v>ПАО "ОНХП" 95-СТР от 05.07.2021</v>
      </c>
      <c r="D11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5" t="str">
        <f ca="1">IFERROR(__xludf.DUMMYFUNCTION("""COMPUTED_VALUE"""),"Новый")</f>
        <v>Новый</v>
      </c>
      <c r="G1115" s="68"/>
      <c r="K1115" s="68"/>
    </row>
    <row r="1116" spans="1:11" ht="12.75">
      <c r="A1116" s="69">
        <f ca="1">IFERROR(__xludf.DUMMYFUNCTION("""COMPUTED_VALUE"""),93091)</f>
        <v>93091</v>
      </c>
      <c r="B1116" s="4">
        <f ca="1">IFERROR(__xludf.DUMMYFUNCTION("""COMPUTED_VALUE"""),44629)</f>
        <v>44629</v>
      </c>
      <c r="C1116" t="str">
        <f ca="1">IFERROR(__xludf.DUMMYFUNCTION("""COMPUTED_VALUE"""),"ООО ""ЛИКВИДАТОР"" №116-СТР от 01.03.2022")</f>
        <v>ООО "ЛИКВИДАТОР" №116-СТР от 01.03.2022</v>
      </c>
      <c r="D11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6" t="str">
        <f ca="1">IFERROR(__xludf.DUMMYFUNCTION("""COMPUTED_VALUE"""),"Новый")</f>
        <v>Новый</v>
      </c>
      <c r="G1116" s="68"/>
      <c r="K1116" s="68"/>
    </row>
    <row r="1117" spans="1:11" ht="12.75">
      <c r="A1117" s="69">
        <f ca="1">IFERROR(__xludf.DUMMYFUNCTION("""COMPUTED_VALUE"""),93092)</f>
        <v>93092</v>
      </c>
      <c r="B1117" s="4">
        <f ca="1">IFERROR(__xludf.DUMMYFUNCTION("""COMPUTED_VALUE"""),44629)</f>
        <v>44629</v>
      </c>
      <c r="C1117" t="str">
        <f ca="1">IFERROR(__xludf.DUMMYFUNCTION("""COMPUTED_VALUE"""),"ООО ""ЛИКВИДАТОР"" №116-СТР от 01.03.2022")</f>
        <v>ООО "ЛИКВИДАТОР" №116-СТР от 01.03.2022</v>
      </c>
      <c r="D11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7" t="str">
        <f ca="1">IFERROR(__xludf.DUMMYFUNCTION("""COMPUTED_VALUE"""),"Новый")</f>
        <v>Новый</v>
      </c>
      <c r="G1117" s="68"/>
      <c r="K1117" s="68"/>
    </row>
    <row r="1118" spans="1:11" ht="12.75">
      <c r="A1118" s="69">
        <f ca="1">IFERROR(__xludf.DUMMYFUNCTION("""COMPUTED_VALUE"""),93093)</f>
        <v>93093</v>
      </c>
      <c r="B1118" s="4">
        <f ca="1">IFERROR(__xludf.DUMMYFUNCTION("""COMPUTED_VALUE"""),44629)</f>
        <v>44629</v>
      </c>
      <c r="C1118" t="str">
        <f ca="1">IFERROR(__xludf.DUMMYFUNCTION("""COMPUTED_VALUE"""),"ООО ""ЛИКВИДАТОР"" №116-СТР от 01.03.2022")</f>
        <v>ООО "ЛИКВИДАТОР" №116-СТР от 01.03.2022</v>
      </c>
      <c r="D11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8" t="str">
        <f ca="1">IFERROR(__xludf.DUMMYFUNCTION("""COMPUTED_VALUE"""),"Новый")</f>
        <v>Новый</v>
      </c>
      <c r="G1118" s="68"/>
      <c r="K1118" s="68"/>
    </row>
    <row r="1119" spans="1:11" ht="12.75">
      <c r="A1119" s="69">
        <f ca="1">IFERROR(__xludf.DUMMYFUNCTION("""COMPUTED_VALUE"""),93094)</f>
        <v>93094</v>
      </c>
      <c r="B1119" s="4">
        <f ca="1">IFERROR(__xludf.DUMMYFUNCTION("""COMPUTED_VALUE"""),44629)</f>
        <v>44629</v>
      </c>
      <c r="C1119" t="str">
        <f ca="1">IFERROR(__xludf.DUMMYFUNCTION("""COMPUTED_VALUE"""),"ООО ""ЛИКВИДАТОР"" №116-СТР от 01.03.2022")</f>
        <v>ООО "ЛИКВИДАТОР" №116-СТР от 01.03.2022</v>
      </c>
      <c r="D11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19" t="str">
        <f ca="1">IFERROR(__xludf.DUMMYFUNCTION("""COMPUTED_VALUE"""),"Новый")</f>
        <v>Новый</v>
      </c>
      <c r="G1119" s="68"/>
      <c r="K1119" s="68"/>
    </row>
    <row r="1120" spans="1:11" ht="12.75">
      <c r="A1120" s="69">
        <f ca="1">IFERROR(__xludf.DUMMYFUNCTION("""COMPUTED_VALUE"""),93095)</f>
        <v>93095</v>
      </c>
      <c r="B1120" s="4">
        <f ca="1">IFERROR(__xludf.DUMMYFUNCTION("""COMPUTED_VALUE"""),44629)</f>
        <v>44629</v>
      </c>
      <c r="C1120" t="str">
        <f ca="1">IFERROR(__xludf.DUMMYFUNCTION("""COMPUTED_VALUE"""),"ООО ""ЛИКВИДАТОР"" №116-СТР от 01.03.2022")</f>
        <v>ООО "ЛИКВИДАТОР" №116-СТР от 01.03.2022</v>
      </c>
      <c r="D11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0" t="str">
        <f ca="1">IFERROR(__xludf.DUMMYFUNCTION("""COMPUTED_VALUE"""),"Новый")</f>
        <v>Новый</v>
      </c>
      <c r="G1120" s="68"/>
      <c r="K1120" s="68"/>
    </row>
    <row r="1121" spans="1:11" ht="12.75">
      <c r="A1121" s="69">
        <f ca="1">IFERROR(__xludf.DUMMYFUNCTION("""COMPUTED_VALUE"""),93096)</f>
        <v>93096</v>
      </c>
      <c r="B1121" s="4">
        <f ca="1">IFERROR(__xludf.DUMMYFUNCTION("""COMPUTED_VALUE"""),44629)</f>
        <v>44629</v>
      </c>
      <c r="C1121" t="str">
        <f ca="1">IFERROR(__xludf.DUMMYFUNCTION("""COMPUTED_VALUE"""),"ООО ""ЛИКВИДАТОР"" №116-СТР от 01.03.2022")</f>
        <v>ООО "ЛИКВИДАТОР" №116-СТР от 01.03.2022</v>
      </c>
      <c r="D11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1" t="str">
        <f ca="1">IFERROR(__xludf.DUMMYFUNCTION("""COMPUTED_VALUE"""),"Новый")</f>
        <v>Новый</v>
      </c>
      <c r="G1121" s="68"/>
      <c r="K1121" s="68"/>
    </row>
    <row r="1122" spans="1:11" ht="12.75">
      <c r="A1122" s="69">
        <f ca="1">IFERROR(__xludf.DUMMYFUNCTION("""COMPUTED_VALUE"""),93097)</f>
        <v>93097</v>
      </c>
      <c r="B1122" s="4">
        <f ca="1">IFERROR(__xludf.DUMMYFUNCTION("""COMPUTED_VALUE"""),44629)</f>
        <v>44629</v>
      </c>
      <c r="C1122" t="str">
        <f ca="1">IFERROR(__xludf.DUMMYFUNCTION("""COMPUTED_VALUE"""),"ООО ""ЛИКВИДАТОР"" №116-СТР от 01.03.2022")</f>
        <v>ООО "ЛИКВИДАТОР" №116-СТР от 01.03.2022</v>
      </c>
      <c r="D11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2" t="str">
        <f ca="1">IFERROR(__xludf.DUMMYFUNCTION("""COMPUTED_VALUE"""),"Новый")</f>
        <v>Новый</v>
      </c>
      <c r="G1122" s="68"/>
      <c r="K1122" s="68"/>
    </row>
    <row r="1123" spans="1:11" ht="12.75">
      <c r="A1123" s="69">
        <f ca="1">IFERROR(__xludf.DUMMYFUNCTION("""COMPUTED_VALUE"""),93098)</f>
        <v>93098</v>
      </c>
      <c r="B1123" s="4">
        <f ca="1">IFERROR(__xludf.DUMMYFUNCTION("""COMPUTED_VALUE"""),44629)</f>
        <v>44629</v>
      </c>
      <c r="C1123" t="str">
        <f ca="1">IFERROR(__xludf.DUMMYFUNCTION("""COMPUTED_VALUE"""),"ООО ""ЛИКВИДАТОР"" №116-СТР от 01.03.2022")</f>
        <v>ООО "ЛИКВИДАТОР" №116-СТР от 01.03.2022</v>
      </c>
      <c r="D11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3" t="str">
        <f ca="1">IFERROR(__xludf.DUMMYFUNCTION("""COMPUTED_VALUE"""),"Новый")</f>
        <v>Новый</v>
      </c>
      <c r="G1123" s="68"/>
      <c r="K1123" s="68"/>
    </row>
    <row r="1124" spans="1:11" ht="12.75">
      <c r="A1124" s="69">
        <f ca="1">IFERROR(__xludf.DUMMYFUNCTION("""COMPUTED_VALUE"""),93099)</f>
        <v>93099</v>
      </c>
      <c r="B1124" s="4">
        <f ca="1">IFERROR(__xludf.DUMMYFUNCTION("""COMPUTED_VALUE"""),44629)</f>
        <v>44629</v>
      </c>
      <c r="C1124" t="str">
        <f ca="1">IFERROR(__xludf.DUMMYFUNCTION("""COMPUTED_VALUE"""),"ООО ""ЛИКВИДАТОР"" №116-СТР от 01.03.2022")</f>
        <v>ООО "ЛИКВИДАТОР" №116-СТР от 01.03.2022</v>
      </c>
      <c r="D11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4" t="str">
        <f ca="1">IFERROR(__xludf.DUMMYFUNCTION("""COMPUTED_VALUE"""),"Новый")</f>
        <v>Новый</v>
      </c>
      <c r="G1124" s="68"/>
      <c r="K1124" s="68"/>
    </row>
    <row r="1125" spans="1:11" ht="12.75">
      <c r="A1125" s="69">
        <f ca="1">IFERROR(__xludf.DUMMYFUNCTION("""COMPUTED_VALUE"""),93100)</f>
        <v>93100</v>
      </c>
      <c r="B1125" s="4">
        <f ca="1">IFERROR(__xludf.DUMMYFUNCTION("""COMPUTED_VALUE"""),44629)</f>
        <v>44629</v>
      </c>
      <c r="C1125" t="str">
        <f ca="1">IFERROR(__xludf.DUMMYFUNCTION("""COMPUTED_VALUE"""),"ООО ""ЛИКВИДАТОР"" №116-СТР от 01.03.2022")</f>
        <v>ООО "ЛИКВИДАТОР" №116-СТР от 01.03.2022</v>
      </c>
      <c r="D11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5" t="str">
        <f ca="1">IFERROR(__xludf.DUMMYFUNCTION("""COMPUTED_VALUE"""),"Новый")</f>
        <v>Новый</v>
      </c>
      <c r="G1125" s="68"/>
      <c r="K1125" s="68"/>
    </row>
    <row r="1126" spans="1:11" ht="12.75">
      <c r="A1126" s="69">
        <f ca="1">IFERROR(__xludf.DUMMYFUNCTION("""COMPUTED_VALUE"""),93101)</f>
        <v>93101</v>
      </c>
      <c r="B1126" s="4">
        <f ca="1">IFERROR(__xludf.DUMMYFUNCTION("""COMPUTED_VALUE"""),44629)</f>
        <v>44629</v>
      </c>
      <c r="C1126" t="str">
        <f ca="1">IFERROR(__xludf.DUMMYFUNCTION("""COMPUTED_VALUE"""),"ООО ""ЛИКВИДАТОР"" №116-СТР от 01.03.2022")</f>
        <v>ООО "ЛИКВИДАТОР" №116-СТР от 01.03.2022</v>
      </c>
      <c r="D11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6" t="str">
        <f ca="1">IFERROR(__xludf.DUMMYFUNCTION("""COMPUTED_VALUE"""),"Новый")</f>
        <v>Новый</v>
      </c>
      <c r="G1126" s="68"/>
      <c r="K1126" s="68"/>
    </row>
    <row r="1127" spans="1:11" ht="12.75">
      <c r="A1127" s="69">
        <f ca="1">IFERROR(__xludf.DUMMYFUNCTION("""COMPUTED_VALUE"""),93102)</f>
        <v>93102</v>
      </c>
      <c r="B1127" s="4">
        <f ca="1">IFERROR(__xludf.DUMMYFUNCTION("""COMPUTED_VALUE"""),44629)</f>
        <v>44629</v>
      </c>
      <c r="C1127" t="str">
        <f ca="1">IFERROR(__xludf.DUMMYFUNCTION("""COMPUTED_VALUE"""),"ООО ""ЛИКВИДАТОР"" №116-СТР от 01.03.2022")</f>
        <v>ООО "ЛИКВИДАТОР" №116-СТР от 01.03.2022</v>
      </c>
      <c r="D11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7" t="str">
        <f ca="1">IFERROR(__xludf.DUMMYFUNCTION("""COMPUTED_VALUE"""),"Новый")</f>
        <v>Новый</v>
      </c>
      <c r="G1127" s="68"/>
      <c r="K1127" s="68"/>
    </row>
    <row r="1128" spans="1:11" ht="12.75">
      <c r="A1128" s="69">
        <f ca="1">IFERROR(__xludf.DUMMYFUNCTION("""COMPUTED_VALUE"""),93103)</f>
        <v>93103</v>
      </c>
      <c r="B1128" s="4">
        <f ca="1">IFERROR(__xludf.DUMMYFUNCTION("""COMPUTED_VALUE"""),44629)</f>
        <v>44629</v>
      </c>
      <c r="C1128" t="str">
        <f ca="1">IFERROR(__xludf.DUMMYFUNCTION("""COMPUTED_VALUE"""),"ООО ""ЛИКВИДАТОР"" №116-СТР от 01.03.2022")</f>
        <v>ООО "ЛИКВИДАТОР" №116-СТР от 01.03.2022</v>
      </c>
      <c r="D11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8" t="str">
        <f ca="1">IFERROR(__xludf.DUMMYFUNCTION("""COMPUTED_VALUE"""),"Новый")</f>
        <v>Новый</v>
      </c>
      <c r="G1128" s="68"/>
      <c r="K1128" s="68"/>
    </row>
    <row r="1129" spans="1:11" ht="12.75">
      <c r="A1129" s="69">
        <f ca="1">IFERROR(__xludf.DUMMYFUNCTION("""COMPUTED_VALUE"""),93104)</f>
        <v>93104</v>
      </c>
      <c r="B1129" s="4">
        <f ca="1">IFERROR(__xludf.DUMMYFUNCTION("""COMPUTED_VALUE"""),44629)</f>
        <v>44629</v>
      </c>
      <c r="C1129" t="str">
        <f ca="1">IFERROR(__xludf.DUMMYFUNCTION("""COMPUTED_VALUE"""),"ООО ""ЛИКВИДАТОР"" №116-СТР от 01.03.2022")</f>
        <v>ООО "ЛИКВИДАТОР" №116-СТР от 01.03.2022</v>
      </c>
      <c r="D11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29" t="str">
        <f ca="1">IFERROR(__xludf.DUMMYFUNCTION("""COMPUTED_VALUE"""),"Новый")</f>
        <v>Новый</v>
      </c>
      <c r="G1129" s="68"/>
      <c r="K1129" s="68"/>
    </row>
    <row r="1130" spans="1:11" ht="12.75">
      <c r="A1130" s="69">
        <f ca="1">IFERROR(__xludf.DUMMYFUNCTION("""COMPUTED_VALUE"""),93105)</f>
        <v>93105</v>
      </c>
      <c r="B1130" s="4">
        <f ca="1">IFERROR(__xludf.DUMMYFUNCTION("""COMPUTED_VALUE"""),44629)</f>
        <v>44629</v>
      </c>
      <c r="C1130" t="str">
        <f ca="1">IFERROR(__xludf.DUMMYFUNCTION("""COMPUTED_VALUE"""),"ООО ""ЛИКВИДАТОР"" №116-СТР от 01.03.2022")</f>
        <v>ООО "ЛИКВИДАТОР" №116-СТР от 01.03.2022</v>
      </c>
      <c r="D11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0" t="str">
        <f ca="1">IFERROR(__xludf.DUMMYFUNCTION("""COMPUTED_VALUE"""),"Новый")</f>
        <v>Новый</v>
      </c>
      <c r="G1130" s="68"/>
      <c r="K1130" s="68"/>
    </row>
    <row r="1131" spans="1:11" ht="12.75">
      <c r="A1131" s="69">
        <f ca="1">IFERROR(__xludf.DUMMYFUNCTION("""COMPUTED_VALUE"""),93106)</f>
        <v>93106</v>
      </c>
      <c r="B1131" s="4">
        <f ca="1">IFERROR(__xludf.DUMMYFUNCTION("""COMPUTED_VALUE"""),44629)</f>
        <v>44629</v>
      </c>
      <c r="C1131" t="str">
        <f ca="1">IFERROR(__xludf.DUMMYFUNCTION("""COMPUTED_VALUE"""),"ООО ""ЛИКВИДАТОР"" №116-СТР от 01.03.2022")</f>
        <v>ООО "ЛИКВИДАТОР" №116-СТР от 01.03.2022</v>
      </c>
      <c r="D11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1" t="str">
        <f ca="1">IFERROR(__xludf.DUMMYFUNCTION("""COMPUTED_VALUE"""),"Новый")</f>
        <v>Новый</v>
      </c>
      <c r="G1131" s="68"/>
      <c r="K1131" s="68"/>
    </row>
    <row r="1132" spans="1:11" ht="12.75">
      <c r="A1132" s="69">
        <f ca="1">IFERROR(__xludf.DUMMYFUNCTION("""COMPUTED_VALUE"""),93107)</f>
        <v>93107</v>
      </c>
      <c r="B1132" s="4">
        <f ca="1">IFERROR(__xludf.DUMMYFUNCTION("""COMPUTED_VALUE"""),44629)</f>
        <v>44629</v>
      </c>
      <c r="C1132" t="str">
        <f ca="1">IFERROR(__xludf.DUMMYFUNCTION("""COMPUTED_VALUE"""),"ООО ""ЛИКВИДАТОР"" №116-СТР от 01.03.2022")</f>
        <v>ООО "ЛИКВИДАТОР" №116-СТР от 01.03.2022</v>
      </c>
      <c r="D11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2" t="str">
        <f ca="1">IFERROR(__xludf.DUMMYFUNCTION("""COMPUTED_VALUE"""),"Новый")</f>
        <v>Новый</v>
      </c>
      <c r="G1132" s="68"/>
      <c r="K1132" s="68"/>
    </row>
    <row r="1133" spans="1:11" ht="12.75">
      <c r="A1133" s="69">
        <f ca="1">IFERROR(__xludf.DUMMYFUNCTION("""COMPUTED_VALUE"""),93108)</f>
        <v>93108</v>
      </c>
      <c r="B1133" s="4">
        <f ca="1">IFERROR(__xludf.DUMMYFUNCTION("""COMPUTED_VALUE"""),44629)</f>
        <v>44629</v>
      </c>
      <c r="C1133" t="str">
        <f ca="1">IFERROR(__xludf.DUMMYFUNCTION("""COMPUTED_VALUE"""),"ООО ""ЛИКВИДАТОР"" №116-СТР от 01.03.2022")</f>
        <v>ООО "ЛИКВИДАТОР" №116-СТР от 01.03.2022</v>
      </c>
      <c r="D11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3" t="str">
        <f ca="1">IFERROR(__xludf.DUMMYFUNCTION("""COMPUTED_VALUE"""),"Новый")</f>
        <v>Новый</v>
      </c>
      <c r="G1133" s="68"/>
      <c r="K1133" s="68"/>
    </row>
    <row r="1134" spans="1:11" ht="12.75">
      <c r="A1134" s="69">
        <f ca="1">IFERROR(__xludf.DUMMYFUNCTION("""COMPUTED_VALUE"""),93109)</f>
        <v>93109</v>
      </c>
      <c r="B1134" s="4">
        <f ca="1">IFERROR(__xludf.DUMMYFUNCTION("""COMPUTED_VALUE"""),44629)</f>
        <v>44629</v>
      </c>
      <c r="C1134" t="str">
        <f ca="1">IFERROR(__xludf.DUMMYFUNCTION("""COMPUTED_VALUE"""),"ООО ""ЛИКВИДАТОР"" №116-СТР от 01.03.2022")</f>
        <v>ООО "ЛИКВИДАТОР" №116-СТР от 01.03.2022</v>
      </c>
      <c r="D11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4" t="str">
        <f ca="1">IFERROR(__xludf.DUMMYFUNCTION("""COMPUTED_VALUE"""),"Новый")</f>
        <v>Новый</v>
      </c>
      <c r="G1134" s="68"/>
      <c r="K1134" s="68"/>
    </row>
    <row r="1135" spans="1:11" ht="12.75">
      <c r="A1135" s="69">
        <f ca="1">IFERROR(__xludf.DUMMYFUNCTION("""COMPUTED_VALUE"""),93110)</f>
        <v>93110</v>
      </c>
      <c r="B1135" s="4">
        <f ca="1">IFERROR(__xludf.DUMMYFUNCTION("""COMPUTED_VALUE"""),44629)</f>
        <v>44629</v>
      </c>
      <c r="C1135" t="str">
        <f ca="1">IFERROR(__xludf.DUMMYFUNCTION("""COMPUTED_VALUE"""),"ООО ""ЛИКВИДАТОР"" №116-СТР от 01.03.2022")</f>
        <v>ООО "ЛИКВИДАТОР" №116-СТР от 01.03.2022</v>
      </c>
      <c r="D11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5" t="str">
        <f ca="1">IFERROR(__xludf.DUMMYFUNCTION("""COMPUTED_VALUE"""),"Новый")</f>
        <v>Новый</v>
      </c>
      <c r="G1135" s="68"/>
      <c r="K1135" s="68"/>
    </row>
    <row r="1136" spans="1:11" ht="12.75">
      <c r="A1136" s="69">
        <f ca="1">IFERROR(__xludf.DUMMYFUNCTION("""COMPUTED_VALUE"""),93111)</f>
        <v>93111</v>
      </c>
      <c r="B1136" s="4">
        <f ca="1">IFERROR(__xludf.DUMMYFUNCTION("""COMPUTED_VALUE"""),44629)</f>
        <v>44629</v>
      </c>
      <c r="C1136" t="str">
        <f ca="1">IFERROR(__xludf.DUMMYFUNCTION("""COMPUTED_VALUE"""),"ООО ""ЛИКВИДАТОР"" №116-СТР от 01.03.2022")</f>
        <v>ООО "ЛИКВИДАТОР" №116-СТР от 01.03.2022</v>
      </c>
      <c r="D11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6" t="str">
        <f ca="1">IFERROR(__xludf.DUMMYFUNCTION("""COMPUTED_VALUE"""),"Новый")</f>
        <v>Новый</v>
      </c>
      <c r="G1136" s="68"/>
      <c r="K1136" s="68"/>
    </row>
    <row r="1137" spans="1:11" ht="12.75">
      <c r="A1137" s="69">
        <f ca="1">IFERROR(__xludf.DUMMYFUNCTION("""COMPUTED_VALUE"""),93112)</f>
        <v>93112</v>
      </c>
      <c r="B1137" s="4">
        <f ca="1">IFERROR(__xludf.DUMMYFUNCTION("""COMPUTED_VALUE"""),44629)</f>
        <v>44629</v>
      </c>
      <c r="C1137" t="str">
        <f ca="1">IFERROR(__xludf.DUMMYFUNCTION("""COMPUTED_VALUE"""),"ООО ""ЛИКВИДАТОР"" №116-СТР от 01.03.2022")</f>
        <v>ООО "ЛИКВИДАТОР" №116-СТР от 01.03.2022</v>
      </c>
      <c r="D11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7" t="str">
        <f ca="1">IFERROR(__xludf.DUMMYFUNCTION("""COMPUTED_VALUE"""),"Новый")</f>
        <v>Новый</v>
      </c>
      <c r="G1137" s="68"/>
      <c r="K1137" s="68"/>
    </row>
    <row r="1138" spans="1:11" ht="12.75">
      <c r="A1138" s="69">
        <f ca="1">IFERROR(__xludf.DUMMYFUNCTION("""COMPUTED_VALUE"""),93113)</f>
        <v>93113</v>
      </c>
      <c r="B1138" s="4">
        <f ca="1">IFERROR(__xludf.DUMMYFUNCTION("""COMPUTED_VALUE"""),44629)</f>
        <v>44629</v>
      </c>
      <c r="C1138" t="str">
        <f ca="1">IFERROR(__xludf.DUMMYFUNCTION("""COMPUTED_VALUE"""),"ООО ""ЛИКВИДАТОР"" №116-СТР от 01.03.2022")</f>
        <v>ООО "ЛИКВИДАТОР" №116-СТР от 01.03.2022</v>
      </c>
      <c r="D11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8" t="str">
        <f ca="1">IFERROR(__xludf.DUMMYFUNCTION("""COMPUTED_VALUE"""),"Новый")</f>
        <v>Новый</v>
      </c>
      <c r="G1138" s="68"/>
      <c r="K1138" s="68"/>
    </row>
    <row r="1139" spans="1:11" ht="12.75">
      <c r="A1139" s="69">
        <f ca="1">IFERROR(__xludf.DUMMYFUNCTION("""COMPUTED_VALUE"""),93114)</f>
        <v>93114</v>
      </c>
      <c r="B1139" s="4">
        <f ca="1">IFERROR(__xludf.DUMMYFUNCTION("""COMPUTED_VALUE"""),44629)</f>
        <v>44629</v>
      </c>
      <c r="C1139" t="str">
        <f ca="1">IFERROR(__xludf.DUMMYFUNCTION("""COMPUTED_VALUE"""),"ООО ""ЛИКВИДАТОР"" №116-СТР от 01.03.2022")</f>
        <v>ООО "ЛИКВИДАТОР" №116-СТР от 01.03.2022</v>
      </c>
      <c r="D11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39" t="str">
        <f ca="1">IFERROR(__xludf.DUMMYFUNCTION("""COMPUTED_VALUE"""),"Новый")</f>
        <v>Новый</v>
      </c>
      <c r="G1139" s="68"/>
      <c r="K1139" s="68"/>
    </row>
    <row r="1140" spans="1:11" ht="12.75">
      <c r="A1140" s="69">
        <f ca="1">IFERROR(__xludf.DUMMYFUNCTION("""COMPUTED_VALUE"""),93115)</f>
        <v>93115</v>
      </c>
      <c r="B1140" s="4">
        <f ca="1">IFERROR(__xludf.DUMMYFUNCTION("""COMPUTED_VALUE"""),44629)</f>
        <v>44629</v>
      </c>
      <c r="C1140" t="str">
        <f ca="1">IFERROR(__xludf.DUMMYFUNCTION("""COMPUTED_VALUE"""),"ООО ""ЛИКВИДАТОР"" №116-СТР от 01.03.2022")</f>
        <v>ООО "ЛИКВИДАТОР" №116-СТР от 01.03.2022</v>
      </c>
      <c r="D11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0" t="str">
        <f ca="1">IFERROR(__xludf.DUMMYFUNCTION("""COMPUTED_VALUE"""),"Новый")</f>
        <v>Новый</v>
      </c>
      <c r="G1140" s="68"/>
      <c r="K1140" s="68"/>
    </row>
    <row r="1141" spans="1:11" ht="12.75">
      <c r="A1141" s="69">
        <f ca="1">IFERROR(__xludf.DUMMYFUNCTION("""COMPUTED_VALUE"""),93116)</f>
        <v>93116</v>
      </c>
      <c r="B1141" s="4">
        <f ca="1">IFERROR(__xludf.DUMMYFUNCTION("""COMPUTED_VALUE"""),44629)</f>
        <v>44629</v>
      </c>
      <c r="C1141" t="str">
        <f ca="1">IFERROR(__xludf.DUMMYFUNCTION("""COMPUTED_VALUE"""),"ООО ""ЛИКВИДАТОР"" №116-СТР от 01.03.2022")</f>
        <v>ООО "ЛИКВИДАТОР" №116-СТР от 01.03.2022</v>
      </c>
      <c r="D11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1" t="str">
        <f ca="1">IFERROR(__xludf.DUMMYFUNCTION("""COMPUTED_VALUE"""),"Новый")</f>
        <v>Новый</v>
      </c>
      <c r="G1141" s="68"/>
      <c r="K1141" s="68"/>
    </row>
    <row r="1142" spans="1:11" ht="12.75">
      <c r="A1142" s="69">
        <f ca="1">IFERROR(__xludf.DUMMYFUNCTION("""COMPUTED_VALUE"""),93117)</f>
        <v>93117</v>
      </c>
      <c r="B1142" s="4">
        <f ca="1">IFERROR(__xludf.DUMMYFUNCTION("""COMPUTED_VALUE"""),44629)</f>
        <v>44629</v>
      </c>
      <c r="C1142" t="str">
        <f ca="1">IFERROR(__xludf.DUMMYFUNCTION("""COMPUTED_VALUE"""),"ООО ""ЛИКВИДАТОР"" №116-СТР от 01.03.2022")</f>
        <v>ООО "ЛИКВИДАТОР" №116-СТР от 01.03.2022</v>
      </c>
      <c r="D11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2" t="str">
        <f ca="1">IFERROR(__xludf.DUMMYFUNCTION("""COMPUTED_VALUE"""),"Новый")</f>
        <v>Новый</v>
      </c>
      <c r="G1142" s="68"/>
      <c r="K1142" s="68"/>
    </row>
    <row r="1143" spans="1:11" ht="12.75">
      <c r="A1143" s="69">
        <f ca="1">IFERROR(__xludf.DUMMYFUNCTION("""COMPUTED_VALUE"""),93118)</f>
        <v>93118</v>
      </c>
      <c r="B1143" s="4">
        <f ca="1">IFERROR(__xludf.DUMMYFUNCTION("""COMPUTED_VALUE"""),44629)</f>
        <v>44629</v>
      </c>
      <c r="C1143" t="str">
        <f ca="1">IFERROR(__xludf.DUMMYFUNCTION("""COMPUTED_VALUE"""),"ООО ""ЛИКВИДАТОР"" №116-СТР от 01.03.2022")</f>
        <v>ООО "ЛИКВИДАТОР" №116-СТР от 01.03.2022</v>
      </c>
      <c r="D11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3" t="str">
        <f ca="1">IFERROR(__xludf.DUMMYFUNCTION("""COMPUTED_VALUE"""),"Новый")</f>
        <v>Новый</v>
      </c>
      <c r="G1143" s="68"/>
      <c r="K1143" s="68"/>
    </row>
    <row r="1144" spans="1:11" ht="12.75">
      <c r="A1144" s="69">
        <f ca="1">IFERROR(__xludf.DUMMYFUNCTION("""COMPUTED_VALUE"""),93119)</f>
        <v>93119</v>
      </c>
      <c r="B1144" s="4">
        <f ca="1">IFERROR(__xludf.DUMMYFUNCTION("""COMPUTED_VALUE"""),44629)</f>
        <v>44629</v>
      </c>
      <c r="C1144" t="str">
        <f ca="1">IFERROR(__xludf.DUMMYFUNCTION("""COMPUTED_VALUE"""),"ООО ""ЛИКВИДАТОР"" №116-СТР от 01.03.2022")</f>
        <v>ООО "ЛИКВИДАТОР" №116-СТР от 01.03.2022</v>
      </c>
      <c r="D11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4" t="str">
        <f ca="1">IFERROR(__xludf.DUMMYFUNCTION("""COMPUTED_VALUE"""),"Новый")</f>
        <v>Новый</v>
      </c>
      <c r="G1144" s="68"/>
      <c r="K1144" s="68"/>
    </row>
    <row r="1145" spans="1:11" ht="12.75">
      <c r="A1145" s="69">
        <f ca="1">IFERROR(__xludf.DUMMYFUNCTION("""COMPUTED_VALUE"""),93120)</f>
        <v>93120</v>
      </c>
      <c r="B1145" s="4">
        <f ca="1">IFERROR(__xludf.DUMMYFUNCTION("""COMPUTED_VALUE"""),44629)</f>
        <v>44629</v>
      </c>
      <c r="C1145" t="str">
        <f ca="1">IFERROR(__xludf.DUMMYFUNCTION("""COMPUTED_VALUE"""),"ООО ""ЛИКВИДАТОР"" №116-СТР от 01.03.2022")</f>
        <v>ООО "ЛИКВИДАТОР" №116-СТР от 01.03.2022</v>
      </c>
      <c r="D11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5" t="str">
        <f ca="1">IFERROR(__xludf.DUMMYFUNCTION("""COMPUTED_VALUE"""),"Новый")</f>
        <v>Новый</v>
      </c>
      <c r="G1145" s="68"/>
      <c r="K1145" s="68"/>
    </row>
    <row r="1146" spans="1:11" ht="12.75">
      <c r="A1146" s="69">
        <f ca="1">IFERROR(__xludf.DUMMYFUNCTION("""COMPUTED_VALUE"""),93121)</f>
        <v>93121</v>
      </c>
      <c r="B1146" s="4">
        <f ca="1">IFERROR(__xludf.DUMMYFUNCTION("""COMPUTED_VALUE"""),44629)</f>
        <v>44629</v>
      </c>
      <c r="C1146" t="str">
        <f ca="1">IFERROR(__xludf.DUMMYFUNCTION("""COMPUTED_VALUE"""),"ООО ""ЛИКВИДАТОР"" №116-СТР от 01.03.2022")</f>
        <v>ООО "ЛИКВИДАТОР" №116-СТР от 01.03.2022</v>
      </c>
      <c r="D11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6" t="str">
        <f ca="1">IFERROR(__xludf.DUMMYFUNCTION("""COMPUTED_VALUE"""),"Новый")</f>
        <v>Новый</v>
      </c>
      <c r="G1146" s="68"/>
      <c r="K1146" s="68"/>
    </row>
    <row r="1147" spans="1:11" ht="12.75">
      <c r="A1147" s="69">
        <f ca="1">IFERROR(__xludf.DUMMYFUNCTION("""COMPUTED_VALUE"""),93122)</f>
        <v>93122</v>
      </c>
      <c r="B1147" s="4">
        <f ca="1">IFERROR(__xludf.DUMMYFUNCTION("""COMPUTED_VALUE"""),44629)</f>
        <v>44629</v>
      </c>
      <c r="C1147" t="str">
        <f ca="1">IFERROR(__xludf.DUMMYFUNCTION("""COMPUTED_VALUE"""),"ООО ""ЛИКВИДАТОР"" №116-СТР от 01.03.2022")</f>
        <v>ООО "ЛИКВИДАТОР" №116-СТР от 01.03.2022</v>
      </c>
      <c r="D11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7" t="str">
        <f ca="1">IFERROR(__xludf.DUMMYFUNCTION("""COMPUTED_VALUE"""),"Новый")</f>
        <v>Новый</v>
      </c>
      <c r="G1147" s="68"/>
      <c r="K1147" s="68"/>
    </row>
    <row r="1148" spans="1:11" ht="12.75">
      <c r="A1148" s="69">
        <f ca="1">IFERROR(__xludf.DUMMYFUNCTION("""COMPUTED_VALUE"""),93123)</f>
        <v>93123</v>
      </c>
      <c r="B1148" s="4">
        <f ca="1">IFERROR(__xludf.DUMMYFUNCTION("""COMPUTED_VALUE"""),44629)</f>
        <v>44629</v>
      </c>
      <c r="C1148" t="str">
        <f ca="1">IFERROR(__xludf.DUMMYFUNCTION("""COMPUTED_VALUE"""),"ООО ""ЛИКВИДАТОР"" №116-СТР от 01.03.2022")</f>
        <v>ООО "ЛИКВИДАТОР" №116-СТР от 01.03.2022</v>
      </c>
      <c r="D11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8" t="str">
        <f ca="1">IFERROR(__xludf.DUMMYFUNCTION("""COMPUTED_VALUE"""),"Новый")</f>
        <v>Новый</v>
      </c>
      <c r="G1148" s="68"/>
      <c r="K1148" s="68"/>
    </row>
    <row r="1149" spans="1:11" ht="12.75">
      <c r="A1149" s="69">
        <f ca="1">IFERROR(__xludf.DUMMYFUNCTION("""COMPUTED_VALUE"""),93124)</f>
        <v>93124</v>
      </c>
      <c r="B1149" s="4">
        <f ca="1">IFERROR(__xludf.DUMMYFUNCTION("""COMPUTED_VALUE"""),44629)</f>
        <v>44629</v>
      </c>
      <c r="C1149" t="str">
        <f ca="1">IFERROR(__xludf.DUMMYFUNCTION("""COMPUTED_VALUE"""),"ООО ""ЛИКВИДАТОР"" №116-СТР от 01.03.2022")</f>
        <v>ООО "ЛИКВИДАТОР" №116-СТР от 01.03.2022</v>
      </c>
      <c r="D11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49" t="str">
        <f ca="1">IFERROR(__xludf.DUMMYFUNCTION("""COMPUTED_VALUE"""),"Новый")</f>
        <v>Новый</v>
      </c>
      <c r="G1149" s="68"/>
      <c r="K1149" s="68"/>
    </row>
    <row r="1150" spans="1:11" ht="12.75">
      <c r="A1150" s="69">
        <f ca="1">IFERROR(__xludf.DUMMYFUNCTION("""COMPUTED_VALUE"""),93125)</f>
        <v>93125</v>
      </c>
      <c r="B1150" s="4">
        <f ca="1">IFERROR(__xludf.DUMMYFUNCTION("""COMPUTED_VALUE"""),44629)</f>
        <v>44629</v>
      </c>
      <c r="C1150" t="str">
        <f ca="1">IFERROR(__xludf.DUMMYFUNCTION("""COMPUTED_VALUE"""),"ООО ""ЛИКВИДАТОР"" №116-СТР от 01.03.2022")</f>
        <v>ООО "ЛИКВИДАТОР" №116-СТР от 01.03.2022</v>
      </c>
      <c r="D11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0" t="str">
        <f ca="1">IFERROR(__xludf.DUMMYFUNCTION("""COMPUTED_VALUE"""),"Новый")</f>
        <v>Новый</v>
      </c>
      <c r="G1150" s="68"/>
      <c r="K1150" s="68"/>
    </row>
    <row r="1151" spans="1:11" ht="12.75">
      <c r="A1151" s="69">
        <f ca="1">IFERROR(__xludf.DUMMYFUNCTION("""COMPUTED_VALUE"""),93126)</f>
        <v>93126</v>
      </c>
      <c r="B1151" s="4">
        <f ca="1">IFERROR(__xludf.DUMMYFUNCTION("""COMPUTED_VALUE"""),44629)</f>
        <v>44629</v>
      </c>
      <c r="C1151" t="str">
        <f ca="1">IFERROR(__xludf.DUMMYFUNCTION("""COMPUTED_VALUE"""),"ООО ""ЛИКВИДАТОР"" №116-СТР от 01.03.2022")</f>
        <v>ООО "ЛИКВИДАТОР" №116-СТР от 01.03.2022</v>
      </c>
      <c r="D11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1" t="str">
        <f ca="1">IFERROR(__xludf.DUMMYFUNCTION("""COMPUTED_VALUE"""),"Новый")</f>
        <v>Новый</v>
      </c>
      <c r="G1151" s="68"/>
      <c r="K1151" s="68"/>
    </row>
    <row r="1152" spans="1:11" ht="12.75">
      <c r="A1152" s="69">
        <f ca="1">IFERROR(__xludf.DUMMYFUNCTION("""COMPUTED_VALUE"""),93127)</f>
        <v>93127</v>
      </c>
      <c r="B1152" s="4">
        <f ca="1">IFERROR(__xludf.DUMMYFUNCTION("""COMPUTED_VALUE"""),44629)</f>
        <v>44629</v>
      </c>
      <c r="C1152" t="str">
        <f ca="1">IFERROR(__xludf.DUMMYFUNCTION("""COMPUTED_VALUE"""),"ООО ""ЛИКВИДАТОР"" №116-СТР от 01.03.2022")</f>
        <v>ООО "ЛИКВИДАТОР" №116-СТР от 01.03.2022</v>
      </c>
      <c r="D11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2" t="str">
        <f ca="1">IFERROR(__xludf.DUMMYFUNCTION("""COMPUTED_VALUE"""),"Новый")</f>
        <v>Новый</v>
      </c>
      <c r="G1152" s="68"/>
      <c r="K1152" s="68"/>
    </row>
    <row r="1153" spans="1:11" ht="12.75">
      <c r="A1153" s="69">
        <f ca="1">IFERROR(__xludf.DUMMYFUNCTION("""COMPUTED_VALUE"""),93128)</f>
        <v>93128</v>
      </c>
      <c r="B1153" s="4">
        <f ca="1">IFERROR(__xludf.DUMMYFUNCTION("""COMPUTED_VALUE"""),44629)</f>
        <v>44629</v>
      </c>
      <c r="C1153" t="str">
        <f ca="1">IFERROR(__xludf.DUMMYFUNCTION("""COMPUTED_VALUE"""),"ООО ""ЛИКВИДАТОР"" №116-СТР от 01.03.2022")</f>
        <v>ООО "ЛИКВИДАТОР" №116-СТР от 01.03.2022</v>
      </c>
      <c r="D11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3" t="str">
        <f ca="1">IFERROR(__xludf.DUMMYFUNCTION("""COMPUTED_VALUE"""),"Новый")</f>
        <v>Новый</v>
      </c>
      <c r="G1153" s="68"/>
      <c r="K1153" s="68"/>
    </row>
    <row r="1154" spans="1:11" ht="12.75">
      <c r="A1154" s="69">
        <f ca="1">IFERROR(__xludf.DUMMYFUNCTION("""COMPUTED_VALUE"""),93129)</f>
        <v>93129</v>
      </c>
      <c r="B1154" s="4">
        <f ca="1">IFERROR(__xludf.DUMMYFUNCTION("""COMPUTED_VALUE"""),44629)</f>
        <v>44629</v>
      </c>
      <c r="C1154" t="str">
        <f ca="1">IFERROR(__xludf.DUMMYFUNCTION("""COMPUTED_VALUE"""),"ООО ""ЛИКВИДАТОР"" №116-СТР от 01.03.2022")</f>
        <v>ООО "ЛИКВИДАТОР" №116-СТР от 01.03.2022</v>
      </c>
      <c r="D11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4" t="str">
        <f ca="1">IFERROR(__xludf.DUMMYFUNCTION("""COMPUTED_VALUE"""),"Новый")</f>
        <v>Новый</v>
      </c>
      <c r="G1154" s="68"/>
      <c r="K1154" s="68"/>
    </row>
    <row r="1155" spans="1:11" ht="12.75">
      <c r="A1155" s="69">
        <f ca="1">IFERROR(__xludf.DUMMYFUNCTION("""COMPUTED_VALUE"""),93130)</f>
        <v>93130</v>
      </c>
      <c r="B1155" s="4">
        <f ca="1">IFERROR(__xludf.DUMMYFUNCTION("""COMPUTED_VALUE"""),44629)</f>
        <v>44629</v>
      </c>
      <c r="C1155" t="str">
        <f ca="1">IFERROR(__xludf.DUMMYFUNCTION("""COMPUTED_VALUE"""),"ООО ""ЛИКВИДАТОР"" №116-СТР от 01.03.2022")</f>
        <v>ООО "ЛИКВИДАТОР" №116-СТР от 01.03.2022</v>
      </c>
      <c r="D11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5" t="str">
        <f ca="1">IFERROR(__xludf.DUMMYFUNCTION("""COMPUTED_VALUE"""),"Новый")</f>
        <v>Новый</v>
      </c>
      <c r="G1155" s="68"/>
      <c r="K1155" s="68"/>
    </row>
    <row r="1156" spans="1:11" ht="12.75">
      <c r="A1156" s="69">
        <f ca="1">IFERROR(__xludf.DUMMYFUNCTION("""COMPUTED_VALUE"""),93131)</f>
        <v>93131</v>
      </c>
      <c r="B1156" s="4">
        <f ca="1">IFERROR(__xludf.DUMMYFUNCTION("""COMPUTED_VALUE"""),44629)</f>
        <v>44629</v>
      </c>
      <c r="C1156" t="str">
        <f ca="1">IFERROR(__xludf.DUMMYFUNCTION("""COMPUTED_VALUE"""),"ООО ""ЛИКВИДАТОР"" №116-СТР от 01.03.2022")</f>
        <v>ООО "ЛИКВИДАТОР" №116-СТР от 01.03.2022</v>
      </c>
      <c r="D11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6" t="str">
        <f ca="1">IFERROR(__xludf.DUMMYFUNCTION("""COMPUTED_VALUE"""),"Новый")</f>
        <v>Новый</v>
      </c>
      <c r="G1156" s="68"/>
      <c r="K1156" s="68"/>
    </row>
    <row r="1157" spans="1:11" ht="12.75">
      <c r="A1157" s="69">
        <f ca="1">IFERROR(__xludf.DUMMYFUNCTION("""COMPUTED_VALUE"""),93132)</f>
        <v>93132</v>
      </c>
      <c r="B1157" s="4">
        <f ca="1">IFERROR(__xludf.DUMMYFUNCTION("""COMPUTED_VALUE"""),44629)</f>
        <v>44629</v>
      </c>
      <c r="C1157" t="str">
        <f ca="1">IFERROR(__xludf.DUMMYFUNCTION("""COMPUTED_VALUE"""),"ООО ""ЛИКВИДАТОР"" №116-СТР от 01.03.2022")</f>
        <v>ООО "ЛИКВИДАТОР" №116-СТР от 01.03.2022</v>
      </c>
      <c r="D11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7" t="str">
        <f ca="1">IFERROR(__xludf.DUMMYFUNCTION("""COMPUTED_VALUE"""),"Новый")</f>
        <v>Новый</v>
      </c>
      <c r="G1157" s="68"/>
      <c r="K1157" s="68"/>
    </row>
    <row r="1158" spans="1:11" ht="12.75">
      <c r="A1158" s="69">
        <f ca="1">IFERROR(__xludf.DUMMYFUNCTION("""COMPUTED_VALUE"""),93133)</f>
        <v>93133</v>
      </c>
      <c r="B1158" s="4">
        <f ca="1">IFERROR(__xludf.DUMMYFUNCTION("""COMPUTED_VALUE"""),44629)</f>
        <v>44629</v>
      </c>
      <c r="C1158" t="str">
        <f ca="1">IFERROR(__xludf.DUMMYFUNCTION("""COMPUTED_VALUE"""),"ООО ""ЛИКВИДАТОР"" №116-СТР от 01.03.2022")</f>
        <v>ООО "ЛИКВИДАТОР" №116-СТР от 01.03.2022</v>
      </c>
      <c r="D11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8" t="str">
        <f ca="1">IFERROR(__xludf.DUMMYFUNCTION("""COMPUTED_VALUE"""),"Новый")</f>
        <v>Новый</v>
      </c>
      <c r="G1158" s="68"/>
      <c r="K1158" s="68"/>
    </row>
    <row r="1159" spans="1:11" ht="12.75">
      <c r="A1159" s="69">
        <f ca="1">IFERROR(__xludf.DUMMYFUNCTION("""COMPUTED_VALUE"""),93134)</f>
        <v>93134</v>
      </c>
      <c r="B1159" s="4">
        <f ca="1">IFERROR(__xludf.DUMMYFUNCTION("""COMPUTED_VALUE"""),44629)</f>
        <v>44629</v>
      </c>
      <c r="C1159" t="str">
        <f ca="1">IFERROR(__xludf.DUMMYFUNCTION("""COMPUTED_VALUE"""),"ООО ""ЛИКВИДАТОР"" №116-СТР от 01.03.2022")</f>
        <v>ООО "ЛИКВИДАТОР" №116-СТР от 01.03.2022</v>
      </c>
      <c r="D11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59" t="str">
        <f ca="1">IFERROR(__xludf.DUMMYFUNCTION("""COMPUTED_VALUE"""),"Новый")</f>
        <v>Новый</v>
      </c>
      <c r="G1159" s="68"/>
      <c r="K1159" s="68"/>
    </row>
    <row r="1160" spans="1:11" ht="12.75">
      <c r="A1160" s="69">
        <f ca="1">IFERROR(__xludf.DUMMYFUNCTION("""COMPUTED_VALUE"""),93135)</f>
        <v>93135</v>
      </c>
      <c r="B1160" s="4">
        <f ca="1">IFERROR(__xludf.DUMMYFUNCTION("""COMPUTED_VALUE"""),44629)</f>
        <v>44629</v>
      </c>
      <c r="C1160" t="str">
        <f ca="1">IFERROR(__xludf.DUMMYFUNCTION("""COMPUTED_VALUE"""),"ООО ""ЛИКВИДАТОР"" №116-СТР от 01.03.2022")</f>
        <v>ООО "ЛИКВИДАТОР" №116-СТР от 01.03.2022</v>
      </c>
      <c r="D11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0" t="str">
        <f ca="1">IFERROR(__xludf.DUMMYFUNCTION("""COMPUTED_VALUE"""),"Новый")</f>
        <v>Новый</v>
      </c>
      <c r="G1160" s="68"/>
      <c r="K1160" s="68"/>
    </row>
    <row r="1161" spans="1:11" ht="12.75">
      <c r="A1161" s="69">
        <f ca="1">IFERROR(__xludf.DUMMYFUNCTION("""COMPUTED_VALUE"""),93136)</f>
        <v>93136</v>
      </c>
      <c r="B1161" s="4">
        <f ca="1">IFERROR(__xludf.DUMMYFUNCTION("""COMPUTED_VALUE"""),44629)</f>
        <v>44629</v>
      </c>
      <c r="C1161" t="str">
        <f ca="1">IFERROR(__xludf.DUMMYFUNCTION("""COMPUTED_VALUE"""),"ООО ""ЛИКВИДАТОР"" №116-СТР от 01.03.2022")</f>
        <v>ООО "ЛИКВИДАТОР" №116-СТР от 01.03.2022</v>
      </c>
      <c r="D11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1" t="str">
        <f ca="1">IFERROR(__xludf.DUMMYFUNCTION("""COMPUTED_VALUE"""),"Новый")</f>
        <v>Новый</v>
      </c>
      <c r="G1161" s="68"/>
      <c r="K1161" s="68"/>
    </row>
    <row r="1162" spans="1:11" ht="12.75">
      <c r="A1162" s="69">
        <f ca="1">IFERROR(__xludf.DUMMYFUNCTION("""COMPUTED_VALUE"""),93137)</f>
        <v>93137</v>
      </c>
      <c r="B1162" s="4">
        <f ca="1">IFERROR(__xludf.DUMMYFUNCTION("""COMPUTED_VALUE"""),44629)</f>
        <v>44629</v>
      </c>
      <c r="C1162" t="str">
        <f ca="1">IFERROR(__xludf.DUMMYFUNCTION("""COMPUTED_VALUE"""),"ООО ""ЛИКВИДАТОР"" №116-СТР от 01.03.2022")</f>
        <v>ООО "ЛИКВИДАТОР" №116-СТР от 01.03.2022</v>
      </c>
      <c r="D11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2" t="str">
        <f ca="1">IFERROR(__xludf.DUMMYFUNCTION("""COMPUTED_VALUE"""),"Новый")</f>
        <v>Новый</v>
      </c>
      <c r="G1162" s="68"/>
      <c r="K1162" s="68"/>
    </row>
    <row r="1163" spans="1:11" ht="12.75">
      <c r="A1163" s="69">
        <f ca="1">IFERROR(__xludf.DUMMYFUNCTION("""COMPUTED_VALUE"""),93138)</f>
        <v>93138</v>
      </c>
      <c r="B1163" s="4">
        <f ca="1">IFERROR(__xludf.DUMMYFUNCTION("""COMPUTED_VALUE"""),44629)</f>
        <v>44629</v>
      </c>
      <c r="C1163" t="str">
        <f ca="1">IFERROR(__xludf.DUMMYFUNCTION("""COMPUTED_VALUE"""),"ООО ""ЛИКВИДАТОР"" №116-СТР от 01.03.2022")</f>
        <v>ООО "ЛИКВИДАТОР" №116-СТР от 01.03.2022</v>
      </c>
      <c r="D11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3" t="str">
        <f ca="1">IFERROR(__xludf.DUMMYFUNCTION("""COMPUTED_VALUE"""),"Новый")</f>
        <v>Новый</v>
      </c>
      <c r="G1163" s="68"/>
      <c r="K1163" s="68"/>
    </row>
    <row r="1164" spans="1:11" ht="12.75">
      <c r="A1164" s="69">
        <f ca="1">IFERROR(__xludf.DUMMYFUNCTION("""COMPUTED_VALUE"""),93139)</f>
        <v>93139</v>
      </c>
      <c r="B1164" s="4">
        <f ca="1">IFERROR(__xludf.DUMMYFUNCTION("""COMPUTED_VALUE"""),44629)</f>
        <v>44629</v>
      </c>
      <c r="C1164" t="str">
        <f ca="1">IFERROR(__xludf.DUMMYFUNCTION("""COMPUTED_VALUE"""),"ООО ""ЛИКВИДАТОР"" №116-СТР от 01.03.2022")</f>
        <v>ООО "ЛИКВИДАТОР" №116-СТР от 01.03.2022</v>
      </c>
      <c r="D11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4" t="str">
        <f ca="1">IFERROR(__xludf.DUMMYFUNCTION("""COMPUTED_VALUE"""),"Новый")</f>
        <v>Новый</v>
      </c>
      <c r="G1164" s="68"/>
      <c r="K1164" s="68"/>
    </row>
    <row r="1165" spans="1:11" ht="12.75">
      <c r="A1165" s="69">
        <f ca="1">IFERROR(__xludf.DUMMYFUNCTION("""COMPUTED_VALUE"""),93140)</f>
        <v>93140</v>
      </c>
      <c r="B1165" s="4">
        <f ca="1">IFERROR(__xludf.DUMMYFUNCTION("""COMPUTED_VALUE"""),44629)</f>
        <v>44629</v>
      </c>
      <c r="C1165" t="str">
        <f ca="1">IFERROR(__xludf.DUMMYFUNCTION("""COMPUTED_VALUE"""),"ООО ""ЛИКВИДАТОР"" №116-СТР от 01.03.2022")</f>
        <v>ООО "ЛИКВИДАТОР" №116-СТР от 01.03.2022</v>
      </c>
      <c r="D11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5" t="str">
        <f ca="1">IFERROR(__xludf.DUMMYFUNCTION("""COMPUTED_VALUE"""),"Новый")</f>
        <v>Новый</v>
      </c>
      <c r="G1165" s="68"/>
      <c r="K1165" s="68"/>
    </row>
    <row r="1166" spans="1:11" ht="12.75">
      <c r="A1166" s="69">
        <f ca="1">IFERROR(__xludf.DUMMYFUNCTION("""COMPUTED_VALUE"""),93141)</f>
        <v>93141</v>
      </c>
      <c r="B1166" s="4">
        <f ca="1">IFERROR(__xludf.DUMMYFUNCTION("""COMPUTED_VALUE"""),44629)</f>
        <v>44629</v>
      </c>
      <c r="C1166" t="str">
        <f ca="1">IFERROR(__xludf.DUMMYFUNCTION("""COMPUTED_VALUE"""),"ООО ""ЛИКВИДАТОР"" №116-СТР от 01.03.2022")</f>
        <v>ООО "ЛИКВИДАТОР" №116-СТР от 01.03.2022</v>
      </c>
      <c r="D11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6" t="str">
        <f ca="1">IFERROR(__xludf.DUMMYFUNCTION("""COMPUTED_VALUE"""),"Новый")</f>
        <v>Новый</v>
      </c>
      <c r="G1166" s="68"/>
      <c r="K1166" s="68"/>
    </row>
    <row r="1167" spans="1:11" ht="12.75">
      <c r="A1167" s="69">
        <f ca="1">IFERROR(__xludf.DUMMYFUNCTION("""COMPUTED_VALUE"""),93142)</f>
        <v>93142</v>
      </c>
      <c r="B1167" s="4">
        <f ca="1">IFERROR(__xludf.DUMMYFUNCTION("""COMPUTED_VALUE"""),44629)</f>
        <v>44629</v>
      </c>
      <c r="C1167" t="str">
        <f ca="1">IFERROR(__xludf.DUMMYFUNCTION("""COMPUTED_VALUE"""),"ООО ""ЛИКВИДАТОР"" №116-СТР от 01.03.2022")</f>
        <v>ООО "ЛИКВИДАТОР" №116-СТР от 01.03.2022</v>
      </c>
      <c r="D11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7" t="str">
        <f ca="1">IFERROR(__xludf.DUMMYFUNCTION("""COMPUTED_VALUE"""),"Новый")</f>
        <v>Новый</v>
      </c>
      <c r="G1167" s="68"/>
      <c r="K1167" s="68"/>
    </row>
    <row r="1168" spans="1:11" ht="12.75">
      <c r="A1168" s="69">
        <f ca="1">IFERROR(__xludf.DUMMYFUNCTION("""COMPUTED_VALUE"""),93143)</f>
        <v>93143</v>
      </c>
      <c r="B1168" s="4">
        <f ca="1">IFERROR(__xludf.DUMMYFUNCTION("""COMPUTED_VALUE"""),44629)</f>
        <v>44629</v>
      </c>
      <c r="C1168" t="str">
        <f ca="1">IFERROR(__xludf.DUMMYFUNCTION("""COMPUTED_VALUE"""),"ООО ""ЛИКВИДАТОР"" №116-СТР от 01.03.2022")</f>
        <v>ООО "ЛИКВИДАТОР" №116-СТР от 01.03.2022</v>
      </c>
      <c r="D11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8" t="str">
        <f ca="1">IFERROR(__xludf.DUMMYFUNCTION("""COMPUTED_VALUE"""),"Новый")</f>
        <v>Новый</v>
      </c>
      <c r="G1168" s="68"/>
      <c r="K1168" s="68"/>
    </row>
    <row r="1169" spans="1:11" ht="12.75">
      <c r="A1169" s="69">
        <f ca="1">IFERROR(__xludf.DUMMYFUNCTION("""COMPUTED_VALUE"""),93144)</f>
        <v>93144</v>
      </c>
      <c r="B1169" s="4">
        <f ca="1">IFERROR(__xludf.DUMMYFUNCTION("""COMPUTED_VALUE"""),44629)</f>
        <v>44629</v>
      </c>
      <c r="C1169" t="str">
        <f ca="1">IFERROR(__xludf.DUMMYFUNCTION("""COMPUTED_VALUE"""),"ООО ""ЛИКВИДАТОР"" №116-СТР от 01.03.2022")</f>
        <v>ООО "ЛИКВИДАТОР" №116-СТР от 01.03.2022</v>
      </c>
      <c r="D11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69" t="str">
        <f ca="1">IFERROR(__xludf.DUMMYFUNCTION("""COMPUTED_VALUE"""),"Новый")</f>
        <v>Новый</v>
      </c>
      <c r="G1169" s="68"/>
      <c r="K1169" s="68"/>
    </row>
    <row r="1170" spans="1:11" ht="12.75">
      <c r="A1170" s="69">
        <f ca="1">IFERROR(__xludf.DUMMYFUNCTION("""COMPUTED_VALUE"""),93145)</f>
        <v>93145</v>
      </c>
      <c r="B1170" s="4">
        <f ca="1">IFERROR(__xludf.DUMMYFUNCTION("""COMPUTED_VALUE"""),44629)</f>
        <v>44629</v>
      </c>
      <c r="C1170" t="str">
        <f ca="1">IFERROR(__xludf.DUMMYFUNCTION("""COMPUTED_VALUE"""),"ООО ""ЛИКВИДАТОР"" №116-СТР от 01.03.2022")</f>
        <v>ООО "ЛИКВИДАТОР" №116-СТР от 01.03.2022</v>
      </c>
      <c r="D11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0" t="str">
        <f ca="1">IFERROR(__xludf.DUMMYFUNCTION("""COMPUTED_VALUE"""),"Новый")</f>
        <v>Новый</v>
      </c>
      <c r="G1170" s="68"/>
      <c r="K1170" s="68"/>
    </row>
    <row r="1171" spans="1:11" ht="12.75">
      <c r="A1171" s="69">
        <f ca="1">IFERROR(__xludf.DUMMYFUNCTION("""COMPUTED_VALUE"""),93146)</f>
        <v>93146</v>
      </c>
      <c r="B1171" s="4">
        <f ca="1">IFERROR(__xludf.DUMMYFUNCTION("""COMPUTED_VALUE"""),44629)</f>
        <v>44629</v>
      </c>
      <c r="C1171" t="str">
        <f ca="1">IFERROR(__xludf.DUMMYFUNCTION("""COMPUTED_VALUE"""),"ООО ""ЛИКВИДАТОР"" №116-СТР от 01.03.2022")</f>
        <v>ООО "ЛИКВИДАТОР" №116-СТР от 01.03.2022</v>
      </c>
      <c r="D11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1" t="str">
        <f ca="1">IFERROR(__xludf.DUMMYFUNCTION("""COMPUTED_VALUE"""),"Новый")</f>
        <v>Новый</v>
      </c>
      <c r="G1171" s="68"/>
      <c r="K1171" s="68"/>
    </row>
    <row r="1172" spans="1:11" ht="12.75">
      <c r="A1172" s="69">
        <f ca="1">IFERROR(__xludf.DUMMYFUNCTION("""COMPUTED_VALUE"""),93147)</f>
        <v>93147</v>
      </c>
      <c r="B1172" s="4">
        <f ca="1">IFERROR(__xludf.DUMMYFUNCTION("""COMPUTED_VALUE"""),44629)</f>
        <v>44629</v>
      </c>
      <c r="C1172" t="str">
        <f ca="1">IFERROR(__xludf.DUMMYFUNCTION("""COMPUTED_VALUE"""),"ООО ""ЛИКВИДАТОР"" №116-СТР от 01.03.2022")</f>
        <v>ООО "ЛИКВИДАТОР" №116-СТР от 01.03.2022</v>
      </c>
      <c r="D11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2" t="str">
        <f ca="1">IFERROR(__xludf.DUMMYFUNCTION("""COMPUTED_VALUE"""),"Новый")</f>
        <v>Новый</v>
      </c>
      <c r="G1172" s="68"/>
      <c r="K1172" s="68"/>
    </row>
    <row r="1173" spans="1:11" ht="12.75">
      <c r="A1173" s="69">
        <f ca="1">IFERROR(__xludf.DUMMYFUNCTION("""COMPUTED_VALUE"""),93148)</f>
        <v>93148</v>
      </c>
      <c r="B1173" s="4">
        <f ca="1">IFERROR(__xludf.DUMMYFUNCTION("""COMPUTED_VALUE"""),44629)</f>
        <v>44629</v>
      </c>
      <c r="C1173" t="str">
        <f ca="1">IFERROR(__xludf.DUMMYFUNCTION("""COMPUTED_VALUE"""),"ООО ""ЛИКВИДАТОР"" №116-СТР от 01.03.2022")</f>
        <v>ООО "ЛИКВИДАТОР" №116-СТР от 01.03.2022</v>
      </c>
      <c r="D11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3" t="str">
        <f ca="1">IFERROR(__xludf.DUMMYFUNCTION("""COMPUTED_VALUE"""),"Новый")</f>
        <v>Новый</v>
      </c>
      <c r="G1173" s="68"/>
      <c r="K1173" s="68"/>
    </row>
    <row r="1174" spans="1:11" ht="12.75">
      <c r="A1174" s="69">
        <f ca="1">IFERROR(__xludf.DUMMYFUNCTION("""COMPUTED_VALUE"""),93149)</f>
        <v>93149</v>
      </c>
      <c r="B1174" s="4">
        <f ca="1">IFERROR(__xludf.DUMMYFUNCTION("""COMPUTED_VALUE"""),44629)</f>
        <v>44629</v>
      </c>
      <c r="C1174" t="str">
        <f ca="1">IFERROR(__xludf.DUMMYFUNCTION("""COMPUTED_VALUE"""),"ООО ""ЛИКВИДАТОР"" №116-СТР от 01.03.2022")</f>
        <v>ООО "ЛИКВИДАТОР" №116-СТР от 01.03.2022</v>
      </c>
      <c r="D11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4" t="str">
        <f ca="1">IFERROR(__xludf.DUMMYFUNCTION("""COMPUTED_VALUE"""),"Новый")</f>
        <v>Новый</v>
      </c>
      <c r="G1174" s="68"/>
      <c r="K1174" s="68"/>
    </row>
    <row r="1175" spans="1:11" ht="12.75">
      <c r="A1175" s="69">
        <f ca="1">IFERROR(__xludf.DUMMYFUNCTION("""COMPUTED_VALUE"""),93150)</f>
        <v>93150</v>
      </c>
      <c r="B1175" s="4">
        <f ca="1">IFERROR(__xludf.DUMMYFUNCTION("""COMPUTED_VALUE"""),44629)</f>
        <v>44629</v>
      </c>
      <c r="C1175" t="str">
        <f ca="1">IFERROR(__xludf.DUMMYFUNCTION("""COMPUTED_VALUE"""),"ООО ""ЛИКВИДАТОР"" №116-СТР от 01.03.2022")</f>
        <v>ООО "ЛИКВИДАТОР" №116-СТР от 01.03.2022</v>
      </c>
      <c r="D11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5" t="str">
        <f ca="1">IFERROR(__xludf.DUMMYFUNCTION("""COMPUTED_VALUE"""),"Новый")</f>
        <v>Новый</v>
      </c>
      <c r="G1175" s="68"/>
      <c r="K1175" s="68"/>
    </row>
    <row r="1176" spans="1:11" ht="12.75">
      <c r="A1176" s="69">
        <f ca="1">IFERROR(__xludf.DUMMYFUNCTION("""COMPUTED_VALUE"""),93174)</f>
        <v>93174</v>
      </c>
      <c r="B1176" s="4">
        <f ca="1">IFERROR(__xludf.DUMMYFUNCTION("""COMPUTED_VALUE"""),44629)</f>
        <v>44629</v>
      </c>
      <c r="C1176" t="str">
        <f ca="1">IFERROR(__xludf.DUMMYFUNCTION("""COMPUTED_VALUE"""),"ООО ""ЛИКВИДАТОР"" №116-СТР от 01.03.2022")</f>
        <v>ООО "ЛИКВИДАТОР" №116-СТР от 01.03.2022</v>
      </c>
      <c r="D11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6" t="str">
        <f ca="1">IFERROR(__xludf.DUMMYFUNCTION("""COMPUTED_VALUE"""),"Новый")</f>
        <v>Новый</v>
      </c>
      <c r="G1176" s="68"/>
      <c r="K1176" s="68"/>
    </row>
    <row r="1177" spans="1:11" ht="12.75">
      <c r="A1177" s="69">
        <f ca="1">IFERROR(__xludf.DUMMYFUNCTION("""COMPUTED_VALUE"""),93298)</f>
        <v>93298</v>
      </c>
      <c r="B1177" s="4">
        <f ca="1">IFERROR(__xludf.DUMMYFUNCTION("""COMPUTED_VALUE"""),44635)</f>
        <v>44635</v>
      </c>
      <c r="C1177" t="str">
        <f ca="1">IFERROR(__xludf.DUMMYFUNCTION("""COMPUTED_VALUE"""),"ЗАО ""ЭКОС"" 115-СТР от 01.01.2022")</f>
        <v>ЗАО "ЭКОС" 115-СТР от 01.01.2022</v>
      </c>
      <c r="D11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7" t="str">
        <f ca="1">IFERROR(__xludf.DUMMYFUNCTION("""COMPUTED_VALUE"""),"Новый")</f>
        <v>Новый</v>
      </c>
      <c r="G1177" s="68"/>
      <c r="K1177" s="68"/>
    </row>
    <row r="1178" spans="1:11" ht="12.75">
      <c r="A1178" s="69">
        <f ca="1">IFERROR(__xludf.DUMMYFUNCTION("""COMPUTED_VALUE"""),93301)</f>
        <v>93301</v>
      </c>
      <c r="B1178" s="4">
        <f ca="1">IFERROR(__xludf.DUMMYFUNCTION("""COMPUTED_VALUE"""),44635)</f>
        <v>44635</v>
      </c>
      <c r="C1178" t="str">
        <f ca="1">IFERROR(__xludf.DUMMYFUNCTION("""COMPUTED_VALUE"""),"ЗАО ""ЭКОС"" 115-СТР от 01.01.2022")</f>
        <v>ЗАО "ЭКОС" 115-СТР от 01.01.2022</v>
      </c>
      <c r="D11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8" t="str">
        <f ca="1">IFERROR(__xludf.DUMMYFUNCTION("""COMPUTED_VALUE"""),"Новый")</f>
        <v>Новый</v>
      </c>
      <c r="G1178" s="68"/>
      <c r="K1178" s="68"/>
    </row>
    <row r="1179" spans="1:11" ht="12.75">
      <c r="A1179" s="69">
        <f ca="1">IFERROR(__xludf.DUMMYFUNCTION("""COMPUTED_VALUE"""),93302)</f>
        <v>93302</v>
      </c>
      <c r="B1179" s="4">
        <f ca="1">IFERROR(__xludf.DUMMYFUNCTION("""COMPUTED_VALUE"""),44635)</f>
        <v>44635</v>
      </c>
      <c r="C1179" t="str">
        <f ca="1">IFERROR(__xludf.DUMMYFUNCTION("""COMPUTED_VALUE"""),"ЗАО ""ЭКОС"" 115-СТР от 01.01.2022")</f>
        <v>ЗАО "ЭКОС" 115-СТР от 01.01.2022</v>
      </c>
      <c r="D11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79" t="str">
        <f ca="1">IFERROR(__xludf.DUMMYFUNCTION("""COMPUTED_VALUE"""),"Новый")</f>
        <v>Новый</v>
      </c>
      <c r="G1179" s="68"/>
      <c r="K1179" s="68"/>
    </row>
    <row r="1180" spans="1:11" ht="12.75">
      <c r="A1180" s="69">
        <f ca="1">IFERROR(__xludf.DUMMYFUNCTION("""COMPUTED_VALUE"""),93303)</f>
        <v>93303</v>
      </c>
      <c r="B1180" s="4">
        <f ca="1">IFERROR(__xludf.DUMMYFUNCTION("""COMPUTED_VALUE"""),44635)</f>
        <v>44635</v>
      </c>
      <c r="C1180" t="str">
        <f ca="1">IFERROR(__xludf.DUMMYFUNCTION("""COMPUTED_VALUE"""),"ЗАО ""ЭКОС"" 115-СТР от 01.01.2022")</f>
        <v>ЗАО "ЭКОС" 115-СТР от 01.01.2022</v>
      </c>
      <c r="D11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0" t="str">
        <f ca="1">IFERROR(__xludf.DUMMYFUNCTION("""COMPUTED_VALUE"""),"Новый")</f>
        <v>Новый</v>
      </c>
      <c r="G1180" s="68"/>
      <c r="K1180" s="68"/>
    </row>
    <row r="1181" spans="1:11" ht="12.75">
      <c r="A1181" s="69">
        <f ca="1">IFERROR(__xludf.DUMMYFUNCTION("""COMPUTED_VALUE"""),93304)</f>
        <v>93304</v>
      </c>
      <c r="B1181" s="4">
        <f ca="1">IFERROR(__xludf.DUMMYFUNCTION("""COMPUTED_VALUE"""),44635)</f>
        <v>44635</v>
      </c>
      <c r="C1181" t="str">
        <f ca="1">IFERROR(__xludf.DUMMYFUNCTION("""COMPUTED_VALUE"""),"ЗАО ""ЭКОС"" 115-СТР от 01.01.2022")</f>
        <v>ЗАО "ЭКОС" 115-СТР от 01.01.2022</v>
      </c>
      <c r="D11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1" t="str">
        <f ca="1">IFERROR(__xludf.DUMMYFUNCTION("""COMPUTED_VALUE"""),"Новый")</f>
        <v>Новый</v>
      </c>
      <c r="G1181" s="68"/>
      <c r="K1181" s="68"/>
    </row>
    <row r="1182" spans="1:11" ht="12.75">
      <c r="A1182" s="69">
        <f ca="1">IFERROR(__xludf.DUMMYFUNCTION("""COMPUTED_VALUE"""),93305)</f>
        <v>93305</v>
      </c>
      <c r="B1182" s="4">
        <f ca="1">IFERROR(__xludf.DUMMYFUNCTION("""COMPUTED_VALUE"""),44635)</f>
        <v>44635</v>
      </c>
      <c r="C1182" t="str">
        <f ca="1">IFERROR(__xludf.DUMMYFUNCTION("""COMPUTED_VALUE"""),"ЗАО ""ЭКОС"" 115-СТР от 01.01.2022")</f>
        <v>ЗАО "ЭКОС" 115-СТР от 01.01.2022</v>
      </c>
      <c r="D11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2" t="str">
        <f ca="1">IFERROR(__xludf.DUMMYFUNCTION("""COMPUTED_VALUE"""),"Новый")</f>
        <v>Новый</v>
      </c>
      <c r="G1182" s="68"/>
      <c r="K1182" s="68"/>
    </row>
    <row r="1183" spans="1:11" ht="12.75">
      <c r="A1183" s="69">
        <f ca="1">IFERROR(__xludf.DUMMYFUNCTION("""COMPUTED_VALUE"""),93306)</f>
        <v>93306</v>
      </c>
      <c r="B1183" s="4">
        <f ca="1">IFERROR(__xludf.DUMMYFUNCTION("""COMPUTED_VALUE"""),44635)</f>
        <v>44635</v>
      </c>
      <c r="C1183" t="str">
        <f ca="1">IFERROR(__xludf.DUMMYFUNCTION("""COMPUTED_VALUE"""),"ЗАО ""ЭКОС"" 115-СТР от 01.01.2022")</f>
        <v>ЗАО "ЭКОС" 115-СТР от 01.01.2022</v>
      </c>
      <c r="D11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3" t="str">
        <f ca="1">IFERROR(__xludf.DUMMYFUNCTION("""COMPUTED_VALUE"""),"Новый")</f>
        <v>Новый</v>
      </c>
      <c r="G1183" s="68"/>
      <c r="K1183" s="68"/>
    </row>
    <row r="1184" spans="1:11" ht="12.75">
      <c r="A1184" s="69">
        <f ca="1">IFERROR(__xludf.DUMMYFUNCTION("""COMPUTED_VALUE"""),93307)</f>
        <v>93307</v>
      </c>
      <c r="B1184" s="4">
        <f ca="1">IFERROR(__xludf.DUMMYFUNCTION("""COMPUTED_VALUE"""),44635)</f>
        <v>44635</v>
      </c>
      <c r="C1184" t="str">
        <f ca="1">IFERROR(__xludf.DUMMYFUNCTION("""COMPUTED_VALUE"""),"ЗАО ""ЭКОС"" 115-СТР от 01.01.2022")</f>
        <v>ЗАО "ЭКОС" 115-СТР от 01.01.2022</v>
      </c>
      <c r="D11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4" t="str">
        <f ca="1">IFERROR(__xludf.DUMMYFUNCTION("""COMPUTED_VALUE"""),"Новый")</f>
        <v>Новый</v>
      </c>
      <c r="G1184" s="68"/>
      <c r="K1184" s="68"/>
    </row>
    <row r="1185" spans="1:11" ht="12.75">
      <c r="A1185" s="69">
        <f ca="1">IFERROR(__xludf.DUMMYFUNCTION("""COMPUTED_VALUE"""),93308)</f>
        <v>93308</v>
      </c>
      <c r="B1185" s="4">
        <f ca="1">IFERROR(__xludf.DUMMYFUNCTION("""COMPUTED_VALUE"""),44635)</f>
        <v>44635</v>
      </c>
      <c r="C1185" t="str">
        <f ca="1">IFERROR(__xludf.DUMMYFUNCTION("""COMPUTED_VALUE"""),"ЗАО ""ЭКОС"" 115-СТР от 01.01.2022")</f>
        <v>ЗАО "ЭКОС" 115-СТР от 01.01.2022</v>
      </c>
      <c r="D11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5" t="str">
        <f ca="1">IFERROR(__xludf.DUMMYFUNCTION("""COMPUTED_VALUE"""),"Новый")</f>
        <v>Новый</v>
      </c>
      <c r="G1185" s="68"/>
      <c r="K1185" s="68"/>
    </row>
    <row r="1186" spans="1:11" ht="12.75">
      <c r="A1186" s="69">
        <f ca="1">IFERROR(__xludf.DUMMYFUNCTION("""COMPUTED_VALUE"""),93309)</f>
        <v>93309</v>
      </c>
      <c r="B1186" s="4">
        <f ca="1">IFERROR(__xludf.DUMMYFUNCTION("""COMPUTED_VALUE"""),44635)</f>
        <v>44635</v>
      </c>
      <c r="C1186" t="str">
        <f ca="1">IFERROR(__xludf.DUMMYFUNCTION("""COMPUTED_VALUE"""),"ЗАО ""ЭКОС"" 115-СТР от 01.01.2022")</f>
        <v>ЗАО "ЭКОС" 115-СТР от 01.01.2022</v>
      </c>
      <c r="D11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6" t="str">
        <f ca="1">IFERROR(__xludf.DUMMYFUNCTION("""COMPUTED_VALUE"""),"Новый")</f>
        <v>Новый</v>
      </c>
      <c r="G1186" s="68"/>
      <c r="K1186" s="68"/>
    </row>
    <row r="1187" spans="1:11" ht="12.75">
      <c r="A1187" s="69">
        <f ca="1">IFERROR(__xludf.DUMMYFUNCTION("""COMPUTED_VALUE"""),93310)</f>
        <v>93310</v>
      </c>
      <c r="B1187" s="4">
        <f ca="1">IFERROR(__xludf.DUMMYFUNCTION("""COMPUTED_VALUE"""),44635)</f>
        <v>44635</v>
      </c>
      <c r="C1187" t="str">
        <f ca="1">IFERROR(__xludf.DUMMYFUNCTION("""COMPUTED_VALUE"""),"ЗАО ""ЭКОС"" 115-СТР от 01.01.2022")</f>
        <v>ЗАО "ЭКОС" 115-СТР от 01.01.2022</v>
      </c>
      <c r="D11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7" t="str">
        <f ca="1">IFERROR(__xludf.DUMMYFUNCTION("""COMPUTED_VALUE"""),"Новый")</f>
        <v>Новый</v>
      </c>
      <c r="G1187" s="68"/>
      <c r="K1187" s="68"/>
    </row>
    <row r="1188" spans="1:11" ht="12.75">
      <c r="A1188" s="69">
        <f ca="1">IFERROR(__xludf.DUMMYFUNCTION("""COMPUTED_VALUE"""),93341)</f>
        <v>93341</v>
      </c>
      <c r="B1188" s="4">
        <f ca="1">IFERROR(__xludf.DUMMYFUNCTION("""COMPUTED_VALUE"""),44635)</f>
        <v>44635</v>
      </c>
      <c r="C1188" t="str">
        <f ca="1">IFERROR(__xludf.DUMMYFUNCTION("""COMPUTED_VALUE"""),"ЗАО ""ЭКОС"" 115-СТР от 01.01.2022")</f>
        <v>ЗАО "ЭКОС" 115-СТР от 01.01.2022</v>
      </c>
      <c r="D11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8" t="str">
        <f ca="1">IFERROR(__xludf.DUMMYFUNCTION("""COMPUTED_VALUE"""),"Новый")</f>
        <v>Новый</v>
      </c>
      <c r="G1188" s="68"/>
      <c r="K1188" s="68"/>
    </row>
    <row r="1189" spans="1:11" ht="12.75">
      <c r="A1189" s="69">
        <f ca="1">IFERROR(__xludf.DUMMYFUNCTION("""COMPUTED_VALUE"""),93343)</f>
        <v>93343</v>
      </c>
      <c r="B1189" s="4">
        <f ca="1">IFERROR(__xludf.DUMMYFUNCTION("""COMPUTED_VALUE"""),44635)</f>
        <v>44635</v>
      </c>
      <c r="C1189" t="str">
        <f ca="1">IFERROR(__xludf.DUMMYFUNCTION("""COMPUTED_VALUE"""),"ЗАО ""ЭКОС"" 115-СТР от 01.01.2022")</f>
        <v>ЗАО "ЭКОС" 115-СТР от 01.01.2022</v>
      </c>
      <c r="D11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89" t="str">
        <f ca="1">IFERROR(__xludf.DUMMYFUNCTION("""COMPUTED_VALUE"""),"Новый")</f>
        <v>Новый</v>
      </c>
      <c r="G1189" s="68"/>
      <c r="K1189" s="68"/>
    </row>
    <row r="1190" spans="1:11" ht="12.75">
      <c r="A1190" s="69">
        <f ca="1">IFERROR(__xludf.DUMMYFUNCTION("""COMPUTED_VALUE"""),93352)</f>
        <v>93352</v>
      </c>
      <c r="B1190" s="4">
        <f ca="1">IFERROR(__xludf.DUMMYFUNCTION("""COMPUTED_VALUE"""),44635)</f>
        <v>44635</v>
      </c>
      <c r="C1190" t="str">
        <f ca="1">IFERROR(__xludf.DUMMYFUNCTION("""COMPUTED_VALUE"""),"ЗАО ""ЭКОС"" 115-СТР от 01.01.2022")</f>
        <v>ЗАО "ЭКОС" 115-СТР от 01.01.2022</v>
      </c>
      <c r="D11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0" t="str">
        <f ca="1">IFERROR(__xludf.DUMMYFUNCTION("""COMPUTED_VALUE"""),"Новый")</f>
        <v>Новый</v>
      </c>
      <c r="G1190" s="68"/>
      <c r="K1190" s="68"/>
    </row>
    <row r="1191" spans="1:11" ht="12.75">
      <c r="A1191" s="69">
        <f ca="1">IFERROR(__xludf.DUMMYFUNCTION("""COMPUTED_VALUE"""),93361)</f>
        <v>93361</v>
      </c>
      <c r="B1191" s="4">
        <f ca="1">IFERROR(__xludf.DUMMYFUNCTION("""COMPUTED_VALUE"""),44635)</f>
        <v>44635</v>
      </c>
      <c r="C1191" t="str">
        <f ca="1">IFERROR(__xludf.DUMMYFUNCTION("""COMPUTED_VALUE"""),"ЗАО ""ЭКОС"" 115-СТР от 01.01.2022")</f>
        <v>ЗАО "ЭКОС" 115-СТР от 01.01.2022</v>
      </c>
      <c r="D11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1" t="str">
        <f ca="1">IFERROR(__xludf.DUMMYFUNCTION("""COMPUTED_VALUE"""),"Новый")</f>
        <v>Новый</v>
      </c>
      <c r="G1191" s="68"/>
      <c r="K1191" s="68"/>
    </row>
    <row r="1192" spans="1:11" ht="12.75">
      <c r="A1192" s="69">
        <f ca="1">IFERROR(__xludf.DUMMYFUNCTION("""COMPUTED_VALUE"""),93411)</f>
        <v>93411</v>
      </c>
      <c r="B1192" s="4">
        <f ca="1">IFERROR(__xludf.DUMMYFUNCTION("""COMPUTED_VALUE"""),44648)</f>
        <v>44648</v>
      </c>
      <c r="C1192" t="str">
        <f ca="1">IFERROR(__xludf.DUMMYFUNCTION("""COMPUTED_VALUE"""),"ООО Строй Индустрия 83-СТР от 24.05.2021")</f>
        <v>ООО Строй Индустрия 83-СТР от 24.05.2021</v>
      </c>
      <c r="D11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2" t="str">
        <f ca="1">IFERROR(__xludf.DUMMYFUNCTION("""COMPUTED_VALUE"""),"Новый")</f>
        <v>Новый</v>
      </c>
      <c r="G1192" s="68"/>
      <c r="K1192" s="68"/>
    </row>
    <row r="1193" spans="1:11" ht="12.75">
      <c r="A1193" s="69">
        <f ca="1">IFERROR(__xludf.DUMMYFUNCTION("""COMPUTED_VALUE"""),93412)</f>
        <v>93412</v>
      </c>
      <c r="B1193" s="4">
        <f ca="1">IFERROR(__xludf.DUMMYFUNCTION("""COMPUTED_VALUE"""),44648)</f>
        <v>44648</v>
      </c>
      <c r="C1193" t="str">
        <f ca="1">IFERROR(__xludf.DUMMYFUNCTION("""COMPUTED_VALUE"""),"ООО Строй Индустрия 83-СТР от 24.05.2021")</f>
        <v>ООО Строй Индустрия 83-СТР от 24.05.2021</v>
      </c>
      <c r="D11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3" t="str">
        <f ca="1">IFERROR(__xludf.DUMMYFUNCTION("""COMPUTED_VALUE"""),"Новый")</f>
        <v>Новый</v>
      </c>
      <c r="G1193" s="68"/>
      <c r="K1193" s="68"/>
    </row>
    <row r="1194" spans="1:11" ht="12.75">
      <c r="A1194" s="69">
        <f ca="1">IFERROR(__xludf.DUMMYFUNCTION("""COMPUTED_VALUE"""),93418)</f>
        <v>93418</v>
      </c>
      <c r="B1194" s="4">
        <f ca="1">IFERROR(__xludf.DUMMYFUNCTION("""COMPUTED_VALUE"""),44648)</f>
        <v>44648</v>
      </c>
      <c r="C1194" t="str">
        <f ca="1">IFERROR(__xludf.DUMMYFUNCTION("""COMPUTED_VALUE"""),"ООО Строй Индустрия 83-СТР от 24.05.2021")</f>
        <v>ООО Строй Индустрия 83-СТР от 24.05.2021</v>
      </c>
      <c r="D11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4" t="str">
        <f ca="1">IFERROR(__xludf.DUMMYFUNCTION("""COMPUTED_VALUE"""),"Новый")</f>
        <v>Новый</v>
      </c>
      <c r="G1194" s="68"/>
      <c r="K1194" s="68"/>
    </row>
    <row r="1195" spans="1:11" ht="12.75">
      <c r="A1195" s="69">
        <f ca="1">IFERROR(__xludf.DUMMYFUNCTION("""COMPUTED_VALUE"""),93419)</f>
        <v>93419</v>
      </c>
      <c r="B1195" s="4">
        <f ca="1">IFERROR(__xludf.DUMMYFUNCTION("""COMPUTED_VALUE"""),44648)</f>
        <v>44648</v>
      </c>
      <c r="C1195" t="str">
        <f ca="1">IFERROR(__xludf.DUMMYFUNCTION("""COMPUTED_VALUE"""),"ООО Строй Индустрия 83-СТР от 24.05.2021")</f>
        <v>ООО Строй Индустрия 83-СТР от 24.05.2021</v>
      </c>
      <c r="D11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5" t="str">
        <f ca="1">IFERROR(__xludf.DUMMYFUNCTION("""COMPUTED_VALUE"""),"Новый")</f>
        <v>Новый</v>
      </c>
      <c r="G1195" s="68"/>
      <c r="K1195" s="68"/>
    </row>
    <row r="1196" spans="1:11" ht="12.75">
      <c r="A1196" s="69">
        <f ca="1">IFERROR(__xludf.DUMMYFUNCTION("""COMPUTED_VALUE"""),93420)</f>
        <v>93420</v>
      </c>
      <c r="B1196" s="4">
        <f ca="1">IFERROR(__xludf.DUMMYFUNCTION("""COMPUTED_VALUE"""),44648)</f>
        <v>44648</v>
      </c>
      <c r="C1196" t="str">
        <f ca="1">IFERROR(__xludf.DUMMYFUNCTION("""COMPUTED_VALUE"""),"ООО Строй Индустрия 83-СТР от 24.05.2021")</f>
        <v>ООО Строй Индустрия 83-СТР от 24.05.2021</v>
      </c>
      <c r="D11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6" t="str">
        <f ca="1">IFERROR(__xludf.DUMMYFUNCTION("""COMPUTED_VALUE"""),"Новый")</f>
        <v>Новый</v>
      </c>
      <c r="G1196" s="68"/>
      <c r="K1196" s="68"/>
    </row>
    <row r="1197" spans="1:11" ht="12.75">
      <c r="A1197" s="69">
        <f ca="1">IFERROR(__xludf.DUMMYFUNCTION("""COMPUTED_VALUE"""),93559)</f>
        <v>93559</v>
      </c>
      <c r="B1197" s="4">
        <f ca="1">IFERROR(__xludf.DUMMYFUNCTION("""COMPUTED_VALUE"""),44652)</f>
        <v>44652</v>
      </c>
      <c r="C1197" t="str">
        <f ca="1">IFERROR(__xludf.DUMMYFUNCTION("""COMPUTED_VALUE"""),"ИП Самойлова Екатерина Николаевна 125-СТР от 25.03.2022")</f>
        <v>ИП Самойлова Екатерина Николаевна 125-СТР от 25.03.2022</v>
      </c>
      <c r="D11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7" t="str">
        <f ca="1">IFERROR(__xludf.DUMMYFUNCTION("""COMPUTED_VALUE"""),"Новый")</f>
        <v>Новый</v>
      </c>
      <c r="G1197" s="68"/>
      <c r="K1197" s="68"/>
    </row>
    <row r="1198" spans="1:11" ht="12.75">
      <c r="A1198" s="69">
        <f ca="1">IFERROR(__xludf.DUMMYFUNCTION("""COMPUTED_VALUE"""),93560)</f>
        <v>93560</v>
      </c>
      <c r="B1198" s="4">
        <f ca="1">IFERROR(__xludf.DUMMYFUNCTION("""COMPUTED_VALUE"""),44652)</f>
        <v>44652</v>
      </c>
      <c r="C1198" t="str">
        <f ca="1">IFERROR(__xludf.DUMMYFUNCTION("""COMPUTED_VALUE"""),"ИП Самойлова Екатерина Николаевна 125-СТР от 25.03.2022")</f>
        <v>ИП Самойлова Екатерина Николаевна 125-СТР от 25.03.2022</v>
      </c>
      <c r="D11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8" t="str">
        <f ca="1">IFERROR(__xludf.DUMMYFUNCTION("""COMPUTED_VALUE"""),"Новый")</f>
        <v>Новый</v>
      </c>
      <c r="G1198" s="68"/>
      <c r="K1198" s="68"/>
    </row>
    <row r="1199" spans="1:11" ht="12.75">
      <c r="A1199" s="69">
        <f ca="1">IFERROR(__xludf.DUMMYFUNCTION("""COMPUTED_VALUE"""),93669)</f>
        <v>93669</v>
      </c>
      <c r="B1199" s="4">
        <f ca="1">IFERROR(__xludf.DUMMYFUNCTION("""COMPUTED_VALUE"""),44655)</f>
        <v>44655</v>
      </c>
      <c r="C1199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1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199" t="str">
        <f ca="1">IFERROR(__xludf.DUMMYFUNCTION("""COMPUTED_VALUE"""),"Новый")</f>
        <v>Новый</v>
      </c>
      <c r="G1199" s="68"/>
      <c r="K1199" s="68"/>
    </row>
    <row r="1200" spans="1:11" ht="12.75">
      <c r="A1200" s="69">
        <f ca="1">IFERROR(__xludf.DUMMYFUNCTION("""COMPUTED_VALUE"""),93670)</f>
        <v>93670</v>
      </c>
      <c r="B1200" s="4">
        <f ca="1">IFERROR(__xludf.DUMMYFUNCTION("""COMPUTED_VALUE"""),44655)</f>
        <v>44655</v>
      </c>
      <c r="C1200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0" t="str">
        <f ca="1">IFERROR(__xludf.DUMMYFUNCTION("""COMPUTED_VALUE"""),"Новый")</f>
        <v>Новый</v>
      </c>
      <c r="G1200" s="68"/>
      <c r="K1200" s="68"/>
    </row>
    <row r="1201" spans="1:11" ht="12.75">
      <c r="A1201" s="69">
        <f ca="1">IFERROR(__xludf.DUMMYFUNCTION("""COMPUTED_VALUE"""),93671)</f>
        <v>93671</v>
      </c>
      <c r="B1201" s="4">
        <f ca="1">IFERROR(__xludf.DUMMYFUNCTION("""COMPUTED_VALUE"""),44655)</f>
        <v>44655</v>
      </c>
      <c r="C1201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1" t="str">
        <f ca="1">IFERROR(__xludf.DUMMYFUNCTION("""COMPUTED_VALUE"""),"Новый")</f>
        <v>Новый</v>
      </c>
      <c r="G1201" s="68"/>
      <c r="K1201" s="68"/>
    </row>
    <row r="1202" spans="1:11" ht="12.75">
      <c r="A1202" s="69">
        <f ca="1">IFERROR(__xludf.DUMMYFUNCTION("""COMPUTED_VALUE"""),93672)</f>
        <v>93672</v>
      </c>
      <c r="B1202" s="4">
        <f ca="1">IFERROR(__xludf.DUMMYFUNCTION("""COMPUTED_VALUE"""),44655)</f>
        <v>44655</v>
      </c>
      <c r="C1202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2" t="str">
        <f ca="1">IFERROR(__xludf.DUMMYFUNCTION("""COMPUTED_VALUE"""),"Новый")</f>
        <v>Новый</v>
      </c>
      <c r="G1202" s="68"/>
      <c r="K1202" s="68"/>
    </row>
    <row r="1203" spans="1:11" ht="12.75">
      <c r="A1203" s="69">
        <f ca="1">IFERROR(__xludf.DUMMYFUNCTION("""COMPUTED_VALUE"""),93673)</f>
        <v>93673</v>
      </c>
      <c r="B1203" s="4">
        <f ca="1">IFERROR(__xludf.DUMMYFUNCTION("""COMPUTED_VALUE"""),44655)</f>
        <v>44655</v>
      </c>
      <c r="C1203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3" t="str">
        <f ca="1">IFERROR(__xludf.DUMMYFUNCTION("""COMPUTED_VALUE"""),"Новый")</f>
        <v>Новый</v>
      </c>
      <c r="G1203" s="68"/>
      <c r="K1203" s="68"/>
    </row>
    <row r="1204" spans="1:11" ht="12.75">
      <c r="A1204" s="69">
        <f ca="1">IFERROR(__xludf.DUMMYFUNCTION("""COMPUTED_VALUE"""),93674)</f>
        <v>93674</v>
      </c>
      <c r="B1204" s="4">
        <f ca="1">IFERROR(__xludf.DUMMYFUNCTION("""COMPUTED_VALUE"""),44655)</f>
        <v>44655</v>
      </c>
      <c r="C1204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4" t="str">
        <f ca="1">IFERROR(__xludf.DUMMYFUNCTION("""COMPUTED_VALUE"""),"Новый")</f>
        <v>Новый</v>
      </c>
      <c r="G1204" s="68"/>
      <c r="K1204" s="68"/>
    </row>
    <row r="1205" spans="1:11" ht="12.75">
      <c r="A1205" s="69">
        <f ca="1">IFERROR(__xludf.DUMMYFUNCTION("""COMPUTED_VALUE"""),93675)</f>
        <v>93675</v>
      </c>
      <c r="B1205" s="4">
        <f ca="1">IFERROR(__xludf.DUMMYFUNCTION("""COMPUTED_VALUE"""),44655)</f>
        <v>44655</v>
      </c>
      <c r="C1205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5" t="str">
        <f ca="1">IFERROR(__xludf.DUMMYFUNCTION("""COMPUTED_VALUE"""),"Новый")</f>
        <v>Новый</v>
      </c>
      <c r="G1205" s="68"/>
      <c r="K1205" s="68"/>
    </row>
    <row r="1206" spans="1:11" ht="12.75">
      <c r="A1206" s="69">
        <f ca="1">IFERROR(__xludf.DUMMYFUNCTION("""COMPUTED_VALUE"""),93676)</f>
        <v>93676</v>
      </c>
      <c r="B1206" s="4">
        <f ca="1">IFERROR(__xludf.DUMMYFUNCTION("""COMPUTED_VALUE"""),44655)</f>
        <v>44655</v>
      </c>
      <c r="C1206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6" t="str">
        <f ca="1">IFERROR(__xludf.DUMMYFUNCTION("""COMPUTED_VALUE"""),"Новый")</f>
        <v>Новый</v>
      </c>
      <c r="G1206" s="68"/>
      <c r="K1206" s="68"/>
    </row>
    <row r="1207" spans="1:11" ht="12.75">
      <c r="A1207" s="69">
        <f ca="1">IFERROR(__xludf.DUMMYFUNCTION("""COMPUTED_VALUE"""),93677)</f>
        <v>93677</v>
      </c>
      <c r="B1207" s="4">
        <f ca="1">IFERROR(__xludf.DUMMYFUNCTION("""COMPUTED_VALUE"""),44655)</f>
        <v>44655</v>
      </c>
      <c r="C1207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7" t="str">
        <f ca="1">IFERROR(__xludf.DUMMYFUNCTION("""COMPUTED_VALUE"""),"Новый")</f>
        <v>Новый</v>
      </c>
      <c r="G1207" s="68"/>
      <c r="K1207" s="68"/>
    </row>
    <row r="1208" spans="1:11" ht="12.75">
      <c r="A1208" s="69">
        <f ca="1">IFERROR(__xludf.DUMMYFUNCTION("""COMPUTED_VALUE"""),93678)</f>
        <v>93678</v>
      </c>
      <c r="B1208" s="4">
        <f ca="1">IFERROR(__xludf.DUMMYFUNCTION("""COMPUTED_VALUE"""),44655)</f>
        <v>44655</v>
      </c>
      <c r="C1208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8" t="str">
        <f ca="1">IFERROR(__xludf.DUMMYFUNCTION("""COMPUTED_VALUE"""),"Новый")</f>
        <v>Новый</v>
      </c>
      <c r="G1208" s="68"/>
      <c r="K1208" s="68"/>
    </row>
    <row r="1209" spans="1:11" ht="12.75">
      <c r="A1209" s="69">
        <f ca="1">IFERROR(__xludf.DUMMYFUNCTION("""COMPUTED_VALUE"""),93679)</f>
        <v>93679</v>
      </c>
      <c r="B1209" s="4">
        <f ca="1">IFERROR(__xludf.DUMMYFUNCTION("""COMPUTED_VALUE"""),44655)</f>
        <v>44655</v>
      </c>
      <c r="C1209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09" t="str">
        <f ca="1">IFERROR(__xludf.DUMMYFUNCTION("""COMPUTED_VALUE"""),"Новый")</f>
        <v>Новый</v>
      </c>
      <c r="G1209" s="68"/>
      <c r="K1209" s="68"/>
    </row>
    <row r="1210" spans="1:11" ht="12.75">
      <c r="A1210" s="69">
        <f ca="1">IFERROR(__xludf.DUMMYFUNCTION("""COMPUTED_VALUE"""),93680)</f>
        <v>93680</v>
      </c>
      <c r="B1210" s="4">
        <f ca="1">IFERROR(__xludf.DUMMYFUNCTION("""COMPUTED_VALUE"""),44655)</f>
        <v>44655</v>
      </c>
      <c r="C1210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0" t="str">
        <f ca="1">IFERROR(__xludf.DUMMYFUNCTION("""COMPUTED_VALUE"""),"Новый")</f>
        <v>Новый</v>
      </c>
      <c r="G1210" s="68"/>
      <c r="K1210" s="68"/>
    </row>
    <row r="1211" spans="1:11" ht="12.75">
      <c r="A1211" s="69">
        <f ca="1">IFERROR(__xludf.DUMMYFUNCTION("""COMPUTED_VALUE"""),93681)</f>
        <v>93681</v>
      </c>
      <c r="B1211" s="4">
        <f ca="1">IFERROR(__xludf.DUMMYFUNCTION("""COMPUTED_VALUE"""),44655)</f>
        <v>44655</v>
      </c>
      <c r="C1211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1" t="str">
        <f ca="1">IFERROR(__xludf.DUMMYFUNCTION("""COMPUTED_VALUE"""),"Новый")</f>
        <v>Новый</v>
      </c>
      <c r="G1211" s="68"/>
      <c r="K1211" s="68"/>
    </row>
    <row r="1212" spans="1:11" ht="12.75">
      <c r="A1212" s="69">
        <f ca="1">IFERROR(__xludf.DUMMYFUNCTION("""COMPUTED_VALUE"""),93682)</f>
        <v>93682</v>
      </c>
      <c r="B1212" s="4">
        <f ca="1">IFERROR(__xludf.DUMMYFUNCTION("""COMPUTED_VALUE"""),44655)</f>
        <v>44655</v>
      </c>
      <c r="C1212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2" t="str">
        <f ca="1">IFERROR(__xludf.DUMMYFUNCTION("""COMPUTED_VALUE"""),"Новый")</f>
        <v>Новый</v>
      </c>
      <c r="G1212" s="68"/>
      <c r="K1212" s="68"/>
    </row>
    <row r="1213" spans="1:11" ht="12.75">
      <c r="A1213" s="69">
        <f ca="1">IFERROR(__xludf.DUMMYFUNCTION("""COMPUTED_VALUE"""),93683)</f>
        <v>93683</v>
      </c>
      <c r="B1213" s="4">
        <f ca="1">IFERROR(__xludf.DUMMYFUNCTION("""COMPUTED_VALUE"""),44655)</f>
        <v>44655</v>
      </c>
      <c r="C1213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3" t="str">
        <f ca="1">IFERROR(__xludf.DUMMYFUNCTION("""COMPUTED_VALUE"""),"Новый")</f>
        <v>Новый</v>
      </c>
      <c r="G1213" s="68"/>
      <c r="K1213" s="68"/>
    </row>
    <row r="1214" spans="1:11" ht="12.75">
      <c r="A1214" s="69">
        <f ca="1">IFERROR(__xludf.DUMMYFUNCTION("""COMPUTED_VALUE"""),93684)</f>
        <v>93684</v>
      </c>
      <c r="B1214" s="4">
        <f ca="1">IFERROR(__xludf.DUMMYFUNCTION("""COMPUTED_VALUE"""),44655)</f>
        <v>44655</v>
      </c>
      <c r="C1214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4" t="str">
        <f ca="1">IFERROR(__xludf.DUMMYFUNCTION("""COMPUTED_VALUE"""),"Новый")</f>
        <v>Новый</v>
      </c>
      <c r="G1214" s="68"/>
      <c r="K1214" s="68"/>
    </row>
    <row r="1215" spans="1:11" ht="12.75">
      <c r="A1215" s="69">
        <f ca="1">IFERROR(__xludf.DUMMYFUNCTION("""COMPUTED_VALUE"""),93685)</f>
        <v>93685</v>
      </c>
      <c r="B1215" s="4">
        <f ca="1">IFERROR(__xludf.DUMMYFUNCTION("""COMPUTED_VALUE"""),44655)</f>
        <v>44655</v>
      </c>
      <c r="C1215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5" t="str">
        <f ca="1">IFERROR(__xludf.DUMMYFUNCTION("""COMPUTED_VALUE"""),"Новый")</f>
        <v>Новый</v>
      </c>
      <c r="G1215" s="68"/>
      <c r="K1215" s="68"/>
    </row>
    <row r="1216" spans="1:11" ht="12.75">
      <c r="A1216" s="69">
        <f ca="1">IFERROR(__xludf.DUMMYFUNCTION("""COMPUTED_VALUE"""),93686)</f>
        <v>93686</v>
      </c>
      <c r="B1216" s="4">
        <f ca="1">IFERROR(__xludf.DUMMYFUNCTION("""COMPUTED_VALUE"""),44655)</f>
        <v>44655</v>
      </c>
      <c r="C1216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6" t="str">
        <f ca="1">IFERROR(__xludf.DUMMYFUNCTION("""COMPUTED_VALUE"""),"Новый")</f>
        <v>Новый</v>
      </c>
      <c r="G1216" s="68"/>
      <c r="K1216" s="68"/>
    </row>
    <row r="1217" spans="1:11" ht="12.75">
      <c r="A1217" s="69">
        <f ca="1">IFERROR(__xludf.DUMMYFUNCTION("""COMPUTED_VALUE"""),93687)</f>
        <v>93687</v>
      </c>
      <c r="B1217" s="4">
        <f ca="1">IFERROR(__xludf.DUMMYFUNCTION("""COMPUTED_VALUE"""),44655)</f>
        <v>44655</v>
      </c>
      <c r="C1217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7" t="str">
        <f ca="1">IFERROR(__xludf.DUMMYFUNCTION("""COMPUTED_VALUE"""),"Новый")</f>
        <v>Новый</v>
      </c>
      <c r="G1217" s="68"/>
      <c r="K1217" s="68"/>
    </row>
    <row r="1218" spans="1:11" ht="12.75">
      <c r="A1218" s="69">
        <f ca="1">IFERROR(__xludf.DUMMYFUNCTION("""COMPUTED_VALUE"""),93688)</f>
        <v>93688</v>
      </c>
      <c r="B1218" s="4">
        <f ca="1">IFERROR(__xludf.DUMMYFUNCTION("""COMPUTED_VALUE"""),44655)</f>
        <v>44655</v>
      </c>
      <c r="C1218" t="str">
        <f ca="1">IFERROR(__xludf.DUMMYFUNCTION("""COMPUTED_VALUE"""),"ИП Тургинбаев Сунгат Бауржанович 122-СТР от 21.03.2022")</f>
        <v>ИП Тургинбаев Сунгат Бауржанович 122-СТР от 21.03.2022</v>
      </c>
      <c r="D12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18" t="str">
        <f ca="1">IFERROR(__xludf.DUMMYFUNCTION("""COMPUTED_VALUE"""),"Новый")</f>
        <v>Новый</v>
      </c>
      <c r="G1218" s="68"/>
      <c r="K1218" s="68"/>
    </row>
    <row r="1219" spans="1:11" ht="12.75">
      <c r="A1219" s="69">
        <f ca="1">IFERROR(__xludf.DUMMYFUNCTION("""COMPUTED_VALUE"""),93696)</f>
        <v>93696</v>
      </c>
      <c r="B1219" s="4">
        <f ca="1">IFERROR(__xludf.DUMMYFUNCTION("""COMPUTED_VALUE"""),44655)</f>
        <v>44655</v>
      </c>
      <c r="C1219" t="str">
        <f ca="1">IFERROR(__xludf.DUMMYFUNCTION("""COMPUTED_VALUE"""),"ООО ""УК ВиТа"" 138-РДО от 25.03.2022")</f>
        <v>ООО "УК ВиТа" 138-РДО от 25.03.2022</v>
      </c>
      <c r="D12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19" t="str">
        <f ca="1">IFERROR(__xludf.DUMMYFUNCTION("""COMPUTED_VALUE"""),"Новый")</f>
        <v>Новый</v>
      </c>
      <c r="G1219" s="68"/>
      <c r="K1219" s="68"/>
    </row>
    <row r="1220" spans="1:11" ht="12.75">
      <c r="A1220" s="69">
        <f ca="1">IFERROR(__xludf.DUMMYFUNCTION("""COMPUTED_VALUE"""),93775)</f>
        <v>93775</v>
      </c>
      <c r="B1220" s="4">
        <f ca="1">IFERROR(__xludf.DUMMYFUNCTION("""COMPUTED_VALUE"""),44659)</f>
        <v>44659</v>
      </c>
      <c r="C1220" t="str">
        <f ca="1">IFERROR(__xludf.DUMMYFUNCTION("""COMPUTED_VALUE"""),"ООО ""УК НА РАБКОРОВСКОЙ"" 144-РДО от 08.04.2022")</f>
        <v>ООО "УК НА РАБКОРОВСКОЙ" 144-РДО от 08.04.2022</v>
      </c>
      <c r="D12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0" t="str">
        <f ca="1">IFERROR(__xludf.DUMMYFUNCTION("""COMPUTED_VALUE"""),"Новый")</f>
        <v>Новый</v>
      </c>
      <c r="G1220" s="68"/>
      <c r="K1220" s="68"/>
    </row>
    <row r="1221" spans="1:11" ht="12.75">
      <c r="A1221" s="69">
        <f ca="1">IFERROR(__xludf.DUMMYFUNCTION("""COMPUTED_VALUE"""),93776)</f>
        <v>93776</v>
      </c>
      <c r="B1221" s="4">
        <f ca="1">IFERROR(__xludf.DUMMYFUNCTION("""COMPUTED_VALUE"""),44659)</f>
        <v>44659</v>
      </c>
      <c r="C1221" t="str">
        <f ca="1">IFERROR(__xludf.DUMMYFUNCTION("""COMPUTED_VALUE"""),"ООО ""УК НА РАБКОРОВСКОЙ"" 144-РДО от 08.04.2022")</f>
        <v>ООО "УК НА РАБКОРОВСКОЙ" 144-РДО от 08.04.2022</v>
      </c>
      <c r="D12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1" t="str">
        <f ca="1">IFERROR(__xludf.DUMMYFUNCTION("""COMPUTED_VALUE"""),"Новый")</f>
        <v>Новый</v>
      </c>
      <c r="G1221" s="68"/>
      <c r="K1221" s="68"/>
    </row>
    <row r="1222" spans="1:11" ht="12.75">
      <c r="A1222" s="69">
        <f ca="1">IFERROR(__xludf.DUMMYFUNCTION("""COMPUTED_VALUE"""),93777)</f>
        <v>93777</v>
      </c>
      <c r="B1222" s="4">
        <f ca="1">IFERROR(__xludf.DUMMYFUNCTION("""COMPUTED_VALUE"""),44659)</f>
        <v>44659</v>
      </c>
      <c r="C1222" t="str">
        <f ca="1">IFERROR(__xludf.DUMMYFUNCTION("""COMPUTED_VALUE"""),"ООО ""УК НА РАБКОРОВСКОЙ"" 144-РДО от 08.04.2022")</f>
        <v>ООО "УК НА РАБКОРОВСКОЙ" 144-РДО от 08.04.2022</v>
      </c>
      <c r="D12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2" t="str">
        <f ca="1">IFERROR(__xludf.DUMMYFUNCTION("""COMPUTED_VALUE"""),"Новый")</f>
        <v>Новый</v>
      </c>
      <c r="G1222" s="68"/>
      <c r="K1222" s="68"/>
    </row>
    <row r="1223" spans="1:11" ht="12.75">
      <c r="A1223" s="69">
        <f ca="1">IFERROR(__xludf.DUMMYFUNCTION("""COMPUTED_VALUE"""),93778)</f>
        <v>93778</v>
      </c>
      <c r="B1223" s="4">
        <f ca="1">IFERROR(__xludf.DUMMYFUNCTION("""COMPUTED_VALUE"""),44659)</f>
        <v>44659</v>
      </c>
      <c r="C1223" t="str">
        <f ca="1">IFERROR(__xludf.DUMMYFUNCTION("""COMPUTED_VALUE"""),"ООО ""УК НА РАБКОРОВСКОЙ"" 144-РДО от 08.04.2022")</f>
        <v>ООО "УК НА РАБКОРОВСКОЙ" 144-РДО от 08.04.2022</v>
      </c>
      <c r="D12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3" t="str">
        <f ca="1">IFERROR(__xludf.DUMMYFUNCTION("""COMPUTED_VALUE"""),"Новый")</f>
        <v>Новый</v>
      </c>
      <c r="G1223" s="68"/>
      <c r="K1223" s="68"/>
    </row>
    <row r="1224" spans="1:11" ht="12.75">
      <c r="A1224" s="69">
        <f ca="1">IFERROR(__xludf.DUMMYFUNCTION("""COMPUTED_VALUE"""),93779)</f>
        <v>93779</v>
      </c>
      <c r="B1224" s="4">
        <f ca="1">IFERROR(__xludf.DUMMYFUNCTION("""COMPUTED_VALUE"""),44659)</f>
        <v>44659</v>
      </c>
      <c r="C1224" t="str">
        <f ca="1">IFERROR(__xludf.DUMMYFUNCTION("""COMPUTED_VALUE"""),"ООО ""УК НА РАБКОРОВСКОЙ"" 144-РДО от 08.04.2022")</f>
        <v>ООО "УК НА РАБКОРОВСКОЙ" 144-РДО от 08.04.2022</v>
      </c>
      <c r="D12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4" t="str">
        <f ca="1">IFERROR(__xludf.DUMMYFUNCTION("""COMPUTED_VALUE"""),"Новый")</f>
        <v>Новый</v>
      </c>
      <c r="G1224" s="68"/>
      <c r="K1224" s="68"/>
    </row>
    <row r="1225" spans="1:11" ht="12.75">
      <c r="A1225" s="69">
        <f ca="1">IFERROR(__xludf.DUMMYFUNCTION("""COMPUTED_VALUE"""),93780)</f>
        <v>93780</v>
      </c>
      <c r="B1225" s="4">
        <f ca="1">IFERROR(__xludf.DUMMYFUNCTION("""COMPUTED_VALUE"""),44659)</f>
        <v>44659</v>
      </c>
      <c r="C1225" t="str">
        <f ca="1">IFERROR(__xludf.DUMMYFUNCTION("""COMPUTED_VALUE"""),"ООО ""УК НА РАБКОРОВСКОЙ"" 144-РДО от 08.04.2022")</f>
        <v>ООО "УК НА РАБКОРОВСКОЙ" 144-РДО от 08.04.2022</v>
      </c>
      <c r="D12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5" t="str">
        <f ca="1">IFERROR(__xludf.DUMMYFUNCTION("""COMPUTED_VALUE"""),"Новый")</f>
        <v>Новый</v>
      </c>
      <c r="G1225" s="68"/>
      <c r="K1225" s="68"/>
    </row>
    <row r="1226" spans="1:11" ht="12.75">
      <c r="A1226" s="69">
        <f ca="1">IFERROR(__xludf.DUMMYFUNCTION("""COMPUTED_VALUE"""),93781)</f>
        <v>93781</v>
      </c>
      <c r="B1226" s="4">
        <f ca="1">IFERROR(__xludf.DUMMYFUNCTION("""COMPUTED_VALUE"""),44659)</f>
        <v>44659</v>
      </c>
      <c r="C1226" t="str">
        <f ca="1">IFERROR(__xludf.DUMMYFUNCTION("""COMPUTED_VALUE"""),"ООО ""УК НА РАБКОРОВСКОЙ"" 144-РДО от 08.04.2022")</f>
        <v>ООО "УК НА РАБКОРОВСКОЙ" 144-РДО от 08.04.2022</v>
      </c>
      <c r="D12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6" t="str">
        <f ca="1">IFERROR(__xludf.DUMMYFUNCTION("""COMPUTED_VALUE"""),"Новый")</f>
        <v>Новый</v>
      </c>
      <c r="G1226" s="68"/>
      <c r="K1226" s="68"/>
    </row>
    <row r="1227" spans="1:11" ht="12.75">
      <c r="A1227" s="69">
        <f ca="1">IFERROR(__xludf.DUMMYFUNCTION("""COMPUTED_VALUE"""),93782)</f>
        <v>93782</v>
      </c>
      <c r="B1227" s="4">
        <f ca="1">IFERROR(__xludf.DUMMYFUNCTION("""COMPUTED_VALUE"""),44659)</f>
        <v>44659</v>
      </c>
      <c r="C1227" t="str">
        <f ca="1">IFERROR(__xludf.DUMMYFUNCTION("""COMPUTED_VALUE"""),"ООО ""УК НА РАБКОРОВСКОЙ"" 144-РДО от 08.04.2022")</f>
        <v>ООО "УК НА РАБКОРОВСКОЙ" 144-РДО от 08.04.2022</v>
      </c>
      <c r="D12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7" t="str">
        <f ca="1">IFERROR(__xludf.DUMMYFUNCTION("""COMPUTED_VALUE"""),"Новый")</f>
        <v>Новый</v>
      </c>
      <c r="G1227" s="68"/>
      <c r="K1227" s="68"/>
    </row>
    <row r="1228" spans="1:11" ht="12.75">
      <c r="A1228" s="69">
        <f ca="1">IFERROR(__xludf.DUMMYFUNCTION("""COMPUTED_VALUE"""),93783)</f>
        <v>93783</v>
      </c>
      <c r="B1228" s="4">
        <f ca="1">IFERROR(__xludf.DUMMYFUNCTION("""COMPUTED_VALUE"""),44659)</f>
        <v>44659</v>
      </c>
      <c r="C1228" t="str">
        <f ca="1">IFERROR(__xludf.DUMMYFUNCTION("""COMPUTED_VALUE"""),"ООО ""УК НА РАБКОРОВСКОЙ"" 144-РДО от 08.04.2022")</f>
        <v>ООО "УК НА РАБКОРОВСКОЙ" 144-РДО от 08.04.2022</v>
      </c>
      <c r="D12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8" t="str">
        <f ca="1">IFERROR(__xludf.DUMMYFUNCTION("""COMPUTED_VALUE"""),"Новый")</f>
        <v>Новый</v>
      </c>
      <c r="G1228" s="68"/>
      <c r="K1228" s="68"/>
    </row>
    <row r="1229" spans="1:11" ht="12.75">
      <c r="A1229" s="69">
        <f ca="1">IFERROR(__xludf.DUMMYFUNCTION("""COMPUTED_VALUE"""),93784)</f>
        <v>93784</v>
      </c>
      <c r="B1229" s="4">
        <f ca="1">IFERROR(__xludf.DUMMYFUNCTION("""COMPUTED_VALUE"""),44659)</f>
        <v>44659</v>
      </c>
      <c r="C1229" t="str">
        <f ca="1">IFERROR(__xludf.DUMMYFUNCTION("""COMPUTED_VALUE"""),"ООО ""УК НА РАБКОРОВСКОЙ"" 144-РДО от 08.04.2022")</f>
        <v>ООО "УК НА РАБКОРОВСКОЙ" 144-РДО от 08.04.2022</v>
      </c>
      <c r="D12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29" t="str">
        <f ca="1">IFERROR(__xludf.DUMMYFUNCTION("""COMPUTED_VALUE"""),"Новый")</f>
        <v>Новый</v>
      </c>
      <c r="G1229" s="68"/>
      <c r="K1229" s="68"/>
    </row>
    <row r="1230" spans="1:11" ht="12.75">
      <c r="A1230" s="69">
        <f ca="1">IFERROR(__xludf.DUMMYFUNCTION("""COMPUTED_VALUE"""),93785)</f>
        <v>93785</v>
      </c>
      <c r="B1230" s="4">
        <f ca="1">IFERROR(__xludf.DUMMYFUNCTION("""COMPUTED_VALUE"""),44659)</f>
        <v>44659</v>
      </c>
      <c r="C1230" t="str">
        <f ca="1">IFERROR(__xludf.DUMMYFUNCTION("""COMPUTED_VALUE"""),"ООО ""УК НА РАБКОРОВСКОЙ"" 144-РДО от 08.04.2022")</f>
        <v>ООО "УК НА РАБКОРОВСКОЙ" 144-РДО от 08.04.2022</v>
      </c>
      <c r="D12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0" t="str">
        <f ca="1">IFERROR(__xludf.DUMMYFUNCTION("""COMPUTED_VALUE"""),"Новый")</f>
        <v>Новый</v>
      </c>
      <c r="G1230" s="68"/>
      <c r="K1230" s="68"/>
    </row>
    <row r="1231" spans="1:11" ht="12.75">
      <c r="A1231" s="69">
        <f ca="1">IFERROR(__xludf.DUMMYFUNCTION("""COMPUTED_VALUE"""),93786)</f>
        <v>93786</v>
      </c>
      <c r="B1231" s="4">
        <f ca="1">IFERROR(__xludf.DUMMYFUNCTION("""COMPUTED_VALUE"""),44659)</f>
        <v>44659</v>
      </c>
      <c r="C1231" t="str">
        <f ca="1">IFERROR(__xludf.DUMMYFUNCTION("""COMPUTED_VALUE"""),"ООО ""УК НА РАБКОРОВСКОЙ"" 144-РДО от 08.04.2022")</f>
        <v>ООО "УК НА РАБКОРОВСКОЙ" 144-РДО от 08.04.2022</v>
      </c>
      <c r="D12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1" t="str">
        <f ca="1">IFERROR(__xludf.DUMMYFUNCTION("""COMPUTED_VALUE"""),"Новый")</f>
        <v>Новый</v>
      </c>
      <c r="G1231" s="68"/>
      <c r="K1231" s="68"/>
    </row>
    <row r="1232" spans="1:11" ht="12.75">
      <c r="A1232" s="69">
        <f ca="1">IFERROR(__xludf.DUMMYFUNCTION("""COMPUTED_VALUE"""),93787)</f>
        <v>93787</v>
      </c>
      <c r="B1232" s="4">
        <f ca="1">IFERROR(__xludf.DUMMYFUNCTION("""COMPUTED_VALUE"""),44659)</f>
        <v>44659</v>
      </c>
      <c r="C1232" t="str">
        <f ca="1">IFERROR(__xludf.DUMMYFUNCTION("""COMPUTED_VALUE"""),"ООО ""УК НА РАБКОРОВСКОЙ"" 144-РДО от 08.04.2022")</f>
        <v>ООО "УК НА РАБКОРОВСКОЙ" 144-РДО от 08.04.2022</v>
      </c>
      <c r="D12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2" t="str">
        <f ca="1">IFERROR(__xludf.DUMMYFUNCTION("""COMPUTED_VALUE"""),"Новый")</f>
        <v>Новый</v>
      </c>
      <c r="G1232" s="68"/>
      <c r="K1232" s="68"/>
    </row>
    <row r="1233" spans="1:11" ht="12.75">
      <c r="A1233" s="69">
        <f ca="1">IFERROR(__xludf.DUMMYFUNCTION("""COMPUTED_VALUE"""),93788)</f>
        <v>93788</v>
      </c>
      <c r="B1233" s="4">
        <f ca="1">IFERROR(__xludf.DUMMYFUNCTION("""COMPUTED_VALUE"""),44659)</f>
        <v>44659</v>
      </c>
      <c r="C1233" t="str">
        <f ca="1">IFERROR(__xludf.DUMMYFUNCTION("""COMPUTED_VALUE"""),"ООО ""УК НА РАБКОРОВСКОЙ"" 144-РДО от 08.04.2022")</f>
        <v>ООО "УК НА РАБКОРОВСКОЙ" 144-РДО от 08.04.2022</v>
      </c>
      <c r="D12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3" t="str">
        <f ca="1">IFERROR(__xludf.DUMMYFUNCTION("""COMPUTED_VALUE"""),"Новый")</f>
        <v>Новый</v>
      </c>
      <c r="G1233" s="68"/>
      <c r="K1233" s="68"/>
    </row>
    <row r="1234" spans="1:11" ht="12.75">
      <c r="A1234" s="69">
        <f ca="1">IFERROR(__xludf.DUMMYFUNCTION("""COMPUTED_VALUE"""),93789)</f>
        <v>93789</v>
      </c>
      <c r="B1234" s="4">
        <f ca="1">IFERROR(__xludf.DUMMYFUNCTION("""COMPUTED_VALUE"""),44659)</f>
        <v>44659</v>
      </c>
      <c r="C1234" t="str">
        <f ca="1">IFERROR(__xludf.DUMMYFUNCTION("""COMPUTED_VALUE"""),"ООО ""УК НА РАБКОРОВСКОЙ"" 144-РДО от 08.04.2022")</f>
        <v>ООО "УК НА РАБКОРОВСКОЙ" 144-РДО от 08.04.2022</v>
      </c>
      <c r="D12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4" t="str">
        <f ca="1">IFERROR(__xludf.DUMMYFUNCTION("""COMPUTED_VALUE"""),"Новый")</f>
        <v>Новый</v>
      </c>
      <c r="G1234" s="68"/>
      <c r="K1234" s="68"/>
    </row>
    <row r="1235" spans="1:11" ht="12.75">
      <c r="A1235" s="69">
        <f ca="1">IFERROR(__xludf.DUMMYFUNCTION("""COMPUTED_VALUE"""),93790)</f>
        <v>93790</v>
      </c>
      <c r="B1235" s="4">
        <f ca="1">IFERROR(__xludf.DUMMYFUNCTION("""COMPUTED_VALUE"""),44659)</f>
        <v>44659</v>
      </c>
      <c r="C1235" t="str">
        <f ca="1">IFERROR(__xludf.DUMMYFUNCTION("""COMPUTED_VALUE"""),"ООО ""УК НА РАБКОРОВСКОЙ"" 144-РДО от 08.04.2022")</f>
        <v>ООО "УК НА РАБКОРОВСКОЙ" 144-РДО от 08.04.2022</v>
      </c>
      <c r="D12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5" t="str">
        <f ca="1">IFERROR(__xludf.DUMMYFUNCTION("""COMPUTED_VALUE"""),"Новый")</f>
        <v>Новый</v>
      </c>
      <c r="G1235" s="68"/>
      <c r="K1235" s="68"/>
    </row>
    <row r="1236" spans="1:11" ht="12.75">
      <c r="A1236" s="69">
        <f ca="1">IFERROR(__xludf.DUMMYFUNCTION("""COMPUTED_VALUE"""),93791)</f>
        <v>93791</v>
      </c>
      <c r="B1236" s="4">
        <f ca="1">IFERROR(__xludf.DUMMYFUNCTION("""COMPUTED_VALUE"""),44659)</f>
        <v>44659</v>
      </c>
      <c r="C1236" t="str">
        <f ca="1">IFERROR(__xludf.DUMMYFUNCTION("""COMPUTED_VALUE"""),"ООО ""УК НА РАБКОРОВСКОЙ"" 144-РДО от 08.04.2022")</f>
        <v>ООО "УК НА РАБКОРОВСКОЙ" 144-РДО от 08.04.2022</v>
      </c>
      <c r="D12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6" t="str">
        <f ca="1">IFERROR(__xludf.DUMMYFUNCTION("""COMPUTED_VALUE"""),"Новый")</f>
        <v>Новый</v>
      </c>
      <c r="G1236" s="68"/>
      <c r="K1236" s="68"/>
    </row>
    <row r="1237" spans="1:11" ht="12.75">
      <c r="A1237" s="69">
        <f ca="1">IFERROR(__xludf.DUMMYFUNCTION("""COMPUTED_VALUE"""),93792)</f>
        <v>93792</v>
      </c>
      <c r="B1237" s="4">
        <f ca="1">IFERROR(__xludf.DUMMYFUNCTION("""COMPUTED_VALUE"""),44659)</f>
        <v>44659</v>
      </c>
      <c r="C1237" t="str">
        <f ca="1">IFERROR(__xludf.DUMMYFUNCTION("""COMPUTED_VALUE"""),"ООО ""УК НА РАБКОРОВСКОЙ"" 144-РДО от 08.04.2022")</f>
        <v>ООО "УК НА РАБКОРОВСКОЙ" 144-РДО от 08.04.2022</v>
      </c>
      <c r="D12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7" t="str">
        <f ca="1">IFERROR(__xludf.DUMMYFUNCTION("""COMPUTED_VALUE"""),"Новый")</f>
        <v>Новый</v>
      </c>
      <c r="G1237" s="68"/>
      <c r="K1237" s="68"/>
    </row>
    <row r="1238" spans="1:11" ht="12.75">
      <c r="A1238" s="69">
        <f ca="1">IFERROR(__xludf.DUMMYFUNCTION("""COMPUTED_VALUE"""),93793)</f>
        <v>93793</v>
      </c>
      <c r="B1238" s="4">
        <f ca="1">IFERROR(__xludf.DUMMYFUNCTION("""COMPUTED_VALUE"""),44659)</f>
        <v>44659</v>
      </c>
      <c r="C1238" t="str">
        <f ca="1">IFERROR(__xludf.DUMMYFUNCTION("""COMPUTED_VALUE"""),"ООО ""УК НА РАБКОРОВСКОЙ"" 144-РДО от 08.04.2022")</f>
        <v>ООО "УК НА РАБКОРОВСКОЙ" 144-РДО от 08.04.2022</v>
      </c>
      <c r="D12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8" t="str">
        <f ca="1">IFERROR(__xludf.DUMMYFUNCTION("""COMPUTED_VALUE"""),"Новый")</f>
        <v>Новый</v>
      </c>
      <c r="G1238" s="68"/>
      <c r="K1238" s="68"/>
    </row>
    <row r="1239" spans="1:11" ht="12.75">
      <c r="A1239" s="69">
        <f ca="1">IFERROR(__xludf.DUMMYFUNCTION("""COMPUTED_VALUE"""),93794)</f>
        <v>93794</v>
      </c>
      <c r="B1239" s="4">
        <f ca="1">IFERROR(__xludf.DUMMYFUNCTION("""COMPUTED_VALUE"""),44659)</f>
        <v>44659</v>
      </c>
      <c r="C1239" t="str">
        <f ca="1">IFERROR(__xludf.DUMMYFUNCTION("""COMPUTED_VALUE"""),"ООО ""УК НА РАБКОРОВСКОЙ"" 144-РДО от 08.04.2022")</f>
        <v>ООО "УК НА РАБКОРОВСКОЙ" 144-РДО от 08.04.2022</v>
      </c>
      <c r="D12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39" t="str">
        <f ca="1">IFERROR(__xludf.DUMMYFUNCTION("""COMPUTED_VALUE"""),"Новый")</f>
        <v>Новый</v>
      </c>
      <c r="G1239" s="68"/>
      <c r="K1239" s="68"/>
    </row>
    <row r="1240" spans="1:11" ht="12.75">
      <c r="A1240" s="69">
        <f ca="1">IFERROR(__xludf.DUMMYFUNCTION("""COMPUTED_VALUE"""),93795)</f>
        <v>93795</v>
      </c>
      <c r="B1240" s="4">
        <f ca="1">IFERROR(__xludf.DUMMYFUNCTION("""COMPUTED_VALUE"""),44659)</f>
        <v>44659</v>
      </c>
      <c r="C1240" t="str">
        <f ca="1">IFERROR(__xludf.DUMMYFUNCTION("""COMPUTED_VALUE"""),"ООО ""УК НА РАБКОРОВСКОЙ"" 144-РДО от 08.04.2022")</f>
        <v>ООО "УК НА РАБКОРОВСКОЙ" 144-РДО от 08.04.2022</v>
      </c>
      <c r="D12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0" t="str">
        <f ca="1">IFERROR(__xludf.DUMMYFUNCTION("""COMPUTED_VALUE"""),"Новый")</f>
        <v>Новый</v>
      </c>
      <c r="G1240" s="68"/>
      <c r="K1240" s="68"/>
    </row>
    <row r="1241" spans="1:11" ht="12.75">
      <c r="A1241" s="69">
        <f ca="1">IFERROR(__xludf.DUMMYFUNCTION("""COMPUTED_VALUE"""),93796)</f>
        <v>93796</v>
      </c>
      <c r="B1241" s="4">
        <f ca="1">IFERROR(__xludf.DUMMYFUNCTION("""COMPUTED_VALUE"""),44659)</f>
        <v>44659</v>
      </c>
      <c r="C1241" t="str">
        <f ca="1">IFERROR(__xludf.DUMMYFUNCTION("""COMPUTED_VALUE"""),"ООО ""УК НА РАБКОРОВСКОЙ"" 144-РДО от 08.04.2022")</f>
        <v>ООО "УК НА РАБКОРОВСКОЙ" 144-РДО от 08.04.2022</v>
      </c>
      <c r="D12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1" t="str">
        <f ca="1">IFERROR(__xludf.DUMMYFUNCTION("""COMPUTED_VALUE"""),"Новый")</f>
        <v>Новый</v>
      </c>
      <c r="G1241" s="68"/>
      <c r="K1241" s="68"/>
    </row>
    <row r="1242" spans="1:11" ht="12.75">
      <c r="A1242" s="69">
        <f ca="1">IFERROR(__xludf.DUMMYFUNCTION("""COMPUTED_VALUE"""),93797)</f>
        <v>93797</v>
      </c>
      <c r="B1242" s="4">
        <f ca="1">IFERROR(__xludf.DUMMYFUNCTION("""COMPUTED_VALUE"""),44659)</f>
        <v>44659</v>
      </c>
      <c r="C1242" t="str">
        <f ca="1">IFERROR(__xludf.DUMMYFUNCTION("""COMPUTED_VALUE"""),"ООО ""УК НА РАБКОРОВСКОЙ"" 144-РДО от 08.04.2022")</f>
        <v>ООО "УК НА РАБКОРОВСКОЙ" 144-РДО от 08.04.2022</v>
      </c>
      <c r="D12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2" t="str">
        <f ca="1">IFERROR(__xludf.DUMMYFUNCTION("""COMPUTED_VALUE"""),"Новый")</f>
        <v>Новый</v>
      </c>
      <c r="G1242" s="68"/>
      <c r="K1242" s="68"/>
    </row>
    <row r="1243" spans="1:11" ht="12.75">
      <c r="A1243" s="69">
        <f ca="1">IFERROR(__xludf.DUMMYFUNCTION("""COMPUTED_VALUE"""),93798)</f>
        <v>93798</v>
      </c>
      <c r="B1243" s="4">
        <f ca="1">IFERROR(__xludf.DUMMYFUNCTION("""COMPUTED_VALUE"""),44659)</f>
        <v>44659</v>
      </c>
      <c r="C1243" t="str">
        <f ca="1">IFERROR(__xludf.DUMMYFUNCTION("""COMPUTED_VALUE"""),"ООО ""УК НА РАБКОРОВСКОЙ"" 144-РДО от 08.04.2022")</f>
        <v>ООО "УК НА РАБКОРОВСКОЙ" 144-РДО от 08.04.2022</v>
      </c>
      <c r="D12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3" t="str">
        <f ca="1">IFERROR(__xludf.DUMMYFUNCTION("""COMPUTED_VALUE"""),"Новый")</f>
        <v>Новый</v>
      </c>
      <c r="G1243" s="68"/>
      <c r="K1243" s="68"/>
    </row>
    <row r="1244" spans="1:11" ht="12.75">
      <c r="A1244" s="69">
        <f ca="1">IFERROR(__xludf.DUMMYFUNCTION("""COMPUTED_VALUE"""),93799)</f>
        <v>93799</v>
      </c>
      <c r="B1244" s="4">
        <f ca="1">IFERROR(__xludf.DUMMYFUNCTION("""COMPUTED_VALUE"""),44659)</f>
        <v>44659</v>
      </c>
      <c r="C1244" t="str">
        <f ca="1">IFERROR(__xludf.DUMMYFUNCTION("""COMPUTED_VALUE"""),"ООО ""УК НА РАБКОРОВСКОЙ"" 144-РДО от 08.04.2022")</f>
        <v>ООО "УК НА РАБКОРОВСКОЙ" 144-РДО от 08.04.2022</v>
      </c>
      <c r="D12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4" t="str">
        <f ca="1">IFERROR(__xludf.DUMMYFUNCTION("""COMPUTED_VALUE"""),"Новый")</f>
        <v>Новый</v>
      </c>
      <c r="G1244" s="68"/>
      <c r="K1244" s="68"/>
    </row>
    <row r="1245" spans="1:11" ht="12.75">
      <c r="A1245" s="69">
        <f ca="1">IFERROR(__xludf.DUMMYFUNCTION("""COMPUTED_VALUE"""),93800)</f>
        <v>93800</v>
      </c>
      <c r="B1245" s="4">
        <f ca="1">IFERROR(__xludf.DUMMYFUNCTION("""COMPUTED_VALUE"""),44659)</f>
        <v>44659</v>
      </c>
      <c r="C1245" t="str">
        <f ca="1">IFERROR(__xludf.DUMMYFUNCTION("""COMPUTED_VALUE"""),"ООО ""УК НА РАБКОРОВСКОЙ"" 144-РДО от 08.04.2022")</f>
        <v>ООО "УК НА РАБКОРОВСКОЙ" 144-РДО от 08.04.2022</v>
      </c>
      <c r="D12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5" t="str">
        <f ca="1">IFERROR(__xludf.DUMMYFUNCTION("""COMPUTED_VALUE"""),"Новый")</f>
        <v>Новый</v>
      </c>
      <c r="G1245" s="68"/>
      <c r="K1245" s="68"/>
    </row>
    <row r="1246" spans="1:11" ht="12.75">
      <c r="A1246" s="69">
        <f ca="1">IFERROR(__xludf.DUMMYFUNCTION("""COMPUTED_VALUE"""),93801)</f>
        <v>93801</v>
      </c>
      <c r="B1246" s="4">
        <f ca="1">IFERROR(__xludf.DUMMYFUNCTION("""COMPUTED_VALUE"""),44659)</f>
        <v>44659</v>
      </c>
      <c r="C1246" t="str">
        <f ca="1">IFERROR(__xludf.DUMMYFUNCTION("""COMPUTED_VALUE"""),"ООО ""УК НА РАБКОРОВСКОЙ"" 144-РДО от 08.04.2022")</f>
        <v>ООО "УК НА РАБКОРОВСКОЙ" 144-РДО от 08.04.2022</v>
      </c>
      <c r="D12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6" t="str">
        <f ca="1">IFERROR(__xludf.DUMMYFUNCTION("""COMPUTED_VALUE"""),"Новый")</f>
        <v>Новый</v>
      </c>
      <c r="G1246" s="68"/>
      <c r="K1246" s="68"/>
    </row>
    <row r="1247" spans="1:11" ht="12.75">
      <c r="A1247" s="69">
        <f ca="1">IFERROR(__xludf.DUMMYFUNCTION("""COMPUTED_VALUE"""),93802)</f>
        <v>93802</v>
      </c>
      <c r="B1247" s="4">
        <f ca="1">IFERROR(__xludf.DUMMYFUNCTION("""COMPUTED_VALUE"""),44659)</f>
        <v>44659</v>
      </c>
      <c r="C1247" t="str">
        <f ca="1">IFERROR(__xludf.DUMMYFUNCTION("""COMPUTED_VALUE"""),"ООО ""УК НА РАБКОРОВСКОЙ"" 144-РДО от 08.04.2022")</f>
        <v>ООО "УК НА РАБКОРОВСКОЙ" 144-РДО от 08.04.2022</v>
      </c>
      <c r="D12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7" t="str">
        <f ca="1">IFERROR(__xludf.DUMMYFUNCTION("""COMPUTED_VALUE"""),"Новый")</f>
        <v>Новый</v>
      </c>
      <c r="G1247" s="68"/>
      <c r="K1247" s="68"/>
    </row>
    <row r="1248" spans="1:11" ht="12.75">
      <c r="A1248" s="69">
        <f ca="1">IFERROR(__xludf.DUMMYFUNCTION("""COMPUTED_VALUE"""),93803)</f>
        <v>93803</v>
      </c>
      <c r="B1248" s="4">
        <f ca="1">IFERROR(__xludf.DUMMYFUNCTION("""COMPUTED_VALUE"""),44659)</f>
        <v>44659</v>
      </c>
      <c r="C1248" t="str">
        <f ca="1">IFERROR(__xludf.DUMMYFUNCTION("""COMPUTED_VALUE"""),"ООО ""УК НА РАБКОРОВСКОЙ"" 144-РДО от 08.04.2022")</f>
        <v>ООО "УК НА РАБКОРОВСКОЙ" 144-РДО от 08.04.2022</v>
      </c>
      <c r="D12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8" t="str">
        <f ca="1">IFERROR(__xludf.DUMMYFUNCTION("""COMPUTED_VALUE"""),"Новый")</f>
        <v>Новый</v>
      </c>
      <c r="G1248" s="68"/>
      <c r="K1248" s="68"/>
    </row>
    <row r="1249" spans="1:11" ht="12.75">
      <c r="A1249" s="69">
        <f ca="1">IFERROR(__xludf.DUMMYFUNCTION("""COMPUTED_VALUE"""),93804)</f>
        <v>93804</v>
      </c>
      <c r="B1249" s="4">
        <f ca="1">IFERROR(__xludf.DUMMYFUNCTION("""COMPUTED_VALUE"""),44659)</f>
        <v>44659</v>
      </c>
      <c r="C1249" t="str">
        <f ca="1">IFERROR(__xludf.DUMMYFUNCTION("""COMPUTED_VALUE"""),"ООО ""УК НА РАБКОРОВСКОЙ"" 144-РДО от 08.04.2022")</f>
        <v>ООО "УК НА РАБКОРОВСКОЙ" 144-РДО от 08.04.2022</v>
      </c>
      <c r="D12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49" t="str">
        <f ca="1">IFERROR(__xludf.DUMMYFUNCTION("""COMPUTED_VALUE"""),"Новый")</f>
        <v>Новый</v>
      </c>
      <c r="G1249" s="68"/>
      <c r="K1249" s="68"/>
    </row>
    <row r="1250" spans="1:11" ht="12.75">
      <c r="A1250" s="69">
        <f ca="1">IFERROR(__xludf.DUMMYFUNCTION("""COMPUTED_VALUE"""),93805)</f>
        <v>93805</v>
      </c>
      <c r="B1250" s="4">
        <f ca="1">IFERROR(__xludf.DUMMYFUNCTION("""COMPUTED_VALUE"""),44659)</f>
        <v>44659</v>
      </c>
      <c r="C1250" t="str">
        <f ca="1">IFERROR(__xludf.DUMMYFUNCTION("""COMPUTED_VALUE"""),"ООО ""УК НА РАБКОРОВСКОЙ"" 144-РДО от 08.04.2022")</f>
        <v>ООО "УК НА РАБКОРОВСКОЙ" 144-РДО от 08.04.2022</v>
      </c>
      <c r="D12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0" t="str">
        <f ca="1">IFERROR(__xludf.DUMMYFUNCTION("""COMPUTED_VALUE"""),"Новый")</f>
        <v>Новый</v>
      </c>
      <c r="G1250" s="68"/>
      <c r="K1250" s="68"/>
    </row>
    <row r="1251" spans="1:11" ht="12.75">
      <c r="A1251" s="69">
        <f ca="1">IFERROR(__xludf.DUMMYFUNCTION("""COMPUTED_VALUE"""),93806)</f>
        <v>93806</v>
      </c>
      <c r="B1251" s="4">
        <f ca="1">IFERROR(__xludf.DUMMYFUNCTION("""COMPUTED_VALUE"""),44659)</f>
        <v>44659</v>
      </c>
      <c r="C1251" t="str">
        <f ca="1">IFERROR(__xludf.DUMMYFUNCTION("""COMPUTED_VALUE"""),"ООО ""УК НА РАБКОРОВСКОЙ"" 144-РДО от 08.04.2022")</f>
        <v>ООО "УК НА РАБКОРОВСКОЙ" 144-РДО от 08.04.2022</v>
      </c>
      <c r="D12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1" t="str">
        <f ca="1">IFERROR(__xludf.DUMMYFUNCTION("""COMPUTED_VALUE"""),"Новый")</f>
        <v>Новый</v>
      </c>
      <c r="G1251" s="68"/>
      <c r="K1251" s="68"/>
    </row>
    <row r="1252" spans="1:11" ht="12.75">
      <c r="A1252" s="69">
        <f ca="1">IFERROR(__xludf.DUMMYFUNCTION("""COMPUTED_VALUE"""),93807)</f>
        <v>93807</v>
      </c>
      <c r="B1252" s="4">
        <f ca="1">IFERROR(__xludf.DUMMYFUNCTION("""COMPUTED_VALUE"""),44659)</f>
        <v>44659</v>
      </c>
      <c r="C1252" t="str">
        <f ca="1">IFERROR(__xludf.DUMMYFUNCTION("""COMPUTED_VALUE"""),"ООО ""УК НА РАБКОРОВСКОЙ"" 144-РДО от 08.04.2022")</f>
        <v>ООО "УК НА РАБКОРОВСКОЙ" 144-РДО от 08.04.2022</v>
      </c>
      <c r="D12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2" t="str">
        <f ca="1">IFERROR(__xludf.DUMMYFUNCTION("""COMPUTED_VALUE"""),"Новый")</f>
        <v>Новый</v>
      </c>
      <c r="G1252" s="68"/>
      <c r="K1252" s="68"/>
    </row>
    <row r="1253" spans="1:11" ht="12.75">
      <c r="A1253" s="69">
        <f ca="1">IFERROR(__xludf.DUMMYFUNCTION("""COMPUTED_VALUE"""),93808)</f>
        <v>93808</v>
      </c>
      <c r="B1253" s="4">
        <f ca="1">IFERROR(__xludf.DUMMYFUNCTION("""COMPUTED_VALUE"""),44659)</f>
        <v>44659</v>
      </c>
      <c r="C1253" t="str">
        <f ca="1">IFERROR(__xludf.DUMMYFUNCTION("""COMPUTED_VALUE"""),"ООО ""УК НА РАБКОРОВСКОЙ"" 144-РДО от 08.04.2022")</f>
        <v>ООО "УК НА РАБКОРОВСКОЙ" 144-РДО от 08.04.2022</v>
      </c>
      <c r="D12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3" t="str">
        <f ca="1">IFERROR(__xludf.DUMMYFUNCTION("""COMPUTED_VALUE"""),"Новый")</f>
        <v>Новый</v>
      </c>
      <c r="G1253" s="68"/>
      <c r="K1253" s="68"/>
    </row>
    <row r="1254" spans="1:11" ht="12.75">
      <c r="A1254" s="69">
        <f ca="1">IFERROR(__xludf.DUMMYFUNCTION("""COMPUTED_VALUE"""),93809)</f>
        <v>93809</v>
      </c>
      <c r="B1254" s="4">
        <f ca="1">IFERROR(__xludf.DUMMYFUNCTION("""COMPUTED_VALUE"""),44659)</f>
        <v>44659</v>
      </c>
      <c r="C1254" t="str">
        <f ca="1">IFERROR(__xludf.DUMMYFUNCTION("""COMPUTED_VALUE"""),"ООО ""УК НА РАБКОРОВСКОЙ"" 144-РДО от 08.04.2022")</f>
        <v>ООО "УК НА РАБКОРОВСКОЙ" 144-РДО от 08.04.2022</v>
      </c>
      <c r="D12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4" t="str">
        <f ca="1">IFERROR(__xludf.DUMMYFUNCTION("""COMPUTED_VALUE"""),"Новый")</f>
        <v>Новый</v>
      </c>
      <c r="G1254" s="68"/>
      <c r="K1254" s="68"/>
    </row>
    <row r="1255" spans="1:11" ht="12.75">
      <c r="A1255" s="69">
        <f ca="1">IFERROR(__xludf.DUMMYFUNCTION("""COMPUTED_VALUE"""),93810)</f>
        <v>93810</v>
      </c>
      <c r="B1255" s="4">
        <f ca="1">IFERROR(__xludf.DUMMYFUNCTION("""COMPUTED_VALUE"""),44659)</f>
        <v>44659</v>
      </c>
      <c r="C1255" t="str">
        <f ca="1">IFERROR(__xludf.DUMMYFUNCTION("""COMPUTED_VALUE"""),"ООО ""УК НА РАБКОРОВСКОЙ"" 144-РДО от 08.04.2022")</f>
        <v>ООО "УК НА РАБКОРОВСКОЙ" 144-РДО от 08.04.2022</v>
      </c>
      <c r="D12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5" t="str">
        <f ca="1">IFERROR(__xludf.DUMMYFUNCTION("""COMPUTED_VALUE"""),"Новый")</f>
        <v>Новый</v>
      </c>
      <c r="G1255" s="68"/>
      <c r="K1255" s="68"/>
    </row>
    <row r="1256" spans="1:11" ht="12.75">
      <c r="A1256" s="69">
        <f ca="1">IFERROR(__xludf.DUMMYFUNCTION("""COMPUTED_VALUE"""),93811)</f>
        <v>93811</v>
      </c>
      <c r="B1256" s="4">
        <f ca="1">IFERROR(__xludf.DUMMYFUNCTION("""COMPUTED_VALUE"""),44659)</f>
        <v>44659</v>
      </c>
      <c r="C1256" t="str">
        <f ca="1">IFERROR(__xludf.DUMMYFUNCTION("""COMPUTED_VALUE"""),"ООО ""УК НА РАБКОРОВСКОЙ"" 144-РДО от 08.04.2022")</f>
        <v>ООО "УК НА РАБКОРОВСКОЙ" 144-РДО от 08.04.2022</v>
      </c>
      <c r="D12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6" t="str">
        <f ca="1">IFERROR(__xludf.DUMMYFUNCTION("""COMPUTED_VALUE"""),"Новый")</f>
        <v>Новый</v>
      </c>
      <c r="G1256" s="68"/>
      <c r="K1256" s="68"/>
    </row>
    <row r="1257" spans="1:11" ht="12.75">
      <c r="A1257" s="69">
        <f ca="1">IFERROR(__xludf.DUMMYFUNCTION("""COMPUTED_VALUE"""),93812)</f>
        <v>93812</v>
      </c>
      <c r="B1257" s="4">
        <f ca="1">IFERROR(__xludf.DUMMYFUNCTION("""COMPUTED_VALUE"""),44659)</f>
        <v>44659</v>
      </c>
      <c r="C1257" t="str">
        <f ca="1">IFERROR(__xludf.DUMMYFUNCTION("""COMPUTED_VALUE"""),"ООО ""УК НА РАБКОРОВСКОЙ"" 144-РДО от 08.04.2022")</f>
        <v>ООО "УК НА РАБКОРОВСКОЙ" 144-РДО от 08.04.2022</v>
      </c>
      <c r="D12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7" t="str">
        <f ca="1">IFERROR(__xludf.DUMMYFUNCTION("""COMPUTED_VALUE"""),"Новый")</f>
        <v>Новый</v>
      </c>
      <c r="G1257" s="68"/>
      <c r="K1257" s="68"/>
    </row>
    <row r="1258" spans="1:11" ht="12.75">
      <c r="A1258" s="69">
        <f ca="1">IFERROR(__xludf.DUMMYFUNCTION("""COMPUTED_VALUE"""),93813)</f>
        <v>93813</v>
      </c>
      <c r="B1258" s="4">
        <f ca="1">IFERROR(__xludf.DUMMYFUNCTION("""COMPUTED_VALUE"""),44659)</f>
        <v>44659</v>
      </c>
      <c r="C1258" t="str">
        <f ca="1">IFERROR(__xludf.DUMMYFUNCTION("""COMPUTED_VALUE"""),"ООО ""УК НА РАБКОРОВСКОЙ"" 144-РДО от 08.04.2022")</f>
        <v>ООО "УК НА РАБКОРОВСКОЙ" 144-РДО от 08.04.2022</v>
      </c>
      <c r="D12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8" t="str">
        <f ca="1">IFERROR(__xludf.DUMMYFUNCTION("""COMPUTED_VALUE"""),"Новый")</f>
        <v>Новый</v>
      </c>
      <c r="G1258" s="68"/>
      <c r="K1258" s="68"/>
    </row>
    <row r="1259" spans="1:11" ht="12.75">
      <c r="A1259" s="69">
        <f ca="1">IFERROR(__xludf.DUMMYFUNCTION("""COMPUTED_VALUE"""),93863)</f>
        <v>93863</v>
      </c>
      <c r="B1259" s="4">
        <f ca="1">IFERROR(__xludf.DUMMYFUNCTION("""COMPUTED_VALUE"""),44664)</f>
        <v>44664</v>
      </c>
      <c r="C1259" t="str">
        <f ca="1">IFERROR(__xludf.DUMMYFUNCTION("""COMPUTED_VALUE"""),"ЗАО ""УК ""ЛЕВОБЕРЕЖЬЕ"" 147-РДО от 13.04.2022")</f>
        <v>ЗАО "УК "ЛЕВОБЕРЕЖЬЕ" 147-РДО от 13.04.2022</v>
      </c>
      <c r="D12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59" t="str">
        <f ca="1">IFERROR(__xludf.DUMMYFUNCTION("""COMPUTED_VALUE"""),"Новый")</f>
        <v>Новый</v>
      </c>
      <c r="G1259" s="68"/>
      <c r="K1259" s="68"/>
    </row>
    <row r="1260" spans="1:11" ht="12.75">
      <c r="A1260" s="69">
        <f ca="1">IFERROR(__xludf.DUMMYFUNCTION("""COMPUTED_VALUE"""),93994)</f>
        <v>93994</v>
      </c>
      <c r="B1260" s="4">
        <f ca="1">IFERROR(__xludf.DUMMYFUNCTION("""COMPUTED_VALUE"""),44664)</f>
        <v>44664</v>
      </c>
      <c r="C1260" t="str">
        <f ca="1">IFERROR(__xludf.DUMMYFUNCTION("""COMPUTED_VALUE"""),"ООО ""УК НА РАБКОРОВСКОЙ"" 144-РДО от 08.04.2022")</f>
        <v>ООО "УК НА РАБКОРОВСКОЙ" 144-РДО от 08.04.2022</v>
      </c>
      <c r="D12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0" t="str">
        <f ca="1">IFERROR(__xludf.DUMMYFUNCTION("""COMPUTED_VALUE"""),"Новый")</f>
        <v>Новый</v>
      </c>
      <c r="G1260" s="68"/>
      <c r="K1260" s="68"/>
    </row>
    <row r="1261" spans="1:11" ht="12.75">
      <c r="A1261" s="69">
        <f ca="1">IFERROR(__xludf.DUMMYFUNCTION("""COMPUTED_VALUE"""),93995)</f>
        <v>93995</v>
      </c>
      <c r="B1261" s="4">
        <f ca="1">IFERROR(__xludf.DUMMYFUNCTION("""COMPUTED_VALUE"""),44664)</f>
        <v>44664</v>
      </c>
      <c r="C1261" t="str">
        <f ca="1">IFERROR(__xludf.DUMMYFUNCTION("""COMPUTED_VALUE"""),"ООО ""УК НА РАБКОРОВСКОЙ"" 144-РДО от 08.04.2022")</f>
        <v>ООО "УК НА РАБКОРОВСКОЙ" 144-РДО от 08.04.2022</v>
      </c>
      <c r="D12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1" t="str">
        <f ca="1">IFERROR(__xludf.DUMMYFUNCTION("""COMPUTED_VALUE"""),"Новый")</f>
        <v>Новый</v>
      </c>
      <c r="G1261" s="68"/>
      <c r="K1261" s="68"/>
    </row>
    <row r="1262" spans="1:11" ht="12.75">
      <c r="A1262" s="69">
        <f ca="1">IFERROR(__xludf.DUMMYFUNCTION("""COMPUTED_VALUE"""),93996)</f>
        <v>93996</v>
      </c>
      <c r="B1262" s="4">
        <f ca="1">IFERROR(__xludf.DUMMYFUNCTION("""COMPUTED_VALUE"""),44664)</f>
        <v>44664</v>
      </c>
      <c r="C1262" t="str">
        <f ca="1">IFERROR(__xludf.DUMMYFUNCTION("""COMPUTED_VALUE"""),"ООО ""УК НА РАБКОРОВСКОЙ"" 144-РДО от 08.04.2022")</f>
        <v>ООО "УК НА РАБКОРОВСКОЙ" 144-РДО от 08.04.2022</v>
      </c>
      <c r="D12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2" t="str">
        <f ca="1">IFERROR(__xludf.DUMMYFUNCTION("""COMPUTED_VALUE"""),"Новый")</f>
        <v>Новый</v>
      </c>
      <c r="G1262" s="68"/>
      <c r="K1262" s="68"/>
    </row>
    <row r="1263" spans="1:11" ht="12.75">
      <c r="A1263" s="69">
        <f ca="1">IFERROR(__xludf.DUMMYFUNCTION("""COMPUTED_VALUE"""),93997)</f>
        <v>93997</v>
      </c>
      <c r="B1263" s="4">
        <f ca="1">IFERROR(__xludf.DUMMYFUNCTION("""COMPUTED_VALUE"""),44664)</f>
        <v>44664</v>
      </c>
      <c r="C1263" t="str">
        <f ca="1">IFERROR(__xludf.DUMMYFUNCTION("""COMPUTED_VALUE"""),"ООО ""УК НА РАБКОРОВСКОЙ"" 144-РДО от 08.04.2022")</f>
        <v>ООО "УК НА РАБКОРОВСКОЙ" 144-РДО от 08.04.2022</v>
      </c>
      <c r="D12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3" t="str">
        <f ca="1">IFERROR(__xludf.DUMMYFUNCTION("""COMPUTED_VALUE"""),"Новый")</f>
        <v>Новый</v>
      </c>
      <c r="G1263" s="68"/>
      <c r="K1263" s="68"/>
    </row>
    <row r="1264" spans="1:11" ht="12.75">
      <c r="A1264" s="69">
        <f ca="1">IFERROR(__xludf.DUMMYFUNCTION("""COMPUTED_VALUE"""),93998)</f>
        <v>93998</v>
      </c>
      <c r="B1264" s="4">
        <f ca="1">IFERROR(__xludf.DUMMYFUNCTION("""COMPUTED_VALUE"""),44664)</f>
        <v>44664</v>
      </c>
      <c r="C1264" t="str">
        <f ca="1">IFERROR(__xludf.DUMMYFUNCTION("""COMPUTED_VALUE"""),"ООО ""УК НА РАБКОРОВСКОЙ"" 144-РДО от 08.04.2022")</f>
        <v>ООО "УК НА РАБКОРОВСКОЙ" 144-РДО от 08.04.2022</v>
      </c>
      <c r="D12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4" t="str">
        <f ca="1">IFERROR(__xludf.DUMMYFUNCTION("""COMPUTED_VALUE"""),"Новый")</f>
        <v>Новый</v>
      </c>
      <c r="G1264" s="68"/>
      <c r="K1264" s="68"/>
    </row>
    <row r="1265" spans="1:11" ht="12.75">
      <c r="A1265" s="69">
        <f ca="1">IFERROR(__xludf.DUMMYFUNCTION("""COMPUTED_VALUE"""),93999)</f>
        <v>93999</v>
      </c>
      <c r="B1265" s="4">
        <f ca="1">IFERROR(__xludf.DUMMYFUNCTION("""COMPUTED_VALUE"""),44664)</f>
        <v>44664</v>
      </c>
      <c r="C1265" t="str">
        <f ca="1">IFERROR(__xludf.DUMMYFUNCTION("""COMPUTED_VALUE"""),"ООО ""УК НА РАБКОРОВСКОЙ"" 144-РДО от 08.04.2022")</f>
        <v>ООО "УК НА РАБКОРОВСКОЙ" 144-РДО от 08.04.2022</v>
      </c>
      <c r="D12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5" t="str">
        <f ca="1">IFERROR(__xludf.DUMMYFUNCTION("""COMPUTED_VALUE"""),"Новый")</f>
        <v>Новый</v>
      </c>
      <c r="G1265" s="68"/>
      <c r="K1265" s="68"/>
    </row>
    <row r="1266" spans="1:11" ht="12.75">
      <c r="A1266" s="69">
        <f ca="1">IFERROR(__xludf.DUMMYFUNCTION("""COMPUTED_VALUE"""),94000)</f>
        <v>94000</v>
      </c>
      <c r="B1266" s="4">
        <f ca="1">IFERROR(__xludf.DUMMYFUNCTION("""COMPUTED_VALUE"""),44664)</f>
        <v>44664</v>
      </c>
      <c r="C1266" t="str">
        <f ca="1">IFERROR(__xludf.DUMMYFUNCTION("""COMPUTED_VALUE"""),"ООО ""УК НА РАБКОРОВСКОЙ"" 144-РДО от 08.04.2022")</f>
        <v>ООО "УК НА РАБКОРОВСКОЙ" 144-РДО от 08.04.2022</v>
      </c>
      <c r="D12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6" t="str">
        <f ca="1">IFERROR(__xludf.DUMMYFUNCTION("""COMPUTED_VALUE"""),"Новый")</f>
        <v>Новый</v>
      </c>
      <c r="G1266" s="68"/>
      <c r="K1266" s="68"/>
    </row>
    <row r="1267" spans="1:11" ht="12.75">
      <c r="A1267" s="69">
        <f ca="1">IFERROR(__xludf.DUMMYFUNCTION("""COMPUTED_VALUE"""),94001)</f>
        <v>94001</v>
      </c>
      <c r="B1267" s="4">
        <f ca="1">IFERROR(__xludf.DUMMYFUNCTION("""COMPUTED_VALUE"""),44664)</f>
        <v>44664</v>
      </c>
      <c r="C1267" t="str">
        <f ca="1">IFERROR(__xludf.DUMMYFUNCTION("""COMPUTED_VALUE"""),"ООО ""УК НА РАБКОРОВСКОЙ"" 144-РДО от 08.04.2022")</f>
        <v>ООО "УК НА РАБКОРОВСКОЙ" 144-РДО от 08.04.2022</v>
      </c>
      <c r="D12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7" t="str">
        <f ca="1">IFERROR(__xludf.DUMMYFUNCTION("""COMPUTED_VALUE"""),"Новый")</f>
        <v>Новый</v>
      </c>
      <c r="G1267" s="68"/>
      <c r="K1267" s="68"/>
    </row>
    <row r="1268" spans="1:11" ht="12.75">
      <c r="A1268" s="69">
        <f ca="1">IFERROR(__xludf.DUMMYFUNCTION("""COMPUTED_VALUE"""),94002)</f>
        <v>94002</v>
      </c>
      <c r="B1268" s="4">
        <f ca="1">IFERROR(__xludf.DUMMYFUNCTION("""COMPUTED_VALUE"""),44664)</f>
        <v>44664</v>
      </c>
      <c r="C1268" t="str">
        <f ca="1">IFERROR(__xludf.DUMMYFUNCTION("""COMPUTED_VALUE"""),"ООО ""УК НА РАБКОРОВСКОЙ"" 144-РДО от 08.04.2022")</f>
        <v>ООО "УК НА РАБКОРОВСКОЙ" 144-РДО от 08.04.2022</v>
      </c>
      <c r="D12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8" t="str">
        <f ca="1">IFERROR(__xludf.DUMMYFUNCTION("""COMPUTED_VALUE"""),"Новый")</f>
        <v>Новый</v>
      </c>
      <c r="G1268" s="68"/>
      <c r="K1268" s="68"/>
    </row>
    <row r="1269" spans="1:11" ht="12.75">
      <c r="A1269" s="69">
        <f ca="1">IFERROR(__xludf.DUMMYFUNCTION("""COMPUTED_VALUE"""),94003)</f>
        <v>94003</v>
      </c>
      <c r="B1269" s="4">
        <f ca="1">IFERROR(__xludf.DUMMYFUNCTION("""COMPUTED_VALUE"""),44664)</f>
        <v>44664</v>
      </c>
      <c r="C1269" t="str">
        <f ca="1">IFERROR(__xludf.DUMMYFUNCTION("""COMPUTED_VALUE"""),"ООО ""УК НА РАБКОРОВСКОЙ"" 144-РДО от 08.04.2022")</f>
        <v>ООО "УК НА РАБКОРОВСКОЙ" 144-РДО от 08.04.2022</v>
      </c>
      <c r="D12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69" t="str">
        <f ca="1">IFERROR(__xludf.DUMMYFUNCTION("""COMPUTED_VALUE"""),"Новый")</f>
        <v>Новый</v>
      </c>
      <c r="G1269" s="68"/>
      <c r="K1269" s="68"/>
    </row>
    <row r="1270" spans="1:11" ht="12.75">
      <c r="A1270" s="69">
        <f ca="1">IFERROR(__xludf.DUMMYFUNCTION("""COMPUTED_VALUE"""),94004)</f>
        <v>94004</v>
      </c>
      <c r="B1270" s="4">
        <f ca="1">IFERROR(__xludf.DUMMYFUNCTION("""COMPUTED_VALUE"""),44664)</f>
        <v>44664</v>
      </c>
      <c r="C1270" t="str">
        <f ca="1">IFERROR(__xludf.DUMMYFUNCTION("""COMPUTED_VALUE"""),"ООО ""УК НА РАБКОРОВСКОЙ"" 144-РДО от 08.04.2022")</f>
        <v>ООО "УК НА РАБКОРОВСКОЙ" 144-РДО от 08.04.2022</v>
      </c>
      <c r="D12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0" t="str">
        <f ca="1">IFERROR(__xludf.DUMMYFUNCTION("""COMPUTED_VALUE"""),"Новый")</f>
        <v>Новый</v>
      </c>
      <c r="G1270" s="68"/>
      <c r="K1270" s="68"/>
    </row>
    <row r="1271" spans="1:11" ht="12.75">
      <c r="A1271" s="69">
        <f ca="1">IFERROR(__xludf.DUMMYFUNCTION("""COMPUTED_VALUE"""),94005)</f>
        <v>94005</v>
      </c>
      <c r="B1271" s="4">
        <f ca="1">IFERROR(__xludf.DUMMYFUNCTION("""COMPUTED_VALUE"""),44664)</f>
        <v>44664</v>
      </c>
      <c r="C1271" t="str">
        <f ca="1">IFERROR(__xludf.DUMMYFUNCTION("""COMPUTED_VALUE"""),"ООО ""УК НА РАБКОРОВСКОЙ"" 144-РДО от 08.04.2022")</f>
        <v>ООО "УК НА РАБКОРОВСКОЙ" 144-РДО от 08.04.2022</v>
      </c>
      <c r="D12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1" t="str">
        <f ca="1">IFERROR(__xludf.DUMMYFUNCTION("""COMPUTED_VALUE"""),"Новый")</f>
        <v>Новый</v>
      </c>
      <c r="G1271" s="68"/>
      <c r="K1271" s="68"/>
    </row>
    <row r="1272" spans="1:11" ht="12.75">
      <c r="A1272" s="69">
        <f ca="1">IFERROR(__xludf.DUMMYFUNCTION("""COMPUTED_VALUE"""),94006)</f>
        <v>94006</v>
      </c>
      <c r="B1272" s="4">
        <f ca="1">IFERROR(__xludf.DUMMYFUNCTION("""COMPUTED_VALUE"""),44664)</f>
        <v>44664</v>
      </c>
      <c r="C1272" t="str">
        <f ca="1">IFERROR(__xludf.DUMMYFUNCTION("""COMPUTED_VALUE"""),"ООО ""УК НА РАБКОРОВСКОЙ"" 144-РДО от 08.04.2022")</f>
        <v>ООО "УК НА РАБКОРОВСКОЙ" 144-РДО от 08.04.2022</v>
      </c>
      <c r="D12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2" t="str">
        <f ca="1">IFERROR(__xludf.DUMMYFUNCTION("""COMPUTED_VALUE"""),"Новый")</f>
        <v>Новый</v>
      </c>
      <c r="G1272" s="68"/>
      <c r="K1272" s="68"/>
    </row>
    <row r="1273" spans="1:11" ht="12.75">
      <c r="A1273" s="69">
        <f ca="1">IFERROR(__xludf.DUMMYFUNCTION("""COMPUTED_VALUE"""),94007)</f>
        <v>94007</v>
      </c>
      <c r="B1273" s="4">
        <f ca="1">IFERROR(__xludf.DUMMYFUNCTION("""COMPUTED_VALUE"""),44664)</f>
        <v>44664</v>
      </c>
      <c r="C1273" t="str">
        <f ca="1">IFERROR(__xludf.DUMMYFUNCTION("""COMPUTED_VALUE"""),"ООО ""УК НА РАБКОРОВСКОЙ"" 144-РДО от 08.04.2022")</f>
        <v>ООО "УК НА РАБКОРОВСКОЙ" 144-РДО от 08.04.2022</v>
      </c>
      <c r="D12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3" t="str">
        <f ca="1">IFERROR(__xludf.DUMMYFUNCTION("""COMPUTED_VALUE"""),"Новый")</f>
        <v>Новый</v>
      </c>
      <c r="G1273" s="68"/>
      <c r="K1273" s="68"/>
    </row>
    <row r="1274" spans="1:11" ht="12.75">
      <c r="A1274" s="69">
        <f ca="1">IFERROR(__xludf.DUMMYFUNCTION("""COMPUTED_VALUE"""),94008)</f>
        <v>94008</v>
      </c>
      <c r="B1274" s="4">
        <f ca="1">IFERROR(__xludf.DUMMYFUNCTION("""COMPUTED_VALUE"""),44664)</f>
        <v>44664</v>
      </c>
      <c r="C1274" t="str">
        <f ca="1">IFERROR(__xludf.DUMMYFUNCTION("""COMPUTED_VALUE"""),"ООО ""УК НА РАБКОРОВСКОЙ"" 144-РДО от 08.04.2022")</f>
        <v>ООО "УК НА РАБКОРОВСКОЙ" 144-РДО от 08.04.2022</v>
      </c>
      <c r="D12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4" t="str">
        <f ca="1">IFERROR(__xludf.DUMMYFUNCTION("""COMPUTED_VALUE"""),"Новый")</f>
        <v>Новый</v>
      </c>
      <c r="G1274" s="68"/>
      <c r="K1274" s="68"/>
    </row>
    <row r="1275" spans="1:11" ht="12.75">
      <c r="A1275" s="69">
        <f ca="1">IFERROR(__xludf.DUMMYFUNCTION("""COMPUTED_VALUE"""),94009)</f>
        <v>94009</v>
      </c>
      <c r="B1275" s="4">
        <f ca="1">IFERROR(__xludf.DUMMYFUNCTION("""COMPUTED_VALUE"""),44664)</f>
        <v>44664</v>
      </c>
      <c r="C1275" t="str">
        <f ca="1">IFERROR(__xludf.DUMMYFUNCTION("""COMPUTED_VALUE"""),"ООО ""УК НА РАБКОРОВСКОЙ"" 144-РДО от 08.04.2022")</f>
        <v>ООО "УК НА РАБКОРОВСКОЙ" 144-РДО от 08.04.2022</v>
      </c>
      <c r="D12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5" t="str">
        <f ca="1">IFERROR(__xludf.DUMMYFUNCTION("""COMPUTED_VALUE"""),"Новый")</f>
        <v>Новый</v>
      </c>
      <c r="G1275" s="68"/>
      <c r="K1275" s="68"/>
    </row>
    <row r="1276" spans="1:11" ht="12.75">
      <c r="A1276" s="69">
        <f ca="1">IFERROR(__xludf.DUMMYFUNCTION("""COMPUTED_VALUE"""),94010)</f>
        <v>94010</v>
      </c>
      <c r="B1276" s="4">
        <f ca="1">IFERROR(__xludf.DUMMYFUNCTION("""COMPUTED_VALUE"""),44664)</f>
        <v>44664</v>
      </c>
      <c r="C1276" t="str">
        <f ca="1">IFERROR(__xludf.DUMMYFUNCTION("""COMPUTED_VALUE"""),"ООО ""УК НА РАБКОРОВСКОЙ"" 144-РДО от 08.04.2022")</f>
        <v>ООО "УК НА РАБКОРОВСКОЙ" 144-РДО от 08.04.2022</v>
      </c>
      <c r="D12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6" t="str">
        <f ca="1">IFERROR(__xludf.DUMMYFUNCTION("""COMPUTED_VALUE"""),"Новый")</f>
        <v>Новый</v>
      </c>
      <c r="G1276" s="68"/>
      <c r="K1276" s="68"/>
    </row>
    <row r="1277" spans="1:11" ht="12.75">
      <c r="A1277" s="69">
        <f ca="1">IFERROR(__xludf.DUMMYFUNCTION("""COMPUTED_VALUE"""),94011)</f>
        <v>94011</v>
      </c>
      <c r="B1277" s="4">
        <f ca="1">IFERROR(__xludf.DUMMYFUNCTION("""COMPUTED_VALUE"""),44664)</f>
        <v>44664</v>
      </c>
      <c r="C1277" t="str">
        <f ca="1">IFERROR(__xludf.DUMMYFUNCTION("""COMPUTED_VALUE"""),"ООО ""УК НА РАБКОРОВСКОЙ"" 144-РДО от 08.04.2022")</f>
        <v>ООО "УК НА РАБКОРОВСКОЙ" 144-РДО от 08.04.2022</v>
      </c>
      <c r="D12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7" t="str">
        <f ca="1">IFERROR(__xludf.DUMMYFUNCTION("""COMPUTED_VALUE"""),"Новый")</f>
        <v>Новый</v>
      </c>
      <c r="G1277" s="68"/>
      <c r="K1277" s="68"/>
    </row>
    <row r="1278" spans="1:11" ht="12.75">
      <c r="A1278" s="69">
        <f ca="1">IFERROR(__xludf.DUMMYFUNCTION("""COMPUTED_VALUE"""),94012)</f>
        <v>94012</v>
      </c>
      <c r="B1278" s="4">
        <f ca="1">IFERROR(__xludf.DUMMYFUNCTION("""COMPUTED_VALUE"""),44664)</f>
        <v>44664</v>
      </c>
      <c r="C1278" t="str">
        <f ca="1">IFERROR(__xludf.DUMMYFUNCTION("""COMPUTED_VALUE"""),"ООО ""УК НА РАБКОРОВСКОЙ"" 144-РДО от 08.04.2022")</f>
        <v>ООО "УК НА РАБКОРОВСКОЙ" 144-РДО от 08.04.2022</v>
      </c>
      <c r="D12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8" t="str">
        <f ca="1">IFERROR(__xludf.DUMMYFUNCTION("""COMPUTED_VALUE"""),"Новый")</f>
        <v>Новый</v>
      </c>
      <c r="G1278" s="68"/>
      <c r="K1278" s="68"/>
    </row>
    <row r="1279" spans="1:11" ht="12.75">
      <c r="A1279" s="69">
        <f ca="1">IFERROR(__xludf.DUMMYFUNCTION("""COMPUTED_VALUE"""),94013)</f>
        <v>94013</v>
      </c>
      <c r="B1279" s="4">
        <f ca="1">IFERROR(__xludf.DUMMYFUNCTION("""COMPUTED_VALUE"""),44664)</f>
        <v>44664</v>
      </c>
      <c r="C1279" t="str">
        <f ca="1">IFERROR(__xludf.DUMMYFUNCTION("""COMPUTED_VALUE"""),"ООО ""УК НА РАБКОРОВСКОЙ"" 144-РДО от 08.04.2022")</f>
        <v>ООО "УК НА РАБКОРОВСКОЙ" 144-РДО от 08.04.2022</v>
      </c>
      <c r="D12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79" t="str">
        <f ca="1">IFERROR(__xludf.DUMMYFUNCTION("""COMPUTED_VALUE"""),"Новый")</f>
        <v>Новый</v>
      </c>
      <c r="G1279" s="68"/>
      <c r="K1279" s="68"/>
    </row>
    <row r="1280" spans="1:11" ht="12.75">
      <c r="A1280" s="69">
        <f ca="1">IFERROR(__xludf.DUMMYFUNCTION("""COMPUTED_VALUE"""),94020)</f>
        <v>94020</v>
      </c>
      <c r="B1280" s="4">
        <f ca="1">IFERROR(__xludf.DUMMYFUNCTION("""COMPUTED_VALUE"""),44664)</f>
        <v>44664</v>
      </c>
      <c r="C1280" t="str">
        <f ca="1">IFERROR(__xludf.DUMMYFUNCTION("""COMPUTED_VALUE"""),"ООО ""УК НА РАБКОРОВСКОЙ"" 144-РДО от 08.04.2022")</f>
        <v>ООО "УК НА РАБКОРОВСКОЙ" 144-РДО от 08.04.2022</v>
      </c>
      <c r="D12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0" t="str">
        <f ca="1">IFERROR(__xludf.DUMMYFUNCTION("""COMPUTED_VALUE"""),"Новый")</f>
        <v>Новый</v>
      </c>
      <c r="G1280" s="68"/>
      <c r="K1280" s="68"/>
    </row>
    <row r="1281" spans="1:11" ht="12.75">
      <c r="A1281" s="69">
        <f ca="1">IFERROR(__xludf.DUMMYFUNCTION("""COMPUTED_VALUE"""),94021)</f>
        <v>94021</v>
      </c>
      <c r="B1281" s="4">
        <f ca="1">IFERROR(__xludf.DUMMYFUNCTION("""COMPUTED_VALUE"""),44664)</f>
        <v>44664</v>
      </c>
      <c r="C1281" t="str">
        <f ca="1">IFERROR(__xludf.DUMMYFUNCTION("""COMPUTED_VALUE"""),"ООО ""УК НА РАБКОРОВСКОЙ"" 144-РДО от 08.04.2022")</f>
        <v>ООО "УК НА РАБКОРОВСКОЙ" 144-РДО от 08.04.2022</v>
      </c>
      <c r="D12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1" t="str">
        <f ca="1">IFERROR(__xludf.DUMMYFUNCTION("""COMPUTED_VALUE"""),"Новый")</f>
        <v>Новый</v>
      </c>
      <c r="G1281" s="68"/>
      <c r="K1281" s="68"/>
    </row>
    <row r="1282" spans="1:11" ht="12.75">
      <c r="A1282" s="69">
        <f ca="1">IFERROR(__xludf.DUMMYFUNCTION("""COMPUTED_VALUE"""),94022)</f>
        <v>94022</v>
      </c>
      <c r="B1282" s="4">
        <f ca="1">IFERROR(__xludf.DUMMYFUNCTION("""COMPUTED_VALUE"""),44664)</f>
        <v>44664</v>
      </c>
      <c r="C1282" t="str">
        <f ca="1">IFERROR(__xludf.DUMMYFUNCTION("""COMPUTED_VALUE"""),"ООО ""УК НА РАБКОРОВСКОЙ"" 144-РДО от 08.04.2022")</f>
        <v>ООО "УК НА РАБКОРОВСКОЙ" 144-РДО от 08.04.2022</v>
      </c>
      <c r="D12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2" t="str">
        <f ca="1">IFERROR(__xludf.DUMMYFUNCTION("""COMPUTED_VALUE"""),"Новый")</f>
        <v>Новый</v>
      </c>
      <c r="G1282" s="68"/>
      <c r="K1282" s="68"/>
    </row>
    <row r="1283" spans="1:11" ht="12.75">
      <c r="A1283" s="69">
        <f ca="1">IFERROR(__xludf.DUMMYFUNCTION("""COMPUTED_VALUE"""),94023)</f>
        <v>94023</v>
      </c>
      <c r="B1283" s="4">
        <f ca="1">IFERROR(__xludf.DUMMYFUNCTION("""COMPUTED_VALUE"""),44664)</f>
        <v>44664</v>
      </c>
      <c r="C1283" t="str">
        <f ca="1">IFERROR(__xludf.DUMMYFUNCTION("""COMPUTED_VALUE"""),"ООО ""УК НА РАБКОРОВСКОЙ"" 144-РДО от 08.04.2022")</f>
        <v>ООО "УК НА РАБКОРОВСКОЙ" 144-РДО от 08.04.2022</v>
      </c>
      <c r="D12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3" t="str">
        <f ca="1">IFERROR(__xludf.DUMMYFUNCTION("""COMPUTED_VALUE"""),"Новый")</f>
        <v>Новый</v>
      </c>
      <c r="G1283" s="68"/>
      <c r="K1283" s="68"/>
    </row>
    <row r="1284" spans="1:11" ht="12.75">
      <c r="A1284" s="69">
        <f ca="1">IFERROR(__xludf.DUMMYFUNCTION("""COMPUTED_VALUE"""),94025)</f>
        <v>94025</v>
      </c>
      <c r="B1284" s="4">
        <f ca="1">IFERROR(__xludf.DUMMYFUNCTION("""COMPUTED_VALUE"""),44664)</f>
        <v>44664</v>
      </c>
      <c r="C128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84" t="str">
        <f ca="1">IFERROR(__xludf.DUMMYFUNCTION("""COMPUTED_VALUE"""),"Новый")</f>
        <v>Новый</v>
      </c>
      <c r="G1284" s="68"/>
      <c r="K1284" s="68"/>
    </row>
    <row r="1285" spans="1:11" ht="12.75">
      <c r="A1285" s="69">
        <f ca="1">IFERROR(__xludf.DUMMYFUNCTION("""COMPUTED_VALUE"""),94044)</f>
        <v>94044</v>
      </c>
      <c r="B1285" s="4">
        <f ca="1">IFERROR(__xludf.DUMMYFUNCTION("""COMPUTED_VALUE"""),44664)</f>
        <v>44664</v>
      </c>
      <c r="C1285" t="str">
        <f ca="1">IFERROR(__xludf.DUMMYFUNCTION("""COMPUTED_VALUE""")," ООО ""ГРАДСТРОЙ"" 117-СТР от 01.03.2022")</f>
        <v xml:space="preserve"> ООО "ГРАДСТРОЙ" 117-СТР от 01.03.2022</v>
      </c>
      <c r="D12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85" t="str">
        <f ca="1">IFERROR(__xludf.DUMMYFUNCTION("""COMPUTED_VALUE"""),"Новый")</f>
        <v>Новый</v>
      </c>
      <c r="G1285" s="68"/>
      <c r="K1285" s="68"/>
    </row>
    <row r="1286" spans="1:11" ht="12.75">
      <c r="A1286" s="69">
        <f ca="1">IFERROR(__xludf.DUMMYFUNCTION("""COMPUTED_VALUE"""),94045)</f>
        <v>94045</v>
      </c>
      <c r="B1286" s="4">
        <f ca="1">IFERROR(__xludf.DUMMYFUNCTION("""COMPUTED_VALUE"""),44664)</f>
        <v>44664</v>
      </c>
      <c r="C1286" t="str">
        <f ca="1">IFERROR(__xludf.DUMMYFUNCTION("""COMPUTED_VALUE""")," ООО ""ГРАДСТРОЙ"" 117-СТР от 01.03.2022")</f>
        <v xml:space="preserve"> ООО "ГРАДСТРОЙ" 117-СТР от 01.03.2022</v>
      </c>
      <c r="D12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86" t="str">
        <f ca="1">IFERROR(__xludf.DUMMYFUNCTION("""COMPUTED_VALUE"""),"Новый")</f>
        <v>Новый</v>
      </c>
      <c r="G1286" s="68"/>
      <c r="K1286" s="68"/>
    </row>
    <row r="1287" spans="1:11" ht="12.75">
      <c r="A1287" s="69">
        <f ca="1">IFERROR(__xludf.DUMMYFUNCTION("""COMPUTED_VALUE"""),94047)</f>
        <v>94047</v>
      </c>
      <c r="B1287" s="4">
        <f ca="1">IFERROR(__xludf.DUMMYFUNCTION("""COMPUTED_VALUE"""),44664)</f>
        <v>44664</v>
      </c>
      <c r="C1287" t="str">
        <f ca="1">IFERROR(__xludf.DUMMYFUNCTION("""COMPUTED_VALUE""")," ООО ""ГРАДСТРОЙ"" 117-СТР от 01.03.2022")</f>
        <v xml:space="preserve"> ООО "ГРАДСТРОЙ" 117-СТР от 01.03.2022</v>
      </c>
      <c r="D12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87" t="str">
        <f ca="1">IFERROR(__xludf.DUMMYFUNCTION("""COMPUTED_VALUE"""),"Новый")</f>
        <v>Новый</v>
      </c>
      <c r="G1287" s="68"/>
      <c r="K1287" s="68"/>
    </row>
    <row r="1288" spans="1:11" ht="12.75">
      <c r="A1288" s="69">
        <f ca="1">IFERROR(__xludf.DUMMYFUNCTION("""COMPUTED_VALUE"""),94048)</f>
        <v>94048</v>
      </c>
      <c r="B1288" s="4">
        <f ca="1">IFERROR(__xludf.DUMMYFUNCTION("""COMPUTED_VALUE"""),44664)</f>
        <v>44664</v>
      </c>
      <c r="C1288" t="str">
        <f ca="1">IFERROR(__xludf.DUMMYFUNCTION("""COMPUTED_VALUE""")," ООО ""ГРАДСТРОЙ"" 117-СТР от 01.03.2022")</f>
        <v xml:space="preserve"> ООО "ГРАДСТРОЙ" 117-СТР от 01.03.2022</v>
      </c>
      <c r="D12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88" t="str">
        <f ca="1">IFERROR(__xludf.DUMMYFUNCTION("""COMPUTED_VALUE"""),"Новый")</f>
        <v>Новый</v>
      </c>
      <c r="G1288" s="68"/>
      <c r="K1288" s="68"/>
    </row>
    <row r="1289" spans="1:11" ht="12.75">
      <c r="A1289" s="69">
        <f ca="1">IFERROR(__xludf.DUMMYFUNCTION("""COMPUTED_VALUE"""),94050)</f>
        <v>94050</v>
      </c>
      <c r="B1289" s="4">
        <f ca="1">IFERROR(__xludf.DUMMYFUNCTION("""COMPUTED_VALUE"""),44664)</f>
        <v>44664</v>
      </c>
      <c r="C1289" t="str">
        <f ca="1">IFERROR(__xludf.DUMMYFUNCTION("""COMPUTED_VALUE""")," ООО ""ГРАДСТРОЙ"" 117-СТР от 01.03.2022")</f>
        <v xml:space="preserve"> ООО "ГРАДСТРОЙ" 117-СТР от 01.03.2022</v>
      </c>
      <c r="D12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289" t="str">
        <f ca="1">IFERROR(__xludf.DUMMYFUNCTION("""COMPUTED_VALUE"""),"Новый")</f>
        <v>Новый</v>
      </c>
      <c r="G1289" s="68"/>
      <c r="K1289" s="68"/>
    </row>
    <row r="1290" spans="1:11" ht="12.75">
      <c r="A1290" s="69">
        <f ca="1">IFERROR(__xludf.DUMMYFUNCTION("""COMPUTED_VALUE"""),94064)</f>
        <v>94064</v>
      </c>
      <c r="B1290" s="4">
        <f ca="1">IFERROR(__xludf.DUMMYFUNCTION("""COMPUTED_VALUE"""),44664)</f>
        <v>44664</v>
      </c>
      <c r="C129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0" t="str">
        <f ca="1">IFERROR(__xludf.DUMMYFUNCTION("""COMPUTED_VALUE"""),"Новый")</f>
        <v>Новый</v>
      </c>
      <c r="G1290" s="68"/>
      <c r="K1290" s="68"/>
    </row>
    <row r="1291" spans="1:11" ht="12.75">
      <c r="A1291" s="69">
        <f ca="1">IFERROR(__xludf.DUMMYFUNCTION("""COMPUTED_VALUE"""),94065)</f>
        <v>94065</v>
      </c>
      <c r="B1291" s="4">
        <f ca="1">IFERROR(__xludf.DUMMYFUNCTION("""COMPUTED_VALUE"""),44664)</f>
        <v>44664</v>
      </c>
      <c r="C129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1" t="str">
        <f ca="1">IFERROR(__xludf.DUMMYFUNCTION("""COMPUTED_VALUE"""),"Новый")</f>
        <v>Новый</v>
      </c>
      <c r="G1291" s="68"/>
      <c r="K1291" s="68"/>
    </row>
    <row r="1292" spans="1:11" ht="12.75">
      <c r="A1292" s="69">
        <f ca="1">IFERROR(__xludf.DUMMYFUNCTION("""COMPUTED_VALUE"""),94066)</f>
        <v>94066</v>
      </c>
      <c r="B1292" s="4">
        <f ca="1">IFERROR(__xludf.DUMMYFUNCTION("""COMPUTED_VALUE"""),44664)</f>
        <v>44664</v>
      </c>
      <c r="C129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2" t="str">
        <f ca="1">IFERROR(__xludf.DUMMYFUNCTION("""COMPUTED_VALUE"""),"Новый")</f>
        <v>Новый</v>
      </c>
      <c r="G1292" s="68"/>
      <c r="K1292" s="68"/>
    </row>
    <row r="1293" spans="1:11" ht="12.75">
      <c r="A1293" s="69">
        <f ca="1">IFERROR(__xludf.DUMMYFUNCTION("""COMPUTED_VALUE"""),94067)</f>
        <v>94067</v>
      </c>
      <c r="B1293" s="4">
        <f ca="1">IFERROR(__xludf.DUMMYFUNCTION("""COMPUTED_VALUE"""),44664)</f>
        <v>44664</v>
      </c>
      <c r="C129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3" t="str">
        <f ca="1">IFERROR(__xludf.DUMMYFUNCTION("""COMPUTED_VALUE"""),"Новый")</f>
        <v>Новый</v>
      </c>
      <c r="G1293" s="68"/>
      <c r="K1293" s="68"/>
    </row>
    <row r="1294" spans="1:11" ht="12.75">
      <c r="A1294" s="69">
        <f ca="1">IFERROR(__xludf.DUMMYFUNCTION("""COMPUTED_VALUE"""),94068)</f>
        <v>94068</v>
      </c>
      <c r="B1294" s="4">
        <f ca="1">IFERROR(__xludf.DUMMYFUNCTION("""COMPUTED_VALUE"""),44664)</f>
        <v>44664</v>
      </c>
      <c r="C129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4" t="str">
        <f ca="1">IFERROR(__xludf.DUMMYFUNCTION("""COMPUTED_VALUE"""),"Новый")</f>
        <v>Новый</v>
      </c>
      <c r="G1294" s="68"/>
      <c r="K1294" s="68"/>
    </row>
    <row r="1295" spans="1:11" ht="12.75">
      <c r="A1295" s="69">
        <f ca="1">IFERROR(__xludf.DUMMYFUNCTION("""COMPUTED_VALUE"""),94069)</f>
        <v>94069</v>
      </c>
      <c r="B1295" s="4">
        <f ca="1">IFERROR(__xludf.DUMMYFUNCTION("""COMPUTED_VALUE"""),44664)</f>
        <v>44664</v>
      </c>
      <c r="C129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5" t="str">
        <f ca="1">IFERROR(__xludf.DUMMYFUNCTION("""COMPUTED_VALUE"""),"Новый")</f>
        <v>Новый</v>
      </c>
      <c r="G1295" s="68"/>
      <c r="K1295" s="68"/>
    </row>
    <row r="1296" spans="1:11" ht="12.75">
      <c r="A1296" s="69">
        <f ca="1">IFERROR(__xludf.DUMMYFUNCTION("""COMPUTED_VALUE"""),94070)</f>
        <v>94070</v>
      </c>
      <c r="B1296" s="4">
        <f ca="1">IFERROR(__xludf.DUMMYFUNCTION("""COMPUTED_VALUE"""),44664)</f>
        <v>44664</v>
      </c>
      <c r="C129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6" t="str">
        <f ca="1">IFERROR(__xludf.DUMMYFUNCTION("""COMPUTED_VALUE"""),"Новый")</f>
        <v>Новый</v>
      </c>
      <c r="G1296" s="68"/>
      <c r="K1296" s="68"/>
    </row>
    <row r="1297" spans="1:11" ht="12.75">
      <c r="A1297" s="69">
        <f ca="1">IFERROR(__xludf.DUMMYFUNCTION("""COMPUTED_VALUE"""),94071)</f>
        <v>94071</v>
      </c>
      <c r="B1297" s="4">
        <f ca="1">IFERROR(__xludf.DUMMYFUNCTION("""COMPUTED_VALUE"""),44664)</f>
        <v>44664</v>
      </c>
      <c r="C129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7" t="str">
        <f ca="1">IFERROR(__xludf.DUMMYFUNCTION("""COMPUTED_VALUE"""),"Новый")</f>
        <v>Новый</v>
      </c>
      <c r="G1297" s="68"/>
      <c r="K1297" s="68"/>
    </row>
    <row r="1298" spans="1:11" ht="12.75">
      <c r="A1298" s="69">
        <f ca="1">IFERROR(__xludf.DUMMYFUNCTION("""COMPUTED_VALUE"""),94072)</f>
        <v>94072</v>
      </c>
      <c r="B1298" s="4">
        <f ca="1">IFERROR(__xludf.DUMMYFUNCTION("""COMPUTED_VALUE"""),44664)</f>
        <v>44664</v>
      </c>
      <c r="C129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8" t="str">
        <f ca="1">IFERROR(__xludf.DUMMYFUNCTION("""COMPUTED_VALUE"""),"Новый")</f>
        <v>Новый</v>
      </c>
      <c r="G1298" s="68"/>
      <c r="K1298" s="68"/>
    </row>
    <row r="1299" spans="1:11" ht="12.75">
      <c r="A1299" s="69">
        <f ca="1">IFERROR(__xludf.DUMMYFUNCTION("""COMPUTED_VALUE"""),94073)</f>
        <v>94073</v>
      </c>
      <c r="B1299" s="4">
        <f ca="1">IFERROR(__xludf.DUMMYFUNCTION("""COMPUTED_VALUE"""),44664)</f>
        <v>44664</v>
      </c>
      <c r="C129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12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299" t="str">
        <f ca="1">IFERROR(__xludf.DUMMYFUNCTION("""COMPUTED_VALUE"""),"Новый")</f>
        <v>Новый</v>
      </c>
      <c r="G1299" s="68"/>
      <c r="K1299" s="68"/>
    </row>
    <row r="1300" spans="1:11" ht="12.75">
      <c r="A1300" s="69">
        <f ca="1">IFERROR(__xludf.DUMMYFUNCTION("""COMPUTED_VALUE"""),94075)</f>
        <v>94075</v>
      </c>
      <c r="B1300" s="4">
        <f ca="1">IFERROR(__xludf.DUMMYFUNCTION("""COMPUTED_VALUE"""),44664)</f>
        <v>44664</v>
      </c>
      <c r="C1300" t="str">
        <f ca="1">IFERROR(__xludf.DUMMYFUNCTION("""COMPUTED_VALUE"""),"АО ""Омскгоргаз""")</f>
        <v>АО "Омскгоргаз"</v>
      </c>
      <c r="D13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0" t="str">
        <f ca="1">IFERROR(__xludf.DUMMYFUNCTION("""COMPUTED_VALUE"""),"Новый")</f>
        <v>Новый</v>
      </c>
      <c r="G1300" s="68"/>
      <c r="K1300" s="68"/>
    </row>
    <row r="1301" spans="1:11" ht="12.75">
      <c r="A1301" s="69">
        <f ca="1">IFERROR(__xludf.DUMMYFUNCTION("""COMPUTED_VALUE"""),94082)</f>
        <v>94082</v>
      </c>
      <c r="B1301" s="4">
        <f ca="1">IFERROR(__xludf.DUMMYFUNCTION("""COMPUTED_VALUE"""),44664)</f>
        <v>44664</v>
      </c>
      <c r="C1301" t="str">
        <f ca="1">IFERROR(__xludf.DUMMYFUNCTION("""COMPUTED_VALUE"""),"АО ""Омскгоргаз""")</f>
        <v>АО "Омскгоргаз"</v>
      </c>
      <c r="D13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1" t="str">
        <f ca="1">IFERROR(__xludf.DUMMYFUNCTION("""COMPUTED_VALUE"""),"Новый")</f>
        <v>Новый</v>
      </c>
      <c r="G1301" s="68"/>
      <c r="K1301" s="68"/>
    </row>
    <row r="1302" spans="1:11" ht="12.75">
      <c r="A1302" s="69">
        <f ca="1">IFERROR(__xludf.DUMMYFUNCTION("""COMPUTED_VALUE"""),94128)</f>
        <v>94128</v>
      </c>
      <c r="B1302" s="4">
        <f ca="1">IFERROR(__xludf.DUMMYFUNCTION("""COMPUTED_VALUE"""),44665)</f>
        <v>44665</v>
      </c>
      <c r="C1302" t="str">
        <f ca="1">IFERROR(__xludf.DUMMYFUNCTION("""COMPUTED_VALUE"""),"ЗАО ""УК ""ЛЕВОБЕРЕЖЬЕ"" 147-РДО от 13.04.2022")</f>
        <v>ЗАО "УК "ЛЕВОБЕРЕЖЬЕ" 147-РДО от 13.04.2022</v>
      </c>
      <c r="D13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2" t="str">
        <f ca="1">IFERROR(__xludf.DUMMYFUNCTION("""COMPUTED_VALUE"""),"Новый")</f>
        <v>Новый</v>
      </c>
      <c r="G1302" s="68"/>
      <c r="K1302" s="68"/>
    </row>
    <row r="1303" spans="1:11" ht="12.75">
      <c r="A1303" s="69">
        <f ca="1">IFERROR(__xludf.DUMMYFUNCTION("""COMPUTED_VALUE"""),94129)</f>
        <v>94129</v>
      </c>
      <c r="B1303" s="4">
        <f ca="1">IFERROR(__xludf.DUMMYFUNCTION("""COMPUTED_VALUE"""),44665)</f>
        <v>44665</v>
      </c>
      <c r="C1303" t="str">
        <f ca="1">IFERROR(__xludf.DUMMYFUNCTION("""COMPUTED_VALUE"""),"ЗАО ""УК ""ЛЕВОБЕРЕЖЬЕ"" 147-РДО от 13.04.2022")</f>
        <v>ЗАО "УК "ЛЕВОБЕРЕЖЬЕ" 147-РДО от 13.04.2022</v>
      </c>
      <c r="D13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3" t="str">
        <f ca="1">IFERROR(__xludf.DUMMYFUNCTION("""COMPUTED_VALUE"""),"Новый")</f>
        <v>Новый</v>
      </c>
      <c r="G1303" s="68"/>
      <c r="K1303" s="68"/>
    </row>
    <row r="1304" spans="1:11" ht="12.75">
      <c r="A1304" s="69">
        <f ca="1">IFERROR(__xludf.DUMMYFUNCTION("""COMPUTED_VALUE"""),94154)</f>
        <v>94154</v>
      </c>
      <c r="B1304" s="4">
        <f ca="1">IFERROR(__xludf.DUMMYFUNCTION("""COMPUTED_VALUE"""),44665)</f>
        <v>44665</v>
      </c>
      <c r="C1304" t="str">
        <f ca="1">IFERROR(__xludf.DUMMYFUNCTION("""COMPUTED_VALUE"""),"БУЗОО ""СДР"" 129-РДО от 15.01.2022")</f>
        <v>БУЗОО "СДР" 129-РДО от 15.01.2022</v>
      </c>
      <c r="D13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4" t="str">
        <f ca="1">IFERROR(__xludf.DUMMYFUNCTION("""COMPUTED_VALUE"""),"Новый")</f>
        <v>Новый</v>
      </c>
      <c r="G1304" s="68"/>
      <c r="K1304" s="68"/>
    </row>
    <row r="1305" spans="1:11" ht="12.75">
      <c r="A1305" s="69">
        <f ca="1">IFERROR(__xludf.DUMMYFUNCTION("""COMPUTED_VALUE"""),94155)</f>
        <v>94155</v>
      </c>
      <c r="B1305" s="4">
        <f ca="1">IFERROR(__xludf.DUMMYFUNCTION("""COMPUTED_VALUE"""),44665)</f>
        <v>44665</v>
      </c>
      <c r="C1305" t="str">
        <f ca="1">IFERROR(__xludf.DUMMYFUNCTION("""COMPUTED_VALUE"""),"БУЗОО ""СДР"" 129-РДО от 15.01.2022")</f>
        <v>БУЗОО "СДР" 129-РДО от 15.01.2022</v>
      </c>
      <c r="D13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5" t="str">
        <f ca="1">IFERROR(__xludf.DUMMYFUNCTION("""COMPUTED_VALUE"""),"Новый")</f>
        <v>Новый</v>
      </c>
      <c r="G1305" s="68"/>
      <c r="K1305" s="68"/>
    </row>
    <row r="1306" spans="1:11" ht="12.75">
      <c r="A1306" s="69">
        <f ca="1">IFERROR(__xludf.DUMMYFUNCTION("""COMPUTED_VALUE"""),94156)</f>
        <v>94156</v>
      </c>
      <c r="B1306" s="4">
        <f ca="1">IFERROR(__xludf.DUMMYFUNCTION("""COMPUTED_VALUE"""),44665)</f>
        <v>44665</v>
      </c>
      <c r="C1306" t="str">
        <f ca="1">IFERROR(__xludf.DUMMYFUNCTION("""COMPUTED_VALUE"""),"БУЗОО ""СДР"" 129-РДО от 15.01.2022")</f>
        <v>БУЗОО "СДР" 129-РДО от 15.01.2022</v>
      </c>
      <c r="D13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6" t="str">
        <f ca="1">IFERROR(__xludf.DUMMYFUNCTION("""COMPUTED_VALUE"""),"Новый")</f>
        <v>Новый</v>
      </c>
      <c r="G1306" s="68"/>
      <c r="K1306" s="68"/>
    </row>
    <row r="1307" spans="1:11" ht="12.75">
      <c r="A1307" s="69">
        <f ca="1">IFERROR(__xludf.DUMMYFUNCTION("""COMPUTED_VALUE"""),94157)</f>
        <v>94157</v>
      </c>
      <c r="B1307" s="4">
        <f ca="1">IFERROR(__xludf.DUMMYFUNCTION("""COMPUTED_VALUE"""),44665)</f>
        <v>44665</v>
      </c>
      <c r="C1307" t="str">
        <f ca="1">IFERROR(__xludf.DUMMYFUNCTION("""COMPUTED_VALUE"""),"БУЗОО ""СДР"" 129-РДО от 15.01.2022")</f>
        <v>БУЗОО "СДР" 129-РДО от 15.01.2022</v>
      </c>
      <c r="D13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7" t="str">
        <f ca="1">IFERROR(__xludf.DUMMYFUNCTION("""COMPUTED_VALUE"""),"Новый")</f>
        <v>Новый</v>
      </c>
      <c r="G1307" s="68"/>
      <c r="K1307" s="68"/>
    </row>
    <row r="1308" spans="1:11" ht="12.75">
      <c r="A1308" s="69">
        <f ca="1">IFERROR(__xludf.DUMMYFUNCTION("""COMPUTED_VALUE"""),94158)</f>
        <v>94158</v>
      </c>
      <c r="B1308" s="4">
        <f ca="1">IFERROR(__xludf.DUMMYFUNCTION("""COMPUTED_VALUE"""),44665)</f>
        <v>44665</v>
      </c>
      <c r="C1308" t="str">
        <f ca="1">IFERROR(__xludf.DUMMYFUNCTION("""COMPUTED_VALUE"""),"БУЗОО ""СДР"" 129-РДО от 15.01.2022")</f>
        <v>БУЗОО "СДР" 129-РДО от 15.01.2022</v>
      </c>
      <c r="D13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8" t="str">
        <f ca="1">IFERROR(__xludf.DUMMYFUNCTION("""COMPUTED_VALUE"""),"Новый")</f>
        <v>Новый</v>
      </c>
      <c r="G1308" s="68"/>
      <c r="K1308" s="68"/>
    </row>
    <row r="1309" spans="1:11" ht="12.75">
      <c r="A1309" s="69">
        <f ca="1">IFERROR(__xludf.DUMMYFUNCTION("""COMPUTED_VALUE"""),94159)</f>
        <v>94159</v>
      </c>
      <c r="B1309" s="4">
        <f ca="1">IFERROR(__xludf.DUMMYFUNCTION("""COMPUTED_VALUE"""),44665)</f>
        <v>44665</v>
      </c>
      <c r="C1309" t="str">
        <f ca="1">IFERROR(__xludf.DUMMYFUNCTION("""COMPUTED_VALUE"""),"БУЗОО ""СДР"" 129-РДО от 15.01.2022")</f>
        <v>БУЗОО "СДР" 129-РДО от 15.01.2022</v>
      </c>
      <c r="D13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09" t="str">
        <f ca="1">IFERROR(__xludf.DUMMYFUNCTION("""COMPUTED_VALUE"""),"Новый")</f>
        <v>Новый</v>
      </c>
      <c r="G1309" s="68"/>
      <c r="K1309" s="68"/>
    </row>
    <row r="1310" spans="1:11" ht="12.75">
      <c r="A1310" s="69">
        <f ca="1">IFERROR(__xludf.DUMMYFUNCTION("""COMPUTED_VALUE"""),94160)</f>
        <v>94160</v>
      </c>
      <c r="B1310" s="4">
        <f ca="1">IFERROR(__xludf.DUMMYFUNCTION("""COMPUTED_VALUE"""),44665)</f>
        <v>44665</v>
      </c>
      <c r="C1310" t="str">
        <f ca="1">IFERROR(__xludf.DUMMYFUNCTION("""COMPUTED_VALUE"""),"БУЗОО ""СДР"" 129-РДО от 15.01.2022")</f>
        <v>БУЗОО "СДР" 129-РДО от 15.01.2022</v>
      </c>
      <c r="D13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0" t="str">
        <f ca="1">IFERROR(__xludf.DUMMYFUNCTION("""COMPUTED_VALUE"""),"Новый")</f>
        <v>Новый</v>
      </c>
      <c r="G1310" s="68"/>
      <c r="K1310" s="68"/>
    </row>
    <row r="1311" spans="1:11" ht="12.75">
      <c r="A1311" s="69">
        <f ca="1">IFERROR(__xludf.DUMMYFUNCTION("""COMPUTED_VALUE"""),94161)</f>
        <v>94161</v>
      </c>
      <c r="B1311" s="4">
        <f ca="1">IFERROR(__xludf.DUMMYFUNCTION("""COMPUTED_VALUE"""),44665)</f>
        <v>44665</v>
      </c>
      <c r="C1311" t="str">
        <f ca="1">IFERROR(__xludf.DUMMYFUNCTION("""COMPUTED_VALUE"""),"БУЗОО ""СДР"" 129-РДО от 15.01.2022")</f>
        <v>БУЗОО "СДР" 129-РДО от 15.01.2022</v>
      </c>
      <c r="D13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1" t="str">
        <f ca="1">IFERROR(__xludf.DUMMYFUNCTION("""COMPUTED_VALUE"""),"Новый")</f>
        <v>Новый</v>
      </c>
      <c r="G1311" s="68"/>
      <c r="K1311" s="68"/>
    </row>
    <row r="1312" spans="1:11" ht="12.75">
      <c r="A1312" s="69">
        <f ca="1">IFERROR(__xludf.DUMMYFUNCTION("""COMPUTED_VALUE"""),94162)</f>
        <v>94162</v>
      </c>
      <c r="B1312" s="4">
        <f ca="1">IFERROR(__xludf.DUMMYFUNCTION("""COMPUTED_VALUE"""),44665)</f>
        <v>44665</v>
      </c>
      <c r="C1312" t="str">
        <f ca="1">IFERROR(__xludf.DUMMYFUNCTION("""COMPUTED_VALUE"""),"БУЗОО ""СДР"" 129-РДО от 15.01.2022")</f>
        <v>БУЗОО "СДР" 129-РДО от 15.01.2022</v>
      </c>
      <c r="D13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2" t="str">
        <f ca="1">IFERROR(__xludf.DUMMYFUNCTION("""COMPUTED_VALUE"""),"Новый")</f>
        <v>Новый</v>
      </c>
      <c r="G1312" s="68"/>
      <c r="K1312" s="68"/>
    </row>
    <row r="1313" spans="1:11" ht="12.75">
      <c r="A1313" s="69">
        <f ca="1">IFERROR(__xludf.DUMMYFUNCTION("""COMPUTED_VALUE"""),94163)</f>
        <v>94163</v>
      </c>
      <c r="B1313" s="4">
        <f ca="1">IFERROR(__xludf.DUMMYFUNCTION("""COMPUTED_VALUE"""),44665)</f>
        <v>44665</v>
      </c>
      <c r="C1313" t="str">
        <f ca="1">IFERROR(__xludf.DUMMYFUNCTION("""COMPUTED_VALUE"""),"БУЗОО ""СДР"" 129-РДО от 15.01.2022")</f>
        <v>БУЗОО "СДР" 129-РДО от 15.01.2022</v>
      </c>
      <c r="D13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3" t="str">
        <f ca="1">IFERROR(__xludf.DUMMYFUNCTION("""COMPUTED_VALUE"""),"Новый")</f>
        <v>Новый</v>
      </c>
      <c r="G1313" s="68"/>
      <c r="K1313" s="68"/>
    </row>
    <row r="1314" spans="1:11" ht="12.75">
      <c r="A1314" s="69">
        <f ca="1">IFERROR(__xludf.DUMMYFUNCTION("""COMPUTED_VALUE"""),94164)</f>
        <v>94164</v>
      </c>
      <c r="B1314" s="4">
        <f ca="1">IFERROR(__xludf.DUMMYFUNCTION("""COMPUTED_VALUE"""),44665)</f>
        <v>44665</v>
      </c>
      <c r="C1314" t="str">
        <f ca="1">IFERROR(__xludf.DUMMYFUNCTION("""COMPUTED_VALUE"""),"БУЗОО ""СДР"" 129-РДО от 15.01.2022")</f>
        <v>БУЗОО "СДР" 129-РДО от 15.01.2022</v>
      </c>
      <c r="D13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4" t="str">
        <f ca="1">IFERROR(__xludf.DUMMYFUNCTION("""COMPUTED_VALUE"""),"Новый")</f>
        <v>Новый</v>
      </c>
      <c r="G1314" s="68"/>
      <c r="K1314" s="68"/>
    </row>
    <row r="1315" spans="1:11" ht="12.75">
      <c r="A1315" s="69">
        <f ca="1">IFERROR(__xludf.DUMMYFUNCTION("""COMPUTED_VALUE"""),94170)</f>
        <v>94170</v>
      </c>
      <c r="B1315" s="4">
        <f ca="1">IFERROR(__xludf.DUMMYFUNCTION("""COMPUTED_VALUE"""),44665)</f>
        <v>44665</v>
      </c>
      <c r="C1315" t="str">
        <f ca="1">IFERROR(__xludf.DUMMYFUNCTION("""COMPUTED_VALUE"""),"БУЗОО ""СДР"" 129-РДО от 15.01.2022")</f>
        <v>БУЗОО "СДР" 129-РДО от 15.01.2022</v>
      </c>
      <c r="D13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5" t="str">
        <f ca="1">IFERROR(__xludf.DUMMYFUNCTION("""COMPUTED_VALUE"""),"Новый")</f>
        <v>Новый</v>
      </c>
      <c r="G1315" s="68"/>
      <c r="K1315" s="68"/>
    </row>
    <row r="1316" spans="1:11" ht="12.75">
      <c r="A1316" s="69">
        <f ca="1">IFERROR(__xludf.DUMMYFUNCTION("""COMPUTED_VALUE"""),94171)</f>
        <v>94171</v>
      </c>
      <c r="B1316" s="4">
        <f ca="1">IFERROR(__xludf.DUMMYFUNCTION("""COMPUTED_VALUE"""),44665)</f>
        <v>44665</v>
      </c>
      <c r="C1316" t="str">
        <f ca="1">IFERROR(__xludf.DUMMYFUNCTION("""COMPUTED_VALUE"""),"БУЗОО ""СДР"" 129-РДО от 15.01.2022")</f>
        <v>БУЗОО "СДР" 129-РДО от 15.01.2022</v>
      </c>
      <c r="D13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16" t="str">
        <f ca="1">IFERROR(__xludf.DUMMYFUNCTION("""COMPUTED_VALUE"""),"Новый")</f>
        <v>Новый</v>
      </c>
      <c r="G1316" s="68"/>
      <c r="K1316" s="68"/>
    </row>
    <row r="1317" spans="1:11" ht="12.75">
      <c r="A1317" s="69">
        <f ca="1">IFERROR(__xludf.DUMMYFUNCTION("""COMPUTED_VALUE"""),94256)</f>
        <v>94256</v>
      </c>
      <c r="B1317" s="4">
        <f ca="1">IFERROR(__xludf.DUMMYFUNCTION("""COMPUTED_VALUE"""),44666)</f>
        <v>44666</v>
      </c>
      <c r="C1317" t="str">
        <f ca="1">IFERROR(__xludf.DUMMYFUNCTION("""COMPUTED_VALUE"""),"УДХБ БУ Г. ОМСКА 114-СТР от 01.01.2022")</f>
        <v>УДХБ БУ Г. ОМСКА 114-СТР от 01.01.2022</v>
      </c>
      <c r="D13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17" t="str">
        <f ca="1">IFERROR(__xludf.DUMMYFUNCTION("""COMPUTED_VALUE"""),"Новый")</f>
        <v>Новый</v>
      </c>
      <c r="G1317" s="68"/>
      <c r="K1317" s="68"/>
    </row>
    <row r="1318" spans="1:11" ht="12.75">
      <c r="A1318" s="69">
        <f ca="1">IFERROR(__xludf.DUMMYFUNCTION("""COMPUTED_VALUE"""),94271)</f>
        <v>94271</v>
      </c>
      <c r="B1318" s="4">
        <f ca="1">IFERROR(__xludf.DUMMYFUNCTION("""COMPUTED_VALUE"""),44666)</f>
        <v>44666</v>
      </c>
      <c r="C1318" t="str">
        <f ca="1">IFERROR(__xludf.DUMMYFUNCTION("""COMPUTED_VALUE"""),"УДХБ БУ Г. ОМСКА 114-СТР от 01.01.2022")</f>
        <v>УДХБ БУ Г. ОМСКА 114-СТР от 01.01.2022</v>
      </c>
      <c r="D13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18" t="str">
        <f ca="1">IFERROR(__xludf.DUMMYFUNCTION("""COMPUTED_VALUE"""),"Новый")</f>
        <v>Новый</v>
      </c>
      <c r="G1318" s="68"/>
      <c r="K1318" s="68"/>
    </row>
    <row r="1319" spans="1:11" ht="12.75">
      <c r="A1319" s="69">
        <f ca="1">IFERROR(__xludf.DUMMYFUNCTION("""COMPUTED_VALUE"""),94275)</f>
        <v>94275</v>
      </c>
      <c r="B1319" s="4">
        <f ca="1">IFERROR(__xludf.DUMMYFUNCTION("""COMPUTED_VALUE"""),44666)</f>
        <v>44666</v>
      </c>
      <c r="C1319" t="str">
        <f ca="1">IFERROR(__xludf.DUMMYFUNCTION("""COMPUTED_VALUE"""),"УДХБ БУ Г. ОМСКА 114-СТР от 01.01.2022")</f>
        <v>УДХБ БУ Г. ОМСКА 114-СТР от 01.01.2022</v>
      </c>
      <c r="D13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19" t="str">
        <f ca="1">IFERROR(__xludf.DUMMYFUNCTION("""COMPUTED_VALUE"""),"Новый")</f>
        <v>Новый</v>
      </c>
      <c r="G1319" s="68"/>
      <c r="K1319" s="68"/>
    </row>
    <row r="1320" spans="1:11" ht="12.75">
      <c r="A1320" s="69">
        <f ca="1">IFERROR(__xludf.DUMMYFUNCTION("""COMPUTED_VALUE"""),94281)</f>
        <v>94281</v>
      </c>
      <c r="B1320" s="4">
        <f ca="1">IFERROR(__xludf.DUMMYFUNCTION("""COMPUTED_VALUE"""),44666)</f>
        <v>44666</v>
      </c>
      <c r="C1320" t="str">
        <f ca="1">IFERROR(__xludf.DUMMYFUNCTION("""COMPUTED_VALUE"""),"УДХБ БУ Г. ОМСКА 114-СТР от 01.01.2022")</f>
        <v>УДХБ БУ Г. ОМСКА 114-СТР от 01.01.2022</v>
      </c>
      <c r="D13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0" t="str">
        <f ca="1">IFERROR(__xludf.DUMMYFUNCTION("""COMPUTED_VALUE"""),"Новый")</f>
        <v>Новый</v>
      </c>
      <c r="G1320" s="68"/>
      <c r="K1320" s="68"/>
    </row>
    <row r="1321" spans="1:11" ht="12.75">
      <c r="A1321" s="69">
        <f ca="1">IFERROR(__xludf.DUMMYFUNCTION("""COMPUTED_VALUE"""),94289)</f>
        <v>94289</v>
      </c>
      <c r="B1321" s="4">
        <f ca="1">IFERROR(__xludf.DUMMYFUNCTION("""COMPUTED_VALUE"""),44666)</f>
        <v>44666</v>
      </c>
      <c r="C1321" t="str">
        <f ca="1">IFERROR(__xludf.DUMMYFUNCTION("""COMPUTED_VALUE"""),"СДР БУЗОО 114-РДО от 26.11.2021")</f>
        <v>СДР БУЗОО 114-РДО от 26.11.2021</v>
      </c>
      <c r="D13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1" t="str">
        <f ca="1">IFERROR(__xludf.DUMMYFUNCTION("""COMPUTED_VALUE"""),"Новый")</f>
        <v>Новый</v>
      </c>
      <c r="G1321" s="68"/>
      <c r="K1321" s="68"/>
    </row>
    <row r="1322" spans="1:11" ht="12.75">
      <c r="A1322" s="69">
        <f ca="1">IFERROR(__xludf.DUMMYFUNCTION("""COMPUTED_VALUE"""),94290)</f>
        <v>94290</v>
      </c>
      <c r="B1322" s="4">
        <f ca="1">IFERROR(__xludf.DUMMYFUNCTION("""COMPUTED_VALUE"""),44666)</f>
        <v>44666</v>
      </c>
      <c r="C1322" t="str">
        <f ca="1">IFERROR(__xludf.DUMMYFUNCTION("""COMPUTED_VALUE"""),"СДР БУЗОО 114-РДО от 26.11.2021")</f>
        <v>СДР БУЗОО 114-РДО от 26.11.2021</v>
      </c>
      <c r="D13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2" t="str">
        <f ca="1">IFERROR(__xludf.DUMMYFUNCTION("""COMPUTED_VALUE"""),"Новый")</f>
        <v>Новый</v>
      </c>
      <c r="G1322" s="68"/>
      <c r="K1322" s="68"/>
    </row>
    <row r="1323" spans="1:11" ht="12.75">
      <c r="A1323" s="69">
        <f ca="1">IFERROR(__xludf.DUMMYFUNCTION("""COMPUTED_VALUE"""),94291)</f>
        <v>94291</v>
      </c>
      <c r="B1323" s="4">
        <f ca="1">IFERROR(__xludf.DUMMYFUNCTION("""COMPUTED_VALUE"""),44666)</f>
        <v>44666</v>
      </c>
      <c r="C1323" t="str">
        <f ca="1">IFERROR(__xludf.DUMMYFUNCTION("""COMPUTED_VALUE"""),"СДР БУЗОО 114-РДО от 26.11.2021")</f>
        <v>СДР БУЗОО 114-РДО от 26.11.2021</v>
      </c>
      <c r="D13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3" t="str">
        <f ca="1">IFERROR(__xludf.DUMMYFUNCTION("""COMPUTED_VALUE"""),"Новый")</f>
        <v>Новый</v>
      </c>
      <c r="G1323" s="68"/>
      <c r="K1323" s="68"/>
    </row>
    <row r="1324" spans="1:11" ht="12.75">
      <c r="A1324" s="69">
        <f ca="1">IFERROR(__xludf.DUMMYFUNCTION("""COMPUTED_VALUE"""),94292)</f>
        <v>94292</v>
      </c>
      <c r="B1324" s="4">
        <f ca="1">IFERROR(__xludf.DUMMYFUNCTION("""COMPUTED_VALUE"""),44666)</f>
        <v>44666</v>
      </c>
      <c r="C1324" t="str">
        <f ca="1">IFERROR(__xludf.DUMMYFUNCTION("""COMPUTED_VALUE"""),"СДР БУЗОО 114-РДО от 26.11.2021")</f>
        <v>СДР БУЗОО 114-РДО от 26.11.2021</v>
      </c>
      <c r="D13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4" t="str">
        <f ca="1">IFERROR(__xludf.DUMMYFUNCTION("""COMPUTED_VALUE"""),"Новый")</f>
        <v>Новый</v>
      </c>
      <c r="G1324" s="68"/>
      <c r="K1324" s="68"/>
    </row>
    <row r="1325" spans="1:11" ht="12.75">
      <c r="A1325" s="69">
        <f ca="1">IFERROR(__xludf.DUMMYFUNCTION("""COMPUTED_VALUE"""),94293)</f>
        <v>94293</v>
      </c>
      <c r="B1325" s="4">
        <f ca="1">IFERROR(__xludf.DUMMYFUNCTION("""COMPUTED_VALUE"""),44666)</f>
        <v>44666</v>
      </c>
      <c r="C1325" t="str">
        <f ca="1">IFERROR(__xludf.DUMMYFUNCTION("""COMPUTED_VALUE"""),"СДР БУЗОО 114-РДО от 26.11.2021")</f>
        <v>СДР БУЗОО 114-РДО от 26.11.2021</v>
      </c>
      <c r="D13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5" t="str">
        <f ca="1">IFERROR(__xludf.DUMMYFUNCTION("""COMPUTED_VALUE"""),"Новый")</f>
        <v>Новый</v>
      </c>
      <c r="G1325" s="68"/>
      <c r="K1325" s="68"/>
    </row>
    <row r="1326" spans="1:11" ht="12.75">
      <c r="A1326" s="69">
        <f ca="1">IFERROR(__xludf.DUMMYFUNCTION("""COMPUTED_VALUE"""),94294)</f>
        <v>94294</v>
      </c>
      <c r="B1326" s="4">
        <f ca="1">IFERROR(__xludf.DUMMYFUNCTION("""COMPUTED_VALUE"""),44666)</f>
        <v>44666</v>
      </c>
      <c r="C1326" t="str">
        <f ca="1">IFERROR(__xludf.DUMMYFUNCTION("""COMPUTED_VALUE"""),"СДР БУЗОО 114-РДО от 26.11.2021")</f>
        <v>СДР БУЗОО 114-РДО от 26.11.2021</v>
      </c>
      <c r="D13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6" t="str">
        <f ca="1">IFERROR(__xludf.DUMMYFUNCTION("""COMPUTED_VALUE"""),"Новый")</f>
        <v>Новый</v>
      </c>
      <c r="G1326" s="68"/>
      <c r="K1326" s="68"/>
    </row>
    <row r="1327" spans="1:11" ht="12.75">
      <c r="A1327" s="69">
        <f ca="1">IFERROR(__xludf.DUMMYFUNCTION("""COMPUTED_VALUE"""),94295)</f>
        <v>94295</v>
      </c>
      <c r="B1327" s="4">
        <f ca="1">IFERROR(__xludf.DUMMYFUNCTION("""COMPUTED_VALUE"""),44666)</f>
        <v>44666</v>
      </c>
      <c r="C1327" t="str">
        <f ca="1">IFERROR(__xludf.DUMMYFUNCTION("""COMPUTED_VALUE"""),"СДР БУЗОО 114-РДО от 26.11.2021")</f>
        <v>СДР БУЗОО 114-РДО от 26.11.2021</v>
      </c>
      <c r="D13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7" t="str">
        <f ca="1">IFERROR(__xludf.DUMMYFUNCTION("""COMPUTED_VALUE"""),"Новый")</f>
        <v>Новый</v>
      </c>
      <c r="G1327" s="68"/>
      <c r="K1327" s="68"/>
    </row>
    <row r="1328" spans="1:11" ht="12.75">
      <c r="A1328" s="69">
        <f ca="1">IFERROR(__xludf.DUMMYFUNCTION("""COMPUTED_VALUE"""),94296)</f>
        <v>94296</v>
      </c>
      <c r="B1328" s="4">
        <f ca="1">IFERROR(__xludf.DUMMYFUNCTION("""COMPUTED_VALUE"""),44666)</f>
        <v>44666</v>
      </c>
      <c r="C1328" t="str">
        <f ca="1">IFERROR(__xludf.DUMMYFUNCTION("""COMPUTED_VALUE"""),"СДР БУЗОО 114-РДО от 26.11.2021")</f>
        <v>СДР БУЗОО 114-РДО от 26.11.2021</v>
      </c>
      <c r="D13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8" t="str">
        <f ca="1">IFERROR(__xludf.DUMMYFUNCTION("""COMPUTED_VALUE"""),"Новый")</f>
        <v>Новый</v>
      </c>
      <c r="G1328" s="68"/>
      <c r="K1328" s="68"/>
    </row>
    <row r="1329" spans="1:11" ht="12.75">
      <c r="A1329" s="69">
        <f ca="1">IFERROR(__xludf.DUMMYFUNCTION("""COMPUTED_VALUE"""),94297)</f>
        <v>94297</v>
      </c>
      <c r="B1329" s="4">
        <f ca="1">IFERROR(__xludf.DUMMYFUNCTION("""COMPUTED_VALUE"""),44666)</f>
        <v>44666</v>
      </c>
      <c r="C1329" t="str">
        <f ca="1">IFERROR(__xludf.DUMMYFUNCTION("""COMPUTED_VALUE"""),"СДР БУЗОО 114-РДО от 26.11.2021")</f>
        <v>СДР БУЗОО 114-РДО от 26.11.2021</v>
      </c>
      <c r="D13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29" t="str">
        <f ca="1">IFERROR(__xludf.DUMMYFUNCTION("""COMPUTED_VALUE"""),"Новый")</f>
        <v>Новый</v>
      </c>
      <c r="G1329" s="68"/>
      <c r="K1329" s="68"/>
    </row>
    <row r="1330" spans="1:11" ht="12.75">
      <c r="A1330" s="69">
        <f ca="1">IFERROR(__xludf.DUMMYFUNCTION("""COMPUTED_VALUE"""),94298)</f>
        <v>94298</v>
      </c>
      <c r="B1330" s="4">
        <f ca="1">IFERROR(__xludf.DUMMYFUNCTION("""COMPUTED_VALUE"""),44666)</f>
        <v>44666</v>
      </c>
      <c r="C1330" t="str">
        <f ca="1">IFERROR(__xludf.DUMMYFUNCTION("""COMPUTED_VALUE"""),"СДР БУЗОО 114-РДО от 26.11.2021")</f>
        <v>СДР БУЗОО 114-РДО от 26.11.2021</v>
      </c>
      <c r="D13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0" t="str">
        <f ca="1">IFERROR(__xludf.DUMMYFUNCTION("""COMPUTED_VALUE"""),"Новый")</f>
        <v>Новый</v>
      </c>
      <c r="G1330" s="68"/>
      <c r="K1330" s="68"/>
    </row>
    <row r="1331" spans="1:11" ht="12.75">
      <c r="A1331" s="69">
        <f ca="1">IFERROR(__xludf.DUMMYFUNCTION("""COMPUTED_VALUE"""),94299)</f>
        <v>94299</v>
      </c>
      <c r="B1331" s="4">
        <f ca="1">IFERROR(__xludf.DUMMYFUNCTION("""COMPUTED_VALUE"""),44666)</f>
        <v>44666</v>
      </c>
      <c r="C1331" t="str">
        <f ca="1">IFERROR(__xludf.DUMMYFUNCTION("""COMPUTED_VALUE"""),"СДР БУЗОО 114-РДО от 26.11.2021")</f>
        <v>СДР БУЗОО 114-РДО от 26.11.2021</v>
      </c>
      <c r="D13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1" t="str">
        <f ca="1">IFERROR(__xludf.DUMMYFUNCTION("""COMPUTED_VALUE"""),"Новый")</f>
        <v>Новый</v>
      </c>
      <c r="G1331" s="68"/>
      <c r="K1331" s="68"/>
    </row>
    <row r="1332" spans="1:11" ht="12.75">
      <c r="A1332" s="69">
        <f ca="1">IFERROR(__xludf.DUMMYFUNCTION("""COMPUTED_VALUE"""),94300)</f>
        <v>94300</v>
      </c>
      <c r="B1332" s="4">
        <f ca="1">IFERROR(__xludf.DUMMYFUNCTION("""COMPUTED_VALUE"""),44666)</f>
        <v>44666</v>
      </c>
      <c r="C1332" t="str">
        <f ca="1">IFERROR(__xludf.DUMMYFUNCTION("""COMPUTED_VALUE"""),"СДР БУЗОО 114-РДО от 26.11.2021")</f>
        <v>СДР БУЗОО 114-РДО от 26.11.2021</v>
      </c>
      <c r="D13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2" t="str">
        <f ca="1">IFERROR(__xludf.DUMMYFUNCTION("""COMPUTED_VALUE"""),"Новый")</f>
        <v>Новый</v>
      </c>
      <c r="G1332" s="68"/>
      <c r="K1332" s="68"/>
    </row>
    <row r="1333" spans="1:11" ht="12.75">
      <c r="A1333" s="69">
        <f ca="1">IFERROR(__xludf.DUMMYFUNCTION("""COMPUTED_VALUE"""),94301)</f>
        <v>94301</v>
      </c>
      <c r="B1333" s="4">
        <f ca="1">IFERROR(__xludf.DUMMYFUNCTION("""COMPUTED_VALUE"""),44666)</f>
        <v>44666</v>
      </c>
      <c r="C1333" t="str">
        <f ca="1">IFERROR(__xludf.DUMMYFUNCTION("""COMPUTED_VALUE"""),"СДР БУЗОО 114-РДО от 26.11.2021")</f>
        <v>СДР БУЗОО 114-РДО от 26.11.2021</v>
      </c>
      <c r="D13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3" t="str">
        <f ca="1">IFERROR(__xludf.DUMMYFUNCTION("""COMPUTED_VALUE"""),"Новый")</f>
        <v>Новый</v>
      </c>
      <c r="G1333" s="68"/>
      <c r="K1333" s="68"/>
    </row>
    <row r="1334" spans="1:11" ht="12.75">
      <c r="A1334" s="69">
        <f ca="1">IFERROR(__xludf.DUMMYFUNCTION("""COMPUTED_VALUE"""),94302)</f>
        <v>94302</v>
      </c>
      <c r="B1334" s="4">
        <f ca="1">IFERROR(__xludf.DUMMYFUNCTION("""COMPUTED_VALUE"""),44666)</f>
        <v>44666</v>
      </c>
      <c r="C1334" t="str">
        <f ca="1">IFERROR(__xludf.DUMMYFUNCTION("""COMPUTED_VALUE"""),"СДР БУЗОО 114-РДО от 26.11.2021")</f>
        <v>СДР БУЗОО 114-РДО от 26.11.2021</v>
      </c>
      <c r="D13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4" t="str">
        <f ca="1">IFERROR(__xludf.DUMMYFUNCTION("""COMPUTED_VALUE"""),"Новый")</f>
        <v>Новый</v>
      </c>
      <c r="G1334" s="68"/>
      <c r="K1334" s="68"/>
    </row>
    <row r="1335" spans="1:11" ht="12.75">
      <c r="A1335" s="69">
        <f ca="1">IFERROR(__xludf.DUMMYFUNCTION("""COMPUTED_VALUE"""),94303)</f>
        <v>94303</v>
      </c>
      <c r="B1335" s="4">
        <f ca="1">IFERROR(__xludf.DUMMYFUNCTION("""COMPUTED_VALUE"""),44666)</f>
        <v>44666</v>
      </c>
      <c r="C1335" t="str">
        <f ca="1">IFERROR(__xludf.DUMMYFUNCTION("""COMPUTED_VALUE"""),"СДР БУЗОО 114-РДО от 26.11.2021")</f>
        <v>СДР БУЗОО 114-РДО от 26.11.2021</v>
      </c>
      <c r="D13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5" t="str">
        <f ca="1">IFERROR(__xludf.DUMMYFUNCTION("""COMPUTED_VALUE"""),"Новый")</f>
        <v>Новый</v>
      </c>
      <c r="G1335" s="68"/>
      <c r="K1335" s="68"/>
    </row>
    <row r="1336" spans="1:11" ht="12.75">
      <c r="A1336" s="69">
        <f ca="1">IFERROR(__xludf.DUMMYFUNCTION("""COMPUTED_VALUE"""),94304)</f>
        <v>94304</v>
      </c>
      <c r="B1336" s="4">
        <f ca="1">IFERROR(__xludf.DUMMYFUNCTION("""COMPUTED_VALUE"""),44666)</f>
        <v>44666</v>
      </c>
      <c r="C1336" t="str">
        <f ca="1">IFERROR(__xludf.DUMMYFUNCTION("""COMPUTED_VALUE"""),"СДР БУЗОО 114-РДО от 26.11.2021")</f>
        <v>СДР БУЗОО 114-РДО от 26.11.2021</v>
      </c>
      <c r="D13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6" t="str">
        <f ca="1">IFERROR(__xludf.DUMMYFUNCTION("""COMPUTED_VALUE"""),"Новый")</f>
        <v>Новый</v>
      </c>
      <c r="G1336" s="68"/>
      <c r="K1336" s="68"/>
    </row>
    <row r="1337" spans="1:11" ht="12.75">
      <c r="A1337" s="69">
        <f ca="1">IFERROR(__xludf.DUMMYFUNCTION("""COMPUTED_VALUE"""),94305)</f>
        <v>94305</v>
      </c>
      <c r="B1337" s="4">
        <f ca="1">IFERROR(__xludf.DUMMYFUNCTION("""COMPUTED_VALUE"""),44666)</f>
        <v>44666</v>
      </c>
      <c r="C1337" t="str">
        <f ca="1">IFERROR(__xludf.DUMMYFUNCTION("""COMPUTED_VALUE"""),"СДР БУЗОО 114-РДО от 26.11.2021")</f>
        <v>СДР БУЗОО 114-РДО от 26.11.2021</v>
      </c>
      <c r="D13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7" t="str">
        <f ca="1">IFERROR(__xludf.DUMMYFUNCTION("""COMPUTED_VALUE"""),"Новый")</f>
        <v>Новый</v>
      </c>
      <c r="G1337" s="68"/>
      <c r="K1337" s="68"/>
    </row>
    <row r="1338" spans="1:11" ht="12.75">
      <c r="A1338" s="69">
        <f ca="1">IFERROR(__xludf.DUMMYFUNCTION("""COMPUTED_VALUE"""),94306)</f>
        <v>94306</v>
      </c>
      <c r="B1338" s="4">
        <f ca="1">IFERROR(__xludf.DUMMYFUNCTION("""COMPUTED_VALUE"""),44666)</f>
        <v>44666</v>
      </c>
      <c r="C1338" t="str">
        <f ca="1">IFERROR(__xludf.DUMMYFUNCTION("""COMPUTED_VALUE"""),"СДР БУЗОО 114-РДО от 26.11.2021")</f>
        <v>СДР БУЗОО 114-РДО от 26.11.2021</v>
      </c>
      <c r="D13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8" t="str">
        <f ca="1">IFERROR(__xludf.DUMMYFUNCTION("""COMPUTED_VALUE"""),"Новый")</f>
        <v>Новый</v>
      </c>
      <c r="G1338" s="68"/>
      <c r="K1338" s="68"/>
    </row>
    <row r="1339" spans="1:11" ht="12.75">
      <c r="A1339" s="69">
        <f ca="1">IFERROR(__xludf.DUMMYFUNCTION("""COMPUTED_VALUE"""),94307)</f>
        <v>94307</v>
      </c>
      <c r="B1339" s="4">
        <f ca="1">IFERROR(__xludf.DUMMYFUNCTION("""COMPUTED_VALUE"""),44666)</f>
        <v>44666</v>
      </c>
      <c r="C1339" t="str">
        <f ca="1">IFERROR(__xludf.DUMMYFUNCTION("""COMPUTED_VALUE"""),"СДР БУЗОО 114-РДО от 26.11.2021")</f>
        <v>СДР БУЗОО 114-РДО от 26.11.2021</v>
      </c>
      <c r="D13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39" t="str">
        <f ca="1">IFERROR(__xludf.DUMMYFUNCTION("""COMPUTED_VALUE"""),"Новый")</f>
        <v>Новый</v>
      </c>
      <c r="G1339" s="68"/>
      <c r="K1339" s="68"/>
    </row>
    <row r="1340" spans="1:11" ht="12.75">
      <c r="A1340" s="69">
        <f ca="1">IFERROR(__xludf.DUMMYFUNCTION("""COMPUTED_VALUE"""),94308)</f>
        <v>94308</v>
      </c>
      <c r="B1340" s="4">
        <f ca="1">IFERROR(__xludf.DUMMYFUNCTION("""COMPUTED_VALUE"""),44666)</f>
        <v>44666</v>
      </c>
      <c r="C1340" t="str">
        <f ca="1">IFERROR(__xludf.DUMMYFUNCTION("""COMPUTED_VALUE"""),"СДР БУЗОО 114-РДО от 26.11.2021")</f>
        <v>СДР БУЗОО 114-РДО от 26.11.2021</v>
      </c>
      <c r="D13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0" t="str">
        <f ca="1">IFERROR(__xludf.DUMMYFUNCTION("""COMPUTED_VALUE"""),"Новый")</f>
        <v>Новый</v>
      </c>
      <c r="G1340" s="68"/>
      <c r="K1340" s="68"/>
    </row>
    <row r="1341" spans="1:11" ht="12.75">
      <c r="A1341" s="69">
        <f ca="1">IFERROR(__xludf.DUMMYFUNCTION("""COMPUTED_VALUE"""),94349)</f>
        <v>94349</v>
      </c>
      <c r="B1341" s="4">
        <f ca="1">IFERROR(__xludf.DUMMYFUNCTION("""COMPUTED_VALUE"""),44666)</f>
        <v>44666</v>
      </c>
      <c r="C1341" t="str">
        <f ca="1">IFERROR(__xludf.DUMMYFUNCTION("""COMPUTED_VALUE"""),"УДХБ БУ Г. ОМСКА 114-СТР от 01.01.2022")</f>
        <v>УДХБ БУ Г. ОМСКА 114-СТР от 01.01.2022</v>
      </c>
      <c r="D13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1" t="str">
        <f ca="1">IFERROR(__xludf.DUMMYFUNCTION("""COMPUTED_VALUE"""),"Новый")</f>
        <v>Новый</v>
      </c>
      <c r="G1341" s="68"/>
      <c r="K1341" s="68"/>
    </row>
    <row r="1342" spans="1:11" ht="12.75">
      <c r="A1342" s="69">
        <f ca="1">IFERROR(__xludf.DUMMYFUNCTION("""COMPUTED_VALUE"""),94350)</f>
        <v>94350</v>
      </c>
      <c r="B1342" s="4">
        <f ca="1">IFERROR(__xludf.DUMMYFUNCTION("""COMPUTED_VALUE"""),44666)</f>
        <v>44666</v>
      </c>
      <c r="C1342" t="str">
        <f ca="1">IFERROR(__xludf.DUMMYFUNCTION("""COMPUTED_VALUE"""),"УДХБ БУ Г. ОМСКА 114-СТР от 01.01.2022")</f>
        <v>УДХБ БУ Г. ОМСКА 114-СТР от 01.01.2022</v>
      </c>
      <c r="D13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2" t="str">
        <f ca="1">IFERROR(__xludf.DUMMYFUNCTION("""COMPUTED_VALUE"""),"Новый")</f>
        <v>Новый</v>
      </c>
      <c r="G1342" s="68"/>
      <c r="K1342" s="68"/>
    </row>
    <row r="1343" spans="1:11" ht="12.75">
      <c r="A1343" s="69">
        <f ca="1">IFERROR(__xludf.DUMMYFUNCTION("""COMPUTED_VALUE"""),94351)</f>
        <v>94351</v>
      </c>
      <c r="B1343" s="4">
        <f ca="1">IFERROR(__xludf.DUMMYFUNCTION("""COMPUTED_VALUE"""),44666)</f>
        <v>44666</v>
      </c>
      <c r="C1343" t="str">
        <f ca="1">IFERROR(__xludf.DUMMYFUNCTION("""COMPUTED_VALUE"""),"УДХБ БУ Г. ОМСКА 114-СТР от 01.01.2022")</f>
        <v>УДХБ БУ Г. ОМСКА 114-СТР от 01.01.2022</v>
      </c>
      <c r="D13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3" t="str">
        <f ca="1">IFERROR(__xludf.DUMMYFUNCTION("""COMPUTED_VALUE"""),"Новый")</f>
        <v>Новый</v>
      </c>
      <c r="G1343" s="68"/>
      <c r="K1343" s="68"/>
    </row>
    <row r="1344" spans="1:11" ht="12.75">
      <c r="A1344" s="69">
        <f ca="1">IFERROR(__xludf.DUMMYFUNCTION("""COMPUTED_VALUE"""),94352)</f>
        <v>94352</v>
      </c>
      <c r="B1344" s="4">
        <f ca="1">IFERROR(__xludf.DUMMYFUNCTION("""COMPUTED_VALUE"""),44666)</f>
        <v>44666</v>
      </c>
      <c r="C1344" t="str">
        <f ca="1">IFERROR(__xludf.DUMMYFUNCTION("""COMPUTED_VALUE"""),"УДХБ БУ Г. ОМСКА 114-СТР от 01.01.2022")</f>
        <v>УДХБ БУ Г. ОМСКА 114-СТР от 01.01.2022</v>
      </c>
      <c r="D13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4" t="str">
        <f ca="1">IFERROR(__xludf.DUMMYFUNCTION("""COMPUTED_VALUE"""),"Новый")</f>
        <v>Новый</v>
      </c>
      <c r="G1344" s="68"/>
      <c r="K1344" s="68"/>
    </row>
    <row r="1345" spans="1:11" ht="12.75">
      <c r="A1345" s="69">
        <f ca="1">IFERROR(__xludf.DUMMYFUNCTION("""COMPUTED_VALUE"""),94353)</f>
        <v>94353</v>
      </c>
      <c r="B1345" s="4">
        <f ca="1">IFERROR(__xludf.DUMMYFUNCTION("""COMPUTED_VALUE"""),44666)</f>
        <v>44666</v>
      </c>
      <c r="C1345" t="str">
        <f ca="1">IFERROR(__xludf.DUMMYFUNCTION("""COMPUTED_VALUE"""),"УДХБ БУ Г. ОМСКА 114-СТР от 01.01.2022")</f>
        <v>УДХБ БУ Г. ОМСКА 114-СТР от 01.01.2022</v>
      </c>
      <c r="D13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5" t="str">
        <f ca="1">IFERROR(__xludf.DUMMYFUNCTION("""COMPUTED_VALUE"""),"Новый")</f>
        <v>Новый</v>
      </c>
      <c r="G1345" s="68"/>
      <c r="K1345" s="68"/>
    </row>
    <row r="1346" spans="1:11" ht="12.75">
      <c r="A1346" s="69">
        <f ca="1">IFERROR(__xludf.DUMMYFUNCTION("""COMPUTED_VALUE"""),94354)</f>
        <v>94354</v>
      </c>
      <c r="B1346" s="4">
        <f ca="1">IFERROR(__xludf.DUMMYFUNCTION("""COMPUTED_VALUE"""),44666)</f>
        <v>44666</v>
      </c>
      <c r="C1346" t="str">
        <f ca="1">IFERROR(__xludf.DUMMYFUNCTION("""COMPUTED_VALUE"""),"УДХБ БУ Г. ОМСКА 114-СТР от 01.01.2022")</f>
        <v>УДХБ БУ Г. ОМСКА 114-СТР от 01.01.2022</v>
      </c>
      <c r="D13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6" t="str">
        <f ca="1">IFERROR(__xludf.DUMMYFUNCTION("""COMPUTED_VALUE"""),"Новый")</f>
        <v>Новый</v>
      </c>
      <c r="G1346" s="68"/>
      <c r="K1346" s="68"/>
    </row>
    <row r="1347" spans="1:11" ht="12.75">
      <c r="A1347" s="69">
        <f ca="1">IFERROR(__xludf.DUMMYFUNCTION("""COMPUTED_VALUE"""),94355)</f>
        <v>94355</v>
      </c>
      <c r="B1347" s="4">
        <f ca="1">IFERROR(__xludf.DUMMYFUNCTION("""COMPUTED_VALUE"""),44666)</f>
        <v>44666</v>
      </c>
      <c r="C1347" t="str">
        <f ca="1">IFERROR(__xludf.DUMMYFUNCTION("""COMPUTED_VALUE"""),"УДХБ БУ Г. ОМСКА 114-СТР от 01.01.2022")</f>
        <v>УДХБ БУ Г. ОМСКА 114-СТР от 01.01.2022</v>
      </c>
      <c r="D13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7" t="str">
        <f ca="1">IFERROR(__xludf.DUMMYFUNCTION("""COMPUTED_VALUE"""),"Новый")</f>
        <v>Новый</v>
      </c>
      <c r="G1347" s="68"/>
      <c r="K1347" s="68"/>
    </row>
    <row r="1348" spans="1:11" ht="12.75">
      <c r="A1348" s="69">
        <f ca="1">IFERROR(__xludf.DUMMYFUNCTION("""COMPUTED_VALUE"""),94356)</f>
        <v>94356</v>
      </c>
      <c r="B1348" s="4">
        <f ca="1">IFERROR(__xludf.DUMMYFUNCTION("""COMPUTED_VALUE"""),44666)</f>
        <v>44666</v>
      </c>
      <c r="C1348" t="str">
        <f ca="1">IFERROR(__xludf.DUMMYFUNCTION("""COMPUTED_VALUE"""),"УДХБ БУ Г. ОМСКА 114-СТР от 01.01.2022")</f>
        <v>УДХБ БУ Г. ОМСКА 114-СТР от 01.01.2022</v>
      </c>
      <c r="D13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8" t="str">
        <f ca="1">IFERROR(__xludf.DUMMYFUNCTION("""COMPUTED_VALUE"""),"Новый")</f>
        <v>Новый</v>
      </c>
      <c r="G1348" s="68"/>
      <c r="K1348" s="68"/>
    </row>
    <row r="1349" spans="1:11" ht="12.75">
      <c r="A1349" s="69">
        <f ca="1">IFERROR(__xludf.DUMMYFUNCTION("""COMPUTED_VALUE"""),94357)</f>
        <v>94357</v>
      </c>
      <c r="B1349" s="4">
        <f ca="1">IFERROR(__xludf.DUMMYFUNCTION("""COMPUTED_VALUE"""),44666)</f>
        <v>44666</v>
      </c>
      <c r="C1349" t="str">
        <f ca="1">IFERROR(__xludf.DUMMYFUNCTION("""COMPUTED_VALUE"""),"УДХБ БУ Г. ОМСКА 114-СТР от 01.01.2022")</f>
        <v>УДХБ БУ Г. ОМСКА 114-СТР от 01.01.2022</v>
      </c>
      <c r="D13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49" t="str">
        <f ca="1">IFERROR(__xludf.DUMMYFUNCTION("""COMPUTED_VALUE"""),"Новый")</f>
        <v>Новый</v>
      </c>
      <c r="G1349" s="68"/>
      <c r="K1349" s="68"/>
    </row>
    <row r="1350" spans="1:11" ht="12.75">
      <c r="A1350" s="69">
        <f ca="1">IFERROR(__xludf.DUMMYFUNCTION("""COMPUTED_VALUE"""),94358)</f>
        <v>94358</v>
      </c>
      <c r="B1350" s="70">
        <f ca="1">IFERROR(__xludf.DUMMYFUNCTION("""COMPUTED_VALUE"""),44666)</f>
        <v>44666</v>
      </c>
      <c r="C1350" t="str">
        <f ca="1">IFERROR(__xludf.DUMMYFUNCTION("""COMPUTED_VALUE"""),"УДХБ БУ Г. ОМСКА 114-СТР от 01.01.2022")</f>
        <v>УДХБ БУ Г. ОМСКА 114-СТР от 01.01.2022</v>
      </c>
      <c r="D13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0" t="str">
        <f ca="1">IFERROR(__xludf.DUMMYFUNCTION("""COMPUTED_VALUE"""),"Новый")</f>
        <v>Новый</v>
      </c>
      <c r="G1350" s="68"/>
      <c r="K1350" s="68"/>
    </row>
    <row r="1351" spans="1:11" ht="12.75">
      <c r="A1351" s="69">
        <f ca="1">IFERROR(__xludf.DUMMYFUNCTION("""COMPUTED_VALUE"""),94359)</f>
        <v>94359</v>
      </c>
      <c r="B1351" s="4">
        <f ca="1">IFERROR(__xludf.DUMMYFUNCTION("""COMPUTED_VALUE"""),44666)</f>
        <v>44666</v>
      </c>
      <c r="C1351" t="str">
        <f ca="1">IFERROR(__xludf.DUMMYFUNCTION("""COMPUTED_VALUE"""),"УДХБ БУ Г. ОМСКА 114-СТР от 01.01.2022")</f>
        <v>УДХБ БУ Г. ОМСКА 114-СТР от 01.01.2022</v>
      </c>
      <c r="D13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1" t="str">
        <f ca="1">IFERROR(__xludf.DUMMYFUNCTION("""COMPUTED_VALUE"""),"Новый")</f>
        <v>Новый</v>
      </c>
      <c r="G1351" s="68"/>
      <c r="K1351" s="68"/>
    </row>
    <row r="1352" spans="1:11" ht="12.75">
      <c r="A1352" s="69">
        <f ca="1">IFERROR(__xludf.DUMMYFUNCTION("""COMPUTED_VALUE"""),94360)</f>
        <v>94360</v>
      </c>
      <c r="B1352" s="4">
        <f ca="1">IFERROR(__xludf.DUMMYFUNCTION("""COMPUTED_VALUE"""),44666)</f>
        <v>44666</v>
      </c>
      <c r="C1352" t="str">
        <f ca="1">IFERROR(__xludf.DUMMYFUNCTION("""COMPUTED_VALUE"""),"УДХБ БУ Г. ОМСКА 114-СТР от 01.01.2022")</f>
        <v>УДХБ БУ Г. ОМСКА 114-СТР от 01.01.2022</v>
      </c>
      <c r="D13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2" t="str">
        <f ca="1">IFERROR(__xludf.DUMMYFUNCTION("""COMPUTED_VALUE"""),"Новый")</f>
        <v>Новый</v>
      </c>
      <c r="G1352" s="68"/>
      <c r="K1352" s="68"/>
    </row>
    <row r="1353" spans="1:11" ht="12.75">
      <c r="A1353" s="69">
        <f ca="1">IFERROR(__xludf.DUMMYFUNCTION("""COMPUTED_VALUE"""),94361)</f>
        <v>94361</v>
      </c>
      <c r="B1353" s="4">
        <f ca="1">IFERROR(__xludf.DUMMYFUNCTION("""COMPUTED_VALUE"""),44666)</f>
        <v>44666</v>
      </c>
      <c r="C1353" t="str">
        <f ca="1">IFERROR(__xludf.DUMMYFUNCTION("""COMPUTED_VALUE"""),"УДХБ БУ Г. ОМСКА 114-СТР от 01.01.2022")</f>
        <v>УДХБ БУ Г. ОМСКА 114-СТР от 01.01.2022</v>
      </c>
      <c r="D13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3" t="str">
        <f ca="1">IFERROR(__xludf.DUMMYFUNCTION("""COMPUTED_VALUE"""),"Новый")</f>
        <v>Новый</v>
      </c>
      <c r="G1353" s="68"/>
      <c r="K1353" s="68"/>
    </row>
    <row r="1354" spans="1:11" ht="12.75">
      <c r="A1354" s="69">
        <f ca="1">IFERROR(__xludf.DUMMYFUNCTION("""COMPUTED_VALUE"""),94362)</f>
        <v>94362</v>
      </c>
      <c r="B1354" s="4">
        <f ca="1">IFERROR(__xludf.DUMMYFUNCTION("""COMPUTED_VALUE"""),44666)</f>
        <v>44666</v>
      </c>
      <c r="C1354" t="str">
        <f ca="1">IFERROR(__xludf.DUMMYFUNCTION("""COMPUTED_VALUE"""),"УДХБ БУ Г. ОМСКА 114-СТР от 01.01.2022")</f>
        <v>УДХБ БУ Г. ОМСКА 114-СТР от 01.01.2022</v>
      </c>
      <c r="D13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4" t="str">
        <f ca="1">IFERROR(__xludf.DUMMYFUNCTION("""COMPUTED_VALUE"""),"Новый")</f>
        <v>Новый</v>
      </c>
      <c r="G1354" s="68"/>
      <c r="K1354" s="68"/>
    </row>
    <row r="1355" spans="1:11" ht="12.75">
      <c r="A1355" s="69">
        <f ca="1">IFERROR(__xludf.DUMMYFUNCTION("""COMPUTED_VALUE"""),94363)</f>
        <v>94363</v>
      </c>
      <c r="B1355" s="4">
        <f ca="1">IFERROR(__xludf.DUMMYFUNCTION("""COMPUTED_VALUE"""),44666)</f>
        <v>44666</v>
      </c>
      <c r="C1355" t="str">
        <f ca="1">IFERROR(__xludf.DUMMYFUNCTION("""COMPUTED_VALUE"""),"УДХБ БУ Г. ОМСКА 114-СТР от 01.01.2022")</f>
        <v>УДХБ БУ Г. ОМСКА 114-СТР от 01.01.2022</v>
      </c>
      <c r="D13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5" t="str">
        <f ca="1">IFERROR(__xludf.DUMMYFUNCTION("""COMPUTED_VALUE"""),"Новый")</f>
        <v>Новый</v>
      </c>
      <c r="G1355" s="68"/>
      <c r="K1355" s="68"/>
    </row>
    <row r="1356" spans="1:11" ht="12.75">
      <c r="A1356" s="69">
        <f ca="1">IFERROR(__xludf.DUMMYFUNCTION("""COMPUTED_VALUE"""),94364)</f>
        <v>94364</v>
      </c>
      <c r="B1356" s="4">
        <f ca="1">IFERROR(__xludf.DUMMYFUNCTION("""COMPUTED_VALUE"""),44666)</f>
        <v>44666</v>
      </c>
      <c r="C1356" t="str">
        <f ca="1">IFERROR(__xludf.DUMMYFUNCTION("""COMPUTED_VALUE"""),"УДХБ БУ Г. ОМСКА 114-СТР от 01.01.2022")</f>
        <v>УДХБ БУ Г. ОМСКА 114-СТР от 01.01.2022</v>
      </c>
      <c r="D13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6" t="str">
        <f ca="1">IFERROR(__xludf.DUMMYFUNCTION("""COMPUTED_VALUE"""),"Новый")</f>
        <v>Новый</v>
      </c>
      <c r="G1356" s="68"/>
      <c r="K1356" s="68"/>
    </row>
    <row r="1357" spans="1:11" ht="12.75">
      <c r="A1357" s="69">
        <f ca="1">IFERROR(__xludf.DUMMYFUNCTION("""COMPUTED_VALUE"""),94365)</f>
        <v>94365</v>
      </c>
      <c r="B1357" s="4">
        <f ca="1">IFERROR(__xludf.DUMMYFUNCTION("""COMPUTED_VALUE"""),44666)</f>
        <v>44666</v>
      </c>
      <c r="C1357" t="str">
        <f ca="1">IFERROR(__xludf.DUMMYFUNCTION("""COMPUTED_VALUE"""),"УДХБ БУ Г. ОМСКА 114-СТР от 01.01.2022")</f>
        <v>УДХБ БУ Г. ОМСКА 114-СТР от 01.01.2022</v>
      </c>
      <c r="D13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7" t="str">
        <f ca="1">IFERROR(__xludf.DUMMYFUNCTION("""COMPUTED_VALUE"""),"Новый")</f>
        <v>Новый</v>
      </c>
      <c r="G1357" s="68"/>
      <c r="K1357" s="68"/>
    </row>
    <row r="1358" spans="1:11" ht="12.75">
      <c r="A1358" s="69">
        <f ca="1">IFERROR(__xludf.DUMMYFUNCTION("""COMPUTED_VALUE"""),94366)</f>
        <v>94366</v>
      </c>
      <c r="B1358" s="4">
        <f ca="1">IFERROR(__xludf.DUMMYFUNCTION("""COMPUTED_VALUE"""),44666)</f>
        <v>44666</v>
      </c>
      <c r="C1358" t="str">
        <f ca="1">IFERROR(__xludf.DUMMYFUNCTION("""COMPUTED_VALUE"""),"УДХБ БУ Г. ОМСКА 114-СТР от 01.01.2022")</f>
        <v>УДХБ БУ Г. ОМСКА 114-СТР от 01.01.2022</v>
      </c>
      <c r="D13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8" t="str">
        <f ca="1">IFERROR(__xludf.DUMMYFUNCTION("""COMPUTED_VALUE"""),"Новый")</f>
        <v>Новый</v>
      </c>
      <c r="G1358" s="68"/>
      <c r="K1358" s="68"/>
    </row>
    <row r="1359" spans="1:11" ht="12.75">
      <c r="A1359" s="69">
        <f ca="1">IFERROR(__xludf.DUMMYFUNCTION("""COMPUTED_VALUE"""),94367)</f>
        <v>94367</v>
      </c>
      <c r="B1359" s="4">
        <f ca="1">IFERROR(__xludf.DUMMYFUNCTION("""COMPUTED_VALUE"""),44666)</f>
        <v>44666</v>
      </c>
      <c r="C1359" t="str">
        <f ca="1">IFERROR(__xludf.DUMMYFUNCTION("""COMPUTED_VALUE"""),"УДХБ БУ Г. ОМСКА 114-СТР от 01.01.2022")</f>
        <v>УДХБ БУ Г. ОМСКА 114-СТР от 01.01.2022</v>
      </c>
      <c r="D13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59" t="str">
        <f ca="1">IFERROR(__xludf.DUMMYFUNCTION("""COMPUTED_VALUE"""),"Новый")</f>
        <v>Новый</v>
      </c>
      <c r="G1359" s="68"/>
      <c r="K1359" s="68"/>
    </row>
    <row r="1360" spans="1:11" ht="12.75">
      <c r="A1360" s="69">
        <f ca="1">IFERROR(__xludf.DUMMYFUNCTION("""COMPUTED_VALUE"""),94368)</f>
        <v>94368</v>
      </c>
      <c r="B1360" s="4">
        <f ca="1">IFERROR(__xludf.DUMMYFUNCTION("""COMPUTED_VALUE"""),44666)</f>
        <v>44666</v>
      </c>
      <c r="C1360" t="str">
        <f ca="1">IFERROR(__xludf.DUMMYFUNCTION("""COMPUTED_VALUE"""),"УДХБ БУ Г. ОМСКА 114-СТР от 01.01.2022")</f>
        <v>УДХБ БУ Г. ОМСКА 114-СТР от 01.01.2022</v>
      </c>
      <c r="D13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360" t="str">
        <f ca="1">IFERROR(__xludf.DUMMYFUNCTION("""COMPUTED_VALUE"""),"Новый")</f>
        <v>Новый</v>
      </c>
      <c r="G1360" s="68"/>
      <c r="K1360" s="68"/>
    </row>
    <row r="1361" spans="1:11" ht="12.75">
      <c r="A1361" s="69">
        <f ca="1">IFERROR(__xludf.DUMMYFUNCTION("""COMPUTED_VALUE"""),94369)</f>
        <v>94369</v>
      </c>
      <c r="B1361" s="4">
        <f ca="1">IFERROR(__xludf.DUMMYFUNCTION("""COMPUTED_VALUE"""),44666)</f>
        <v>44666</v>
      </c>
      <c r="C1361" t="str">
        <f ca="1">IFERROR(__xludf.DUMMYFUNCTION("""COMPUTED_VALUE"""),"ООО ""ЛИКВИДАТОР"" 131-РДО от 14.04.2022")</f>
        <v>ООО "ЛИКВИДАТОР" 131-РДО от 14.04.2022</v>
      </c>
      <c r="D13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1" t="str">
        <f ca="1">IFERROR(__xludf.DUMMYFUNCTION("""COMPUTED_VALUE"""),"Новый")</f>
        <v>Новый</v>
      </c>
      <c r="G1361" s="68"/>
      <c r="K1361" s="68"/>
    </row>
    <row r="1362" spans="1:11" ht="12.75">
      <c r="A1362" s="69">
        <f ca="1">IFERROR(__xludf.DUMMYFUNCTION("""COMPUTED_VALUE"""),94370)</f>
        <v>94370</v>
      </c>
      <c r="B1362" s="4">
        <f ca="1">IFERROR(__xludf.DUMMYFUNCTION("""COMPUTED_VALUE"""),44666)</f>
        <v>44666</v>
      </c>
      <c r="C1362" t="str">
        <f ca="1">IFERROR(__xludf.DUMMYFUNCTION("""COMPUTED_VALUE"""),"ООО ""ЛИКВИДАТОР"" 131-РДО от 14.04.2022")</f>
        <v>ООО "ЛИКВИДАТОР" 131-РДО от 14.04.2022</v>
      </c>
      <c r="D13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2" t="str">
        <f ca="1">IFERROR(__xludf.DUMMYFUNCTION("""COMPUTED_VALUE"""),"Новый")</f>
        <v>Новый</v>
      </c>
      <c r="G1362" s="68"/>
      <c r="K1362" s="68"/>
    </row>
    <row r="1363" spans="1:11" ht="12.75">
      <c r="A1363" s="69">
        <f ca="1">IFERROR(__xludf.DUMMYFUNCTION("""COMPUTED_VALUE"""),94371)</f>
        <v>94371</v>
      </c>
      <c r="B1363" s="4">
        <f ca="1">IFERROR(__xludf.DUMMYFUNCTION("""COMPUTED_VALUE"""),44666)</f>
        <v>44666</v>
      </c>
      <c r="C1363" t="str">
        <f ca="1">IFERROR(__xludf.DUMMYFUNCTION("""COMPUTED_VALUE"""),"ООО ""ЛИКВИДАТОР"" 131-РДО от 14.04.2022")</f>
        <v>ООО "ЛИКВИДАТОР" 131-РДО от 14.04.2022</v>
      </c>
      <c r="D13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3" t="str">
        <f ca="1">IFERROR(__xludf.DUMMYFUNCTION("""COMPUTED_VALUE"""),"Новый")</f>
        <v>Новый</v>
      </c>
      <c r="G1363" s="68"/>
      <c r="K1363" s="68"/>
    </row>
    <row r="1364" spans="1:11" ht="12.75">
      <c r="A1364" s="69">
        <f ca="1">IFERROR(__xludf.DUMMYFUNCTION("""COMPUTED_VALUE"""),94372)</f>
        <v>94372</v>
      </c>
      <c r="B1364" s="4">
        <f ca="1">IFERROR(__xludf.DUMMYFUNCTION("""COMPUTED_VALUE"""),44666)</f>
        <v>44666</v>
      </c>
      <c r="C1364" t="str">
        <f ca="1">IFERROR(__xludf.DUMMYFUNCTION("""COMPUTED_VALUE"""),"ООО ""ЛИКВИДАТОР"" 131-РДО от 14.04.2022")</f>
        <v>ООО "ЛИКВИДАТОР" 131-РДО от 14.04.2022</v>
      </c>
      <c r="D13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4" t="str">
        <f ca="1">IFERROR(__xludf.DUMMYFUNCTION("""COMPUTED_VALUE"""),"Новый")</f>
        <v>Новый</v>
      </c>
      <c r="G1364" s="68"/>
      <c r="K1364" s="68"/>
    </row>
    <row r="1365" spans="1:11" ht="12.75">
      <c r="A1365" s="69">
        <f ca="1">IFERROR(__xludf.DUMMYFUNCTION("""COMPUTED_VALUE"""),94373)</f>
        <v>94373</v>
      </c>
      <c r="B1365" s="4">
        <f ca="1">IFERROR(__xludf.DUMMYFUNCTION("""COMPUTED_VALUE"""),44666)</f>
        <v>44666</v>
      </c>
      <c r="C1365" t="str">
        <f ca="1">IFERROR(__xludf.DUMMYFUNCTION("""COMPUTED_VALUE"""),"ООО ""ЛИКВИДАТОР"" 131-РДО от 14.04.2022")</f>
        <v>ООО "ЛИКВИДАТОР" 131-РДО от 14.04.2022</v>
      </c>
      <c r="D13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5" t="str">
        <f ca="1">IFERROR(__xludf.DUMMYFUNCTION("""COMPUTED_VALUE"""),"Новый")</f>
        <v>Новый</v>
      </c>
      <c r="G1365" s="68"/>
      <c r="K1365" s="68"/>
    </row>
    <row r="1366" spans="1:11" ht="12.75">
      <c r="A1366" s="69">
        <f ca="1">IFERROR(__xludf.DUMMYFUNCTION("""COMPUTED_VALUE"""),94374)</f>
        <v>94374</v>
      </c>
      <c r="B1366" s="4">
        <f ca="1">IFERROR(__xludf.DUMMYFUNCTION("""COMPUTED_VALUE"""),44666)</f>
        <v>44666</v>
      </c>
      <c r="C1366" t="str">
        <f ca="1">IFERROR(__xludf.DUMMYFUNCTION("""COMPUTED_VALUE"""),"ООО ""ЛИКВИДАТОР"" 131-РДО от 14.04.2022")</f>
        <v>ООО "ЛИКВИДАТОР" 131-РДО от 14.04.2022</v>
      </c>
      <c r="D13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6" t="str">
        <f ca="1">IFERROR(__xludf.DUMMYFUNCTION("""COMPUTED_VALUE"""),"Новый")</f>
        <v>Новый</v>
      </c>
      <c r="G1366" s="68"/>
      <c r="K1366" s="68"/>
    </row>
    <row r="1367" spans="1:11" ht="12.75">
      <c r="A1367" s="69">
        <f ca="1">IFERROR(__xludf.DUMMYFUNCTION("""COMPUTED_VALUE"""),94375)</f>
        <v>94375</v>
      </c>
      <c r="B1367" s="4">
        <f ca="1">IFERROR(__xludf.DUMMYFUNCTION("""COMPUTED_VALUE"""),44666)</f>
        <v>44666</v>
      </c>
      <c r="C1367" t="str">
        <f ca="1">IFERROR(__xludf.DUMMYFUNCTION("""COMPUTED_VALUE"""),"ООО ""ЛИКВИДАТОР"" 131-РДО от 14.04.2022")</f>
        <v>ООО "ЛИКВИДАТОР" 131-РДО от 14.04.2022</v>
      </c>
      <c r="D13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7" t="str">
        <f ca="1">IFERROR(__xludf.DUMMYFUNCTION("""COMPUTED_VALUE"""),"Новый")</f>
        <v>Новый</v>
      </c>
      <c r="G1367" s="68"/>
      <c r="K1367" s="68"/>
    </row>
    <row r="1368" spans="1:11" ht="12.75">
      <c r="A1368" s="69">
        <f ca="1">IFERROR(__xludf.DUMMYFUNCTION("""COMPUTED_VALUE"""),94376)</f>
        <v>94376</v>
      </c>
      <c r="B1368" s="4">
        <f ca="1">IFERROR(__xludf.DUMMYFUNCTION("""COMPUTED_VALUE"""),44666)</f>
        <v>44666</v>
      </c>
      <c r="C1368" t="str">
        <f ca="1">IFERROR(__xludf.DUMMYFUNCTION("""COMPUTED_VALUE"""),"ООО ""ЛИКВИДАТОР"" 131-РДО от 14.04.2022")</f>
        <v>ООО "ЛИКВИДАТОР" 131-РДО от 14.04.2022</v>
      </c>
      <c r="D13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8" t="str">
        <f ca="1">IFERROR(__xludf.DUMMYFUNCTION("""COMPUTED_VALUE"""),"Новый")</f>
        <v>Новый</v>
      </c>
      <c r="G1368" s="68"/>
      <c r="K1368" s="68"/>
    </row>
    <row r="1369" spans="1:11" ht="12.75">
      <c r="A1369" s="69">
        <f ca="1">IFERROR(__xludf.DUMMYFUNCTION("""COMPUTED_VALUE"""),94377)</f>
        <v>94377</v>
      </c>
      <c r="B1369" s="4">
        <f ca="1">IFERROR(__xludf.DUMMYFUNCTION("""COMPUTED_VALUE"""),44666)</f>
        <v>44666</v>
      </c>
      <c r="C1369" t="str">
        <f ca="1">IFERROR(__xludf.DUMMYFUNCTION("""COMPUTED_VALUE"""),"ООО ""ЛИКВИДАТОР"" 131-РДО от 14.04.2022")</f>
        <v>ООО "ЛИКВИДАТОР" 131-РДО от 14.04.2022</v>
      </c>
      <c r="D13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69" t="str">
        <f ca="1">IFERROR(__xludf.DUMMYFUNCTION("""COMPUTED_VALUE"""),"Новый")</f>
        <v>Новый</v>
      </c>
      <c r="G1369" s="68"/>
      <c r="K1369" s="68"/>
    </row>
    <row r="1370" spans="1:11" ht="12.75">
      <c r="A1370" s="69">
        <f ca="1">IFERROR(__xludf.DUMMYFUNCTION("""COMPUTED_VALUE"""),94378)</f>
        <v>94378</v>
      </c>
      <c r="B1370" s="4">
        <f ca="1">IFERROR(__xludf.DUMMYFUNCTION("""COMPUTED_VALUE"""),44666)</f>
        <v>44666</v>
      </c>
      <c r="C1370" t="str">
        <f ca="1">IFERROR(__xludf.DUMMYFUNCTION("""COMPUTED_VALUE"""),"ООО ""ЛИКВИДАТОР"" 131-РДО от 14.04.2022")</f>
        <v>ООО "ЛИКВИДАТОР" 131-РДО от 14.04.2022</v>
      </c>
      <c r="D13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0" t="str">
        <f ca="1">IFERROR(__xludf.DUMMYFUNCTION("""COMPUTED_VALUE"""),"Новый")</f>
        <v>Новый</v>
      </c>
      <c r="G1370" s="68"/>
      <c r="K1370" s="68"/>
    </row>
    <row r="1371" spans="1:11" ht="12.75">
      <c r="A1371" s="69">
        <f ca="1">IFERROR(__xludf.DUMMYFUNCTION("""COMPUTED_VALUE"""),94379)</f>
        <v>94379</v>
      </c>
      <c r="B1371" s="4">
        <f ca="1">IFERROR(__xludf.DUMMYFUNCTION("""COMPUTED_VALUE"""),44666)</f>
        <v>44666</v>
      </c>
      <c r="C1371" t="str">
        <f ca="1">IFERROR(__xludf.DUMMYFUNCTION("""COMPUTED_VALUE"""),"ООО ""ЛИКВИДАТОР"" 131-РДО от 14.04.2022")</f>
        <v>ООО "ЛИКВИДАТОР" 131-РДО от 14.04.2022</v>
      </c>
      <c r="D13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1" t="str">
        <f ca="1">IFERROR(__xludf.DUMMYFUNCTION("""COMPUTED_VALUE"""),"Новый")</f>
        <v>Новый</v>
      </c>
      <c r="G1371" s="68"/>
      <c r="K1371" s="68"/>
    </row>
    <row r="1372" spans="1:11" ht="12.75">
      <c r="A1372" s="69">
        <f ca="1">IFERROR(__xludf.DUMMYFUNCTION("""COMPUTED_VALUE"""),94380)</f>
        <v>94380</v>
      </c>
      <c r="B1372" s="4">
        <f ca="1">IFERROR(__xludf.DUMMYFUNCTION("""COMPUTED_VALUE"""),44666)</f>
        <v>44666</v>
      </c>
      <c r="C1372" t="str">
        <f ca="1">IFERROR(__xludf.DUMMYFUNCTION("""COMPUTED_VALUE"""),"ООО ""ЛИКВИДАТОР"" 131-РДО от 14.04.2022")</f>
        <v>ООО "ЛИКВИДАТОР" 131-РДО от 14.04.2022</v>
      </c>
      <c r="D13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2" t="str">
        <f ca="1">IFERROR(__xludf.DUMMYFUNCTION("""COMPUTED_VALUE"""),"Новый")</f>
        <v>Новый</v>
      </c>
      <c r="G1372" s="68"/>
      <c r="K1372" s="68"/>
    </row>
    <row r="1373" spans="1:11" ht="12.75">
      <c r="A1373" s="69">
        <f ca="1">IFERROR(__xludf.DUMMYFUNCTION("""COMPUTED_VALUE"""),94381)</f>
        <v>94381</v>
      </c>
      <c r="B1373" s="4">
        <f ca="1">IFERROR(__xludf.DUMMYFUNCTION("""COMPUTED_VALUE"""),44666)</f>
        <v>44666</v>
      </c>
      <c r="C1373" t="str">
        <f ca="1">IFERROR(__xludf.DUMMYFUNCTION("""COMPUTED_VALUE"""),"ООО ""ЛИКВИДАТОР"" 131-РДО от 14.04.2022")</f>
        <v>ООО "ЛИКВИДАТОР" 131-РДО от 14.04.2022</v>
      </c>
      <c r="D13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3" t="str">
        <f ca="1">IFERROR(__xludf.DUMMYFUNCTION("""COMPUTED_VALUE"""),"Новый")</f>
        <v>Новый</v>
      </c>
      <c r="G1373" s="68"/>
      <c r="K1373" s="68"/>
    </row>
    <row r="1374" spans="1:11" ht="12.75">
      <c r="A1374" s="69">
        <f ca="1">IFERROR(__xludf.DUMMYFUNCTION("""COMPUTED_VALUE"""),94382)</f>
        <v>94382</v>
      </c>
      <c r="B1374" s="4">
        <f ca="1">IFERROR(__xludf.DUMMYFUNCTION("""COMPUTED_VALUE"""),44666)</f>
        <v>44666</v>
      </c>
      <c r="C1374" t="str">
        <f ca="1">IFERROR(__xludf.DUMMYFUNCTION("""COMPUTED_VALUE"""),"ООО ""ЛИКВИДАТОР"" 131-РДО от 14.04.2022")</f>
        <v>ООО "ЛИКВИДАТОР" 131-РДО от 14.04.2022</v>
      </c>
      <c r="D13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4" t="str">
        <f ca="1">IFERROR(__xludf.DUMMYFUNCTION("""COMPUTED_VALUE"""),"Новый")</f>
        <v>Новый</v>
      </c>
      <c r="G1374" s="68"/>
      <c r="K1374" s="68"/>
    </row>
    <row r="1375" spans="1:11" ht="12.75">
      <c r="A1375" s="69">
        <f ca="1">IFERROR(__xludf.DUMMYFUNCTION("""COMPUTED_VALUE"""),94383)</f>
        <v>94383</v>
      </c>
      <c r="B1375" s="4">
        <f ca="1">IFERROR(__xludf.DUMMYFUNCTION("""COMPUTED_VALUE"""),44666)</f>
        <v>44666</v>
      </c>
      <c r="C1375" t="str">
        <f ca="1">IFERROR(__xludf.DUMMYFUNCTION("""COMPUTED_VALUE"""),"ООО ""ЛИКВИДАТОР"" 131-РДО от 14.04.2022")</f>
        <v>ООО "ЛИКВИДАТОР" 131-РДО от 14.04.2022</v>
      </c>
      <c r="D13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5" t="str">
        <f ca="1">IFERROR(__xludf.DUMMYFUNCTION("""COMPUTED_VALUE"""),"Новый")</f>
        <v>Новый</v>
      </c>
      <c r="G1375" s="68"/>
      <c r="K1375" s="68"/>
    </row>
    <row r="1376" spans="1:11" ht="12.75">
      <c r="A1376" s="69">
        <f ca="1">IFERROR(__xludf.DUMMYFUNCTION("""COMPUTED_VALUE"""),94384)</f>
        <v>94384</v>
      </c>
      <c r="B1376" s="4">
        <f ca="1">IFERROR(__xludf.DUMMYFUNCTION("""COMPUTED_VALUE"""),44666)</f>
        <v>44666</v>
      </c>
      <c r="C1376" t="str">
        <f ca="1">IFERROR(__xludf.DUMMYFUNCTION("""COMPUTED_VALUE"""),"ООО ""ЛИКВИДАТОР"" 131-РДО от 14.04.2022")</f>
        <v>ООО "ЛИКВИДАТОР" 131-РДО от 14.04.2022</v>
      </c>
      <c r="D13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6" t="str">
        <f ca="1">IFERROR(__xludf.DUMMYFUNCTION("""COMPUTED_VALUE"""),"Новый")</f>
        <v>Новый</v>
      </c>
      <c r="G1376" s="68"/>
      <c r="K1376" s="68"/>
    </row>
    <row r="1377" spans="1:11" ht="12.75">
      <c r="A1377" s="69">
        <f ca="1">IFERROR(__xludf.DUMMYFUNCTION("""COMPUTED_VALUE"""),94385)</f>
        <v>94385</v>
      </c>
      <c r="B1377" s="4">
        <f ca="1">IFERROR(__xludf.DUMMYFUNCTION("""COMPUTED_VALUE"""),44666)</f>
        <v>44666</v>
      </c>
      <c r="C1377" t="str">
        <f ca="1">IFERROR(__xludf.DUMMYFUNCTION("""COMPUTED_VALUE"""),"ООО ""ЛИКВИДАТОР"" 131-РДО от 14.04.2022")</f>
        <v>ООО "ЛИКВИДАТОР" 131-РДО от 14.04.2022</v>
      </c>
      <c r="D13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7" t="str">
        <f ca="1">IFERROR(__xludf.DUMMYFUNCTION("""COMPUTED_VALUE"""),"Новый")</f>
        <v>Новый</v>
      </c>
      <c r="G1377" s="68"/>
      <c r="K1377" s="68"/>
    </row>
    <row r="1378" spans="1:11" ht="12.75">
      <c r="A1378" s="69">
        <f ca="1">IFERROR(__xludf.DUMMYFUNCTION("""COMPUTED_VALUE"""),94386)</f>
        <v>94386</v>
      </c>
      <c r="B1378" s="4">
        <f ca="1">IFERROR(__xludf.DUMMYFUNCTION("""COMPUTED_VALUE"""),44666)</f>
        <v>44666</v>
      </c>
      <c r="C1378" t="str">
        <f ca="1">IFERROR(__xludf.DUMMYFUNCTION("""COMPUTED_VALUE"""),"ООО ""ЛИКВИДАТОР"" 131-РДО от 14.04.2022")</f>
        <v>ООО "ЛИКВИДАТОР" 131-РДО от 14.04.2022</v>
      </c>
      <c r="D13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8" t="str">
        <f ca="1">IFERROR(__xludf.DUMMYFUNCTION("""COMPUTED_VALUE"""),"Новый")</f>
        <v>Новый</v>
      </c>
      <c r="G1378" s="68"/>
      <c r="K1378" s="68"/>
    </row>
    <row r="1379" spans="1:11" ht="12.75">
      <c r="A1379" s="69">
        <f ca="1">IFERROR(__xludf.DUMMYFUNCTION("""COMPUTED_VALUE"""),94387)</f>
        <v>94387</v>
      </c>
      <c r="B1379" s="4">
        <f ca="1">IFERROR(__xludf.DUMMYFUNCTION("""COMPUTED_VALUE"""),44666)</f>
        <v>44666</v>
      </c>
      <c r="C1379" t="str">
        <f ca="1">IFERROR(__xludf.DUMMYFUNCTION("""COMPUTED_VALUE"""),"ООО ""ЛИКВИДАТОР"" 131-РДО от 14.04.2022")</f>
        <v>ООО "ЛИКВИДАТОР" 131-РДО от 14.04.2022</v>
      </c>
      <c r="D13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79" t="str">
        <f ca="1">IFERROR(__xludf.DUMMYFUNCTION("""COMPUTED_VALUE"""),"Новый")</f>
        <v>Новый</v>
      </c>
      <c r="G1379" s="68"/>
      <c r="K1379" s="68"/>
    </row>
    <row r="1380" spans="1:11" ht="12.75">
      <c r="A1380" s="69">
        <f ca="1">IFERROR(__xludf.DUMMYFUNCTION("""COMPUTED_VALUE"""),94388)</f>
        <v>94388</v>
      </c>
      <c r="B1380" s="4">
        <f ca="1">IFERROR(__xludf.DUMMYFUNCTION("""COMPUTED_VALUE"""),44666)</f>
        <v>44666</v>
      </c>
      <c r="C1380" t="str">
        <f ca="1">IFERROR(__xludf.DUMMYFUNCTION("""COMPUTED_VALUE"""),"ООО ""ЛИКВИДАТОР"" 131-РДО от 14.04.2022")</f>
        <v>ООО "ЛИКВИДАТОР" 131-РДО от 14.04.2022</v>
      </c>
      <c r="D13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0" t="str">
        <f ca="1">IFERROR(__xludf.DUMMYFUNCTION("""COMPUTED_VALUE"""),"Новый")</f>
        <v>Новый</v>
      </c>
      <c r="G1380" s="68"/>
      <c r="K1380" s="68"/>
    </row>
    <row r="1381" spans="1:11" ht="12.75">
      <c r="A1381" s="69">
        <f ca="1">IFERROR(__xludf.DUMMYFUNCTION("""COMPUTED_VALUE"""),94389)</f>
        <v>94389</v>
      </c>
      <c r="B1381" s="4">
        <f ca="1">IFERROR(__xludf.DUMMYFUNCTION("""COMPUTED_VALUE"""),44666)</f>
        <v>44666</v>
      </c>
      <c r="C1381" t="str">
        <f ca="1">IFERROR(__xludf.DUMMYFUNCTION("""COMPUTED_VALUE"""),"ООО ""ЛИКВИДАТОР"" 131-РДО от 14.04.2022")</f>
        <v>ООО "ЛИКВИДАТОР" 131-РДО от 14.04.2022</v>
      </c>
      <c r="D13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1" t="str">
        <f ca="1">IFERROR(__xludf.DUMMYFUNCTION("""COMPUTED_VALUE"""),"Новый")</f>
        <v>Новый</v>
      </c>
      <c r="G1381" s="68"/>
      <c r="K1381" s="68"/>
    </row>
    <row r="1382" spans="1:11" ht="12.75">
      <c r="A1382" s="69">
        <f ca="1">IFERROR(__xludf.DUMMYFUNCTION("""COMPUTED_VALUE"""),94390)</f>
        <v>94390</v>
      </c>
      <c r="B1382" s="4">
        <f ca="1">IFERROR(__xludf.DUMMYFUNCTION("""COMPUTED_VALUE"""),44666)</f>
        <v>44666</v>
      </c>
      <c r="C1382" t="str">
        <f ca="1">IFERROR(__xludf.DUMMYFUNCTION("""COMPUTED_VALUE"""),"ООО ""ЛИКВИДАТОР"" 131-РДО от 14.04.2022")</f>
        <v>ООО "ЛИКВИДАТОР" 131-РДО от 14.04.2022</v>
      </c>
      <c r="D13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2" t="str">
        <f ca="1">IFERROR(__xludf.DUMMYFUNCTION("""COMPUTED_VALUE"""),"Новый")</f>
        <v>Новый</v>
      </c>
      <c r="G1382" s="68"/>
      <c r="K1382" s="68"/>
    </row>
    <row r="1383" spans="1:11" ht="12.75">
      <c r="A1383" s="69">
        <f ca="1">IFERROR(__xludf.DUMMYFUNCTION("""COMPUTED_VALUE"""),94391)</f>
        <v>94391</v>
      </c>
      <c r="B1383" s="4">
        <f ca="1">IFERROR(__xludf.DUMMYFUNCTION("""COMPUTED_VALUE"""),44666)</f>
        <v>44666</v>
      </c>
      <c r="C1383" t="str">
        <f ca="1">IFERROR(__xludf.DUMMYFUNCTION("""COMPUTED_VALUE"""),"ООО ""ЛИКВИДАТОР"" 131-РДО от 14.04.2022")</f>
        <v>ООО "ЛИКВИДАТОР" 131-РДО от 14.04.2022</v>
      </c>
      <c r="D13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3" t="str">
        <f ca="1">IFERROR(__xludf.DUMMYFUNCTION("""COMPUTED_VALUE"""),"Новый")</f>
        <v>Новый</v>
      </c>
      <c r="G1383" s="68"/>
      <c r="K1383" s="68"/>
    </row>
    <row r="1384" spans="1:11" ht="12.75">
      <c r="A1384" s="69">
        <f ca="1">IFERROR(__xludf.DUMMYFUNCTION("""COMPUTED_VALUE"""),94392)</f>
        <v>94392</v>
      </c>
      <c r="B1384" s="4">
        <f ca="1">IFERROR(__xludf.DUMMYFUNCTION("""COMPUTED_VALUE"""),44666)</f>
        <v>44666</v>
      </c>
      <c r="C1384" t="str">
        <f ca="1">IFERROR(__xludf.DUMMYFUNCTION("""COMPUTED_VALUE"""),"ООО ""ЛИКВИДАТОР"" 131-РДО от 14.04.2022")</f>
        <v>ООО "ЛИКВИДАТОР" 131-РДО от 14.04.2022</v>
      </c>
      <c r="D13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4" t="str">
        <f ca="1">IFERROR(__xludf.DUMMYFUNCTION("""COMPUTED_VALUE"""),"Новый")</f>
        <v>Новый</v>
      </c>
      <c r="G1384" s="68"/>
      <c r="K1384" s="68"/>
    </row>
    <row r="1385" spans="1:11" ht="12.75">
      <c r="A1385" s="69">
        <f ca="1">IFERROR(__xludf.DUMMYFUNCTION("""COMPUTED_VALUE"""),94393)</f>
        <v>94393</v>
      </c>
      <c r="B1385" s="4">
        <f ca="1">IFERROR(__xludf.DUMMYFUNCTION("""COMPUTED_VALUE"""),44666)</f>
        <v>44666</v>
      </c>
      <c r="C1385" t="str">
        <f ca="1">IFERROR(__xludf.DUMMYFUNCTION("""COMPUTED_VALUE"""),"ООО ""ЛИКВИДАТОР"" 131-РДО от 14.04.2022")</f>
        <v>ООО "ЛИКВИДАТОР" 131-РДО от 14.04.2022</v>
      </c>
      <c r="D13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5" t="str">
        <f ca="1">IFERROR(__xludf.DUMMYFUNCTION("""COMPUTED_VALUE"""),"Новый")</f>
        <v>Новый</v>
      </c>
      <c r="G1385" s="68"/>
      <c r="K1385" s="68"/>
    </row>
    <row r="1386" spans="1:11" ht="12.75">
      <c r="A1386" s="69">
        <f ca="1">IFERROR(__xludf.DUMMYFUNCTION("""COMPUTED_VALUE"""),94394)</f>
        <v>94394</v>
      </c>
      <c r="B1386" s="4">
        <f ca="1">IFERROR(__xludf.DUMMYFUNCTION("""COMPUTED_VALUE"""),44666)</f>
        <v>44666</v>
      </c>
      <c r="C1386" t="str">
        <f ca="1">IFERROR(__xludf.DUMMYFUNCTION("""COMPUTED_VALUE"""),"ООО ""ЛИКВИДАТОР"" 131-РДО от 14.04.2022")</f>
        <v>ООО "ЛИКВИДАТОР" 131-РДО от 14.04.2022</v>
      </c>
      <c r="D13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6" t="str">
        <f ca="1">IFERROR(__xludf.DUMMYFUNCTION("""COMPUTED_VALUE"""),"Новый")</f>
        <v>Новый</v>
      </c>
      <c r="G1386" s="68"/>
      <c r="K1386" s="68"/>
    </row>
    <row r="1387" spans="1:11" ht="12.75">
      <c r="A1387" s="69">
        <f ca="1">IFERROR(__xludf.DUMMYFUNCTION("""COMPUTED_VALUE"""),94395)</f>
        <v>94395</v>
      </c>
      <c r="B1387" s="4">
        <f ca="1">IFERROR(__xludf.DUMMYFUNCTION("""COMPUTED_VALUE"""),44666)</f>
        <v>44666</v>
      </c>
      <c r="C1387" t="str">
        <f ca="1">IFERROR(__xludf.DUMMYFUNCTION("""COMPUTED_VALUE"""),"ООО ""ЛИКВИДАТОР"" 131-РДО от 14.04.2022")</f>
        <v>ООО "ЛИКВИДАТОР" 131-РДО от 14.04.2022</v>
      </c>
      <c r="D13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7" t="str">
        <f ca="1">IFERROR(__xludf.DUMMYFUNCTION("""COMPUTED_VALUE"""),"Новый")</f>
        <v>Новый</v>
      </c>
      <c r="G1387" s="68"/>
      <c r="K1387" s="68"/>
    </row>
    <row r="1388" spans="1:11" ht="12.75">
      <c r="A1388" s="69">
        <f ca="1">IFERROR(__xludf.DUMMYFUNCTION("""COMPUTED_VALUE"""),94396)</f>
        <v>94396</v>
      </c>
      <c r="B1388" s="4">
        <f ca="1">IFERROR(__xludf.DUMMYFUNCTION("""COMPUTED_VALUE"""),44666)</f>
        <v>44666</v>
      </c>
      <c r="C1388" t="str">
        <f ca="1">IFERROR(__xludf.DUMMYFUNCTION("""COMPUTED_VALUE"""),"ООО ""ЛИКВИДАТОР"" 131-РДО от 14.04.2022")</f>
        <v>ООО "ЛИКВИДАТОР" 131-РДО от 14.04.2022</v>
      </c>
      <c r="D13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8" t="str">
        <f ca="1">IFERROR(__xludf.DUMMYFUNCTION("""COMPUTED_VALUE"""),"Новый")</f>
        <v>Новый</v>
      </c>
      <c r="G1388" s="68"/>
      <c r="K1388" s="68"/>
    </row>
    <row r="1389" spans="1:11" ht="12.75">
      <c r="A1389" s="69">
        <f ca="1">IFERROR(__xludf.DUMMYFUNCTION("""COMPUTED_VALUE"""),94397)</f>
        <v>94397</v>
      </c>
      <c r="B1389" s="4">
        <f ca="1">IFERROR(__xludf.DUMMYFUNCTION("""COMPUTED_VALUE"""),44666)</f>
        <v>44666</v>
      </c>
      <c r="C1389" t="str">
        <f ca="1">IFERROR(__xludf.DUMMYFUNCTION("""COMPUTED_VALUE"""),"ООО ""ЛИКВИДАТОР"" 131-РДО от 14.04.2022")</f>
        <v>ООО "ЛИКВИДАТОР" 131-РДО от 14.04.2022</v>
      </c>
      <c r="D13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89" t="str">
        <f ca="1">IFERROR(__xludf.DUMMYFUNCTION("""COMPUTED_VALUE"""),"Новый")</f>
        <v>Новый</v>
      </c>
      <c r="G1389" s="68"/>
      <c r="K1389" s="68"/>
    </row>
    <row r="1390" spans="1:11" ht="12.75">
      <c r="A1390" s="69">
        <f ca="1">IFERROR(__xludf.DUMMYFUNCTION("""COMPUTED_VALUE"""),94398)</f>
        <v>94398</v>
      </c>
      <c r="B1390" s="4">
        <f ca="1">IFERROR(__xludf.DUMMYFUNCTION("""COMPUTED_VALUE"""),44666)</f>
        <v>44666</v>
      </c>
      <c r="C1390" t="str">
        <f ca="1">IFERROR(__xludf.DUMMYFUNCTION("""COMPUTED_VALUE"""),"ООО ""ЛИКВИДАТОР"" 131-РДО от 14.04.2022")</f>
        <v>ООО "ЛИКВИДАТОР" 131-РДО от 14.04.2022</v>
      </c>
      <c r="D13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0" t="str">
        <f ca="1">IFERROR(__xludf.DUMMYFUNCTION("""COMPUTED_VALUE"""),"Новый")</f>
        <v>Новый</v>
      </c>
      <c r="G1390" s="68"/>
      <c r="K1390" s="68"/>
    </row>
    <row r="1391" spans="1:11" ht="12.75">
      <c r="A1391" s="69">
        <f ca="1">IFERROR(__xludf.DUMMYFUNCTION("""COMPUTED_VALUE"""),94399)</f>
        <v>94399</v>
      </c>
      <c r="B1391" s="4">
        <f ca="1">IFERROR(__xludf.DUMMYFUNCTION("""COMPUTED_VALUE"""),44666)</f>
        <v>44666</v>
      </c>
      <c r="C1391" t="str">
        <f ca="1">IFERROR(__xludf.DUMMYFUNCTION("""COMPUTED_VALUE"""),"ООО ""ЛИКВИДАТОР"" 131-РДО от 14.04.2022")</f>
        <v>ООО "ЛИКВИДАТОР" 131-РДО от 14.04.2022</v>
      </c>
      <c r="D13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1" t="str">
        <f ca="1">IFERROR(__xludf.DUMMYFUNCTION("""COMPUTED_VALUE"""),"Новый")</f>
        <v>Новый</v>
      </c>
      <c r="G1391" s="68"/>
      <c r="K1391" s="68"/>
    </row>
    <row r="1392" spans="1:11" ht="12.75">
      <c r="A1392" s="69">
        <f ca="1">IFERROR(__xludf.DUMMYFUNCTION("""COMPUTED_VALUE"""),94400)</f>
        <v>94400</v>
      </c>
      <c r="B1392" s="4">
        <f ca="1">IFERROR(__xludf.DUMMYFUNCTION("""COMPUTED_VALUE"""),44666)</f>
        <v>44666</v>
      </c>
      <c r="C1392" t="str">
        <f ca="1">IFERROR(__xludf.DUMMYFUNCTION("""COMPUTED_VALUE"""),"ООО ""ЛИКВИДАТОР"" 131-РДО от 14.04.2022")</f>
        <v>ООО "ЛИКВИДАТОР" 131-РДО от 14.04.2022</v>
      </c>
      <c r="D13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2" t="str">
        <f ca="1">IFERROR(__xludf.DUMMYFUNCTION("""COMPUTED_VALUE"""),"Новый")</f>
        <v>Новый</v>
      </c>
      <c r="G1392" s="68"/>
      <c r="K1392" s="68"/>
    </row>
    <row r="1393" spans="1:11" ht="12.75">
      <c r="A1393" s="69">
        <f ca="1">IFERROR(__xludf.DUMMYFUNCTION("""COMPUTED_VALUE"""),94401)</f>
        <v>94401</v>
      </c>
      <c r="B1393" s="4">
        <f ca="1">IFERROR(__xludf.DUMMYFUNCTION("""COMPUTED_VALUE"""),44666)</f>
        <v>44666</v>
      </c>
      <c r="C1393" t="str">
        <f ca="1">IFERROR(__xludf.DUMMYFUNCTION("""COMPUTED_VALUE"""),"ООО ""ЛИКВИДАТОР"" 131-РДО от 14.04.2022")</f>
        <v>ООО "ЛИКВИДАТОР" 131-РДО от 14.04.2022</v>
      </c>
      <c r="D13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3" t="str">
        <f ca="1">IFERROR(__xludf.DUMMYFUNCTION("""COMPUTED_VALUE"""),"Новый")</f>
        <v>Новый</v>
      </c>
      <c r="G1393" s="68"/>
      <c r="K1393" s="68"/>
    </row>
    <row r="1394" spans="1:11" ht="12.75">
      <c r="A1394" s="69">
        <f ca="1">IFERROR(__xludf.DUMMYFUNCTION("""COMPUTED_VALUE"""),94402)</f>
        <v>94402</v>
      </c>
      <c r="B1394" s="4">
        <f ca="1">IFERROR(__xludf.DUMMYFUNCTION("""COMPUTED_VALUE"""),44666)</f>
        <v>44666</v>
      </c>
      <c r="C1394" t="str">
        <f ca="1">IFERROR(__xludf.DUMMYFUNCTION("""COMPUTED_VALUE"""),"ООО ""ЛИКВИДАТОР"" 131-РДО от 14.04.2022")</f>
        <v>ООО "ЛИКВИДАТОР" 131-РДО от 14.04.2022</v>
      </c>
      <c r="D13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4" t="str">
        <f ca="1">IFERROR(__xludf.DUMMYFUNCTION("""COMPUTED_VALUE"""),"Новый")</f>
        <v>Новый</v>
      </c>
      <c r="G1394" s="68"/>
      <c r="K1394" s="68"/>
    </row>
    <row r="1395" spans="1:11" ht="12.75">
      <c r="A1395" s="69">
        <f ca="1">IFERROR(__xludf.DUMMYFUNCTION("""COMPUTED_VALUE"""),94403)</f>
        <v>94403</v>
      </c>
      <c r="B1395" s="4">
        <f ca="1">IFERROR(__xludf.DUMMYFUNCTION("""COMPUTED_VALUE"""),44666)</f>
        <v>44666</v>
      </c>
      <c r="C1395" t="str">
        <f ca="1">IFERROR(__xludf.DUMMYFUNCTION("""COMPUTED_VALUE"""),"ООО ""ЛИКВИДАТОР"" 131-РДО от 14.04.2022")</f>
        <v>ООО "ЛИКВИДАТОР" 131-РДО от 14.04.2022</v>
      </c>
      <c r="D13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5" t="str">
        <f ca="1">IFERROR(__xludf.DUMMYFUNCTION("""COMPUTED_VALUE"""),"Новый")</f>
        <v>Новый</v>
      </c>
      <c r="G1395" s="68"/>
      <c r="K1395" s="68"/>
    </row>
    <row r="1396" spans="1:11" ht="12.75">
      <c r="A1396" s="69">
        <f ca="1">IFERROR(__xludf.DUMMYFUNCTION("""COMPUTED_VALUE"""),94404)</f>
        <v>94404</v>
      </c>
      <c r="B1396" s="4">
        <f ca="1">IFERROR(__xludf.DUMMYFUNCTION("""COMPUTED_VALUE"""),44666)</f>
        <v>44666</v>
      </c>
      <c r="C1396" t="str">
        <f ca="1">IFERROR(__xludf.DUMMYFUNCTION("""COMPUTED_VALUE"""),"ООО ""ЛИКВИДАТОР"" 131-РДО от 14.04.2022")</f>
        <v>ООО "ЛИКВИДАТОР" 131-РДО от 14.04.2022</v>
      </c>
      <c r="D13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6" t="str">
        <f ca="1">IFERROR(__xludf.DUMMYFUNCTION("""COMPUTED_VALUE"""),"Новый")</f>
        <v>Новый</v>
      </c>
      <c r="G1396" s="68"/>
      <c r="K1396" s="68"/>
    </row>
    <row r="1397" spans="1:11" ht="12.75">
      <c r="A1397" s="69">
        <f ca="1">IFERROR(__xludf.DUMMYFUNCTION("""COMPUTED_VALUE"""),94405)</f>
        <v>94405</v>
      </c>
      <c r="B1397" s="4">
        <f ca="1">IFERROR(__xludf.DUMMYFUNCTION("""COMPUTED_VALUE"""),44666)</f>
        <v>44666</v>
      </c>
      <c r="C1397" t="str">
        <f ca="1">IFERROR(__xludf.DUMMYFUNCTION("""COMPUTED_VALUE"""),"ООО ""ЛИКВИДАТОР"" 131-РДО от 14.04.2022")</f>
        <v>ООО "ЛИКВИДАТОР" 131-РДО от 14.04.2022</v>
      </c>
      <c r="D13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7" t="str">
        <f ca="1">IFERROR(__xludf.DUMMYFUNCTION("""COMPUTED_VALUE"""),"Новый")</f>
        <v>Новый</v>
      </c>
      <c r="G1397" s="68"/>
      <c r="K1397" s="68"/>
    </row>
    <row r="1398" spans="1:11" ht="12.75">
      <c r="A1398" s="69">
        <f ca="1">IFERROR(__xludf.DUMMYFUNCTION("""COMPUTED_VALUE"""),94406)</f>
        <v>94406</v>
      </c>
      <c r="B1398" s="4">
        <f ca="1">IFERROR(__xludf.DUMMYFUNCTION("""COMPUTED_VALUE"""),44666)</f>
        <v>44666</v>
      </c>
      <c r="C1398" t="str">
        <f ca="1">IFERROR(__xludf.DUMMYFUNCTION("""COMPUTED_VALUE"""),"ООО ""ЛИКВИДАТОР"" 131-РДО от 14.04.2022")</f>
        <v>ООО "ЛИКВИДАТОР" 131-РДО от 14.04.2022</v>
      </c>
      <c r="D13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8" t="str">
        <f ca="1">IFERROR(__xludf.DUMMYFUNCTION("""COMPUTED_VALUE"""),"Новый")</f>
        <v>Новый</v>
      </c>
      <c r="G1398" s="68"/>
      <c r="K1398" s="68"/>
    </row>
    <row r="1399" spans="1:11" ht="12.75">
      <c r="A1399" s="69">
        <f ca="1">IFERROR(__xludf.DUMMYFUNCTION("""COMPUTED_VALUE"""),94407)</f>
        <v>94407</v>
      </c>
      <c r="B1399" s="4">
        <f ca="1">IFERROR(__xludf.DUMMYFUNCTION("""COMPUTED_VALUE"""),44666)</f>
        <v>44666</v>
      </c>
      <c r="C1399" t="str">
        <f ca="1">IFERROR(__xludf.DUMMYFUNCTION("""COMPUTED_VALUE"""),"ООО ""ЛИКВИДАТОР"" 131-РДО от 14.04.2022")</f>
        <v>ООО "ЛИКВИДАТОР" 131-РДО от 14.04.2022</v>
      </c>
      <c r="D13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399" t="str">
        <f ca="1">IFERROR(__xludf.DUMMYFUNCTION("""COMPUTED_VALUE"""),"Новый")</f>
        <v>Новый</v>
      </c>
      <c r="G1399" s="68"/>
      <c r="K1399" s="68"/>
    </row>
    <row r="1400" spans="1:11" ht="12.75">
      <c r="A1400" s="69">
        <f ca="1">IFERROR(__xludf.DUMMYFUNCTION("""COMPUTED_VALUE"""),94408)</f>
        <v>94408</v>
      </c>
      <c r="B1400" s="4">
        <f ca="1">IFERROR(__xludf.DUMMYFUNCTION("""COMPUTED_VALUE"""),44666)</f>
        <v>44666</v>
      </c>
      <c r="C1400" t="str">
        <f ca="1">IFERROR(__xludf.DUMMYFUNCTION("""COMPUTED_VALUE"""),"ООО ""ЛИКВИДАТОР"" 131-РДО от 14.04.2022")</f>
        <v>ООО "ЛИКВИДАТОР" 131-РДО от 14.04.2022</v>
      </c>
      <c r="D14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00" t="str">
        <f ca="1">IFERROR(__xludf.DUMMYFUNCTION("""COMPUTED_VALUE"""),"Новый")</f>
        <v>Новый</v>
      </c>
      <c r="G1400" s="68"/>
      <c r="K1400" s="68"/>
    </row>
    <row r="1401" spans="1:11" ht="12.75">
      <c r="A1401" s="69">
        <f ca="1">IFERROR(__xludf.DUMMYFUNCTION("""COMPUTED_VALUE"""),94419)</f>
        <v>94419</v>
      </c>
      <c r="B1401" s="4">
        <f ca="1">IFERROR(__xludf.DUMMYFUNCTION("""COMPUTED_VALUE"""),44666)</f>
        <v>44666</v>
      </c>
      <c r="C1401" t="str">
        <f ca="1">IFERROR(__xludf.DUMMYFUNCTION("""COMPUTED_VALUE"""),"ООО ""ЛИКВИДАТОР"" 131-РДО от 14.04.2022")</f>
        <v>ООО "ЛИКВИДАТОР" 131-РДО от 14.04.2022</v>
      </c>
      <c r="D14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1" t="str">
        <f ca="1">IFERROR(__xludf.DUMMYFUNCTION("""COMPUTED_VALUE"""),"Новый")</f>
        <v>Новый</v>
      </c>
      <c r="G1401" s="68"/>
      <c r="K1401" s="68"/>
    </row>
    <row r="1402" spans="1:11" ht="12.75">
      <c r="A1402" s="69">
        <f ca="1">IFERROR(__xludf.DUMMYFUNCTION("""COMPUTED_VALUE"""),94420)</f>
        <v>94420</v>
      </c>
      <c r="B1402" s="4">
        <f ca="1">IFERROR(__xludf.DUMMYFUNCTION("""COMPUTED_VALUE"""),44666)</f>
        <v>44666</v>
      </c>
      <c r="C1402" t="str">
        <f ca="1">IFERROR(__xludf.DUMMYFUNCTION("""COMPUTED_VALUE"""),"ООО ""ЛИКВИДАТОР"" 131-РДО от 14.04.2022")</f>
        <v>ООО "ЛИКВИДАТОР" 131-РДО от 14.04.2022</v>
      </c>
      <c r="D14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2" t="str">
        <f ca="1">IFERROR(__xludf.DUMMYFUNCTION("""COMPUTED_VALUE"""),"Новый")</f>
        <v>Новый</v>
      </c>
      <c r="G1402" s="68"/>
      <c r="K1402" s="68"/>
    </row>
    <row r="1403" spans="1:11" ht="12.75">
      <c r="A1403" s="69">
        <f ca="1">IFERROR(__xludf.DUMMYFUNCTION("""COMPUTED_VALUE"""),94421)</f>
        <v>94421</v>
      </c>
      <c r="B1403" s="4">
        <f ca="1">IFERROR(__xludf.DUMMYFUNCTION("""COMPUTED_VALUE"""),44666)</f>
        <v>44666</v>
      </c>
      <c r="C1403" t="str">
        <f ca="1">IFERROR(__xludf.DUMMYFUNCTION("""COMPUTED_VALUE"""),"ООО ""ЛИКВИДАТОР"" 131-РДО от 14.04.2022")</f>
        <v>ООО "ЛИКВИДАТОР" 131-РДО от 14.04.2022</v>
      </c>
      <c r="D14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3" t="str">
        <f ca="1">IFERROR(__xludf.DUMMYFUNCTION("""COMPUTED_VALUE"""),"Новый")</f>
        <v>Новый</v>
      </c>
      <c r="G1403" s="68"/>
      <c r="K1403" s="68"/>
    </row>
    <row r="1404" spans="1:11" ht="12.75">
      <c r="A1404" s="69">
        <f ca="1">IFERROR(__xludf.DUMMYFUNCTION("""COMPUTED_VALUE"""),94422)</f>
        <v>94422</v>
      </c>
      <c r="B1404" s="4">
        <f ca="1">IFERROR(__xludf.DUMMYFUNCTION("""COMPUTED_VALUE"""),44666)</f>
        <v>44666</v>
      </c>
      <c r="C1404" t="str">
        <f ca="1">IFERROR(__xludf.DUMMYFUNCTION("""COMPUTED_VALUE"""),"ООО ""ЛИКВИДАТОР"" 131-РДО от 14.04.2022")</f>
        <v>ООО "ЛИКВИДАТОР" 131-РДО от 14.04.2022</v>
      </c>
      <c r="D14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4" t="str">
        <f ca="1">IFERROR(__xludf.DUMMYFUNCTION("""COMPUTED_VALUE"""),"Новый")</f>
        <v>Новый</v>
      </c>
      <c r="G1404" s="68"/>
      <c r="K1404" s="68"/>
    </row>
    <row r="1405" spans="1:11" ht="12.75">
      <c r="A1405" s="69">
        <f ca="1">IFERROR(__xludf.DUMMYFUNCTION("""COMPUTED_VALUE"""),94423)</f>
        <v>94423</v>
      </c>
      <c r="B1405" s="4">
        <f ca="1">IFERROR(__xludf.DUMMYFUNCTION("""COMPUTED_VALUE"""),44666)</f>
        <v>44666</v>
      </c>
      <c r="C1405" t="str">
        <f ca="1">IFERROR(__xludf.DUMMYFUNCTION("""COMPUTED_VALUE"""),"ООО ""ЛИКВИДАТОР"" 131-РДО от 14.04.2022")</f>
        <v>ООО "ЛИКВИДАТОР" 131-РДО от 14.04.2022</v>
      </c>
      <c r="D14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5" t="str">
        <f ca="1">IFERROR(__xludf.DUMMYFUNCTION("""COMPUTED_VALUE"""),"Новый")</f>
        <v>Новый</v>
      </c>
      <c r="G1405" s="68"/>
      <c r="K1405" s="68"/>
    </row>
    <row r="1406" spans="1:11" ht="12.75">
      <c r="A1406" s="69">
        <f ca="1">IFERROR(__xludf.DUMMYFUNCTION("""COMPUTED_VALUE"""),94424)</f>
        <v>94424</v>
      </c>
      <c r="B1406" s="4">
        <f ca="1">IFERROR(__xludf.DUMMYFUNCTION("""COMPUTED_VALUE"""),44666)</f>
        <v>44666</v>
      </c>
      <c r="C1406" t="str">
        <f ca="1">IFERROR(__xludf.DUMMYFUNCTION("""COMPUTED_VALUE"""),"ООО ""ЛИКВИДАТОР"" 131-РДО от 14.04.2022")</f>
        <v>ООО "ЛИКВИДАТОР" 131-РДО от 14.04.2022</v>
      </c>
      <c r="D14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6" t="str">
        <f ca="1">IFERROR(__xludf.DUMMYFUNCTION("""COMPUTED_VALUE"""),"Новый")</f>
        <v>Новый</v>
      </c>
      <c r="G1406" s="68"/>
      <c r="K1406" s="68"/>
    </row>
    <row r="1407" spans="1:11" ht="12.75">
      <c r="A1407" s="69">
        <f ca="1">IFERROR(__xludf.DUMMYFUNCTION("""COMPUTED_VALUE"""),94425)</f>
        <v>94425</v>
      </c>
      <c r="B1407" s="4">
        <f ca="1">IFERROR(__xludf.DUMMYFUNCTION("""COMPUTED_VALUE"""),44666)</f>
        <v>44666</v>
      </c>
      <c r="C1407" t="str">
        <f ca="1">IFERROR(__xludf.DUMMYFUNCTION("""COMPUTED_VALUE"""),"ООО ""ЛИКВИДАТОР"" 131-РДО от 14.04.2022")</f>
        <v>ООО "ЛИКВИДАТОР" 131-РДО от 14.04.2022</v>
      </c>
      <c r="D14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7" t="str">
        <f ca="1">IFERROR(__xludf.DUMMYFUNCTION("""COMPUTED_VALUE"""),"Новый")</f>
        <v>Новый</v>
      </c>
      <c r="G1407" s="68"/>
      <c r="K1407" s="68"/>
    </row>
    <row r="1408" spans="1:11" ht="12.75">
      <c r="A1408" s="69">
        <f ca="1">IFERROR(__xludf.DUMMYFUNCTION("""COMPUTED_VALUE"""),94426)</f>
        <v>94426</v>
      </c>
      <c r="B1408" s="4">
        <f ca="1">IFERROR(__xludf.DUMMYFUNCTION("""COMPUTED_VALUE"""),44666)</f>
        <v>44666</v>
      </c>
      <c r="C1408" t="str">
        <f ca="1">IFERROR(__xludf.DUMMYFUNCTION("""COMPUTED_VALUE"""),"ООО ""ЛИКВИДАТОР"" 131-РДО от 14.04.2022")</f>
        <v>ООО "ЛИКВИДАТОР" 131-РДО от 14.04.2022</v>
      </c>
      <c r="D14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8" t="str">
        <f ca="1">IFERROR(__xludf.DUMMYFUNCTION("""COMPUTED_VALUE"""),"Новый")</f>
        <v>Новый</v>
      </c>
      <c r="G1408" s="68"/>
      <c r="K1408" s="68"/>
    </row>
    <row r="1409" spans="1:11" ht="12.75">
      <c r="A1409" s="69">
        <f ca="1">IFERROR(__xludf.DUMMYFUNCTION("""COMPUTED_VALUE"""),94427)</f>
        <v>94427</v>
      </c>
      <c r="B1409" s="4">
        <f ca="1">IFERROR(__xludf.DUMMYFUNCTION("""COMPUTED_VALUE"""),44666)</f>
        <v>44666</v>
      </c>
      <c r="C1409" t="str">
        <f ca="1">IFERROR(__xludf.DUMMYFUNCTION("""COMPUTED_VALUE"""),"ООО ""ЛИКВИДАТОР"" 131-РДО от 14.04.2022")</f>
        <v>ООО "ЛИКВИДАТОР" 131-РДО от 14.04.2022</v>
      </c>
      <c r="D14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09" t="str">
        <f ca="1">IFERROR(__xludf.DUMMYFUNCTION("""COMPUTED_VALUE"""),"Новый")</f>
        <v>Новый</v>
      </c>
      <c r="G1409" s="68"/>
      <c r="K1409" s="68"/>
    </row>
    <row r="1410" spans="1:11" ht="12.75">
      <c r="A1410" s="69">
        <f ca="1">IFERROR(__xludf.DUMMYFUNCTION("""COMPUTED_VALUE"""),94428)</f>
        <v>94428</v>
      </c>
      <c r="B1410" s="4">
        <f ca="1">IFERROR(__xludf.DUMMYFUNCTION("""COMPUTED_VALUE"""),44666)</f>
        <v>44666</v>
      </c>
      <c r="C1410" t="str">
        <f ca="1">IFERROR(__xludf.DUMMYFUNCTION("""COMPUTED_VALUE"""),"ООО ""ЛИКВИДАТОР"" 131-РДО от 14.04.2022")</f>
        <v>ООО "ЛИКВИДАТОР" 131-РДО от 14.04.2022</v>
      </c>
      <c r="D14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10" t="str">
        <f ca="1">IFERROR(__xludf.DUMMYFUNCTION("""COMPUTED_VALUE"""),"Новый")</f>
        <v>Новый</v>
      </c>
      <c r="G1410" s="68"/>
      <c r="K1410" s="68"/>
    </row>
    <row r="1411" spans="1:11" ht="12.75">
      <c r="A1411" s="69">
        <f ca="1">IFERROR(__xludf.DUMMYFUNCTION("""COMPUTED_VALUE"""),94434)</f>
        <v>94434</v>
      </c>
      <c r="B1411" s="4">
        <f ca="1">IFERROR(__xludf.DUMMYFUNCTION("""COMPUTED_VALUE"""),44666)</f>
        <v>44666</v>
      </c>
      <c r="C1411" t="str">
        <f ca="1">IFERROR(__xludf.DUMMYFUNCTION("""COMPUTED_VALUE"""),"ООО ""ЛИКВИДАТОР"" 131-РДО от 14.04.2022")</f>
        <v>ООО "ЛИКВИДАТОР" 131-РДО от 14.04.2022</v>
      </c>
      <c r="D14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1" t="str">
        <f ca="1">IFERROR(__xludf.DUMMYFUNCTION("""COMPUTED_VALUE"""),"Новый")</f>
        <v>Новый</v>
      </c>
      <c r="G1411" s="68"/>
      <c r="K1411" s="68"/>
    </row>
    <row r="1412" spans="1:11" ht="12.75">
      <c r="A1412" s="69">
        <f ca="1">IFERROR(__xludf.DUMMYFUNCTION("""COMPUTED_VALUE"""),94499)</f>
        <v>94499</v>
      </c>
      <c r="B1412" s="4">
        <f ca="1">IFERROR(__xludf.DUMMYFUNCTION("""COMPUTED_VALUE"""),44667)</f>
        <v>44667</v>
      </c>
      <c r="C1412" t="str">
        <f ca="1">IFERROR(__xludf.DUMMYFUNCTION("""COMPUTED_VALUE"""),"ООО ""Космос-1"" 153-РДО от 15.04.2022")</f>
        <v>ООО "Космос-1" 153-РДО от 15.04.2022</v>
      </c>
      <c r="D14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2" t="str">
        <f ca="1">IFERROR(__xludf.DUMMYFUNCTION("""COMPUTED_VALUE"""),"Новый")</f>
        <v>Новый</v>
      </c>
      <c r="G1412" s="68"/>
      <c r="K1412" s="68"/>
    </row>
    <row r="1413" spans="1:11" ht="12.75">
      <c r="A1413" s="69">
        <f ca="1">IFERROR(__xludf.DUMMYFUNCTION("""COMPUTED_VALUE"""),94500)</f>
        <v>94500</v>
      </c>
      <c r="B1413" s="4">
        <f ca="1">IFERROR(__xludf.DUMMYFUNCTION("""COMPUTED_VALUE"""),44667)</f>
        <v>44667</v>
      </c>
      <c r="C1413" t="str">
        <f ca="1">IFERROR(__xludf.DUMMYFUNCTION("""COMPUTED_VALUE"""),"ООО ""Космос-1"" 153-РДО от 15.04.2022")</f>
        <v>ООО "Космос-1" 153-РДО от 15.04.2022</v>
      </c>
      <c r="D14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3" t="str">
        <f ca="1">IFERROR(__xludf.DUMMYFUNCTION("""COMPUTED_VALUE"""),"Новый")</f>
        <v>Новый</v>
      </c>
      <c r="G1413" s="68"/>
      <c r="K1413" s="68"/>
    </row>
    <row r="1414" spans="1:11" ht="12.75">
      <c r="A1414" s="69">
        <f ca="1">IFERROR(__xludf.DUMMYFUNCTION("""COMPUTED_VALUE"""),94501)</f>
        <v>94501</v>
      </c>
      <c r="B1414" s="4">
        <f ca="1">IFERROR(__xludf.DUMMYFUNCTION("""COMPUTED_VALUE"""),44667)</f>
        <v>44667</v>
      </c>
      <c r="C1414" t="str">
        <f ca="1">IFERROR(__xludf.DUMMYFUNCTION("""COMPUTED_VALUE"""),"ООО ""Космос-1"" 153-РДО от 15.04.2022")</f>
        <v>ООО "Космос-1" 153-РДО от 15.04.2022</v>
      </c>
      <c r="D14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4" t="str">
        <f ca="1">IFERROR(__xludf.DUMMYFUNCTION("""COMPUTED_VALUE"""),"Новый")</f>
        <v>Новый</v>
      </c>
      <c r="G1414" s="68"/>
      <c r="K1414" s="68"/>
    </row>
    <row r="1415" spans="1:11" ht="12.75">
      <c r="A1415" s="69">
        <f ca="1">IFERROR(__xludf.DUMMYFUNCTION("""COMPUTED_VALUE"""),94502)</f>
        <v>94502</v>
      </c>
      <c r="B1415" s="4">
        <f ca="1">IFERROR(__xludf.DUMMYFUNCTION("""COMPUTED_VALUE"""),44667)</f>
        <v>44667</v>
      </c>
      <c r="C1415" t="str">
        <f ca="1">IFERROR(__xludf.DUMMYFUNCTION("""COMPUTED_VALUE"""),"ООО ""Космос-1"" 153-РДО от 15.04.2022")</f>
        <v>ООО "Космос-1" 153-РДО от 15.04.2022</v>
      </c>
      <c r="D14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5" t="str">
        <f ca="1">IFERROR(__xludf.DUMMYFUNCTION("""COMPUTED_VALUE"""),"Новый")</f>
        <v>Новый</v>
      </c>
      <c r="G1415" s="68"/>
      <c r="K1415" s="68"/>
    </row>
    <row r="1416" spans="1:11" ht="12.75">
      <c r="A1416" s="69">
        <f ca="1">IFERROR(__xludf.DUMMYFUNCTION("""COMPUTED_VALUE"""),94503)</f>
        <v>94503</v>
      </c>
      <c r="B1416" s="4">
        <f ca="1">IFERROR(__xludf.DUMMYFUNCTION("""COMPUTED_VALUE"""),44667)</f>
        <v>44667</v>
      </c>
      <c r="C1416" t="str">
        <f ca="1">IFERROR(__xludf.DUMMYFUNCTION("""COMPUTED_VALUE"""),"ООО ""Космос-1"" 153-РДО от 15.04.2022")</f>
        <v>ООО "Космос-1" 153-РДО от 15.04.2022</v>
      </c>
      <c r="D14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6" t="str">
        <f ca="1">IFERROR(__xludf.DUMMYFUNCTION("""COMPUTED_VALUE"""),"Новый")</f>
        <v>Новый</v>
      </c>
      <c r="G1416" s="68"/>
      <c r="K1416" s="68"/>
    </row>
    <row r="1417" spans="1:11" ht="12.75">
      <c r="A1417" s="69">
        <f ca="1">IFERROR(__xludf.DUMMYFUNCTION("""COMPUTED_VALUE"""),94504)</f>
        <v>94504</v>
      </c>
      <c r="B1417" s="4">
        <f ca="1">IFERROR(__xludf.DUMMYFUNCTION("""COMPUTED_VALUE"""),44667)</f>
        <v>44667</v>
      </c>
      <c r="C1417" t="str">
        <f ca="1">IFERROR(__xludf.DUMMYFUNCTION("""COMPUTED_VALUE"""),"ООО ""Космос-1"" 153-РДО от 15.04.2022")</f>
        <v>ООО "Космос-1" 153-РДО от 15.04.2022</v>
      </c>
      <c r="D14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7" t="str">
        <f ca="1">IFERROR(__xludf.DUMMYFUNCTION("""COMPUTED_VALUE"""),"Новый")</f>
        <v>Новый</v>
      </c>
      <c r="G1417" s="68"/>
      <c r="K1417" s="68"/>
    </row>
    <row r="1418" spans="1:11" ht="12.75">
      <c r="A1418" s="69">
        <f ca="1">IFERROR(__xludf.DUMMYFUNCTION("""COMPUTED_VALUE"""),94505)</f>
        <v>94505</v>
      </c>
      <c r="B1418" s="4">
        <f ca="1">IFERROR(__xludf.DUMMYFUNCTION("""COMPUTED_VALUE"""),44667)</f>
        <v>44667</v>
      </c>
      <c r="C1418" t="str">
        <f ca="1">IFERROR(__xludf.DUMMYFUNCTION("""COMPUTED_VALUE"""),"ООО ""Космос-1"" 153-РДО от 15.04.2022")</f>
        <v>ООО "Космос-1" 153-РДО от 15.04.2022</v>
      </c>
      <c r="D14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8" t="str">
        <f ca="1">IFERROR(__xludf.DUMMYFUNCTION("""COMPUTED_VALUE"""),"Новый")</f>
        <v>Новый</v>
      </c>
      <c r="G1418" s="68"/>
      <c r="K1418" s="68"/>
    </row>
    <row r="1419" spans="1:11" ht="12.75">
      <c r="A1419" s="69">
        <f ca="1">IFERROR(__xludf.DUMMYFUNCTION("""COMPUTED_VALUE"""),94506)</f>
        <v>94506</v>
      </c>
      <c r="B1419" s="4">
        <f ca="1">IFERROR(__xludf.DUMMYFUNCTION("""COMPUTED_VALUE"""),44667)</f>
        <v>44667</v>
      </c>
      <c r="C1419" t="str">
        <f ca="1">IFERROR(__xludf.DUMMYFUNCTION("""COMPUTED_VALUE"""),"ООО ""Космос-1"" 153-РДО от 15.04.2022")</f>
        <v>ООО "Космос-1" 153-РДО от 15.04.2022</v>
      </c>
      <c r="D14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19" t="str">
        <f ca="1">IFERROR(__xludf.DUMMYFUNCTION("""COMPUTED_VALUE"""),"Новый")</f>
        <v>Новый</v>
      </c>
      <c r="G1419" s="68"/>
      <c r="K1419" s="68"/>
    </row>
    <row r="1420" spans="1:11" ht="12.75">
      <c r="A1420" s="69">
        <f ca="1">IFERROR(__xludf.DUMMYFUNCTION("""COMPUTED_VALUE"""),94510)</f>
        <v>94510</v>
      </c>
      <c r="B1420" s="4">
        <f ca="1">IFERROR(__xludf.DUMMYFUNCTION("""COMPUTED_VALUE"""),44667)</f>
        <v>44667</v>
      </c>
      <c r="C1420" t="str">
        <f ca="1">IFERROR(__xludf.DUMMYFUNCTION("""COMPUTED_VALUE"""),"ООО ""Космос-1"" 153-РДО от 15.04.2022")</f>
        <v>ООО "Космос-1" 153-РДО от 15.04.2022</v>
      </c>
      <c r="D14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0" t="str">
        <f ca="1">IFERROR(__xludf.DUMMYFUNCTION("""COMPUTED_VALUE"""),"Новый")</f>
        <v>Новый</v>
      </c>
      <c r="G1420" s="68"/>
      <c r="K1420" s="68"/>
    </row>
    <row r="1421" spans="1:11" ht="12.75">
      <c r="A1421" s="69">
        <f ca="1">IFERROR(__xludf.DUMMYFUNCTION("""COMPUTED_VALUE"""),94518)</f>
        <v>94518</v>
      </c>
      <c r="B1421" s="4">
        <f ca="1">IFERROR(__xludf.DUMMYFUNCTION("""COMPUTED_VALUE"""),44667)</f>
        <v>44667</v>
      </c>
      <c r="C1421" t="str">
        <f ca="1">IFERROR(__xludf.DUMMYFUNCTION("""COMPUTED_VALUE"""),"ООО ""Космос-1"" 153-РДО от 15.04.2022")</f>
        <v>ООО "Космос-1" 153-РДО от 15.04.2022</v>
      </c>
      <c r="D14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1" t="str">
        <f ca="1">IFERROR(__xludf.DUMMYFUNCTION("""COMPUTED_VALUE"""),"Новый")</f>
        <v>Новый</v>
      </c>
      <c r="G1421" s="68"/>
      <c r="K1421" s="68"/>
    </row>
    <row r="1422" spans="1:11" ht="12.75">
      <c r="A1422" s="69">
        <f ca="1">IFERROR(__xludf.DUMMYFUNCTION("""COMPUTED_VALUE"""),94523)</f>
        <v>94523</v>
      </c>
      <c r="B1422" s="4">
        <f ca="1">IFERROR(__xludf.DUMMYFUNCTION("""COMPUTED_VALUE"""),44667)</f>
        <v>44667</v>
      </c>
      <c r="C1422" t="str">
        <f ca="1">IFERROR(__xludf.DUMMYFUNCTION("""COMPUTED_VALUE"""),"ООО ""СИБКОМ"" 154-РДО от 15.04.2022")</f>
        <v>ООО "СИБКОМ" 154-РДО от 15.04.2022</v>
      </c>
      <c r="D14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2" t="str">
        <f ca="1">IFERROR(__xludf.DUMMYFUNCTION("""COMPUTED_VALUE"""),"Новый")</f>
        <v>Новый</v>
      </c>
      <c r="G1422" s="68"/>
      <c r="K1422" s="68"/>
    </row>
    <row r="1423" spans="1:11" ht="12.75">
      <c r="A1423" s="69">
        <f ca="1">IFERROR(__xludf.DUMMYFUNCTION("""COMPUTED_VALUE"""),94524)</f>
        <v>94524</v>
      </c>
      <c r="B1423" s="4">
        <f ca="1">IFERROR(__xludf.DUMMYFUNCTION("""COMPUTED_VALUE"""),44667)</f>
        <v>44667</v>
      </c>
      <c r="C1423" t="str">
        <f ca="1">IFERROR(__xludf.DUMMYFUNCTION("""COMPUTED_VALUE"""),"ООО ""СИБКОМ"" 154-РДО от 15.04.2022")</f>
        <v>ООО "СИБКОМ" 154-РДО от 15.04.2022</v>
      </c>
      <c r="D14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3" t="str">
        <f ca="1">IFERROR(__xludf.DUMMYFUNCTION("""COMPUTED_VALUE"""),"Новый")</f>
        <v>Новый</v>
      </c>
      <c r="G1423" s="68"/>
      <c r="K1423" s="68"/>
    </row>
    <row r="1424" spans="1:11" ht="12.75">
      <c r="A1424" s="69">
        <f ca="1">IFERROR(__xludf.DUMMYFUNCTION("""COMPUTED_VALUE"""),94537)</f>
        <v>94537</v>
      </c>
      <c r="B1424" s="4">
        <f ca="1">IFERROR(__xludf.DUMMYFUNCTION("""COMPUTED_VALUE"""),44667)</f>
        <v>44667</v>
      </c>
      <c r="C1424" t="str">
        <f ca="1">IFERROR(__xludf.DUMMYFUNCTION("""COMPUTED_VALUE"""),"ООО ""СИБКОМ"" 154-РДО от 15.04.2022")</f>
        <v>ООО "СИБКОМ" 154-РДО от 15.04.2022</v>
      </c>
      <c r="D14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4" t="str">
        <f ca="1">IFERROR(__xludf.DUMMYFUNCTION("""COMPUTED_VALUE"""),"Новый")</f>
        <v>Новый</v>
      </c>
      <c r="G1424" s="68"/>
      <c r="K1424" s="68"/>
    </row>
    <row r="1425" spans="1:11" ht="12.75">
      <c r="A1425" s="69">
        <f ca="1">IFERROR(__xludf.DUMMYFUNCTION("""COMPUTED_VALUE"""),94539)</f>
        <v>94539</v>
      </c>
      <c r="B1425" s="4">
        <f ca="1">IFERROR(__xludf.DUMMYFUNCTION("""COMPUTED_VALUE"""),44667)</f>
        <v>44667</v>
      </c>
      <c r="C1425" t="str">
        <f ca="1">IFERROR(__xludf.DUMMYFUNCTION("""COMPUTED_VALUE"""),"ООО ЖКО ""МОСКОВКА"" 155-РДО от 15.04.2022")</f>
        <v>ООО ЖКО "МОСКОВКА" 155-РДО от 15.04.2022</v>
      </c>
      <c r="D14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5" t="str">
        <f ca="1">IFERROR(__xludf.DUMMYFUNCTION("""COMPUTED_VALUE"""),"Новый")</f>
        <v>Новый</v>
      </c>
      <c r="G1425" s="68"/>
      <c r="K1425" s="68"/>
    </row>
    <row r="1426" spans="1:11" ht="12.75">
      <c r="A1426" s="69">
        <f ca="1">IFERROR(__xludf.DUMMYFUNCTION("""COMPUTED_VALUE"""),94540)</f>
        <v>94540</v>
      </c>
      <c r="B1426" s="4">
        <f ca="1">IFERROR(__xludf.DUMMYFUNCTION("""COMPUTED_VALUE"""),44667)</f>
        <v>44667</v>
      </c>
      <c r="C1426" t="str">
        <f ca="1">IFERROR(__xludf.DUMMYFUNCTION("""COMPUTED_VALUE"""),"ООО ЖКО ""МОСКОВКА"" 155-РДО от 15.04.2022")</f>
        <v>ООО ЖКО "МОСКОВКА" 155-РДО от 15.04.2022</v>
      </c>
      <c r="D14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6" t="str">
        <f ca="1">IFERROR(__xludf.DUMMYFUNCTION("""COMPUTED_VALUE"""),"Новый")</f>
        <v>Новый</v>
      </c>
      <c r="G1426" s="68"/>
      <c r="K1426" s="68"/>
    </row>
    <row r="1427" spans="1:11" ht="12.75">
      <c r="A1427" s="69">
        <f ca="1">IFERROR(__xludf.DUMMYFUNCTION("""COMPUTED_VALUE"""),94541)</f>
        <v>94541</v>
      </c>
      <c r="B1427" s="4">
        <f ca="1">IFERROR(__xludf.DUMMYFUNCTION("""COMPUTED_VALUE"""),44667)</f>
        <v>44667</v>
      </c>
      <c r="C1427" t="str">
        <f ca="1">IFERROR(__xludf.DUMMYFUNCTION("""COMPUTED_VALUE"""),"ООО ЖКО ""МОСКОВКА"" 155-РДО от 15.04.2022")</f>
        <v>ООО ЖКО "МОСКОВКА" 155-РДО от 15.04.2022</v>
      </c>
      <c r="D14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7" t="str">
        <f ca="1">IFERROR(__xludf.DUMMYFUNCTION("""COMPUTED_VALUE"""),"Новый")</f>
        <v>Новый</v>
      </c>
      <c r="G1427" s="68"/>
      <c r="K1427" s="68"/>
    </row>
    <row r="1428" spans="1:11" ht="12.75">
      <c r="A1428" s="69">
        <f ca="1">IFERROR(__xludf.DUMMYFUNCTION("""COMPUTED_VALUE"""),94542)</f>
        <v>94542</v>
      </c>
      <c r="B1428" s="4">
        <f ca="1">IFERROR(__xludf.DUMMYFUNCTION("""COMPUTED_VALUE"""),44667)</f>
        <v>44667</v>
      </c>
      <c r="C1428" t="str">
        <f ca="1">IFERROR(__xludf.DUMMYFUNCTION("""COMPUTED_VALUE"""),"ООО ЖКО ""МОСКОВКА"" 155-РДО от 15.04.2022")</f>
        <v>ООО ЖКО "МОСКОВКА" 155-РДО от 15.04.2022</v>
      </c>
      <c r="D14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8" t="str">
        <f ca="1">IFERROR(__xludf.DUMMYFUNCTION("""COMPUTED_VALUE"""),"Новый")</f>
        <v>Новый</v>
      </c>
      <c r="G1428" s="68"/>
      <c r="K1428" s="68"/>
    </row>
    <row r="1429" spans="1:11" ht="12.75">
      <c r="A1429" s="69">
        <f ca="1">IFERROR(__xludf.DUMMYFUNCTION("""COMPUTED_VALUE"""),94543)</f>
        <v>94543</v>
      </c>
      <c r="B1429" s="4">
        <f ca="1">IFERROR(__xludf.DUMMYFUNCTION("""COMPUTED_VALUE"""),44667)</f>
        <v>44667</v>
      </c>
      <c r="C1429" t="str">
        <f ca="1">IFERROR(__xludf.DUMMYFUNCTION("""COMPUTED_VALUE"""),"ООО ЖКО ""МОСКОВКА"" 155-РДО от 15.04.2022")</f>
        <v>ООО ЖКО "МОСКОВКА" 155-РДО от 15.04.2022</v>
      </c>
      <c r="D14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29" t="str">
        <f ca="1">IFERROR(__xludf.DUMMYFUNCTION("""COMPUTED_VALUE"""),"Новый")</f>
        <v>Новый</v>
      </c>
      <c r="G1429" s="68"/>
      <c r="K1429" s="68"/>
    </row>
    <row r="1430" spans="1:11" ht="12.75">
      <c r="A1430" s="69">
        <f ca="1">IFERROR(__xludf.DUMMYFUNCTION("""COMPUTED_VALUE"""),94544)</f>
        <v>94544</v>
      </c>
      <c r="B1430" s="4">
        <f ca="1">IFERROR(__xludf.DUMMYFUNCTION("""COMPUTED_VALUE"""),44667)</f>
        <v>44667</v>
      </c>
      <c r="C1430" t="str">
        <f ca="1">IFERROR(__xludf.DUMMYFUNCTION("""COMPUTED_VALUE"""),"ООО ЖКО ""МОСКОВКА"" 155-РДО от 15.04.2022")</f>
        <v>ООО ЖКО "МОСКОВКА" 155-РДО от 15.04.2022</v>
      </c>
      <c r="D14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0" t="str">
        <f ca="1">IFERROR(__xludf.DUMMYFUNCTION("""COMPUTED_VALUE"""),"Новый")</f>
        <v>Новый</v>
      </c>
      <c r="G1430" s="68"/>
      <c r="K1430" s="68"/>
    </row>
    <row r="1431" spans="1:11" ht="12.75">
      <c r="A1431" s="69">
        <f ca="1">IFERROR(__xludf.DUMMYFUNCTION("""COMPUTED_VALUE"""),94545)</f>
        <v>94545</v>
      </c>
      <c r="B1431" s="4">
        <f ca="1">IFERROR(__xludf.DUMMYFUNCTION("""COMPUTED_VALUE"""),44667)</f>
        <v>44667</v>
      </c>
      <c r="C1431" t="str">
        <f ca="1">IFERROR(__xludf.DUMMYFUNCTION("""COMPUTED_VALUE"""),"ООО ЖКО ""МОСКОВКА"" 155-РДО от 15.04.2022")</f>
        <v>ООО ЖКО "МОСКОВКА" 155-РДО от 15.04.2022</v>
      </c>
      <c r="D14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1" t="str">
        <f ca="1">IFERROR(__xludf.DUMMYFUNCTION("""COMPUTED_VALUE"""),"Новый")</f>
        <v>Новый</v>
      </c>
      <c r="G1431" s="68"/>
      <c r="K1431" s="68"/>
    </row>
    <row r="1432" spans="1:11" ht="12.75">
      <c r="A1432" s="69">
        <f ca="1">IFERROR(__xludf.DUMMYFUNCTION("""COMPUTED_VALUE"""),94546)</f>
        <v>94546</v>
      </c>
      <c r="B1432" s="4">
        <f ca="1">IFERROR(__xludf.DUMMYFUNCTION("""COMPUTED_VALUE"""),44667)</f>
        <v>44667</v>
      </c>
      <c r="C1432" t="str">
        <f ca="1">IFERROR(__xludf.DUMMYFUNCTION("""COMPUTED_VALUE"""),"ООО ЖКО ""МОСКОВКА"" 155-РДО от 15.04.2022")</f>
        <v>ООО ЖКО "МОСКОВКА" 155-РДО от 15.04.2022</v>
      </c>
      <c r="D14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2" t="str">
        <f ca="1">IFERROR(__xludf.DUMMYFUNCTION("""COMPUTED_VALUE"""),"Новый")</f>
        <v>Новый</v>
      </c>
      <c r="G1432" s="68"/>
      <c r="K1432" s="68"/>
    </row>
    <row r="1433" spans="1:11" ht="12.75">
      <c r="A1433" s="69">
        <f ca="1">IFERROR(__xludf.DUMMYFUNCTION("""COMPUTED_VALUE"""),94547)</f>
        <v>94547</v>
      </c>
      <c r="B1433" s="4">
        <f ca="1">IFERROR(__xludf.DUMMYFUNCTION("""COMPUTED_VALUE"""),44667)</f>
        <v>44667</v>
      </c>
      <c r="C1433" t="str">
        <f ca="1">IFERROR(__xludf.DUMMYFUNCTION("""COMPUTED_VALUE"""),"ООО ЖКО ""МОСКОВКА"" 155-РДО от 15.04.2022")</f>
        <v>ООО ЖКО "МОСКОВКА" 155-РДО от 15.04.2022</v>
      </c>
      <c r="D14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3" t="str">
        <f ca="1">IFERROR(__xludf.DUMMYFUNCTION("""COMPUTED_VALUE"""),"Новый")</f>
        <v>Новый</v>
      </c>
      <c r="G1433" s="68"/>
      <c r="K1433" s="68"/>
    </row>
    <row r="1434" spans="1:11" ht="12.75">
      <c r="A1434" s="69">
        <f ca="1">IFERROR(__xludf.DUMMYFUNCTION("""COMPUTED_VALUE"""),94548)</f>
        <v>94548</v>
      </c>
      <c r="B1434" s="4">
        <f ca="1">IFERROR(__xludf.DUMMYFUNCTION("""COMPUTED_VALUE"""),44667)</f>
        <v>44667</v>
      </c>
      <c r="C1434" t="str">
        <f ca="1">IFERROR(__xludf.DUMMYFUNCTION("""COMPUTED_VALUE"""),"ООО ЖКО ""МОСКОВКА"" 155-РДО от 15.04.2022")</f>
        <v>ООО ЖКО "МОСКОВКА" 155-РДО от 15.04.2022</v>
      </c>
      <c r="D14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4" t="str">
        <f ca="1">IFERROR(__xludf.DUMMYFUNCTION("""COMPUTED_VALUE"""),"Новый")</f>
        <v>Новый</v>
      </c>
      <c r="G1434" s="68"/>
      <c r="K1434" s="68"/>
    </row>
    <row r="1435" spans="1:11" ht="12.75">
      <c r="A1435" s="69">
        <f ca="1">IFERROR(__xludf.DUMMYFUNCTION("""COMPUTED_VALUE"""),94549)</f>
        <v>94549</v>
      </c>
      <c r="B1435" s="4">
        <f ca="1">IFERROR(__xludf.DUMMYFUNCTION("""COMPUTED_VALUE"""),44667)</f>
        <v>44667</v>
      </c>
      <c r="C1435" t="str">
        <f ca="1">IFERROR(__xludf.DUMMYFUNCTION("""COMPUTED_VALUE"""),"ООО ЖКО ""МОСКОВКА"" 155-РДО от 15.04.2022")</f>
        <v>ООО ЖКО "МОСКОВКА" 155-РДО от 15.04.2022</v>
      </c>
      <c r="D14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5" t="str">
        <f ca="1">IFERROR(__xludf.DUMMYFUNCTION("""COMPUTED_VALUE"""),"Новый")</f>
        <v>Новый</v>
      </c>
      <c r="G1435" s="68"/>
      <c r="K1435" s="68"/>
    </row>
    <row r="1436" spans="1:11" ht="12.75">
      <c r="A1436" s="69">
        <f ca="1">IFERROR(__xludf.DUMMYFUNCTION("""COMPUTED_VALUE"""),94550)</f>
        <v>94550</v>
      </c>
      <c r="B1436" s="4">
        <f ca="1">IFERROR(__xludf.DUMMYFUNCTION("""COMPUTED_VALUE"""),44667)</f>
        <v>44667</v>
      </c>
      <c r="C1436" t="str">
        <f ca="1">IFERROR(__xludf.DUMMYFUNCTION("""COMPUTED_VALUE"""),"ООО ЖКО ""МОСКОВКА"" 155-РДО от 15.04.2022")</f>
        <v>ООО ЖКО "МОСКОВКА" 155-РДО от 15.04.2022</v>
      </c>
      <c r="D14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6" t="str">
        <f ca="1">IFERROR(__xludf.DUMMYFUNCTION("""COMPUTED_VALUE"""),"Новый")</f>
        <v>Новый</v>
      </c>
      <c r="G1436" s="68"/>
      <c r="K1436" s="68"/>
    </row>
    <row r="1437" spans="1:11" ht="12.75">
      <c r="A1437" s="69">
        <f ca="1">IFERROR(__xludf.DUMMYFUNCTION("""COMPUTED_VALUE"""),94551)</f>
        <v>94551</v>
      </c>
      <c r="B1437" s="4">
        <f ca="1">IFERROR(__xludf.DUMMYFUNCTION("""COMPUTED_VALUE"""),44667)</f>
        <v>44667</v>
      </c>
      <c r="C1437" t="str">
        <f ca="1">IFERROR(__xludf.DUMMYFUNCTION("""COMPUTED_VALUE"""),"ООО ЖКО ""МОСКОВКА"" 155-РДО от 15.04.2022")</f>
        <v>ООО ЖКО "МОСКОВКА" 155-РДО от 15.04.2022</v>
      </c>
      <c r="D14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7" t="str">
        <f ca="1">IFERROR(__xludf.DUMMYFUNCTION("""COMPUTED_VALUE"""),"Новый")</f>
        <v>Новый</v>
      </c>
      <c r="G1437" s="68"/>
      <c r="K1437" s="68"/>
    </row>
    <row r="1438" spans="1:11" ht="12.75">
      <c r="A1438" s="69">
        <f ca="1">IFERROR(__xludf.DUMMYFUNCTION("""COMPUTED_VALUE"""),94552)</f>
        <v>94552</v>
      </c>
      <c r="B1438" s="4">
        <f ca="1">IFERROR(__xludf.DUMMYFUNCTION("""COMPUTED_VALUE"""),44667)</f>
        <v>44667</v>
      </c>
      <c r="C1438" t="str">
        <f ca="1">IFERROR(__xludf.DUMMYFUNCTION("""COMPUTED_VALUE"""),"ООО ЖКО ""МОСКОВКА"" 155-РДО от 15.04.2022")</f>
        <v>ООО ЖКО "МОСКОВКА" 155-РДО от 15.04.2022</v>
      </c>
      <c r="D14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8" t="str">
        <f ca="1">IFERROR(__xludf.DUMMYFUNCTION("""COMPUTED_VALUE"""),"Новый")</f>
        <v>Новый</v>
      </c>
      <c r="G1438" s="68"/>
      <c r="K1438" s="68"/>
    </row>
    <row r="1439" spans="1:11" ht="12.75">
      <c r="A1439" s="69">
        <f ca="1">IFERROR(__xludf.DUMMYFUNCTION("""COMPUTED_VALUE"""),94553)</f>
        <v>94553</v>
      </c>
      <c r="B1439" s="4">
        <f ca="1">IFERROR(__xludf.DUMMYFUNCTION("""COMPUTED_VALUE"""),44667)</f>
        <v>44667</v>
      </c>
      <c r="C1439" t="str">
        <f ca="1">IFERROR(__xludf.DUMMYFUNCTION("""COMPUTED_VALUE"""),"ООО ЖКО ""МОСКОВКА"" 155-РДО от 15.04.2022")</f>
        <v>ООО ЖКО "МОСКОВКА" 155-РДО от 15.04.2022</v>
      </c>
      <c r="D14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39" t="str">
        <f ca="1">IFERROR(__xludf.DUMMYFUNCTION("""COMPUTED_VALUE"""),"Новый")</f>
        <v>Новый</v>
      </c>
      <c r="G1439" s="68"/>
      <c r="K1439" s="68"/>
    </row>
    <row r="1440" spans="1:11" ht="12.75">
      <c r="A1440" s="69">
        <f ca="1">IFERROR(__xludf.DUMMYFUNCTION("""COMPUTED_VALUE"""),94554)</f>
        <v>94554</v>
      </c>
      <c r="B1440" s="4">
        <f ca="1">IFERROR(__xludf.DUMMYFUNCTION("""COMPUTED_VALUE"""),44667)</f>
        <v>44667</v>
      </c>
      <c r="C1440" t="str">
        <f ca="1">IFERROR(__xludf.DUMMYFUNCTION("""COMPUTED_VALUE"""),"ООО ЖКО ""МОСКОВКА"" 155-РДО от 15.04.2022")</f>
        <v>ООО ЖКО "МОСКОВКА" 155-РДО от 15.04.2022</v>
      </c>
      <c r="D14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0" t="str">
        <f ca="1">IFERROR(__xludf.DUMMYFUNCTION("""COMPUTED_VALUE"""),"Новый")</f>
        <v>Новый</v>
      </c>
      <c r="G1440" s="68"/>
      <c r="K1440" s="68"/>
    </row>
    <row r="1441" spans="1:11" ht="12.75">
      <c r="A1441" s="69">
        <f ca="1">IFERROR(__xludf.DUMMYFUNCTION("""COMPUTED_VALUE"""),94555)</f>
        <v>94555</v>
      </c>
      <c r="B1441" s="4">
        <f ca="1">IFERROR(__xludf.DUMMYFUNCTION("""COMPUTED_VALUE"""),44667)</f>
        <v>44667</v>
      </c>
      <c r="C1441" t="str">
        <f ca="1">IFERROR(__xludf.DUMMYFUNCTION("""COMPUTED_VALUE"""),"ООО ЖКО ""МОСКОВКА"" 155-РДО от 15.04.2022")</f>
        <v>ООО ЖКО "МОСКОВКА" 155-РДО от 15.04.2022</v>
      </c>
      <c r="D14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1" t="str">
        <f ca="1">IFERROR(__xludf.DUMMYFUNCTION("""COMPUTED_VALUE"""),"Новый")</f>
        <v>Новый</v>
      </c>
      <c r="G1441" s="68"/>
      <c r="K1441" s="68"/>
    </row>
    <row r="1442" spans="1:11" ht="12.75">
      <c r="A1442" s="69">
        <f ca="1">IFERROR(__xludf.DUMMYFUNCTION("""COMPUTED_VALUE"""),94556)</f>
        <v>94556</v>
      </c>
      <c r="B1442" s="4">
        <f ca="1">IFERROR(__xludf.DUMMYFUNCTION("""COMPUTED_VALUE"""),44667)</f>
        <v>44667</v>
      </c>
      <c r="C1442" t="str">
        <f ca="1">IFERROR(__xludf.DUMMYFUNCTION("""COMPUTED_VALUE"""),"ООО ЖКО ""МОСКОВКА"" 155-РДО от 15.04.2022")</f>
        <v>ООО ЖКО "МОСКОВКА" 155-РДО от 15.04.2022</v>
      </c>
      <c r="D14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2" t="str">
        <f ca="1">IFERROR(__xludf.DUMMYFUNCTION("""COMPUTED_VALUE"""),"Новый")</f>
        <v>Новый</v>
      </c>
      <c r="G1442" s="68"/>
      <c r="K1442" s="68"/>
    </row>
    <row r="1443" spans="1:11" ht="12.75">
      <c r="A1443" s="69">
        <f ca="1">IFERROR(__xludf.DUMMYFUNCTION("""COMPUTED_VALUE"""),94557)</f>
        <v>94557</v>
      </c>
      <c r="B1443" s="4">
        <f ca="1">IFERROR(__xludf.DUMMYFUNCTION("""COMPUTED_VALUE"""),44667)</f>
        <v>44667</v>
      </c>
      <c r="C1443" t="str">
        <f ca="1">IFERROR(__xludf.DUMMYFUNCTION("""COMPUTED_VALUE"""),"ООО ЖКО ""МОСКОВКА"" 155-РДО от 15.04.2022")</f>
        <v>ООО ЖКО "МОСКОВКА" 155-РДО от 15.04.2022</v>
      </c>
      <c r="D14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3" t="str">
        <f ca="1">IFERROR(__xludf.DUMMYFUNCTION("""COMPUTED_VALUE"""),"Новый")</f>
        <v>Новый</v>
      </c>
      <c r="G1443" s="68"/>
      <c r="K1443" s="68"/>
    </row>
    <row r="1444" spans="1:11" ht="12.75">
      <c r="A1444" s="69">
        <f ca="1">IFERROR(__xludf.DUMMYFUNCTION("""COMPUTED_VALUE"""),94558)</f>
        <v>94558</v>
      </c>
      <c r="B1444" s="4">
        <f ca="1">IFERROR(__xludf.DUMMYFUNCTION("""COMPUTED_VALUE"""),44667)</f>
        <v>44667</v>
      </c>
      <c r="C1444" t="str">
        <f ca="1">IFERROR(__xludf.DUMMYFUNCTION("""COMPUTED_VALUE"""),"ООО ЖКО ""МОСКОВКА"" 155-РДО от 15.04.2022")</f>
        <v>ООО ЖКО "МОСКОВКА" 155-РДО от 15.04.2022</v>
      </c>
      <c r="D14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4" t="str">
        <f ca="1">IFERROR(__xludf.DUMMYFUNCTION("""COMPUTED_VALUE"""),"Новый")</f>
        <v>Новый</v>
      </c>
      <c r="G1444" s="68"/>
      <c r="K1444" s="68"/>
    </row>
    <row r="1445" spans="1:11" ht="12.75">
      <c r="A1445" s="69">
        <f ca="1">IFERROR(__xludf.DUMMYFUNCTION("""COMPUTED_VALUE"""),94566)</f>
        <v>94566</v>
      </c>
      <c r="B1445" s="4">
        <f ca="1">IFERROR(__xludf.DUMMYFUNCTION("""COMPUTED_VALUE"""),44667)</f>
        <v>44667</v>
      </c>
      <c r="C1445" t="str">
        <f ca="1">IFERROR(__xludf.DUMMYFUNCTION("""COMPUTED_VALUE"""),"ООО ЖКО ""МОСКОВКА"" 155-РДО от 15.04.2022")</f>
        <v>ООО ЖКО "МОСКОВКА" 155-РДО от 15.04.2022</v>
      </c>
      <c r="D14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5" t="str">
        <f ca="1">IFERROR(__xludf.DUMMYFUNCTION("""COMPUTED_VALUE"""),"Новый")</f>
        <v>Новый</v>
      </c>
      <c r="G1445" s="68"/>
      <c r="K1445" s="68"/>
    </row>
    <row r="1446" spans="1:11" ht="12.75">
      <c r="A1446" s="69">
        <f ca="1">IFERROR(__xludf.DUMMYFUNCTION("""COMPUTED_VALUE"""),94567)</f>
        <v>94567</v>
      </c>
      <c r="B1446" s="4">
        <f ca="1">IFERROR(__xludf.DUMMYFUNCTION("""COMPUTED_VALUE"""),44667)</f>
        <v>44667</v>
      </c>
      <c r="C1446" t="str">
        <f ca="1">IFERROR(__xludf.DUMMYFUNCTION("""COMPUTED_VALUE"""),"ООО ЖКО ""МОСКОВКА"" 155-РДО от 15.04.2022")</f>
        <v>ООО ЖКО "МОСКОВКА" 155-РДО от 15.04.2022</v>
      </c>
      <c r="D14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6" t="str">
        <f ca="1">IFERROR(__xludf.DUMMYFUNCTION("""COMPUTED_VALUE"""),"Новый")</f>
        <v>Новый</v>
      </c>
      <c r="G1446" s="68"/>
      <c r="K1446" s="68"/>
    </row>
    <row r="1447" spans="1:11" ht="12.75">
      <c r="A1447" s="69">
        <f ca="1">IFERROR(__xludf.DUMMYFUNCTION("""COMPUTED_VALUE"""),94568)</f>
        <v>94568</v>
      </c>
      <c r="B1447" s="4">
        <f ca="1">IFERROR(__xludf.DUMMYFUNCTION("""COMPUTED_VALUE"""),44667)</f>
        <v>44667</v>
      </c>
      <c r="C1447" t="str">
        <f ca="1">IFERROR(__xludf.DUMMYFUNCTION("""COMPUTED_VALUE"""),"ООО ЖКО ""МОСКОВКА"" 155-РДО от 15.04.2022")</f>
        <v>ООО ЖКО "МОСКОВКА" 155-РДО от 15.04.2022</v>
      </c>
      <c r="D14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7" t="str">
        <f ca="1">IFERROR(__xludf.DUMMYFUNCTION("""COMPUTED_VALUE"""),"Новый")</f>
        <v>Новый</v>
      </c>
      <c r="G1447" s="68"/>
      <c r="K1447" s="68"/>
    </row>
    <row r="1448" spans="1:11" ht="12.75">
      <c r="A1448" s="69">
        <f ca="1">IFERROR(__xludf.DUMMYFUNCTION("""COMPUTED_VALUE"""),94581)</f>
        <v>94581</v>
      </c>
      <c r="B1448" s="4">
        <f ca="1">IFERROR(__xludf.DUMMYFUNCTION("""COMPUTED_VALUE"""),44667)</f>
        <v>44667</v>
      </c>
      <c r="C1448" t="str">
        <f ca="1">IFERROR(__xludf.DUMMYFUNCTION("""COMPUTED_VALUE"""),"ООО ЖКО ""МОСКОВКА"" 155-РДО от 15.04.2022")</f>
        <v>ООО ЖКО "МОСКОВКА" 155-РДО от 15.04.2022</v>
      </c>
      <c r="D14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8" t="str">
        <f ca="1">IFERROR(__xludf.DUMMYFUNCTION("""COMPUTED_VALUE"""),"Новый")</f>
        <v>Новый</v>
      </c>
      <c r="G1448" s="68"/>
      <c r="K1448" s="68"/>
    </row>
    <row r="1449" spans="1:11" ht="12.75">
      <c r="A1449" s="69">
        <f ca="1">IFERROR(__xludf.DUMMYFUNCTION("""COMPUTED_VALUE"""),94582)</f>
        <v>94582</v>
      </c>
      <c r="B1449" s="4">
        <f ca="1">IFERROR(__xludf.DUMMYFUNCTION("""COMPUTED_VALUE"""),44667)</f>
        <v>44667</v>
      </c>
      <c r="C1449" t="str">
        <f ca="1">IFERROR(__xludf.DUMMYFUNCTION("""COMPUTED_VALUE"""),"ООО ЖКО ""МОСКОВКА"" 155-РДО от 15.04.2022")</f>
        <v>ООО ЖКО "МОСКОВКА" 155-РДО от 15.04.2022</v>
      </c>
      <c r="D14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49" t="str">
        <f ca="1">IFERROR(__xludf.DUMMYFUNCTION("""COMPUTED_VALUE"""),"Новый")</f>
        <v>Новый</v>
      </c>
      <c r="G1449" s="68"/>
      <c r="K1449" s="68"/>
    </row>
    <row r="1450" spans="1:11" ht="12.75">
      <c r="A1450" s="69">
        <f ca="1">IFERROR(__xludf.DUMMYFUNCTION("""COMPUTED_VALUE"""),94583)</f>
        <v>94583</v>
      </c>
      <c r="B1450" s="4">
        <f ca="1">IFERROR(__xludf.DUMMYFUNCTION("""COMPUTED_VALUE"""),44667)</f>
        <v>44667</v>
      </c>
      <c r="C1450" t="str">
        <f ca="1">IFERROR(__xludf.DUMMYFUNCTION("""COMPUTED_VALUE"""),"ООО ЖКО ""МОСКОВКА"" 155-РДО от 15.04.2022")</f>
        <v>ООО ЖКО "МОСКОВКА" 155-РДО от 15.04.2022</v>
      </c>
      <c r="D14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0" t="str">
        <f ca="1">IFERROR(__xludf.DUMMYFUNCTION("""COMPUTED_VALUE"""),"Новый")</f>
        <v>Новый</v>
      </c>
      <c r="G1450" s="68"/>
      <c r="K1450" s="68"/>
    </row>
    <row r="1451" spans="1:11" ht="12.75">
      <c r="A1451" s="69">
        <f ca="1">IFERROR(__xludf.DUMMYFUNCTION("""COMPUTED_VALUE"""),94584)</f>
        <v>94584</v>
      </c>
      <c r="B1451" s="4">
        <f ca="1">IFERROR(__xludf.DUMMYFUNCTION("""COMPUTED_VALUE"""),44667)</f>
        <v>44667</v>
      </c>
      <c r="C1451" t="str">
        <f ca="1">IFERROR(__xludf.DUMMYFUNCTION("""COMPUTED_VALUE"""),"ООО ЖКО ""МОСКОВКА"" 155-РДО от 15.04.2022")</f>
        <v>ООО ЖКО "МОСКОВКА" 155-РДО от 15.04.2022</v>
      </c>
      <c r="D14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1" t="str">
        <f ca="1">IFERROR(__xludf.DUMMYFUNCTION("""COMPUTED_VALUE"""),"Новый")</f>
        <v>Новый</v>
      </c>
      <c r="G1451" s="68"/>
      <c r="K1451" s="68"/>
    </row>
    <row r="1452" spans="1:11" ht="12.75">
      <c r="A1452" s="69">
        <f ca="1">IFERROR(__xludf.DUMMYFUNCTION("""COMPUTED_VALUE"""),94585)</f>
        <v>94585</v>
      </c>
      <c r="B1452" s="4">
        <f ca="1">IFERROR(__xludf.DUMMYFUNCTION("""COMPUTED_VALUE"""),44667)</f>
        <v>44667</v>
      </c>
      <c r="C1452" t="str">
        <f ca="1">IFERROR(__xludf.DUMMYFUNCTION("""COMPUTED_VALUE"""),"ООО ЖКО ""МОСКОВКА"" 155-РДО от 15.04.2022")</f>
        <v>ООО ЖКО "МОСКОВКА" 155-РДО от 15.04.2022</v>
      </c>
      <c r="D14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2" t="str">
        <f ca="1">IFERROR(__xludf.DUMMYFUNCTION("""COMPUTED_VALUE"""),"Новый")</f>
        <v>Новый</v>
      </c>
      <c r="G1452" s="68"/>
      <c r="K1452" s="68"/>
    </row>
    <row r="1453" spans="1:11" ht="12.75">
      <c r="A1453" s="69">
        <f ca="1">IFERROR(__xludf.DUMMYFUNCTION("""COMPUTED_VALUE"""),94586)</f>
        <v>94586</v>
      </c>
      <c r="B1453" s="4">
        <f ca="1">IFERROR(__xludf.DUMMYFUNCTION("""COMPUTED_VALUE"""),44667)</f>
        <v>44667</v>
      </c>
      <c r="C1453" t="str">
        <f ca="1">IFERROR(__xludf.DUMMYFUNCTION("""COMPUTED_VALUE"""),"ООО ЖКО ""МОСКОВКА"" 155-РДО от 15.04.2022")</f>
        <v>ООО ЖКО "МОСКОВКА" 155-РДО от 15.04.2022</v>
      </c>
      <c r="D14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3" t="str">
        <f ca="1">IFERROR(__xludf.DUMMYFUNCTION("""COMPUTED_VALUE"""),"Новый")</f>
        <v>Новый</v>
      </c>
      <c r="G1453" s="68"/>
      <c r="K1453" s="68"/>
    </row>
    <row r="1454" spans="1:11" ht="12.75">
      <c r="A1454" s="69">
        <f ca="1">IFERROR(__xludf.DUMMYFUNCTION("""COMPUTED_VALUE"""),94587)</f>
        <v>94587</v>
      </c>
      <c r="B1454" s="4">
        <f ca="1">IFERROR(__xludf.DUMMYFUNCTION("""COMPUTED_VALUE"""),44667)</f>
        <v>44667</v>
      </c>
      <c r="C1454" t="str">
        <f ca="1">IFERROR(__xludf.DUMMYFUNCTION("""COMPUTED_VALUE"""),"ООО ЖКО ""МОСКОВКА"" 155-РДО от 15.04.2022")</f>
        <v>ООО ЖКО "МОСКОВКА" 155-РДО от 15.04.2022</v>
      </c>
      <c r="D14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4" t="str">
        <f ca="1">IFERROR(__xludf.DUMMYFUNCTION("""COMPUTED_VALUE"""),"Новый")</f>
        <v>Новый</v>
      </c>
      <c r="G1454" s="68"/>
      <c r="K1454" s="68"/>
    </row>
    <row r="1455" spans="1:11" ht="12.75">
      <c r="A1455" s="69">
        <f ca="1">IFERROR(__xludf.DUMMYFUNCTION("""COMPUTED_VALUE"""),94588)</f>
        <v>94588</v>
      </c>
      <c r="B1455" s="4">
        <f ca="1">IFERROR(__xludf.DUMMYFUNCTION("""COMPUTED_VALUE"""),44667)</f>
        <v>44667</v>
      </c>
      <c r="C1455" t="str">
        <f ca="1">IFERROR(__xludf.DUMMYFUNCTION("""COMPUTED_VALUE"""),"ООО ЖКО ""МОСКОВКА"" 155-РДО от 15.04.2022")</f>
        <v>ООО ЖКО "МОСКОВКА" 155-РДО от 15.04.2022</v>
      </c>
      <c r="D14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5" t="str">
        <f ca="1">IFERROR(__xludf.DUMMYFUNCTION("""COMPUTED_VALUE"""),"Новый")</f>
        <v>Новый</v>
      </c>
      <c r="G1455" s="68"/>
      <c r="K1455" s="68"/>
    </row>
    <row r="1456" spans="1:11" ht="12.75">
      <c r="A1456" s="69">
        <f ca="1">IFERROR(__xludf.DUMMYFUNCTION("""COMPUTED_VALUE"""),94604)</f>
        <v>94604</v>
      </c>
      <c r="B1456" s="4">
        <f ca="1">IFERROR(__xludf.DUMMYFUNCTION("""COMPUTED_VALUE"""),44667)</f>
        <v>44667</v>
      </c>
      <c r="C1456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6" t="str">
        <f ca="1">IFERROR(__xludf.DUMMYFUNCTION("""COMPUTED_VALUE"""),"Новый")</f>
        <v>Новый</v>
      </c>
      <c r="G1456" s="68"/>
      <c r="K1456" s="68"/>
    </row>
    <row r="1457" spans="1:11" ht="12.75">
      <c r="A1457" s="69">
        <f ca="1">IFERROR(__xludf.DUMMYFUNCTION("""COMPUTED_VALUE"""),94605)</f>
        <v>94605</v>
      </c>
      <c r="B1457" s="4">
        <f ca="1">IFERROR(__xludf.DUMMYFUNCTION("""COMPUTED_VALUE"""),44667)</f>
        <v>44667</v>
      </c>
      <c r="C1457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7" t="str">
        <f ca="1">IFERROR(__xludf.DUMMYFUNCTION("""COMPUTED_VALUE"""),"Новый")</f>
        <v>Новый</v>
      </c>
      <c r="G1457" s="68"/>
      <c r="K1457" s="68"/>
    </row>
    <row r="1458" spans="1:11" ht="12.75">
      <c r="A1458" s="69">
        <f ca="1">IFERROR(__xludf.DUMMYFUNCTION("""COMPUTED_VALUE"""),94606)</f>
        <v>94606</v>
      </c>
      <c r="B1458" s="4">
        <f ca="1">IFERROR(__xludf.DUMMYFUNCTION("""COMPUTED_VALUE"""),44667)</f>
        <v>44667</v>
      </c>
      <c r="C1458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8" t="str">
        <f ca="1">IFERROR(__xludf.DUMMYFUNCTION("""COMPUTED_VALUE"""),"Новый")</f>
        <v>Новый</v>
      </c>
      <c r="G1458" s="68"/>
      <c r="K1458" s="68"/>
    </row>
    <row r="1459" spans="1:11" ht="12.75">
      <c r="A1459" s="69">
        <f ca="1">IFERROR(__xludf.DUMMYFUNCTION("""COMPUTED_VALUE"""),94607)</f>
        <v>94607</v>
      </c>
      <c r="B1459" s="4">
        <f ca="1">IFERROR(__xludf.DUMMYFUNCTION("""COMPUTED_VALUE"""),44667)</f>
        <v>44667</v>
      </c>
      <c r="C1459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59" t="str">
        <f ca="1">IFERROR(__xludf.DUMMYFUNCTION("""COMPUTED_VALUE"""),"Новый")</f>
        <v>Новый</v>
      </c>
      <c r="G1459" s="68"/>
      <c r="K1459" s="68"/>
    </row>
    <row r="1460" spans="1:11" ht="12.75">
      <c r="A1460" s="69">
        <f ca="1">IFERROR(__xludf.DUMMYFUNCTION("""COMPUTED_VALUE"""),94608)</f>
        <v>94608</v>
      </c>
      <c r="B1460" s="4">
        <f ca="1">IFERROR(__xludf.DUMMYFUNCTION("""COMPUTED_VALUE"""),44667)</f>
        <v>44667</v>
      </c>
      <c r="C1460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0" t="str">
        <f ca="1">IFERROR(__xludf.DUMMYFUNCTION("""COMPUTED_VALUE"""),"Новый")</f>
        <v>Новый</v>
      </c>
      <c r="G1460" s="68"/>
      <c r="K1460" s="68"/>
    </row>
    <row r="1461" spans="1:11" ht="12.75">
      <c r="A1461" s="69">
        <f ca="1">IFERROR(__xludf.DUMMYFUNCTION("""COMPUTED_VALUE"""),94609)</f>
        <v>94609</v>
      </c>
      <c r="B1461" s="4">
        <f ca="1">IFERROR(__xludf.DUMMYFUNCTION("""COMPUTED_VALUE"""),44667)</f>
        <v>44667</v>
      </c>
      <c r="C1461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1" t="str">
        <f ca="1">IFERROR(__xludf.DUMMYFUNCTION("""COMPUTED_VALUE"""),"Новый")</f>
        <v>Новый</v>
      </c>
      <c r="G1461" s="68"/>
      <c r="K1461" s="68"/>
    </row>
    <row r="1462" spans="1:11" ht="12.75">
      <c r="A1462" s="69">
        <f ca="1">IFERROR(__xludf.DUMMYFUNCTION("""COMPUTED_VALUE"""),94610)</f>
        <v>94610</v>
      </c>
      <c r="B1462" s="4">
        <f ca="1">IFERROR(__xludf.DUMMYFUNCTION("""COMPUTED_VALUE"""),44667)</f>
        <v>44667</v>
      </c>
      <c r="C1462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2" t="str">
        <f ca="1">IFERROR(__xludf.DUMMYFUNCTION("""COMPUTED_VALUE"""),"Новый")</f>
        <v>Новый</v>
      </c>
      <c r="G1462" s="68"/>
      <c r="K1462" s="68"/>
    </row>
    <row r="1463" spans="1:11" ht="12.75">
      <c r="A1463" s="69">
        <f ca="1">IFERROR(__xludf.DUMMYFUNCTION("""COMPUTED_VALUE"""),94611)</f>
        <v>94611</v>
      </c>
      <c r="B1463" s="4">
        <f ca="1">IFERROR(__xludf.DUMMYFUNCTION("""COMPUTED_VALUE"""),44667)</f>
        <v>44667</v>
      </c>
      <c r="C1463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3" t="str">
        <f ca="1">IFERROR(__xludf.DUMMYFUNCTION("""COMPUTED_VALUE"""),"Новый")</f>
        <v>Новый</v>
      </c>
      <c r="G1463" s="68"/>
      <c r="K1463" s="68"/>
    </row>
    <row r="1464" spans="1:11" ht="12.75">
      <c r="A1464" s="69">
        <f ca="1">IFERROR(__xludf.DUMMYFUNCTION("""COMPUTED_VALUE"""),94612)</f>
        <v>94612</v>
      </c>
      <c r="B1464" s="4">
        <f ca="1">IFERROR(__xludf.DUMMYFUNCTION("""COMPUTED_VALUE"""),44667)</f>
        <v>44667</v>
      </c>
      <c r="C1464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4" t="str">
        <f ca="1">IFERROR(__xludf.DUMMYFUNCTION("""COMPUTED_VALUE"""),"Новый")</f>
        <v>Новый</v>
      </c>
      <c r="G1464" s="68"/>
      <c r="K1464" s="68"/>
    </row>
    <row r="1465" spans="1:11" ht="12.75">
      <c r="A1465" s="69">
        <f ca="1">IFERROR(__xludf.DUMMYFUNCTION("""COMPUTED_VALUE"""),94613)</f>
        <v>94613</v>
      </c>
      <c r="B1465" s="4">
        <f ca="1">IFERROR(__xludf.DUMMYFUNCTION("""COMPUTED_VALUE"""),44667)</f>
        <v>44667</v>
      </c>
      <c r="C1465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5" t="str">
        <f ca="1">IFERROR(__xludf.DUMMYFUNCTION("""COMPUTED_VALUE"""),"Новый")</f>
        <v>Новый</v>
      </c>
      <c r="G1465" s="68"/>
      <c r="K1465" s="68"/>
    </row>
    <row r="1466" spans="1:11" ht="12.75">
      <c r="A1466" s="69">
        <f ca="1">IFERROR(__xludf.DUMMYFUNCTION("""COMPUTED_VALUE"""),94614)</f>
        <v>94614</v>
      </c>
      <c r="B1466" s="4">
        <f ca="1">IFERROR(__xludf.DUMMYFUNCTION("""COMPUTED_VALUE"""),44667)</f>
        <v>44667</v>
      </c>
      <c r="C1466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6" t="str">
        <f ca="1">IFERROR(__xludf.DUMMYFUNCTION("""COMPUTED_VALUE"""),"Новый")</f>
        <v>Новый</v>
      </c>
      <c r="G1466" s="68"/>
      <c r="K1466" s="68"/>
    </row>
    <row r="1467" spans="1:11" ht="12.75">
      <c r="A1467" s="69">
        <f ca="1">IFERROR(__xludf.DUMMYFUNCTION("""COMPUTED_VALUE"""),94615)</f>
        <v>94615</v>
      </c>
      <c r="B1467" s="4">
        <f ca="1">IFERROR(__xludf.DUMMYFUNCTION("""COMPUTED_VALUE"""),44667)</f>
        <v>44667</v>
      </c>
      <c r="C1467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7" t="str">
        <f ca="1">IFERROR(__xludf.DUMMYFUNCTION("""COMPUTED_VALUE"""),"Новый")</f>
        <v>Новый</v>
      </c>
      <c r="G1467" s="68"/>
      <c r="K1467" s="68"/>
    </row>
    <row r="1468" spans="1:11" ht="12.75">
      <c r="A1468" s="69">
        <f ca="1">IFERROR(__xludf.DUMMYFUNCTION("""COMPUTED_VALUE"""),94616)</f>
        <v>94616</v>
      </c>
      <c r="B1468" s="4">
        <f ca="1">IFERROR(__xludf.DUMMYFUNCTION("""COMPUTED_VALUE"""),44667)</f>
        <v>44667</v>
      </c>
      <c r="C1468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8" t="str">
        <f ca="1">IFERROR(__xludf.DUMMYFUNCTION("""COMPUTED_VALUE"""),"Новый")</f>
        <v>Новый</v>
      </c>
      <c r="G1468" s="68"/>
      <c r="K1468" s="68"/>
    </row>
    <row r="1469" spans="1:11" ht="12.75">
      <c r="A1469" s="69">
        <f ca="1">IFERROR(__xludf.DUMMYFUNCTION("""COMPUTED_VALUE"""),94617)</f>
        <v>94617</v>
      </c>
      <c r="B1469" s="4">
        <f ca="1">IFERROR(__xludf.DUMMYFUNCTION("""COMPUTED_VALUE"""),44667)</f>
        <v>44667</v>
      </c>
      <c r="C1469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69" t="str">
        <f ca="1">IFERROR(__xludf.DUMMYFUNCTION("""COMPUTED_VALUE"""),"Новый")</f>
        <v>Новый</v>
      </c>
      <c r="G1469" s="68"/>
      <c r="K1469" s="68"/>
    </row>
    <row r="1470" spans="1:11" ht="12.75">
      <c r="A1470" s="69">
        <f ca="1">IFERROR(__xludf.DUMMYFUNCTION("""COMPUTED_VALUE"""),94618)</f>
        <v>94618</v>
      </c>
      <c r="B1470" s="4">
        <f ca="1">IFERROR(__xludf.DUMMYFUNCTION("""COMPUTED_VALUE"""),44667)</f>
        <v>44667</v>
      </c>
      <c r="C1470" t="str">
        <f ca="1">IFERROR(__xludf.DUMMYFUNCTION("""COMPUTED_VALUE"""),"ООО ""МОСКОВКА-ФИЛИАЛ ЛЕНИНСКИЙ"" 156-РДО от 15.04.2022")</f>
        <v>ООО "МОСКОВКА-ФИЛИАЛ ЛЕНИНСКИЙ" 156-РДО от 15.04.2022</v>
      </c>
      <c r="D14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0" t="str">
        <f ca="1">IFERROR(__xludf.DUMMYFUNCTION("""COMPUTED_VALUE"""),"Новый")</f>
        <v>Новый</v>
      </c>
      <c r="G1470" s="68"/>
      <c r="K1470" s="68"/>
    </row>
    <row r="1471" spans="1:11" ht="12.75">
      <c r="A1471" s="69">
        <f ca="1">IFERROR(__xludf.DUMMYFUNCTION("""COMPUTED_VALUE"""),94638)</f>
        <v>94638</v>
      </c>
      <c r="B1471" s="4">
        <f ca="1">IFERROR(__xludf.DUMMYFUNCTION("""COMPUTED_VALUE"""),44667)</f>
        <v>44667</v>
      </c>
      <c r="C1471" t="str">
        <f ca="1">IFERROR(__xludf.DUMMYFUNCTION("""COMPUTED_VALUE"""),"ООО ""УК ЖИЛИЩНИК 3"" 148-РДО от 13.04.2022")</f>
        <v>ООО "УК ЖИЛИЩНИК 3" 148-РДО от 13.04.2022</v>
      </c>
      <c r="D14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1" t="str">
        <f ca="1">IFERROR(__xludf.DUMMYFUNCTION("""COMPUTED_VALUE"""),"Новый")</f>
        <v>Новый</v>
      </c>
      <c r="G1471" s="68"/>
      <c r="K1471" s="68"/>
    </row>
    <row r="1472" spans="1:11" ht="12.75">
      <c r="A1472" s="69">
        <f ca="1">IFERROR(__xludf.DUMMYFUNCTION("""COMPUTED_VALUE"""),94639)</f>
        <v>94639</v>
      </c>
      <c r="B1472" s="4">
        <f ca="1">IFERROR(__xludf.DUMMYFUNCTION("""COMPUTED_VALUE"""),44669)</f>
        <v>44669</v>
      </c>
      <c r="C1472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2" t="str">
        <f ca="1">IFERROR(__xludf.DUMMYFUNCTION("""COMPUTED_VALUE"""),"Новый")</f>
        <v>Новый</v>
      </c>
      <c r="G1472" s="68"/>
      <c r="K1472" s="68"/>
    </row>
    <row r="1473" spans="1:11" ht="12.75">
      <c r="A1473" s="69">
        <f ca="1">IFERROR(__xludf.DUMMYFUNCTION("""COMPUTED_VALUE"""),94648)</f>
        <v>94648</v>
      </c>
      <c r="B1473" s="4">
        <f ca="1">IFERROR(__xludf.DUMMYFUNCTION("""COMPUTED_VALUE"""),44669)</f>
        <v>44669</v>
      </c>
      <c r="C1473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3" t="str">
        <f ca="1">IFERROR(__xludf.DUMMYFUNCTION("""COMPUTED_VALUE"""),"Новый")</f>
        <v>Новый</v>
      </c>
      <c r="G1473" s="68"/>
      <c r="K1473" s="68"/>
    </row>
    <row r="1474" spans="1:11" ht="12.75">
      <c r="A1474" s="69">
        <f ca="1">IFERROR(__xludf.DUMMYFUNCTION("""COMPUTED_VALUE"""),94650)</f>
        <v>94650</v>
      </c>
      <c r="B1474" s="4">
        <f ca="1">IFERROR(__xludf.DUMMYFUNCTION("""COMPUTED_VALUE"""),44669)</f>
        <v>44669</v>
      </c>
      <c r="C1474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4" t="str">
        <f ca="1">IFERROR(__xludf.DUMMYFUNCTION("""COMPUTED_VALUE"""),"Новый")</f>
        <v>Новый</v>
      </c>
      <c r="G1474" s="68"/>
      <c r="K1474" s="68"/>
    </row>
    <row r="1475" spans="1:11" ht="12.75">
      <c r="A1475" s="69">
        <f ca="1">IFERROR(__xludf.DUMMYFUNCTION("""COMPUTED_VALUE"""),94651)</f>
        <v>94651</v>
      </c>
      <c r="B1475" s="4">
        <f ca="1">IFERROR(__xludf.DUMMYFUNCTION("""COMPUTED_VALUE"""),44669)</f>
        <v>44669</v>
      </c>
      <c r="C1475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5" t="str">
        <f ca="1">IFERROR(__xludf.DUMMYFUNCTION("""COMPUTED_VALUE"""),"Новый")</f>
        <v>Новый</v>
      </c>
      <c r="G1475" s="68"/>
      <c r="K1475" s="68"/>
    </row>
    <row r="1476" spans="1:11" ht="12.75">
      <c r="A1476" s="69">
        <f ca="1">IFERROR(__xludf.DUMMYFUNCTION("""COMPUTED_VALUE"""),94652)</f>
        <v>94652</v>
      </c>
      <c r="B1476" s="4">
        <f ca="1">IFERROR(__xludf.DUMMYFUNCTION("""COMPUTED_VALUE"""),44669)</f>
        <v>44669</v>
      </c>
      <c r="C1476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6" t="str">
        <f ca="1">IFERROR(__xludf.DUMMYFUNCTION("""COMPUTED_VALUE"""),"Новый")</f>
        <v>Новый</v>
      </c>
      <c r="G1476" s="68"/>
      <c r="K1476" s="68"/>
    </row>
    <row r="1477" spans="1:11" ht="12.75">
      <c r="A1477" s="69">
        <f ca="1">IFERROR(__xludf.DUMMYFUNCTION("""COMPUTED_VALUE"""),94653)</f>
        <v>94653</v>
      </c>
      <c r="B1477" s="4">
        <f ca="1">IFERROR(__xludf.DUMMYFUNCTION("""COMPUTED_VALUE"""),44669)</f>
        <v>44669</v>
      </c>
      <c r="C1477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14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7" t="str">
        <f ca="1">IFERROR(__xludf.DUMMYFUNCTION("""COMPUTED_VALUE"""),"Новый")</f>
        <v>Новый</v>
      </c>
      <c r="G1477" s="68"/>
      <c r="K1477" s="68"/>
    </row>
    <row r="1478" spans="1:11" ht="12.75">
      <c r="A1478" s="69">
        <f ca="1">IFERROR(__xludf.DUMMYFUNCTION("""COMPUTED_VALUE"""),94654)</f>
        <v>94654</v>
      </c>
      <c r="B1478" s="4">
        <f ca="1">IFERROR(__xludf.DUMMYFUNCTION("""COMPUTED_VALUE"""),44669)</f>
        <v>44669</v>
      </c>
      <c r="C1478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14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8" t="str">
        <f ca="1">IFERROR(__xludf.DUMMYFUNCTION("""COMPUTED_VALUE"""),"Новый")</f>
        <v>Новый</v>
      </c>
      <c r="G1478" s="68"/>
      <c r="K1478" s="68"/>
    </row>
    <row r="1479" spans="1:11" ht="12.75">
      <c r="A1479" s="69">
        <f ca="1">IFERROR(__xludf.DUMMYFUNCTION("""COMPUTED_VALUE"""),94667)</f>
        <v>94667</v>
      </c>
      <c r="B1479" s="4">
        <f ca="1">IFERROR(__xludf.DUMMYFUNCTION("""COMPUTED_VALUE"""),44669)</f>
        <v>44669</v>
      </c>
      <c r="C1479" t="str">
        <f ca="1">IFERROR(__xludf.DUMMYFUNCTION("""COMPUTED_VALUE"""),"ООО ""УК ЖИЛИЩНИК 3"" 148-РДО от 13.04.2022")</f>
        <v>ООО "УК ЖИЛИЩНИК 3" 148-РДО от 13.04.2022</v>
      </c>
      <c r="D14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79" t="str">
        <f ca="1">IFERROR(__xludf.DUMMYFUNCTION("""COMPUTED_VALUE"""),"Новый")</f>
        <v>Новый</v>
      </c>
      <c r="G1479" s="68"/>
      <c r="K1479" s="68"/>
    </row>
    <row r="1480" spans="1:11" ht="12.75">
      <c r="A1480" s="69">
        <f ca="1">IFERROR(__xludf.DUMMYFUNCTION("""COMPUTED_VALUE"""),94690)</f>
        <v>94690</v>
      </c>
      <c r="B1480" s="4">
        <f ca="1">IFERROR(__xludf.DUMMYFUNCTION("""COMPUTED_VALUE"""),44669)</f>
        <v>44669</v>
      </c>
      <c r="C1480" t="str">
        <f ca="1">IFERROR(__xludf.DUMMYFUNCTION("""COMPUTED_VALUE"""),"УДХБ БУ Г. ОМСКА 114-СТР от 01.01.2022")</f>
        <v>УДХБ БУ Г. ОМСКА 114-СТР от 01.01.2022</v>
      </c>
      <c r="D14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0" t="str">
        <f ca="1">IFERROR(__xludf.DUMMYFUNCTION("""COMPUTED_VALUE"""),"Новый")</f>
        <v>Новый</v>
      </c>
      <c r="G1480" s="68"/>
      <c r="K1480" s="68"/>
    </row>
    <row r="1481" spans="1:11" ht="12.75">
      <c r="A1481" s="69">
        <f ca="1">IFERROR(__xludf.DUMMYFUNCTION("""COMPUTED_VALUE"""),94691)</f>
        <v>94691</v>
      </c>
      <c r="B1481" s="4">
        <f ca="1">IFERROR(__xludf.DUMMYFUNCTION("""COMPUTED_VALUE"""),44669)</f>
        <v>44669</v>
      </c>
      <c r="C1481" t="str">
        <f ca="1">IFERROR(__xludf.DUMMYFUNCTION("""COMPUTED_VALUE"""),"УДХБ БУ Г. ОМСКА 114-СТР от 01.01.2022")</f>
        <v>УДХБ БУ Г. ОМСКА 114-СТР от 01.01.2022</v>
      </c>
      <c r="D14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1" t="str">
        <f ca="1">IFERROR(__xludf.DUMMYFUNCTION("""COMPUTED_VALUE"""),"Новый")</f>
        <v>Новый</v>
      </c>
      <c r="G1481" s="68"/>
      <c r="K1481" s="68"/>
    </row>
    <row r="1482" spans="1:11" ht="12.75">
      <c r="A1482" s="69">
        <f ca="1">IFERROR(__xludf.DUMMYFUNCTION("""COMPUTED_VALUE"""),94692)</f>
        <v>94692</v>
      </c>
      <c r="B1482" s="4">
        <f ca="1">IFERROR(__xludf.DUMMYFUNCTION("""COMPUTED_VALUE"""),44669)</f>
        <v>44669</v>
      </c>
      <c r="C1482" t="str">
        <f ca="1">IFERROR(__xludf.DUMMYFUNCTION("""COMPUTED_VALUE"""),"УДХБ БУ Г. ОМСКА 114-СТР от 01.01.2022")</f>
        <v>УДХБ БУ Г. ОМСКА 114-СТР от 01.01.2022</v>
      </c>
      <c r="D14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2" t="str">
        <f ca="1">IFERROR(__xludf.DUMMYFUNCTION("""COMPUTED_VALUE"""),"Новый")</f>
        <v>Новый</v>
      </c>
      <c r="G1482" s="68"/>
      <c r="K1482" s="68"/>
    </row>
    <row r="1483" spans="1:11" ht="12.75">
      <c r="A1483" s="69">
        <f ca="1">IFERROR(__xludf.DUMMYFUNCTION("""COMPUTED_VALUE"""),94693)</f>
        <v>94693</v>
      </c>
      <c r="B1483" s="4">
        <f ca="1">IFERROR(__xludf.DUMMYFUNCTION("""COMPUTED_VALUE"""),44669)</f>
        <v>44669</v>
      </c>
      <c r="C1483" t="str">
        <f ca="1">IFERROR(__xludf.DUMMYFUNCTION("""COMPUTED_VALUE"""),"УДХБ БУ Г. ОМСКА 114-СТР от 01.01.2022")</f>
        <v>УДХБ БУ Г. ОМСКА 114-СТР от 01.01.2022</v>
      </c>
      <c r="D14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3" t="str">
        <f ca="1">IFERROR(__xludf.DUMMYFUNCTION("""COMPUTED_VALUE"""),"Новый")</f>
        <v>Новый</v>
      </c>
      <c r="G1483" s="68"/>
      <c r="K1483" s="68"/>
    </row>
    <row r="1484" spans="1:11" ht="12.75">
      <c r="A1484" s="69">
        <f ca="1">IFERROR(__xludf.DUMMYFUNCTION("""COMPUTED_VALUE"""),94694)</f>
        <v>94694</v>
      </c>
      <c r="B1484" s="4">
        <f ca="1">IFERROR(__xludf.DUMMYFUNCTION("""COMPUTED_VALUE"""),44669)</f>
        <v>44669</v>
      </c>
      <c r="C1484" t="str">
        <f ca="1">IFERROR(__xludf.DUMMYFUNCTION("""COMPUTED_VALUE"""),"УДХБ БУ Г. ОМСКА 114-СТР от 01.01.2022")</f>
        <v>УДХБ БУ Г. ОМСКА 114-СТР от 01.01.2022</v>
      </c>
      <c r="D14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4" t="str">
        <f ca="1">IFERROR(__xludf.DUMMYFUNCTION("""COMPUTED_VALUE"""),"Новый")</f>
        <v>Новый</v>
      </c>
      <c r="G1484" s="68"/>
      <c r="K1484" s="68"/>
    </row>
    <row r="1485" spans="1:11" ht="12.75">
      <c r="A1485" s="69">
        <f ca="1">IFERROR(__xludf.DUMMYFUNCTION("""COMPUTED_VALUE"""),94695)</f>
        <v>94695</v>
      </c>
      <c r="B1485" s="4">
        <f ca="1">IFERROR(__xludf.DUMMYFUNCTION("""COMPUTED_VALUE"""),44669)</f>
        <v>44669</v>
      </c>
      <c r="C1485" t="str">
        <f ca="1">IFERROR(__xludf.DUMMYFUNCTION("""COMPUTED_VALUE"""),"УДХБ БУ Г. ОМСКА 114-СТР от 01.01.2022")</f>
        <v>УДХБ БУ Г. ОМСКА 114-СТР от 01.01.2022</v>
      </c>
      <c r="D14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485" t="str">
        <f ca="1">IFERROR(__xludf.DUMMYFUNCTION("""COMPUTED_VALUE"""),"Новый")</f>
        <v>Новый</v>
      </c>
      <c r="G1485" s="68"/>
      <c r="K1485" s="68"/>
    </row>
    <row r="1486" spans="1:11" ht="12.75">
      <c r="A1486" s="69">
        <f ca="1">IFERROR(__xludf.DUMMYFUNCTION("""COMPUTED_VALUE"""),94796)</f>
        <v>94796</v>
      </c>
      <c r="B1486" s="4">
        <f ca="1">IFERROR(__xludf.DUMMYFUNCTION("""COMPUTED_VALUE"""),44670)</f>
        <v>44670</v>
      </c>
      <c r="C1486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14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86" t="str">
        <f ca="1">IFERROR(__xludf.DUMMYFUNCTION("""COMPUTED_VALUE"""),"Новый")</f>
        <v>Новый</v>
      </c>
      <c r="G1486" s="68"/>
      <c r="K1486" s="68"/>
    </row>
    <row r="1487" spans="1:11" ht="12.75">
      <c r="A1487" s="69">
        <f ca="1">IFERROR(__xludf.DUMMYFUNCTION("""COMPUTED_VALUE"""),94972)</f>
        <v>94972</v>
      </c>
      <c r="B1487" s="4">
        <f ca="1">IFERROR(__xludf.DUMMYFUNCTION("""COMPUTED_VALUE"""),44670)</f>
        <v>44670</v>
      </c>
      <c r="C1487" t="str">
        <f ca="1">IFERROR(__xludf.DUMMYFUNCTION("""COMPUTED_VALUE"""),"АО ""ОМСКГОРГАЗ"" 130-СТР")</f>
        <v>АО "ОМСКГОРГАЗ" 130-СТР</v>
      </c>
      <c r="D14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87" t="str">
        <f ca="1">IFERROR(__xludf.DUMMYFUNCTION("""COMPUTED_VALUE"""),"Новый")</f>
        <v>Новый</v>
      </c>
      <c r="G1487" s="68"/>
      <c r="K1487" s="68"/>
    </row>
    <row r="1488" spans="1:11" ht="12.75">
      <c r="A1488" s="69">
        <f ca="1">IFERROR(__xludf.DUMMYFUNCTION("""COMPUTED_VALUE"""),94973)</f>
        <v>94973</v>
      </c>
      <c r="B1488" s="4">
        <f ca="1">IFERROR(__xludf.DUMMYFUNCTION("""COMPUTED_VALUE"""),44670)</f>
        <v>44670</v>
      </c>
      <c r="C1488" t="str">
        <f ca="1">IFERROR(__xludf.DUMMYFUNCTION("""COMPUTED_VALUE"""),"АО ""ОМСКГОРГАЗ"" 130-СТР")</f>
        <v>АО "ОМСКГОРГАЗ" 130-СТР</v>
      </c>
      <c r="D14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88" t="str">
        <f ca="1">IFERROR(__xludf.DUMMYFUNCTION("""COMPUTED_VALUE"""),"Новый")</f>
        <v>Новый</v>
      </c>
      <c r="G1488" s="68"/>
      <c r="K1488" s="68"/>
    </row>
    <row r="1489" spans="1:11" ht="12.75">
      <c r="A1489" s="69">
        <f ca="1">IFERROR(__xludf.DUMMYFUNCTION("""COMPUTED_VALUE"""),94974)</f>
        <v>94974</v>
      </c>
      <c r="B1489" s="4">
        <f ca="1">IFERROR(__xludf.DUMMYFUNCTION("""COMPUTED_VALUE"""),44670)</f>
        <v>44670</v>
      </c>
      <c r="C1489" t="str">
        <f ca="1">IFERROR(__xludf.DUMMYFUNCTION("""COMPUTED_VALUE"""),"АО ""ОМСКГОРГАЗ"" 130-СТР")</f>
        <v>АО "ОМСКГОРГАЗ" 130-СТР</v>
      </c>
      <c r="D14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89" t="str">
        <f ca="1">IFERROR(__xludf.DUMMYFUNCTION("""COMPUTED_VALUE"""),"Новый")</f>
        <v>Новый</v>
      </c>
      <c r="G1489" s="68"/>
      <c r="K1489" s="68"/>
    </row>
    <row r="1490" spans="1:11" ht="12.75">
      <c r="A1490" s="69">
        <f ca="1">IFERROR(__xludf.DUMMYFUNCTION("""COMPUTED_VALUE"""),94975)</f>
        <v>94975</v>
      </c>
      <c r="B1490" s="4">
        <f ca="1">IFERROR(__xludf.DUMMYFUNCTION("""COMPUTED_VALUE"""),44670)</f>
        <v>44670</v>
      </c>
      <c r="C1490" t="str">
        <f ca="1">IFERROR(__xludf.DUMMYFUNCTION("""COMPUTED_VALUE"""),"АО ""ОМСКГОРГАЗ"" 130-СТР")</f>
        <v>АО "ОМСКГОРГАЗ" 130-СТР</v>
      </c>
      <c r="D14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0" t="str">
        <f ca="1">IFERROR(__xludf.DUMMYFUNCTION("""COMPUTED_VALUE"""),"Новый")</f>
        <v>Новый</v>
      </c>
      <c r="G1490" s="68"/>
      <c r="K1490" s="68"/>
    </row>
    <row r="1491" spans="1:11" ht="12.75">
      <c r="A1491" s="69">
        <f ca="1">IFERROR(__xludf.DUMMYFUNCTION("""COMPUTED_VALUE"""),94976)</f>
        <v>94976</v>
      </c>
      <c r="B1491" s="4">
        <f ca="1">IFERROR(__xludf.DUMMYFUNCTION("""COMPUTED_VALUE"""),44670)</f>
        <v>44670</v>
      </c>
      <c r="C1491" t="str">
        <f ca="1">IFERROR(__xludf.DUMMYFUNCTION("""COMPUTED_VALUE"""),"АО ""ОМСКГОРГАЗ"" 130-СТР")</f>
        <v>АО "ОМСКГОРГАЗ" 130-СТР</v>
      </c>
      <c r="D14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1" t="str">
        <f ca="1">IFERROR(__xludf.DUMMYFUNCTION("""COMPUTED_VALUE"""),"Новый")</f>
        <v>Новый</v>
      </c>
      <c r="G1491" s="68"/>
      <c r="K1491" s="68"/>
    </row>
    <row r="1492" spans="1:11" ht="12.75">
      <c r="A1492" s="69">
        <f ca="1">IFERROR(__xludf.DUMMYFUNCTION("""COMPUTED_VALUE"""),94977)</f>
        <v>94977</v>
      </c>
      <c r="B1492" s="4">
        <f ca="1">IFERROR(__xludf.DUMMYFUNCTION("""COMPUTED_VALUE"""),44670)</f>
        <v>44670</v>
      </c>
      <c r="C1492" t="str">
        <f ca="1">IFERROR(__xludf.DUMMYFUNCTION("""COMPUTED_VALUE"""),"АО ""ОМСКГОРГАЗ"" 130-СТР")</f>
        <v>АО "ОМСКГОРГАЗ" 130-СТР</v>
      </c>
      <c r="D14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2" t="str">
        <f ca="1">IFERROR(__xludf.DUMMYFUNCTION("""COMPUTED_VALUE"""),"Новый")</f>
        <v>Новый</v>
      </c>
      <c r="G1492" s="68"/>
      <c r="K1492" s="68"/>
    </row>
    <row r="1493" spans="1:11" ht="12.75">
      <c r="A1493" s="69">
        <f ca="1">IFERROR(__xludf.DUMMYFUNCTION("""COMPUTED_VALUE"""),94978)</f>
        <v>94978</v>
      </c>
      <c r="B1493" s="4">
        <f ca="1">IFERROR(__xludf.DUMMYFUNCTION("""COMPUTED_VALUE"""),44670)</f>
        <v>44670</v>
      </c>
      <c r="C1493" t="str">
        <f ca="1">IFERROR(__xludf.DUMMYFUNCTION("""COMPUTED_VALUE"""),"АО ""ОМСКГОРГАЗ"" 130-СТР")</f>
        <v>АО "ОМСКГОРГАЗ" 130-СТР</v>
      </c>
      <c r="D14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3" t="str">
        <f ca="1">IFERROR(__xludf.DUMMYFUNCTION("""COMPUTED_VALUE"""),"Новый")</f>
        <v>Новый</v>
      </c>
      <c r="G1493" s="68"/>
      <c r="K1493" s="68"/>
    </row>
    <row r="1494" spans="1:11" ht="12.75">
      <c r="A1494" s="69">
        <f ca="1">IFERROR(__xludf.DUMMYFUNCTION("""COMPUTED_VALUE"""),94979)</f>
        <v>94979</v>
      </c>
      <c r="B1494" s="4">
        <f ca="1">IFERROR(__xludf.DUMMYFUNCTION("""COMPUTED_VALUE"""),44670)</f>
        <v>44670</v>
      </c>
      <c r="C1494" t="str">
        <f ca="1">IFERROR(__xludf.DUMMYFUNCTION("""COMPUTED_VALUE"""),"АО ""ОМСКГОРГАЗ"" 130-СТР")</f>
        <v>АО "ОМСКГОРГАЗ" 130-СТР</v>
      </c>
      <c r="D14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4" t="str">
        <f ca="1">IFERROR(__xludf.DUMMYFUNCTION("""COMPUTED_VALUE"""),"Новый")</f>
        <v>Новый</v>
      </c>
      <c r="G1494" s="68"/>
      <c r="K1494" s="68"/>
    </row>
    <row r="1495" spans="1:11" ht="12.75">
      <c r="A1495" s="69">
        <f ca="1">IFERROR(__xludf.DUMMYFUNCTION("""COMPUTED_VALUE"""),94980)</f>
        <v>94980</v>
      </c>
      <c r="B1495" s="4">
        <f ca="1">IFERROR(__xludf.DUMMYFUNCTION("""COMPUTED_VALUE"""),44670)</f>
        <v>44670</v>
      </c>
      <c r="C1495" t="str">
        <f ca="1">IFERROR(__xludf.DUMMYFUNCTION("""COMPUTED_VALUE"""),"АО ""ОМСКГОРГАЗ"" 130-СТР")</f>
        <v>АО "ОМСКГОРГАЗ" 130-СТР</v>
      </c>
      <c r="D14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5" t="str">
        <f ca="1">IFERROR(__xludf.DUMMYFUNCTION("""COMPUTED_VALUE"""),"Новый")</f>
        <v>Новый</v>
      </c>
      <c r="G1495" s="68"/>
      <c r="K1495" s="68"/>
    </row>
    <row r="1496" spans="1:11" ht="12.75">
      <c r="A1496" s="69">
        <f ca="1">IFERROR(__xludf.DUMMYFUNCTION("""COMPUTED_VALUE"""),94981)</f>
        <v>94981</v>
      </c>
      <c r="B1496" s="4">
        <f ca="1">IFERROR(__xludf.DUMMYFUNCTION("""COMPUTED_VALUE"""),44670)</f>
        <v>44670</v>
      </c>
      <c r="C1496" t="str">
        <f ca="1">IFERROR(__xludf.DUMMYFUNCTION("""COMPUTED_VALUE"""),"АО ""ОМСКГОРГАЗ"" 130-СТР")</f>
        <v>АО "ОМСКГОРГАЗ" 130-СТР</v>
      </c>
      <c r="D14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6" t="str">
        <f ca="1">IFERROR(__xludf.DUMMYFUNCTION("""COMPUTED_VALUE"""),"Новый")</f>
        <v>Новый</v>
      </c>
      <c r="G1496" s="68"/>
      <c r="K1496" s="68"/>
    </row>
    <row r="1497" spans="1:11" ht="12.75">
      <c r="A1497" s="69">
        <f ca="1">IFERROR(__xludf.DUMMYFUNCTION("""COMPUTED_VALUE"""),94982)</f>
        <v>94982</v>
      </c>
      <c r="B1497" s="4">
        <f ca="1">IFERROR(__xludf.DUMMYFUNCTION("""COMPUTED_VALUE"""),44670)</f>
        <v>44670</v>
      </c>
      <c r="C1497" t="str">
        <f ca="1">IFERROR(__xludf.DUMMYFUNCTION("""COMPUTED_VALUE"""),"АО ""ОМСКГОРГАЗ"" 130-СТР")</f>
        <v>АО "ОМСКГОРГАЗ" 130-СТР</v>
      </c>
      <c r="D14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7" t="str">
        <f ca="1">IFERROR(__xludf.DUMMYFUNCTION("""COMPUTED_VALUE"""),"Новый")</f>
        <v>Новый</v>
      </c>
      <c r="G1497" s="68"/>
      <c r="K1497" s="68"/>
    </row>
    <row r="1498" spans="1:11" ht="12.75">
      <c r="A1498" s="69">
        <f ca="1">IFERROR(__xludf.DUMMYFUNCTION("""COMPUTED_VALUE"""),94983)</f>
        <v>94983</v>
      </c>
      <c r="B1498" s="4">
        <f ca="1">IFERROR(__xludf.DUMMYFUNCTION("""COMPUTED_VALUE"""),44670)</f>
        <v>44670</v>
      </c>
      <c r="C1498" t="str">
        <f ca="1">IFERROR(__xludf.DUMMYFUNCTION("""COMPUTED_VALUE"""),"АО ""ОМСКГОРГАЗ"" 130-СТР")</f>
        <v>АО "ОМСКГОРГАЗ" 130-СТР</v>
      </c>
      <c r="D14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8" t="str">
        <f ca="1">IFERROR(__xludf.DUMMYFUNCTION("""COMPUTED_VALUE"""),"Новый")</f>
        <v>Новый</v>
      </c>
      <c r="G1498" s="68"/>
      <c r="K1498" s="68"/>
    </row>
    <row r="1499" spans="1:11" ht="12.75">
      <c r="A1499" s="69">
        <f ca="1">IFERROR(__xludf.DUMMYFUNCTION("""COMPUTED_VALUE"""),94984)</f>
        <v>94984</v>
      </c>
      <c r="B1499" s="4">
        <f ca="1">IFERROR(__xludf.DUMMYFUNCTION("""COMPUTED_VALUE"""),44670)</f>
        <v>44670</v>
      </c>
      <c r="C1499" t="str">
        <f ca="1">IFERROR(__xludf.DUMMYFUNCTION("""COMPUTED_VALUE"""),"АО ""ОМСКГОРГАЗ"" 130-СТР")</f>
        <v>АО "ОМСКГОРГАЗ" 130-СТР</v>
      </c>
      <c r="D14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499" t="str">
        <f ca="1">IFERROR(__xludf.DUMMYFUNCTION("""COMPUTED_VALUE"""),"Новый")</f>
        <v>Новый</v>
      </c>
      <c r="G1499" s="68"/>
      <c r="K1499" s="68"/>
    </row>
    <row r="1500" spans="1:11" ht="12.75">
      <c r="A1500" s="69">
        <f ca="1">IFERROR(__xludf.DUMMYFUNCTION("""COMPUTED_VALUE"""),94985)</f>
        <v>94985</v>
      </c>
      <c r="B1500" s="4">
        <f ca="1">IFERROR(__xludf.DUMMYFUNCTION("""COMPUTED_VALUE"""),44670)</f>
        <v>44670</v>
      </c>
      <c r="C1500" t="str">
        <f ca="1">IFERROR(__xludf.DUMMYFUNCTION("""COMPUTED_VALUE"""),"АО ""ОМСКГОРГАЗ"" 130-СТР")</f>
        <v>АО "ОМСКГОРГАЗ" 130-СТР</v>
      </c>
      <c r="D15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0" t="str">
        <f ca="1">IFERROR(__xludf.DUMMYFUNCTION("""COMPUTED_VALUE"""),"Новый")</f>
        <v>Новый</v>
      </c>
      <c r="G1500" s="68"/>
      <c r="K1500" s="68"/>
    </row>
    <row r="1501" spans="1:11" ht="12.75">
      <c r="A1501" s="69">
        <f ca="1">IFERROR(__xludf.DUMMYFUNCTION("""COMPUTED_VALUE"""),94986)</f>
        <v>94986</v>
      </c>
      <c r="B1501" s="4">
        <f ca="1">IFERROR(__xludf.DUMMYFUNCTION("""COMPUTED_VALUE"""),44670)</f>
        <v>44670</v>
      </c>
      <c r="C1501" t="str">
        <f ca="1">IFERROR(__xludf.DUMMYFUNCTION("""COMPUTED_VALUE"""),"АО ""ОМСКГОРГАЗ"" 130-СТР")</f>
        <v>АО "ОМСКГОРГАЗ" 130-СТР</v>
      </c>
      <c r="D15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1" t="str">
        <f ca="1">IFERROR(__xludf.DUMMYFUNCTION("""COMPUTED_VALUE"""),"Новый")</f>
        <v>Новый</v>
      </c>
      <c r="G1501" s="68"/>
      <c r="K1501" s="68"/>
    </row>
    <row r="1502" spans="1:11" ht="12.75">
      <c r="A1502" s="69">
        <f ca="1">IFERROR(__xludf.DUMMYFUNCTION("""COMPUTED_VALUE"""),94987)</f>
        <v>94987</v>
      </c>
      <c r="B1502" s="4">
        <f ca="1">IFERROR(__xludf.DUMMYFUNCTION("""COMPUTED_VALUE"""),44670)</f>
        <v>44670</v>
      </c>
      <c r="C1502" t="str">
        <f ca="1">IFERROR(__xludf.DUMMYFUNCTION("""COMPUTED_VALUE"""),"АО ""ОМСКГОРГАЗ"" 130-СТР")</f>
        <v>АО "ОМСКГОРГАЗ" 130-СТР</v>
      </c>
      <c r="D15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2" t="str">
        <f ca="1">IFERROR(__xludf.DUMMYFUNCTION("""COMPUTED_VALUE"""),"Новый")</f>
        <v>Новый</v>
      </c>
      <c r="G1502" s="68"/>
      <c r="K1502" s="68"/>
    </row>
    <row r="1503" spans="1:11" ht="12.75">
      <c r="A1503" s="69">
        <f ca="1">IFERROR(__xludf.DUMMYFUNCTION("""COMPUTED_VALUE"""),94988)</f>
        <v>94988</v>
      </c>
      <c r="B1503" s="4">
        <f ca="1">IFERROR(__xludf.DUMMYFUNCTION("""COMPUTED_VALUE"""),44670)</f>
        <v>44670</v>
      </c>
      <c r="C1503" t="str">
        <f ca="1">IFERROR(__xludf.DUMMYFUNCTION("""COMPUTED_VALUE"""),"АО ""ОМСКГОРГАЗ"" 130-СТР")</f>
        <v>АО "ОМСКГОРГАЗ" 130-СТР</v>
      </c>
      <c r="D15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3" t="str">
        <f ca="1">IFERROR(__xludf.DUMMYFUNCTION("""COMPUTED_VALUE"""),"Новый")</f>
        <v>Новый</v>
      </c>
      <c r="G1503" s="68"/>
      <c r="K1503" s="68"/>
    </row>
    <row r="1504" spans="1:11" ht="12.75">
      <c r="A1504" s="69">
        <f ca="1">IFERROR(__xludf.DUMMYFUNCTION("""COMPUTED_VALUE"""),94989)</f>
        <v>94989</v>
      </c>
      <c r="B1504" s="4">
        <f ca="1">IFERROR(__xludf.DUMMYFUNCTION("""COMPUTED_VALUE"""),44670)</f>
        <v>44670</v>
      </c>
      <c r="C1504" t="str">
        <f ca="1">IFERROR(__xludf.DUMMYFUNCTION("""COMPUTED_VALUE"""),"АО ""ОМСКГОРГАЗ"" 130-СТР")</f>
        <v>АО "ОМСКГОРГАЗ" 130-СТР</v>
      </c>
      <c r="D15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4" t="str">
        <f ca="1">IFERROR(__xludf.DUMMYFUNCTION("""COMPUTED_VALUE"""),"Новый")</f>
        <v>Новый</v>
      </c>
      <c r="G1504" s="68"/>
      <c r="K1504" s="68"/>
    </row>
    <row r="1505" spans="1:11" ht="12.75">
      <c r="A1505" s="69">
        <f ca="1">IFERROR(__xludf.DUMMYFUNCTION("""COMPUTED_VALUE"""),94990)</f>
        <v>94990</v>
      </c>
      <c r="B1505" s="4">
        <f ca="1">IFERROR(__xludf.DUMMYFUNCTION("""COMPUTED_VALUE"""),44670)</f>
        <v>44670</v>
      </c>
      <c r="C1505" t="str">
        <f ca="1">IFERROR(__xludf.DUMMYFUNCTION("""COMPUTED_VALUE"""),"АО ""ОМСКГОРГАЗ"" 130-СТР")</f>
        <v>АО "ОМСКГОРГАЗ" 130-СТР</v>
      </c>
      <c r="D15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5" t="str">
        <f ca="1">IFERROR(__xludf.DUMMYFUNCTION("""COMPUTED_VALUE"""),"Новый")</f>
        <v>Новый</v>
      </c>
      <c r="G1505" s="68"/>
      <c r="K1505" s="68"/>
    </row>
    <row r="1506" spans="1:11" ht="12.75">
      <c r="A1506" s="69">
        <f ca="1">IFERROR(__xludf.DUMMYFUNCTION("""COMPUTED_VALUE"""),94991)</f>
        <v>94991</v>
      </c>
      <c r="B1506" s="4">
        <f ca="1">IFERROR(__xludf.DUMMYFUNCTION("""COMPUTED_VALUE"""),44670)</f>
        <v>44670</v>
      </c>
      <c r="C1506" t="str">
        <f ca="1">IFERROR(__xludf.DUMMYFUNCTION("""COMPUTED_VALUE"""),"АО ""ОМСКГОРГАЗ"" 130-СТР")</f>
        <v>АО "ОМСКГОРГАЗ" 130-СТР</v>
      </c>
      <c r="D15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06" t="str">
        <f ca="1">IFERROR(__xludf.DUMMYFUNCTION("""COMPUTED_VALUE"""),"Новый")</f>
        <v>Новый</v>
      </c>
      <c r="G1506" s="68"/>
      <c r="K1506" s="68"/>
    </row>
    <row r="1507" spans="1:11" ht="12.75">
      <c r="A1507" s="69">
        <f ca="1">IFERROR(__xludf.DUMMYFUNCTION("""COMPUTED_VALUE"""),94993)</f>
        <v>94993</v>
      </c>
      <c r="B1507" s="4">
        <f ca="1">IFERROR(__xludf.DUMMYFUNCTION("""COMPUTED_VALUE"""),44670)</f>
        <v>44670</v>
      </c>
      <c r="C1507" t="str">
        <f ca="1">IFERROR(__xludf.DUMMYFUNCTION("""COMPUTED_VALUE"""),"АО ""ОМСКГОРГАЗ"" 130-СТР")</f>
        <v>АО "ОМСКГОРГАЗ" 130-СТР</v>
      </c>
      <c r="D15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07" t="str">
        <f ca="1">IFERROR(__xludf.DUMMYFUNCTION("""COMPUTED_VALUE"""),"Новый")</f>
        <v>Новый</v>
      </c>
      <c r="G1507" s="68"/>
      <c r="K1507" s="68"/>
    </row>
    <row r="1508" spans="1:11" ht="12.75">
      <c r="A1508" s="69">
        <f ca="1">IFERROR(__xludf.DUMMYFUNCTION("""COMPUTED_VALUE"""),94994)</f>
        <v>94994</v>
      </c>
      <c r="B1508" s="4">
        <f ca="1">IFERROR(__xludf.DUMMYFUNCTION("""COMPUTED_VALUE"""),44670)</f>
        <v>44670</v>
      </c>
      <c r="C1508" t="str">
        <f ca="1">IFERROR(__xludf.DUMMYFUNCTION("""COMPUTED_VALUE"""),"АО ""ОМСКГОРГАЗ"" 130-СТР")</f>
        <v>АО "ОМСКГОРГАЗ" 130-СТР</v>
      </c>
      <c r="D15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08" t="str">
        <f ca="1">IFERROR(__xludf.DUMMYFUNCTION("""COMPUTED_VALUE"""),"Новый")</f>
        <v>Новый</v>
      </c>
      <c r="G1508" s="68"/>
      <c r="K1508" s="68"/>
    </row>
    <row r="1509" spans="1:11" ht="12.75">
      <c r="A1509" s="69">
        <f ca="1">IFERROR(__xludf.DUMMYFUNCTION("""COMPUTED_VALUE"""),94995)</f>
        <v>94995</v>
      </c>
      <c r="B1509" s="4">
        <f ca="1">IFERROR(__xludf.DUMMYFUNCTION("""COMPUTED_VALUE"""),44670)</f>
        <v>44670</v>
      </c>
      <c r="C1509" t="str">
        <f ca="1">IFERROR(__xludf.DUMMYFUNCTION("""COMPUTED_VALUE"""),"АО ""ОМСКГОРГАЗ"" 130-СТР")</f>
        <v>АО "ОМСКГОРГАЗ" 130-СТР</v>
      </c>
      <c r="D15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09" t="str">
        <f ca="1">IFERROR(__xludf.DUMMYFUNCTION("""COMPUTED_VALUE"""),"Новый")</f>
        <v>Новый</v>
      </c>
      <c r="G1509" s="68"/>
      <c r="K1509" s="68"/>
    </row>
    <row r="1510" spans="1:11" ht="12.75">
      <c r="A1510" s="69">
        <f ca="1">IFERROR(__xludf.DUMMYFUNCTION("""COMPUTED_VALUE"""),94996)</f>
        <v>94996</v>
      </c>
      <c r="B1510" s="4">
        <f ca="1">IFERROR(__xludf.DUMMYFUNCTION("""COMPUTED_VALUE"""),44670)</f>
        <v>44670</v>
      </c>
      <c r="C1510" t="str">
        <f ca="1">IFERROR(__xludf.DUMMYFUNCTION("""COMPUTED_VALUE"""),"АО ""ОМСКГОРГАЗ"" 130-СТР")</f>
        <v>АО "ОМСКГОРГАЗ" 130-СТР</v>
      </c>
      <c r="D15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10" t="str">
        <f ca="1">IFERROR(__xludf.DUMMYFUNCTION("""COMPUTED_VALUE"""),"Новый")</f>
        <v>Новый</v>
      </c>
      <c r="G1510" s="68"/>
      <c r="K1510" s="68"/>
    </row>
    <row r="1511" spans="1:11" ht="12.75">
      <c r="A1511" s="69">
        <f ca="1">IFERROR(__xludf.DUMMYFUNCTION("""COMPUTED_VALUE"""),94998)</f>
        <v>94998</v>
      </c>
      <c r="B1511" s="4">
        <f ca="1">IFERROR(__xludf.DUMMYFUNCTION("""COMPUTED_VALUE"""),44670)</f>
        <v>44670</v>
      </c>
      <c r="C1511" t="str">
        <f ca="1">IFERROR(__xludf.DUMMYFUNCTION("""COMPUTED_VALUE"""),"АО ""ОМСКГОРГАЗ"" 130-СТР")</f>
        <v>АО "ОМСКГОРГАЗ" 130-СТР</v>
      </c>
      <c r="D15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11" t="str">
        <f ca="1">IFERROR(__xludf.DUMMYFUNCTION("""COMPUTED_VALUE"""),"Новый")</f>
        <v>Новый</v>
      </c>
      <c r="G1511" s="68"/>
      <c r="K1511" s="68"/>
    </row>
    <row r="1512" spans="1:11" ht="12.75">
      <c r="A1512" s="69">
        <f ca="1">IFERROR(__xludf.DUMMYFUNCTION("""COMPUTED_VALUE"""),95000)</f>
        <v>95000</v>
      </c>
      <c r="B1512" s="4">
        <f ca="1">IFERROR(__xludf.DUMMYFUNCTION("""COMPUTED_VALUE"""),44670)</f>
        <v>44670</v>
      </c>
      <c r="C1512" t="str">
        <f ca="1">IFERROR(__xludf.DUMMYFUNCTION("""COMPUTED_VALUE"""),"АО ""ОМСКГОРГАЗ"" 130-СТР")</f>
        <v>АО "ОМСКГОРГАЗ" 130-СТР</v>
      </c>
      <c r="D15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12" t="str">
        <f ca="1">IFERROR(__xludf.DUMMYFUNCTION("""COMPUTED_VALUE"""),"Новый")</f>
        <v>Новый</v>
      </c>
      <c r="G1512" s="68"/>
      <c r="K1512" s="68"/>
    </row>
    <row r="1513" spans="1:11" ht="12.75">
      <c r="A1513" s="69">
        <f ca="1">IFERROR(__xludf.DUMMYFUNCTION("""COMPUTED_VALUE"""),95001)</f>
        <v>95001</v>
      </c>
      <c r="B1513" s="4">
        <f ca="1">IFERROR(__xludf.DUMMYFUNCTION("""COMPUTED_VALUE"""),44670)</f>
        <v>44670</v>
      </c>
      <c r="C1513" t="str">
        <f ca="1">IFERROR(__xludf.DUMMYFUNCTION("""COMPUTED_VALUE"""),"АО ""ОМСКГОРГАЗ"" 130-СТР")</f>
        <v>АО "ОМСКГОРГАЗ" 130-СТР</v>
      </c>
      <c r="D15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513" t="str">
        <f ca="1">IFERROR(__xludf.DUMMYFUNCTION("""COMPUTED_VALUE"""),"Новый")</f>
        <v>Новый</v>
      </c>
      <c r="G1513" s="68"/>
      <c r="K1513" s="68"/>
    </row>
    <row r="1514" spans="1:11" ht="12.75">
      <c r="A1514" s="69">
        <f ca="1">IFERROR(__xludf.DUMMYFUNCTION("""COMPUTED_VALUE"""),95012)</f>
        <v>95012</v>
      </c>
      <c r="B1514" s="4">
        <f ca="1">IFERROR(__xludf.DUMMYFUNCTION("""COMPUTED_VALUE"""),44671)</f>
        <v>44671</v>
      </c>
      <c r="C1514" t="str">
        <f ca="1">IFERROR(__xludf.DUMMYFUNCTION("""COMPUTED_VALUE"""),"ООО «КОНТАКТ-АВТО» 135-РДО от 17.03.2022")</f>
        <v>ООО «КОНТАКТ-АВТО» 135-РДО от 17.03.2022</v>
      </c>
      <c r="D15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4" t="str">
        <f ca="1">IFERROR(__xludf.DUMMYFUNCTION("""COMPUTED_VALUE"""),"Новый")</f>
        <v>Новый</v>
      </c>
      <c r="G1514" s="68"/>
      <c r="K1514" s="68"/>
    </row>
    <row r="1515" spans="1:11" ht="12.75">
      <c r="A1515" s="69">
        <f ca="1">IFERROR(__xludf.DUMMYFUNCTION("""COMPUTED_VALUE"""),95013)</f>
        <v>95013</v>
      </c>
      <c r="B1515" s="4">
        <f ca="1">IFERROR(__xludf.DUMMYFUNCTION("""COMPUTED_VALUE"""),44671)</f>
        <v>44671</v>
      </c>
      <c r="C1515" t="str">
        <f ca="1">IFERROR(__xludf.DUMMYFUNCTION("""COMPUTED_VALUE"""),"ООО «КОНТАКТ-АВТО» 135-РДО от 17.03.2022")</f>
        <v>ООО «КОНТАКТ-АВТО» 135-РДО от 17.03.2022</v>
      </c>
      <c r="D15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5" t="str">
        <f ca="1">IFERROR(__xludf.DUMMYFUNCTION("""COMPUTED_VALUE"""),"Новый")</f>
        <v>Новый</v>
      </c>
      <c r="G1515" s="68"/>
      <c r="K1515" s="68"/>
    </row>
    <row r="1516" spans="1:11" ht="12.75">
      <c r="A1516" s="69">
        <f ca="1">IFERROR(__xludf.DUMMYFUNCTION("""COMPUTED_VALUE"""),95014)</f>
        <v>95014</v>
      </c>
      <c r="B1516" s="4">
        <f ca="1">IFERROR(__xludf.DUMMYFUNCTION("""COMPUTED_VALUE"""),44671)</f>
        <v>44671</v>
      </c>
      <c r="C1516" t="str">
        <f ca="1">IFERROR(__xludf.DUMMYFUNCTION("""COMPUTED_VALUE"""),"ООО «КОНТАКТ-АВТО» 135-РДО от 17.03.2022")</f>
        <v>ООО «КОНТАКТ-АВТО» 135-РДО от 17.03.2022</v>
      </c>
      <c r="D15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6" t="str">
        <f ca="1">IFERROR(__xludf.DUMMYFUNCTION("""COMPUTED_VALUE"""),"Новый")</f>
        <v>Новый</v>
      </c>
      <c r="G1516" s="68"/>
      <c r="K1516" s="68"/>
    </row>
    <row r="1517" spans="1:11" ht="12.75">
      <c r="A1517" s="69">
        <f ca="1">IFERROR(__xludf.DUMMYFUNCTION("""COMPUTED_VALUE"""),95015)</f>
        <v>95015</v>
      </c>
      <c r="B1517" s="4">
        <f ca="1">IFERROR(__xludf.DUMMYFUNCTION("""COMPUTED_VALUE"""),44671)</f>
        <v>44671</v>
      </c>
      <c r="C1517" t="str">
        <f ca="1">IFERROR(__xludf.DUMMYFUNCTION("""COMPUTED_VALUE"""),"ООО «КОНТАКТ-АВТО» 135-РДО от 17.03.2022")</f>
        <v>ООО «КОНТАКТ-АВТО» 135-РДО от 17.03.2022</v>
      </c>
      <c r="D15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7" t="str">
        <f ca="1">IFERROR(__xludf.DUMMYFUNCTION("""COMPUTED_VALUE"""),"Новый")</f>
        <v>Новый</v>
      </c>
      <c r="G1517" s="68"/>
      <c r="K1517" s="68"/>
    </row>
    <row r="1518" spans="1:11" ht="12.75">
      <c r="A1518" s="69">
        <f ca="1">IFERROR(__xludf.DUMMYFUNCTION("""COMPUTED_VALUE"""),95016)</f>
        <v>95016</v>
      </c>
      <c r="B1518" s="4">
        <f ca="1">IFERROR(__xludf.DUMMYFUNCTION("""COMPUTED_VALUE"""),44671)</f>
        <v>44671</v>
      </c>
      <c r="C1518" t="str">
        <f ca="1">IFERROR(__xludf.DUMMYFUNCTION("""COMPUTED_VALUE"""),"ООО «КОНТАКТ-АВТО» 135-РДО от 17.03.2022")</f>
        <v>ООО «КОНТАКТ-АВТО» 135-РДО от 17.03.2022</v>
      </c>
      <c r="D15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8" t="str">
        <f ca="1">IFERROR(__xludf.DUMMYFUNCTION("""COMPUTED_VALUE"""),"Новый")</f>
        <v>Новый</v>
      </c>
      <c r="G1518" s="68"/>
      <c r="K1518" s="68"/>
    </row>
    <row r="1519" spans="1:11" ht="12.75">
      <c r="A1519" s="69">
        <f ca="1">IFERROR(__xludf.DUMMYFUNCTION("""COMPUTED_VALUE"""),95017)</f>
        <v>95017</v>
      </c>
      <c r="B1519" s="4">
        <f ca="1">IFERROR(__xludf.DUMMYFUNCTION("""COMPUTED_VALUE"""),44671)</f>
        <v>44671</v>
      </c>
      <c r="C1519" t="str">
        <f ca="1">IFERROR(__xludf.DUMMYFUNCTION("""COMPUTED_VALUE"""),"ООО «КОНТАКТ-АВТО» 135-РДО от 17.03.2022")</f>
        <v>ООО «КОНТАКТ-АВТО» 135-РДО от 17.03.2022</v>
      </c>
      <c r="D15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19" t="str">
        <f ca="1">IFERROR(__xludf.DUMMYFUNCTION("""COMPUTED_VALUE"""),"Новый")</f>
        <v>Новый</v>
      </c>
      <c r="G1519" s="68"/>
      <c r="K1519" s="68"/>
    </row>
    <row r="1520" spans="1:11" ht="12.75">
      <c r="A1520" s="69">
        <f ca="1">IFERROR(__xludf.DUMMYFUNCTION("""COMPUTED_VALUE"""),95018)</f>
        <v>95018</v>
      </c>
      <c r="B1520" s="4">
        <f ca="1">IFERROR(__xludf.DUMMYFUNCTION("""COMPUTED_VALUE"""),44671)</f>
        <v>44671</v>
      </c>
      <c r="C1520" t="str">
        <f ca="1">IFERROR(__xludf.DUMMYFUNCTION("""COMPUTED_VALUE"""),"ООО «КОНТАКТ-АВТО» 135-РДО от 17.03.2022")</f>
        <v>ООО «КОНТАКТ-АВТО» 135-РДО от 17.03.2022</v>
      </c>
      <c r="D15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0" t="str">
        <f ca="1">IFERROR(__xludf.DUMMYFUNCTION("""COMPUTED_VALUE"""),"Новый")</f>
        <v>Новый</v>
      </c>
      <c r="G1520" s="68"/>
      <c r="K1520" s="68"/>
    </row>
    <row r="1521" spans="1:11" ht="12.75">
      <c r="A1521" s="69">
        <f ca="1">IFERROR(__xludf.DUMMYFUNCTION("""COMPUTED_VALUE"""),95019)</f>
        <v>95019</v>
      </c>
      <c r="B1521" s="4">
        <f ca="1">IFERROR(__xludf.DUMMYFUNCTION("""COMPUTED_VALUE"""),44671)</f>
        <v>44671</v>
      </c>
      <c r="C1521" t="str">
        <f ca="1">IFERROR(__xludf.DUMMYFUNCTION("""COMPUTED_VALUE"""),"ООО «КОНТАКТ-АВТО» 135-РДО от 17.03.2022")</f>
        <v>ООО «КОНТАКТ-АВТО» 135-РДО от 17.03.2022</v>
      </c>
      <c r="D15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1" t="str">
        <f ca="1">IFERROR(__xludf.DUMMYFUNCTION("""COMPUTED_VALUE"""),"Новый")</f>
        <v>Новый</v>
      </c>
      <c r="G1521" s="68"/>
      <c r="K1521" s="68"/>
    </row>
    <row r="1522" spans="1:11" ht="12.75">
      <c r="A1522" s="69">
        <f ca="1">IFERROR(__xludf.DUMMYFUNCTION("""COMPUTED_VALUE"""),95020)</f>
        <v>95020</v>
      </c>
      <c r="B1522" s="4">
        <f ca="1">IFERROR(__xludf.DUMMYFUNCTION("""COMPUTED_VALUE"""),44671)</f>
        <v>44671</v>
      </c>
      <c r="C1522" t="str">
        <f ca="1">IFERROR(__xludf.DUMMYFUNCTION("""COMPUTED_VALUE"""),"ООО «КОНТАКТ-АВТО» 135-РДО от 17.03.2022")</f>
        <v>ООО «КОНТАКТ-АВТО» 135-РДО от 17.03.2022</v>
      </c>
      <c r="D15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2" t="str">
        <f ca="1">IFERROR(__xludf.DUMMYFUNCTION("""COMPUTED_VALUE"""),"Новый")</f>
        <v>Новый</v>
      </c>
      <c r="G1522" s="68"/>
      <c r="K1522" s="68"/>
    </row>
    <row r="1523" spans="1:11" ht="12.75">
      <c r="A1523" s="69">
        <f ca="1">IFERROR(__xludf.DUMMYFUNCTION("""COMPUTED_VALUE"""),95021)</f>
        <v>95021</v>
      </c>
      <c r="B1523" s="4">
        <f ca="1">IFERROR(__xludf.DUMMYFUNCTION("""COMPUTED_VALUE"""),44671)</f>
        <v>44671</v>
      </c>
      <c r="C1523" t="str">
        <f ca="1">IFERROR(__xludf.DUMMYFUNCTION("""COMPUTED_VALUE"""),"ООО «КОНТАКТ-АВТО» 135-РДО от 17.03.2022")</f>
        <v>ООО «КОНТАКТ-АВТО» 135-РДО от 17.03.2022</v>
      </c>
      <c r="D15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3" t="str">
        <f ca="1">IFERROR(__xludf.DUMMYFUNCTION("""COMPUTED_VALUE"""),"Новый")</f>
        <v>Новый</v>
      </c>
      <c r="G1523" s="68"/>
      <c r="K1523" s="68"/>
    </row>
    <row r="1524" spans="1:11" ht="12.75">
      <c r="A1524" s="69">
        <f ca="1">IFERROR(__xludf.DUMMYFUNCTION("""COMPUTED_VALUE"""),95022)</f>
        <v>95022</v>
      </c>
      <c r="B1524" s="4">
        <f ca="1">IFERROR(__xludf.DUMMYFUNCTION("""COMPUTED_VALUE"""),44671)</f>
        <v>44671</v>
      </c>
      <c r="C1524" t="str">
        <f ca="1">IFERROR(__xludf.DUMMYFUNCTION("""COMPUTED_VALUE"""),"ООО «КОНТАКТ-АВТО» 135-РДО от 17.03.2022")</f>
        <v>ООО «КОНТАКТ-АВТО» 135-РДО от 17.03.2022</v>
      </c>
      <c r="D15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4" t="str">
        <f ca="1">IFERROR(__xludf.DUMMYFUNCTION("""COMPUTED_VALUE"""),"Новый")</f>
        <v>Новый</v>
      </c>
      <c r="G1524" s="68"/>
      <c r="K1524" s="68"/>
    </row>
    <row r="1525" spans="1:11" ht="12.75">
      <c r="A1525" s="69">
        <f ca="1">IFERROR(__xludf.DUMMYFUNCTION("""COMPUTED_VALUE"""),95023)</f>
        <v>95023</v>
      </c>
      <c r="B1525" s="4">
        <f ca="1">IFERROR(__xludf.DUMMYFUNCTION("""COMPUTED_VALUE"""),44671)</f>
        <v>44671</v>
      </c>
      <c r="C1525" t="str">
        <f ca="1">IFERROR(__xludf.DUMMYFUNCTION("""COMPUTED_VALUE"""),"ООО «КОНТАКТ-АВТО» 135-РДО от 17.03.2022")</f>
        <v>ООО «КОНТАКТ-АВТО» 135-РДО от 17.03.2022</v>
      </c>
      <c r="D15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5" t="str">
        <f ca="1">IFERROR(__xludf.DUMMYFUNCTION("""COMPUTED_VALUE"""),"Новый")</f>
        <v>Новый</v>
      </c>
      <c r="G1525" s="68"/>
      <c r="K1525" s="68"/>
    </row>
    <row r="1526" spans="1:11" ht="12.75">
      <c r="A1526" s="69">
        <f ca="1">IFERROR(__xludf.DUMMYFUNCTION("""COMPUTED_VALUE"""),95024)</f>
        <v>95024</v>
      </c>
      <c r="B1526" s="4">
        <f ca="1">IFERROR(__xludf.DUMMYFUNCTION("""COMPUTED_VALUE"""),44671)</f>
        <v>44671</v>
      </c>
      <c r="C1526" t="str">
        <f ca="1">IFERROR(__xludf.DUMMYFUNCTION("""COMPUTED_VALUE"""),"ООО «КОНТАКТ-АВТО» 135-РДО от 17.03.2022")</f>
        <v>ООО «КОНТАКТ-АВТО» 135-РДО от 17.03.2022</v>
      </c>
      <c r="D15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6" t="str">
        <f ca="1">IFERROR(__xludf.DUMMYFUNCTION("""COMPUTED_VALUE"""),"Новый")</f>
        <v>Новый</v>
      </c>
      <c r="G1526" s="68"/>
      <c r="K1526" s="68"/>
    </row>
    <row r="1527" spans="1:11" ht="12.75">
      <c r="A1527" s="69">
        <f ca="1">IFERROR(__xludf.DUMMYFUNCTION("""COMPUTED_VALUE"""),95025)</f>
        <v>95025</v>
      </c>
      <c r="B1527" s="4">
        <f ca="1">IFERROR(__xludf.DUMMYFUNCTION("""COMPUTED_VALUE"""),44671)</f>
        <v>44671</v>
      </c>
      <c r="C1527" t="str">
        <f ca="1">IFERROR(__xludf.DUMMYFUNCTION("""COMPUTED_VALUE"""),"ООО «КОНТАКТ-АВТО» 135-РДО от 17.03.2022")</f>
        <v>ООО «КОНТАКТ-АВТО» 135-РДО от 17.03.2022</v>
      </c>
      <c r="D15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7" t="str">
        <f ca="1">IFERROR(__xludf.DUMMYFUNCTION("""COMPUTED_VALUE"""),"Новый")</f>
        <v>Новый</v>
      </c>
      <c r="G1527" s="68"/>
      <c r="K1527" s="68"/>
    </row>
    <row r="1528" spans="1:11" ht="12.75">
      <c r="A1528" s="69">
        <f ca="1">IFERROR(__xludf.DUMMYFUNCTION("""COMPUTED_VALUE"""),95026)</f>
        <v>95026</v>
      </c>
      <c r="B1528" s="4">
        <f ca="1">IFERROR(__xludf.DUMMYFUNCTION("""COMPUTED_VALUE"""),44671)</f>
        <v>44671</v>
      </c>
      <c r="C1528" t="str">
        <f ca="1">IFERROR(__xludf.DUMMYFUNCTION("""COMPUTED_VALUE"""),"ООО «КОНТАКТ-АВТО» 135-РДО от 17.03.2022")</f>
        <v>ООО «КОНТАКТ-АВТО» 135-РДО от 17.03.2022</v>
      </c>
      <c r="D15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8" t="str">
        <f ca="1">IFERROR(__xludf.DUMMYFUNCTION("""COMPUTED_VALUE"""),"Новый")</f>
        <v>Новый</v>
      </c>
      <c r="G1528" s="68"/>
      <c r="K1528" s="68"/>
    </row>
    <row r="1529" spans="1:11" ht="12.75">
      <c r="A1529" s="69">
        <f ca="1">IFERROR(__xludf.DUMMYFUNCTION("""COMPUTED_VALUE"""),95027)</f>
        <v>95027</v>
      </c>
      <c r="B1529" s="4">
        <f ca="1">IFERROR(__xludf.DUMMYFUNCTION("""COMPUTED_VALUE"""),44671)</f>
        <v>44671</v>
      </c>
      <c r="C1529" t="str">
        <f ca="1">IFERROR(__xludf.DUMMYFUNCTION("""COMPUTED_VALUE"""),"ООО «КОНТАКТ-АВТО» 135-РДО от 17.03.2022")</f>
        <v>ООО «КОНТАКТ-АВТО» 135-РДО от 17.03.2022</v>
      </c>
      <c r="D15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29" t="str">
        <f ca="1">IFERROR(__xludf.DUMMYFUNCTION("""COMPUTED_VALUE"""),"Новый")</f>
        <v>Новый</v>
      </c>
      <c r="G1529" s="68"/>
      <c r="K1529" s="68"/>
    </row>
    <row r="1530" spans="1:11" ht="12.75">
      <c r="A1530" s="69">
        <f ca="1">IFERROR(__xludf.DUMMYFUNCTION("""COMPUTED_VALUE"""),95028)</f>
        <v>95028</v>
      </c>
      <c r="B1530" s="4">
        <f ca="1">IFERROR(__xludf.DUMMYFUNCTION("""COMPUTED_VALUE"""),44671)</f>
        <v>44671</v>
      </c>
      <c r="C1530" t="str">
        <f ca="1">IFERROR(__xludf.DUMMYFUNCTION("""COMPUTED_VALUE"""),"ООО «КОНТАКТ-АВТО» 135-РДО от 17.03.2022")</f>
        <v>ООО «КОНТАКТ-АВТО» 135-РДО от 17.03.2022</v>
      </c>
      <c r="D15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0" t="str">
        <f ca="1">IFERROR(__xludf.DUMMYFUNCTION("""COMPUTED_VALUE"""),"Новый")</f>
        <v>Новый</v>
      </c>
      <c r="G1530" s="68"/>
      <c r="K1530" s="68"/>
    </row>
    <row r="1531" spans="1:11" ht="12.75">
      <c r="A1531" s="69">
        <f ca="1">IFERROR(__xludf.DUMMYFUNCTION("""COMPUTED_VALUE"""),95029)</f>
        <v>95029</v>
      </c>
      <c r="B1531" s="4">
        <f ca="1">IFERROR(__xludf.DUMMYFUNCTION("""COMPUTED_VALUE"""),44671)</f>
        <v>44671</v>
      </c>
      <c r="C1531" t="str">
        <f ca="1">IFERROR(__xludf.DUMMYFUNCTION("""COMPUTED_VALUE"""),"ООО «КОНТАКТ-АВТО» 135-РДО от 17.03.2022")</f>
        <v>ООО «КОНТАКТ-АВТО» 135-РДО от 17.03.2022</v>
      </c>
      <c r="D15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1" t="str">
        <f ca="1">IFERROR(__xludf.DUMMYFUNCTION("""COMPUTED_VALUE"""),"Новый")</f>
        <v>Новый</v>
      </c>
      <c r="G1531" s="68"/>
      <c r="K1531" s="68"/>
    </row>
    <row r="1532" spans="1:11" ht="12.75">
      <c r="A1532" s="69">
        <f ca="1">IFERROR(__xludf.DUMMYFUNCTION("""COMPUTED_VALUE"""),95030)</f>
        <v>95030</v>
      </c>
      <c r="B1532" s="4">
        <f ca="1">IFERROR(__xludf.DUMMYFUNCTION("""COMPUTED_VALUE"""),44671)</f>
        <v>44671</v>
      </c>
      <c r="C1532" t="str">
        <f ca="1">IFERROR(__xludf.DUMMYFUNCTION("""COMPUTED_VALUE"""),"ООО «КОНТАКТ-АВТО» 135-РДО от 17.03.2022")</f>
        <v>ООО «КОНТАКТ-АВТО» 135-РДО от 17.03.2022</v>
      </c>
      <c r="D15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2" t="str">
        <f ca="1">IFERROR(__xludf.DUMMYFUNCTION("""COMPUTED_VALUE"""),"Новый")</f>
        <v>Новый</v>
      </c>
      <c r="G1532" s="68"/>
      <c r="K1532" s="68"/>
    </row>
    <row r="1533" spans="1:11" ht="12.75">
      <c r="A1533" s="69">
        <f ca="1">IFERROR(__xludf.DUMMYFUNCTION("""COMPUTED_VALUE"""),95031)</f>
        <v>95031</v>
      </c>
      <c r="B1533" s="4">
        <f ca="1">IFERROR(__xludf.DUMMYFUNCTION("""COMPUTED_VALUE"""),44671)</f>
        <v>44671</v>
      </c>
      <c r="C1533" t="str">
        <f ca="1">IFERROR(__xludf.DUMMYFUNCTION("""COMPUTED_VALUE"""),"ООО «КОНТАКТ-АВТО» 135-РДО от 17.03.2022")</f>
        <v>ООО «КОНТАКТ-АВТО» 135-РДО от 17.03.2022</v>
      </c>
      <c r="D15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3" t="str">
        <f ca="1">IFERROR(__xludf.DUMMYFUNCTION("""COMPUTED_VALUE"""),"Новый")</f>
        <v>Новый</v>
      </c>
      <c r="G1533" s="68"/>
      <c r="K1533" s="68"/>
    </row>
    <row r="1534" spans="1:11" ht="12.75">
      <c r="A1534" s="69">
        <f ca="1">IFERROR(__xludf.DUMMYFUNCTION("""COMPUTED_VALUE"""),95042)</f>
        <v>95042</v>
      </c>
      <c r="B1534" s="4">
        <f ca="1">IFERROR(__xludf.DUMMYFUNCTION("""COMPUTED_VALUE"""),44671)</f>
        <v>44671</v>
      </c>
      <c r="C1534" t="str">
        <f ca="1">IFERROR(__xludf.DUMMYFUNCTION("""COMPUTED_VALUE"""),"ООО «КОНТАКТ-АВТО» 135-РДО от 17.03.2022")</f>
        <v>ООО «КОНТАКТ-АВТО» 135-РДО от 17.03.2022</v>
      </c>
      <c r="D15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4" t="str">
        <f ca="1">IFERROR(__xludf.DUMMYFUNCTION("""COMPUTED_VALUE"""),"Новый")</f>
        <v>Новый</v>
      </c>
      <c r="G1534" s="68"/>
      <c r="K1534" s="68"/>
    </row>
    <row r="1535" spans="1:11" ht="12.75">
      <c r="A1535" s="69">
        <f ca="1">IFERROR(__xludf.DUMMYFUNCTION("""COMPUTED_VALUE"""),95056)</f>
        <v>95056</v>
      </c>
      <c r="B1535" s="4">
        <f ca="1">IFERROR(__xludf.DUMMYFUNCTION("""COMPUTED_VALUE"""),44671)</f>
        <v>44671</v>
      </c>
      <c r="C1535" t="str">
        <f ca="1">IFERROR(__xludf.DUMMYFUNCTION("""COMPUTED_VALUE"""),"ООО УК ""ЖИЛИЩНИК-2 ""АМУРСКИЙ"" 81-РДО от 29.04.2021")</f>
        <v>ООО УК "ЖИЛИЩНИК-2 "АМУРСКИЙ" 81-РДО от 29.04.2021</v>
      </c>
      <c r="D15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5" t="str">
        <f ca="1">IFERROR(__xludf.DUMMYFUNCTION("""COMPUTED_VALUE"""),"Новый")</f>
        <v>Новый</v>
      </c>
      <c r="G1535" s="68"/>
      <c r="K1535" s="68"/>
    </row>
    <row r="1536" spans="1:11" ht="12.75">
      <c r="A1536" s="69">
        <f ca="1">IFERROR(__xludf.DUMMYFUNCTION("""COMPUTED_VALUE"""),95063)</f>
        <v>95063</v>
      </c>
      <c r="B1536" s="4">
        <f ca="1">IFERROR(__xludf.DUMMYFUNCTION("""COMPUTED_VALUE"""),44671)</f>
        <v>44671</v>
      </c>
      <c r="C1536" t="str">
        <f ca="1">IFERROR(__xludf.DUMMYFUNCTION("""COMPUTED_VALUE"""),"ООО УК ""ЖИЛИЩНИК-2 ""АМУРСКИЙ"" 81-РДО от 29.04.2021")</f>
        <v>ООО УК "ЖИЛИЩНИК-2 "АМУРСКИЙ" 81-РДО от 29.04.2021</v>
      </c>
      <c r="D15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6" t="str">
        <f ca="1">IFERROR(__xludf.DUMMYFUNCTION("""COMPUTED_VALUE"""),"Новый")</f>
        <v>Новый</v>
      </c>
      <c r="G1536" s="68"/>
      <c r="K1536" s="68"/>
    </row>
    <row r="1537" spans="1:11" ht="12.75">
      <c r="A1537" s="69">
        <f ca="1">IFERROR(__xludf.DUMMYFUNCTION("""COMPUTED_VALUE"""),95064)</f>
        <v>95064</v>
      </c>
      <c r="B1537" s="4">
        <f ca="1">IFERROR(__xludf.DUMMYFUNCTION("""COMPUTED_VALUE"""),44671)</f>
        <v>44671</v>
      </c>
      <c r="C1537" t="str">
        <f ca="1">IFERROR(__xludf.DUMMYFUNCTION("""COMPUTED_VALUE"""),"ООО УК ""ЖИЛИЩНИК-2 ""АМУРСКИЙ"" 81-РДО от 29.04.2021")</f>
        <v>ООО УК "ЖИЛИЩНИК-2 "АМУРСКИЙ" 81-РДО от 29.04.2021</v>
      </c>
      <c r="D15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7" t="str">
        <f ca="1">IFERROR(__xludf.DUMMYFUNCTION("""COMPUTED_VALUE"""),"Новый")</f>
        <v>Новый</v>
      </c>
      <c r="G1537" s="68"/>
      <c r="K1537" s="68"/>
    </row>
    <row r="1538" spans="1:11" ht="12.75">
      <c r="A1538" s="69">
        <f ca="1">IFERROR(__xludf.DUMMYFUNCTION("""COMPUTED_VALUE"""),95065)</f>
        <v>95065</v>
      </c>
      <c r="B1538" s="4">
        <f ca="1">IFERROR(__xludf.DUMMYFUNCTION("""COMPUTED_VALUE"""),44671)</f>
        <v>44671</v>
      </c>
      <c r="C1538" t="str">
        <f ca="1">IFERROR(__xludf.DUMMYFUNCTION("""COMPUTED_VALUE"""),"ООО УК ""ЖИЛИЩНИК-2 ""АМУРСКИЙ"" 81-РДО от 29.04.2021")</f>
        <v>ООО УК "ЖИЛИЩНИК-2 "АМУРСКИЙ" 81-РДО от 29.04.2021</v>
      </c>
      <c r="D15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8" t="str">
        <f ca="1">IFERROR(__xludf.DUMMYFUNCTION("""COMPUTED_VALUE"""),"Новый")</f>
        <v>Новый</v>
      </c>
      <c r="G1538" s="68"/>
      <c r="K1538" s="68"/>
    </row>
    <row r="1539" spans="1:11" ht="12.75">
      <c r="A1539" s="69">
        <f ca="1">IFERROR(__xludf.DUMMYFUNCTION("""COMPUTED_VALUE"""),95102)</f>
        <v>95102</v>
      </c>
      <c r="B1539" s="4">
        <f ca="1">IFERROR(__xludf.DUMMYFUNCTION("""COMPUTED_VALUE"""),44671)</f>
        <v>44671</v>
      </c>
      <c r="C1539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39" t="str">
        <f ca="1">IFERROR(__xludf.DUMMYFUNCTION("""COMPUTED_VALUE"""),"Новый")</f>
        <v>Новый</v>
      </c>
      <c r="G1539" s="68"/>
      <c r="K1539" s="68"/>
    </row>
    <row r="1540" spans="1:11" ht="12.75">
      <c r="A1540" s="69">
        <f ca="1">IFERROR(__xludf.DUMMYFUNCTION("""COMPUTED_VALUE"""),95103)</f>
        <v>95103</v>
      </c>
      <c r="B1540" s="4">
        <f ca="1">IFERROR(__xludf.DUMMYFUNCTION("""COMPUTED_VALUE"""),44671)</f>
        <v>44671</v>
      </c>
      <c r="C1540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0" t="str">
        <f ca="1">IFERROR(__xludf.DUMMYFUNCTION("""COMPUTED_VALUE"""),"Новый")</f>
        <v>Новый</v>
      </c>
      <c r="G1540" s="68"/>
      <c r="K1540" s="68"/>
    </row>
    <row r="1541" spans="1:11" ht="12.75">
      <c r="A1541" s="69">
        <f ca="1">IFERROR(__xludf.DUMMYFUNCTION("""COMPUTED_VALUE"""),95104)</f>
        <v>95104</v>
      </c>
      <c r="B1541" s="4">
        <f ca="1">IFERROR(__xludf.DUMMYFUNCTION("""COMPUTED_VALUE"""),44671)</f>
        <v>44671</v>
      </c>
      <c r="C1541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1" t="str">
        <f ca="1">IFERROR(__xludf.DUMMYFUNCTION("""COMPUTED_VALUE"""),"Новый")</f>
        <v>Новый</v>
      </c>
      <c r="G1541" s="68"/>
      <c r="K1541" s="68"/>
    </row>
    <row r="1542" spans="1:11" ht="12.75">
      <c r="A1542" s="69">
        <f ca="1">IFERROR(__xludf.DUMMYFUNCTION("""COMPUTED_VALUE"""),95105)</f>
        <v>95105</v>
      </c>
      <c r="B1542" s="4">
        <f ca="1">IFERROR(__xludf.DUMMYFUNCTION("""COMPUTED_VALUE"""),44671)</f>
        <v>44671</v>
      </c>
      <c r="C1542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2" t="str">
        <f ca="1">IFERROR(__xludf.DUMMYFUNCTION("""COMPUTED_VALUE"""),"Новый")</f>
        <v>Новый</v>
      </c>
      <c r="G1542" s="68"/>
      <c r="K1542" s="68"/>
    </row>
    <row r="1543" spans="1:11" ht="12.75">
      <c r="A1543" s="69">
        <f ca="1">IFERROR(__xludf.DUMMYFUNCTION("""COMPUTED_VALUE"""),95106)</f>
        <v>95106</v>
      </c>
      <c r="B1543" s="4">
        <f ca="1">IFERROR(__xludf.DUMMYFUNCTION("""COMPUTED_VALUE"""),44671)</f>
        <v>44671</v>
      </c>
      <c r="C1543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3" t="str">
        <f ca="1">IFERROR(__xludf.DUMMYFUNCTION("""COMPUTED_VALUE"""),"Новый")</f>
        <v>Новый</v>
      </c>
      <c r="G1543" s="68"/>
      <c r="K1543" s="68"/>
    </row>
    <row r="1544" spans="1:11" ht="12.75">
      <c r="A1544" s="69">
        <f ca="1">IFERROR(__xludf.DUMMYFUNCTION("""COMPUTED_VALUE"""),95107)</f>
        <v>95107</v>
      </c>
      <c r="B1544" s="4">
        <f ca="1">IFERROR(__xludf.DUMMYFUNCTION("""COMPUTED_VALUE"""),44671)</f>
        <v>44671</v>
      </c>
      <c r="C1544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4" t="str">
        <f ca="1">IFERROR(__xludf.DUMMYFUNCTION("""COMPUTED_VALUE"""),"Новый")</f>
        <v>Новый</v>
      </c>
      <c r="G1544" s="68"/>
      <c r="K1544" s="68"/>
    </row>
    <row r="1545" spans="1:11" ht="12.75">
      <c r="A1545" s="69">
        <f ca="1">IFERROR(__xludf.DUMMYFUNCTION("""COMPUTED_VALUE"""),95108)</f>
        <v>95108</v>
      </c>
      <c r="B1545" s="4">
        <f ca="1">IFERROR(__xludf.DUMMYFUNCTION("""COMPUTED_VALUE"""),44671)</f>
        <v>44671</v>
      </c>
      <c r="C1545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5" t="str">
        <f ca="1">IFERROR(__xludf.DUMMYFUNCTION("""COMPUTED_VALUE"""),"Новый")</f>
        <v>Новый</v>
      </c>
      <c r="G1545" s="68"/>
      <c r="K1545" s="68"/>
    </row>
    <row r="1546" spans="1:11" ht="12.75">
      <c r="A1546" s="69">
        <f ca="1">IFERROR(__xludf.DUMMYFUNCTION("""COMPUTED_VALUE"""),95109)</f>
        <v>95109</v>
      </c>
      <c r="B1546" s="4">
        <f ca="1">IFERROR(__xludf.DUMMYFUNCTION("""COMPUTED_VALUE"""),44671)</f>
        <v>44671</v>
      </c>
      <c r="C1546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6" t="str">
        <f ca="1">IFERROR(__xludf.DUMMYFUNCTION("""COMPUTED_VALUE"""),"Новый")</f>
        <v>Новый</v>
      </c>
      <c r="G1546" s="68"/>
      <c r="K1546" s="68"/>
    </row>
    <row r="1547" spans="1:11" ht="12.75">
      <c r="A1547" s="69">
        <f ca="1">IFERROR(__xludf.DUMMYFUNCTION("""COMPUTED_VALUE"""),95110)</f>
        <v>95110</v>
      </c>
      <c r="B1547" s="4">
        <f ca="1">IFERROR(__xludf.DUMMYFUNCTION("""COMPUTED_VALUE"""),44671)</f>
        <v>44671</v>
      </c>
      <c r="C1547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7" t="str">
        <f ca="1">IFERROR(__xludf.DUMMYFUNCTION("""COMPUTED_VALUE"""),"Новый")</f>
        <v>Новый</v>
      </c>
      <c r="G1547" s="68"/>
      <c r="K1547" s="68"/>
    </row>
    <row r="1548" spans="1:11" ht="12.75">
      <c r="A1548" s="69">
        <f ca="1">IFERROR(__xludf.DUMMYFUNCTION("""COMPUTED_VALUE"""),95111)</f>
        <v>95111</v>
      </c>
      <c r="B1548" s="4">
        <f ca="1">IFERROR(__xludf.DUMMYFUNCTION("""COMPUTED_VALUE"""),44671)</f>
        <v>44671</v>
      </c>
      <c r="C1548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8" t="str">
        <f ca="1">IFERROR(__xludf.DUMMYFUNCTION("""COMPUTED_VALUE"""),"Новый")</f>
        <v>Новый</v>
      </c>
      <c r="G1548" s="68"/>
      <c r="K1548" s="68"/>
    </row>
    <row r="1549" spans="1:11" ht="12.75">
      <c r="A1549" s="69">
        <f ca="1">IFERROR(__xludf.DUMMYFUNCTION("""COMPUTED_VALUE"""),95112)</f>
        <v>95112</v>
      </c>
      <c r="B1549" s="4">
        <f ca="1">IFERROR(__xludf.DUMMYFUNCTION("""COMPUTED_VALUE"""),44671)</f>
        <v>44671</v>
      </c>
      <c r="C1549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49" t="str">
        <f ca="1">IFERROR(__xludf.DUMMYFUNCTION("""COMPUTED_VALUE"""),"Новый")</f>
        <v>Новый</v>
      </c>
      <c r="G1549" s="68"/>
      <c r="K1549" s="68"/>
    </row>
    <row r="1550" spans="1:11" ht="12.75">
      <c r="A1550" s="69">
        <f ca="1">IFERROR(__xludf.DUMMYFUNCTION("""COMPUTED_VALUE"""),95113)</f>
        <v>95113</v>
      </c>
      <c r="B1550" s="4">
        <f ca="1">IFERROR(__xludf.DUMMYFUNCTION("""COMPUTED_VALUE"""),44671)</f>
        <v>44671</v>
      </c>
      <c r="C1550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0" t="str">
        <f ca="1">IFERROR(__xludf.DUMMYFUNCTION("""COMPUTED_VALUE"""),"Новый")</f>
        <v>Новый</v>
      </c>
      <c r="G1550" s="68"/>
      <c r="K1550" s="68"/>
    </row>
    <row r="1551" spans="1:11" ht="12.75">
      <c r="A1551" s="69">
        <f ca="1">IFERROR(__xludf.DUMMYFUNCTION("""COMPUTED_VALUE"""),95114)</f>
        <v>95114</v>
      </c>
      <c r="B1551" s="4">
        <f ca="1">IFERROR(__xludf.DUMMYFUNCTION("""COMPUTED_VALUE"""),44671)</f>
        <v>44671</v>
      </c>
      <c r="C1551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1" t="str">
        <f ca="1">IFERROR(__xludf.DUMMYFUNCTION("""COMPUTED_VALUE"""),"Новый")</f>
        <v>Новый</v>
      </c>
      <c r="G1551" s="68"/>
      <c r="K1551" s="68"/>
    </row>
    <row r="1552" spans="1:11" ht="12.75">
      <c r="A1552" s="69">
        <f ca="1">IFERROR(__xludf.DUMMYFUNCTION("""COMPUTED_VALUE"""),95115)</f>
        <v>95115</v>
      </c>
      <c r="B1552" s="4">
        <f ca="1">IFERROR(__xludf.DUMMYFUNCTION("""COMPUTED_VALUE"""),44671)</f>
        <v>44671</v>
      </c>
      <c r="C1552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2" t="str">
        <f ca="1">IFERROR(__xludf.DUMMYFUNCTION("""COMPUTED_VALUE"""),"Новый")</f>
        <v>Новый</v>
      </c>
      <c r="G1552" s="68"/>
      <c r="K1552" s="68"/>
    </row>
    <row r="1553" spans="1:11" ht="12.75">
      <c r="A1553" s="69">
        <f ca="1">IFERROR(__xludf.DUMMYFUNCTION("""COMPUTED_VALUE"""),95116)</f>
        <v>95116</v>
      </c>
      <c r="B1553" s="4">
        <f ca="1">IFERROR(__xludf.DUMMYFUNCTION("""COMPUTED_VALUE"""),44671)</f>
        <v>44671</v>
      </c>
      <c r="C1553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3" t="str">
        <f ca="1">IFERROR(__xludf.DUMMYFUNCTION("""COMPUTED_VALUE"""),"Новый")</f>
        <v>Новый</v>
      </c>
      <c r="G1553" s="68"/>
      <c r="K1553" s="68"/>
    </row>
    <row r="1554" spans="1:11" ht="12.75">
      <c r="A1554" s="69">
        <f ca="1">IFERROR(__xludf.DUMMYFUNCTION("""COMPUTED_VALUE"""),95117)</f>
        <v>95117</v>
      </c>
      <c r="B1554" s="4">
        <f ca="1">IFERROR(__xludf.DUMMYFUNCTION("""COMPUTED_VALUE"""),44671)</f>
        <v>44671</v>
      </c>
      <c r="C1554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4" t="str">
        <f ca="1">IFERROR(__xludf.DUMMYFUNCTION("""COMPUTED_VALUE"""),"Новый")</f>
        <v>Новый</v>
      </c>
      <c r="G1554" s="68"/>
      <c r="K1554" s="68"/>
    </row>
    <row r="1555" spans="1:11" ht="12.75">
      <c r="A1555" s="69">
        <f ca="1">IFERROR(__xludf.DUMMYFUNCTION("""COMPUTED_VALUE"""),95118)</f>
        <v>95118</v>
      </c>
      <c r="B1555" s="4">
        <f ca="1">IFERROR(__xludf.DUMMYFUNCTION("""COMPUTED_VALUE"""),44671)</f>
        <v>44671</v>
      </c>
      <c r="C1555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5" t="str">
        <f ca="1">IFERROR(__xludf.DUMMYFUNCTION("""COMPUTED_VALUE"""),"Новый")</f>
        <v>Новый</v>
      </c>
      <c r="G1555" s="68"/>
      <c r="K1555" s="68"/>
    </row>
    <row r="1556" spans="1:11" ht="12.75">
      <c r="A1556" s="69">
        <f ca="1">IFERROR(__xludf.DUMMYFUNCTION("""COMPUTED_VALUE"""),95119)</f>
        <v>95119</v>
      </c>
      <c r="B1556" s="4">
        <f ca="1">IFERROR(__xludf.DUMMYFUNCTION("""COMPUTED_VALUE"""),44671)</f>
        <v>44671</v>
      </c>
      <c r="C1556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6" t="str">
        <f ca="1">IFERROR(__xludf.DUMMYFUNCTION("""COMPUTED_VALUE"""),"Новый")</f>
        <v>Новый</v>
      </c>
      <c r="G1556" s="68"/>
      <c r="K1556" s="68"/>
    </row>
    <row r="1557" spans="1:11" ht="12.75">
      <c r="A1557" s="69">
        <f ca="1">IFERROR(__xludf.DUMMYFUNCTION("""COMPUTED_VALUE"""),95120)</f>
        <v>95120</v>
      </c>
      <c r="B1557" s="4">
        <f ca="1">IFERROR(__xludf.DUMMYFUNCTION("""COMPUTED_VALUE"""),44671)</f>
        <v>44671</v>
      </c>
      <c r="C1557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7" t="str">
        <f ca="1">IFERROR(__xludf.DUMMYFUNCTION("""COMPUTED_VALUE"""),"Новый")</f>
        <v>Новый</v>
      </c>
      <c r="G1557" s="68"/>
      <c r="K1557" s="68"/>
    </row>
    <row r="1558" spans="1:11" ht="12.75">
      <c r="A1558" s="69">
        <f ca="1">IFERROR(__xludf.DUMMYFUNCTION("""COMPUTED_VALUE"""),95121)</f>
        <v>95121</v>
      </c>
      <c r="B1558" s="4">
        <f ca="1">IFERROR(__xludf.DUMMYFUNCTION("""COMPUTED_VALUE"""),44671)</f>
        <v>44671</v>
      </c>
      <c r="C1558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8" t="str">
        <f ca="1">IFERROR(__xludf.DUMMYFUNCTION("""COMPUTED_VALUE"""),"Новый")</f>
        <v>Новый</v>
      </c>
      <c r="G1558" s="68"/>
      <c r="K1558" s="68"/>
    </row>
    <row r="1559" spans="1:11" ht="12.75">
      <c r="A1559" s="69">
        <f ca="1">IFERROR(__xludf.DUMMYFUNCTION("""COMPUTED_VALUE"""),95122)</f>
        <v>95122</v>
      </c>
      <c r="B1559" s="4">
        <f ca="1">IFERROR(__xludf.DUMMYFUNCTION("""COMPUTED_VALUE"""),44671)</f>
        <v>44671</v>
      </c>
      <c r="C1559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59" t="str">
        <f ca="1">IFERROR(__xludf.DUMMYFUNCTION("""COMPUTED_VALUE"""),"Новый")</f>
        <v>Новый</v>
      </c>
      <c r="G1559" s="68"/>
      <c r="K1559" s="68"/>
    </row>
    <row r="1560" spans="1:11" ht="12.75">
      <c r="A1560" s="69">
        <f ca="1">IFERROR(__xludf.DUMMYFUNCTION("""COMPUTED_VALUE"""),95123)</f>
        <v>95123</v>
      </c>
      <c r="B1560" s="4">
        <f ca="1">IFERROR(__xludf.DUMMYFUNCTION("""COMPUTED_VALUE"""),44671)</f>
        <v>44671</v>
      </c>
      <c r="C1560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0" t="str">
        <f ca="1">IFERROR(__xludf.DUMMYFUNCTION("""COMPUTED_VALUE"""),"Новый")</f>
        <v>Новый</v>
      </c>
      <c r="G1560" s="68"/>
      <c r="K1560" s="68"/>
    </row>
    <row r="1561" spans="1:11" ht="12.75">
      <c r="A1561" s="69">
        <f ca="1">IFERROR(__xludf.DUMMYFUNCTION("""COMPUTED_VALUE"""),95124)</f>
        <v>95124</v>
      </c>
      <c r="B1561" s="4">
        <f ca="1">IFERROR(__xludf.DUMMYFUNCTION("""COMPUTED_VALUE"""),44671)</f>
        <v>44671</v>
      </c>
      <c r="C1561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1" t="str">
        <f ca="1">IFERROR(__xludf.DUMMYFUNCTION("""COMPUTED_VALUE"""),"Новый")</f>
        <v>Новый</v>
      </c>
      <c r="G1561" s="68"/>
      <c r="K1561" s="68"/>
    </row>
    <row r="1562" spans="1:11" ht="12.75">
      <c r="A1562" s="69">
        <f ca="1">IFERROR(__xludf.DUMMYFUNCTION("""COMPUTED_VALUE"""),95125)</f>
        <v>95125</v>
      </c>
      <c r="B1562" s="4">
        <f ca="1">IFERROR(__xludf.DUMMYFUNCTION("""COMPUTED_VALUE"""),44671)</f>
        <v>44671</v>
      </c>
      <c r="C1562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2" t="str">
        <f ca="1">IFERROR(__xludf.DUMMYFUNCTION("""COMPUTED_VALUE"""),"Новый")</f>
        <v>Новый</v>
      </c>
      <c r="G1562" s="68"/>
      <c r="K1562" s="68"/>
    </row>
    <row r="1563" spans="1:11" ht="12.75">
      <c r="A1563" s="69">
        <f ca="1">IFERROR(__xludf.DUMMYFUNCTION("""COMPUTED_VALUE"""),95126)</f>
        <v>95126</v>
      </c>
      <c r="B1563" s="4">
        <f ca="1">IFERROR(__xludf.DUMMYFUNCTION("""COMPUTED_VALUE"""),44671)</f>
        <v>44671</v>
      </c>
      <c r="C1563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3" t="str">
        <f ca="1">IFERROR(__xludf.DUMMYFUNCTION("""COMPUTED_VALUE"""),"Новый")</f>
        <v>Новый</v>
      </c>
      <c r="G1563" s="68"/>
      <c r="K1563" s="68"/>
    </row>
    <row r="1564" spans="1:11" ht="12.75">
      <c r="A1564" s="69">
        <f ca="1">IFERROR(__xludf.DUMMYFUNCTION("""COMPUTED_VALUE"""),95127)</f>
        <v>95127</v>
      </c>
      <c r="B1564" s="4">
        <f ca="1">IFERROR(__xludf.DUMMYFUNCTION("""COMPUTED_VALUE"""),44671)</f>
        <v>44671</v>
      </c>
      <c r="C1564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4" t="str">
        <f ca="1">IFERROR(__xludf.DUMMYFUNCTION("""COMPUTED_VALUE"""),"Новый")</f>
        <v>Новый</v>
      </c>
      <c r="G1564" s="68"/>
      <c r="K1564" s="68"/>
    </row>
    <row r="1565" spans="1:11" ht="12.75">
      <c r="A1565" s="69">
        <f ca="1">IFERROR(__xludf.DUMMYFUNCTION("""COMPUTED_VALUE"""),95128)</f>
        <v>95128</v>
      </c>
      <c r="B1565" s="4">
        <f ca="1">IFERROR(__xludf.DUMMYFUNCTION("""COMPUTED_VALUE"""),44671)</f>
        <v>44671</v>
      </c>
      <c r="C1565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5" t="str">
        <f ca="1">IFERROR(__xludf.DUMMYFUNCTION("""COMPUTED_VALUE"""),"Новый")</f>
        <v>Новый</v>
      </c>
      <c r="G1565" s="68"/>
      <c r="K1565" s="68"/>
    </row>
    <row r="1566" spans="1:11" ht="12.75">
      <c r="A1566" s="69">
        <f ca="1">IFERROR(__xludf.DUMMYFUNCTION("""COMPUTED_VALUE"""),95129)</f>
        <v>95129</v>
      </c>
      <c r="B1566" s="4">
        <f ca="1">IFERROR(__xludf.DUMMYFUNCTION("""COMPUTED_VALUE"""),44671)</f>
        <v>44671</v>
      </c>
      <c r="C1566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6" t="str">
        <f ca="1">IFERROR(__xludf.DUMMYFUNCTION("""COMPUTED_VALUE"""),"Новый")</f>
        <v>Новый</v>
      </c>
      <c r="G1566" s="68"/>
      <c r="K1566" s="68"/>
    </row>
    <row r="1567" spans="1:11" ht="12.75">
      <c r="A1567" s="69">
        <f ca="1">IFERROR(__xludf.DUMMYFUNCTION("""COMPUTED_VALUE"""),95130)</f>
        <v>95130</v>
      </c>
      <c r="B1567" s="4">
        <f ca="1">IFERROR(__xludf.DUMMYFUNCTION("""COMPUTED_VALUE"""),44671)</f>
        <v>44671</v>
      </c>
      <c r="C1567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7" t="str">
        <f ca="1">IFERROR(__xludf.DUMMYFUNCTION("""COMPUTED_VALUE"""),"Новый")</f>
        <v>Новый</v>
      </c>
      <c r="G1567" s="68"/>
      <c r="K1567" s="68"/>
    </row>
    <row r="1568" spans="1:11" ht="12.75">
      <c r="A1568" s="69">
        <f ca="1">IFERROR(__xludf.DUMMYFUNCTION("""COMPUTED_VALUE"""),95131)</f>
        <v>95131</v>
      </c>
      <c r="B1568" s="4">
        <f ca="1">IFERROR(__xludf.DUMMYFUNCTION("""COMPUTED_VALUE"""),44671)</f>
        <v>44671</v>
      </c>
      <c r="C1568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8" t="str">
        <f ca="1">IFERROR(__xludf.DUMMYFUNCTION("""COMPUTED_VALUE"""),"Новый")</f>
        <v>Новый</v>
      </c>
      <c r="G1568" s="68"/>
      <c r="K1568" s="68"/>
    </row>
    <row r="1569" spans="1:11" ht="12.75">
      <c r="A1569" s="69">
        <f ca="1">IFERROR(__xludf.DUMMYFUNCTION("""COMPUTED_VALUE"""),95132)</f>
        <v>95132</v>
      </c>
      <c r="B1569" s="4">
        <f ca="1">IFERROR(__xludf.DUMMYFUNCTION("""COMPUTED_VALUE"""),44671)</f>
        <v>44671</v>
      </c>
      <c r="C1569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69" t="str">
        <f ca="1">IFERROR(__xludf.DUMMYFUNCTION("""COMPUTED_VALUE"""),"Новый")</f>
        <v>Новый</v>
      </c>
      <c r="G1569" s="68"/>
      <c r="K1569" s="68"/>
    </row>
    <row r="1570" spans="1:11" ht="12.75">
      <c r="A1570" s="69">
        <f ca="1">IFERROR(__xludf.DUMMYFUNCTION("""COMPUTED_VALUE"""),95133)</f>
        <v>95133</v>
      </c>
      <c r="B1570" s="4">
        <f ca="1">IFERROR(__xludf.DUMMYFUNCTION("""COMPUTED_VALUE"""),44671)</f>
        <v>44671</v>
      </c>
      <c r="C1570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0" t="str">
        <f ca="1">IFERROR(__xludf.DUMMYFUNCTION("""COMPUTED_VALUE"""),"Новый")</f>
        <v>Новый</v>
      </c>
      <c r="G1570" s="68"/>
      <c r="K1570" s="68"/>
    </row>
    <row r="1571" spans="1:11" ht="12.75">
      <c r="A1571" s="69">
        <f ca="1">IFERROR(__xludf.DUMMYFUNCTION("""COMPUTED_VALUE"""),95134)</f>
        <v>95134</v>
      </c>
      <c r="B1571" s="4">
        <f ca="1">IFERROR(__xludf.DUMMYFUNCTION("""COMPUTED_VALUE"""),44671)</f>
        <v>44671</v>
      </c>
      <c r="C1571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1" t="str">
        <f ca="1">IFERROR(__xludf.DUMMYFUNCTION("""COMPUTED_VALUE"""),"Новый")</f>
        <v>Новый</v>
      </c>
      <c r="G1571" s="68"/>
      <c r="K1571" s="68"/>
    </row>
    <row r="1572" spans="1:11" ht="12.75">
      <c r="A1572" s="69">
        <f ca="1">IFERROR(__xludf.DUMMYFUNCTION("""COMPUTED_VALUE"""),95135)</f>
        <v>95135</v>
      </c>
      <c r="B1572" s="4">
        <f ca="1">IFERROR(__xludf.DUMMYFUNCTION("""COMPUTED_VALUE"""),44671)</f>
        <v>44671</v>
      </c>
      <c r="C1572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2" t="str">
        <f ca="1">IFERROR(__xludf.DUMMYFUNCTION("""COMPUTED_VALUE"""),"Новый")</f>
        <v>Новый</v>
      </c>
      <c r="G1572" s="68"/>
      <c r="K1572" s="68"/>
    </row>
    <row r="1573" spans="1:11" ht="12.75">
      <c r="A1573" s="69">
        <f ca="1">IFERROR(__xludf.DUMMYFUNCTION("""COMPUTED_VALUE"""),95136)</f>
        <v>95136</v>
      </c>
      <c r="B1573" s="4">
        <f ca="1">IFERROR(__xludf.DUMMYFUNCTION("""COMPUTED_VALUE"""),44671)</f>
        <v>44671</v>
      </c>
      <c r="C1573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3" t="str">
        <f ca="1">IFERROR(__xludf.DUMMYFUNCTION("""COMPUTED_VALUE"""),"Новый")</f>
        <v>Новый</v>
      </c>
      <c r="G1573" s="68"/>
      <c r="K1573" s="68"/>
    </row>
    <row r="1574" spans="1:11" ht="12.75">
      <c r="A1574" s="69">
        <f ca="1">IFERROR(__xludf.DUMMYFUNCTION("""COMPUTED_VALUE"""),95137)</f>
        <v>95137</v>
      </c>
      <c r="B1574" s="4">
        <f ca="1">IFERROR(__xludf.DUMMYFUNCTION("""COMPUTED_VALUE"""),44671)</f>
        <v>44671</v>
      </c>
      <c r="C1574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4" t="str">
        <f ca="1">IFERROR(__xludf.DUMMYFUNCTION("""COMPUTED_VALUE"""),"Новый")</f>
        <v>Новый</v>
      </c>
      <c r="G1574" s="68"/>
      <c r="K1574" s="68"/>
    </row>
    <row r="1575" spans="1:11" ht="12.75">
      <c r="A1575" s="69">
        <f ca="1">IFERROR(__xludf.DUMMYFUNCTION("""COMPUTED_VALUE"""),95138)</f>
        <v>95138</v>
      </c>
      <c r="B1575" s="4">
        <f ca="1">IFERROR(__xludf.DUMMYFUNCTION("""COMPUTED_VALUE"""),44671)</f>
        <v>44671</v>
      </c>
      <c r="C1575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5" t="str">
        <f ca="1">IFERROR(__xludf.DUMMYFUNCTION("""COMPUTED_VALUE"""),"Новый")</f>
        <v>Новый</v>
      </c>
      <c r="G1575" s="68"/>
      <c r="K1575" s="68"/>
    </row>
    <row r="1576" spans="1:11" ht="12.75">
      <c r="A1576" s="69">
        <f ca="1">IFERROR(__xludf.DUMMYFUNCTION("""COMPUTED_VALUE"""),95139)</f>
        <v>95139</v>
      </c>
      <c r="B1576" s="4">
        <f ca="1">IFERROR(__xludf.DUMMYFUNCTION("""COMPUTED_VALUE"""),44671)</f>
        <v>44671</v>
      </c>
      <c r="C1576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6" t="str">
        <f ca="1">IFERROR(__xludf.DUMMYFUNCTION("""COMPUTED_VALUE"""),"Новый")</f>
        <v>Новый</v>
      </c>
      <c r="G1576" s="68"/>
      <c r="K1576" s="68"/>
    </row>
    <row r="1577" spans="1:11" ht="12.75">
      <c r="A1577" s="69">
        <f ca="1">IFERROR(__xludf.DUMMYFUNCTION("""COMPUTED_VALUE"""),95149)</f>
        <v>95149</v>
      </c>
      <c r="B1577" s="4">
        <f ca="1">IFERROR(__xludf.DUMMYFUNCTION("""COMPUTED_VALUE"""),44671)</f>
        <v>44671</v>
      </c>
      <c r="C1577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7" t="str">
        <f ca="1">IFERROR(__xludf.DUMMYFUNCTION("""COMPUTED_VALUE"""),"Новый")</f>
        <v>Новый</v>
      </c>
      <c r="G1577" s="68"/>
      <c r="K1577" s="68"/>
    </row>
    <row r="1578" spans="1:11" ht="12.75">
      <c r="A1578" s="69">
        <f ca="1">IFERROR(__xludf.DUMMYFUNCTION("""COMPUTED_VALUE"""),95150)</f>
        <v>95150</v>
      </c>
      <c r="B1578" s="4">
        <f ca="1">IFERROR(__xludf.DUMMYFUNCTION("""COMPUTED_VALUE"""),44671)</f>
        <v>44671</v>
      </c>
      <c r="C1578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8" t="str">
        <f ca="1">IFERROR(__xludf.DUMMYFUNCTION("""COMPUTED_VALUE"""),"Новый")</f>
        <v>Новый</v>
      </c>
      <c r="G1578" s="68"/>
      <c r="K1578" s="68"/>
    </row>
    <row r="1579" spans="1:11" ht="12.75">
      <c r="A1579" s="69">
        <f ca="1">IFERROR(__xludf.DUMMYFUNCTION("""COMPUTED_VALUE"""),95151)</f>
        <v>95151</v>
      </c>
      <c r="B1579" s="4">
        <f ca="1">IFERROR(__xludf.DUMMYFUNCTION("""COMPUTED_VALUE"""),44671)</f>
        <v>44671</v>
      </c>
      <c r="C1579" t="str">
        <f ca="1">IFERROR(__xludf.DUMMYFUNCTION("""COMPUTED_VALUE"""),"АО ""ТРАНСНЕФТЬ-ЗАПАДНАЯ СИБИРЬ"" 136-РДО от 24.03.2022")</f>
        <v>АО "ТРАНСНЕФТЬ-ЗАПАДНАЯ СИБИРЬ" 136-РДО от 24.03.2022</v>
      </c>
      <c r="D15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79" t="str">
        <f ca="1">IFERROR(__xludf.DUMMYFUNCTION("""COMPUTED_VALUE"""),"Новый")</f>
        <v>Новый</v>
      </c>
      <c r="G1579" s="68"/>
      <c r="K1579" s="68"/>
    </row>
    <row r="1580" spans="1:11" ht="12.75">
      <c r="A1580" s="69">
        <f ca="1">IFERROR(__xludf.DUMMYFUNCTION("""COMPUTED_VALUE"""),95392)</f>
        <v>95392</v>
      </c>
      <c r="B1580" s="4">
        <f ca="1">IFERROR(__xludf.DUMMYFUNCTION("""COMPUTED_VALUE"""),44672)</f>
        <v>44672</v>
      </c>
      <c r="C1580" t="str">
        <f ca="1">IFERROR(__xludf.DUMMYFUNCTION("""COMPUTED_VALUE"""),"ЗАО ""УК ""ЛЕВОБЕРЕЖЬЕ"" 147-РДО от 13.04.2022")</f>
        <v>ЗАО "УК "ЛЕВОБЕРЕЖЬЕ" 147-РДО от 13.04.2022</v>
      </c>
      <c r="D15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0" t="str">
        <f ca="1">IFERROR(__xludf.DUMMYFUNCTION("""COMPUTED_VALUE"""),"Новый")</f>
        <v>Новый</v>
      </c>
      <c r="G1580" s="68"/>
      <c r="K1580" s="68"/>
    </row>
    <row r="1581" spans="1:11" ht="12.75">
      <c r="A1581" s="69">
        <f ca="1">IFERROR(__xludf.DUMMYFUNCTION("""COMPUTED_VALUE"""),95393)</f>
        <v>95393</v>
      </c>
      <c r="B1581" s="4">
        <f ca="1">IFERROR(__xludf.DUMMYFUNCTION("""COMPUTED_VALUE"""),44672)</f>
        <v>44672</v>
      </c>
      <c r="C1581" t="str">
        <f ca="1">IFERROR(__xludf.DUMMYFUNCTION("""COMPUTED_VALUE"""),"ЗАО ""УК ""ЛЕВОБЕРЕЖЬЕ"" 147-РДО от 13.04.2022")</f>
        <v>ЗАО "УК "ЛЕВОБЕРЕЖЬЕ" 147-РДО от 13.04.2022</v>
      </c>
      <c r="D15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1" t="str">
        <f ca="1">IFERROR(__xludf.DUMMYFUNCTION("""COMPUTED_VALUE"""),"Новый")</f>
        <v>Новый</v>
      </c>
      <c r="G1581" s="68"/>
      <c r="K1581" s="68"/>
    </row>
    <row r="1582" spans="1:11" ht="12.75">
      <c r="A1582" s="69">
        <f ca="1">IFERROR(__xludf.DUMMYFUNCTION("""COMPUTED_VALUE"""),95394)</f>
        <v>95394</v>
      </c>
      <c r="B1582" s="4">
        <f ca="1">IFERROR(__xludf.DUMMYFUNCTION("""COMPUTED_VALUE"""),44672)</f>
        <v>44672</v>
      </c>
      <c r="C1582" t="str">
        <f ca="1">IFERROR(__xludf.DUMMYFUNCTION("""COMPUTED_VALUE"""),"ЗАО ""УК ""ЛЕВОБЕРЕЖЬЕ"" 147-РДО от 13.04.2022")</f>
        <v>ЗАО "УК "ЛЕВОБЕРЕЖЬЕ" 147-РДО от 13.04.2022</v>
      </c>
      <c r="D15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2" t="str">
        <f ca="1">IFERROR(__xludf.DUMMYFUNCTION("""COMPUTED_VALUE"""),"Новый")</f>
        <v>Новый</v>
      </c>
      <c r="G1582" s="68"/>
      <c r="K1582" s="68"/>
    </row>
    <row r="1583" spans="1:11" ht="12.75">
      <c r="A1583" s="69">
        <f ca="1">IFERROR(__xludf.DUMMYFUNCTION("""COMPUTED_VALUE"""),95395)</f>
        <v>95395</v>
      </c>
      <c r="B1583" s="4">
        <f ca="1">IFERROR(__xludf.DUMMYFUNCTION("""COMPUTED_VALUE"""),44672)</f>
        <v>44672</v>
      </c>
      <c r="C1583" t="str">
        <f ca="1">IFERROR(__xludf.DUMMYFUNCTION("""COMPUTED_VALUE"""),"ЗАО ""УК ""ЛЕВОБЕРЕЖЬЕ"" 147-РДО от 13.04.2022")</f>
        <v>ЗАО "УК "ЛЕВОБЕРЕЖЬЕ" 147-РДО от 13.04.2022</v>
      </c>
      <c r="D15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3" t="str">
        <f ca="1">IFERROR(__xludf.DUMMYFUNCTION("""COMPUTED_VALUE"""),"Новый")</f>
        <v>Новый</v>
      </c>
      <c r="G1583" s="68"/>
      <c r="K1583" s="68"/>
    </row>
    <row r="1584" spans="1:11" ht="12.75">
      <c r="A1584" s="69">
        <f ca="1">IFERROR(__xludf.DUMMYFUNCTION("""COMPUTED_VALUE"""),95396)</f>
        <v>95396</v>
      </c>
      <c r="B1584" s="4">
        <f ca="1">IFERROR(__xludf.DUMMYFUNCTION("""COMPUTED_VALUE"""),44672)</f>
        <v>44672</v>
      </c>
      <c r="C1584" t="str">
        <f ca="1">IFERROR(__xludf.DUMMYFUNCTION("""COMPUTED_VALUE"""),"ЗАО ""УК ""ЛЕВОБЕРЕЖЬЕ"" 147-РДО от 13.04.2022")</f>
        <v>ЗАО "УК "ЛЕВОБЕРЕЖЬЕ" 147-РДО от 13.04.2022</v>
      </c>
      <c r="D15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4" t="str">
        <f ca="1">IFERROR(__xludf.DUMMYFUNCTION("""COMPUTED_VALUE"""),"Новый")</f>
        <v>Новый</v>
      </c>
      <c r="G1584" s="68"/>
      <c r="K1584" s="68"/>
    </row>
    <row r="1585" spans="1:11" ht="12.75">
      <c r="A1585" s="69">
        <f ca="1">IFERROR(__xludf.DUMMYFUNCTION("""COMPUTED_VALUE"""),95397)</f>
        <v>95397</v>
      </c>
      <c r="B1585" s="4">
        <f ca="1">IFERROR(__xludf.DUMMYFUNCTION("""COMPUTED_VALUE"""),44672)</f>
        <v>44672</v>
      </c>
      <c r="C1585" t="str">
        <f ca="1">IFERROR(__xludf.DUMMYFUNCTION("""COMPUTED_VALUE"""),"ЗАО ""УК ""ЛЕВОБЕРЕЖЬЕ"" 147-РДО от 13.04.2022")</f>
        <v>ЗАО "УК "ЛЕВОБЕРЕЖЬЕ" 147-РДО от 13.04.2022</v>
      </c>
      <c r="D15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5" t="str">
        <f ca="1">IFERROR(__xludf.DUMMYFUNCTION("""COMPUTED_VALUE"""),"Новый")</f>
        <v>Новый</v>
      </c>
      <c r="G1585" s="68"/>
      <c r="K1585" s="68"/>
    </row>
    <row r="1586" spans="1:11" ht="12.75">
      <c r="A1586" s="69">
        <f ca="1">IFERROR(__xludf.DUMMYFUNCTION("""COMPUTED_VALUE"""),95398)</f>
        <v>95398</v>
      </c>
      <c r="B1586" s="4">
        <f ca="1">IFERROR(__xludf.DUMMYFUNCTION("""COMPUTED_VALUE"""),44672)</f>
        <v>44672</v>
      </c>
      <c r="C1586" t="str">
        <f ca="1">IFERROR(__xludf.DUMMYFUNCTION("""COMPUTED_VALUE"""),"ЗАО ""УК ""ЛЕВОБЕРЕЖЬЕ"" 147-РДО от 13.04.2022")</f>
        <v>ЗАО "УК "ЛЕВОБЕРЕЖЬЕ" 147-РДО от 13.04.2022</v>
      </c>
      <c r="D15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6" t="str">
        <f ca="1">IFERROR(__xludf.DUMMYFUNCTION("""COMPUTED_VALUE"""),"Новый")</f>
        <v>Новый</v>
      </c>
      <c r="G1586" s="68"/>
      <c r="K1586" s="68"/>
    </row>
    <row r="1587" spans="1:11" ht="12.75">
      <c r="A1587" s="69">
        <f ca="1">IFERROR(__xludf.DUMMYFUNCTION("""COMPUTED_VALUE"""),95399)</f>
        <v>95399</v>
      </c>
      <c r="B1587" s="4">
        <f ca="1">IFERROR(__xludf.DUMMYFUNCTION("""COMPUTED_VALUE"""),44672)</f>
        <v>44672</v>
      </c>
      <c r="C1587" t="str">
        <f ca="1">IFERROR(__xludf.DUMMYFUNCTION("""COMPUTED_VALUE"""),"ЗАО ""УК ""ЛЕВОБЕРЕЖЬЕ"" 147-РДО от 13.04.2022")</f>
        <v>ЗАО "УК "ЛЕВОБЕРЕЖЬЕ" 147-РДО от 13.04.2022</v>
      </c>
      <c r="D15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7" t="str">
        <f ca="1">IFERROR(__xludf.DUMMYFUNCTION("""COMPUTED_VALUE"""),"Новый")</f>
        <v>Новый</v>
      </c>
      <c r="G1587" s="68"/>
      <c r="K1587" s="68"/>
    </row>
    <row r="1588" spans="1:11" ht="12.75">
      <c r="A1588" s="69">
        <f ca="1">IFERROR(__xludf.DUMMYFUNCTION("""COMPUTED_VALUE"""),95400)</f>
        <v>95400</v>
      </c>
      <c r="B1588" s="4">
        <f ca="1">IFERROR(__xludf.DUMMYFUNCTION("""COMPUTED_VALUE"""),44672)</f>
        <v>44672</v>
      </c>
      <c r="C1588" t="str">
        <f ca="1">IFERROR(__xludf.DUMMYFUNCTION("""COMPUTED_VALUE"""),"ЗАО ""УК ""ЛЕВОБЕРЕЖЬЕ"" 147-РДО от 13.04.2022")</f>
        <v>ЗАО "УК "ЛЕВОБЕРЕЖЬЕ" 147-РДО от 13.04.2022</v>
      </c>
      <c r="D15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8" t="str">
        <f ca="1">IFERROR(__xludf.DUMMYFUNCTION("""COMPUTED_VALUE"""),"Новый")</f>
        <v>Новый</v>
      </c>
      <c r="G1588" s="68"/>
      <c r="K1588" s="68"/>
    </row>
    <row r="1589" spans="1:11" ht="12.75">
      <c r="A1589" s="69">
        <f ca="1">IFERROR(__xludf.DUMMYFUNCTION("""COMPUTED_VALUE"""),95401)</f>
        <v>95401</v>
      </c>
      <c r="B1589" s="4">
        <f ca="1">IFERROR(__xludf.DUMMYFUNCTION("""COMPUTED_VALUE"""),44672)</f>
        <v>44672</v>
      </c>
      <c r="C1589" t="str">
        <f ca="1">IFERROR(__xludf.DUMMYFUNCTION("""COMPUTED_VALUE"""),"ЗАО ""УК ""ЛЕВОБЕРЕЖЬЕ"" 147-РДО от 13.04.2022")</f>
        <v>ЗАО "УК "ЛЕВОБЕРЕЖЬЕ" 147-РДО от 13.04.2022</v>
      </c>
      <c r="D15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89" t="str">
        <f ca="1">IFERROR(__xludf.DUMMYFUNCTION("""COMPUTED_VALUE"""),"Новый")</f>
        <v>Новый</v>
      </c>
      <c r="G1589" s="68"/>
      <c r="K1589" s="68"/>
    </row>
    <row r="1590" spans="1:11" ht="12.75">
      <c r="A1590" s="69">
        <f ca="1">IFERROR(__xludf.DUMMYFUNCTION("""COMPUTED_VALUE"""),95402)</f>
        <v>95402</v>
      </c>
      <c r="B1590" s="4">
        <f ca="1">IFERROR(__xludf.DUMMYFUNCTION("""COMPUTED_VALUE"""),44672)</f>
        <v>44672</v>
      </c>
      <c r="C1590" t="str">
        <f ca="1">IFERROR(__xludf.DUMMYFUNCTION("""COMPUTED_VALUE"""),"ЗАО ""УК ""ЛЕВОБЕРЕЖЬЕ"" 147-РДО от 13.04.2022")</f>
        <v>ЗАО "УК "ЛЕВОБЕРЕЖЬЕ" 147-РДО от 13.04.2022</v>
      </c>
      <c r="D15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0" t="str">
        <f ca="1">IFERROR(__xludf.DUMMYFUNCTION("""COMPUTED_VALUE"""),"Новый")</f>
        <v>Новый</v>
      </c>
      <c r="G1590" s="68"/>
      <c r="K1590" s="68"/>
    </row>
    <row r="1591" spans="1:11" ht="12.75">
      <c r="A1591" s="69">
        <f ca="1">IFERROR(__xludf.DUMMYFUNCTION("""COMPUTED_VALUE"""),95403)</f>
        <v>95403</v>
      </c>
      <c r="B1591" s="4">
        <f ca="1">IFERROR(__xludf.DUMMYFUNCTION("""COMPUTED_VALUE"""),44672)</f>
        <v>44672</v>
      </c>
      <c r="C1591" t="str">
        <f ca="1">IFERROR(__xludf.DUMMYFUNCTION("""COMPUTED_VALUE"""),"ЗАО ""УК ""ЛЕВОБЕРЕЖЬЕ"" 147-РДО от 13.04.2022")</f>
        <v>ЗАО "УК "ЛЕВОБЕРЕЖЬЕ" 147-РДО от 13.04.2022</v>
      </c>
      <c r="D15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1" t="str">
        <f ca="1">IFERROR(__xludf.DUMMYFUNCTION("""COMPUTED_VALUE"""),"Новый")</f>
        <v>Новый</v>
      </c>
      <c r="G1591" s="68"/>
      <c r="K1591" s="68"/>
    </row>
    <row r="1592" spans="1:11" ht="12.75">
      <c r="A1592" s="69">
        <f ca="1">IFERROR(__xludf.DUMMYFUNCTION("""COMPUTED_VALUE"""),95404)</f>
        <v>95404</v>
      </c>
      <c r="B1592" s="4">
        <f ca="1">IFERROR(__xludf.DUMMYFUNCTION("""COMPUTED_VALUE"""),44672)</f>
        <v>44672</v>
      </c>
      <c r="C1592" t="str">
        <f ca="1">IFERROR(__xludf.DUMMYFUNCTION("""COMPUTED_VALUE"""),"ЗАО ""УК ""ЛЕВОБЕРЕЖЬЕ"" 147-РДО от 13.04.2022")</f>
        <v>ЗАО "УК "ЛЕВОБЕРЕЖЬЕ" 147-РДО от 13.04.2022</v>
      </c>
      <c r="D15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2" t="str">
        <f ca="1">IFERROR(__xludf.DUMMYFUNCTION("""COMPUTED_VALUE"""),"Новый")</f>
        <v>Новый</v>
      </c>
      <c r="G1592" s="68"/>
      <c r="K1592" s="68"/>
    </row>
    <row r="1593" spans="1:11" ht="12.75">
      <c r="A1593" s="69">
        <f ca="1">IFERROR(__xludf.DUMMYFUNCTION("""COMPUTED_VALUE"""),95405)</f>
        <v>95405</v>
      </c>
      <c r="B1593" s="4">
        <f ca="1">IFERROR(__xludf.DUMMYFUNCTION("""COMPUTED_VALUE"""),44672)</f>
        <v>44672</v>
      </c>
      <c r="C1593" t="str">
        <f ca="1">IFERROR(__xludf.DUMMYFUNCTION("""COMPUTED_VALUE"""),"ЗАО ""УК ""ЛЕВОБЕРЕЖЬЕ"" 147-РДО от 13.04.2022")</f>
        <v>ЗАО "УК "ЛЕВОБЕРЕЖЬЕ" 147-РДО от 13.04.2022</v>
      </c>
      <c r="D15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3" t="str">
        <f ca="1">IFERROR(__xludf.DUMMYFUNCTION("""COMPUTED_VALUE"""),"Новый")</f>
        <v>Новый</v>
      </c>
      <c r="G1593" s="68"/>
      <c r="K1593" s="68"/>
    </row>
    <row r="1594" spans="1:11" ht="12.75">
      <c r="A1594" s="69">
        <f ca="1">IFERROR(__xludf.DUMMYFUNCTION("""COMPUTED_VALUE"""),95406)</f>
        <v>95406</v>
      </c>
      <c r="B1594" s="4">
        <f ca="1">IFERROR(__xludf.DUMMYFUNCTION("""COMPUTED_VALUE"""),44672)</f>
        <v>44672</v>
      </c>
      <c r="C1594" t="str">
        <f ca="1">IFERROR(__xludf.DUMMYFUNCTION("""COMPUTED_VALUE"""),"ЗАО ""УК ""ЛЕВОБЕРЕЖЬЕ"" 147-РДО от 13.04.2022")</f>
        <v>ЗАО "УК "ЛЕВОБЕРЕЖЬЕ" 147-РДО от 13.04.2022</v>
      </c>
      <c r="D15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4" t="str">
        <f ca="1">IFERROR(__xludf.DUMMYFUNCTION("""COMPUTED_VALUE"""),"Новый")</f>
        <v>Новый</v>
      </c>
      <c r="G1594" s="68"/>
      <c r="K1594" s="68"/>
    </row>
    <row r="1595" spans="1:11" ht="12.75">
      <c r="A1595" s="69">
        <f ca="1">IFERROR(__xludf.DUMMYFUNCTION("""COMPUTED_VALUE"""),95407)</f>
        <v>95407</v>
      </c>
      <c r="B1595" s="4">
        <f ca="1">IFERROR(__xludf.DUMMYFUNCTION("""COMPUTED_VALUE"""),44672)</f>
        <v>44672</v>
      </c>
      <c r="C1595" t="str">
        <f ca="1">IFERROR(__xludf.DUMMYFUNCTION("""COMPUTED_VALUE"""),"ЗАО ""УК ""ЛЕВОБЕРЕЖЬЕ"" 147-РДО от 13.04.2022")</f>
        <v>ЗАО "УК "ЛЕВОБЕРЕЖЬЕ" 147-РДО от 13.04.2022</v>
      </c>
      <c r="D15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5" t="str">
        <f ca="1">IFERROR(__xludf.DUMMYFUNCTION("""COMPUTED_VALUE"""),"Новый")</f>
        <v>Новый</v>
      </c>
      <c r="G1595" s="68"/>
      <c r="K1595" s="68"/>
    </row>
    <row r="1596" spans="1:11" ht="12.75">
      <c r="A1596" s="69">
        <f ca="1">IFERROR(__xludf.DUMMYFUNCTION("""COMPUTED_VALUE"""),95408)</f>
        <v>95408</v>
      </c>
      <c r="B1596" s="4">
        <f ca="1">IFERROR(__xludf.DUMMYFUNCTION("""COMPUTED_VALUE"""),44672)</f>
        <v>44672</v>
      </c>
      <c r="C1596" t="str">
        <f ca="1">IFERROR(__xludf.DUMMYFUNCTION("""COMPUTED_VALUE"""),"ЗАО ""УК ""ЛЕВОБЕРЕЖЬЕ"" 147-РДО от 13.04.2022")</f>
        <v>ЗАО "УК "ЛЕВОБЕРЕЖЬЕ" 147-РДО от 13.04.2022</v>
      </c>
      <c r="D15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6" t="str">
        <f ca="1">IFERROR(__xludf.DUMMYFUNCTION("""COMPUTED_VALUE"""),"Новый")</f>
        <v>Новый</v>
      </c>
      <c r="G1596" s="68"/>
      <c r="K1596" s="68"/>
    </row>
    <row r="1597" spans="1:11" ht="12.75">
      <c r="A1597" s="69">
        <f ca="1">IFERROR(__xludf.DUMMYFUNCTION("""COMPUTED_VALUE"""),95409)</f>
        <v>95409</v>
      </c>
      <c r="B1597" s="4">
        <f ca="1">IFERROR(__xludf.DUMMYFUNCTION("""COMPUTED_VALUE"""),44672)</f>
        <v>44672</v>
      </c>
      <c r="C1597" t="str">
        <f ca="1">IFERROR(__xludf.DUMMYFUNCTION("""COMPUTED_VALUE"""),"ЗАО ""УК ""ЛЕВОБЕРЕЖЬЕ"" 147-РДО от 13.04.2022")</f>
        <v>ЗАО "УК "ЛЕВОБЕРЕЖЬЕ" 147-РДО от 13.04.2022</v>
      </c>
      <c r="D15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7" t="str">
        <f ca="1">IFERROR(__xludf.DUMMYFUNCTION("""COMPUTED_VALUE"""),"Новый")</f>
        <v>Новый</v>
      </c>
      <c r="G1597" s="68"/>
      <c r="K1597" s="68"/>
    </row>
    <row r="1598" spans="1:11" ht="12.75">
      <c r="A1598" s="69">
        <f ca="1">IFERROR(__xludf.DUMMYFUNCTION("""COMPUTED_VALUE"""),95410)</f>
        <v>95410</v>
      </c>
      <c r="B1598" s="4">
        <f ca="1">IFERROR(__xludf.DUMMYFUNCTION("""COMPUTED_VALUE"""),44672)</f>
        <v>44672</v>
      </c>
      <c r="C1598" t="str">
        <f ca="1">IFERROR(__xludf.DUMMYFUNCTION("""COMPUTED_VALUE"""),"ЗАО ""УК ""ЛЕВОБЕРЕЖЬЕ"" 147-РДО от 13.04.2022")</f>
        <v>ЗАО "УК "ЛЕВОБЕРЕЖЬЕ" 147-РДО от 13.04.2022</v>
      </c>
      <c r="D15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8" t="str">
        <f ca="1">IFERROR(__xludf.DUMMYFUNCTION("""COMPUTED_VALUE"""),"Новый")</f>
        <v>Новый</v>
      </c>
      <c r="G1598" s="68"/>
      <c r="K1598" s="68"/>
    </row>
    <row r="1599" spans="1:11" ht="12.75">
      <c r="A1599" s="69">
        <f ca="1">IFERROR(__xludf.DUMMYFUNCTION("""COMPUTED_VALUE"""),95411)</f>
        <v>95411</v>
      </c>
      <c r="B1599" s="4">
        <f ca="1">IFERROR(__xludf.DUMMYFUNCTION("""COMPUTED_VALUE"""),44672)</f>
        <v>44672</v>
      </c>
      <c r="C1599" t="str">
        <f ca="1">IFERROR(__xludf.DUMMYFUNCTION("""COMPUTED_VALUE"""),"ЗАО ""УК ""ЛЕВОБЕРЕЖЬЕ"" 147-РДО от 13.04.2022")</f>
        <v>ЗАО "УК "ЛЕВОБЕРЕЖЬЕ" 147-РДО от 13.04.2022</v>
      </c>
      <c r="D15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599" t="str">
        <f ca="1">IFERROR(__xludf.DUMMYFUNCTION("""COMPUTED_VALUE"""),"Новый")</f>
        <v>Новый</v>
      </c>
      <c r="G1599" s="68"/>
      <c r="K1599" s="68"/>
    </row>
    <row r="1600" spans="1:11" ht="12.75">
      <c r="A1600" s="69">
        <f ca="1">IFERROR(__xludf.DUMMYFUNCTION("""COMPUTED_VALUE"""),95412)</f>
        <v>95412</v>
      </c>
      <c r="B1600" s="4">
        <f ca="1">IFERROR(__xludf.DUMMYFUNCTION("""COMPUTED_VALUE"""),44672)</f>
        <v>44672</v>
      </c>
      <c r="C1600" t="str">
        <f ca="1">IFERROR(__xludf.DUMMYFUNCTION("""COMPUTED_VALUE"""),"ЗАО ""УК ""ЛЕВОБЕРЕЖЬЕ"" 147-РДО от 13.04.2022")</f>
        <v>ЗАО "УК "ЛЕВОБЕРЕЖЬЕ" 147-РДО от 13.04.2022</v>
      </c>
      <c r="D16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0" t="str">
        <f ca="1">IFERROR(__xludf.DUMMYFUNCTION("""COMPUTED_VALUE"""),"Новый")</f>
        <v>Новый</v>
      </c>
      <c r="G1600" s="68"/>
      <c r="K1600" s="68"/>
    </row>
    <row r="1601" spans="1:11" ht="12.75">
      <c r="A1601" s="69">
        <f ca="1">IFERROR(__xludf.DUMMYFUNCTION("""COMPUTED_VALUE"""),95417)</f>
        <v>95417</v>
      </c>
      <c r="B1601" s="4">
        <f ca="1">IFERROR(__xludf.DUMMYFUNCTION("""COMPUTED_VALUE"""),44672)</f>
        <v>44672</v>
      </c>
      <c r="C1601" t="str">
        <f ca="1">IFERROR(__xludf.DUMMYFUNCTION("""COMPUTED_VALUE"""),"ЗАО ""УК ""ЛЕВОБЕРЕЖЬЕ"" 147-РДО от 13.04.2022")</f>
        <v>ЗАО "УК "ЛЕВОБЕРЕЖЬЕ" 147-РДО от 13.04.2022</v>
      </c>
      <c r="D16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1" t="str">
        <f ca="1">IFERROR(__xludf.DUMMYFUNCTION("""COMPUTED_VALUE"""),"Новый")</f>
        <v>Новый</v>
      </c>
      <c r="G1601" s="68"/>
      <c r="K1601" s="68"/>
    </row>
    <row r="1602" spans="1:11" ht="12.75">
      <c r="A1602" s="69">
        <f ca="1">IFERROR(__xludf.DUMMYFUNCTION("""COMPUTED_VALUE"""),95418)</f>
        <v>95418</v>
      </c>
      <c r="B1602" s="4">
        <f ca="1">IFERROR(__xludf.DUMMYFUNCTION("""COMPUTED_VALUE"""),44672)</f>
        <v>44672</v>
      </c>
      <c r="C1602" t="str">
        <f ca="1">IFERROR(__xludf.DUMMYFUNCTION("""COMPUTED_VALUE"""),"ЗАО ""УК ""ЛЕВОБЕРЕЖЬЕ"" 147-РДО от 13.04.2022")</f>
        <v>ЗАО "УК "ЛЕВОБЕРЕЖЬЕ" 147-РДО от 13.04.2022</v>
      </c>
      <c r="D16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2" t="str">
        <f ca="1">IFERROR(__xludf.DUMMYFUNCTION("""COMPUTED_VALUE"""),"Новый")</f>
        <v>Новый</v>
      </c>
      <c r="G1602" s="68"/>
      <c r="K1602" s="68"/>
    </row>
    <row r="1603" spans="1:11" ht="12.75">
      <c r="A1603" s="69">
        <f ca="1">IFERROR(__xludf.DUMMYFUNCTION("""COMPUTED_VALUE"""),95419)</f>
        <v>95419</v>
      </c>
      <c r="B1603" s="4">
        <f ca="1">IFERROR(__xludf.DUMMYFUNCTION("""COMPUTED_VALUE"""),44672)</f>
        <v>44672</v>
      </c>
      <c r="C1603" t="str">
        <f ca="1">IFERROR(__xludf.DUMMYFUNCTION("""COMPUTED_VALUE"""),"ЗАО ""УК ""ЛЕВОБЕРЕЖЬЕ"" 147-РДО от 13.04.2022")</f>
        <v>ЗАО "УК "ЛЕВОБЕРЕЖЬЕ" 147-РДО от 13.04.2022</v>
      </c>
      <c r="D16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3" t="str">
        <f ca="1">IFERROR(__xludf.DUMMYFUNCTION("""COMPUTED_VALUE"""),"Новый")</f>
        <v>Новый</v>
      </c>
      <c r="G1603" s="68"/>
      <c r="K1603" s="68"/>
    </row>
    <row r="1604" spans="1:11" ht="12.75">
      <c r="A1604" s="69">
        <f ca="1">IFERROR(__xludf.DUMMYFUNCTION("""COMPUTED_VALUE"""),95420)</f>
        <v>95420</v>
      </c>
      <c r="B1604" s="4">
        <f ca="1">IFERROR(__xludf.DUMMYFUNCTION("""COMPUTED_VALUE"""),44672)</f>
        <v>44672</v>
      </c>
      <c r="C1604" t="str">
        <f ca="1">IFERROR(__xludf.DUMMYFUNCTION("""COMPUTED_VALUE"""),"ЗАО ""УК ""ЛЕВОБЕРЕЖЬЕ"" 147-РДО от 13.04.2022")</f>
        <v>ЗАО "УК "ЛЕВОБЕРЕЖЬЕ" 147-РДО от 13.04.2022</v>
      </c>
      <c r="D16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4" t="str">
        <f ca="1">IFERROR(__xludf.DUMMYFUNCTION("""COMPUTED_VALUE"""),"Новый")</f>
        <v>Новый</v>
      </c>
      <c r="G1604" s="68"/>
      <c r="K1604" s="68"/>
    </row>
    <row r="1605" spans="1:11" ht="12.75">
      <c r="A1605" s="69">
        <f ca="1">IFERROR(__xludf.DUMMYFUNCTION("""COMPUTED_VALUE"""),95421)</f>
        <v>95421</v>
      </c>
      <c r="B1605" s="4">
        <f ca="1">IFERROR(__xludf.DUMMYFUNCTION("""COMPUTED_VALUE"""),44672)</f>
        <v>44672</v>
      </c>
      <c r="C1605" t="str">
        <f ca="1">IFERROR(__xludf.DUMMYFUNCTION("""COMPUTED_VALUE"""),"ЗАО ""УК ""ЛЕВОБЕРЕЖЬЕ"" 147-РДО от 13.04.2022")</f>
        <v>ЗАО "УК "ЛЕВОБЕРЕЖЬЕ" 147-РДО от 13.04.2022</v>
      </c>
      <c r="D16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5" t="str">
        <f ca="1">IFERROR(__xludf.DUMMYFUNCTION("""COMPUTED_VALUE"""),"Новый")</f>
        <v>Новый</v>
      </c>
      <c r="G1605" s="68"/>
      <c r="K1605" s="68"/>
    </row>
    <row r="1606" spans="1:11" ht="12.75">
      <c r="A1606" s="69">
        <f ca="1">IFERROR(__xludf.DUMMYFUNCTION("""COMPUTED_VALUE"""),95422)</f>
        <v>95422</v>
      </c>
      <c r="B1606" s="4">
        <f ca="1">IFERROR(__xludf.DUMMYFUNCTION("""COMPUTED_VALUE"""),44672)</f>
        <v>44672</v>
      </c>
      <c r="C1606" t="str">
        <f ca="1">IFERROR(__xludf.DUMMYFUNCTION("""COMPUTED_VALUE"""),"ЗАО ""УК ""ЛЕВОБЕРЕЖЬЕ"" 147-РДО от 13.04.2022")</f>
        <v>ЗАО "УК "ЛЕВОБЕРЕЖЬЕ" 147-РДО от 13.04.2022</v>
      </c>
      <c r="D16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6" t="str">
        <f ca="1">IFERROR(__xludf.DUMMYFUNCTION("""COMPUTED_VALUE"""),"Новый")</f>
        <v>Новый</v>
      </c>
      <c r="G1606" s="68"/>
      <c r="K1606" s="68"/>
    </row>
    <row r="1607" spans="1:11" ht="12.75">
      <c r="A1607" s="69">
        <f ca="1">IFERROR(__xludf.DUMMYFUNCTION("""COMPUTED_VALUE"""),95423)</f>
        <v>95423</v>
      </c>
      <c r="B1607" s="4">
        <f ca="1">IFERROR(__xludf.DUMMYFUNCTION("""COMPUTED_VALUE"""),44672)</f>
        <v>44672</v>
      </c>
      <c r="C1607" t="str">
        <f ca="1">IFERROR(__xludf.DUMMYFUNCTION("""COMPUTED_VALUE"""),"ЗАО ""УК ""ЛЕВОБЕРЕЖЬЕ"" 147-РДО от 13.04.2022")</f>
        <v>ЗАО "УК "ЛЕВОБЕРЕЖЬЕ" 147-РДО от 13.04.2022</v>
      </c>
      <c r="D16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7" t="str">
        <f ca="1">IFERROR(__xludf.DUMMYFUNCTION("""COMPUTED_VALUE"""),"Новый")</f>
        <v>Новый</v>
      </c>
      <c r="G1607" s="68"/>
      <c r="K1607" s="68"/>
    </row>
    <row r="1608" spans="1:11" ht="12.75">
      <c r="A1608" s="69">
        <f ca="1">IFERROR(__xludf.DUMMYFUNCTION("""COMPUTED_VALUE"""),95424)</f>
        <v>95424</v>
      </c>
      <c r="B1608" s="4">
        <f ca="1">IFERROR(__xludf.DUMMYFUNCTION("""COMPUTED_VALUE"""),44672)</f>
        <v>44672</v>
      </c>
      <c r="C1608" t="str">
        <f ca="1">IFERROR(__xludf.DUMMYFUNCTION("""COMPUTED_VALUE"""),"ЗАО ""УК ""ЛЕВОБЕРЕЖЬЕ"" 147-РДО от 13.04.2022")</f>
        <v>ЗАО "УК "ЛЕВОБЕРЕЖЬЕ" 147-РДО от 13.04.2022</v>
      </c>
      <c r="D16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8" t="str">
        <f ca="1">IFERROR(__xludf.DUMMYFUNCTION("""COMPUTED_VALUE"""),"Новый")</f>
        <v>Новый</v>
      </c>
      <c r="G1608" s="68"/>
      <c r="K1608" s="68"/>
    </row>
    <row r="1609" spans="1:11" ht="12.75">
      <c r="A1609" s="69">
        <f ca="1">IFERROR(__xludf.DUMMYFUNCTION("""COMPUTED_VALUE"""),95425)</f>
        <v>95425</v>
      </c>
      <c r="B1609" s="4">
        <f ca="1">IFERROR(__xludf.DUMMYFUNCTION("""COMPUTED_VALUE"""),44672)</f>
        <v>44672</v>
      </c>
      <c r="C1609" t="str">
        <f ca="1">IFERROR(__xludf.DUMMYFUNCTION("""COMPUTED_VALUE"""),"ЗАО ""УК ""ЛЕВОБЕРЕЖЬЕ"" 147-РДО от 13.04.2022")</f>
        <v>ЗАО "УК "ЛЕВОБЕРЕЖЬЕ" 147-РДО от 13.04.2022</v>
      </c>
      <c r="D16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09" t="str">
        <f ca="1">IFERROR(__xludf.DUMMYFUNCTION("""COMPUTED_VALUE"""),"Новый")</f>
        <v>Новый</v>
      </c>
      <c r="G1609" s="68"/>
      <c r="K1609" s="68"/>
    </row>
    <row r="1610" spans="1:11" ht="12.75">
      <c r="A1610" s="69">
        <f ca="1">IFERROR(__xludf.DUMMYFUNCTION("""COMPUTED_VALUE"""),95426)</f>
        <v>95426</v>
      </c>
      <c r="B1610" s="4">
        <f ca="1">IFERROR(__xludf.DUMMYFUNCTION("""COMPUTED_VALUE"""),44672)</f>
        <v>44672</v>
      </c>
      <c r="C1610" t="str">
        <f ca="1">IFERROR(__xludf.DUMMYFUNCTION("""COMPUTED_VALUE"""),"ЗАО ""УК ""ЛЕВОБЕРЕЖЬЕ"" 147-РДО от 13.04.2022")</f>
        <v>ЗАО "УК "ЛЕВОБЕРЕЖЬЕ" 147-РДО от 13.04.2022</v>
      </c>
      <c r="D16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0" t="str">
        <f ca="1">IFERROR(__xludf.DUMMYFUNCTION("""COMPUTED_VALUE"""),"Новый")</f>
        <v>Новый</v>
      </c>
      <c r="G1610" s="68"/>
      <c r="K1610" s="68"/>
    </row>
    <row r="1611" spans="1:11" ht="12.75">
      <c r="A1611" s="69">
        <f ca="1">IFERROR(__xludf.DUMMYFUNCTION("""COMPUTED_VALUE"""),95427)</f>
        <v>95427</v>
      </c>
      <c r="B1611" s="4">
        <f ca="1">IFERROR(__xludf.DUMMYFUNCTION("""COMPUTED_VALUE"""),44672)</f>
        <v>44672</v>
      </c>
      <c r="C1611" t="str">
        <f ca="1">IFERROR(__xludf.DUMMYFUNCTION("""COMPUTED_VALUE"""),"ЗАО ""УК ""ЛЕВОБЕРЕЖЬЕ"" 147-РДО от 13.04.2022")</f>
        <v>ЗАО "УК "ЛЕВОБЕРЕЖЬЕ" 147-РДО от 13.04.2022</v>
      </c>
      <c r="D16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1" t="str">
        <f ca="1">IFERROR(__xludf.DUMMYFUNCTION("""COMPUTED_VALUE"""),"Новый")</f>
        <v>Новый</v>
      </c>
      <c r="G1611" s="68"/>
      <c r="K1611" s="68"/>
    </row>
    <row r="1612" spans="1:11" ht="12.75">
      <c r="A1612" s="69">
        <f ca="1">IFERROR(__xludf.DUMMYFUNCTION("""COMPUTED_VALUE"""),95428)</f>
        <v>95428</v>
      </c>
      <c r="B1612" s="4">
        <f ca="1">IFERROR(__xludf.DUMMYFUNCTION("""COMPUTED_VALUE"""),44672)</f>
        <v>44672</v>
      </c>
      <c r="C1612" t="str">
        <f ca="1">IFERROR(__xludf.DUMMYFUNCTION("""COMPUTED_VALUE"""),"ЗАО ""УК ""ЛЕВОБЕРЕЖЬЕ"" 147-РДО от 13.04.2022")</f>
        <v>ЗАО "УК "ЛЕВОБЕРЕЖЬЕ" 147-РДО от 13.04.2022</v>
      </c>
      <c r="D16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2" t="str">
        <f ca="1">IFERROR(__xludf.DUMMYFUNCTION("""COMPUTED_VALUE"""),"Новый")</f>
        <v>Новый</v>
      </c>
      <c r="G1612" s="68"/>
      <c r="K1612" s="68"/>
    </row>
    <row r="1613" spans="1:11" ht="12.75">
      <c r="A1613" s="69">
        <f ca="1">IFERROR(__xludf.DUMMYFUNCTION("""COMPUTED_VALUE"""),95429)</f>
        <v>95429</v>
      </c>
      <c r="B1613" s="4">
        <f ca="1">IFERROR(__xludf.DUMMYFUNCTION("""COMPUTED_VALUE"""),44672)</f>
        <v>44672</v>
      </c>
      <c r="C1613" t="str">
        <f ca="1">IFERROR(__xludf.DUMMYFUNCTION("""COMPUTED_VALUE"""),"ЗАО ""УК ""ЛЕВОБЕРЕЖЬЕ"" 147-РДО от 13.04.2022")</f>
        <v>ЗАО "УК "ЛЕВОБЕРЕЖЬЕ" 147-РДО от 13.04.2022</v>
      </c>
      <c r="D16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3" t="str">
        <f ca="1">IFERROR(__xludf.DUMMYFUNCTION("""COMPUTED_VALUE"""),"Новый")</f>
        <v>Новый</v>
      </c>
      <c r="G1613" s="68"/>
      <c r="K1613" s="68"/>
    </row>
    <row r="1614" spans="1:11" ht="12.75">
      <c r="A1614" s="69">
        <f ca="1">IFERROR(__xludf.DUMMYFUNCTION("""COMPUTED_VALUE"""),95432)</f>
        <v>95432</v>
      </c>
      <c r="B1614" s="4">
        <f ca="1">IFERROR(__xludf.DUMMYFUNCTION("""COMPUTED_VALUE"""),44672)</f>
        <v>44672</v>
      </c>
      <c r="C1614" t="str">
        <f ca="1">IFERROR(__xludf.DUMMYFUNCTION("""COMPUTED_VALUE"""),"ЗАО ""УК ""ЛЕВОБЕРЕЖЬЕ"" 147-РДО от 13.04.2022")</f>
        <v>ЗАО "УК "ЛЕВОБЕРЕЖЬЕ" 147-РДО от 13.04.2022</v>
      </c>
      <c r="D16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4" t="str">
        <f ca="1">IFERROR(__xludf.DUMMYFUNCTION("""COMPUTED_VALUE"""),"Новый")</f>
        <v>Новый</v>
      </c>
      <c r="G1614" s="68"/>
      <c r="K1614" s="68"/>
    </row>
    <row r="1615" spans="1:11" ht="12.75">
      <c r="A1615" s="69">
        <f ca="1">IFERROR(__xludf.DUMMYFUNCTION("""COMPUTED_VALUE"""),95434)</f>
        <v>95434</v>
      </c>
      <c r="B1615" s="4">
        <f ca="1">IFERROR(__xludf.DUMMYFUNCTION("""COMPUTED_VALUE"""),44672)</f>
        <v>44672</v>
      </c>
      <c r="C1615" t="str">
        <f ca="1">IFERROR(__xludf.DUMMYFUNCTION("""COMPUTED_VALUE"""),"ЗАО ""УК ""ЛЕВОБЕРЕЖЬЕ"" 147-РДО от 13.04.2022")</f>
        <v>ЗАО "УК "ЛЕВОБЕРЕЖЬЕ" 147-РДО от 13.04.2022</v>
      </c>
      <c r="D16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5" t="str">
        <f ca="1">IFERROR(__xludf.DUMMYFUNCTION("""COMPUTED_VALUE"""),"Новый")</f>
        <v>Новый</v>
      </c>
      <c r="G1615" s="68"/>
      <c r="K1615" s="68"/>
    </row>
    <row r="1616" spans="1:11" ht="12.75">
      <c r="A1616" s="69">
        <f ca="1">IFERROR(__xludf.DUMMYFUNCTION("""COMPUTED_VALUE"""),95435)</f>
        <v>95435</v>
      </c>
      <c r="B1616" s="4">
        <f ca="1">IFERROR(__xludf.DUMMYFUNCTION("""COMPUTED_VALUE"""),44672)</f>
        <v>44672</v>
      </c>
      <c r="C1616" t="str">
        <f ca="1">IFERROR(__xludf.DUMMYFUNCTION("""COMPUTED_VALUE"""),"ЗАО ""УК ""ЛЕВОБЕРЕЖЬЕ"" 147-РДО от 13.04.2022")</f>
        <v>ЗАО "УК "ЛЕВОБЕРЕЖЬЕ" 147-РДО от 13.04.2022</v>
      </c>
      <c r="D16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6" t="str">
        <f ca="1">IFERROR(__xludf.DUMMYFUNCTION("""COMPUTED_VALUE"""),"Новый")</f>
        <v>Новый</v>
      </c>
      <c r="G1616" s="68"/>
      <c r="K1616" s="68"/>
    </row>
    <row r="1617" spans="1:11" ht="12.75">
      <c r="A1617" s="69">
        <f ca="1">IFERROR(__xludf.DUMMYFUNCTION("""COMPUTED_VALUE"""),95442)</f>
        <v>95442</v>
      </c>
      <c r="B1617" s="4">
        <f ca="1">IFERROR(__xludf.DUMMYFUNCTION("""COMPUTED_VALUE"""),44672)</f>
        <v>44672</v>
      </c>
      <c r="C1617" t="str">
        <f ca="1">IFERROR(__xludf.DUMMYFUNCTION("""COMPUTED_VALUE"""),"ЗАО ""УК ""ЛЕВОБЕРЕЖЬЕ"" 147-РДО от 13.04.2022")</f>
        <v>ЗАО "УК "ЛЕВОБЕРЕЖЬЕ" 147-РДО от 13.04.2022</v>
      </c>
      <c r="D16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7" t="str">
        <f ca="1">IFERROR(__xludf.DUMMYFUNCTION("""COMPUTED_VALUE"""),"Новый")</f>
        <v>Новый</v>
      </c>
      <c r="G1617" s="68"/>
      <c r="K1617" s="68"/>
    </row>
    <row r="1618" spans="1:11" ht="12.75">
      <c r="A1618" s="69">
        <f ca="1">IFERROR(__xludf.DUMMYFUNCTION("""COMPUTED_VALUE"""),95443)</f>
        <v>95443</v>
      </c>
      <c r="B1618" s="4">
        <f ca="1">IFERROR(__xludf.DUMMYFUNCTION("""COMPUTED_VALUE"""),44672)</f>
        <v>44672</v>
      </c>
      <c r="C1618" t="str">
        <f ca="1">IFERROR(__xludf.DUMMYFUNCTION("""COMPUTED_VALUE"""),"ЗАО ""УК ""ЛЕВОБЕРЕЖЬЕ"" 147-РДО от 13.04.2022")</f>
        <v>ЗАО "УК "ЛЕВОБЕРЕЖЬЕ" 147-РДО от 13.04.2022</v>
      </c>
      <c r="D16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8" t="str">
        <f ca="1">IFERROR(__xludf.DUMMYFUNCTION("""COMPUTED_VALUE"""),"Новый")</f>
        <v>Новый</v>
      </c>
      <c r="G1618" s="68"/>
      <c r="K1618" s="68"/>
    </row>
    <row r="1619" spans="1:11" ht="12.75">
      <c r="A1619" s="69">
        <f ca="1">IFERROR(__xludf.DUMMYFUNCTION("""COMPUTED_VALUE"""),95444)</f>
        <v>95444</v>
      </c>
      <c r="B1619" s="4">
        <f ca="1">IFERROR(__xludf.DUMMYFUNCTION("""COMPUTED_VALUE"""),44672)</f>
        <v>44672</v>
      </c>
      <c r="C1619" t="str">
        <f ca="1">IFERROR(__xludf.DUMMYFUNCTION("""COMPUTED_VALUE"""),"ЗАО ""УК ""ЛЕВОБЕРЕЖЬЕ"" 147-РДО от 13.04.2022")</f>
        <v>ЗАО "УК "ЛЕВОБЕРЕЖЬЕ" 147-РДО от 13.04.2022</v>
      </c>
      <c r="D16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19" t="str">
        <f ca="1">IFERROR(__xludf.DUMMYFUNCTION("""COMPUTED_VALUE"""),"Новый")</f>
        <v>Новый</v>
      </c>
      <c r="G1619" s="68"/>
      <c r="K1619" s="68"/>
    </row>
    <row r="1620" spans="1:11" ht="12.75">
      <c r="A1620" s="69">
        <f ca="1">IFERROR(__xludf.DUMMYFUNCTION("""COMPUTED_VALUE"""),95445)</f>
        <v>95445</v>
      </c>
      <c r="B1620" s="4">
        <f ca="1">IFERROR(__xludf.DUMMYFUNCTION("""COMPUTED_VALUE"""),44672)</f>
        <v>44672</v>
      </c>
      <c r="C1620" t="str">
        <f ca="1">IFERROR(__xludf.DUMMYFUNCTION("""COMPUTED_VALUE"""),"ЗАО ""УК ""ЛЕВОБЕРЕЖЬЕ"" 147-РДО от 13.04.2022")</f>
        <v>ЗАО "УК "ЛЕВОБЕРЕЖЬЕ" 147-РДО от 13.04.2022</v>
      </c>
      <c r="D16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0" t="str">
        <f ca="1">IFERROR(__xludf.DUMMYFUNCTION("""COMPUTED_VALUE"""),"Новый")</f>
        <v>Новый</v>
      </c>
      <c r="G1620" s="68"/>
      <c r="K1620" s="68"/>
    </row>
    <row r="1621" spans="1:11" ht="12.75">
      <c r="A1621" s="69">
        <f ca="1">IFERROR(__xludf.DUMMYFUNCTION("""COMPUTED_VALUE"""),95452)</f>
        <v>95452</v>
      </c>
      <c r="B1621" s="4">
        <f ca="1">IFERROR(__xludf.DUMMYFUNCTION("""COMPUTED_VALUE"""),44672)</f>
        <v>44672</v>
      </c>
      <c r="C1621" t="str">
        <f ca="1">IFERROR(__xludf.DUMMYFUNCTION("""COMPUTED_VALUE"""),"ЗАО ""УК ""ЛЕВОБЕРЕЖЬЕ"" 147-РДО от 13.04.2022")</f>
        <v>ЗАО "УК "ЛЕВОБЕРЕЖЬЕ" 147-РДО от 13.04.2022</v>
      </c>
      <c r="D16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1" t="str">
        <f ca="1">IFERROR(__xludf.DUMMYFUNCTION("""COMPUTED_VALUE"""),"Новый")</f>
        <v>Новый</v>
      </c>
      <c r="G1621" s="68"/>
      <c r="K1621" s="68"/>
    </row>
    <row r="1622" spans="1:11" ht="12.75">
      <c r="A1622" s="69">
        <f ca="1">IFERROR(__xludf.DUMMYFUNCTION("""COMPUTED_VALUE"""),95453)</f>
        <v>95453</v>
      </c>
      <c r="B1622" s="4">
        <f ca="1">IFERROR(__xludf.DUMMYFUNCTION("""COMPUTED_VALUE"""),44672)</f>
        <v>44672</v>
      </c>
      <c r="C1622" t="str">
        <f ca="1">IFERROR(__xludf.DUMMYFUNCTION("""COMPUTED_VALUE"""),"ЗАО ""УК ""ЛЕВОБЕРЕЖЬЕ"" 147-РДО от 13.04.2022")</f>
        <v>ЗАО "УК "ЛЕВОБЕРЕЖЬЕ" 147-РДО от 13.04.2022</v>
      </c>
      <c r="D16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2" t="str">
        <f ca="1">IFERROR(__xludf.DUMMYFUNCTION("""COMPUTED_VALUE"""),"Новый")</f>
        <v>Новый</v>
      </c>
      <c r="G1622" s="68"/>
      <c r="K1622" s="68"/>
    </row>
    <row r="1623" spans="1:11" ht="12.75">
      <c r="A1623" s="69">
        <f ca="1">IFERROR(__xludf.DUMMYFUNCTION("""COMPUTED_VALUE"""),95454)</f>
        <v>95454</v>
      </c>
      <c r="B1623" s="4">
        <f ca="1">IFERROR(__xludf.DUMMYFUNCTION("""COMPUTED_VALUE"""),44672)</f>
        <v>44672</v>
      </c>
      <c r="C1623" t="str">
        <f ca="1">IFERROR(__xludf.DUMMYFUNCTION("""COMPUTED_VALUE"""),"ЗАО ""УК ""ЛЕВОБЕРЕЖЬЕ"" 147-РДО от 13.04.2022")</f>
        <v>ЗАО "УК "ЛЕВОБЕРЕЖЬЕ" 147-РДО от 13.04.2022</v>
      </c>
      <c r="D16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3" t="str">
        <f ca="1">IFERROR(__xludf.DUMMYFUNCTION("""COMPUTED_VALUE"""),"Новый")</f>
        <v>Новый</v>
      </c>
      <c r="G1623" s="68"/>
      <c r="K1623" s="68"/>
    </row>
    <row r="1624" spans="1:11" ht="12.75">
      <c r="A1624" s="69">
        <f ca="1">IFERROR(__xludf.DUMMYFUNCTION("""COMPUTED_VALUE"""),95455)</f>
        <v>95455</v>
      </c>
      <c r="B1624" s="4">
        <f ca="1">IFERROR(__xludf.DUMMYFUNCTION("""COMPUTED_VALUE"""),44672)</f>
        <v>44672</v>
      </c>
      <c r="C1624" t="str">
        <f ca="1">IFERROR(__xludf.DUMMYFUNCTION("""COMPUTED_VALUE"""),"ЗАО ""УК ""ЛЕВОБЕРЕЖЬЕ"" 147-РДО от 13.04.2022")</f>
        <v>ЗАО "УК "ЛЕВОБЕРЕЖЬЕ" 147-РДО от 13.04.2022</v>
      </c>
      <c r="D16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4" t="str">
        <f ca="1">IFERROR(__xludf.DUMMYFUNCTION("""COMPUTED_VALUE"""),"Новый")</f>
        <v>Новый</v>
      </c>
      <c r="G1624" s="68"/>
      <c r="K1624" s="68"/>
    </row>
    <row r="1625" spans="1:11" ht="12.75">
      <c r="A1625" s="69">
        <f ca="1">IFERROR(__xludf.DUMMYFUNCTION("""COMPUTED_VALUE"""),95456)</f>
        <v>95456</v>
      </c>
      <c r="B1625" s="4">
        <f ca="1">IFERROR(__xludf.DUMMYFUNCTION("""COMPUTED_VALUE"""),44672)</f>
        <v>44672</v>
      </c>
      <c r="C1625" t="str">
        <f ca="1">IFERROR(__xludf.DUMMYFUNCTION("""COMPUTED_VALUE"""),"ЗАО ""УК ""ЛЕВОБЕРЕЖЬЕ"" 147-РДО от 13.04.2022")</f>
        <v>ЗАО "УК "ЛЕВОБЕРЕЖЬЕ" 147-РДО от 13.04.2022</v>
      </c>
      <c r="D16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5" t="str">
        <f ca="1">IFERROR(__xludf.DUMMYFUNCTION("""COMPUTED_VALUE"""),"Новый")</f>
        <v>Новый</v>
      </c>
      <c r="G1625" s="68"/>
      <c r="K1625" s="68"/>
    </row>
    <row r="1626" spans="1:11" ht="12.75">
      <c r="A1626" s="69">
        <f ca="1">IFERROR(__xludf.DUMMYFUNCTION("""COMPUTED_VALUE"""),95457)</f>
        <v>95457</v>
      </c>
      <c r="B1626" s="4">
        <f ca="1">IFERROR(__xludf.DUMMYFUNCTION("""COMPUTED_VALUE"""),44672)</f>
        <v>44672</v>
      </c>
      <c r="C1626" t="str">
        <f ca="1">IFERROR(__xludf.DUMMYFUNCTION("""COMPUTED_VALUE"""),"ЗАО ""УК ""ЛЕВОБЕРЕЖЬЕ"" 147-РДО от 13.04.2022")</f>
        <v>ЗАО "УК "ЛЕВОБЕРЕЖЬЕ" 147-РДО от 13.04.2022</v>
      </c>
      <c r="D16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6" t="str">
        <f ca="1">IFERROR(__xludf.DUMMYFUNCTION("""COMPUTED_VALUE"""),"Новый")</f>
        <v>Новый</v>
      </c>
      <c r="G1626" s="68"/>
      <c r="K1626" s="68"/>
    </row>
    <row r="1627" spans="1:11" ht="12.75">
      <c r="A1627" s="69">
        <f ca="1">IFERROR(__xludf.DUMMYFUNCTION("""COMPUTED_VALUE"""),95458)</f>
        <v>95458</v>
      </c>
      <c r="B1627" s="4">
        <f ca="1">IFERROR(__xludf.DUMMYFUNCTION("""COMPUTED_VALUE"""),44672)</f>
        <v>44672</v>
      </c>
      <c r="C1627" t="str">
        <f ca="1">IFERROR(__xludf.DUMMYFUNCTION("""COMPUTED_VALUE"""),"ЗАО ""УК ""ЛЕВОБЕРЕЖЬЕ"" 147-РДО от 13.04.2022")</f>
        <v>ЗАО "УК "ЛЕВОБЕРЕЖЬЕ" 147-РДО от 13.04.2022</v>
      </c>
      <c r="D16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7" t="str">
        <f ca="1">IFERROR(__xludf.DUMMYFUNCTION("""COMPUTED_VALUE"""),"Новый")</f>
        <v>Новый</v>
      </c>
      <c r="G1627" s="68"/>
      <c r="K1627" s="68"/>
    </row>
    <row r="1628" spans="1:11" ht="12.75">
      <c r="A1628" s="69">
        <f ca="1">IFERROR(__xludf.DUMMYFUNCTION("""COMPUTED_VALUE"""),95459)</f>
        <v>95459</v>
      </c>
      <c r="B1628" s="4">
        <f ca="1">IFERROR(__xludf.DUMMYFUNCTION("""COMPUTED_VALUE"""),44672)</f>
        <v>44672</v>
      </c>
      <c r="C1628" t="str">
        <f ca="1">IFERROR(__xludf.DUMMYFUNCTION("""COMPUTED_VALUE"""),"ЗАО ""УК ""ЛЕВОБЕРЕЖЬЕ"" 147-РДО от 13.04.2022")</f>
        <v>ЗАО "УК "ЛЕВОБЕРЕЖЬЕ" 147-РДО от 13.04.2022</v>
      </c>
      <c r="D16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8" t="str">
        <f ca="1">IFERROR(__xludf.DUMMYFUNCTION("""COMPUTED_VALUE"""),"Новый")</f>
        <v>Новый</v>
      </c>
      <c r="G1628" s="68"/>
      <c r="K1628" s="68"/>
    </row>
    <row r="1629" spans="1:11" ht="12.75">
      <c r="A1629" s="69">
        <f ca="1">IFERROR(__xludf.DUMMYFUNCTION("""COMPUTED_VALUE"""),95460)</f>
        <v>95460</v>
      </c>
      <c r="B1629" s="4">
        <f ca="1">IFERROR(__xludf.DUMMYFUNCTION("""COMPUTED_VALUE"""),44672)</f>
        <v>44672</v>
      </c>
      <c r="C1629" t="str">
        <f ca="1">IFERROR(__xludf.DUMMYFUNCTION("""COMPUTED_VALUE"""),"ЗАО ""УК ""ЛЕВОБЕРЕЖЬЕ"" 147-РДО от 13.04.2022")</f>
        <v>ЗАО "УК "ЛЕВОБЕРЕЖЬЕ" 147-РДО от 13.04.2022</v>
      </c>
      <c r="D16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29" t="str">
        <f ca="1">IFERROR(__xludf.DUMMYFUNCTION("""COMPUTED_VALUE"""),"Новый")</f>
        <v>Новый</v>
      </c>
      <c r="G1629" s="68"/>
      <c r="K1629" s="68"/>
    </row>
    <row r="1630" spans="1:11" ht="12.75">
      <c r="A1630" s="69">
        <f ca="1">IFERROR(__xludf.DUMMYFUNCTION("""COMPUTED_VALUE"""),95461)</f>
        <v>95461</v>
      </c>
      <c r="B1630" s="4">
        <f ca="1">IFERROR(__xludf.DUMMYFUNCTION("""COMPUTED_VALUE"""),44672)</f>
        <v>44672</v>
      </c>
      <c r="C1630" t="str">
        <f ca="1">IFERROR(__xludf.DUMMYFUNCTION("""COMPUTED_VALUE"""),"ЗАО ""УК ""ЛЕВОБЕРЕЖЬЕ"" 147-РДО от 13.04.2022")</f>
        <v>ЗАО "УК "ЛЕВОБЕРЕЖЬЕ" 147-РДО от 13.04.2022</v>
      </c>
      <c r="D16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0" t="str">
        <f ca="1">IFERROR(__xludf.DUMMYFUNCTION("""COMPUTED_VALUE"""),"Новый")</f>
        <v>Новый</v>
      </c>
      <c r="G1630" s="68"/>
      <c r="K1630" s="68"/>
    </row>
    <row r="1631" spans="1:11" ht="12.75">
      <c r="A1631" s="69">
        <f ca="1">IFERROR(__xludf.DUMMYFUNCTION("""COMPUTED_VALUE"""),95462)</f>
        <v>95462</v>
      </c>
      <c r="B1631" s="4">
        <f ca="1">IFERROR(__xludf.DUMMYFUNCTION("""COMPUTED_VALUE"""),44672)</f>
        <v>44672</v>
      </c>
      <c r="C1631" t="str">
        <f ca="1">IFERROR(__xludf.DUMMYFUNCTION("""COMPUTED_VALUE"""),"ЗАО ""УК ""ЛЕВОБЕРЕЖЬЕ"" 147-РДО от 13.04.2022")</f>
        <v>ЗАО "УК "ЛЕВОБЕРЕЖЬЕ" 147-РДО от 13.04.2022</v>
      </c>
      <c r="D16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1" t="str">
        <f ca="1">IFERROR(__xludf.DUMMYFUNCTION("""COMPUTED_VALUE"""),"Новый")</f>
        <v>Новый</v>
      </c>
      <c r="G1631" s="68"/>
      <c r="K1631" s="68"/>
    </row>
    <row r="1632" spans="1:11" ht="12.75">
      <c r="A1632" s="69">
        <f ca="1">IFERROR(__xludf.DUMMYFUNCTION("""COMPUTED_VALUE"""),95463)</f>
        <v>95463</v>
      </c>
      <c r="B1632" s="4">
        <f ca="1">IFERROR(__xludf.DUMMYFUNCTION("""COMPUTED_VALUE"""),44672)</f>
        <v>44672</v>
      </c>
      <c r="C1632" t="str">
        <f ca="1">IFERROR(__xludf.DUMMYFUNCTION("""COMPUTED_VALUE"""),"ЗАО ""УК ""ЛЕВОБЕРЕЖЬЕ"" 147-РДО от 13.04.2022")</f>
        <v>ЗАО "УК "ЛЕВОБЕРЕЖЬЕ" 147-РДО от 13.04.2022</v>
      </c>
      <c r="D16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2" t="str">
        <f ca="1">IFERROR(__xludf.DUMMYFUNCTION("""COMPUTED_VALUE"""),"Новый")</f>
        <v>Новый</v>
      </c>
      <c r="G1632" s="68"/>
      <c r="K1632" s="68"/>
    </row>
    <row r="1633" spans="1:11" ht="12.75">
      <c r="A1633" s="69">
        <f ca="1">IFERROR(__xludf.DUMMYFUNCTION("""COMPUTED_VALUE"""),95464)</f>
        <v>95464</v>
      </c>
      <c r="B1633" s="4">
        <f ca="1">IFERROR(__xludf.DUMMYFUNCTION("""COMPUTED_VALUE"""),44672)</f>
        <v>44672</v>
      </c>
      <c r="C1633" t="str">
        <f ca="1">IFERROR(__xludf.DUMMYFUNCTION("""COMPUTED_VALUE"""),"ЗАО ""УК ""ЛЕВОБЕРЕЖЬЕ"" 147-РДО от 13.04.2022")</f>
        <v>ЗАО "УК "ЛЕВОБЕРЕЖЬЕ" 147-РДО от 13.04.2022</v>
      </c>
      <c r="D16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3" t="str">
        <f ca="1">IFERROR(__xludf.DUMMYFUNCTION("""COMPUTED_VALUE"""),"Новый")</f>
        <v>Новый</v>
      </c>
      <c r="G1633" s="68"/>
      <c r="K1633" s="68"/>
    </row>
    <row r="1634" spans="1:11" ht="12.75">
      <c r="A1634" s="69">
        <f ca="1">IFERROR(__xludf.DUMMYFUNCTION("""COMPUTED_VALUE"""),95465)</f>
        <v>95465</v>
      </c>
      <c r="B1634" s="4">
        <f ca="1">IFERROR(__xludf.DUMMYFUNCTION("""COMPUTED_VALUE"""),44672)</f>
        <v>44672</v>
      </c>
      <c r="C1634" t="str">
        <f ca="1">IFERROR(__xludf.DUMMYFUNCTION("""COMPUTED_VALUE"""),"ЗАО ""УК ""ЛЕВОБЕРЕЖЬЕ"" 147-РДО от 13.04.2022")</f>
        <v>ЗАО "УК "ЛЕВОБЕРЕЖЬЕ" 147-РДО от 13.04.2022</v>
      </c>
      <c r="D16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4" t="str">
        <f ca="1">IFERROR(__xludf.DUMMYFUNCTION("""COMPUTED_VALUE"""),"Новый")</f>
        <v>Новый</v>
      </c>
      <c r="G1634" s="68"/>
      <c r="K1634" s="68"/>
    </row>
    <row r="1635" spans="1:11" ht="12.75">
      <c r="A1635" s="69">
        <f ca="1">IFERROR(__xludf.DUMMYFUNCTION("""COMPUTED_VALUE"""),95466)</f>
        <v>95466</v>
      </c>
      <c r="B1635" s="4">
        <f ca="1">IFERROR(__xludf.DUMMYFUNCTION("""COMPUTED_VALUE"""),44672)</f>
        <v>44672</v>
      </c>
      <c r="C1635" t="str">
        <f ca="1">IFERROR(__xludf.DUMMYFUNCTION("""COMPUTED_VALUE"""),"ЗАО ""УК ""ЛЕВОБЕРЕЖЬЕ"" 147-РДО от 13.04.2022")</f>
        <v>ЗАО "УК "ЛЕВОБЕРЕЖЬЕ" 147-РДО от 13.04.2022</v>
      </c>
      <c r="D16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5" t="str">
        <f ca="1">IFERROR(__xludf.DUMMYFUNCTION("""COMPUTED_VALUE"""),"Новый")</f>
        <v>Новый</v>
      </c>
      <c r="G1635" s="68"/>
      <c r="K1635" s="68"/>
    </row>
    <row r="1636" spans="1:11" ht="12.75">
      <c r="A1636" s="69">
        <f ca="1">IFERROR(__xludf.DUMMYFUNCTION("""COMPUTED_VALUE"""),95467)</f>
        <v>95467</v>
      </c>
      <c r="B1636" s="4">
        <f ca="1">IFERROR(__xludf.DUMMYFUNCTION("""COMPUTED_VALUE"""),44672)</f>
        <v>44672</v>
      </c>
      <c r="C1636" t="str">
        <f ca="1">IFERROR(__xludf.DUMMYFUNCTION("""COMPUTED_VALUE"""),"ЗАО ""УК ""ЛЕВОБЕРЕЖЬЕ"" 147-РДО от 13.04.2022")</f>
        <v>ЗАО "УК "ЛЕВОБЕРЕЖЬЕ" 147-РДО от 13.04.2022</v>
      </c>
      <c r="D16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6" t="str">
        <f ca="1">IFERROR(__xludf.DUMMYFUNCTION("""COMPUTED_VALUE"""),"Новый")</f>
        <v>Новый</v>
      </c>
      <c r="G1636" s="68"/>
      <c r="K1636" s="68"/>
    </row>
    <row r="1637" spans="1:11" ht="12.75">
      <c r="A1637" s="69">
        <f ca="1">IFERROR(__xludf.DUMMYFUNCTION("""COMPUTED_VALUE"""),95468)</f>
        <v>95468</v>
      </c>
      <c r="B1637" s="4">
        <f ca="1">IFERROR(__xludf.DUMMYFUNCTION("""COMPUTED_VALUE"""),44672)</f>
        <v>44672</v>
      </c>
      <c r="C1637" t="str">
        <f ca="1">IFERROR(__xludf.DUMMYFUNCTION("""COMPUTED_VALUE"""),"ЗАО ""УК ""ЛЕВОБЕРЕЖЬЕ"" 147-РДО от 13.04.2022")</f>
        <v>ЗАО "УК "ЛЕВОБЕРЕЖЬЕ" 147-РДО от 13.04.2022</v>
      </c>
      <c r="D16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7" t="str">
        <f ca="1">IFERROR(__xludf.DUMMYFUNCTION("""COMPUTED_VALUE"""),"Новый")</f>
        <v>Новый</v>
      </c>
      <c r="G1637" s="68"/>
      <c r="K1637" s="68"/>
    </row>
    <row r="1638" spans="1:11" ht="12.75">
      <c r="A1638" s="69">
        <f ca="1">IFERROR(__xludf.DUMMYFUNCTION("""COMPUTED_VALUE"""),95469)</f>
        <v>95469</v>
      </c>
      <c r="B1638" s="4">
        <f ca="1">IFERROR(__xludf.DUMMYFUNCTION("""COMPUTED_VALUE"""),44672)</f>
        <v>44672</v>
      </c>
      <c r="C1638" t="str">
        <f ca="1">IFERROR(__xludf.DUMMYFUNCTION("""COMPUTED_VALUE"""),"ЗАО ""УК ""ЛЕВОБЕРЕЖЬЕ"" 147-РДО от 13.04.2022")</f>
        <v>ЗАО "УК "ЛЕВОБЕРЕЖЬЕ" 147-РДО от 13.04.2022</v>
      </c>
      <c r="D16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8" t="str">
        <f ca="1">IFERROR(__xludf.DUMMYFUNCTION("""COMPUTED_VALUE"""),"Новый")</f>
        <v>Новый</v>
      </c>
      <c r="G1638" s="68"/>
      <c r="K1638" s="68"/>
    </row>
    <row r="1639" spans="1:11" ht="12.75">
      <c r="A1639" s="69">
        <f ca="1">IFERROR(__xludf.DUMMYFUNCTION("""COMPUTED_VALUE"""),95470)</f>
        <v>95470</v>
      </c>
      <c r="B1639" s="4">
        <f ca="1">IFERROR(__xludf.DUMMYFUNCTION("""COMPUTED_VALUE"""),44672)</f>
        <v>44672</v>
      </c>
      <c r="C1639" t="str">
        <f ca="1">IFERROR(__xludf.DUMMYFUNCTION("""COMPUTED_VALUE"""),"ЗАО ""УК ""ЛЕВОБЕРЕЖЬЕ"" 147-РДО от 13.04.2022")</f>
        <v>ЗАО "УК "ЛЕВОБЕРЕЖЬЕ" 147-РДО от 13.04.2022</v>
      </c>
      <c r="D16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39" t="str">
        <f ca="1">IFERROR(__xludf.DUMMYFUNCTION("""COMPUTED_VALUE"""),"Новый")</f>
        <v>Новый</v>
      </c>
      <c r="G1639" s="68"/>
      <c r="K1639" s="68"/>
    </row>
    <row r="1640" spans="1:11" ht="12.75">
      <c r="A1640" s="69">
        <f ca="1">IFERROR(__xludf.DUMMYFUNCTION("""COMPUTED_VALUE"""),95471)</f>
        <v>95471</v>
      </c>
      <c r="B1640" s="4">
        <f ca="1">IFERROR(__xludf.DUMMYFUNCTION("""COMPUTED_VALUE"""),44672)</f>
        <v>44672</v>
      </c>
      <c r="C1640" t="str">
        <f ca="1">IFERROR(__xludf.DUMMYFUNCTION("""COMPUTED_VALUE"""),"ЗАО ""УК ""ЛЕВОБЕРЕЖЬЕ"" 147-РДО от 13.04.2022")</f>
        <v>ЗАО "УК "ЛЕВОБЕРЕЖЬЕ" 147-РДО от 13.04.2022</v>
      </c>
      <c r="D16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0" t="str">
        <f ca="1">IFERROR(__xludf.DUMMYFUNCTION("""COMPUTED_VALUE"""),"Новый")</f>
        <v>Новый</v>
      </c>
      <c r="G1640" s="68"/>
      <c r="K1640" s="68"/>
    </row>
    <row r="1641" spans="1:11" ht="12.75">
      <c r="A1641" s="69">
        <f ca="1">IFERROR(__xludf.DUMMYFUNCTION("""COMPUTED_VALUE"""),95472)</f>
        <v>95472</v>
      </c>
      <c r="B1641" s="4">
        <f ca="1">IFERROR(__xludf.DUMMYFUNCTION("""COMPUTED_VALUE"""),44672)</f>
        <v>44672</v>
      </c>
      <c r="C1641" t="str">
        <f ca="1">IFERROR(__xludf.DUMMYFUNCTION("""COMPUTED_VALUE"""),"ЗАО ""УК ""ЛЕВОБЕРЕЖЬЕ"" 147-РДО от 13.04.2022")</f>
        <v>ЗАО "УК "ЛЕВОБЕРЕЖЬЕ" 147-РДО от 13.04.2022</v>
      </c>
      <c r="D16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1" t="str">
        <f ca="1">IFERROR(__xludf.DUMMYFUNCTION("""COMPUTED_VALUE"""),"Новый")</f>
        <v>Новый</v>
      </c>
      <c r="G1641" s="68"/>
      <c r="K1641" s="68"/>
    </row>
    <row r="1642" spans="1:11" ht="12.75">
      <c r="A1642" s="69">
        <f ca="1">IFERROR(__xludf.DUMMYFUNCTION("""COMPUTED_VALUE"""),95473)</f>
        <v>95473</v>
      </c>
      <c r="B1642" s="4">
        <f ca="1">IFERROR(__xludf.DUMMYFUNCTION("""COMPUTED_VALUE"""),44672)</f>
        <v>44672</v>
      </c>
      <c r="C1642" t="str">
        <f ca="1">IFERROR(__xludf.DUMMYFUNCTION("""COMPUTED_VALUE"""),"ЗАО ""УК ""ЛЕВОБЕРЕЖЬЕ"" 147-РДО от 13.04.2022")</f>
        <v>ЗАО "УК "ЛЕВОБЕРЕЖЬЕ" 147-РДО от 13.04.2022</v>
      </c>
      <c r="D16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2" t="str">
        <f ca="1">IFERROR(__xludf.DUMMYFUNCTION("""COMPUTED_VALUE"""),"Новый")</f>
        <v>Новый</v>
      </c>
      <c r="G1642" s="68"/>
      <c r="K1642" s="68"/>
    </row>
    <row r="1643" spans="1:11" ht="12.75">
      <c r="A1643" s="69">
        <f ca="1">IFERROR(__xludf.DUMMYFUNCTION("""COMPUTED_VALUE"""),95474)</f>
        <v>95474</v>
      </c>
      <c r="B1643" s="4">
        <f ca="1">IFERROR(__xludf.DUMMYFUNCTION("""COMPUTED_VALUE"""),44672)</f>
        <v>44672</v>
      </c>
      <c r="C1643" t="str">
        <f ca="1">IFERROR(__xludf.DUMMYFUNCTION("""COMPUTED_VALUE"""),"ЗАО ""УК ""ЛЕВОБЕРЕЖЬЕ"" 147-РДО от 13.04.2022")</f>
        <v>ЗАО "УК "ЛЕВОБЕРЕЖЬЕ" 147-РДО от 13.04.2022</v>
      </c>
      <c r="D16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3" t="str">
        <f ca="1">IFERROR(__xludf.DUMMYFUNCTION("""COMPUTED_VALUE"""),"Новый")</f>
        <v>Новый</v>
      </c>
      <c r="G1643" s="68"/>
      <c r="K1643" s="68"/>
    </row>
    <row r="1644" spans="1:11" ht="12.75">
      <c r="A1644" s="69">
        <f ca="1">IFERROR(__xludf.DUMMYFUNCTION("""COMPUTED_VALUE"""),95475)</f>
        <v>95475</v>
      </c>
      <c r="B1644" s="4">
        <f ca="1">IFERROR(__xludf.DUMMYFUNCTION("""COMPUTED_VALUE"""),44672)</f>
        <v>44672</v>
      </c>
      <c r="C1644" t="str">
        <f ca="1">IFERROR(__xludf.DUMMYFUNCTION("""COMPUTED_VALUE"""),"ЗАО ""УК ""ЛЕВОБЕРЕЖЬЕ"" 147-РДО от 13.04.2022")</f>
        <v>ЗАО "УК "ЛЕВОБЕРЕЖЬЕ" 147-РДО от 13.04.2022</v>
      </c>
      <c r="D16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4" t="str">
        <f ca="1">IFERROR(__xludf.DUMMYFUNCTION("""COMPUTED_VALUE"""),"Новый")</f>
        <v>Новый</v>
      </c>
      <c r="G1644" s="68"/>
      <c r="K1644" s="68"/>
    </row>
    <row r="1645" spans="1:11" ht="12.75">
      <c r="A1645" s="69">
        <f ca="1">IFERROR(__xludf.DUMMYFUNCTION("""COMPUTED_VALUE"""),95476)</f>
        <v>95476</v>
      </c>
      <c r="B1645" s="4">
        <f ca="1">IFERROR(__xludf.DUMMYFUNCTION("""COMPUTED_VALUE"""),44672)</f>
        <v>44672</v>
      </c>
      <c r="C1645" t="str">
        <f ca="1">IFERROR(__xludf.DUMMYFUNCTION("""COMPUTED_VALUE"""),"ЗАО ""УК ""ЛЕВОБЕРЕЖЬЕ"" 147-РДО от 13.04.2022")</f>
        <v>ЗАО "УК "ЛЕВОБЕРЕЖЬЕ" 147-РДО от 13.04.2022</v>
      </c>
      <c r="D16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5" t="str">
        <f ca="1">IFERROR(__xludf.DUMMYFUNCTION("""COMPUTED_VALUE"""),"Новый")</f>
        <v>Новый</v>
      </c>
      <c r="G1645" s="68"/>
      <c r="K1645" s="68"/>
    </row>
    <row r="1646" spans="1:11" ht="12.75">
      <c r="A1646" s="69">
        <f ca="1">IFERROR(__xludf.DUMMYFUNCTION("""COMPUTED_VALUE"""),95477)</f>
        <v>95477</v>
      </c>
      <c r="B1646" s="4">
        <f ca="1">IFERROR(__xludf.DUMMYFUNCTION("""COMPUTED_VALUE"""),44672)</f>
        <v>44672</v>
      </c>
      <c r="C1646" t="str">
        <f ca="1">IFERROR(__xludf.DUMMYFUNCTION("""COMPUTED_VALUE"""),"ЗАО ""УК ""ЛЕВОБЕРЕЖЬЕ"" 147-РДО от 13.04.2022")</f>
        <v>ЗАО "УК "ЛЕВОБЕРЕЖЬЕ" 147-РДО от 13.04.2022</v>
      </c>
      <c r="D16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6" t="str">
        <f ca="1">IFERROR(__xludf.DUMMYFUNCTION("""COMPUTED_VALUE"""),"Новый")</f>
        <v>Новый</v>
      </c>
      <c r="G1646" s="68"/>
      <c r="K1646" s="68"/>
    </row>
    <row r="1647" spans="1:11" ht="12.75">
      <c r="A1647" s="69">
        <f ca="1">IFERROR(__xludf.DUMMYFUNCTION("""COMPUTED_VALUE"""),95478)</f>
        <v>95478</v>
      </c>
      <c r="B1647" s="4">
        <f ca="1">IFERROR(__xludf.DUMMYFUNCTION("""COMPUTED_VALUE"""),44672)</f>
        <v>44672</v>
      </c>
      <c r="C1647" t="str">
        <f ca="1">IFERROR(__xludf.DUMMYFUNCTION("""COMPUTED_VALUE"""),"ЗАО ""УК ""ЛЕВОБЕРЕЖЬЕ"" 147-РДО от 13.04.2022")</f>
        <v>ЗАО "УК "ЛЕВОБЕРЕЖЬЕ" 147-РДО от 13.04.2022</v>
      </c>
      <c r="D16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7" t="str">
        <f ca="1">IFERROR(__xludf.DUMMYFUNCTION("""COMPUTED_VALUE"""),"Новый")</f>
        <v>Новый</v>
      </c>
      <c r="G1647" s="68"/>
      <c r="K1647" s="68"/>
    </row>
    <row r="1648" spans="1:11" ht="12.75">
      <c r="A1648" s="69">
        <f ca="1">IFERROR(__xludf.DUMMYFUNCTION("""COMPUTED_VALUE"""),95479)</f>
        <v>95479</v>
      </c>
      <c r="B1648" s="4">
        <f ca="1">IFERROR(__xludf.DUMMYFUNCTION("""COMPUTED_VALUE"""),44672)</f>
        <v>44672</v>
      </c>
      <c r="C1648" t="str">
        <f ca="1">IFERROR(__xludf.DUMMYFUNCTION("""COMPUTED_VALUE"""),"ЗАО ""УК ""ЛЕВОБЕРЕЖЬЕ"" 147-РДО от 13.04.2022")</f>
        <v>ЗАО "УК "ЛЕВОБЕРЕЖЬЕ" 147-РДО от 13.04.2022</v>
      </c>
      <c r="D16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8" t="str">
        <f ca="1">IFERROR(__xludf.DUMMYFUNCTION("""COMPUTED_VALUE"""),"Новый")</f>
        <v>Новый</v>
      </c>
      <c r="G1648" s="68"/>
      <c r="K1648" s="68"/>
    </row>
    <row r="1649" spans="1:11" ht="12.75">
      <c r="A1649" s="69">
        <f ca="1">IFERROR(__xludf.DUMMYFUNCTION("""COMPUTED_VALUE"""),95480)</f>
        <v>95480</v>
      </c>
      <c r="B1649" s="4">
        <f ca="1">IFERROR(__xludf.DUMMYFUNCTION("""COMPUTED_VALUE"""),44672)</f>
        <v>44672</v>
      </c>
      <c r="C1649" t="str">
        <f ca="1">IFERROR(__xludf.DUMMYFUNCTION("""COMPUTED_VALUE"""),"ЗАО ""УК ""ЛЕВОБЕРЕЖЬЕ"" 147-РДО от 13.04.2022")</f>
        <v>ЗАО "УК "ЛЕВОБЕРЕЖЬЕ" 147-РДО от 13.04.2022</v>
      </c>
      <c r="D16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49" t="str">
        <f ca="1">IFERROR(__xludf.DUMMYFUNCTION("""COMPUTED_VALUE"""),"Новый")</f>
        <v>Новый</v>
      </c>
      <c r="G1649" s="68"/>
      <c r="K1649" s="68"/>
    </row>
    <row r="1650" spans="1:11" ht="12.75">
      <c r="A1650" s="69">
        <f ca="1">IFERROR(__xludf.DUMMYFUNCTION("""COMPUTED_VALUE"""),95491)</f>
        <v>95491</v>
      </c>
      <c r="B1650" s="4">
        <f ca="1">IFERROR(__xludf.DUMMYFUNCTION("""COMPUTED_VALUE"""),44672)</f>
        <v>44672</v>
      </c>
      <c r="C1650" t="str">
        <f ca="1">IFERROR(__xludf.DUMMYFUNCTION("""COMPUTED_VALUE"""),"ЗАО ""УК ""ЛЕВОБЕРЕЖЬЕ"" 147-РДО от 13.04.2022")</f>
        <v>ЗАО "УК "ЛЕВОБЕРЕЖЬЕ" 147-РДО от 13.04.2022</v>
      </c>
      <c r="D16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0" t="str">
        <f ca="1">IFERROR(__xludf.DUMMYFUNCTION("""COMPUTED_VALUE"""),"Новый")</f>
        <v>Новый</v>
      </c>
      <c r="G1650" s="68"/>
      <c r="K1650" s="68"/>
    </row>
    <row r="1651" spans="1:11" ht="12.75">
      <c r="A1651" s="69">
        <f ca="1">IFERROR(__xludf.DUMMYFUNCTION("""COMPUTED_VALUE"""),95492)</f>
        <v>95492</v>
      </c>
      <c r="B1651" s="4">
        <f ca="1">IFERROR(__xludf.DUMMYFUNCTION("""COMPUTED_VALUE"""),44672)</f>
        <v>44672</v>
      </c>
      <c r="C1651" t="str">
        <f ca="1">IFERROR(__xludf.DUMMYFUNCTION("""COMPUTED_VALUE"""),"ЗАО ""УК ""ЛЕВОБЕРЕЖЬЕ"" 147-РДО от 13.04.2022")</f>
        <v>ЗАО "УК "ЛЕВОБЕРЕЖЬЕ" 147-РДО от 13.04.2022</v>
      </c>
      <c r="D16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1" t="str">
        <f ca="1">IFERROR(__xludf.DUMMYFUNCTION("""COMPUTED_VALUE"""),"Новый")</f>
        <v>Новый</v>
      </c>
      <c r="G1651" s="68"/>
      <c r="K1651" s="68"/>
    </row>
    <row r="1652" spans="1:11" ht="12.75">
      <c r="A1652" s="69">
        <f ca="1">IFERROR(__xludf.DUMMYFUNCTION("""COMPUTED_VALUE"""),95493)</f>
        <v>95493</v>
      </c>
      <c r="B1652" s="4">
        <f ca="1">IFERROR(__xludf.DUMMYFUNCTION("""COMPUTED_VALUE"""),44672)</f>
        <v>44672</v>
      </c>
      <c r="C1652" t="str">
        <f ca="1">IFERROR(__xludf.DUMMYFUNCTION("""COMPUTED_VALUE"""),"ЗАО ""УК ""ЛЕВОБЕРЕЖЬЕ"" 147-РДО от 13.04.2022")</f>
        <v>ЗАО "УК "ЛЕВОБЕРЕЖЬЕ" 147-РДО от 13.04.2022</v>
      </c>
      <c r="D16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2" t="str">
        <f ca="1">IFERROR(__xludf.DUMMYFUNCTION("""COMPUTED_VALUE"""),"Новый")</f>
        <v>Новый</v>
      </c>
      <c r="G1652" s="68"/>
      <c r="K1652" s="68"/>
    </row>
    <row r="1653" spans="1:11" ht="12.75">
      <c r="A1653" s="69">
        <f ca="1">IFERROR(__xludf.DUMMYFUNCTION("""COMPUTED_VALUE"""),95494)</f>
        <v>95494</v>
      </c>
      <c r="B1653" s="4">
        <f ca="1">IFERROR(__xludf.DUMMYFUNCTION("""COMPUTED_VALUE"""),44672)</f>
        <v>44672</v>
      </c>
      <c r="C1653" t="str">
        <f ca="1">IFERROR(__xludf.DUMMYFUNCTION("""COMPUTED_VALUE"""),"ЗАО ""УК ""ЛЕВОБЕРЕЖЬЕ"" 147-РДО от 13.04.2022")</f>
        <v>ЗАО "УК "ЛЕВОБЕРЕЖЬЕ" 147-РДО от 13.04.2022</v>
      </c>
      <c r="D16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3" t="str">
        <f ca="1">IFERROR(__xludf.DUMMYFUNCTION("""COMPUTED_VALUE"""),"Новый")</f>
        <v>Новый</v>
      </c>
      <c r="G1653" s="68"/>
      <c r="K1653" s="68"/>
    </row>
    <row r="1654" spans="1:11" ht="12.75">
      <c r="A1654" s="69">
        <f ca="1">IFERROR(__xludf.DUMMYFUNCTION("""COMPUTED_VALUE"""),95495)</f>
        <v>95495</v>
      </c>
      <c r="B1654" s="4">
        <f ca="1">IFERROR(__xludf.DUMMYFUNCTION("""COMPUTED_VALUE"""),44672)</f>
        <v>44672</v>
      </c>
      <c r="C1654" t="str">
        <f ca="1">IFERROR(__xludf.DUMMYFUNCTION("""COMPUTED_VALUE"""),"ЗАО ""УК ""ЛЕВОБЕРЕЖЬЕ"" 147-РДО от 13.04.2022")</f>
        <v>ЗАО "УК "ЛЕВОБЕРЕЖЬЕ" 147-РДО от 13.04.2022</v>
      </c>
      <c r="D16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4" t="str">
        <f ca="1">IFERROR(__xludf.DUMMYFUNCTION("""COMPUTED_VALUE"""),"Новый")</f>
        <v>Новый</v>
      </c>
      <c r="G1654" s="68"/>
      <c r="K1654" s="68"/>
    </row>
    <row r="1655" spans="1:11" ht="12.75">
      <c r="A1655" s="69">
        <f ca="1">IFERROR(__xludf.DUMMYFUNCTION("""COMPUTED_VALUE"""),95496)</f>
        <v>95496</v>
      </c>
      <c r="B1655" s="4">
        <f ca="1">IFERROR(__xludf.DUMMYFUNCTION("""COMPUTED_VALUE"""),44672)</f>
        <v>44672</v>
      </c>
      <c r="C1655" t="str">
        <f ca="1">IFERROR(__xludf.DUMMYFUNCTION("""COMPUTED_VALUE"""),"ЗАО ""УК ""ЛЕВОБЕРЕЖЬЕ"" 147-РДО от 13.04.2022")</f>
        <v>ЗАО "УК "ЛЕВОБЕРЕЖЬЕ" 147-РДО от 13.04.2022</v>
      </c>
      <c r="D16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5" t="str">
        <f ca="1">IFERROR(__xludf.DUMMYFUNCTION("""COMPUTED_VALUE"""),"Новый")</f>
        <v>Новый</v>
      </c>
      <c r="G1655" s="68"/>
      <c r="K1655" s="68"/>
    </row>
    <row r="1656" spans="1:11" ht="12.75">
      <c r="A1656" s="69">
        <f ca="1">IFERROR(__xludf.DUMMYFUNCTION("""COMPUTED_VALUE"""),95497)</f>
        <v>95497</v>
      </c>
      <c r="B1656" s="4">
        <f ca="1">IFERROR(__xludf.DUMMYFUNCTION("""COMPUTED_VALUE"""),44672)</f>
        <v>44672</v>
      </c>
      <c r="C1656" t="str">
        <f ca="1">IFERROR(__xludf.DUMMYFUNCTION("""COMPUTED_VALUE"""),"ЗАО ""УК ""ЛЕВОБЕРЕЖЬЕ"" 147-РДО от 13.04.2022")</f>
        <v>ЗАО "УК "ЛЕВОБЕРЕЖЬЕ" 147-РДО от 13.04.2022</v>
      </c>
      <c r="D16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6" t="str">
        <f ca="1">IFERROR(__xludf.DUMMYFUNCTION("""COMPUTED_VALUE"""),"Новый")</f>
        <v>Новый</v>
      </c>
      <c r="G1656" s="68"/>
      <c r="K1656" s="68"/>
    </row>
    <row r="1657" spans="1:11" ht="12.75">
      <c r="A1657" s="69">
        <f ca="1">IFERROR(__xludf.DUMMYFUNCTION("""COMPUTED_VALUE"""),95498)</f>
        <v>95498</v>
      </c>
      <c r="B1657" s="4">
        <f ca="1">IFERROR(__xludf.DUMMYFUNCTION("""COMPUTED_VALUE"""),44672)</f>
        <v>44672</v>
      </c>
      <c r="C1657" t="str">
        <f ca="1">IFERROR(__xludf.DUMMYFUNCTION("""COMPUTED_VALUE"""),"ЗАО ""УК ""ЛЕВОБЕРЕЖЬЕ"" 147-РДО от 13.04.2022")</f>
        <v>ЗАО "УК "ЛЕВОБЕРЕЖЬЕ" 147-РДО от 13.04.2022</v>
      </c>
      <c r="D16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7" t="str">
        <f ca="1">IFERROR(__xludf.DUMMYFUNCTION("""COMPUTED_VALUE"""),"Новый")</f>
        <v>Новый</v>
      </c>
      <c r="G1657" s="68"/>
      <c r="K1657" s="68"/>
    </row>
    <row r="1658" spans="1:11" ht="12.75">
      <c r="A1658" s="69">
        <f ca="1">IFERROR(__xludf.DUMMYFUNCTION("""COMPUTED_VALUE"""),95499)</f>
        <v>95499</v>
      </c>
      <c r="B1658" s="4">
        <f ca="1">IFERROR(__xludf.DUMMYFUNCTION("""COMPUTED_VALUE"""),44672)</f>
        <v>44672</v>
      </c>
      <c r="C1658" t="str">
        <f ca="1">IFERROR(__xludf.DUMMYFUNCTION("""COMPUTED_VALUE"""),"ЗАО ""УК ""ЛЕВОБЕРЕЖЬЕ"" 147-РДО от 13.04.2022")</f>
        <v>ЗАО "УК "ЛЕВОБЕРЕЖЬЕ" 147-РДО от 13.04.2022</v>
      </c>
      <c r="D16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8" t="str">
        <f ca="1">IFERROR(__xludf.DUMMYFUNCTION("""COMPUTED_VALUE"""),"Новый")</f>
        <v>Новый</v>
      </c>
      <c r="G1658" s="68"/>
      <c r="K1658" s="68"/>
    </row>
    <row r="1659" spans="1:11" ht="12.75">
      <c r="A1659" s="69">
        <f ca="1">IFERROR(__xludf.DUMMYFUNCTION("""COMPUTED_VALUE"""),95500)</f>
        <v>95500</v>
      </c>
      <c r="B1659" s="4">
        <f ca="1">IFERROR(__xludf.DUMMYFUNCTION("""COMPUTED_VALUE"""),44672)</f>
        <v>44672</v>
      </c>
      <c r="C1659" t="str">
        <f ca="1">IFERROR(__xludf.DUMMYFUNCTION("""COMPUTED_VALUE"""),"ЗАО ""УК ""ЛЕВОБЕРЕЖЬЕ"" 147-РДО от 13.04.2022")</f>
        <v>ЗАО "УК "ЛЕВОБЕРЕЖЬЕ" 147-РДО от 13.04.2022</v>
      </c>
      <c r="D16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59" t="str">
        <f ca="1">IFERROR(__xludf.DUMMYFUNCTION("""COMPUTED_VALUE"""),"Новый")</f>
        <v>Новый</v>
      </c>
      <c r="G1659" s="68"/>
      <c r="K1659" s="68"/>
    </row>
    <row r="1660" spans="1:11" ht="12.75">
      <c r="A1660" s="69">
        <f ca="1">IFERROR(__xludf.DUMMYFUNCTION("""COMPUTED_VALUE"""),95501)</f>
        <v>95501</v>
      </c>
      <c r="B1660" s="4">
        <f ca="1">IFERROR(__xludf.DUMMYFUNCTION("""COMPUTED_VALUE"""),44672)</f>
        <v>44672</v>
      </c>
      <c r="C1660" t="str">
        <f ca="1">IFERROR(__xludf.DUMMYFUNCTION("""COMPUTED_VALUE"""),"ЗАО ""УК ""ЛЕВОБЕРЕЖЬЕ"" 147-РДО от 13.04.2022")</f>
        <v>ЗАО "УК "ЛЕВОБЕРЕЖЬЕ" 147-РДО от 13.04.2022</v>
      </c>
      <c r="D16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0" t="str">
        <f ca="1">IFERROR(__xludf.DUMMYFUNCTION("""COMPUTED_VALUE"""),"Новый")</f>
        <v>Новый</v>
      </c>
      <c r="G1660" s="68"/>
      <c r="K1660" s="68"/>
    </row>
    <row r="1661" spans="1:11" ht="12.75">
      <c r="A1661" s="69">
        <f ca="1">IFERROR(__xludf.DUMMYFUNCTION("""COMPUTED_VALUE"""),95502)</f>
        <v>95502</v>
      </c>
      <c r="B1661" s="4">
        <f ca="1">IFERROR(__xludf.DUMMYFUNCTION("""COMPUTED_VALUE"""),44672)</f>
        <v>44672</v>
      </c>
      <c r="C1661" t="str">
        <f ca="1">IFERROR(__xludf.DUMMYFUNCTION("""COMPUTED_VALUE"""),"ЗАО ""УК ""ЛЕВОБЕРЕЖЬЕ"" 147-РДО от 13.04.2022")</f>
        <v>ЗАО "УК "ЛЕВОБЕРЕЖЬЕ" 147-РДО от 13.04.2022</v>
      </c>
      <c r="D16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1" t="str">
        <f ca="1">IFERROR(__xludf.DUMMYFUNCTION("""COMPUTED_VALUE"""),"Новый")</f>
        <v>Новый</v>
      </c>
      <c r="G1661" s="68"/>
      <c r="K1661" s="68"/>
    </row>
    <row r="1662" spans="1:11" ht="12.75">
      <c r="A1662" s="69">
        <f ca="1">IFERROR(__xludf.DUMMYFUNCTION("""COMPUTED_VALUE"""),95503)</f>
        <v>95503</v>
      </c>
      <c r="B1662" s="4">
        <f ca="1">IFERROR(__xludf.DUMMYFUNCTION("""COMPUTED_VALUE"""),44672)</f>
        <v>44672</v>
      </c>
      <c r="C1662" t="str">
        <f ca="1">IFERROR(__xludf.DUMMYFUNCTION("""COMPUTED_VALUE"""),"ЗАО ""УК ""ЛЕВОБЕРЕЖЬЕ"" 147-РДО от 13.04.2022")</f>
        <v>ЗАО "УК "ЛЕВОБЕРЕЖЬЕ" 147-РДО от 13.04.2022</v>
      </c>
      <c r="D16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2" t="str">
        <f ca="1">IFERROR(__xludf.DUMMYFUNCTION("""COMPUTED_VALUE"""),"Новый")</f>
        <v>Новый</v>
      </c>
      <c r="G1662" s="68"/>
      <c r="K1662" s="68"/>
    </row>
    <row r="1663" spans="1:11" ht="12.75">
      <c r="A1663" s="69">
        <f ca="1">IFERROR(__xludf.DUMMYFUNCTION("""COMPUTED_VALUE"""),95504)</f>
        <v>95504</v>
      </c>
      <c r="B1663" s="4">
        <f ca="1">IFERROR(__xludf.DUMMYFUNCTION("""COMPUTED_VALUE"""),44672)</f>
        <v>44672</v>
      </c>
      <c r="C1663" t="str">
        <f ca="1">IFERROR(__xludf.DUMMYFUNCTION("""COMPUTED_VALUE"""),"ЗАО ""УК ""ЛЕВОБЕРЕЖЬЕ"" 147-РДО от 13.04.2022")</f>
        <v>ЗАО "УК "ЛЕВОБЕРЕЖЬЕ" 147-РДО от 13.04.2022</v>
      </c>
      <c r="D16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3" t="str">
        <f ca="1">IFERROR(__xludf.DUMMYFUNCTION("""COMPUTED_VALUE"""),"Новый")</f>
        <v>Новый</v>
      </c>
      <c r="G1663" s="68"/>
      <c r="K1663" s="68"/>
    </row>
    <row r="1664" spans="1:11" ht="12.75">
      <c r="A1664" s="69">
        <f ca="1">IFERROR(__xludf.DUMMYFUNCTION("""COMPUTED_VALUE"""),95505)</f>
        <v>95505</v>
      </c>
      <c r="B1664" s="4">
        <f ca="1">IFERROR(__xludf.DUMMYFUNCTION("""COMPUTED_VALUE"""),44672)</f>
        <v>44672</v>
      </c>
      <c r="C1664" t="str">
        <f ca="1">IFERROR(__xludf.DUMMYFUNCTION("""COMPUTED_VALUE"""),"ЗАО ""УК ""ЛЕВОБЕРЕЖЬЕ"" 147-РДО от 13.04.2022")</f>
        <v>ЗАО "УК "ЛЕВОБЕРЕЖЬЕ" 147-РДО от 13.04.2022</v>
      </c>
      <c r="D16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4" t="str">
        <f ca="1">IFERROR(__xludf.DUMMYFUNCTION("""COMPUTED_VALUE"""),"Новый")</f>
        <v>Новый</v>
      </c>
      <c r="G1664" s="68"/>
      <c r="K1664" s="68"/>
    </row>
    <row r="1665" spans="1:11" ht="12.75">
      <c r="A1665" s="69">
        <f ca="1">IFERROR(__xludf.DUMMYFUNCTION("""COMPUTED_VALUE"""),95506)</f>
        <v>95506</v>
      </c>
      <c r="B1665" s="4">
        <f ca="1">IFERROR(__xludf.DUMMYFUNCTION("""COMPUTED_VALUE"""),44672)</f>
        <v>44672</v>
      </c>
      <c r="C1665" t="str">
        <f ca="1">IFERROR(__xludf.DUMMYFUNCTION("""COMPUTED_VALUE"""),"ЗАО ""УК ""ЛЕВОБЕРЕЖЬЕ"" 147-РДО от 13.04.2022")</f>
        <v>ЗАО "УК "ЛЕВОБЕРЕЖЬЕ" 147-РДО от 13.04.2022</v>
      </c>
      <c r="D16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5" t="str">
        <f ca="1">IFERROR(__xludf.DUMMYFUNCTION("""COMPUTED_VALUE"""),"Новый")</f>
        <v>Новый</v>
      </c>
      <c r="G1665" s="68"/>
      <c r="K1665" s="68"/>
    </row>
    <row r="1666" spans="1:11" ht="12.75">
      <c r="A1666" s="69">
        <f ca="1">IFERROR(__xludf.DUMMYFUNCTION("""COMPUTED_VALUE"""),95507)</f>
        <v>95507</v>
      </c>
      <c r="B1666" s="4">
        <f ca="1">IFERROR(__xludf.DUMMYFUNCTION("""COMPUTED_VALUE"""),44672)</f>
        <v>44672</v>
      </c>
      <c r="C1666" t="str">
        <f ca="1">IFERROR(__xludf.DUMMYFUNCTION("""COMPUTED_VALUE"""),"ЗАО ""УК ""ЛЕВОБЕРЕЖЬЕ"" 147-РДО от 13.04.2022")</f>
        <v>ЗАО "УК "ЛЕВОБЕРЕЖЬЕ" 147-РДО от 13.04.2022</v>
      </c>
      <c r="D16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6" t="str">
        <f ca="1">IFERROR(__xludf.DUMMYFUNCTION("""COMPUTED_VALUE"""),"Новый")</f>
        <v>Новый</v>
      </c>
      <c r="G1666" s="68"/>
      <c r="K1666" s="68"/>
    </row>
    <row r="1667" spans="1:11" ht="12.75">
      <c r="A1667" s="69">
        <f ca="1">IFERROR(__xludf.DUMMYFUNCTION("""COMPUTED_VALUE"""),95508)</f>
        <v>95508</v>
      </c>
      <c r="B1667" s="4">
        <f ca="1">IFERROR(__xludf.DUMMYFUNCTION("""COMPUTED_VALUE"""),44672)</f>
        <v>44672</v>
      </c>
      <c r="C1667" t="str">
        <f ca="1">IFERROR(__xludf.DUMMYFUNCTION("""COMPUTED_VALUE"""),"ЗАО ""УК ""ЛЕВОБЕРЕЖЬЕ"" 147-РДО от 13.04.2022")</f>
        <v>ЗАО "УК "ЛЕВОБЕРЕЖЬЕ" 147-РДО от 13.04.2022</v>
      </c>
      <c r="D16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7" t="str">
        <f ca="1">IFERROR(__xludf.DUMMYFUNCTION("""COMPUTED_VALUE"""),"Новый")</f>
        <v>Новый</v>
      </c>
      <c r="G1667" s="68"/>
      <c r="K1667" s="68"/>
    </row>
    <row r="1668" spans="1:11" ht="12.75">
      <c r="A1668" s="69">
        <f ca="1">IFERROR(__xludf.DUMMYFUNCTION("""COMPUTED_VALUE"""),95509)</f>
        <v>95509</v>
      </c>
      <c r="B1668" s="4">
        <f ca="1">IFERROR(__xludf.DUMMYFUNCTION("""COMPUTED_VALUE"""),44672)</f>
        <v>44672</v>
      </c>
      <c r="C1668" t="str">
        <f ca="1">IFERROR(__xludf.DUMMYFUNCTION("""COMPUTED_VALUE"""),"ЗАО ""УК ""ЛЕВОБЕРЕЖЬЕ"" 147-РДО от 13.04.2022")</f>
        <v>ЗАО "УК "ЛЕВОБЕРЕЖЬЕ" 147-РДО от 13.04.2022</v>
      </c>
      <c r="D16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8" t="str">
        <f ca="1">IFERROR(__xludf.DUMMYFUNCTION("""COMPUTED_VALUE"""),"Новый")</f>
        <v>Новый</v>
      </c>
      <c r="G1668" s="68"/>
      <c r="K1668" s="68"/>
    </row>
    <row r="1669" spans="1:11" ht="12.75">
      <c r="A1669" s="69">
        <f ca="1">IFERROR(__xludf.DUMMYFUNCTION("""COMPUTED_VALUE"""),95510)</f>
        <v>95510</v>
      </c>
      <c r="B1669" s="4">
        <f ca="1">IFERROR(__xludf.DUMMYFUNCTION("""COMPUTED_VALUE"""),44672)</f>
        <v>44672</v>
      </c>
      <c r="C1669" t="str">
        <f ca="1">IFERROR(__xludf.DUMMYFUNCTION("""COMPUTED_VALUE"""),"ЗАО ""УК ""ЛЕВОБЕРЕЖЬЕ"" 147-РДО от 13.04.2022")</f>
        <v>ЗАО "УК "ЛЕВОБЕРЕЖЬЕ" 147-РДО от 13.04.2022</v>
      </c>
      <c r="D16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69" t="str">
        <f ca="1">IFERROR(__xludf.DUMMYFUNCTION("""COMPUTED_VALUE"""),"Новый")</f>
        <v>Новый</v>
      </c>
      <c r="G1669" s="68"/>
      <c r="K1669" s="68"/>
    </row>
    <row r="1670" spans="1:11" ht="12.75">
      <c r="A1670" s="69">
        <f ca="1">IFERROR(__xludf.DUMMYFUNCTION("""COMPUTED_VALUE"""),95511)</f>
        <v>95511</v>
      </c>
      <c r="B1670" s="4">
        <f ca="1">IFERROR(__xludf.DUMMYFUNCTION("""COMPUTED_VALUE"""),44672)</f>
        <v>44672</v>
      </c>
      <c r="C1670" t="str">
        <f ca="1">IFERROR(__xludf.DUMMYFUNCTION("""COMPUTED_VALUE"""),"ЗАО ""УК ""ЛЕВОБЕРЕЖЬЕ"" 147-РДО от 13.04.2022")</f>
        <v>ЗАО "УК "ЛЕВОБЕРЕЖЬЕ" 147-РДО от 13.04.2022</v>
      </c>
      <c r="D16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0" t="str">
        <f ca="1">IFERROR(__xludf.DUMMYFUNCTION("""COMPUTED_VALUE"""),"Новый")</f>
        <v>Новый</v>
      </c>
      <c r="G1670" s="68"/>
      <c r="K1670" s="68"/>
    </row>
    <row r="1671" spans="1:11" ht="12.75">
      <c r="A1671" s="69">
        <f ca="1">IFERROR(__xludf.DUMMYFUNCTION("""COMPUTED_VALUE"""),95512)</f>
        <v>95512</v>
      </c>
      <c r="B1671" s="4">
        <f ca="1">IFERROR(__xludf.DUMMYFUNCTION("""COMPUTED_VALUE"""),44672)</f>
        <v>44672</v>
      </c>
      <c r="C1671" t="str">
        <f ca="1">IFERROR(__xludf.DUMMYFUNCTION("""COMPUTED_VALUE"""),"ЗАО ""УК ""ЛЕВОБЕРЕЖЬЕ"" 147-РДО от 13.04.2022")</f>
        <v>ЗАО "УК "ЛЕВОБЕРЕЖЬЕ" 147-РДО от 13.04.2022</v>
      </c>
      <c r="D16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1" t="str">
        <f ca="1">IFERROR(__xludf.DUMMYFUNCTION("""COMPUTED_VALUE"""),"Новый")</f>
        <v>Новый</v>
      </c>
      <c r="G1671" s="68"/>
      <c r="K1671" s="68"/>
    </row>
    <row r="1672" spans="1:11" ht="12.75">
      <c r="A1672" s="69">
        <f ca="1">IFERROR(__xludf.DUMMYFUNCTION("""COMPUTED_VALUE"""),95513)</f>
        <v>95513</v>
      </c>
      <c r="B1672" s="4">
        <f ca="1">IFERROR(__xludf.DUMMYFUNCTION("""COMPUTED_VALUE"""),44672)</f>
        <v>44672</v>
      </c>
      <c r="C1672" t="str">
        <f ca="1">IFERROR(__xludf.DUMMYFUNCTION("""COMPUTED_VALUE"""),"ЗАО ""УК ""ЛЕВОБЕРЕЖЬЕ"" 147-РДО от 13.04.2022")</f>
        <v>ЗАО "УК "ЛЕВОБЕРЕЖЬЕ" 147-РДО от 13.04.2022</v>
      </c>
      <c r="D16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2" t="str">
        <f ca="1">IFERROR(__xludf.DUMMYFUNCTION("""COMPUTED_VALUE"""),"Новый")</f>
        <v>Новый</v>
      </c>
      <c r="G1672" s="68"/>
      <c r="K1672" s="68"/>
    </row>
    <row r="1673" spans="1:11" ht="12.75">
      <c r="A1673" s="69">
        <f ca="1">IFERROR(__xludf.DUMMYFUNCTION("""COMPUTED_VALUE"""),95514)</f>
        <v>95514</v>
      </c>
      <c r="B1673" s="4">
        <f ca="1">IFERROR(__xludf.DUMMYFUNCTION("""COMPUTED_VALUE"""),44672)</f>
        <v>44672</v>
      </c>
      <c r="C1673" t="str">
        <f ca="1">IFERROR(__xludf.DUMMYFUNCTION("""COMPUTED_VALUE"""),"ЗАО ""УК ""ЛЕВОБЕРЕЖЬЕ"" 147-РДО от 13.04.2022")</f>
        <v>ЗАО "УК "ЛЕВОБЕРЕЖЬЕ" 147-РДО от 13.04.2022</v>
      </c>
      <c r="D16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3" t="str">
        <f ca="1">IFERROR(__xludf.DUMMYFUNCTION("""COMPUTED_VALUE"""),"Новый")</f>
        <v>Новый</v>
      </c>
      <c r="G1673" s="68"/>
      <c r="K1673" s="68"/>
    </row>
    <row r="1674" spans="1:11" ht="12.75">
      <c r="A1674" s="69">
        <f ca="1">IFERROR(__xludf.DUMMYFUNCTION("""COMPUTED_VALUE"""),95515)</f>
        <v>95515</v>
      </c>
      <c r="B1674" s="4">
        <f ca="1">IFERROR(__xludf.DUMMYFUNCTION("""COMPUTED_VALUE"""),44672)</f>
        <v>44672</v>
      </c>
      <c r="C1674" t="str">
        <f ca="1">IFERROR(__xludf.DUMMYFUNCTION("""COMPUTED_VALUE"""),"ЗАО ""УК ""ЛЕВОБЕРЕЖЬЕ"" 147-РДО от 13.04.2022")</f>
        <v>ЗАО "УК "ЛЕВОБЕРЕЖЬЕ" 147-РДО от 13.04.2022</v>
      </c>
      <c r="D16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4" t="str">
        <f ca="1">IFERROR(__xludf.DUMMYFUNCTION("""COMPUTED_VALUE"""),"Новый")</f>
        <v>Новый</v>
      </c>
      <c r="G1674" s="68"/>
      <c r="K1674" s="68"/>
    </row>
    <row r="1675" spans="1:11" ht="12.75">
      <c r="A1675" s="69">
        <f ca="1">IFERROR(__xludf.DUMMYFUNCTION("""COMPUTED_VALUE"""),95516)</f>
        <v>95516</v>
      </c>
      <c r="B1675" s="4">
        <f ca="1">IFERROR(__xludf.DUMMYFUNCTION("""COMPUTED_VALUE"""),44672)</f>
        <v>44672</v>
      </c>
      <c r="C1675" t="str">
        <f ca="1">IFERROR(__xludf.DUMMYFUNCTION("""COMPUTED_VALUE"""),"ЗАО ""УК ""ЛЕВОБЕРЕЖЬЕ"" 147-РДО от 13.04.2022")</f>
        <v>ЗАО "УК "ЛЕВОБЕРЕЖЬЕ" 147-РДО от 13.04.2022</v>
      </c>
      <c r="D16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5" t="str">
        <f ca="1">IFERROR(__xludf.DUMMYFUNCTION("""COMPUTED_VALUE"""),"Новый")</f>
        <v>Новый</v>
      </c>
      <c r="G1675" s="68"/>
      <c r="K1675" s="68"/>
    </row>
    <row r="1676" spans="1:11" ht="12.75">
      <c r="A1676" s="69">
        <f ca="1">IFERROR(__xludf.DUMMYFUNCTION("""COMPUTED_VALUE"""),95517)</f>
        <v>95517</v>
      </c>
      <c r="B1676" s="4">
        <f ca="1">IFERROR(__xludf.DUMMYFUNCTION("""COMPUTED_VALUE"""),44672)</f>
        <v>44672</v>
      </c>
      <c r="C1676" t="str">
        <f ca="1">IFERROR(__xludf.DUMMYFUNCTION("""COMPUTED_VALUE"""),"ЗАО ""УК ""ЛЕВОБЕРЕЖЬЕ"" 147-РДО от 13.04.2022")</f>
        <v>ЗАО "УК "ЛЕВОБЕРЕЖЬЕ" 147-РДО от 13.04.2022</v>
      </c>
      <c r="D16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6" t="str">
        <f ca="1">IFERROR(__xludf.DUMMYFUNCTION("""COMPUTED_VALUE"""),"Новый")</f>
        <v>Новый</v>
      </c>
      <c r="G1676" s="68"/>
      <c r="K1676" s="68"/>
    </row>
    <row r="1677" spans="1:11" ht="12.75">
      <c r="A1677" s="69">
        <f ca="1">IFERROR(__xludf.DUMMYFUNCTION("""COMPUTED_VALUE"""),95518)</f>
        <v>95518</v>
      </c>
      <c r="B1677" s="4">
        <f ca="1">IFERROR(__xludf.DUMMYFUNCTION("""COMPUTED_VALUE"""),44672)</f>
        <v>44672</v>
      </c>
      <c r="C1677" t="str">
        <f ca="1">IFERROR(__xludf.DUMMYFUNCTION("""COMPUTED_VALUE"""),"ЗАО ""УК ""ЛЕВОБЕРЕЖЬЕ"" 147-РДО от 13.04.2022")</f>
        <v>ЗАО "УК "ЛЕВОБЕРЕЖЬЕ" 147-РДО от 13.04.2022</v>
      </c>
      <c r="D16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7" t="str">
        <f ca="1">IFERROR(__xludf.DUMMYFUNCTION("""COMPUTED_VALUE"""),"Новый")</f>
        <v>Новый</v>
      </c>
      <c r="G1677" s="68"/>
      <c r="K1677" s="68"/>
    </row>
    <row r="1678" spans="1:11" ht="12.75">
      <c r="A1678" s="69">
        <f ca="1">IFERROR(__xludf.DUMMYFUNCTION("""COMPUTED_VALUE"""),95519)</f>
        <v>95519</v>
      </c>
      <c r="B1678" s="4">
        <f ca="1">IFERROR(__xludf.DUMMYFUNCTION("""COMPUTED_VALUE"""),44672)</f>
        <v>44672</v>
      </c>
      <c r="C1678" t="str">
        <f ca="1">IFERROR(__xludf.DUMMYFUNCTION("""COMPUTED_VALUE"""),"ЗАО ""УК ""ЛЕВОБЕРЕЖЬЕ"" 147-РДО от 13.04.2022")</f>
        <v>ЗАО "УК "ЛЕВОБЕРЕЖЬЕ" 147-РДО от 13.04.2022</v>
      </c>
      <c r="D16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8" t="str">
        <f ca="1">IFERROR(__xludf.DUMMYFUNCTION("""COMPUTED_VALUE"""),"Новый")</f>
        <v>Новый</v>
      </c>
      <c r="G1678" s="68"/>
      <c r="K1678" s="68"/>
    </row>
    <row r="1679" spans="1:11" ht="12.75">
      <c r="A1679" s="69">
        <f ca="1">IFERROR(__xludf.DUMMYFUNCTION("""COMPUTED_VALUE"""),95520)</f>
        <v>95520</v>
      </c>
      <c r="B1679" s="4">
        <f ca="1">IFERROR(__xludf.DUMMYFUNCTION("""COMPUTED_VALUE"""),44672)</f>
        <v>44672</v>
      </c>
      <c r="C1679" t="str">
        <f ca="1">IFERROR(__xludf.DUMMYFUNCTION("""COMPUTED_VALUE"""),"ЗАО ""УК ""ЛЕВОБЕРЕЖЬЕ"" 147-РДО от 13.04.2022")</f>
        <v>ЗАО "УК "ЛЕВОБЕРЕЖЬЕ" 147-РДО от 13.04.2022</v>
      </c>
      <c r="D16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79" t="str">
        <f ca="1">IFERROR(__xludf.DUMMYFUNCTION("""COMPUTED_VALUE"""),"Новый")</f>
        <v>Новый</v>
      </c>
      <c r="G1679" s="68"/>
      <c r="K1679" s="68"/>
    </row>
    <row r="1680" spans="1:11" ht="12.75">
      <c r="A1680" s="69">
        <f ca="1">IFERROR(__xludf.DUMMYFUNCTION("""COMPUTED_VALUE"""),95521)</f>
        <v>95521</v>
      </c>
      <c r="B1680" s="4">
        <f ca="1">IFERROR(__xludf.DUMMYFUNCTION("""COMPUTED_VALUE"""),44672)</f>
        <v>44672</v>
      </c>
      <c r="C1680" t="str">
        <f ca="1">IFERROR(__xludf.DUMMYFUNCTION("""COMPUTED_VALUE"""),"ЗАО ""УК ""ЛЕВОБЕРЕЖЬЕ"" 147-РДО от 13.04.2022")</f>
        <v>ЗАО "УК "ЛЕВОБЕРЕЖЬЕ" 147-РДО от 13.04.2022</v>
      </c>
      <c r="D16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0" t="str">
        <f ca="1">IFERROR(__xludf.DUMMYFUNCTION("""COMPUTED_VALUE"""),"Новый")</f>
        <v>Новый</v>
      </c>
      <c r="G1680" s="68"/>
      <c r="K1680" s="68"/>
    </row>
    <row r="1681" spans="1:11" ht="12.75">
      <c r="A1681" s="69">
        <f ca="1">IFERROR(__xludf.DUMMYFUNCTION("""COMPUTED_VALUE"""),95522)</f>
        <v>95522</v>
      </c>
      <c r="B1681" s="4">
        <f ca="1">IFERROR(__xludf.DUMMYFUNCTION("""COMPUTED_VALUE"""),44672)</f>
        <v>44672</v>
      </c>
      <c r="C1681" t="str">
        <f ca="1">IFERROR(__xludf.DUMMYFUNCTION("""COMPUTED_VALUE"""),"ЗАО ""УК ""ЛЕВОБЕРЕЖЬЕ"" 147-РДО от 13.04.2022")</f>
        <v>ЗАО "УК "ЛЕВОБЕРЕЖЬЕ" 147-РДО от 13.04.2022</v>
      </c>
      <c r="D16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1" t="str">
        <f ca="1">IFERROR(__xludf.DUMMYFUNCTION("""COMPUTED_VALUE"""),"Новый")</f>
        <v>Новый</v>
      </c>
      <c r="G1681" s="68"/>
      <c r="K1681" s="68"/>
    </row>
    <row r="1682" spans="1:11" ht="12.75">
      <c r="A1682" s="69">
        <f ca="1">IFERROR(__xludf.DUMMYFUNCTION("""COMPUTED_VALUE"""),95523)</f>
        <v>95523</v>
      </c>
      <c r="B1682" s="4">
        <f ca="1">IFERROR(__xludf.DUMMYFUNCTION("""COMPUTED_VALUE"""),44672)</f>
        <v>44672</v>
      </c>
      <c r="C1682" t="str">
        <f ca="1">IFERROR(__xludf.DUMMYFUNCTION("""COMPUTED_VALUE"""),"ЗАО ""УК ""ЛЕВОБЕРЕЖЬЕ"" 147-РДО от 13.04.2022")</f>
        <v>ЗАО "УК "ЛЕВОБЕРЕЖЬЕ" 147-РДО от 13.04.2022</v>
      </c>
      <c r="D16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2" t="str">
        <f ca="1">IFERROR(__xludf.DUMMYFUNCTION("""COMPUTED_VALUE"""),"Новый")</f>
        <v>Новый</v>
      </c>
      <c r="G1682" s="68"/>
      <c r="K1682" s="68"/>
    </row>
    <row r="1683" spans="1:11" ht="12.75">
      <c r="A1683" s="69">
        <f ca="1">IFERROR(__xludf.DUMMYFUNCTION("""COMPUTED_VALUE"""),95524)</f>
        <v>95524</v>
      </c>
      <c r="B1683" s="4">
        <f ca="1">IFERROR(__xludf.DUMMYFUNCTION("""COMPUTED_VALUE"""),44672)</f>
        <v>44672</v>
      </c>
      <c r="C1683" t="str">
        <f ca="1">IFERROR(__xludf.DUMMYFUNCTION("""COMPUTED_VALUE"""),"ЗАО ""УК ""ЛЕВОБЕРЕЖЬЕ"" 147-РДО от 13.04.2022")</f>
        <v>ЗАО "УК "ЛЕВОБЕРЕЖЬЕ" 147-РДО от 13.04.2022</v>
      </c>
      <c r="D16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3" t="str">
        <f ca="1">IFERROR(__xludf.DUMMYFUNCTION("""COMPUTED_VALUE"""),"Новый")</f>
        <v>Новый</v>
      </c>
      <c r="G1683" s="68"/>
      <c r="K1683" s="68"/>
    </row>
    <row r="1684" spans="1:11" ht="12.75">
      <c r="A1684" s="69">
        <f ca="1">IFERROR(__xludf.DUMMYFUNCTION("""COMPUTED_VALUE"""),95525)</f>
        <v>95525</v>
      </c>
      <c r="B1684" s="4">
        <f ca="1">IFERROR(__xludf.DUMMYFUNCTION("""COMPUTED_VALUE"""),44672)</f>
        <v>44672</v>
      </c>
      <c r="C1684" t="str">
        <f ca="1">IFERROR(__xludf.DUMMYFUNCTION("""COMPUTED_VALUE"""),"ЗАО ""УК ""ЛЕВОБЕРЕЖЬЕ"" 147-РДО от 13.04.2022")</f>
        <v>ЗАО "УК "ЛЕВОБЕРЕЖЬЕ" 147-РДО от 13.04.2022</v>
      </c>
      <c r="D16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4" t="str">
        <f ca="1">IFERROR(__xludf.DUMMYFUNCTION("""COMPUTED_VALUE"""),"Новый")</f>
        <v>Новый</v>
      </c>
      <c r="G1684" s="68"/>
      <c r="K1684" s="68"/>
    </row>
    <row r="1685" spans="1:11" ht="12.75">
      <c r="A1685" s="69">
        <f ca="1">IFERROR(__xludf.DUMMYFUNCTION("""COMPUTED_VALUE"""),95526)</f>
        <v>95526</v>
      </c>
      <c r="B1685" s="4">
        <f ca="1">IFERROR(__xludf.DUMMYFUNCTION("""COMPUTED_VALUE"""),44672)</f>
        <v>44672</v>
      </c>
      <c r="C1685" t="str">
        <f ca="1">IFERROR(__xludf.DUMMYFUNCTION("""COMPUTED_VALUE"""),"ЗАО ""УК ""ЛЕВОБЕРЕЖЬЕ"" 147-РДО от 13.04.2022")</f>
        <v>ЗАО "УК "ЛЕВОБЕРЕЖЬЕ" 147-РДО от 13.04.2022</v>
      </c>
      <c r="D16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5" t="str">
        <f ca="1">IFERROR(__xludf.DUMMYFUNCTION("""COMPUTED_VALUE"""),"Новый")</f>
        <v>Новый</v>
      </c>
      <c r="G1685" s="68"/>
      <c r="K1685" s="68"/>
    </row>
    <row r="1686" spans="1:11" ht="12.75">
      <c r="A1686" s="69">
        <f ca="1">IFERROR(__xludf.DUMMYFUNCTION("""COMPUTED_VALUE"""),95527)</f>
        <v>95527</v>
      </c>
      <c r="B1686" s="4">
        <f ca="1">IFERROR(__xludf.DUMMYFUNCTION("""COMPUTED_VALUE"""),44672)</f>
        <v>44672</v>
      </c>
      <c r="C1686" t="str">
        <f ca="1">IFERROR(__xludf.DUMMYFUNCTION("""COMPUTED_VALUE"""),"ЗАО ""УК ""ЛЕВОБЕРЕЖЬЕ"" 147-РДО от 13.04.2022")</f>
        <v>ЗАО "УК "ЛЕВОБЕРЕЖЬЕ" 147-РДО от 13.04.2022</v>
      </c>
      <c r="D16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6" t="str">
        <f ca="1">IFERROR(__xludf.DUMMYFUNCTION("""COMPUTED_VALUE"""),"Новый")</f>
        <v>Новый</v>
      </c>
      <c r="G1686" s="68"/>
      <c r="K1686" s="68"/>
    </row>
    <row r="1687" spans="1:11" ht="12.75">
      <c r="A1687" s="69">
        <f ca="1">IFERROR(__xludf.DUMMYFUNCTION("""COMPUTED_VALUE"""),95528)</f>
        <v>95528</v>
      </c>
      <c r="B1687" s="4">
        <f ca="1">IFERROR(__xludf.DUMMYFUNCTION("""COMPUTED_VALUE"""),44672)</f>
        <v>44672</v>
      </c>
      <c r="C1687" t="str">
        <f ca="1">IFERROR(__xludf.DUMMYFUNCTION("""COMPUTED_VALUE"""),"ЗАО ""УК ""ЛЕВОБЕРЕЖЬЕ"" 147-РДО от 13.04.2022")</f>
        <v>ЗАО "УК "ЛЕВОБЕРЕЖЬЕ" 147-РДО от 13.04.2022</v>
      </c>
      <c r="D16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7" t="str">
        <f ca="1">IFERROR(__xludf.DUMMYFUNCTION("""COMPUTED_VALUE"""),"Новый")</f>
        <v>Новый</v>
      </c>
      <c r="G1687" s="68"/>
      <c r="K1687" s="68"/>
    </row>
    <row r="1688" spans="1:11" ht="12.75">
      <c r="A1688" s="69">
        <f ca="1">IFERROR(__xludf.DUMMYFUNCTION("""COMPUTED_VALUE"""),95529)</f>
        <v>95529</v>
      </c>
      <c r="B1688" s="4">
        <f ca="1">IFERROR(__xludf.DUMMYFUNCTION("""COMPUTED_VALUE"""),44672)</f>
        <v>44672</v>
      </c>
      <c r="C1688" t="str">
        <f ca="1">IFERROR(__xludf.DUMMYFUNCTION("""COMPUTED_VALUE"""),"ЗАО ""УК ""ЛЕВОБЕРЕЖЬЕ"" 147-РДО от 13.04.2022")</f>
        <v>ЗАО "УК "ЛЕВОБЕРЕЖЬЕ" 147-РДО от 13.04.2022</v>
      </c>
      <c r="D16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8" t="str">
        <f ca="1">IFERROR(__xludf.DUMMYFUNCTION("""COMPUTED_VALUE"""),"Новый")</f>
        <v>Новый</v>
      </c>
      <c r="G1688" s="68"/>
      <c r="K1688" s="68"/>
    </row>
    <row r="1689" spans="1:11" ht="12.75">
      <c r="A1689" s="69">
        <f ca="1">IFERROR(__xludf.DUMMYFUNCTION("""COMPUTED_VALUE"""),95530)</f>
        <v>95530</v>
      </c>
      <c r="B1689" s="4">
        <f ca="1">IFERROR(__xludf.DUMMYFUNCTION("""COMPUTED_VALUE"""),44672)</f>
        <v>44672</v>
      </c>
      <c r="C1689" t="str">
        <f ca="1">IFERROR(__xludf.DUMMYFUNCTION("""COMPUTED_VALUE"""),"ЗАО ""УК ""ЛЕВОБЕРЕЖЬЕ"" 147-РДО от 13.04.2022")</f>
        <v>ЗАО "УК "ЛЕВОБЕРЕЖЬЕ" 147-РДО от 13.04.2022</v>
      </c>
      <c r="D16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89" t="str">
        <f ca="1">IFERROR(__xludf.DUMMYFUNCTION("""COMPUTED_VALUE"""),"Новый")</f>
        <v>Новый</v>
      </c>
      <c r="G1689" s="68"/>
      <c r="K1689" s="68"/>
    </row>
    <row r="1690" spans="1:11" ht="12.75">
      <c r="A1690" s="69">
        <f ca="1">IFERROR(__xludf.DUMMYFUNCTION("""COMPUTED_VALUE"""),95531)</f>
        <v>95531</v>
      </c>
      <c r="B1690" s="4">
        <f ca="1">IFERROR(__xludf.DUMMYFUNCTION("""COMPUTED_VALUE"""),44672)</f>
        <v>44672</v>
      </c>
      <c r="C1690" t="str">
        <f ca="1">IFERROR(__xludf.DUMMYFUNCTION("""COMPUTED_VALUE"""),"ЗАО ""УК ""ЛЕВОБЕРЕЖЬЕ"" 147-РДО от 13.04.2022")</f>
        <v>ЗАО "УК "ЛЕВОБЕРЕЖЬЕ" 147-РДО от 13.04.2022</v>
      </c>
      <c r="D16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0" t="str">
        <f ca="1">IFERROR(__xludf.DUMMYFUNCTION("""COMPUTED_VALUE"""),"Новый")</f>
        <v>Новый</v>
      </c>
      <c r="G1690" s="68"/>
      <c r="K1690" s="68"/>
    </row>
    <row r="1691" spans="1:11" ht="12.75">
      <c r="A1691" s="69">
        <f ca="1">IFERROR(__xludf.DUMMYFUNCTION("""COMPUTED_VALUE"""),95642)</f>
        <v>95642</v>
      </c>
      <c r="B1691" s="4">
        <f ca="1">IFERROR(__xludf.DUMMYFUNCTION("""COMPUTED_VALUE"""),44672)</f>
        <v>44672</v>
      </c>
      <c r="C1691" t="str">
        <f ca="1">IFERROR(__xludf.DUMMYFUNCTION("""COMPUTED_VALUE"""),"ООО ""УК ""Новый дом"" 160-РДО от 20.04.2022")</f>
        <v>ООО "УК "Новый дом" 160-РДО от 20.04.2022</v>
      </c>
      <c r="D16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1" t="str">
        <f ca="1">IFERROR(__xludf.DUMMYFUNCTION("""COMPUTED_VALUE"""),"Новый")</f>
        <v>Новый</v>
      </c>
      <c r="G1691" s="68"/>
      <c r="K1691" s="68"/>
    </row>
    <row r="1692" spans="1:11" ht="12.75">
      <c r="A1692" s="69">
        <f ca="1">IFERROR(__xludf.DUMMYFUNCTION("""COMPUTED_VALUE"""),95643)</f>
        <v>95643</v>
      </c>
      <c r="B1692" s="4">
        <f ca="1">IFERROR(__xludf.DUMMYFUNCTION("""COMPUTED_VALUE"""),44672)</f>
        <v>44672</v>
      </c>
      <c r="C1692" t="str">
        <f ca="1">IFERROR(__xludf.DUMMYFUNCTION("""COMPUTED_VALUE"""),"ООО ""УК ""Новый дом"" 160-РДО от 20.04.2022")</f>
        <v>ООО "УК "Новый дом" 160-РДО от 20.04.2022</v>
      </c>
      <c r="D16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2" t="str">
        <f ca="1">IFERROR(__xludf.DUMMYFUNCTION("""COMPUTED_VALUE"""),"Новый")</f>
        <v>Новый</v>
      </c>
      <c r="G1692" s="68"/>
      <c r="K1692" s="68"/>
    </row>
    <row r="1693" spans="1:11" ht="12.75">
      <c r="A1693" s="69">
        <f ca="1">IFERROR(__xludf.DUMMYFUNCTION("""COMPUTED_VALUE"""),95644)</f>
        <v>95644</v>
      </c>
      <c r="B1693" s="4">
        <f ca="1">IFERROR(__xludf.DUMMYFUNCTION("""COMPUTED_VALUE"""),44672)</f>
        <v>44672</v>
      </c>
      <c r="C1693" t="str">
        <f ca="1">IFERROR(__xludf.DUMMYFUNCTION("""COMPUTED_VALUE"""),"ООО ""УК ""Новый дом"" 160-РДО от 20.04.2022")</f>
        <v>ООО "УК "Новый дом" 160-РДО от 20.04.2022</v>
      </c>
      <c r="D16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3" t="str">
        <f ca="1">IFERROR(__xludf.DUMMYFUNCTION("""COMPUTED_VALUE"""),"Новый")</f>
        <v>Новый</v>
      </c>
      <c r="G1693" s="68"/>
      <c r="K1693" s="68"/>
    </row>
    <row r="1694" spans="1:11" ht="12.75">
      <c r="A1694" s="69">
        <f ca="1">IFERROR(__xludf.DUMMYFUNCTION("""COMPUTED_VALUE"""),95645)</f>
        <v>95645</v>
      </c>
      <c r="B1694" s="4">
        <f ca="1">IFERROR(__xludf.DUMMYFUNCTION("""COMPUTED_VALUE"""),44672)</f>
        <v>44672</v>
      </c>
      <c r="C1694" t="str">
        <f ca="1">IFERROR(__xludf.DUMMYFUNCTION("""COMPUTED_VALUE"""),"ООО ""УК ""Новый дом"" 160-РДО от 20.04.2022")</f>
        <v>ООО "УК "Новый дом" 160-РДО от 20.04.2022</v>
      </c>
      <c r="D16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4" t="str">
        <f ca="1">IFERROR(__xludf.DUMMYFUNCTION("""COMPUTED_VALUE"""),"Новый")</f>
        <v>Новый</v>
      </c>
      <c r="G1694" s="68"/>
      <c r="K1694" s="68"/>
    </row>
    <row r="1695" spans="1:11" ht="12.75">
      <c r="A1695" s="69">
        <f ca="1">IFERROR(__xludf.DUMMYFUNCTION("""COMPUTED_VALUE"""),95646)</f>
        <v>95646</v>
      </c>
      <c r="B1695" s="4">
        <f ca="1">IFERROR(__xludf.DUMMYFUNCTION("""COMPUTED_VALUE"""),44672)</f>
        <v>44672</v>
      </c>
      <c r="C1695" t="str">
        <f ca="1">IFERROR(__xludf.DUMMYFUNCTION("""COMPUTED_VALUE"""),"ООО ""УК ""Новый дом"" 160-РДО от 20.04.2022")</f>
        <v>ООО "УК "Новый дом" 160-РДО от 20.04.2022</v>
      </c>
      <c r="D16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5" t="str">
        <f ca="1">IFERROR(__xludf.DUMMYFUNCTION("""COMPUTED_VALUE"""),"Новый")</f>
        <v>Новый</v>
      </c>
      <c r="G1695" s="68"/>
      <c r="K1695" s="68"/>
    </row>
    <row r="1696" spans="1:11" ht="12.75">
      <c r="A1696" s="69">
        <f ca="1">IFERROR(__xludf.DUMMYFUNCTION("""COMPUTED_VALUE"""),95647)</f>
        <v>95647</v>
      </c>
      <c r="B1696" s="4">
        <f ca="1">IFERROR(__xludf.DUMMYFUNCTION("""COMPUTED_VALUE"""),44672)</f>
        <v>44672</v>
      </c>
      <c r="C1696" t="str">
        <f ca="1">IFERROR(__xludf.DUMMYFUNCTION("""COMPUTED_VALUE"""),"ООО ""УК ""Новый дом"" 160-РДО от 20.04.2022")</f>
        <v>ООО "УК "Новый дом" 160-РДО от 20.04.2022</v>
      </c>
      <c r="D16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6" t="str">
        <f ca="1">IFERROR(__xludf.DUMMYFUNCTION("""COMPUTED_VALUE"""),"Новый")</f>
        <v>Новый</v>
      </c>
      <c r="G1696" s="68"/>
      <c r="K1696" s="68"/>
    </row>
    <row r="1697" spans="1:11" ht="12.75">
      <c r="A1697" s="69">
        <f ca="1">IFERROR(__xludf.DUMMYFUNCTION("""COMPUTED_VALUE"""),95648)</f>
        <v>95648</v>
      </c>
      <c r="B1697" s="4">
        <f ca="1">IFERROR(__xludf.DUMMYFUNCTION("""COMPUTED_VALUE"""),44672)</f>
        <v>44672</v>
      </c>
      <c r="C1697" t="str">
        <f ca="1">IFERROR(__xludf.DUMMYFUNCTION("""COMPUTED_VALUE"""),"ООО ""УК ""Новый дом"" 160-РДО от 20.04.2022")</f>
        <v>ООО "УК "Новый дом" 160-РДО от 20.04.2022</v>
      </c>
      <c r="D16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7" t="str">
        <f ca="1">IFERROR(__xludf.DUMMYFUNCTION("""COMPUTED_VALUE"""),"Новый")</f>
        <v>Новый</v>
      </c>
      <c r="G1697" s="68"/>
      <c r="K1697" s="68"/>
    </row>
    <row r="1698" spans="1:11" ht="12.75">
      <c r="A1698" s="69">
        <f ca="1">IFERROR(__xludf.DUMMYFUNCTION("""COMPUTED_VALUE"""),95649)</f>
        <v>95649</v>
      </c>
      <c r="B1698" s="4">
        <f ca="1">IFERROR(__xludf.DUMMYFUNCTION("""COMPUTED_VALUE"""),44672)</f>
        <v>44672</v>
      </c>
      <c r="C1698" t="str">
        <f ca="1">IFERROR(__xludf.DUMMYFUNCTION("""COMPUTED_VALUE"""),"ООО ""УК ""Новый дом"" 160-РДО от 20.04.2022")</f>
        <v>ООО "УК "Новый дом" 160-РДО от 20.04.2022</v>
      </c>
      <c r="D16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8" t="str">
        <f ca="1">IFERROR(__xludf.DUMMYFUNCTION("""COMPUTED_VALUE"""),"Новый")</f>
        <v>Новый</v>
      </c>
      <c r="G1698" s="68"/>
      <c r="K1698" s="68"/>
    </row>
    <row r="1699" spans="1:11" ht="12.75">
      <c r="A1699" s="69">
        <f ca="1">IFERROR(__xludf.DUMMYFUNCTION("""COMPUTED_VALUE"""),95650)</f>
        <v>95650</v>
      </c>
      <c r="B1699" s="4">
        <f ca="1">IFERROR(__xludf.DUMMYFUNCTION("""COMPUTED_VALUE"""),44672)</f>
        <v>44672</v>
      </c>
      <c r="C1699" t="str">
        <f ca="1">IFERROR(__xludf.DUMMYFUNCTION("""COMPUTED_VALUE"""),"ООО ""УК ""Новый дом"" 160-РДО от 20.04.2022")</f>
        <v>ООО "УК "Новый дом" 160-РДО от 20.04.2022</v>
      </c>
      <c r="D16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699" t="str">
        <f ca="1">IFERROR(__xludf.DUMMYFUNCTION("""COMPUTED_VALUE"""),"Новый")</f>
        <v>Новый</v>
      </c>
      <c r="G1699" s="68"/>
      <c r="K1699" s="68"/>
    </row>
    <row r="1700" spans="1:11" ht="12.75">
      <c r="A1700" s="69">
        <f ca="1">IFERROR(__xludf.DUMMYFUNCTION("""COMPUTED_VALUE"""),95651)</f>
        <v>95651</v>
      </c>
      <c r="B1700" s="4">
        <f ca="1">IFERROR(__xludf.DUMMYFUNCTION("""COMPUTED_VALUE"""),44672)</f>
        <v>44672</v>
      </c>
      <c r="C1700" t="str">
        <f ca="1">IFERROR(__xludf.DUMMYFUNCTION("""COMPUTED_VALUE"""),"ООО ""УК ""Новый дом"" 160-РДО от 20.04.2022")</f>
        <v>ООО "УК "Новый дом" 160-РДО от 20.04.2022</v>
      </c>
      <c r="D17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0" t="str">
        <f ca="1">IFERROR(__xludf.DUMMYFUNCTION("""COMPUTED_VALUE"""),"Новый")</f>
        <v>Новый</v>
      </c>
      <c r="G1700" s="68"/>
      <c r="K1700" s="68"/>
    </row>
    <row r="1701" spans="1:11" ht="12.75">
      <c r="A1701" s="69">
        <f ca="1">IFERROR(__xludf.DUMMYFUNCTION("""COMPUTED_VALUE"""),95664)</f>
        <v>95664</v>
      </c>
      <c r="B1701" s="4">
        <f ca="1">IFERROR(__xludf.DUMMYFUNCTION("""COMPUTED_VALUE"""),44672)</f>
        <v>44672</v>
      </c>
      <c r="C1701" t="str">
        <f ca="1">IFERROR(__xludf.DUMMYFUNCTION("""COMPUTED_VALUE"""),"ООО ""УК ""Новый дом"" 160-РДО от 20.04.2022")</f>
        <v>ООО "УК "Новый дом" 160-РДО от 20.04.2022</v>
      </c>
      <c r="D17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1" t="str">
        <f ca="1">IFERROR(__xludf.DUMMYFUNCTION("""COMPUTED_VALUE"""),"Новый")</f>
        <v>Новый</v>
      </c>
      <c r="G1701" s="68"/>
      <c r="K1701" s="68"/>
    </row>
    <row r="1702" spans="1:11" ht="12.75">
      <c r="A1702" s="69">
        <f ca="1">IFERROR(__xludf.DUMMYFUNCTION("""COMPUTED_VALUE"""),95671)</f>
        <v>95671</v>
      </c>
      <c r="B1702" s="4">
        <f ca="1">IFERROR(__xludf.DUMMYFUNCTION("""COMPUTED_VALUE"""),44672)</f>
        <v>44672</v>
      </c>
      <c r="C1702" t="str">
        <f ca="1">IFERROR(__xludf.DUMMYFUNCTION("""COMPUTED_VALUE"""),"ООО ""УК ""Новый дом"" 160-РДО от 20.04.2022")</f>
        <v>ООО "УК "Новый дом" 160-РДО от 20.04.2022</v>
      </c>
      <c r="D17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2" t="str">
        <f ca="1">IFERROR(__xludf.DUMMYFUNCTION("""COMPUTED_VALUE"""),"Новый")</f>
        <v>Новый</v>
      </c>
      <c r="G1702" s="68"/>
      <c r="K1702" s="68"/>
    </row>
    <row r="1703" spans="1:11" ht="12.75">
      <c r="A1703" s="69">
        <f ca="1">IFERROR(__xludf.DUMMYFUNCTION("""COMPUTED_VALUE"""),95678)</f>
        <v>95678</v>
      </c>
      <c r="B1703" s="4">
        <f ca="1">IFERROR(__xludf.DUMMYFUNCTION("""COMPUTED_VALUE"""),44672)</f>
        <v>44672</v>
      </c>
      <c r="C1703" t="str">
        <f ca="1">IFERROR(__xludf.DUMMYFUNCTION("""COMPUTED_VALUE"""),"АО ""Омскгоргаз""")</f>
        <v>АО "Омскгоргаз"</v>
      </c>
      <c r="D17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3" t="str">
        <f ca="1">IFERROR(__xludf.DUMMYFUNCTION("""COMPUTED_VALUE"""),"Новый")</f>
        <v>Новый</v>
      </c>
      <c r="G1703" s="68"/>
      <c r="K1703" s="68"/>
    </row>
    <row r="1704" spans="1:11" ht="12.75">
      <c r="A1704" s="69">
        <f ca="1">IFERROR(__xludf.DUMMYFUNCTION("""COMPUTED_VALUE"""),95691)</f>
        <v>95691</v>
      </c>
      <c r="B1704" s="4">
        <f ca="1">IFERROR(__xludf.DUMMYFUNCTION("""COMPUTED_VALUE"""),44672)</f>
        <v>44672</v>
      </c>
      <c r="C170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17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4" t="str">
        <f ca="1">IFERROR(__xludf.DUMMYFUNCTION("""COMPUTED_VALUE"""),"Новый")</f>
        <v>Новый</v>
      </c>
      <c r="G1704" s="68"/>
      <c r="K1704" s="68"/>
    </row>
    <row r="1705" spans="1:11" ht="12.75">
      <c r="A1705" s="69">
        <f ca="1">IFERROR(__xludf.DUMMYFUNCTION("""COMPUTED_VALUE"""),95720)</f>
        <v>95720</v>
      </c>
      <c r="B1705" s="4">
        <f ca="1">IFERROR(__xludf.DUMMYFUNCTION("""COMPUTED_VALUE"""),44672)</f>
        <v>44672</v>
      </c>
      <c r="C1705" t="str">
        <f ca="1">IFERROR(__xludf.DUMMYFUNCTION("""COMPUTED_VALUE"""),"ИП Зюлин Егор Геннадьевич 104-СТР от 24.08.2012")</f>
        <v>ИП Зюлин Егор Геннадьевич 104-СТР от 24.08.2012</v>
      </c>
      <c r="D17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705" t="str">
        <f ca="1">IFERROR(__xludf.DUMMYFUNCTION("""COMPUTED_VALUE"""),"Новый")</f>
        <v>Новый</v>
      </c>
      <c r="G1705" s="68"/>
      <c r="K1705" s="68"/>
    </row>
    <row r="1706" spans="1:11" ht="12.75">
      <c r="A1706" s="69">
        <f ca="1">IFERROR(__xludf.DUMMYFUNCTION("""COMPUTED_VALUE"""),95722)</f>
        <v>95722</v>
      </c>
      <c r="B1706" s="4">
        <f ca="1">IFERROR(__xludf.DUMMYFUNCTION("""COMPUTED_VALUE"""),44672)</f>
        <v>44672</v>
      </c>
      <c r="C1706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6" t="str">
        <f ca="1">IFERROR(__xludf.DUMMYFUNCTION("""COMPUTED_VALUE"""),"Новый")</f>
        <v>Новый</v>
      </c>
      <c r="G1706" s="68"/>
      <c r="K1706" s="68"/>
    </row>
    <row r="1707" spans="1:11" ht="12.75">
      <c r="A1707" s="69">
        <f ca="1">IFERROR(__xludf.DUMMYFUNCTION("""COMPUTED_VALUE"""),95723)</f>
        <v>95723</v>
      </c>
      <c r="B1707" s="4">
        <f ca="1">IFERROR(__xludf.DUMMYFUNCTION("""COMPUTED_VALUE"""),44672)</f>
        <v>44672</v>
      </c>
      <c r="C1707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7" t="str">
        <f ca="1">IFERROR(__xludf.DUMMYFUNCTION("""COMPUTED_VALUE"""),"Новый")</f>
        <v>Новый</v>
      </c>
      <c r="G1707" s="68"/>
      <c r="K1707" s="68"/>
    </row>
    <row r="1708" spans="1:11" ht="12.75">
      <c r="A1708" s="69">
        <f ca="1">IFERROR(__xludf.DUMMYFUNCTION("""COMPUTED_VALUE"""),95724)</f>
        <v>95724</v>
      </c>
      <c r="B1708" s="4">
        <f ca="1">IFERROR(__xludf.DUMMYFUNCTION("""COMPUTED_VALUE"""),44672)</f>
        <v>44672</v>
      </c>
      <c r="C1708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8" t="str">
        <f ca="1">IFERROR(__xludf.DUMMYFUNCTION("""COMPUTED_VALUE"""),"Новый")</f>
        <v>Новый</v>
      </c>
      <c r="G1708" s="68"/>
      <c r="K1708" s="68"/>
    </row>
    <row r="1709" spans="1:11" ht="12.75">
      <c r="A1709" s="69">
        <f ca="1">IFERROR(__xludf.DUMMYFUNCTION("""COMPUTED_VALUE"""),95725)</f>
        <v>95725</v>
      </c>
      <c r="B1709" s="4">
        <f ca="1">IFERROR(__xludf.DUMMYFUNCTION("""COMPUTED_VALUE"""),44672)</f>
        <v>44672</v>
      </c>
      <c r="C1709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09" t="str">
        <f ca="1">IFERROR(__xludf.DUMMYFUNCTION("""COMPUTED_VALUE"""),"Новый")</f>
        <v>Новый</v>
      </c>
      <c r="G1709" s="68"/>
      <c r="K1709" s="68"/>
    </row>
    <row r="1710" spans="1:11" ht="12.75">
      <c r="A1710" s="69">
        <f ca="1">IFERROR(__xludf.DUMMYFUNCTION("""COMPUTED_VALUE"""),95726)</f>
        <v>95726</v>
      </c>
      <c r="B1710" s="4">
        <f ca="1">IFERROR(__xludf.DUMMYFUNCTION("""COMPUTED_VALUE"""),44672)</f>
        <v>44672</v>
      </c>
      <c r="C1710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0" t="str">
        <f ca="1">IFERROR(__xludf.DUMMYFUNCTION("""COMPUTED_VALUE"""),"Новый")</f>
        <v>Новый</v>
      </c>
      <c r="G1710" s="68"/>
      <c r="K1710" s="68"/>
    </row>
    <row r="1711" spans="1:11" ht="12.75">
      <c r="A1711" s="69">
        <f ca="1">IFERROR(__xludf.DUMMYFUNCTION("""COMPUTED_VALUE"""),95727)</f>
        <v>95727</v>
      </c>
      <c r="B1711" s="4">
        <f ca="1">IFERROR(__xludf.DUMMYFUNCTION("""COMPUTED_VALUE"""),44672)</f>
        <v>44672</v>
      </c>
      <c r="C1711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1" t="str">
        <f ca="1">IFERROR(__xludf.DUMMYFUNCTION("""COMPUTED_VALUE"""),"Новый")</f>
        <v>Новый</v>
      </c>
      <c r="G1711" s="68"/>
      <c r="K1711" s="68"/>
    </row>
    <row r="1712" spans="1:11" ht="12.75">
      <c r="A1712" s="69">
        <f ca="1">IFERROR(__xludf.DUMMYFUNCTION("""COMPUTED_VALUE"""),95728)</f>
        <v>95728</v>
      </c>
      <c r="B1712" s="4">
        <f ca="1">IFERROR(__xludf.DUMMYFUNCTION("""COMPUTED_VALUE"""),44672)</f>
        <v>44672</v>
      </c>
      <c r="C1712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2" t="str">
        <f ca="1">IFERROR(__xludf.DUMMYFUNCTION("""COMPUTED_VALUE"""),"Новый")</f>
        <v>Новый</v>
      </c>
      <c r="G1712" s="68"/>
      <c r="K1712" s="68"/>
    </row>
    <row r="1713" spans="1:11" ht="12.75">
      <c r="A1713" s="69">
        <f ca="1">IFERROR(__xludf.DUMMYFUNCTION("""COMPUTED_VALUE"""),95729)</f>
        <v>95729</v>
      </c>
      <c r="B1713" s="4">
        <f ca="1">IFERROR(__xludf.DUMMYFUNCTION("""COMPUTED_VALUE"""),44672)</f>
        <v>44672</v>
      </c>
      <c r="C1713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3" t="str">
        <f ca="1">IFERROR(__xludf.DUMMYFUNCTION("""COMPUTED_VALUE"""),"Новый")</f>
        <v>Новый</v>
      </c>
      <c r="G1713" s="68"/>
      <c r="K1713" s="68"/>
    </row>
    <row r="1714" spans="1:11" ht="12.75">
      <c r="A1714" s="69">
        <f ca="1">IFERROR(__xludf.DUMMYFUNCTION("""COMPUTED_VALUE"""),95730)</f>
        <v>95730</v>
      </c>
      <c r="B1714" s="4">
        <f ca="1">IFERROR(__xludf.DUMMYFUNCTION("""COMPUTED_VALUE"""),44672)</f>
        <v>44672</v>
      </c>
      <c r="C1714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4" t="str">
        <f ca="1">IFERROR(__xludf.DUMMYFUNCTION("""COMPUTED_VALUE"""),"Новый")</f>
        <v>Новый</v>
      </c>
      <c r="G1714" s="68"/>
      <c r="K1714" s="68"/>
    </row>
    <row r="1715" spans="1:11" ht="12.75">
      <c r="A1715" s="69">
        <f ca="1">IFERROR(__xludf.DUMMYFUNCTION("""COMPUTED_VALUE"""),95731)</f>
        <v>95731</v>
      </c>
      <c r="B1715" s="4">
        <f ca="1">IFERROR(__xludf.DUMMYFUNCTION("""COMPUTED_VALUE"""),44672)</f>
        <v>44672</v>
      </c>
      <c r="C1715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5" t="str">
        <f ca="1">IFERROR(__xludf.DUMMYFUNCTION("""COMPUTED_VALUE"""),"Новый")</f>
        <v>Новый</v>
      </c>
      <c r="G1715" s="68"/>
      <c r="K1715" s="68"/>
    </row>
    <row r="1716" spans="1:11" ht="12.75">
      <c r="A1716" s="69">
        <f ca="1">IFERROR(__xludf.DUMMYFUNCTION("""COMPUTED_VALUE"""),95738)</f>
        <v>95738</v>
      </c>
      <c r="B1716" s="4">
        <f ca="1">IFERROR(__xludf.DUMMYFUNCTION("""COMPUTED_VALUE"""),44672)</f>
        <v>44672</v>
      </c>
      <c r="C1716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6" t="str">
        <f ca="1">IFERROR(__xludf.DUMMYFUNCTION("""COMPUTED_VALUE"""),"Новый")</f>
        <v>Новый</v>
      </c>
      <c r="G1716" s="68"/>
      <c r="K1716" s="68"/>
    </row>
    <row r="1717" spans="1:11" ht="12.75">
      <c r="A1717" s="69">
        <f ca="1">IFERROR(__xludf.DUMMYFUNCTION("""COMPUTED_VALUE"""),95739)</f>
        <v>95739</v>
      </c>
      <c r="B1717" s="4">
        <f ca="1">IFERROR(__xludf.DUMMYFUNCTION("""COMPUTED_VALUE"""),44672)</f>
        <v>44672</v>
      </c>
      <c r="C1717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7" t="str">
        <f ca="1">IFERROR(__xludf.DUMMYFUNCTION("""COMPUTED_VALUE"""),"Новый")</f>
        <v>Новый</v>
      </c>
      <c r="G1717" s="68"/>
      <c r="K1717" s="68"/>
    </row>
    <row r="1718" spans="1:11" ht="12.75">
      <c r="A1718" s="69">
        <f ca="1">IFERROR(__xludf.DUMMYFUNCTION("""COMPUTED_VALUE"""),95740)</f>
        <v>95740</v>
      </c>
      <c r="B1718" s="4">
        <f ca="1">IFERROR(__xludf.DUMMYFUNCTION("""COMPUTED_VALUE"""),44672)</f>
        <v>44672</v>
      </c>
      <c r="C1718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8" t="str">
        <f ca="1">IFERROR(__xludf.DUMMYFUNCTION("""COMPUTED_VALUE"""),"Новый")</f>
        <v>Новый</v>
      </c>
      <c r="G1718" s="68"/>
      <c r="K1718" s="68"/>
    </row>
    <row r="1719" spans="1:11" ht="12.75">
      <c r="A1719" s="69">
        <f ca="1">IFERROR(__xludf.DUMMYFUNCTION("""COMPUTED_VALUE"""),95741)</f>
        <v>95741</v>
      </c>
      <c r="B1719" s="4">
        <f ca="1">IFERROR(__xludf.DUMMYFUNCTION("""COMPUTED_VALUE"""),44672)</f>
        <v>44672</v>
      </c>
      <c r="C1719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19" t="str">
        <f ca="1">IFERROR(__xludf.DUMMYFUNCTION("""COMPUTED_VALUE"""),"Новый")</f>
        <v>Новый</v>
      </c>
      <c r="G1719" s="68"/>
      <c r="K1719" s="68"/>
    </row>
    <row r="1720" spans="1:11" ht="12.75">
      <c r="A1720" s="69">
        <f ca="1">IFERROR(__xludf.DUMMYFUNCTION("""COMPUTED_VALUE"""),95742)</f>
        <v>95742</v>
      </c>
      <c r="B1720" s="4">
        <f ca="1">IFERROR(__xludf.DUMMYFUNCTION("""COMPUTED_VALUE"""),44672)</f>
        <v>44672</v>
      </c>
      <c r="C1720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0" t="str">
        <f ca="1">IFERROR(__xludf.DUMMYFUNCTION("""COMPUTED_VALUE"""),"Новый")</f>
        <v>Новый</v>
      </c>
      <c r="G1720" s="68"/>
      <c r="K1720" s="68"/>
    </row>
    <row r="1721" spans="1:11" ht="12.75">
      <c r="A1721" s="69">
        <f ca="1">IFERROR(__xludf.DUMMYFUNCTION("""COMPUTED_VALUE"""),95743)</f>
        <v>95743</v>
      </c>
      <c r="B1721" s="4">
        <f ca="1">IFERROR(__xludf.DUMMYFUNCTION("""COMPUTED_VALUE"""),44672)</f>
        <v>44672</v>
      </c>
      <c r="C1721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1" t="str">
        <f ca="1">IFERROR(__xludf.DUMMYFUNCTION("""COMPUTED_VALUE"""),"Новый")</f>
        <v>Новый</v>
      </c>
      <c r="G1721" s="68"/>
      <c r="K1721" s="68"/>
    </row>
    <row r="1722" spans="1:11" ht="12.75">
      <c r="A1722" s="69">
        <f ca="1">IFERROR(__xludf.DUMMYFUNCTION("""COMPUTED_VALUE"""),95746)</f>
        <v>95746</v>
      </c>
      <c r="B1722" s="4">
        <f ca="1">IFERROR(__xludf.DUMMYFUNCTION("""COMPUTED_VALUE"""),44672)</f>
        <v>44672</v>
      </c>
      <c r="C1722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2" t="str">
        <f ca="1">IFERROR(__xludf.DUMMYFUNCTION("""COMPUTED_VALUE"""),"Новый")</f>
        <v>Новый</v>
      </c>
      <c r="G1722" s="68"/>
      <c r="K1722" s="68"/>
    </row>
    <row r="1723" spans="1:11" ht="12.75">
      <c r="A1723" s="69">
        <f ca="1">IFERROR(__xludf.DUMMYFUNCTION("""COMPUTED_VALUE"""),95747)</f>
        <v>95747</v>
      </c>
      <c r="B1723" s="4">
        <f ca="1">IFERROR(__xludf.DUMMYFUNCTION("""COMPUTED_VALUE"""),44672)</f>
        <v>44672</v>
      </c>
      <c r="C1723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3" t="str">
        <f ca="1">IFERROR(__xludf.DUMMYFUNCTION("""COMPUTED_VALUE"""),"Новый")</f>
        <v>Новый</v>
      </c>
      <c r="G1723" s="68"/>
      <c r="K1723" s="68"/>
    </row>
    <row r="1724" spans="1:11" ht="12.75">
      <c r="A1724" s="69">
        <f ca="1">IFERROR(__xludf.DUMMYFUNCTION("""COMPUTED_VALUE"""),95748)</f>
        <v>95748</v>
      </c>
      <c r="B1724" s="4">
        <f ca="1">IFERROR(__xludf.DUMMYFUNCTION("""COMPUTED_VALUE"""),44672)</f>
        <v>44672</v>
      </c>
      <c r="C1724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4" t="str">
        <f ca="1">IFERROR(__xludf.DUMMYFUNCTION("""COMPUTED_VALUE"""),"Новый")</f>
        <v>Новый</v>
      </c>
      <c r="G1724" s="68"/>
      <c r="K1724" s="68"/>
    </row>
    <row r="1725" spans="1:11" ht="12.75">
      <c r="A1725" s="69">
        <f ca="1">IFERROR(__xludf.DUMMYFUNCTION("""COMPUTED_VALUE"""),95749)</f>
        <v>95749</v>
      </c>
      <c r="B1725" s="4">
        <f ca="1">IFERROR(__xludf.DUMMYFUNCTION("""COMPUTED_VALUE"""),44672)</f>
        <v>44672</v>
      </c>
      <c r="C1725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5" t="str">
        <f ca="1">IFERROR(__xludf.DUMMYFUNCTION("""COMPUTED_VALUE"""),"Новый")</f>
        <v>Новый</v>
      </c>
      <c r="G1725" s="68"/>
      <c r="K1725" s="68"/>
    </row>
    <row r="1726" spans="1:11" ht="12.75">
      <c r="A1726" s="69">
        <f ca="1">IFERROR(__xludf.DUMMYFUNCTION("""COMPUTED_VALUE"""),95750)</f>
        <v>95750</v>
      </c>
      <c r="B1726" s="4">
        <f ca="1">IFERROR(__xludf.DUMMYFUNCTION("""COMPUTED_VALUE"""),44672)</f>
        <v>44672</v>
      </c>
      <c r="C1726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6" t="str">
        <f ca="1">IFERROR(__xludf.DUMMYFUNCTION("""COMPUTED_VALUE"""),"Новый")</f>
        <v>Новый</v>
      </c>
      <c r="G1726" s="68"/>
      <c r="K1726" s="68"/>
    </row>
    <row r="1727" spans="1:11" ht="12.75">
      <c r="A1727" s="69">
        <f ca="1">IFERROR(__xludf.DUMMYFUNCTION("""COMPUTED_VALUE"""),95751)</f>
        <v>95751</v>
      </c>
      <c r="B1727" s="4">
        <f ca="1">IFERROR(__xludf.DUMMYFUNCTION("""COMPUTED_VALUE"""),44672)</f>
        <v>44672</v>
      </c>
      <c r="C1727" t="str">
        <f ca="1">IFERROR(__xludf.DUMMYFUNCTION("""COMPUTED_VALUE"""),"ИП Лохмачев Александр Сергеевич 164-РДО от 21.04.2022")</f>
        <v>ИП Лохмачев Александр Сергеевич 164-РДО от 21.04.2022</v>
      </c>
      <c r="D17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7" t="str">
        <f ca="1">IFERROR(__xludf.DUMMYFUNCTION("""COMPUTED_VALUE"""),"Новый")</f>
        <v>Новый</v>
      </c>
      <c r="G1727" s="68"/>
      <c r="K1727" s="68"/>
    </row>
    <row r="1728" spans="1:11" ht="12.75">
      <c r="A1728" s="69">
        <f ca="1">IFERROR(__xludf.DUMMYFUNCTION("""COMPUTED_VALUE"""),95758)</f>
        <v>95758</v>
      </c>
      <c r="B1728" s="4">
        <f ca="1">IFERROR(__xludf.DUMMYFUNCTION("""COMPUTED_VALUE"""),44673)</f>
        <v>44673</v>
      </c>
      <c r="C1728" t="str">
        <f ca="1">IFERROR(__xludf.DUMMYFUNCTION("""COMPUTED_VALUE"""),"ООО ""ТРУД"" 161-РДО ")</f>
        <v xml:space="preserve">ООО "ТРУД" 161-РДО </v>
      </c>
      <c r="D17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8" t="str">
        <f ca="1">IFERROR(__xludf.DUMMYFUNCTION("""COMPUTED_VALUE"""),"Новый")</f>
        <v>Новый</v>
      </c>
      <c r="G1728" s="68"/>
      <c r="K1728" s="68"/>
    </row>
    <row r="1729" spans="1:11" ht="12.75">
      <c r="A1729" s="69">
        <f ca="1">IFERROR(__xludf.DUMMYFUNCTION("""COMPUTED_VALUE"""),95792)</f>
        <v>95792</v>
      </c>
      <c r="B1729" s="4">
        <f ca="1">IFERROR(__xludf.DUMMYFUNCTION("""COMPUTED_VALUE"""),44677)</f>
        <v>44677</v>
      </c>
      <c r="C1729" t="str">
        <f ca="1">IFERROR(__xludf.DUMMYFUNCTION("""COMPUTED_VALUE"""),"ООО ""УК ЖИЛИЩНИК 3"" 148-РДО от 13.04.2022")</f>
        <v>ООО "УК ЖИЛИЩНИК 3" 148-РДО от 13.04.2022</v>
      </c>
      <c r="D17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29" t="str">
        <f ca="1">IFERROR(__xludf.DUMMYFUNCTION("""COMPUTED_VALUE"""),"Новый")</f>
        <v>Новый</v>
      </c>
      <c r="G1729" s="68"/>
      <c r="K1729" s="68"/>
    </row>
    <row r="1730" spans="1:11" ht="12.75">
      <c r="A1730" s="69">
        <f ca="1">IFERROR(__xludf.DUMMYFUNCTION("""COMPUTED_VALUE"""),95793)</f>
        <v>95793</v>
      </c>
      <c r="B1730" s="4">
        <f ca="1">IFERROR(__xludf.DUMMYFUNCTION("""COMPUTED_VALUE"""),44677)</f>
        <v>44677</v>
      </c>
      <c r="C1730" t="str">
        <f ca="1">IFERROR(__xludf.DUMMYFUNCTION("""COMPUTED_VALUE"""),"ООО ""УК ЖИЛИЩНИК 3"" 148-РДО от 13.04.2022")</f>
        <v>ООО "УК ЖИЛИЩНИК 3" 148-РДО от 13.04.2022</v>
      </c>
      <c r="D17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0" t="str">
        <f ca="1">IFERROR(__xludf.DUMMYFUNCTION("""COMPUTED_VALUE"""),"Новый")</f>
        <v>Новый</v>
      </c>
      <c r="G1730" s="68"/>
      <c r="K1730" s="68"/>
    </row>
    <row r="1731" spans="1:11" ht="12.75">
      <c r="A1731" s="69">
        <f ca="1">IFERROR(__xludf.DUMMYFUNCTION("""COMPUTED_VALUE"""),95794)</f>
        <v>95794</v>
      </c>
      <c r="B1731" s="4">
        <f ca="1">IFERROR(__xludf.DUMMYFUNCTION("""COMPUTED_VALUE"""),44677)</f>
        <v>44677</v>
      </c>
      <c r="C1731" t="str">
        <f ca="1">IFERROR(__xludf.DUMMYFUNCTION("""COMPUTED_VALUE"""),"ООО ""УК ЖИЛИЩНИК 3"" 148-РДО от 13.04.2022")</f>
        <v>ООО "УК ЖИЛИЩНИК 3" 148-РДО от 13.04.2022</v>
      </c>
      <c r="D17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1" t="str">
        <f ca="1">IFERROR(__xludf.DUMMYFUNCTION("""COMPUTED_VALUE"""),"Новый")</f>
        <v>Новый</v>
      </c>
      <c r="G1731" s="68"/>
      <c r="K1731" s="68"/>
    </row>
    <row r="1732" spans="1:11" ht="12.75">
      <c r="A1732" s="69">
        <f ca="1">IFERROR(__xludf.DUMMYFUNCTION("""COMPUTED_VALUE"""),95795)</f>
        <v>95795</v>
      </c>
      <c r="B1732" s="4">
        <f ca="1">IFERROR(__xludf.DUMMYFUNCTION("""COMPUTED_VALUE"""),44677)</f>
        <v>44677</v>
      </c>
      <c r="C1732" t="str">
        <f ca="1">IFERROR(__xludf.DUMMYFUNCTION("""COMPUTED_VALUE"""),"ООО ""УК ЖИЛИЩНИК 3"" 148-РДО от 13.04.2022")</f>
        <v>ООО "УК ЖИЛИЩНИК 3" 148-РДО от 13.04.2022</v>
      </c>
      <c r="D17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2" t="str">
        <f ca="1">IFERROR(__xludf.DUMMYFUNCTION("""COMPUTED_VALUE"""),"Новый")</f>
        <v>Новый</v>
      </c>
      <c r="G1732" s="68"/>
      <c r="K1732" s="68"/>
    </row>
    <row r="1733" spans="1:11" ht="12.75">
      <c r="A1733" s="69">
        <f ca="1">IFERROR(__xludf.DUMMYFUNCTION("""COMPUTED_VALUE"""),95796)</f>
        <v>95796</v>
      </c>
      <c r="B1733" s="4">
        <f ca="1">IFERROR(__xludf.DUMMYFUNCTION("""COMPUTED_VALUE"""),44677)</f>
        <v>44677</v>
      </c>
      <c r="C1733" t="str">
        <f ca="1">IFERROR(__xludf.DUMMYFUNCTION("""COMPUTED_VALUE"""),"ООО ""УК ЖИЛИЩНИК 3"" 148-РДО от 13.04.2022")</f>
        <v>ООО "УК ЖИЛИЩНИК 3" 148-РДО от 13.04.2022</v>
      </c>
      <c r="D17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3" t="str">
        <f ca="1">IFERROR(__xludf.DUMMYFUNCTION("""COMPUTED_VALUE"""),"Новый")</f>
        <v>Новый</v>
      </c>
      <c r="G1733" s="68"/>
      <c r="K1733" s="68"/>
    </row>
    <row r="1734" spans="1:11" ht="12.75">
      <c r="A1734" s="69">
        <f ca="1">IFERROR(__xludf.DUMMYFUNCTION("""COMPUTED_VALUE"""),95797)</f>
        <v>95797</v>
      </c>
      <c r="B1734" s="4">
        <f ca="1">IFERROR(__xludf.DUMMYFUNCTION("""COMPUTED_VALUE"""),44677)</f>
        <v>44677</v>
      </c>
      <c r="C1734" t="str">
        <f ca="1">IFERROR(__xludf.DUMMYFUNCTION("""COMPUTED_VALUE"""),"ООО ""УК ЖИЛИЩНИК 3"" 148-РДО от 13.04.2022")</f>
        <v>ООО "УК ЖИЛИЩНИК 3" 148-РДО от 13.04.2022</v>
      </c>
      <c r="D17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4" t="str">
        <f ca="1">IFERROR(__xludf.DUMMYFUNCTION("""COMPUTED_VALUE"""),"Новый")</f>
        <v>Новый</v>
      </c>
      <c r="G1734" s="68"/>
      <c r="K1734" s="68"/>
    </row>
    <row r="1735" spans="1:11" ht="12.75">
      <c r="A1735" s="69">
        <f ca="1">IFERROR(__xludf.DUMMYFUNCTION("""COMPUTED_VALUE"""),95798)</f>
        <v>95798</v>
      </c>
      <c r="B1735" s="4">
        <f ca="1">IFERROR(__xludf.DUMMYFUNCTION("""COMPUTED_VALUE"""),44677)</f>
        <v>44677</v>
      </c>
      <c r="C1735" t="str">
        <f ca="1">IFERROR(__xludf.DUMMYFUNCTION("""COMPUTED_VALUE"""),"ООО ""УК ЖИЛИЩНИК 3"" 148-РДО от 13.04.2022")</f>
        <v>ООО "УК ЖИЛИЩНИК 3" 148-РДО от 13.04.2022</v>
      </c>
      <c r="D17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5" t="str">
        <f ca="1">IFERROR(__xludf.DUMMYFUNCTION("""COMPUTED_VALUE"""),"Новый")</f>
        <v>Новый</v>
      </c>
      <c r="G1735" s="68"/>
      <c r="K1735" s="68"/>
    </row>
    <row r="1736" spans="1:11" ht="12.75">
      <c r="A1736" s="69">
        <f ca="1">IFERROR(__xludf.DUMMYFUNCTION("""COMPUTED_VALUE"""),95799)</f>
        <v>95799</v>
      </c>
      <c r="B1736" s="4">
        <f ca="1">IFERROR(__xludf.DUMMYFUNCTION("""COMPUTED_VALUE"""),44677)</f>
        <v>44677</v>
      </c>
      <c r="C1736" t="str">
        <f ca="1">IFERROR(__xludf.DUMMYFUNCTION("""COMPUTED_VALUE"""),"ООО ""УК ЖИЛИЩНИК 3"" 148-РДО от 13.04.2022")</f>
        <v>ООО "УК ЖИЛИЩНИК 3" 148-РДО от 13.04.2022</v>
      </c>
      <c r="D17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6" t="str">
        <f ca="1">IFERROR(__xludf.DUMMYFUNCTION("""COMPUTED_VALUE"""),"Новый")</f>
        <v>Новый</v>
      </c>
      <c r="G1736" s="68"/>
      <c r="K1736" s="68"/>
    </row>
    <row r="1737" spans="1:11" ht="12.75">
      <c r="A1737" s="69">
        <f ca="1">IFERROR(__xludf.DUMMYFUNCTION("""COMPUTED_VALUE"""),95800)</f>
        <v>95800</v>
      </c>
      <c r="B1737" s="4">
        <f ca="1">IFERROR(__xludf.DUMMYFUNCTION("""COMPUTED_VALUE"""),44677)</f>
        <v>44677</v>
      </c>
      <c r="C1737" t="str">
        <f ca="1">IFERROR(__xludf.DUMMYFUNCTION("""COMPUTED_VALUE"""),"ООО ""УК ЖИЛИЩНИК 3"" 148-РДО от 13.04.2022")</f>
        <v>ООО "УК ЖИЛИЩНИК 3" 148-РДО от 13.04.2022</v>
      </c>
      <c r="D17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7" t="str">
        <f ca="1">IFERROR(__xludf.DUMMYFUNCTION("""COMPUTED_VALUE"""),"Новый")</f>
        <v>Новый</v>
      </c>
      <c r="G1737" s="68"/>
      <c r="K1737" s="68"/>
    </row>
    <row r="1738" spans="1:11" ht="12.75">
      <c r="A1738" s="69">
        <f ca="1">IFERROR(__xludf.DUMMYFUNCTION("""COMPUTED_VALUE"""),95801)</f>
        <v>95801</v>
      </c>
      <c r="B1738" s="4">
        <f ca="1">IFERROR(__xludf.DUMMYFUNCTION("""COMPUTED_VALUE"""),44677)</f>
        <v>44677</v>
      </c>
      <c r="C1738" t="str">
        <f ca="1">IFERROR(__xludf.DUMMYFUNCTION("""COMPUTED_VALUE"""),"ООО ""УК ЖИЛИЩНИК 3"" 148-РДО от 13.04.2022")</f>
        <v>ООО "УК ЖИЛИЩНИК 3" 148-РДО от 13.04.2022</v>
      </c>
      <c r="D17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8" t="str">
        <f ca="1">IFERROR(__xludf.DUMMYFUNCTION("""COMPUTED_VALUE"""),"Новый")</f>
        <v>Новый</v>
      </c>
      <c r="G1738" s="68"/>
      <c r="K1738" s="68"/>
    </row>
    <row r="1739" spans="1:11" ht="12.75">
      <c r="A1739" s="69">
        <f ca="1">IFERROR(__xludf.DUMMYFUNCTION("""COMPUTED_VALUE"""),95802)</f>
        <v>95802</v>
      </c>
      <c r="B1739" s="4">
        <f ca="1">IFERROR(__xludf.DUMMYFUNCTION("""COMPUTED_VALUE"""),44677)</f>
        <v>44677</v>
      </c>
      <c r="C1739" t="str">
        <f ca="1">IFERROR(__xludf.DUMMYFUNCTION("""COMPUTED_VALUE"""),"ООО ""УК ЖИЛИЩНИК 3"" 148-РДО от 13.04.2022")</f>
        <v>ООО "УК ЖИЛИЩНИК 3" 148-РДО от 13.04.2022</v>
      </c>
      <c r="D17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39" t="str">
        <f ca="1">IFERROR(__xludf.DUMMYFUNCTION("""COMPUTED_VALUE"""),"Новый")</f>
        <v>Новый</v>
      </c>
      <c r="G1739" s="68"/>
      <c r="K1739" s="68"/>
    </row>
    <row r="1740" spans="1:11" ht="12.75">
      <c r="A1740" s="69">
        <f ca="1">IFERROR(__xludf.DUMMYFUNCTION("""COMPUTED_VALUE"""),95803)</f>
        <v>95803</v>
      </c>
      <c r="B1740" s="4">
        <f ca="1">IFERROR(__xludf.DUMMYFUNCTION("""COMPUTED_VALUE"""),44677)</f>
        <v>44677</v>
      </c>
      <c r="C1740" t="str">
        <f ca="1">IFERROR(__xludf.DUMMYFUNCTION("""COMPUTED_VALUE"""),"ООО ""УК ЖИЛИЩНИК 3"" 148-РДО от 13.04.2022")</f>
        <v>ООО "УК ЖИЛИЩНИК 3" 148-РДО от 13.04.2022</v>
      </c>
      <c r="D17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0" t="str">
        <f ca="1">IFERROR(__xludf.DUMMYFUNCTION("""COMPUTED_VALUE"""),"Новый")</f>
        <v>Новый</v>
      </c>
      <c r="G1740" s="68"/>
      <c r="K1740" s="68"/>
    </row>
    <row r="1741" spans="1:11" ht="12.75">
      <c r="A1741" s="69">
        <f ca="1">IFERROR(__xludf.DUMMYFUNCTION("""COMPUTED_VALUE"""),95804)</f>
        <v>95804</v>
      </c>
      <c r="B1741" s="4">
        <f ca="1">IFERROR(__xludf.DUMMYFUNCTION("""COMPUTED_VALUE"""),44677)</f>
        <v>44677</v>
      </c>
      <c r="C1741" t="str">
        <f ca="1">IFERROR(__xludf.DUMMYFUNCTION("""COMPUTED_VALUE"""),"ООО ""УК ЖИЛИЩНИК 3"" 148-РДО от 13.04.2022")</f>
        <v>ООО "УК ЖИЛИЩНИК 3" 148-РДО от 13.04.2022</v>
      </c>
      <c r="D17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1" t="str">
        <f ca="1">IFERROR(__xludf.DUMMYFUNCTION("""COMPUTED_VALUE"""),"Новый")</f>
        <v>Новый</v>
      </c>
      <c r="G1741" s="68"/>
      <c r="K1741" s="68"/>
    </row>
    <row r="1742" spans="1:11" ht="12.75">
      <c r="A1742" s="69">
        <f ca="1">IFERROR(__xludf.DUMMYFUNCTION("""COMPUTED_VALUE"""),95805)</f>
        <v>95805</v>
      </c>
      <c r="B1742" s="4">
        <f ca="1">IFERROR(__xludf.DUMMYFUNCTION("""COMPUTED_VALUE"""),44677)</f>
        <v>44677</v>
      </c>
      <c r="C1742" t="str">
        <f ca="1">IFERROR(__xludf.DUMMYFUNCTION("""COMPUTED_VALUE"""),"ООО ""УК ЖИЛИЩНИК 3"" 148-РДО от 13.04.2022")</f>
        <v>ООО "УК ЖИЛИЩНИК 3" 148-РДО от 13.04.2022</v>
      </c>
      <c r="D17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2" t="str">
        <f ca="1">IFERROR(__xludf.DUMMYFUNCTION("""COMPUTED_VALUE"""),"Новый")</f>
        <v>Новый</v>
      </c>
      <c r="G1742" s="68"/>
      <c r="K1742" s="68"/>
    </row>
    <row r="1743" spans="1:11" ht="12.75">
      <c r="A1743" s="69">
        <f ca="1">IFERROR(__xludf.DUMMYFUNCTION("""COMPUTED_VALUE"""),95806)</f>
        <v>95806</v>
      </c>
      <c r="B1743" s="4">
        <f ca="1">IFERROR(__xludf.DUMMYFUNCTION("""COMPUTED_VALUE"""),44677)</f>
        <v>44677</v>
      </c>
      <c r="C1743" t="str">
        <f ca="1">IFERROR(__xludf.DUMMYFUNCTION("""COMPUTED_VALUE"""),"ООО ""УК ЖИЛИЩНИК 3"" 148-РДО от 13.04.2022")</f>
        <v>ООО "УК ЖИЛИЩНИК 3" 148-РДО от 13.04.2022</v>
      </c>
      <c r="D17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3" t="str">
        <f ca="1">IFERROR(__xludf.DUMMYFUNCTION("""COMPUTED_VALUE"""),"Новый")</f>
        <v>Новый</v>
      </c>
      <c r="G1743" s="68"/>
      <c r="K1743" s="68"/>
    </row>
    <row r="1744" spans="1:11" ht="12.75">
      <c r="A1744" s="69">
        <f ca="1">IFERROR(__xludf.DUMMYFUNCTION("""COMPUTED_VALUE"""),95807)</f>
        <v>95807</v>
      </c>
      <c r="B1744" s="4">
        <f ca="1">IFERROR(__xludf.DUMMYFUNCTION("""COMPUTED_VALUE"""),44677)</f>
        <v>44677</v>
      </c>
      <c r="C1744" t="str">
        <f ca="1">IFERROR(__xludf.DUMMYFUNCTION("""COMPUTED_VALUE"""),"ООО ""УК ЖИЛИЩНИК 3"" 148-РДО от 13.04.2022")</f>
        <v>ООО "УК ЖИЛИЩНИК 3" 148-РДО от 13.04.2022</v>
      </c>
      <c r="D17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4" t="str">
        <f ca="1">IFERROR(__xludf.DUMMYFUNCTION("""COMPUTED_VALUE"""),"Новый")</f>
        <v>Новый</v>
      </c>
      <c r="G1744" s="68"/>
      <c r="K1744" s="68"/>
    </row>
    <row r="1745" spans="1:11" ht="12.75">
      <c r="A1745" s="69">
        <f ca="1">IFERROR(__xludf.DUMMYFUNCTION("""COMPUTED_VALUE"""),95808)</f>
        <v>95808</v>
      </c>
      <c r="B1745" s="4">
        <f ca="1">IFERROR(__xludf.DUMMYFUNCTION("""COMPUTED_VALUE"""),44677)</f>
        <v>44677</v>
      </c>
      <c r="C1745" t="str">
        <f ca="1">IFERROR(__xludf.DUMMYFUNCTION("""COMPUTED_VALUE"""),"ООО ""УК ЖИЛИЩНИК 3"" 148-РДО от 13.04.2022")</f>
        <v>ООО "УК ЖИЛИЩНИК 3" 148-РДО от 13.04.2022</v>
      </c>
      <c r="D17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5" t="str">
        <f ca="1">IFERROR(__xludf.DUMMYFUNCTION("""COMPUTED_VALUE"""),"Новый")</f>
        <v>Новый</v>
      </c>
      <c r="G1745" s="68"/>
      <c r="K1745" s="68"/>
    </row>
    <row r="1746" spans="1:11" ht="12.75">
      <c r="A1746" s="69">
        <f ca="1">IFERROR(__xludf.DUMMYFUNCTION("""COMPUTED_VALUE"""),95809)</f>
        <v>95809</v>
      </c>
      <c r="B1746" s="4">
        <f ca="1">IFERROR(__xludf.DUMMYFUNCTION("""COMPUTED_VALUE"""),44677)</f>
        <v>44677</v>
      </c>
      <c r="C1746" t="str">
        <f ca="1">IFERROR(__xludf.DUMMYFUNCTION("""COMPUTED_VALUE"""),"ООО ""УК ЖИЛИЩНИК 3"" 148-РДО от 13.04.2022")</f>
        <v>ООО "УК ЖИЛИЩНИК 3" 148-РДО от 13.04.2022</v>
      </c>
      <c r="D17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6" t="str">
        <f ca="1">IFERROR(__xludf.DUMMYFUNCTION("""COMPUTED_VALUE"""),"Новый")</f>
        <v>Новый</v>
      </c>
      <c r="G1746" s="68"/>
      <c r="K1746" s="68"/>
    </row>
    <row r="1747" spans="1:11" ht="12.75">
      <c r="A1747" s="69">
        <f ca="1">IFERROR(__xludf.DUMMYFUNCTION("""COMPUTED_VALUE"""),95810)</f>
        <v>95810</v>
      </c>
      <c r="B1747" s="4">
        <f ca="1">IFERROR(__xludf.DUMMYFUNCTION("""COMPUTED_VALUE"""),44677)</f>
        <v>44677</v>
      </c>
      <c r="C1747" t="str">
        <f ca="1">IFERROR(__xludf.DUMMYFUNCTION("""COMPUTED_VALUE"""),"ООО ""УК ЖИЛИЩНИК 3"" 148-РДО от 13.04.2022")</f>
        <v>ООО "УК ЖИЛИЩНИК 3" 148-РДО от 13.04.2022</v>
      </c>
      <c r="D17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7" t="str">
        <f ca="1">IFERROR(__xludf.DUMMYFUNCTION("""COMPUTED_VALUE"""),"Новый")</f>
        <v>Новый</v>
      </c>
      <c r="G1747" s="68"/>
      <c r="K1747" s="68"/>
    </row>
    <row r="1748" spans="1:11" ht="12.75">
      <c r="A1748" s="69">
        <f ca="1">IFERROR(__xludf.DUMMYFUNCTION("""COMPUTED_VALUE"""),95932)</f>
        <v>95932</v>
      </c>
      <c r="B1748" s="4">
        <f ca="1">IFERROR(__xludf.DUMMYFUNCTION("""COMPUTED_VALUE"""),44678)</f>
        <v>44678</v>
      </c>
      <c r="C1748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8" t="str">
        <f ca="1">IFERROR(__xludf.DUMMYFUNCTION("""COMPUTED_VALUE"""),"Новый")</f>
        <v>Новый</v>
      </c>
      <c r="G1748" s="68"/>
      <c r="K1748" s="68"/>
    </row>
    <row r="1749" spans="1:11" ht="12.75">
      <c r="A1749" s="69">
        <f ca="1">IFERROR(__xludf.DUMMYFUNCTION("""COMPUTED_VALUE"""),95933)</f>
        <v>95933</v>
      </c>
      <c r="B1749" s="4">
        <f ca="1">IFERROR(__xludf.DUMMYFUNCTION("""COMPUTED_VALUE"""),44678)</f>
        <v>44678</v>
      </c>
      <c r="C1749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49" t="str">
        <f ca="1">IFERROR(__xludf.DUMMYFUNCTION("""COMPUTED_VALUE"""),"Новый")</f>
        <v>Новый</v>
      </c>
      <c r="G1749" s="68"/>
      <c r="K1749" s="68"/>
    </row>
    <row r="1750" spans="1:11" ht="12.75">
      <c r="A1750" s="69">
        <f ca="1">IFERROR(__xludf.DUMMYFUNCTION("""COMPUTED_VALUE"""),95934)</f>
        <v>95934</v>
      </c>
      <c r="B1750" s="4">
        <f ca="1">IFERROR(__xludf.DUMMYFUNCTION("""COMPUTED_VALUE"""),44678)</f>
        <v>44678</v>
      </c>
      <c r="C1750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0" t="str">
        <f ca="1">IFERROR(__xludf.DUMMYFUNCTION("""COMPUTED_VALUE"""),"Новый")</f>
        <v>Новый</v>
      </c>
      <c r="G1750" s="68"/>
      <c r="K1750" s="68"/>
    </row>
    <row r="1751" spans="1:11" ht="12.75">
      <c r="A1751" s="69">
        <f ca="1">IFERROR(__xludf.DUMMYFUNCTION("""COMPUTED_VALUE"""),95935)</f>
        <v>95935</v>
      </c>
      <c r="B1751" s="4">
        <f ca="1">IFERROR(__xludf.DUMMYFUNCTION("""COMPUTED_VALUE"""),44678)</f>
        <v>44678</v>
      </c>
      <c r="C1751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1" t="str">
        <f ca="1">IFERROR(__xludf.DUMMYFUNCTION("""COMPUTED_VALUE"""),"Новый")</f>
        <v>Новый</v>
      </c>
      <c r="G1751" s="68"/>
      <c r="K1751" s="68"/>
    </row>
    <row r="1752" spans="1:11" ht="12.75">
      <c r="A1752" s="69">
        <f ca="1">IFERROR(__xludf.DUMMYFUNCTION("""COMPUTED_VALUE"""),95936)</f>
        <v>95936</v>
      </c>
      <c r="B1752" s="4">
        <f ca="1">IFERROR(__xludf.DUMMYFUNCTION("""COMPUTED_VALUE"""),44678)</f>
        <v>44678</v>
      </c>
      <c r="C1752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2" t="str">
        <f ca="1">IFERROR(__xludf.DUMMYFUNCTION("""COMPUTED_VALUE"""),"Новый")</f>
        <v>Новый</v>
      </c>
      <c r="G1752" s="68"/>
      <c r="K1752" s="68"/>
    </row>
    <row r="1753" spans="1:11" ht="12.75">
      <c r="A1753" s="69">
        <f ca="1">IFERROR(__xludf.DUMMYFUNCTION("""COMPUTED_VALUE"""),95937)</f>
        <v>95937</v>
      </c>
      <c r="B1753" s="4">
        <f ca="1">IFERROR(__xludf.DUMMYFUNCTION("""COMPUTED_VALUE"""),44678)</f>
        <v>44678</v>
      </c>
      <c r="C1753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3" t="str">
        <f ca="1">IFERROR(__xludf.DUMMYFUNCTION("""COMPUTED_VALUE"""),"Новый")</f>
        <v>Новый</v>
      </c>
      <c r="G1753" s="68"/>
      <c r="K1753" s="68"/>
    </row>
    <row r="1754" spans="1:11" ht="12.75">
      <c r="A1754" s="69">
        <f ca="1">IFERROR(__xludf.DUMMYFUNCTION("""COMPUTED_VALUE"""),95938)</f>
        <v>95938</v>
      </c>
      <c r="B1754" s="4">
        <f ca="1">IFERROR(__xludf.DUMMYFUNCTION("""COMPUTED_VALUE"""),44678)</f>
        <v>44678</v>
      </c>
      <c r="C1754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4" t="str">
        <f ca="1">IFERROR(__xludf.DUMMYFUNCTION("""COMPUTED_VALUE"""),"Новый")</f>
        <v>Новый</v>
      </c>
      <c r="G1754" s="68"/>
      <c r="K1754" s="68"/>
    </row>
    <row r="1755" spans="1:11" ht="12.75">
      <c r="A1755" s="69">
        <f ca="1">IFERROR(__xludf.DUMMYFUNCTION("""COMPUTED_VALUE"""),95939)</f>
        <v>95939</v>
      </c>
      <c r="B1755" s="4">
        <f ca="1">IFERROR(__xludf.DUMMYFUNCTION("""COMPUTED_VALUE"""),44678)</f>
        <v>44678</v>
      </c>
      <c r="C1755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5" t="str">
        <f ca="1">IFERROR(__xludf.DUMMYFUNCTION("""COMPUTED_VALUE"""),"Новый")</f>
        <v>Новый</v>
      </c>
      <c r="G1755" s="68"/>
      <c r="K1755" s="68"/>
    </row>
    <row r="1756" spans="1:11" ht="12.75">
      <c r="A1756" s="69">
        <f ca="1">IFERROR(__xludf.DUMMYFUNCTION("""COMPUTED_VALUE"""),95940)</f>
        <v>95940</v>
      </c>
      <c r="B1756" s="4">
        <f ca="1">IFERROR(__xludf.DUMMYFUNCTION("""COMPUTED_VALUE"""),44678)</f>
        <v>44678</v>
      </c>
      <c r="C1756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6" t="str">
        <f ca="1">IFERROR(__xludf.DUMMYFUNCTION("""COMPUTED_VALUE"""),"Новый")</f>
        <v>Новый</v>
      </c>
      <c r="G1756" s="68"/>
      <c r="K1756" s="68"/>
    </row>
    <row r="1757" spans="1:11" ht="12.75">
      <c r="A1757" s="69">
        <f ca="1">IFERROR(__xludf.DUMMYFUNCTION("""COMPUTED_VALUE"""),95941)</f>
        <v>95941</v>
      </c>
      <c r="B1757" s="4">
        <f ca="1">IFERROR(__xludf.DUMMYFUNCTION("""COMPUTED_VALUE"""),44678)</f>
        <v>44678</v>
      </c>
      <c r="C1757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7" t="str">
        <f ca="1">IFERROR(__xludf.DUMMYFUNCTION("""COMPUTED_VALUE"""),"Новый")</f>
        <v>Новый</v>
      </c>
      <c r="G1757" s="68"/>
      <c r="K1757" s="68"/>
    </row>
    <row r="1758" spans="1:11" ht="12.75">
      <c r="A1758" s="69">
        <f ca="1">IFERROR(__xludf.DUMMYFUNCTION("""COMPUTED_VALUE"""),95942)</f>
        <v>95942</v>
      </c>
      <c r="B1758" s="4">
        <f ca="1">IFERROR(__xludf.DUMMYFUNCTION("""COMPUTED_VALUE"""),44678)</f>
        <v>44678</v>
      </c>
      <c r="C1758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8" t="str">
        <f ca="1">IFERROR(__xludf.DUMMYFUNCTION("""COMPUTED_VALUE"""),"Новый")</f>
        <v>Новый</v>
      </c>
      <c r="G1758" s="68"/>
      <c r="K1758" s="68"/>
    </row>
    <row r="1759" spans="1:11" ht="12.75">
      <c r="A1759" s="69">
        <f ca="1">IFERROR(__xludf.DUMMYFUNCTION("""COMPUTED_VALUE"""),95943)</f>
        <v>95943</v>
      </c>
      <c r="B1759" s="4">
        <f ca="1">IFERROR(__xludf.DUMMYFUNCTION("""COMPUTED_VALUE"""),44678)</f>
        <v>44678</v>
      </c>
      <c r="C1759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59" t="str">
        <f ca="1">IFERROR(__xludf.DUMMYFUNCTION("""COMPUTED_VALUE"""),"Новый")</f>
        <v>Новый</v>
      </c>
      <c r="G1759" s="68"/>
      <c r="K1759" s="68"/>
    </row>
    <row r="1760" spans="1:11" ht="12.75">
      <c r="A1760" s="69">
        <f ca="1">IFERROR(__xludf.DUMMYFUNCTION("""COMPUTED_VALUE"""),95944)</f>
        <v>95944</v>
      </c>
      <c r="B1760" s="4">
        <f ca="1">IFERROR(__xludf.DUMMYFUNCTION("""COMPUTED_VALUE"""),44678)</f>
        <v>44678</v>
      </c>
      <c r="C1760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0" t="str">
        <f ca="1">IFERROR(__xludf.DUMMYFUNCTION("""COMPUTED_VALUE"""),"Новый")</f>
        <v>Новый</v>
      </c>
      <c r="G1760" s="68"/>
      <c r="K1760" s="68"/>
    </row>
    <row r="1761" spans="1:11" ht="12.75">
      <c r="A1761" s="69">
        <f ca="1">IFERROR(__xludf.DUMMYFUNCTION("""COMPUTED_VALUE"""),95945)</f>
        <v>95945</v>
      </c>
      <c r="B1761" s="4">
        <f ca="1">IFERROR(__xludf.DUMMYFUNCTION("""COMPUTED_VALUE"""),44678)</f>
        <v>44678</v>
      </c>
      <c r="C1761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1" t="str">
        <f ca="1">IFERROR(__xludf.DUMMYFUNCTION("""COMPUTED_VALUE"""),"Новый")</f>
        <v>Новый</v>
      </c>
      <c r="G1761" s="68"/>
      <c r="K1761" s="68"/>
    </row>
    <row r="1762" spans="1:11" ht="12.75">
      <c r="A1762" s="69">
        <f ca="1">IFERROR(__xludf.DUMMYFUNCTION("""COMPUTED_VALUE"""),95946)</f>
        <v>95946</v>
      </c>
      <c r="B1762" s="4">
        <f ca="1">IFERROR(__xludf.DUMMYFUNCTION("""COMPUTED_VALUE"""),44678)</f>
        <v>44678</v>
      </c>
      <c r="C1762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2" t="str">
        <f ca="1">IFERROR(__xludf.DUMMYFUNCTION("""COMPUTED_VALUE"""),"Новый")</f>
        <v>Новый</v>
      </c>
      <c r="G1762" s="68"/>
      <c r="K1762" s="68"/>
    </row>
    <row r="1763" spans="1:11" ht="12.75">
      <c r="A1763" s="69">
        <f ca="1">IFERROR(__xludf.DUMMYFUNCTION("""COMPUTED_VALUE"""),95947)</f>
        <v>95947</v>
      </c>
      <c r="B1763" s="4">
        <f ca="1">IFERROR(__xludf.DUMMYFUNCTION("""COMPUTED_VALUE"""),44678)</f>
        <v>44678</v>
      </c>
      <c r="C1763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3" t="str">
        <f ca="1">IFERROR(__xludf.DUMMYFUNCTION("""COMPUTED_VALUE"""),"Новый")</f>
        <v>Новый</v>
      </c>
      <c r="G1763" s="68"/>
      <c r="K1763" s="68"/>
    </row>
    <row r="1764" spans="1:11" ht="12.75">
      <c r="A1764" s="69">
        <f ca="1">IFERROR(__xludf.DUMMYFUNCTION("""COMPUTED_VALUE"""),95949)</f>
        <v>95949</v>
      </c>
      <c r="B1764" s="4">
        <f ca="1">IFERROR(__xludf.DUMMYFUNCTION("""COMPUTED_VALUE"""),44678)</f>
        <v>44678</v>
      </c>
      <c r="C1764" t="str">
        <f ca="1">IFERROR(__xludf.DUMMYFUNCTION("""COMPUTED_VALUE"""),"ИП Третьякова Ирина Львовна 163-РДО от 22.04.2022 ")</f>
        <v xml:space="preserve">ИП Третьякова Ирина Львовна 163-РДО от 22.04.2022 </v>
      </c>
      <c r="D17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4" t="str">
        <f ca="1">IFERROR(__xludf.DUMMYFUNCTION("""COMPUTED_VALUE"""),"Новый")</f>
        <v>Новый</v>
      </c>
      <c r="G1764" s="68"/>
      <c r="K1764" s="68"/>
    </row>
    <row r="1765" spans="1:11" ht="12.75">
      <c r="A1765" s="69">
        <f ca="1">IFERROR(__xludf.DUMMYFUNCTION("""COMPUTED_VALUE"""),95952)</f>
        <v>95952</v>
      </c>
      <c r="B1765" s="4">
        <f ca="1">IFERROR(__xludf.DUMMYFUNCTION("""COMPUTED_VALUE"""),44678)</f>
        <v>44678</v>
      </c>
      <c r="C1765" t="str">
        <f ca="1">IFERROR(__xludf.DUMMYFUNCTION("""COMPUTED_VALUE"""),"ООО ""СК СЕВЕР"" 170-РДО от 27.04.2022")</f>
        <v>ООО "СК СЕВЕР" 170-РДО от 27.04.2022</v>
      </c>
      <c r="D17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5" t="str">
        <f ca="1">IFERROR(__xludf.DUMMYFUNCTION("""COMPUTED_VALUE"""),"Новый")</f>
        <v>Новый</v>
      </c>
      <c r="G1765" s="68"/>
      <c r="K1765" s="68"/>
    </row>
    <row r="1766" spans="1:11" ht="12.75">
      <c r="A1766" s="69">
        <f ca="1">IFERROR(__xludf.DUMMYFUNCTION("""COMPUTED_VALUE"""),95953)</f>
        <v>95953</v>
      </c>
      <c r="B1766" s="4">
        <f ca="1">IFERROR(__xludf.DUMMYFUNCTION("""COMPUTED_VALUE"""),44678)</f>
        <v>44678</v>
      </c>
      <c r="C1766" t="str">
        <f ca="1">IFERROR(__xludf.DUMMYFUNCTION("""COMPUTED_VALUE"""),"ООО ""СК СЕВЕР"" 170-РДО от 27.04.2022")</f>
        <v>ООО "СК СЕВЕР" 170-РДО от 27.04.2022</v>
      </c>
      <c r="D17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6" t="str">
        <f ca="1">IFERROR(__xludf.DUMMYFUNCTION("""COMPUTED_VALUE"""),"Новый")</f>
        <v>Новый</v>
      </c>
      <c r="G1766" s="68"/>
      <c r="K1766" s="68"/>
    </row>
    <row r="1767" spans="1:11" ht="12.75">
      <c r="A1767" s="69">
        <f ca="1">IFERROR(__xludf.DUMMYFUNCTION("""COMPUTED_VALUE"""),95954)</f>
        <v>95954</v>
      </c>
      <c r="B1767" s="4">
        <f ca="1">IFERROR(__xludf.DUMMYFUNCTION("""COMPUTED_VALUE"""),44678)</f>
        <v>44678</v>
      </c>
      <c r="C1767" t="str">
        <f ca="1">IFERROR(__xludf.DUMMYFUNCTION("""COMPUTED_VALUE"""),"ООО ""СК СЕВЕР"" 170-РДО от 27.04.2022")</f>
        <v>ООО "СК СЕВЕР" 170-РДО от 27.04.2022</v>
      </c>
      <c r="D17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7" t="str">
        <f ca="1">IFERROR(__xludf.DUMMYFUNCTION("""COMPUTED_VALUE"""),"Новый")</f>
        <v>Новый</v>
      </c>
      <c r="G1767" s="68"/>
      <c r="K1767" s="68"/>
    </row>
    <row r="1768" spans="1:11" ht="12.75">
      <c r="A1768" s="69">
        <f ca="1">IFERROR(__xludf.DUMMYFUNCTION("""COMPUTED_VALUE"""),95955)</f>
        <v>95955</v>
      </c>
      <c r="B1768" s="4">
        <f ca="1">IFERROR(__xludf.DUMMYFUNCTION("""COMPUTED_VALUE"""),44678)</f>
        <v>44678</v>
      </c>
      <c r="C1768" t="str">
        <f ca="1">IFERROR(__xludf.DUMMYFUNCTION("""COMPUTED_VALUE"""),"ООО ""СК СЕВЕР"" 170-РДО от 27.04.2022")</f>
        <v>ООО "СК СЕВЕР" 170-РДО от 27.04.2022</v>
      </c>
      <c r="D17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8" t="str">
        <f ca="1">IFERROR(__xludf.DUMMYFUNCTION("""COMPUTED_VALUE"""),"Новый")</f>
        <v>Новый</v>
      </c>
      <c r="G1768" s="68"/>
      <c r="K1768" s="68"/>
    </row>
    <row r="1769" spans="1:11" ht="12.75">
      <c r="A1769" s="69">
        <f ca="1">IFERROR(__xludf.DUMMYFUNCTION("""COMPUTED_VALUE"""),95956)</f>
        <v>95956</v>
      </c>
      <c r="B1769" s="4">
        <f ca="1">IFERROR(__xludf.DUMMYFUNCTION("""COMPUTED_VALUE"""),44678)</f>
        <v>44678</v>
      </c>
      <c r="C1769" t="str">
        <f ca="1">IFERROR(__xludf.DUMMYFUNCTION("""COMPUTED_VALUE"""),"ООО ""СК СЕВЕР"" 170-РДО от 27.04.2022")</f>
        <v>ООО "СК СЕВЕР" 170-РДО от 27.04.2022</v>
      </c>
      <c r="D17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69" t="str">
        <f ca="1">IFERROR(__xludf.DUMMYFUNCTION("""COMPUTED_VALUE"""),"Новый")</f>
        <v>Новый</v>
      </c>
      <c r="G1769" s="68"/>
      <c r="K1769" s="68"/>
    </row>
    <row r="1770" spans="1:11" ht="12.75">
      <c r="A1770" s="69">
        <f ca="1">IFERROR(__xludf.DUMMYFUNCTION("""COMPUTED_VALUE"""),95957)</f>
        <v>95957</v>
      </c>
      <c r="B1770" s="4">
        <f ca="1">IFERROR(__xludf.DUMMYFUNCTION("""COMPUTED_VALUE"""),44678)</f>
        <v>44678</v>
      </c>
      <c r="C1770" t="str">
        <f ca="1">IFERROR(__xludf.DUMMYFUNCTION("""COMPUTED_VALUE"""),"ООО ""СК СЕВЕР"" 170-РДО от 27.04.2022")</f>
        <v>ООО "СК СЕВЕР" 170-РДО от 27.04.2022</v>
      </c>
      <c r="D17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0" t="str">
        <f ca="1">IFERROR(__xludf.DUMMYFUNCTION("""COMPUTED_VALUE"""),"Новый")</f>
        <v>Новый</v>
      </c>
      <c r="G1770" s="68"/>
      <c r="K1770" s="68"/>
    </row>
    <row r="1771" spans="1:11" ht="12.75">
      <c r="A1771" s="69">
        <f ca="1">IFERROR(__xludf.DUMMYFUNCTION("""COMPUTED_VALUE"""),95958)</f>
        <v>95958</v>
      </c>
      <c r="B1771" s="4">
        <f ca="1">IFERROR(__xludf.DUMMYFUNCTION("""COMPUTED_VALUE"""),44678)</f>
        <v>44678</v>
      </c>
      <c r="C1771" t="str">
        <f ca="1">IFERROR(__xludf.DUMMYFUNCTION("""COMPUTED_VALUE"""),"ООО ""СК СЕВЕР"" 170-РДО от 27.04.2022")</f>
        <v>ООО "СК СЕВЕР" 170-РДО от 27.04.2022</v>
      </c>
      <c r="D17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1" t="str">
        <f ca="1">IFERROR(__xludf.DUMMYFUNCTION("""COMPUTED_VALUE"""),"Новый")</f>
        <v>Новый</v>
      </c>
      <c r="G1771" s="68"/>
      <c r="K1771" s="68"/>
    </row>
    <row r="1772" spans="1:11" ht="12.75">
      <c r="A1772" s="69">
        <f ca="1">IFERROR(__xludf.DUMMYFUNCTION("""COMPUTED_VALUE"""),95959)</f>
        <v>95959</v>
      </c>
      <c r="B1772" s="4">
        <f ca="1">IFERROR(__xludf.DUMMYFUNCTION("""COMPUTED_VALUE"""),44678)</f>
        <v>44678</v>
      </c>
      <c r="C1772" t="str">
        <f ca="1">IFERROR(__xludf.DUMMYFUNCTION("""COMPUTED_VALUE"""),"ООО ""СК СЕВЕР"" 170-РДО от 27.04.2022")</f>
        <v>ООО "СК СЕВЕР" 170-РДО от 27.04.2022</v>
      </c>
      <c r="D17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2" t="str">
        <f ca="1">IFERROR(__xludf.DUMMYFUNCTION("""COMPUTED_VALUE"""),"Новый")</f>
        <v>Новый</v>
      </c>
      <c r="G1772" s="68"/>
      <c r="K1772" s="68"/>
    </row>
    <row r="1773" spans="1:11" ht="12.75">
      <c r="A1773" s="69">
        <f ca="1">IFERROR(__xludf.DUMMYFUNCTION("""COMPUTED_VALUE"""),95960)</f>
        <v>95960</v>
      </c>
      <c r="B1773" s="4">
        <f ca="1">IFERROR(__xludf.DUMMYFUNCTION("""COMPUTED_VALUE"""),44678)</f>
        <v>44678</v>
      </c>
      <c r="C1773" t="str">
        <f ca="1">IFERROR(__xludf.DUMMYFUNCTION("""COMPUTED_VALUE"""),"ООО ""СК СЕВЕР"" 170-РДО от 27.04.2022")</f>
        <v>ООО "СК СЕВЕР" 170-РДО от 27.04.2022</v>
      </c>
      <c r="D17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3" t="str">
        <f ca="1">IFERROR(__xludf.DUMMYFUNCTION("""COMPUTED_VALUE"""),"Новый")</f>
        <v>Новый</v>
      </c>
      <c r="G1773" s="68"/>
      <c r="K1773" s="68"/>
    </row>
    <row r="1774" spans="1:11" ht="12.75">
      <c r="A1774" s="69">
        <f ca="1">IFERROR(__xludf.DUMMYFUNCTION("""COMPUTED_VALUE"""),95961)</f>
        <v>95961</v>
      </c>
      <c r="B1774" s="4">
        <f ca="1">IFERROR(__xludf.DUMMYFUNCTION("""COMPUTED_VALUE"""),44678)</f>
        <v>44678</v>
      </c>
      <c r="C1774" t="str">
        <f ca="1">IFERROR(__xludf.DUMMYFUNCTION("""COMPUTED_VALUE"""),"ООО ""СК СЕВЕР"" 170-РДО от 27.04.2022")</f>
        <v>ООО "СК СЕВЕР" 170-РДО от 27.04.2022</v>
      </c>
      <c r="D17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4" t="str">
        <f ca="1">IFERROR(__xludf.DUMMYFUNCTION("""COMPUTED_VALUE"""),"Новый")</f>
        <v>Новый</v>
      </c>
      <c r="G1774" s="68"/>
      <c r="K1774" s="68"/>
    </row>
    <row r="1775" spans="1:11" ht="12.75">
      <c r="A1775" s="69">
        <f ca="1">IFERROR(__xludf.DUMMYFUNCTION("""COMPUTED_VALUE"""),95962)</f>
        <v>95962</v>
      </c>
      <c r="B1775" s="4">
        <f ca="1">IFERROR(__xludf.DUMMYFUNCTION("""COMPUTED_VALUE"""),44678)</f>
        <v>44678</v>
      </c>
      <c r="C1775" t="str">
        <f ca="1">IFERROR(__xludf.DUMMYFUNCTION("""COMPUTED_VALUE"""),"ООО ""СК СЕВЕР"" 170-РДО от 27.04.2022")</f>
        <v>ООО "СК СЕВЕР" 170-РДО от 27.04.2022</v>
      </c>
      <c r="D17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5" t="str">
        <f ca="1">IFERROR(__xludf.DUMMYFUNCTION("""COMPUTED_VALUE"""),"Новый")</f>
        <v>Новый</v>
      </c>
      <c r="G1775" s="68"/>
      <c r="K1775" s="68"/>
    </row>
    <row r="1776" spans="1:11" ht="12.75">
      <c r="A1776" s="69">
        <f ca="1">IFERROR(__xludf.DUMMYFUNCTION("""COMPUTED_VALUE"""),95963)</f>
        <v>95963</v>
      </c>
      <c r="B1776" s="4">
        <f ca="1">IFERROR(__xludf.DUMMYFUNCTION("""COMPUTED_VALUE"""),44678)</f>
        <v>44678</v>
      </c>
      <c r="C1776" t="str">
        <f ca="1">IFERROR(__xludf.DUMMYFUNCTION("""COMPUTED_VALUE"""),"ООО ""СК СЕВЕР"" 170-РДО от 27.04.2022")</f>
        <v>ООО "СК СЕВЕР" 170-РДО от 27.04.2022</v>
      </c>
      <c r="D17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6" t="str">
        <f ca="1">IFERROR(__xludf.DUMMYFUNCTION("""COMPUTED_VALUE"""),"Новый")</f>
        <v>Новый</v>
      </c>
      <c r="G1776" s="68"/>
      <c r="K1776" s="68"/>
    </row>
    <row r="1777" spans="1:11" ht="12.75">
      <c r="A1777" s="69">
        <f ca="1">IFERROR(__xludf.DUMMYFUNCTION("""COMPUTED_VALUE"""),95964)</f>
        <v>95964</v>
      </c>
      <c r="B1777" s="4">
        <f ca="1">IFERROR(__xludf.DUMMYFUNCTION("""COMPUTED_VALUE"""),44678)</f>
        <v>44678</v>
      </c>
      <c r="C1777" t="str">
        <f ca="1">IFERROR(__xludf.DUMMYFUNCTION("""COMPUTED_VALUE"""),"ООО ""СК СЕВЕР"" 170-РДО от 27.04.2022")</f>
        <v>ООО "СК СЕВЕР" 170-РДО от 27.04.2022</v>
      </c>
      <c r="D17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7" t="str">
        <f ca="1">IFERROR(__xludf.DUMMYFUNCTION("""COMPUTED_VALUE"""),"Новый")</f>
        <v>Новый</v>
      </c>
      <c r="G1777" s="68"/>
      <c r="K1777" s="68"/>
    </row>
    <row r="1778" spans="1:11" ht="12.75">
      <c r="A1778" s="69">
        <f ca="1">IFERROR(__xludf.DUMMYFUNCTION("""COMPUTED_VALUE"""),95965)</f>
        <v>95965</v>
      </c>
      <c r="B1778" s="4">
        <f ca="1">IFERROR(__xludf.DUMMYFUNCTION("""COMPUTED_VALUE"""),44678)</f>
        <v>44678</v>
      </c>
      <c r="C1778" t="str">
        <f ca="1">IFERROR(__xludf.DUMMYFUNCTION("""COMPUTED_VALUE"""),"ООО ""СК СЕВЕР"" 170-РДО от 27.04.2022")</f>
        <v>ООО "СК СЕВЕР" 170-РДО от 27.04.2022</v>
      </c>
      <c r="D17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8" t="str">
        <f ca="1">IFERROR(__xludf.DUMMYFUNCTION("""COMPUTED_VALUE"""),"Новый")</f>
        <v>Новый</v>
      </c>
      <c r="G1778" s="68"/>
      <c r="K1778" s="68"/>
    </row>
    <row r="1779" spans="1:11" ht="12.75">
      <c r="A1779" s="69">
        <f ca="1">IFERROR(__xludf.DUMMYFUNCTION("""COMPUTED_VALUE"""),95968)</f>
        <v>95968</v>
      </c>
      <c r="B1779" s="4">
        <f ca="1">IFERROR(__xludf.DUMMYFUNCTION("""COMPUTED_VALUE"""),44678)</f>
        <v>44678</v>
      </c>
      <c r="C1779" t="str">
        <f ca="1">IFERROR(__xludf.DUMMYFUNCTION("""COMPUTED_VALUE"""),"ООО ""СК СЕВЕР"" 170-РДО от 27.04.2022")</f>
        <v>ООО "СК СЕВЕР" 170-РДО от 27.04.2022</v>
      </c>
      <c r="D17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79" t="str">
        <f ca="1">IFERROR(__xludf.DUMMYFUNCTION("""COMPUTED_VALUE"""),"Новый")</f>
        <v>Новый</v>
      </c>
      <c r="G1779" s="68"/>
      <c r="K1779" s="68"/>
    </row>
    <row r="1780" spans="1:11" ht="12.75">
      <c r="A1780" s="69">
        <f ca="1">IFERROR(__xludf.DUMMYFUNCTION("""COMPUTED_VALUE"""),95970)</f>
        <v>95970</v>
      </c>
      <c r="B1780" s="4">
        <f ca="1">IFERROR(__xludf.DUMMYFUNCTION("""COMPUTED_VALUE"""),44678)</f>
        <v>44678</v>
      </c>
      <c r="C1780" t="str">
        <f ca="1">IFERROR(__xludf.DUMMYFUNCTION("""COMPUTED_VALUE"""),"ООО ""СК СЕВЕР"" 170-РДО от 27.04.2022")</f>
        <v>ООО "СК СЕВЕР" 170-РДО от 27.04.2022</v>
      </c>
      <c r="D17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0" t="str">
        <f ca="1">IFERROR(__xludf.DUMMYFUNCTION("""COMPUTED_VALUE"""),"Новый")</f>
        <v>Новый</v>
      </c>
      <c r="G1780" s="68"/>
      <c r="K1780" s="68"/>
    </row>
    <row r="1781" spans="1:11" ht="12.75">
      <c r="A1781" s="69">
        <f ca="1">IFERROR(__xludf.DUMMYFUNCTION("""COMPUTED_VALUE"""),95971)</f>
        <v>95971</v>
      </c>
      <c r="B1781" s="4">
        <f ca="1">IFERROR(__xludf.DUMMYFUNCTION("""COMPUTED_VALUE"""),44678)</f>
        <v>44678</v>
      </c>
      <c r="C1781" t="str">
        <f ca="1">IFERROR(__xludf.DUMMYFUNCTION("""COMPUTED_VALUE"""),"ООО ""СК СЕВЕР"" 170-РДО от 27.04.2022")</f>
        <v>ООО "СК СЕВЕР" 170-РДО от 27.04.2022</v>
      </c>
      <c r="D17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1" t="str">
        <f ca="1">IFERROR(__xludf.DUMMYFUNCTION("""COMPUTED_VALUE"""),"Новый")</f>
        <v>Новый</v>
      </c>
      <c r="G1781" s="68"/>
      <c r="K1781" s="68"/>
    </row>
    <row r="1782" spans="1:11" ht="12.75">
      <c r="A1782" s="69">
        <f ca="1">IFERROR(__xludf.DUMMYFUNCTION("""COMPUTED_VALUE"""),96072)</f>
        <v>96072</v>
      </c>
      <c r="B1782" s="4">
        <f ca="1">IFERROR(__xludf.DUMMYFUNCTION("""COMPUTED_VALUE"""),44678)</f>
        <v>44678</v>
      </c>
      <c r="C1782" t="str">
        <f ca="1">IFERROR(__xludf.DUMMYFUNCTION("""COMPUTED_VALUE"""),"ООО ""ЭКОТРАНС"" 169-РДО от 26.04.2022")</f>
        <v>ООО "ЭКОТРАНС" 169-РДО от 26.04.2022</v>
      </c>
      <c r="D17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2" t="str">
        <f ca="1">IFERROR(__xludf.DUMMYFUNCTION("""COMPUTED_VALUE"""),"Новый")</f>
        <v>Новый</v>
      </c>
      <c r="G1782" s="68"/>
      <c r="K1782" s="68"/>
    </row>
    <row r="1783" spans="1:11" ht="12.75">
      <c r="A1783" s="69">
        <f ca="1">IFERROR(__xludf.DUMMYFUNCTION("""COMPUTED_VALUE"""),96073)</f>
        <v>96073</v>
      </c>
      <c r="B1783" s="4">
        <f ca="1">IFERROR(__xludf.DUMMYFUNCTION("""COMPUTED_VALUE"""),44678)</f>
        <v>44678</v>
      </c>
      <c r="C1783" t="str">
        <f ca="1">IFERROR(__xludf.DUMMYFUNCTION("""COMPUTED_VALUE"""),"ООО ""ЭКОТРАНС"" 169-РДО от 26.04.2022")</f>
        <v>ООО "ЭКОТРАНС" 169-РДО от 26.04.2022</v>
      </c>
      <c r="D17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3" t="str">
        <f ca="1">IFERROR(__xludf.DUMMYFUNCTION("""COMPUTED_VALUE"""),"Новый")</f>
        <v>Новый</v>
      </c>
      <c r="G1783" s="68"/>
      <c r="K1783" s="68"/>
    </row>
    <row r="1784" spans="1:11" ht="12.75">
      <c r="A1784" s="69">
        <f ca="1">IFERROR(__xludf.DUMMYFUNCTION("""COMPUTED_VALUE"""),96074)</f>
        <v>96074</v>
      </c>
      <c r="B1784" s="4">
        <f ca="1">IFERROR(__xludf.DUMMYFUNCTION("""COMPUTED_VALUE"""),44678)</f>
        <v>44678</v>
      </c>
      <c r="C1784" t="str">
        <f ca="1">IFERROR(__xludf.DUMMYFUNCTION("""COMPUTED_VALUE"""),"ООО ""ЭКОТРАНС"" 169-РДО от 26.04.2022")</f>
        <v>ООО "ЭКОТРАНС" 169-РДО от 26.04.2022</v>
      </c>
      <c r="D17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4" t="str">
        <f ca="1">IFERROR(__xludf.DUMMYFUNCTION("""COMPUTED_VALUE"""),"Новый")</f>
        <v>Новый</v>
      </c>
      <c r="G1784" s="68"/>
      <c r="K1784" s="68"/>
    </row>
    <row r="1785" spans="1:11" ht="12.75">
      <c r="A1785" s="69">
        <f ca="1">IFERROR(__xludf.DUMMYFUNCTION("""COMPUTED_VALUE"""),96075)</f>
        <v>96075</v>
      </c>
      <c r="B1785" s="4">
        <f ca="1">IFERROR(__xludf.DUMMYFUNCTION("""COMPUTED_VALUE"""),44678)</f>
        <v>44678</v>
      </c>
      <c r="C1785" t="str">
        <f ca="1">IFERROR(__xludf.DUMMYFUNCTION("""COMPUTED_VALUE"""),"ООО ""ЭКОТРАНС"" 169-РДО от 26.04.2022")</f>
        <v>ООО "ЭКОТРАНС" 169-РДО от 26.04.2022</v>
      </c>
      <c r="D17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5" t="str">
        <f ca="1">IFERROR(__xludf.DUMMYFUNCTION("""COMPUTED_VALUE"""),"Новый")</f>
        <v>Новый</v>
      </c>
      <c r="G1785" s="68"/>
      <c r="K1785" s="68"/>
    </row>
    <row r="1786" spans="1:11" ht="12.75">
      <c r="A1786" s="69">
        <f ca="1">IFERROR(__xludf.DUMMYFUNCTION("""COMPUTED_VALUE"""),96076)</f>
        <v>96076</v>
      </c>
      <c r="B1786" s="4">
        <f ca="1">IFERROR(__xludf.DUMMYFUNCTION("""COMPUTED_VALUE"""),44678)</f>
        <v>44678</v>
      </c>
      <c r="C1786" t="str">
        <f ca="1">IFERROR(__xludf.DUMMYFUNCTION("""COMPUTED_VALUE"""),"ООО ""ЭКОТРАНС"" 169-РДО от 26.04.2022")</f>
        <v>ООО "ЭКОТРАНС" 169-РДО от 26.04.2022</v>
      </c>
      <c r="D17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6" t="str">
        <f ca="1">IFERROR(__xludf.DUMMYFUNCTION("""COMPUTED_VALUE"""),"Новый")</f>
        <v>Новый</v>
      </c>
      <c r="G1786" s="68"/>
      <c r="K1786" s="68"/>
    </row>
    <row r="1787" spans="1:11" ht="12.75">
      <c r="A1787" s="69">
        <f ca="1">IFERROR(__xludf.DUMMYFUNCTION("""COMPUTED_VALUE"""),96077)</f>
        <v>96077</v>
      </c>
      <c r="B1787" s="4">
        <f ca="1">IFERROR(__xludf.DUMMYFUNCTION("""COMPUTED_VALUE"""),44678)</f>
        <v>44678</v>
      </c>
      <c r="C1787" t="str">
        <f ca="1">IFERROR(__xludf.DUMMYFUNCTION("""COMPUTED_VALUE"""),"ООО ""ЭКОТРАНС"" 169-РДО от 26.04.2022")</f>
        <v>ООО "ЭКОТРАНС" 169-РДО от 26.04.2022</v>
      </c>
      <c r="D17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7" t="str">
        <f ca="1">IFERROR(__xludf.DUMMYFUNCTION("""COMPUTED_VALUE"""),"Новый")</f>
        <v>Новый</v>
      </c>
      <c r="G1787" s="68"/>
      <c r="K1787" s="68"/>
    </row>
    <row r="1788" spans="1:11" ht="12.75">
      <c r="A1788" s="69">
        <f ca="1">IFERROR(__xludf.DUMMYFUNCTION("""COMPUTED_VALUE"""),96078)</f>
        <v>96078</v>
      </c>
      <c r="B1788" s="4">
        <f ca="1">IFERROR(__xludf.DUMMYFUNCTION("""COMPUTED_VALUE"""),44678)</f>
        <v>44678</v>
      </c>
      <c r="C1788" t="str">
        <f ca="1">IFERROR(__xludf.DUMMYFUNCTION("""COMPUTED_VALUE"""),"ООО ""ЭКОТРАНС"" 169-РДО от 26.04.2022")</f>
        <v>ООО "ЭКОТРАНС" 169-РДО от 26.04.2022</v>
      </c>
      <c r="D17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8" t="str">
        <f ca="1">IFERROR(__xludf.DUMMYFUNCTION("""COMPUTED_VALUE"""),"Новый")</f>
        <v>Новый</v>
      </c>
      <c r="G1788" s="68"/>
      <c r="K1788" s="68"/>
    </row>
    <row r="1789" spans="1:11" ht="12.75">
      <c r="A1789" s="69">
        <f ca="1">IFERROR(__xludf.DUMMYFUNCTION("""COMPUTED_VALUE"""),96079)</f>
        <v>96079</v>
      </c>
      <c r="B1789" s="4">
        <f ca="1">IFERROR(__xludf.DUMMYFUNCTION("""COMPUTED_VALUE"""),44678)</f>
        <v>44678</v>
      </c>
      <c r="C1789" t="str">
        <f ca="1">IFERROR(__xludf.DUMMYFUNCTION("""COMPUTED_VALUE"""),"ООО ""ЭКОТРАНС"" 169-РДО от 26.04.2022")</f>
        <v>ООО "ЭКОТРАНС" 169-РДО от 26.04.2022</v>
      </c>
      <c r="D17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89" t="str">
        <f ca="1">IFERROR(__xludf.DUMMYFUNCTION("""COMPUTED_VALUE"""),"Новый")</f>
        <v>Новый</v>
      </c>
      <c r="G1789" s="68"/>
      <c r="K1789" s="68"/>
    </row>
    <row r="1790" spans="1:11" ht="12.75">
      <c r="A1790" s="69">
        <f ca="1">IFERROR(__xludf.DUMMYFUNCTION("""COMPUTED_VALUE"""),96080)</f>
        <v>96080</v>
      </c>
      <c r="B1790" s="4">
        <f ca="1">IFERROR(__xludf.DUMMYFUNCTION("""COMPUTED_VALUE"""),44678)</f>
        <v>44678</v>
      </c>
      <c r="C1790" t="str">
        <f ca="1">IFERROR(__xludf.DUMMYFUNCTION("""COMPUTED_VALUE"""),"ООО ""ЭКОТРАНС"" 169-РДО от 26.04.2022")</f>
        <v>ООО "ЭКОТРАНС" 169-РДО от 26.04.2022</v>
      </c>
      <c r="D17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0" t="str">
        <f ca="1">IFERROR(__xludf.DUMMYFUNCTION("""COMPUTED_VALUE"""),"Новый")</f>
        <v>Новый</v>
      </c>
      <c r="G1790" s="68"/>
      <c r="K1790" s="68"/>
    </row>
    <row r="1791" spans="1:11" ht="12.75">
      <c r="A1791" s="69">
        <f ca="1">IFERROR(__xludf.DUMMYFUNCTION("""COMPUTED_VALUE"""),96081)</f>
        <v>96081</v>
      </c>
      <c r="B1791" s="4">
        <f ca="1">IFERROR(__xludf.DUMMYFUNCTION("""COMPUTED_VALUE"""),44678)</f>
        <v>44678</v>
      </c>
      <c r="C1791" t="str">
        <f ca="1">IFERROR(__xludf.DUMMYFUNCTION("""COMPUTED_VALUE"""),"ООО ""ЭКОТРАНС"" 169-РДО от 26.04.2022")</f>
        <v>ООО "ЭКОТРАНС" 169-РДО от 26.04.2022</v>
      </c>
      <c r="D17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1" t="str">
        <f ca="1">IFERROR(__xludf.DUMMYFUNCTION("""COMPUTED_VALUE"""),"Новый")</f>
        <v>Новый</v>
      </c>
      <c r="G1791" s="68"/>
      <c r="K1791" s="68"/>
    </row>
    <row r="1792" spans="1:11" ht="12.75">
      <c r="A1792" s="69">
        <f ca="1">IFERROR(__xludf.DUMMYFUNCTION("""COMPUTED_VALUE"""),96082)</f>
        <v>96082</v>
      </c>
      <c r="B1792" s="4">
        <f ca="1">IFERROR(__xludf.DUMMYFUNCTION("""COMPUTED_VALUE"""),44678)</f>
        <v>44678</v>
      </c>
      <c r="C1792" t="str">
        <f ca="1">IFERROR(__xludf.DUMMYFUNCTION("""COMPUTED_VALUE"""),"ООО ""ЭКОТРАНС"" 169-РДО от 26.04.2022")</f>
        <v>ООО "ЭКОТРАНС" 169-РДО от 26.04.2022</v>
      </c>
      <c r="D17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2" t="str">
        <f ca="1">IFERROR(__xludf.DUMMYFUNCTION("""COMPUTED_VALUE"""),"Новый")</f>
        <v>Новый</v>
      </c>
      <c r="G1792" s="68"/>
      <c r="K1792" s="68"/>
    </row>
    <row r="1793" spans="1:11" ht="12.75">
      <c r="A1793" s="69">
        <f ca="1">IFERROR(__xludf.DUMMYFUNCTION("""COMPUTED_VALUE"""),96083)</f>
        <v>96083</v>
      </c>
      <c r="B1793" s="4">
        <f ca="1">IFERROR(__xludf.DUMMYFUNCTION("""COMPUTED_VALUE"""),44678)</f>
        <v>44678</v>
      </c>
      <c r="C1793" t="str">
        <f ca="1">IFERROR(__xludf.DUMMYFUNCTION("""COMPUTED_VALUE"""),"ООО ""ЭКОТРАНС"" 169-РДО от 26.04.2022")</f>
        <v>ООО "ЭКОТРАНС" 169-РДО от 26.04.2022</v>
      </c>
      <c r="D17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3" t="str">
        <f ca="1">IFERROR(__xludf.DUMMYFUNCTION("""COMPUTED_VALUE"""),"Новый")</f>
        <v>Новый</v>
      </c>
      <c r="G1793" s="68"/>
      <c r="K1793" s="68"/>
    </row>
    <row r="1794" spans="1:11" ht="12.75">
      <c r="A1794" s="69">
        <f ca="1">IFERROR(__xludf.DUMMYFUNCTION("""COMPUTED_VALUE"""),96084)</f>
        <v>96084</v>
      </c>
      <c r="B1794" s="4">
        <f ca="1">IFERROR(__xludf.DUMMYFUNCTION("""COMPUTED_VALUE"""),44678)</f>
        <v>44678</v>
      </c>
      <c r="C1794" t="str">
        <f ca="1">IFERROR(__xludf.DUMMYFUNCTION("""COMPUTED_VALUE"""),"ООО ""ЭКОТРАНС"" 169-РДО от 26.04.2022")</f>
        <v>ООО "ЭКОТРАНС" 169-РДО от 26.04.2022</v>
      </c>
      <c r="D17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4" t="str">
        <f ca="1">IFERROR(__xludf.DUMMYFUNCTION("""COMPUTED_VALUE"""),"Новый")</f>
        <v>Новый</v>
      </c>
      <c r="G1794" s="68"/>
      <c r="K1794" s="68"/>
    </row>
    <row r="1795" spans="1:11" ht="12.75">
      <c r="A1795" s="69">
        <f ca="1">IFERROR(__xludf.DUMMYFUNCTION("""COMPUTED_VALUE"""),96085)</f>
        <v>96085</v>
      </c>
      <c r="B1795" s="4">
        <f ca="1">IFERROR(__xludf.DUMMYFUNCTION("""COMPUTED_VALUE"""),44678)</f>
        <v>44678</v>
      </c>
      <c r="C1795" t="str">
        <f ca="1">IFERROR(__xludf.DUMMYFUNCTION("""COMPUTED_VALUE"""),"ООО ""ЭКОТРАНС"" 169-РДО от 26.04.2022")</f>
        <v>ООО "ЭКОТРАНС" 169-РДО от 26.04.2022</v>
      </c>
      <c r="D17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5" t="str">
        <f ca="1">IFERROR(__xludf.DUMMYFUNCTION("""COMPUTED_VALUE"""),"Новый")</f>
        <v>Новый</v>
      </c>
      <c r="G1795" s="68"/>
      <c r="K1795" s="68"/>
    </row>
    <row r="1796" spans="1:11" ht="12.75">
      <c r="A1796" s="69">
        <f ca="1">IFERROR(__xludf.DUMMYFUNCTION("""COMPUTED_VALUE"""),96086)</f>
        <v>96086</v>
      </c>
      <c r="B1796" s="4">
        <f ca="1">IFERROR(__xludf.DUMMYFUNCTION("""COMPUTED_VALUE"""),44678)</f>
        <v>44678</v>
      </c>
      <c r="C1796" t="str">
        <f ca="1">IFERROR(__xludf.DUMMYFUNCTION("""COMPUTED_VALUE"""),"ООО ""ЭКОТРАНС"" 169-РДО от 26.04.2022")</f>
        <v>ООО "ЭКОТРАНС" 169-РДО от 26.04.2022</v>
      </c>
      <c r="D17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6" t="str">
        <f ca="1">IFERROR(__xludf.DUMMYFUNCTION("""COMPUTED_VALUE"""),"Новый")</f>
        <v>Новый</v>
      </c>
      <c r="G1796" s="68"/>
      <c r="K1796" s="68"/>
    </row>
    <row r="1797" spans="1:11" ht="12.75">
      <c r="A1797" s="69">
        <f ca="1">IFERROR(__xludf.DUMMYFUNCTION("""COMPUTED_VALUE"""),96087)</f>
        <v>96087</v>
      </c>
      <c r="B1797" s="4">
        <f ca="1">IFERROR(__xludf.DUMMYFUNCTION("""COMPUTED_VALUE"""),44678)</f>
        <v>44678</v>
      </c>
      <c r="C1797" t="str">
        <f ca="1">IFERROR(__xludf.DUMMYFUNCTION("""COMPUTED_VALUE"""),"ООО ""ЭКОТРАНС"" 169-РДО от 26.04.2022")</f>
        <v>ООО "ЭКОТРАНС" 169-РДО от 26.04.2022</v>
      </c>
      <c r="D17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7" t="str">
        <f ca="1">IFERROR(__xludf.DUMMYFUNCTION("""COMPUTED_VALUE"""),"Новый")</f>
        <v>Новый</v>
      </c>
      <c r="G1797" s="68"/>
      <c r="K1797" s="68"/>
    </row>
    <row r="1798" spans="1:11" ht="12.75">
      <c r="A1798" s="69">
        <f ca="1">IFERROR(__xludf.DUMMYFUNCTION("""COMPUTED_VALUE"""),96088)</f>
        <v>96088</v>
      </c>
      <c r="B1798" s="4">
        <f ca="1">IFERROR(__xludf.DUMMYFUNCTION("""COMPUTED_VALUE"""),44678)</f>
        <v>44678</v>
      </c>
      <c r="C1798" t="str">
        <f ca="1">IFERROR(__xludf.DUMMYFUNCTION("""COMPUTED_VALUE"""),"ООО ""ЭКОТРАНС"" 169-РДО от 26.04.2022")</f>
        <v>ООО "ЭКОТРАНС" 169-РДО от 26.04.2022</v>
      </c>
      <c r="D17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8" t="str">
        <f ca="1">IFERROR(__xludf.DUMMYFUNCTION("""COMPUTED_VALUE"""),"Новый")</f>
        <v>Новый</v>
      </c>
      <c r="G1798" s="68"/>
      <c r="K1798" s="68"/>
    </row>
    <row r="1799" spans="1:11" ht="12.75">
      <c r="A1799" s="69">
        <f ca="1">IFERROR(__xludf.DUMMYFUNCTION("""COMPUTED_VALUE"""),96089)</f>
        <v>96089</v>
      </c>
      <c r="B1799" s="4">
        <f ca="1">IFERROR(__xludf.DUMMYFUNCTION("""COMPUTED_VALUE"""),44678)</f>
        <v>44678</v>
      </c>
      <c r="C1799" t="str">
        <f ca="1">IFERROR(__xludf.DUMMYFUNCTION("""COMPUTED_VALUE"""),"ООО ""ЭКОТРАНС"" 169-РДО от 26.04.2022")</f>
        <v>ООО "ЭКОТРАНС" 169-РДО от 26.04.2022</v>
      </c>
      <c r="D17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799" t="str">
        <f ca="1">IFERROR(__xludf.DUMMYFUNCTION("""COMPUTED_VALUE"""),"Новый")</f>
        <v>Новый</v>
      </c>
      <c r="G1799" s="68"/>
      <c r="K1799" s="68"/>
    </row>
    <row r="1800" spans="1:11" ht="12.75">
      <c r="A1800" s="69">
        <f ca="1">IFERROR(__xludf.DUMMYFUNCTION("""COMPUTED_VALUE"""),96090)</f>
        <v>96090</v>
      </c>
      <c r="B1800" s="4">
        <f ca="1">IFERROR(__xludf.DUMMYFUNCTION("""COMPUTED_VALUE"""),44678)</f>
        <v>44678</v>
      </c>
      <c r="C1800" t="str">
        <f ca="1">IFERROR(__xludf.DUMMYFUNCTION("""COMPUTED_VALUE"""),"ООО ""ЭКОТРАНС"" 169-РДО от 26.04.2022")</f>
        <v>ООО "ЭКОТРАНС" 169-РДО от 26.04.2022</v>
      </c>
      <c r="D18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0" t="str">
        <f ca="1">IFERROR(__xludf.DUMMYFUNCTION("""COMPUTED_VALUE"""),"Новый")</f>
        <v>Новый</v>
      </c>
      <c r="G1800" s="68"/>
      <c r="K1800" s="68"/>
    </row>
    <row r="1801" spans="1:11" ht="12.75">
      <c r="A1801" s="69">
        <f ca="1">IFERROR(__xludf.DUMMYFUNCTION("""COMPUTED_VALUE"""),96091)</f>
        <v>96091</v>
      </c>
      <c r="B1801" s="4">
        <f ca="1">IFERROR(__xludf.DUMMYFUNCTION("""COMPUTED_VALUE"""),44678)</f>
        <v>44678</v>
      </c>
      <c r="C1801" t="str">
        <f ca="1">IFERROR(__xludf.DUMMYFUNCTION("""COMPUTED_VALUE"""),"ООО ""ЭКОТРАНС"" 169-РДО от 26.04.2022")</f>
        <v>ООО "ЭКОТРАНС" 169-РДО от 26.04.2022</v>
      </c>
      <c r="D18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1" t="str">
        <f ca="1">IFERROR(__xludf.DUMMYFUNCTION("""COMPUTED_VALUE"""),"Новый")</f>
        <v>Новый</v>
      </c>
      <c r="G1801" s="68"/>
      <c r="K1801" s="68"/>
    </row>
    <row r="1802" spans="1:11" ht="12.75">
      <c r="A1802" s="69">
        <f ca="1">IFERROR(__xludf.DUMMYFUNCTION("""COMPUTED_VALUE"""),96092)</f>
        <v>96092</v>
      </c>
      <c r="B1802" s="4">
        <f ca="1">IFERROR(__xludf.DUMMYFUNCTION("""COMPUTED_VALUE"""),44678)</f>
        <v>44678</v>
      </c>
      <c r="C1802" t="str">
        <f ca="1">IFERROR(__xludf.DUMMYFUNCTION("""COMPUTED_VALUE"""),"ООО ""ЭКОТРАНС"" 169-РДО от 26.04.2022")</f>
        <v>ООО "ЭКОТРАНС" 169-РДО от 26.04.2022</v>
      </c>
      <c r="D18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2" t="str">
        <f ca="1">IFERROR(__xludf.DUMMYFUNCTION("""COMPUTED_VALUE"""),"Новый")</f>
        <v>Новый</v>
      </c>
      <c r="G1802" s="68"/>
      <c r="K1802" s="68"/>
    </row>
    <row r="1803" spans="1:11" ht="12.75">
      <c r="A1803" s="69">
        <f ca="1">IFERROR(__xludf.DUMMYFUNCTION("""COMPUTED_VALUE"""),96093)</f>
        <v>96093</v>
      </c>
      <c r="B1803" s="4">
        <f ca="1">IFERROR(__xludf.DUMMYFUNCTION("""COMPUTED_VALUE"""),44678)</f>
        <v>44678</v>
      </c>
      <c r="C1803" t="str">
        <f ca="1">IFERROR(__xludf.DUMMYFUNCTION("""COMPUTED_VALUE"""),"ООО ""ЭКОТРАНС"" 169-РДО от 26.04.2022")</f>
        <v>ООО "ЭКОТРАНС" 169-РДО от 26.04.2022</v>
      </c>
      <c r="D18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3" t="str">
        <f ca="1">IFERROR(__xludf.DUMMYFUNCTION("""COMPUTED_VALUE"""),"Новый")</f>
        <v>Новый</v>
      </c>
      <c r="G1803" s="68"/>
      <c r="K1803" s="68"/>
    </row>
    <row r="1804" spans="1:11" ht="12.75">
      <c r="A1804" s="69">
        <f ca="1">IFERROR(__xludf.DUMMYFUNCTION("""COMPUTED_VALUE"""),96094)</f>
        <v>96094</v>
      </c>
      <c r="B1804" s="4">
        <f ca="1">IFERROR(__xludf.DUMMYFUNCTION("""COMPUTED_VALUE"""),44678)</f>
        <v>44678</v>
      </c>
      <c r="C1804" t="str">
        <f ca="1">IFERROR(__xludf.DUMMYFUNCTION("""COMPUTED_VALUE"""),"ООО ""ЭКОТРАНС"" 169-РДО от 26.04.2022")</f>
        <v>ООО "ЭКОТРАНС" 169-РДО от 26.04.2022</v>
      </c>
      <c r="D18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4" t="str">
        <f ca="1">IFERROR(__xludf.DUMMYFUNCTION("""COMPUTED_VALUE"""),"Новый")</f>
        <v>Новый</v>
      </c>
      <c r="G1804" s="68"/>
      <c r="K1804" s="68"/>
    </row>
    <row r="1805" spans="1:11" ht="12.75">
      <c r="A1805" s="69">
        <f ca="1">IFERROR(__xludf.DUMMYFUNCTION("""COMPUTED_VALUE"""),96095)</f>
        <v>96095</v>
      </c>
      <c r="B1805" s="4">
        <f ca="1">IFERROR(__xludf.DUMMYFUNCTION("""COMPUTED_VALUE"""),44678)</f>
        <v>44678</v>
      </c>
      <c r="C1805" t="str">
        <f ca="1">IFERROR(__xludf.DUMMYFUNCTION("""COMPUTED_VALUE"""),"ООО ""ЭКОТРАНС"" 169-РДО от 26.04.2022")</f>
        <v>ООО "ЭКОТРАНС" 169-РДО от 26.04.2022</v>
      </c>
      <c r="D18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5" t="str">
        <f ca="1">IFERROR(__xludf.DUMMYFUNCTION("""COMPUTED_VALUE"""),"Новый")</f>
        <v>Новый</v>
      </c>
      <c r="G1805" s="68"/>
      <c r="K1805" s="68"/>
    </row>
    <row r="1806" spans="1:11" ht="12.75">
      <c r="A1806" s="69">
        <f ca="1">IFERROR(__xludf.DUMMYFUNCTION("""COMPUTED_VALUE"""),96096)</f>
        <v>96096</v>
      </c>
      <c r="B1806" s="4">
        <f ca="1">IFERROR(__xludf.DUMMYFUNCTION("""COMPUTED_VALUE"""),44678)</f>
        <v>44678</v>
      </c>
      <c r="C1806" t="str">
        <f ca="1">IFERROR(__xludf.DUMMYFUNCTION("""COMPUTED_VALUE"""),"ООО ""ЭКОТРАНС"" 169-РДО от 26.04.2022")</f>
        <v>ООО "ЭКОТРАНС" 169-РДО от 26.04.2022</v>
      </c>
      <c r="D18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6" t="str">
        <f ca="1">IFERROR(__xludf.DUMMYFUNCTION("""COMPUTED_VALUE"""),"Новый")</f>
        <v>Новый</v>
      </c>
      <c r="G1806" s="68"/>
      <c r="K1806" s="68"/>
    </row>
    <row r="1807" spans="1:11" ht="12.75">
      <c r="A1807" s="69">
        <f ca="1">IFERROR(__xludf.DUMMYFUNCTION("""COMPUTED_VALUE"""),96097)</f>
        <v>96097</v>
      </c>
      <c r="B1807" s="4">
        <f ca="1">IFERROR(__xludf.DUMMYFUNCTION("""COMPUTED_VALUE"""),44678)</f>
        <v>44678</v>
      </c>
      <c r="C1807" t="str">
        <f ca="1">IFERROR(__xludf.DUMMYFUNCTION("""COMPUTED_VALUE"""),"ООО ""ЭКОТРАНС"" 169-РДО от 26.04.2022")</f>
        <v>ООО "ЭКОТРАНС" 169-РДО от 26.04.2022</v>
      </c>
      <c r="D18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7" t="str">
        <f ca="1">IFERROR(__xludf.DUMMYFUNCTION("""COMPUTED_VALUE"""),"Новый")</f>
        <v>Новый</v>
      </c>
      <c r="G1807" s="68"/>
      <c r="K1807" s="68"/>
    </row>
    <row r="1808" spans="1:11" ht="12.75">
      <c r="A1808" s="69">
        <f ca="1">IFERROR(__xludf.DUMMYFUNCTION("""COMPUTED_VALUE"""),96098)</f>
        <v>96098</v>
      </c>
      <c r="B1808" s="4">
        <f ca="1">IFERROR(__xludf.DUMMYFUNCTION("""COMPUTED_VALUE"""),44678)</f>
        <v>44678</v>
      </c>
      <c r="C1808" t="str">
        <f ca="1">IFERROR(__xludf.DUMMYFUNCTION("""COMPUTED_VALUE"""),"ООО ""ЭКОТРАНС"" 169-РДО от 26.04.2022")</f>
        <v>ООО "ЭКОТРАНС" 169-РДО от 26.04.2022</v>
      </c>
      <c r="D18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8" t="str">
        <f ca="1">IFERROR(__xludf.DUMMYFUNCTION("""COMPUTED_VALUE"""),"Новый")</f>
        <v>Новый</v>
      </c>
      <c r="G1808" s="68"/>
      <c r="K1808" s="68"/>
    </row>
    <row r="1809" spans="1:11" ht="12.75">
      <c r="A1809" s="69">
        <f ca="1">IFERROR(__xludf.DUMMYFUNCTION("""COMPUTED_VALUE"""),96099)</f>
        <v>96099</v>
      </c>
      <c r="B1809" s="4">
        <f ca="1">IFERROR(__xludf.DUMMYFUNCTION("""COMPUTED_VALUE"""),44678)</f>
        <v>44678</v>
      </c>
      <c r="C1809" t="str">
        <f ca="1">IFERROR(__xludf.DUMMYFUNCTION("""COMPUTED_VALUE"""),"ООО ""ЭКОТРАНС"" 169-РДО от 26.04.2022")</f>
        <v>ООО "ЭКОТРАНС" 169-РДО от 26.04.2022</v>
      </c>
      <c r="D18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09" t="str">
        <f ca="1">IFERROR(__xludf.DUMMYFUNCTION("""COMPUTED_VALUE"""),"Новый")</f>
        <v>Новый</v>
      </c>
      <c r="G1809" s="68"/>
      <c r="K1809" s="68"/>
    </row>
    <row r="1810" spans="1:11" ht="12.75">
      <c r="A1810" s="69">
        <f ca="1">IFERROR(__xludf.DUMMYFUNCTION("""COMPUTED_VALUE"""),96100)</f>
        <v>96100</v>
      </c>
      <c r="B1810" s="4">
        <f ca="1">IFERROR(__xludf.DUMMYFUNCTION("""COMPUTED_VALUE"""),44678)</f>
        <v>44678</v>
      </c>
      <c r="C1810" t="str">
        <f ca="1">IFERROR(__xludf.DUMMYFUNCTION("""COMPUTED_VALUE"""),"ООО ""ЭКОТРАНС"" 169-РДО от 26.04.2022")</f>
        <v>ООО "ЭКОТРАНС" 169-РДО от 26.04.2022</v>
      </c>
      <c r="D18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0" t="str">
        <f ca="1">IFERROR(__xludf.DUMMYFUNCTION("""COMPUTED_VALUE"""),"Новый")</f>
        <v>Новый</v>
      </c>
      <c r="G1810" s="68"/>
      <c r="K1810" s="68"/>
    </row>
    <row r="1811" spans="1:11" ht="12.75">
      <c r="A1811" s="69">
        <f ca="1">IFERROR(__xludf.DUMMYFUNCTION("""COMPUTED_VALUE"""),96101)</f>
        <v>96101</v>
      </c>
      <c r="B1811" s="4">
        <f ca="1">IFERROR(__xludf.DUMMYFUNCTION("""COMPUTED_VALUE"""),44678)</f>
        <v>44678</v>
      </c>
      <c r="C1811" t="str">
        <f ca="1">IFERROR(__xludf.DUMMYFUNCTION("""COMPUTED_VALUE"""),"ООО ""ЭКОТРАНС"" 169-РДО от 26.04.2022")</f>
        <v>ООО "ЭКОТРАНС" 169-РДО от 26.04.2022</v>
      </c>
      <c r="D18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1" t="str">
        <f ca="1">IFERROR(__xludf.DUMMYFUNCTION("""COMPUTED_VALUE"""),"Новый")</f>
        <v>Новый</v>
      </c>
      <c r="G1811" s="68"/>
      <c r="K1811" s="68"/>
    </row>
    <row r="1812" spans="1:11" ht="12.75">
      <c r="A1812" s="69">
        <f ca="1">IFERROR(__xludf.DUMMYFUNCTION("""COMPUTED_VALUE"""),96102)</f>
        <v>96102</v>
      </c>
      <c r="B1812" s="4">
        <f ca="1">IFERROR(__xludf.DUMMYFUNCTION("""COMPUTED_VALUE"""),44678)</f>
        <v>44678</v>
      </c>
      <c r="C1812" t="str">
        <f ca="1">IFERROR(__xludf.DUMMYFUNCTION("""COMPUTED_VALUE"""),"ООО ""ЭКОТРАНС"" 169-РДО от 26.04.2022")</f>
        <v>ООО "ЭКОТРАНС" 169-РДО от 26.04.2022</v>
      </c>
      <c r="D18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2" t="str">
        <f ca="1">IFERROR(__xludf.DUMMYFUNCTION("""COMPUTED_VALUE"""),"Новый")</f>
        <v>Новый</v>
      </c>
      <c r="G1812" s="68"/>
      <c r="K1812" s="68"/>
    </row>
    <row r="1813" spans="1:11" ht="12.75">
      <c r="A1813" s="69">
        <f ca="1">IFERROR(__xludf.DUMMYFUNCTION("""COMPUTED_VALUE"""),96103)</f>
        <v>96103</v>
      </c>
      <c r="B1813" s="4">
        <f ca="1">IFERROR(__xludf.DUMMYFUNCTION("""COMPUTED_VALUE"""),44678)</f>
        <v>44678</v>
      </c>
      <c r="C1813" t="str">
        <f ca="1">IFERROR(__xludf.DUMMYFUNCTION("""COMPUTED_VALUE"""),"ООО ""ЭКОТРАНС"" 169-РДО от 26.04.2022")</f>
        <v>ООО "ЭКОТРАНС" 169-РДО от 26.04.2022</v>
      </c>
      <c r="D18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3" t="str">
        <f ca="1">IFERROR(__xludf.DUMMYFUNCTION("""COMPUTED_VALUE"""),"Новый")</f>
        <v>Новый</v>
      </c>
      <c r="G1813" s="68"/>
      <c r="K1813" s="68"/>
    </row>
    <row r="1814" spans="1:11" ht="12.75">
      <c r="A1814" s="69">
        <f ca="1">IFERROR(__xludf.DUMMYFUNCTION("""COMPUTED_VALUE"""),96104)</f>
        <v>96104</v>
      </c>
      <c r="B1814" s="4">
        <f ca="1">IFERROR(__xludf.DUMMYFUNCTION("""COMPUTED_VALUE"""),44678)</f>
        <v>44678</v>
      </c>
      <c r="C1814" t="str">
        <f ca="1">IFERROR(__xludf.DUMMYFUNCTION("""COMPUTED_VALUE"""),"ООО ""ЭКОТРАНС"" 169-РДО от 26.04.2022")</f>
        <v>ООО "ЭКОТРАНС" 169-РДО от 26.04.2022</v>
      </c>
      <c r="D18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4" t="str">
        <f ca="1">IFERROR(__xludf.DUMMYFUNCTION("""COMPUTED_VALUE"""),"Новый")</f>
        <v>Новый</v>
      </c>
      <c r="G1814" s="68"/>
      <c r="K1814" s="68"/>
    </row>
    <row r="1815" spans="1:11" ht="12.75">
      <c r="A1815" s="69">
        <f ca="1">IFERROR(__xludf.DUMMYFUNCTION("""COMPUTED_VALUE"""),96105)</f>
        <v>96105</v>
      </c>
      <c r="B1815" s="4">
        <f ca="1">IFERROR(__xludf.DUMMYFUNCTION("""COMPUTED_VALUE"""),44678)</f>
        <v>44678</v>
      </c>
      <c r="C1815" t="str">
        <f ca="1">IFERROR(__xludf.DUMMYFUNCTION("""COMPUTED_VALUE"""),"ООО ""ЭКОТРАНС"" 169-РДО от 26.04.2022")</f>
        <v>ООО "ЭКОТРАНС" 169-РДО от 26.04.2022</v>
      </c>
      <c r="D18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5" t="str">
        <f ca="1">IFERROR(__xludf.DUMMYFUNCTION("""COMPUTED_VALUE"""),"Новый")</f>
        <v>Новый</v>
      </c>
      <c r="G1815" s="68"/>
      <c r="K1815" s="68"/>
    </row>
    <row r="1816" spans="1:11" ht="12.75">
      <c r="A1816" s="69">
        <f ca="1">IFERROR(__xludf.DUMMYFUNCTION("""COMPUTED_VALUE"""),96106)</f>
        <v>96106</v>
      </c>
      <c r="B1816" s="4">
        <f ca="1">IFERROR(__xludf.DUMMYFUNCTION("""COMPUTED_VALUE"""),44678)</f>
        <v>44678</v>
      </c>
      <c r="C1816" t="str">
        <f ca="1">IFERROR(__xludf.DUMMYFUNCTION("""COMPUTED_VALUE"""),"ООО ""ЭКОТРАНС"" 169-РДО от 26.04.2022")</f>
        <v>ООО "ЭКОТРАНС" 169-РДО от 26.04.2022</v>
      </c>
      <c r="D18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6" t="str">
        <f ca="1">IFERROR(__xludf.DUMMYFUNCTION("""COMPUTED_VALUE"""),"Новый")</f>
        <v>Новый</v>
      </c>
      <c r="G1816" s="68"/>
      <c r="K1816" s="68"/>
    </row>
    <row r="1817" spans="1:11" ht="12.75">
      <c r="A1817" s="69">
        <f ca="1">IFERROR(__xludf.DUMMYFUNCTION("""COMPUTED_VALUE"""),96107)</f>
        <v>96107</v>
      </c>
      <c r="B1817" s="4">
        <f ca="1">IFERROR(__xludf.DUMMYFUNCTION("""COMPUTED_VALUE"""),44678)</f>
        <v>44678</v>
      </c>
      <c r="C1817" t="str">
        <f ca="1">IFERROR(__xludf.DUMMYFUNCTION("""COMPUTED_VALUE"""),"ООО ""ЭКОТРАНС"" 169-РДО от 26.04.2022")</f>
        <v>ООО "ЭКОТРАНС" 169-РДО от 26.04.2022</v>
      </c>
      <c r="D18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7" t="str">
        <f ca="1">IFERROR(__xludf.DUMMYFUNCTION("""COMPUTED_VALUE"""),"Новый")</f>
        <v>Новый</v>
      </c>
      <c r="G1817" s="68"/>
      <c r="K1817" s="68"/>
    </row>
    <row r="1818" spans="1:11" ht="12.75">
      <c r="A1818" s="69">
        <f ca="1">IFERROR(__xludf.DUMMYFUNCTION("""COMPUTED_VALUE"""),96108)</f>
        <v>96108</v>
      </c>
      <c r="B1818" s="4">
        <f ca="1">IFERROR(__xludf.DUMMYFUNCTION("""COMPUTED_VALUE"""),44678)</f>
        <v>44678</v>
      </c>
      <c r="C1818" t="str">
        <f ca="1">IFERROR(__xludf.DUMMYFUNCTION("""COMPUTED_VALUE"""),"ООО ""ЭКОТРАНС"" 169-РДО от 26.04.2022")</f>
        <v>ООО "ЭКОТРАНС" 169-РДО от 26.04.2022</v>
      </c>
      <c r="D18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8" t="str">
        <f ca="1">IFERROR(__xludf.DUMMYFUNCTION("""COMPUTED_VALUE"""),"Новый")</f>
        <v>Новый</v>
      </c>
      <c r="G1818" s="68"/>
      <c r="K1818" s="68"/>
    </row>
    <row r="1819" spans="1:11" ht="12.75">
      <c r="A1819" s="69">
        <f ca="1">IFERROR(__xludf.DUMMYFUNCTION("""COMPUTED_VALUE"""),96109)</f>
        <v>96109</v>
      </c>
      <c r="B1819" s="4">
        <f ca="1">IFERROR(__xludf.DUMMYFUNCTION("""COMPUTED_VALUE"""),44678)</f>
        <v>44678</v>
      </c>
      <c r="C1819" t="str">
        <f ca="1">IFERROR(__xludf.DUMMYFUNCTION("""COMPUTED_VALUE"""),"ООО ""ЭКОТРАНС"" 169-РДО от 26.04.2022")</f>
        <v>ООО "ЭКОТРАНС" 169-РДО от 26.04.2022</v>
      </c>
      <c r="D18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19" t="str">
        <f ca="1">IFERROR(__xludf.DUMMYFUNCTION("""COMPUTED_VALUE"""),"Новый")</f>
        <v>Новый</v>
      </c>
      <c r="G1819" s="68"/>
      <c r="K1819" s="68"/>
    </row>
    <row r="1820" spans="1:11" ht="12.75">
      <c r="A1820" s="69">
        <f ca="1">IFERROR(__xludf.DUMMYFUNCTION("""COMPUTED_VALUE"""),96110)</f>
        <v>96110</v>
      </c>
      <c r="B1820" s="4">
        <f ca="1">IFERROR(__xludf.DUMMYFUNCTION("""COMPUTED_VALUE"""),44678)</f>
        <v>44678</v>
      </c>
      <c r="C1820" t="str">
        <f ca="1">IFERROR(__xludf.DUMMYFUNCTION("""COMPUTED_VALUE"""),"ООО ""ЭКОТРАНС"" 169-РДО от 26.04.2022")</f>
        <v>ООО "ЭКОТРАНС" 169-РДО от 26.04.2022</v>
      </c>
      <c r="D18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0" t="str">
        <f ca="1">IFERROR(__xludf.DUMMYFUNCTION("""COMPUTED_VALUE"""),"Новый")</f>
        <v>Новый</v>
      </c>
      <c r="G1820" s="68"/>
      <c r="K1820" s="68"/>
    </row>
    <row r="1821" spans="1:11" ht="12.75">
      <c r="A1821" s="69">
        <f ca="1">IFERROR(__xludf.DUMMYFUNCTION("""COMPUTED_VALUE"""),96111)</f>
        <v>96111</v>
      </c>
      <c r="B1821" s="4">
        <f ca="1">IFERROR(__xludf.DUMMYFUNCTION("""COMPUTED_VALUE"""),44678)</f>
        <v>44678</v>
      </c>
      <c r="C1821" t="str">
        <f ca="1">IFERROR(__xludf.DUMMYFUNCTION("""COMPUTED_VALUE"""),"ООО ""ЭКОТРАНС"" 169-РДО от 26.04.2022")</f>
        <v>ООО "ЭКОТРАНС" 169-РДО от 26.04.2022</v>
      </c>
      <c r="D18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1" t="str">
        <f ca="1">IFERROR(__xludf.DUMMYFUNCTION("""COMPUTED_VALUE"""),"Новый")</f>
        <v>Новый</v>
      </c>
      <c r="G1821" s="68"/>
      <c r="K1821" s="68"/>
    </row>
    <row r="1822" spans="1:11" ht="12.75">
      <c r="A1822" s="69">
        <f ca="1">IFERROR(__xludf.DUMMYFUNCTION("""COMPUTED_VALUE"""),96112)</f>
        <v>96112</v>
      </c>
      <c r="B1822" s="4">
        <f ca="1">IFERROR(__xludf.DUMMYFUNCTION("""COMPUTED_VALUE"""),44678)</f>
        <v>44678</v>
      </c>
      <c r="C1822" t="str">
        <f ca="1">IFERROR(__xludf.DUMMYFUNCTION("""COMPUTED_VALUE"""),"ООО ""ЭКОТРАНС"" 169-РДО от 26.04.2022")</f>
        <v>ООО "ЭКОТРАНС" 169-РДО от 26.04.2022</v>
      </c>
      <c r="D18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2" t="str">
        <f ca="1">IFERROR(__xludf.DUMMYFUNCTION("""COMPUTED_VALUE"""),"Новый")</f>
        <v>Новый</v>
      </c>
      <c r="G1822" s="68"/>
      <c r="K1822" s="68"/>
    </row>
    <row r="1823" spans="1:11" ht="12.75">
      <c r="A1823" s="69">
        <f ca="1">IFERROR(__xludf.DUMMYFUNCTION("""COMPUTED_VALUE"""),96113)</f>
        <v>96113</v>
      </c>
      <c r="B1823" s="4">
        <f ca="1">IFERROR(__xludf.DUMMYFUNCTION("""COMPUTED_VALUE"""),44678)</f>
        <v>44678</v>
      </c>
      <c r="C1823" t="str">
        <f ca="1">IFERROR(__xludf.DUMMYFUNCTION("""COMPUTED_VALUE"""),"ООО ""ЭКОТРАНС"" 169-РДО от 26.04.2022")</f>
        <v>ООО "ЭКОТРАНС" 169-РДО от 26.04.2022</v>
      </c>
      <c r="D18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3" t="str">
        <f ca="1">IFERROR(__xludf.DUMMYFUNCTION("""COMPUTED_VALUE"""),"Новый")</f>
        <v>Новый</v>
      </c>
      <c r="G1823" s="68"/>
      <c r="K1823" s="68"/>
    </row>
    <row r="1824" spans="1:11" ht="12.75">
      <c r="A1824" s="69">
        <f ca="1">IFERROR(__xludf.DUMMYFUNCTION("""COMPUTED_VALUE"""),96114)</f>
        <v>96114</v>
      </c>
      <c r="B1824" s="4">
        <f ca="1">IFERROR(__xludf.DUMMYFUNCTION("""COMPUTED_VALUE"""),44678)</f>
        <v>44678</v>
      </c>
      <c r="C1824" t="str">
        <f ca="1">IFERROR(__xludf.DUMMYFUNCTION("""COMPUTED_VALUE"""),"ООО ""ЭКОТРАНС"" 169-РДО от 26.04.2022")</f>
        <v>ООО "ЭКОТРАНС" 169-РДО от 26.04.2022</v>
      </c>
      <c r="D18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4" t="str">
        <f ca="1">IFERROR(__xludf.DUMMYFUNCTION("""COMPUTED_VALUE"""),"Новый")</f>
        <v>Новый</v>
      </c>
      <c r="G1824" s="68"/>
      <c r="K1824" s="68"/>
    </row>
    <row r="1825" spans="1:11" ht="12.75">
      <c r="A1825" s="69">
        <f ca="1">IFERROR(__xludf.DUMMYFUNCTION("""COMPUTED_VALUE"""),96115)</f>
        <v>96115</v>
      </c>
      <c r="B1825" s="4">
        <f ca="1">IFERROR(__xludf.DUMMYFUNCTION("""COMPUTED_VALUE"""),44678)</f>
        <v>44678</v>
      </c>
      <c r="C1825" t="str">
        <f ca="1">IFERROR(__xludf.DUMMYFUNCTION("""COMPUTED_VALUE"""),"ООО ""ЭКОТРАНС"" 169-РДО от 26.04.2022")</f>
        <v>ООО "ЭКОТРАНС" 169-РДО от 26.04.2022</v>
      </c>
      <c r="D18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5" t="str">
        <f ca="1">IFERROR(__xludf.DUMMYFUNCTION("""COMPUTED_VALUE"""),"Новый")</f>
        <v>Новый</v>
      </c>
      <c r="G1825" s="68"/>
      <c r="K1825" s="68"/>
    </row>
    <row r="1826" spans="1:11" ht="12.75">
      <c r="A1826" s="69">
        <f ca="1">IFERROR(__xludf.DUMMYFUNCTION("""COMPUTED_VALUE"""),96116)</f>
        <v>96116</v>
      </c>
      <c r="B1826" s="4">
        <f ca="1">IFERROR(__xludf.DUMMYFUNCTION("""COMPUTED_VALUE"""),44678)</f>
        <v>44678</v>
      </c>
      <c r="C1826" t="str">
        <f ca="1">IFERROR(__xludf.DUMMYFUNCTION("""COMPUTED_VALUE"""),"ООО ""ЭКОТРАНС"" 169-РДО от 26.04.2022")</f>
        <v>ООО "ЭКОТРАНС" 169-РДО от 26.04.2022</v>
      </c>
      <c r="D18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6" t="str">
        <f ca="1">IFERROR(__xludf.DUMMYFUNCTION("""COMPUTED_VALUE"""),"Новый")</f>
        <v>Новый</v>
      </c>
      <c r="G1826" s="68"/>
      <c r="K1826" s="68"/>
    </row>
    <row r="1827" spans="1:11" ht="12.75">
      <c r="A1827" s="69">
        <f ca="1">IFERROR(__xludf.DUMMYFUNCTION("""COMPUTED_VALUE"""),96117)</f>
        <v>96117</v>
      </c>
      <c r="B1827" s="4">
        <f ca="1">IFERROR(__xludf.DUMMYFUNCTION("""COMPUTED_VALUE"""),44678)</f>
        <v>44678</v>
      </c>
      <c r="C1827" t="str">
        <f ca="1">IFERROR(__xludf.DUMMYFUNCTION("""COMPUTED_VALUE"""),"ООО ""ЭКОТРАНС"" 169-РДО от 26.04.2022")</f>
        <v>ООО "ЭКОТРАНС" 169-РДО от 26.04.2022</v>
      </c>
      <c r="D18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7" t="str">
        <f ca="1">IFERROR(__xludf.DUMMYFUNCTION("""COMPUTED_VALUE"""),"Новый")</f>
        <v>Новый</v>
      </c>
      <c r="G1827" s="68"/>
      <c r="K1827" s="68"/>
    </row>
    <row r="1828" spans="1:11" ht="12.75">
      <c r="A1828" s="69">
        <f ca="1">IFERROR(__xludf.DUMMYFUNCTION("""COMPUTED_VALUE"""),96118)</f>
        <v>96118</v>
      </c>
      <c r="B1828" s="4">
        <f ca="1">IFERROR(__xludf.DUMMYFUNCTION("""COMPUTED_VALUE"""),44678)</f>
        <v>44678</v>
      </c>
      <c r="C1828" t="str">
        <f ca="1">IFERROR(__xludf.DUMMYFUNCTION("""COMPUTED_VALUE"""),"ООО ""ЭКОТРАНС"" 169-РДО от 26.04.2022")</f>
        <v>ООО "ЭКОТРАНС" 169-РДО от 26.04.2022</v>
      </c>
      <c r="D18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8" t="str">
        <f ca="1">IFERROR(__xludf.DUMMYFUNCTION("""COMPUTED_VALUE"""),"Новый")</f>
        <v>Новый</v>
      </c>
      <c r="G1828" s="68"/>
      <c r="K1828" s="68"/>
    </row>
    <row r="1829" spans="1:11" ht="12.75">
      <c r="A1829" s="69">
        <f ca="1">IFERROR(__xludf.DUMMYFUNCTION("""COMPUTED_VALUE"""),96119)</f>
        <v>96119</v>
      </c>
      <c r="B1829" s="4">
        <f ca="1">IFERROR(__xludf.DUMMYFUNCTION("""COMPUTED_VALUE"""),44678)</f>
        <v>44678</v>
      </c>
      <c r="C1829" t="str">
        <f ca="1">IFERROR(__xludf.DUMMYFUNCTION("""COMPUTED_VALUE"""),"ООО ""ЭКОТРАНС"" 169-РДО от 26.04.2022")</f>
        <v>ООО "ЭКОТРАНС" 169-РДО от 26.04.2022</v>
      </c>
      <c r="D18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29" t="str">
        <f ca="1">IFERROR(__xludf.DUMMYFUNCTION("""COMPUTED_VALUE"""),"Новый")</f>
        <v>Новый</v>
      </c>
      <c r="G1829" s="68"/>
      <c r="K1829" s="68"/>
    </row>
    <row r="1830" spans="1:11" ht="12.75">
      <c r="A1830" s="69">
        <f ca="1">IFERROR(__xludf.DUMMYFUNCTION("""COMPUTED_VALUE"""),96120)</f>
        <v>96120</v>
      </c>
      <c r="B1830" s="4">
        <f ca="1">IFERROR(__xludf.DUMMYFUNCTION("""COMPUTED_VALUE"""),44678)</f>
        <v>44678</v>
      </c>
      <c r="C1830" t="str">
        <f ca="1">IFERROR(__xludf.DUMMYFUNCTION("""COMPUTED_VALUE"""),"ООО ""ЭКОТРАНС"" 169-РДО от 26.04.2022")</f>
        <v>ООО "ЭКОТРАНС" 169-РДО от 26.04.2022</v>
      </c>
      <c r="D18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0" t="str">
        <f ca="1">IFERROR(__xludf.DUMMYFUNCTION("""COMPUTED_VALUE"""),"Новый")</f>
        <v>Новый</v>
      </c>
      <c r="G1830" s="68"/>
      <c r="K1830" s="68"/>
    </row>
    <row r="1831" spans="1:11" ht="12.75">
      <c r="A1831" s="69">
        <f ca="1">IFERROR(__xludf.DUMMYFUNCTION("""COMPUTED_VALUE"""),96121)</f>
        <v>96121</v>
      </c>
      <c r="B1831" s="4">
        <f ca="1">IFERROR(__xludf.DUMMYFUNCTION("""COMPUTED_VALUE"""),44678)</f>
        <v>44678</v>
      </c>
      <c r="C1831" t="str">
        <f ca="1">IFERROR(__xludf.DUMMYFUNCTION("""COMPUTED_VALUE"""),"ООО ""ЭКОТРАНС"" 169-РДО от 26.04.2022")</f>
        <v>ООО "ЭКОТРАНС" 169-РДО от 26.04.2022</v>
      </c>
      <c r="D18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1" t="str">
        <f ca="1">IFERROR(__xludf.DUMMYFUNCTION("""COMPUTED_VALUE"""),"Новый")</f>
        <v>Новый</v>
      </c>
      <c r="G1831" s="68"/>
      <c r="K1831" s="68"/>
    </row>
    <row r="1832" spans="1:11" ht="12.75">
      <c r="A1832" s="69">
        <f ca="1">IFERROR(__xludf.DUMMYFUNCTION("""COMPUTED_VALUE"""),96133)</f>
        <v>96133</v>
      </c>
      <c r="B1832" s="4">
        <f ca="1">IFERROR(__xludf.DUMMYFUNCTION("""COMPUTED_VALUE"""),44678)</f>
        <v>44678</v>
      </c>
      <c r="C1832" t="str">
        <f ca="1">IFERROR(__xludf.DUMMYFUNCTION("""COMPUTED_VALUE"""),"ООО ""ЭКОТРАНС"" 169-РДО от 26.04.2022")</f>
        <v>ООО "ЭКОТРАНС" 169-РДО от 26.04.2022</v>
      </c>
      <c r="D18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2" t="str">
        <f ca="1">IFERROR(__xludf.DUMMYFUNCTION("""COMPUTED_VALUE"""),"Новый")</f>
        <v>Новый</v>
      </c>
      <c r="G1832" s="68"/>
      <c r="K1832" s="68"/>
    </row>
    <row r="1833" spans="1:11" ht="12.75">
      <c r="A1833" s="69">
        <f ca="1">IFERROR(__xludf.DUMMYFUNCTION("""COMPUTED_VALUE"""),96172)</f>
        <v>96172</v>
      </c>
      <c r="B1833" s="4">
        <f ca="1">IFERROR(__xludf.DUMMYFUNCTION("""COMPUTED_VALUE"""),44678)</f>
        <v>44678</v>
      </c>
      <c r="C1833" t="str">
        <f ca="1">IFERROR(__xludf.DUMMYFUNCTION("""COMPUTED_VALUE"""),"ООО УО ""УНИВЕРСАЛ"" 146-РДО от 13.04.2022")</f>
        <v>ООО УО "УНИВЕРСАЛ" 146-РДО от 13.04.2022</v>
      </c>
      <c r="D18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3" t="str">
        <f ca="1">IFERROR(__xludf.DUMMYFUNCTION("""COMPUTED_VALUE"""),"Новый")</f>
        <v>Новый</v>
      </c>
      <c r="G1833" s="68"/>
      <c r="K1833" s="68"/>
    </row>
    <row r="1834" spans="1:11" ht="12.75">
      <c r="A1834" s="69">
        <f ca="1">IFERROR(__xludf.DUMMYFUNCTION("""COMPUTED_VALUE"""),96173)</f>
        <v>96173</v>
      </c>
      <c r="B1834" s="4">
        <f ca="1">IFERROR(__xludf.DUMMYFUNCTION("""COMPUTED_VALUE"""),44678)</f>
        <v>44678</v>
      </c>
      <c r="C1834" t="str">
        <f ca="1">IFERROR(__xludf.DUMMYFUNCTION("""COMPUTED_VALUE"""),"ООО УО ""УНИВЕРСАЛ"" 146-РДО от 13.04.2022")</f>
        <v>ООО УО "УНИВЕРСАЛ" 146-РДО от 13.04.2022</v>
      </c>
      <c r="D18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4" t="str">
        <f ca="1">IFERROR(__xludf.DUMMYFUNCTION("""COMPUTED_VALUE"""),"Новый")</f>
        <v>Новый</v>
      </c>
      <c r="G1834" s="68"/>
      <c r="K1834" s="68"/>
    </row>
    <row r="1835" spans="1:11" ht="12.75">
      <c r="A1835" s="69">
        <f ca="1">IFERROR(__xludf.DUMMYFUNCTION("""COMPUTED_VALUE"""),96174)</f>
        <v>96174</v>
      </c>
      <c r="B1835" s="4">
        <f ca="1">IFERROR(__xludf.DUMMYFUNCTION("""COMPUTED_VALUE"""),44678)</f>
        <v>44678</v>
      </c>
      <c r="C1835" t="str">
        <f ca="1">IFERROR(__xludf.DUMMYFUNCTION("""COMPUTED_VALUE"""),"ООО УО ""УНИВЕРСАЛ"" 146-РДО от 13.04.2022")</f>
        <v>ООО УО "УНИВЕРСАЛ" 146-РДО от 13.04.2022</v>
      </c>
      <c r="D18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5" t="str">
        <f ca="1">IFERROR(__xludf.DUMMYFUNCTION("""COMPUTED_VALUE"""),"Новый")</f>
        <v>Новый</v>
      </c>
      <c r="G1835" s="68"/>
      <c r="K1835" s="68"/>
    </row>
    <row r="1836" spans="1:11" ht="12.75">
      <c r="A1836" s="69">
        <f ca="1">IFERROR(__xludf.DUMMYFUNCTION("""COMPUTED_VALUE"""),96175)</f>
        <v>96175</v>
      </c>
      <c r="B1836" s="4">
        <f ca="1">IFERROR(__xludf.DUMMYFUNCTION("""COMPUTED_VALUE"""),44678)</f>
        <v>44678</v>
      </c>
      <c r="C1836" t="str">
        <f ca="1">IFERROR(__xludf.DUMMYFUNCTION("""COMPUTED_VALUE"""),"ООО УО ""УНИВЕРСАЛ"" 146-РДО от 13.04.2022")</f>
        <v>ООО УО "УНИВЕРСАЛ" 146-РДО от 13.04.2022</v>
      </c>
      <c r="D18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6" t="str">
        <f ca="1">IFERROR(__xludf.DUMMYFUNCTION("""COMPUTED_VALUE"""),"Новый")</f>
        <v>Новый</v>
      </c>
      <c r="G1836" s="68"/>
      <c r="K1836" s="68"/>
    </row>
    <row r="1837" spans="1:11" ht="12.75">
      <c r="A1837" s="69">
        <f ca="1">IFERROR(__xludf.DUMMYFUNCTION("""COMPUTED_VALUE"""),96176)</f>
        <v>96176</v>
      </c>
      <c r="B1837" s="4">
        <f ca="1">IFERROR(__xludf.DUMMYFUNCTION("""COMPUTED_VALUE"""),44678)</f>
        <v>44678</v>
      </c>
      <c r="C1837" t="str">
        <f ca="1">IFERROR(__xludf.DUMMYFUNCTION("""COMPUTED_VALUE"""),"ООО УО ""УНИВЕРСАЛ"" 146-РДО от 13.04.2022")</f>
        <v>ООО УО "УНИВЕРСАЛ" 146-РДО от 13.04.2022</v>
      </c>
      <c r="D18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7" t="str">
        <f ca="1">IFERROR(__xludf.DUMMYFUNCTION("""COMPUTED_VALUE"""),"Новый")</f>
        <v>Новый</v>
      </c>
      <c r="G1837" s="68"/>
      <c r="K1837" s="68"/>
    </row>
    <row r="1838" spans="1:11" ht="12.75">
      <c r="A1838" s="69">
        <f ca="1">IFERROR(__xludf.DUMMYFUNCTION("""COMPUTED_VALUE"""),96177)</f>
        <v>96177</v>
      </c>
      <c r="B1838" s="4">
        <f ca="1">IFERROR(__xludf.DUMMYFUNCTION("""COMPUTED_VALUE"""),44678)</f>
        <v>44678</v>
      </c>
      <c r="C1838" t="str">
        <f ca="1">IFERROR(__xludf.DUMMYFUNCTION("""COMPUTED_VALUE"""),"ООО УО ""УНИВЕРСАЛ"" 146-РДО от 13.04.2022")</f>
        <v>ООО УО "УНИВЕРСАЛ" 146-РДО от 13.04.2022</v>
      </c>
      <c r="D18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8" t="str">
        <f ca="1">IFERROR(__xludf.DUMMYFUNCTION("""COMPUTED_VALUE"""),"Новый")</f>
        <v>Новый</v>
      </c>
      <c r="G1838" s="68"/>
      <c r="K1838" s="68"/>
    </row>
    <row r="1839" spans="1:11" ht="12.75">
      <c r="A1839" s="69">
        <f ca="1">IFERROR(__xludf.DUMMYFUNCTION("""COMPUTED_VALUE"""),96178)</f>
        <v>96178</v>
      </c>
      <c r="B1839" s="4">
        <f ca="1">IFERROR(__xludf.DUMMYFUNCTION("""COMPUTED_VALUE"""),44678)</f>
        <v>44678</v>
      </c>
      <c r="C1839" t="str">
        <f ca="1">IFERROR(__xludf.DUMMYFUNCTION("""COMPUTED_VALUE"""),"ООО УО ""УНИВЕРСАЛ"" 146-РДО от 13.04.2022")</f>
        <v>ООО УО "УНИВЕРСАЛ" 146-РДО от 13.04.2022</v>
      </c>
      <c r="D18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39" t="str">
        <f ca="1">IFERROR(__xludf.DUMMYFUNCTION("""COMPUTED_VALUE"""),"Новый")</f>
        <v>Новый</v>
      </c>
      <c r="G1839" s="68"/>
      <c r="K1839" s="68"/>
    </row>
    <row r="1840" spans="1:11" ht="12.75">
      <c r="A1840" s="69">
        <f ca="1">IFERROR(__xludf.DUMMYFUNCTION("""COMPUTED_VALUE"""),96179)</f>
        <v>96179</v>
      </c>
      <c r="B1840" s="4">
        <f ca="1">IFERROR(__xludf.DUMMYFUNCTION("""COMPUTED_VALUE"""),44678)</f>
        <v>44678</v>
      </c>
      <c r="C1840" t="str">
        <f ca="1">IFERROR(__xludf.DUMMYFUNCTION("""COMPUTED_VALUE"""),"ООО УО ""УНИВЕРСАЛ"" 146-РДО от 13.04.2022")</f>
        <v>ООО УО "УНИВЕРСАЛ" 146-РДО от 13.04.2022</v>
      </c>
      <c r="D18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0" t="str">
        <f ca="1">IFERROR(__xludf.DUMMYFUNCTION("""COMPUTED_VALUE"""),"Новый")</f>
        <v>Новый</v>
      </c>
      <c r="G1840" s="68"/>
      <c r="K1840" s="68"/>
    </row>
    <row r="1841" spans="1:11" ht="12.75">
      <c r="A1841" s="69">
        <f ca="1">IFERROR(__xludf.DUMMYFUNCTION("""COMPUTED_VALUE"""),96180)</f>
        <v>96180</v>
      </c>
      <c r="B1841" s="4">
        <f ca="1">IFERROR(__xludf.DUMMYFUNCTION("""COMPUTED_VALUE"""),44678)</f>
        <v>44678</v>
      </c>
      <c r="C1841" t="str">
        <f ca="1">IFERROR(__xludf.DUMMYFUNCTION("""COMPUTED_VALUE"""),"ООО УО ""УНИВЕРСАЛ"" 146-РДО от 13.04.2022")</f>
        <v>ООО УО "УНИВЕРСАЛ" 146-РДО от 13.04.2022</v>
      </c>
      <c r="D18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1" t="str">
        <f ca="1">IFERROR(__xludf.DUMMYFUNCTION("""COMPUTED_VALUE"""),"Новый")</f>
        <v>Новый</v>
      </c>
      <c r="G1841" s="68"/>
      <c r="K1841" s="68"/>
    </row>
    <row r="1842" spans="1:11" ht="12.75">
      <c r="A1842" s="69">
        <f ca="1">IFERROR(__xludf.DUMMYFUNCTION("""COMPUTED_VALUE"""),96181)</f>
        <v>96181</v>
      </c>
      <c r="B1842" s="4">
        <f ca="1">IFERROR(__xludf.DUMMYFUNCTION("""COMPUTED_VALUE"""),44678)</f>
        <v>44678</v>
      </c>
      <c r="C1842" t="str">
        <f ca="1">IFERROR(__xludf.DUMMYFUNCTION("""COMPUTED_VALUE"""),"ООО УО ""УНИВЕРСАЛ"" 146-РДО от 13.04.2022")</f>
        <v>ООО УО "УНИВЕРСАЛ" 146-РДО от 13.04.2022</v>
      </c>
      <c r="D18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2" t="str">
        <f ca="1">IFERROR(__xludf.DUMMYFUNCTION("""COMPUTED_VALUE"""),"Новый")</f>
        <v>Новый</v>
      </c>
      <c r="G1842" s="68"/>
      <c r="K1842" s="68"/>
    </row>
    <row r="1843" spans="1:11" ht="12.75">
      <c r="A1843" s="69">
        <f ca="1">IFERROR(__xludf.DUMMYFUNCTION("""COMPUTED_VALUE"""),96182)</f>
        <v>96182</v>
      </c>
      <c r="B1843" s="4">
        <f ca="1">IFERROR(__xludf.DUMMYFUNCTION("""COMPUTED_VALUE"""),44678)</f>
        <v>44678</v>
      </c>
      <c r="C1843" t="str">
        <f ca="1">IFERROR(__xludf.DUMMYFUNCTION("""COMPUTED_VALUE"""),"ООО УО ""УНИВЕРСАЛ"" 146-РДО от 13.04.2022")</f>
        <v>ООО УО "УНИВЕРСАЛ" 146-РДО от 13.04.2022</v>
      </c>
      <c r="D18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3" t="str">
        <f ca="1">IFERROR(__xludf.DUMMYFUNCTION("""COMPUTED_VALUE"""),"Новый")</f>
        <v>Новый</v>
      </c>
      <c r="G1843" s="68"/>
      <c r="K1843" s="68"/>
    </row>
    <row r="1844" spans="1:11" ht="12.75">
      <c r="A1844" s="69">
        <f ca="1">IFERROR(__xludf.DUMMYFUNCTION("""COMPUTED_VALUE"""),96183)</f>
        <v>96183</v>
      </c>
      <c r="B1844" s="4">
        <f ca="1">IFERROR(__xludf.DUMMYFUNCTION("""COMPUTED_VALUE"""),44678)</f>
        <v>44678</v>
      </c>
      <c r="C1844" t="str">
        <f ca="1">IFERROR(__xludf.DUMMYFUNCTION("""COMPUTED_VALUE"""),"ООО УО ""УНИВЕРСАЛ"" 146-РДО от 13.04.2022")</f>
        <v>ООО УО "УНИВЕРСАЛ" 146-РДО от 13.04.2022</v>
      </c>
      <c r="D18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4" t="str">
        <f ca="1">IFERROR(__xludf.DUMMYFUNCTION("""COMPUTED_VALUE"""),"Новый")</f>
        <v>Новый</v>
      </c>
      <c r="G1844" s="68"/>
      <c r="K1844" s="68"/>
    </row>
    <row r="1845" spans="1:11" ht="12.75">
      <c r="A1845" s="69">
        <f ca="1">IFERROR(__xludf.DUMMYFUNCTION("""COMPUTED_VALUE"""),96184)</f>
        <v>96184</v>
      </c>
      <c r="B1845" s="4">
        <f ca="1">IFERROR(__xludf.DUMMYFUNCTION("""COMPUTED_VALUE"""),44678)</f>
        <v>44678</v>
      </c>
      <c r="C1845" t="str">
        <f ca="1">IFERROR(__xludf.DUMMYFUNCTION("""COMPUTED_VALUE"""),"ООО УО ""УНИВЕРСАЛ"" 146-РДО от 13.04.2022")</f>
        <v>ООО УО "УНИВЕРСАЛ" 146-РДО от 13.04.2022</v>
      </c>
      <c r="D18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5" t="str">
        <f ca="1">IFERROR(__xludf.DUMMYFUNCTION("""COMPUTED_VALUE"""),"Новый")</f>
        <v>Новый</v>
      </c>
      <c r="G1845" s="68"/>
      <c r="K1845" s="68"/>
    </row>
    <row r="1846" spans="1:11" ht="12.75">
      <c r="A1846" s="69">
        <f ca="1">IFERROR(__xludf.DUMMYFUNCTION("""COMPUTED_VALUE"""),96185)</f>
        <v>96185</v>
      </c>
      <c r="B1846" s="4">
        <f ca="1">IFERROR(__xludf.DUMMYFUNCTION("""COMPUTED_VALUE"""),44678)</f>
        <v>44678</v>
      </c>
      <c r="C1846" t="str">
        <f ca="1">IFERROR(__xludf.DUMMYFUNCTION("""COMPUTED_VALUE"""),"ООО УО ""УНИВЕРСАЛ"" 146-РДО от 13.04.2022")</f>
        <v>ООО УО "УНИВЕРСАЛ" 146-РДО от 13.04.2022</v>
      </c>
      <c r="D18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6" t="str">
        <f ca="1">IFERROR(__xludf.DUMMYFUNCTION("""COMPUTED_VALUE"""),"Новый")</f>
        <v>Новый</v>
      </c>
      <c r="G1846" s="68"/>
      <c r="K1846" s="68"/>
    </row>
    <row r="1847" spans="1:11" ht="12.75">
      <c r="A1847" s="69">
        <f ca="1">IFERROR(__xludf.DUMMYFUNCTION("""COMPUTED_VALUE"""),96186)</f>
        <v>96186</v>
      </c>
      <c r="B1847" s="4">
        <f ca="1">IFERROR(__xludf.DUMMYFUNCTION("""COMPUTED_VALUE"""),44678)</f>
        <v>44678</v>
      </c>
      <c r="C1847" t="str">
        <f ca="1">IFERROR(__xludf.DUMMYFUNCTION("""COMPUTED_VALUE"""),"ООО УО ""УНИВЕРСАЛ"" 146-РДО от 13.04.2022")</f>
        <v>ООО УО "УНИВЕРСАЛ" 146-РДО от 13.04.2022</v>
      </c>
      <c r="D18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7" t="str">
        <f ca="1">IFERROR(__xludf.DUMMYFUNCTION("""COMPUTED_VALUE"""),"Новый")</f>
        <v>Новый</v>
      </c>
      <c r="G1847" s="68"/>
      <c r="K1847" s="68"/>
    </row>
    <row r="1848" spans="1:11" ht="12.75">
      <c r="A1848" s="69">
        <f ca="1">IFERROR(__xludf.DUMMYFUNCTION("""COMPUTED_VALUE"""),96187)</f>
        <v>96187</v>
      </c>
      <c r="B1848" s="4">
        <f ca="1">IFERROR(__xludf.DUMMYFUNCTION("""COMPUTED_VALUE"""),44678)</f>
        <v>44678</v>
      </c>
      <c r="C1848" t="str">
        <f ca="1">IFERROR(__xludf.DUMMYFUNCTION("""COMPUTED_VALUE"""),"ООО УО ""УНИВЕРСАЛ"" 146-РДО от 13.04.2022")</f>
        <v>ООО УО "УНИВЕРСАЛ" 146-РДО от 13.04.2022</v>
      </c>
      <c r="D18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8" t="str">
        <f ca="1">IFERROR(__xludf.DUMMYFUNCTION("""COMPUTED_VALUE"""),"Новый")</f>
        <v>Новый</v>
      </c>
      <c r="G1848" s="68"/>
      <c r="K1848" s="68"/>
    </row>
    <row r="1849" spans="1:11" ht="12.75">
      <c r="A1849" s="69">
        <f ca="1">IFERROR(__xludf.DUMMYFUNCTION("""COMPUTED_VALUE"""),96188)</f>
        <v>96188</v>
      </c>
      <c r="B1849" s="4">
        <f ca="1">IFERROR(__xludf.DUMMYFUNCTION("""COMPUTED_VALUE"""),44678)</f>
        <v>44678</v>
      </c>
      <c r="C1849" t="str">
        <f ca="1">IFERROR(__xludf.DUMMYFUNCTION("""COMPUTED_VALUE"""),"ООО УО ""УНИВЕРСАЛ"" 146-РДО от 13.04.2022")</f>
        <v>ООО УО "УНИВЕРСАЛ" 146-РДО от 13.04.2022</v>
      </c>
      <c r="D18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49" t="str">
        <f ca="1">IFERROR(__xludf.DUMMYFUNCTION("""COMPUTED_VALUE"""),"Новый")</f>
        <v>Новый</v>
      </c>
      <c r="G1849" s="68"/>
      <c r="K1849" s="68"/>
    </row>
    <row r="1850" spans="1:11" ht="12.75">
      <c r="A1850" s="69">
        <f ca="1">IFERROR(__xludf.DUMMYFUNCTION("""COMPUTED_VALUE"""),96189)</f>
        <v>96189</v>
      </c>
      <c r="B1850" s="4">
        <f ca="1">IFERROR(__xludf.DUMMYFUNCTION("""COMPUTED_VALUE"""),44678)</f>
        <v>44678</v>
      </c>
      <c r="C1850" t="str">
        <f ca="1">IFERROR(__xludf.DUMMYFUNCTION("""COMPUTED_VALUE"""),"ООО УО ""УНИВЕРСАЛ"" 146-РДО от 13.04.2022")</f>
        <v>ООО УО "УНИВЕРСАЛ" 146-РДО от 13.04.2022</v>
      </c>
      <c r="D18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0" t="str">
        <f ca="1">IFERROR(__xludf.DUMMYFUNCTION("""COMPUTED_VALUE"""),"Новый")</f>
        <v>Новый</v>
      </c>
      <c r="G1850" s="68"/>
      <c r="K1850" s="68"/>
    </row>
    <row r="1851" spans="1:11" ht="12.75">
      <c r="A1851" s="69">
        <f ca="1">IFERROR(__xludf.DUMMYFUNCTION("""COMPUTED_VALUE"""),96190)</f>
        <v>96190</v>
      </c>
      <c r="B1851" s="4">
        <f ca="1">IFERROR(__xludf.DUMMYFUNCTION("""COMPUTED_VALUE"""),44678)</f>
        <v>44678</v>
      </c>
      <c r="C1851" t="str">
        <f ca="1">IFERROR(__xludf.DUMMYFUNCTION("""COMPUTED_VALUE"""),"ООО УО ""УНИВЕРСАЛ"" 146-РДО от 13.04.2022")</f>
        <v>ООО УО "УНИВЕРСАЛ" 146-РДО от 13.04.2022</v>
      </c>
      <c r="D18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1" t="str">
        <f ca="1">IFERROR(__xludf.DUMMYFUNCTION("""COMPUTED_VALUE"""),"Новый")</f>
        <v>Новый</v>
      </c>
      <c r="G1851" s="68"/>
      <c r="K1851" s="68"/>
    </row>
    <row r="1852" spans="1:11" ht="12.75">
      <c r="A1852" s="69">
        <f ca="1">IFERROR(__xludf.DUMMYFUNCTION("""COMPUTED_VALUE"""),96191)</f>
        <v>96191</v>
      </c>
      <c r="B1852" s="4">
        <f ca="1">IFERROR(__xludf.DUMMYFUNCTION("""COMPUTED_VALUE"""),44678)</f>
        <v>44678</v>
      </c>
      <c r="C1852" t="str">
        <f ca="1">IFERROR(__xludf.DUMMYFUNCTION("""COMPUTED_VALUE"""),"ООО УО ""УНИВЕРСАЛ"" 146-РДО от 13.04.2022")</f>
        <v>ООО УО "УНИВЕРСАЛ" 146-РДО от 13.04.2022</v>
      </c>
      <c r="D18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2" t="str">
        <f ca="1">IFERROR(__xludf.DUMMYFUNCTION("""COMPUTED_VALUE"""),"Новый")</f>
        <v>Новый</v>
      </c>
      <c r="G1852" s="68"/>
      <c r="K1852" s="68"/>
    </row>
    <row r="1853" spans="1:11" ht="12.75">
      <c r="A1853" s="69">
        <f ca="1">IFERROR(__xludf.DUMMYFUNCTION("""COMPUTED_VALUE"""),96210)</f>
        <v>96210</v>
      </c>
      <c r="B1853" s="4">
        <f ca="1">IFERROR(__xludf.DUMMYFUNCTION("""COMPUTED_VALUE"""),44678)</f>
        <v>44678</v>
      </c>
      <c r="C1853" t="str">
        <f ca="1">IFERROR(__xludf.DUMMYFUNCTION("""COMPUTED_VALUE"""),"ООО УО ""УНИВЕРСАЛ"" 146-РДО от 13.04.2022")</f>
        <v>ООО УО "УНИВЕРСАЛ" 146-РДО от 13.04.2022</v>
      </c>
      <c r="D18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3" t="str">
        <f ca="1">IFERROR(__xludf.DUMMYFUNCTION("""COMPUTED_VALUE"""),"Новый")</f>
        <v>Новый</v>
      </c>
      <c r="G1853" s="68"/>
      <c r="K1853" s="68"/>
    </row>
    <row r="1854" spans="1:11" ht="12.75">
      <c r="A1854" s="69">
        <f ca="1">IFERROR(__xludf.DUMMYFUNCTION("""COMPUTED_VALUE"""),96211)</f>
        <v>96211</v>
      </c>
      <c r="B1854" s="4">
        <f ca="1">IFERROR(__xludf.DUMMYFUNCTION("""COMPUTED_VALUE"""),44678)</f>
        <v>44678</v>
      </c>
      <c r="C1854" t="str">
        <f ca="1">IFERROR(__xludf.DUMMYFUNCTION("""COMPUTED_VALUE"""),"ООО УО ""УНИВЕРСАЛ"" 146-РДО от 13.04.2022")</f>
        <v>ООО УО "УНИВЕРСАЛ" 146-РДО от 13.04.2022</v>
      </c>
      <c r="D18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4" t="str">
        <f ca="1">IFERROR(__xludf.DUMMYFUNCTION("""COMPUTED_VALUE"""),"Новый")</f>
        <v>Новый</v>
      </c>
      <c r="G1854" s="68"/>
      <c r="K1854" s="68"/>
    </row>
    <row r="1855" spans="1:11" ht="12.75">
      <c r="A1855" s="69">
        <f ca="1">IFERROR(__xludf.DUMMYFUNCTION("""COMPUTED_VALUE"""),96212)</f>
        <v>96212</v>
      </c>
      <c r="B1855" s="4">
        <f ca="1">IFERROR(__xludf.DUMMYFUNCTION("""COMPUTED_VALUE"""),44678)</f>
        <v>44678</v>
      </c>
      <c r="C1855" t="str">
        <f ca="1">IFERROR(__xludf.DUMMYFUNCTION("""COMPUTED_VALUE"""),"ООО УО ""УНИВЕРСАЛ"" 146-РДО от 13.04.2022")</f>
        <v>ООО УО "УНИВЕРСАЛ" 146-РДО от 13.04.2022</v>
      </c>
      <c r="D18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5" t="str">
        <f ca="1">IFERROR(__xludf.DUMMYFUNCTION("""COMPUTED_VALUE"""),"Новый")</f>
        <v>Новый</v>
      </c>
      <c r="G1855" s="68"/>
      <c r="K1855" s="68"/>
    </row>
    <row r="1856" spans="1:11" ht="12.75">
      <c r="A1856" s="69">
        <f ca="1">IFERROR(__xludf.DUMMYFUNCTION("""COMPUTED_VALUE"""),96213)</f>
        <v>96213</v>
      </c>
      <c r="B1856" s="4">
        <f ca="1">IFERROR(__xludf.DUMMYFUNCTION("""COMPUTED_VALUE"""),44678)</f>
        <v>44678</v>
      </c>
      <c r="C1856" t="str">
        <f ca="1">IFERROR(__xludf.DUMMYFUNCTION("""COMPUTED_VALUE"""),"ООО УО ""УНИВЕРСАЛ"" 146-РДО от 13.04.2022")</f>
        <v>ООО УО "УНИВЕРСАЛ" 146-РДО от 13.04.2022</v>
      </c>
      <c r="D18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6" t="str">
        <f ca="1">IFERROR(__xludf.DUMMYFUNCTION("""COMPUTED_VALUE"""),"Новый")</f>
        <v>Новый</v>
      </c>
      <c r="G1856" s="68"/>
      <c r="K1856" s="68"/>
    </row>
    <row r="1857" spans="1:11" ht="12.75">
      <c r="A1857" s="69">
        <f ca="1">IFERROR(__xludf.DUMMYFUNCTION("""COMPUTED_VALUE"""),96214)</f>
        <v>96214</v>
      </c>
      <c r="B1857" s="4">
        <f ca="1">IFERROR(__xludf.DUMMYFUNCTION("""COMPUTED_VALUE"""),44678)</f>
        <v>44678</v>
      </c>
      <c r="C1857" t="str">
        <f ca="1">IFERROR(__xludf.DUMMYFUNCTION("""COMPUTED_VALUE"""),"ООО УО ""УНИВЕРСАЛ"" 146-РДО от 13.04.2022")</f>
        <v>ООО УО "УНИВЕРСАЛ" 146-РДО от 13.04.2022</v>
      </c>
      <c r="D18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7" t="str">
        <f ca="1">IFERROR(__xludf.DUMMYFUNCTION("""COMPUTED_VALUE"""),"Новый")</f>
        <v>Новый</v>
      </c>
      <c r="G1857" s="68"/>
      <c r="K1857" s="68"/>
    </row>
    <row r="1858" spans="1:11" ht="12.75">
      <c r="A1858" s="69">
        <f ca="1">IFERROR(__xludf.DUMMYFUNCTION("""COMPUTED_VALUE"""),96215)</f>
        <v>96215</v>
      </c>
      <c r="B1858" s="4">
        <f ca="1">IFERROR(__xludf.DUMMYFUNCTION("""COMPUTED_VALUE"""),44678)</f>
        <v>44678</v>
      </c>
      <c r="C1858" t="str">
        <f ca="1">IFERROR(__xludf.DUMMYFUNCTION("""COMPUTED_VALUE"""),"ООО УО ""УНИВЕРСАЛ"" 146-РДО от 13.04.2022")</f>
        <v>ООО УО "УНИВЕРСАЛ" 146-РДО от 13.04.2022</v>
      </c>
      <c r="D18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8" t="str">
        <f ca="1">IFERROR(__xludf.DUMMYFUNCTION("""COMPUTED_VALUE"""),"Новый")</f>
        <v>Новый</v>
      </c>
      <c r="G1858" s="68"/>
      <c r="K1858" s="68"/>
    </row>
    <row r="1859" spans="1:11" ht="12.75">
      <c r="A1859" s="69">
        <f ca="1">IFERROR(__xludf.DUMMYFUNCTION("""COMPUTED_VALUE"""),96216)</f>
        <v>96216</v>
      </c>
      <c r="B1859" s="4">
        <f ca="1">IFERROR(__xludf.DUMMYFUNCTION("""COMPUTED_VALUE"""),44678)</f>
        <v>44678</v>
      </c>
      <c r="C1859" t="str">
        <f ca="1">IFERROR(__xludf.DUMMYFUNCTION("""COMPUTED_VALUE"""),"ООО УО ""УНИВЕРСАЛ"" 146-РДО от 13.04.2022")</f>
        <v>ООО УО "УНИВЕРСАЛ" 146-РДО от 13.04.2022</v>
      </c>
      <c r="D18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59" t="str">
        <f ca="1">IFERROR(__xludf.DUMMYFUNCTION("""COMPUTED_VALUE"""),"Новый")</f>
        <v>Новый</v>
      </c>
      <c r="G1859" s="68"/>
      <c r="K1859" s="68"/>
    </row>
    <row r="1860" spans="1:11" ht="12.75">
      <c r="A1860" s="69">
        <f ca="1">IFERROR(__xludf.DUMMYFUNCTION("""COMPUTED_VALUE"""),96217)</f>
        <v>96217</v>
      </c>
      <c r="B1860" s="4">
        <f ca="1">IFERROR(__xludf.DUMMYFUNCTION("""COMPUTED_VALUE"""),44678)</f>
        <v>44678</v>
      </c>
      <c r="C1860" t="str">
        <f ca="1">IFERROR(__xludf.DUMMYFUNCTION("""COMPUTED_VALUE"""),"ООО УО ""УНИВЕРСАЛ"" 146-РДО от 13.04.2022")</f>
        <v>ООО УО "УНИВЕРСАЛ" 146-РДО от 13.04.2022</v>
      </c>
      <c r="D18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0" t="str">
        <f ca="1">IFERROR(__xludf.DUMMYFUNCTION("""COMPUTED_VALUE"""),"Новый")</f>
        <v>Новый</v>
      </c>
      <c r="G1860" s="68"/>
      <c r="K1860" s="68"/>
    </row>
    <row r="1861" spans="1:11" ht="12.75">
      <c r="A1861" s="69">
        <f ca="1">IFERROR(__xludf.DUMMYFUNCTION("""COMPUTED_VALUE"""),96218)</f>
        <v>96218</v>
      </c>
      <c r="B1861" s="4">
        <f ca="1">IFERROR(__xludf.DUMMYFUNCTION("""COMPUTED_VALUE"""),44678)</f>
        <v>44678</v>
      </c>
      <c r="C1861" t="str">
        <f ca="1">IFERROR(__xludf.DUMMYFUNCTION("""COMPUTED_VALUE"""),"ООО УО ""УНИВЕРСАЛ"" 146-РДО от 13.04.2022")</f>
        <v>ООО УО "УНИВЕРСАЛ" 146-РДО от 13.04.2022</v>
      </c>
      <c r="D18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1" t="str">
        <f ca="1">IFERROR(__xludf.DUMMYFUNCTION("""COMPUTED_VALUE"""),"Новый")</f>
        <v>Новый</v>
      </c>
      <c r="G1861" s="68"/>
      <c r="K1861" s="68"/>
    </row>
    <row r="1862" spans="1:11" ht="12.75">
      <c r="A1862" s="69">
        <f ca="1">IFERROR(__xludf.DUMMYFUNCTION("""COMPUTED_VALUE"""),96219)</f>
        <v>96219</v>
      </c>
      <c r="B1862" s="4">
        <f ca="1">IFERROR(__xludf.DUMMYFUNCTION("""COMPUTED_VALUE"""),44678)</f>
        <v>44678</v>
      </c>
      <c r="C1862" t="str">
        <f ca="1">IFERROR(__xludf.DUMMYFUNCTION("""COMPUTED_VALUE"""),"ООО УО ""УНИВЕРСАЛ"" 146-РДО от 13.04.2022")</f>
        <v>ООО УО "УНИВЕРСАЛ" 146-РДО от 13.04.2022</v>
      </c>
      <c r="D18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2" t="str">
        <f ca="1">IFERROR(__xludf.DUMMYFUNCTION("""COMPUTED_VALUE"""),"Новый")</f>
        <v>Новый</v>
      </c>
      <c r="G1862" s="68"/>
      <c r="K1862" s="68"/>
    </row>
    <row r="1863" spans="1:11" ht="12.75">
      <c r="A1863" s="69">
        <f ca="1">IFERROR(__xludf.DUMMYFUNCTION("""COMPUTED_VALUE"""),96220)</f>
        <v>96220</v>
      </c>
      <c r="B1863" s="4">
        <f ca="1">IFERROR(__xludf.DUMMYFUNCTION("""COMPUTED_VALUE"""),44678)</f>
        <v>44678</v>
      </c>
      <c r="C1863" t="str">
        <f ca="1">IFERROR(__xludf.DUMMYFUNCTION("""COMPUTED_VALUE"""),"ООО УО ""УНИВЕРСАЛ"" 146-РДО от 13.04.2022")</f>
        <v>ООО УО "УНИВЕРСАЛ" 146-РДО от 13.04.2022</v>
      </c>
      <c r="D18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3" t="str">
        <f ca="1">IFERROR(__xludf.DUMMYFUNCTION("""COMPUTED_VALUE"""),"Новый")</f>
        <v>Новый</v>
      </c>
      <c r="G1863" s="68"/>
      <c r="K1863" s="68"/>
    </row>
    <row r="1864" spans="1:11" ht="12.75">
      <c r="A1864" s="69">
        <f ca="1">IFERROR(__xludf.DUMMYFUNCTION("""COMPUTED_VALUE"""),96221)</f>
        <v>96221</v>
      </c>
      <c r="B1864" s="4">
        <f ca="1">IFERROR(__xludf.DUMMYFUNCTION("""COMPUTED_VALUE"""),44678)</f>
        <v>44678</v>
      </c>
      <c r="C1864" t="str">
        <f ca="1">IFERROR(__xludf.DUMMYFUNCTION("""COMPUTED_VALUE"""),"ООО УО ""УНИВЕРСАЛ"" 146-РДО от 13.04.2022")</f>
        <v>ООО УО "УНИВЕРСАЛ" 146-РДО от 13.04.2022</v>
      </c>
      <c r="D18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4" t="str">
        <f ca="1">IFERROR(__xludf.DUMMYFUNCTION("""COMPUTED_VALUE"""),"Новый")</f>
        <v>Новый</v>
      </c>
      <c r="G1864" s="68"/>
      <c r="K1864" s="68"/>
    </row>
    <row r="1865" spans="1:11" ht="12.75">
      <c r="A1865" s="69">
        <f ca="1">IFERROR(__xludf.DUMMYFUNCTION("""COMPUTED_VALUE"""),96535)</f>
        <v>96535</v>
      </c>
      <c r="B1865" s="4">
        <f ca="1">IFERROR(__xludf.DUMMYFUNCTION("""COMPUTED_VALUE"""),44679)</f>
        <v>44679</v>
      </c>
      <c r="C1865" t="str">
        <f ca="1">IFERROR(__xludf.DUMMYFUNCTION("""COMPUTED_VALUE"""),"ООО ""УК АЛЕКС"" 149-РДО от 13.04.2022")</f>
        <v>ООО "УК АЛЕКС" 149-РДО от 13.04.2022</v>
      </c>
      <c r="D18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5" t="str">
        <f ca="1">IFERROR(__xludf.DUMMYFUNCTION("""COMPUTED_VALUE"""),"Новый")</f>
        <v>Новый</v>
      </c>
      <c r="G1865" s="68"/>
      <c r="K1865" s="68"/>
    </row>
    <row r="1866" spans="1:11" ht="12.75">
      <c r="A1866" s="69">
        <f ca="1">IFERROR(__xludf.DUMMYFUNCTION("""COMPUTED_VALUE"""),96537)</f>
        <v>96537</v>
      </c>
      <c r="B1866" s="4">
        <f ca="1">IFERROR(__xludf.DUMMYFUNCTION("""COMPUTED_VALUE"""),44679)</f>
        <v>44679</v>
      </c>
      <c r="C1866" t="str">
        <f ca="1">IFERROR(__xludf.DUMMYFUNCTION("""COMPUTED_VALUE"""),"ООО ""УК АЛЕКС"" 149-РДО от 13.04.2022")</f>
        <v>ООО "УК АЛЕКС" 149-РДО от 13.04.2022</v>
      </c>
      <c r="D18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6" t="str">
        <f ca="1">IFERROR(__xludf.DUMMYFUNCTION("""COMPUTED_VALUE"""),"Новый")</f>
        <v>Новый</v>
      </c>
      <c r="G1866" s="68"/>
      <c r="K1866" s="68"/>
    </row>
    <row r="1867" spans="1:11" ht="12.75">
      <c r="A1867" s="69">
        <f ca="1">IFERROR(__xludf.DUMMYFUNCTION("""COMPUTED_VALUE"""),96539)</f>
        <v>96539</v>
      </c>
      <c r="B1867" s="4">
        <f ca="1">IFERROR(__xludf.DUMMYFUNCTION("""COMPUTED_VALUE"""),44679)</f>
        <v>44679</v>
      </c>
      <c r="C1867" t="str">
        <f ca="1">IFERROR(__xludf.DUMMYFUNCTION("""COMPUTED_VALUE"""),"ООО ""УК АЛЕКС"" 149-РДО от 13.04.2022")</f>
        <v>ООО "УК АЛЕКС" 149-РДО от 13.04.2022</v>
      </c>
      <c r="D18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7" t="str">
        <f ca="1">IFERROR(__xludf.DUMMYFUNCTION("""COMPUTED_VALUE"""),"Новый")</f>
        <v>Новый</v>
      </c>
      <c r="G1867" s="68"/>
      <c r="K1867" s="68"/>
    </row>
    <row r="1868" spans="1:11" ht="12.75">
      <c r="A1868" s="69">
        <f ca="1">IFERROR(__xludf.DUMMYFUNCTION("""COMPUTED_VALUE"""),96541)</f>
        <v>96541</v>
      </c>
      <c r="B1868" s="4">
        <f ca="1">IFERROR(__xludf.DUMMYFUNCTION("""COMPUTED_VALUE"""),44679)</f>
        <v>44679</v>
      </c>
      <c r="C1868" t="str">
        <f ca="1">IFERROR(__xludf.DUMMYFUNCTION("""COMPUTED_VALUE"""),"ООО ""УК АЛЕКС"" 149-РДО от 13.04.2022")</f>
        <v>ООО "УК АЛЕКС" 149-РДО от 13.04.2022</v>
      </c>
      <c r="D18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8" t="str">
        <f ca="1">IFERROR(__xludf.DUMMYFUNCTION("""COMPUTED_VALUE"""),"Новый")</f>
        <v>Новый</v>
      </c>
      <c r="G1868" s="68"/>
      <c r="K1868" s="68"/>
    </row>
    <row r="1869" spans="1:11" ht="12.75">
      <c r="A1869" s="69">
        <f ca="1">IFERROR(__xludf.DUMMYFUNCTION("""COMPUTED_VALUE"""),96543)</f>
        <v>96543</v>
      </c>
      <c r="B1869" s="4">
        <f ca="1">IFERROR(__xludf.DUMMYFUNCTION("""COMPUTED_VALUE"""),44679)</f>
        <v>44679</v>
      </c>
      <c r="C1869" t="str">
        <f ca="1">IFERROR(__xludf.DUMMYFUNCTION("""COMPUTED_VALUE"""),"ООО ""УК АЛЕКС"" 149-РДО от 13.04.2022")</f>
        <v>ООО "УК АЛЕКС" 149-РДО от 13.04.2022</v>
      </c>
      <c r="D18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69" t="str">
        <f ca="1">IFERROR(__xludf.DUMMYFUNCTION("""COMPUTED_VALUE"""),"Новый")</f>
        <v>Новый</v>
      </c>
      <c r="G1869" s="68"/>
      <c r="K1869" s="68"/>
    </row>
    <row r="1870" spans="1:11" ht="12.75">
      <c r="A1870" s="69">
        <f ca="1">IFERROR(__xludf.DUMMYFUNCTION("""COMPUTED_VALUE"""),96544)</f>
        <v>96544</v>
      </c>
      <c r="B1870" s="4">
        <f ca="1">IFERROR(__xludf.DUMMYFUNCTION("""COMPUTED_VALUE"""),44679)</f>
        <v>44679</v>
      </c>
      <c r="C1870" t="str">
        <f ca="1">IFERROR(__xludf.DUMMYFUNCTION("""COMPUTED_VALUE"""),"ООО ""УК АЛЕКС"" 149-РДО от 13.04.2022")</f>
        <v>ООО "УК АЛЕКС" 149-РДО от 13.04.2022</v>
      </c>
      <c r="D18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0" t="str">
        <f ca="1">IFERROR(__xludf.DUMMYFUNCTION("""COMPUTED_VALUE"""),"Новый")</f>
        <v>Новый</v>
      </c>
      <c r="G1870" s="68"/>
      <c r="K1870" s="68"/>
    </row>
    <row r="1871" spans="1:11" ht="12.75">
      <c r="A1871" s="69">
        <f ca="1">IFERROR(__xludf.DUMMYFUNCTION("""COMPUTED_VALUE"""),96545)</f>
        <v>96545</v>
      </c>
      <c r="B1871" s="4">
        <f ca="1">IFERROR(__xludf.DUMMYFUNCTION("""COMPUTED_VALUE"""),44679)</f>
        <v>44679</v>
      </c>
      <c r="C1871" t="str">
        <f ca="1">IFERROR(__xludf.DUMMYFUNCTION("""COMPUTED_VALUE"""),"ООО ""УК АЛЕКС"" 149-РДО от 13.04.2022")</f>
        <v>ООО "УК АЛЕКС" 149-РДО от 13.04.2022</v>
      </c>
      <c r="D18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1" t="str">
        <f ca="1">IFERROR(__xludf.DUMMYFUNCTION("""COMPUTED_VALUE"""),"Новый")</f>
        <v>Новый</v>
      </c>
      <c r="G1871" s="68"/>
      <c r="K1871" s="68"/>
    </row>
    <row r="1872" spans="1:11" ht="12.75">
      <c r="A1872" s="69">
        <f ca="1">IFERROR(__xludf.DUMMYFUNCTION("""COMPUTED_VALUE"""),96546)</f>
        <v>96546</v>
      </c>
      <c r="B1872" s="4">
        <f ca="1">IFERROR(__xludf.DUMMYFUNCTION("""COMPUTED_VALUE"""),44679)</f>
        <v>44679</v>
      </c>
      <c r="C1872" t="str">
        <f ca="1">IFERROR(__xludf.DUMMYFUNCTION("""COMPUTED_VALUE"""),"ООО ""УК АЛЕКС"" 149-РДО от 13.04.2022")</f>
        <v>ООО "УК АЛЕКС" 149-РДО от 13.04.2022</v>
      </c>
      <c r="D18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2" t="str">
        <f ca="1">IFERROR(__xludf.DUMMYFUNCTION("""COMPUTED_VALUE"""),"Новый")</f>
        <v>Новый</v>
      </c>
      <c r="G1872" s="68"/>
      <c r="K1872" s="68"/>
    </row>
    <row r="1873" spans="1:11" ht="12.75">
      <c r="A1873" s="69">
        <f ca="1">IFERROR(__xludf.DUMMYFUNCTION("""COMPUTED_VALUE"""),96547)</f>
        <v>96547</v>
      </c>
      <c r="B1873" s="4">
        <f ca="1">IFERROR(__xludf.DUMMYFUNCTION("""COMPUTED_VALUE"""),44679)</f>
        <v>44679</v>
      </c>
      <c r="C1873" t="str">
        <f ca="1">IFERROR(__xludf.DUMMYFUNCTION("""COMPUTED_VALUE"""),"ООО ""УК АЛЕКС"" 149-РДО от 13.04.2022")</f>
        <v>ООО "УК АЛЕКС" 149-РДО от 13.04.2022</v>
      </c>
      <c r="D18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3" t="str">
        <f ca="1">IFERROR(__xludf.DUMMYFUNCTION("""COMPUTED_VALUE"""),"Новый")</f>
        <v>Новый</v>
      </c>
      <c r="G1873" s="68"/>
      <c r="K1873" s="68"/>
    </row>
    <row r="1874" spans="1:11" ht="12.75">
      <c r="A1874" s="69">
        <f ca="1">IFERROR(__xludf.DUMMYFUNCTION("""COMPUTED_VALUE"""),96548)</f>
        <v>96548</v>
      </c>
      <c r="B1874" s="4">
        <f ca="1">IFERROR(__xludf.DUMMYFUNCTION("""COMPUTED_VALUE"""),44679)</f>
        <v>44679</v>
      </c>
      <c r="C1874" t="str">
        <f ca="1">IFERROR(__xludf.DUMMYFUNCTION("""COMPUTED_VALUE"""),"ООО ""УК АЛЕКС"" 149-РДО от 13.04.2022")</f>
        <v>ООО "УК АЛЕКС" 149-РДО от 13.04.2022</v>
      </c>
      <c r="D18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4" t="str">
        <f ca="1">IFERROR(__xludf.DUMMYFUNCTION("""COMPUTED_VALUE"""),"Новый")</f>
        <v>Новый</v>
      </c>
      <c r="G1874" s="68"/>
      <c r="K1874" s="68"/>
    </row>
    <row r="1875" spans="1:11" ht="12.75">
      <c r="A1875" s="69">
        <f ca="1">IFERROR(__xludf.DUMMYFUNCTION("""COMPUTED_VALUE"""),96549)</f>
        <v>96549</v>
      </c>
      <c r="B1875" s="4">
        <f ca="1">IFERROR(__xludf.DUMMYFUNCTION("""COMPUTED_VALUE"""),44679)</f>
        <v>44679</v>
      </c>
      <c r="C1875" t="str">
        <f ca="1">IFERROR(__xludf.DUMMYFUNCTION("""COMPUTED_VALUE"""),"ООО ""УК АЛЕКС"" 149-РДО от 13.04.2022")</f>
        <v>ООО "УК АЛЕКС" 149-РДО от 13.04.2022</v>
      </c>
      <c r="D18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5" t="str">
        <f ca="1">IFERROR(__xludf.DUMMYFUNCTION("""COMPUTED_VALUE"""),"Новый")</f>
        <v>Новый</v>
      </c>
      <c r="G1875" s="68"/>
      <c r="K1875" s="68"/>
    </row>
    <row r="1876" spans="1:11" ht="12.75">
      <c r="A1876" s="69">
        <f ca="1">IFERROR(__xludf.DUMMYFUNCTION("""COMPUTED_VALUE"""),96551)</f>
        <v>96551</v>
      </c>
      <c r="B1876" s="4">
        <f ca="1">IFERROR(__xludf.DUMMYFUNCTION("""COMPUTED_VALUE"""),44679)</f>
        <v>44679</v>
      </c>
      <c r="C1876" t="str">
        <f ca="1">IFERROR(__xludf.DUMMYFUNCTION("""COMPUTED_VALUE"""),"ООО ""УК АЛЕКС"" 149-РДО от 13.04.2022")</f>
        <v>ООО "УК АЛЕКС" 149-РДО от 13.04.2022</v>
      </c>
      <c r="D18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6" t="str">
        <f ca="1">IFERROR(__xludf.DUMMYFUNCTION("""COMPUTED_VALUE"""),"Новый")</f>
        <v>Новый</v>
      </c>
      <c r="G1876" s="68"/>
      <c r="K1876" s="68"/>
    </row>
    <row r="1877" spans="1:11" ht="12.75">
      <c r="A1877" s="69">
        <f ca="1">IFERROR(__xludf.DUMMYFUNCTION("""COMPUTED_VALUE"""),96560)</f>
        <v>96560</v>
      </c>
      <c r="B1877" s="4">
        <f ca="1">IFERROR(__xludf.DUMMYFUNCTION("""COMPUTED_VALUE"""),44679)</f>
        <v>44679</v>
      </c>
      <c r="C1877" t="str">
        <f ca="1">IFERROR(__xludf.DUMMYFUNCTION("""COMPUTED_VALUE"""),"ООО ""ПРОГРЕСС"" 172-РДО от 28.04.2022")</f>
        <v>ООО "ПРОГРЕСС" 172-РДО от 28.04.2022</v>
      </c>
      <c r="D18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7" t="str">
        <f ca="1">IFERROR(__xludf.DUMMYFUNCTION("""COMPUTED_VALUE"""),"Новый")</f>
        <v>Новый</v>
      </c>
      <c r="G1877" s="68"/>
      <c r="K1877" s="68"/>
    </row>
    <row r="1878" spans="1:11" ht="12.75">
      <c r="A1878" s="69">
        <f ca="1">IFERROR(__xludf.DUMMYFUNCTION("""COMPUTED_VALUE"""),96562)</f>
        <v>96562</v>
      </c>
      <c r="B1878" s="4">
        <f ca="1">IFERROR(__xludf.DUMMYFUNCTION("""COMPUTED_VALUE"""),44679)</f>
        <v>44679</v>
      </c>
      <c r="C1878" t="str">
        <f ca="1">IFERROR(__xludf.DUMMYFUNCTION("""COMPUTED_VALUE"""),"ООО ""ПРОГРЕСС"" 172-РДО от 28.04.2022")</f>
        <v>ООО "ПРОГРЕСС" 172-РДО от 28.04.2022</v>
      </c>
      <c r="D18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8" t="str">
        <f ca="1">IFERROR(__xludf.DUMMYFUNCTION("""COMPUTED_VALUE"""),"Новый")</f>
        <v>Новый</v>
      </c>
      <c r="G1878" s="68"/>
      <c r="K1878" s="68"/>
    </row>
    <row r="1879" spans="1:11" ht="12.75">
      <c r="A1879" s="69">
        <f ca="1">IFERROR(__xludf.DUMMYFUNCTION("""COMPUTED_VALUE"""),96563)</f>
        <v>96563</v>
      </c>
      <c r="B1879" s="4">
        <f ca="1">IFERROR(__xludf.DUMMYFUNCTION("""COMPUTED_VALUE"""),44679)</f>
        <v>44679</v>
      </c>
      <c r="C1879" t="str">
        <f ca="1">IFERROR(__xludf.DUMMYFUNCTION("""COMPUTED_VALUE"""),"ООО ""ПРОГРЕСС"" 172-РДО от 28.04.2022")</f>
        <v>ООО "ПРОГРЕСС" 172-РДО от 28.04.2022</v>
      </c>
      <c r="D18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79" t="str">
        <f ca="1">IFERROR(__xludf.DUMMYFUNCTION("""COMPUTED_VALUE"""),"Новый")</f>
        <v>Новый</v>
      </c>
      <c r="G1879" s="68"/>
      <c r="K1879" s="68"/>
    </row>
    <row r="1880" spans="1:11" ht="12.75">
      <c r="A1880" s="69">
        <f ca="1">IFERROR(__xludf.DUMMYFUNCTION("""COMPUTED_VALUE"""),96565)</f>
        <v>96565</v>
      </c>
      <c r="B1880" s="4">
        <f ca="1">IFERROR(__xludf.DUMMYFUNCTION("""COMPUTED_VALUE"""),44679)</f>
        <v>44679</v>
      </c>
      <c r="C1880" t="str">
        <f ca="1">IFERROR(__xludf.DUMMYFUNCTION("""COMPUTED_VALUE"""),"ООО ""ПРОГРЕСС"" 172-РДО от 28.04.2022")</f>
        <v>ООО "ПРОГРЕСС" 172-РДО от 28.04.2022</v>
      </c>
      <c r="D18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0" t="str">
        <f ca="1">IFERROR(__xludf.DUMMYFUNCTION("""COMPUTED_VALUE"""),"Новый")</f>
        <v>Новый</v>
      </c>
      <c r="G1880" s="68"/>
      <c r="K1880" s="68"/>
    </row>
    <row r="1881" spans="1:11" ht="12.75">
      <c r="A1881" s="69">
        <f ca="1">IFERROR(__xludf.DUMMYFUNCTION("""COMPUTED_VALUE"""),96566)</f>
        <v>96566</v>
      </c>
      <c r="B1881" s="4">
        <f ca="1">IFERROR(__xludf.DUMMYFUNCTION("""COMPUTED_VALUE"""),44679)</f>
        <v>44679</v>
      </c>
      <c r="C1881" t="str">
        <f ca="1">IFERROR(__xludf.DUMMYFUNCTION("""COMPUTED_VALUE"""),"ООО ""ПРОГРЕСС"" 172-РДО от 28.04.2022")</f>
        <v>ООО "ПРОГРЕСС" 172-РДО от 28.04.2022</v>
      </c>
      <c r="D18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1" t="str">
        <f ca="1">IFERROR(__xludf.DUMMYFUNCTION("""COMPUTED_VALUE"""),"Новый")</f>
        <v>Новый</v>
      </c>
      <c r="G1881" s="68"/>
      <c r="K1881" s="68"/>
    </row>
    <row r="1882" spans="1:11" ht="12.75">
      <c r="A1882" s="69">
        <f ca="1">IFERROR(__xludf.DUMMYFUNCTION("""COMPUTED_VALUE"""),96567)</f>
        <v>96567</v>
      </c>
      <c r="B1882" s="4">
        <f ca="1">IFERROR(__xludf.DUMMYFUNCTION("""COMPUTED_VALUE"""),44679)</f>
        <v>44679</v>
      </c>
      <c r="C1882" t="str">
        <f ca="1">IFERROR(__xludf.DUMMYFUNCTION("""COMPUTED_VALUE"""),"ООО ""ПРОГРЕСС"" 172-РДО от 28.04.2022")</f>
        <v>ООО "ПРОГРЕСС" 172-РДО от 28.04.2022</v>
      </c>
      <c r="D18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2" t="str">
        <f ca="1">IFERROR(__xludf.DUMMYFUNCTION("""COMPUTED_VALUE"""),"Новый")</f>
        <v>Новый</v>
      </c>
      <c r="G1882" s="68"/>
      <c r="K1882" s="68"/>
    </row>
    <row r="1883" spans="1:11" ht="12.75">
      <c r="A1883" s="69">
        <f ca="1">IFERROR(__xludf.DUMMYFUNCTION("""COMPUTED_VALUE"""),96568)</f>
        <v>96568</v>
      </c>
      <c r="B1883" s="4">
        <f ca="1">IFERROR(__xludf.DUMMYFUNCTION("""COMPUTED_VALUE"""),44679)</f>
        <v>44679</v>
      </c>
      <c r="C1883" t="str">
        <f ca="1">IFERROR(__xludf.DUMMYFUNCTION("""COMPUTED_VALUE"""),"ООО ""ПРОГРЕСС"" 172-РДО от 28.04.2022")</f>
        <v>ООО "ПРОГРЕСС" 172-РДО от 28.04.2022</v>
      </c>
      <c r="D18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3" t="str">
        <f ca="1">IFERROR(__xludf.DUMMYFUNCTION("""COMPUTED_VALUE"""),"Новый")</f>
        <v>Новый</v>
      </c>
      <c r="G1883" s="68"/>
      <c r="K1883" s="68"/>
    </row>
    <row r="1884" spans="1:11" ht="12.75">
      <c r="A1884" s="69">
        <f ca="1">IFERROR(__xludf.DUMMYFUNCTION("""COMPUTED_VALUE"""),96569)</f>
        <v>96569</v>
      </c>
      <c r="B1884" s="4">
        <f ca="1">IFERROR(__xludf.DUMMYFUNCTION("""COMPUTED_VALUE"""),44679)</f>
        <v>44679</v>
      </c>
      <c r="C1884" t="str">
        <f ca="1">IFERROR(__xludf.DUMMYFUNCTION("""COMPUTED_VALUE"""),"ООО ""ПРОГРЕСС"" 172-РДО от 28.04.2022")</f>
        <v>ООО "ПРОГРЕСС" 172-РДО от 28.04.2022</v>
      </c>
      <c r="D18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4" t="str">
        <f ca="1">IFERROR(__xludf.DUMMYFUNCTION("""COMPUTED_VALUE"""),"Новый")</f>
        <v>Новый</v>
      </c>
      <c r="G1884" s="68"/>
      <c r="K1884" s="68"/>
    </row>
    <row r="1885" spans="1:11" ht="12.75">
      <c r="A1885" s="69">
        <f ca="1">IFERROR(__xludf.DUMMYFUNCTION("""COMPUTED_VALUE"""),96570)</f>
        <v>96570</v>
      </c>
      <c r="B1885" s="4">
        <f ca="1">IFERROR(__xludf.DUMMYFUNCTION("""COMPUTED_VALUE"""),44679)</f>
        <v>44679</v>
      </c>
      <c r="C1885" t="str">
        <f ca="1">IFERROR(__xludf.DUMMYFUNCTION("""COMPUTED_VALUE"""),"ООО ""ПРОГРЕСС"" 172-РДО от 28.04.2022")</f>
        <v>ООО "ПРОГРЕСС" 172-РДО от 28.04.2022</v>
      </c>
      <c r="D18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5" t="str">
        <f ca="1">IFERROR(__xludf.DUMMYFUNCTION("""COMPUTED_VALUE"""),"Новый")</f>
        <v>Новый</v>
      </c>
      <c r="G1885" s="68"/>
      <c r="K1885" s="68"/>
    </row>
    <row r="1886" spans="1:11" ht="12.75">
      <c r="A1886" s="69">
        <f ca="1">IFERROR(__xludf.DUMMYFUNCTION("""COMPUTED_VALUE"""),96571)</f>
        <v>96571</v>
      </c>
      <c r="B1886" s="4">
        <f ca="1">IFERROR(__xludf.DUMMYFUNCTION("""COMPUTED_VALUE"""),44679)</f>
        <v>44679</v>
      </c>
      <c r="C1886" t="str">
        <f ca="1">IFERROR(__xludf.DUMMYFUNCTION("""COMPUTED_VALUE"""),"ООО ""ПРОГРЕСС"" 172-РДО от 28.04.2022")</f>
        <v>ООО "ПРОГРЕСС" 172-РДО от 28.04.2022</v>
      </c>
      <c r="D18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6" t="str">
        <f ca="1">IFERROR(__xludf.DUMMYFUNCTION("""COMPUTED_VALUE"""),"Новый")</f>
        <v>Новый</v>
      </c>
      <c r="G1886" s="68"/>
      <c r="K1886" s="68"/>
    </row>
    <row r="1887" spans="1:11" ht="12.75">
      <c r="A1887" s="69">
        <f ca="1">IFERROR(__xludf.DUMMYFUNCTION("""COMPUTED_VALUE"""),96574)</f>
        <v>96574</v>
      </c>
      <c r="B1887" s="4">
        <f ca="1">IFERROR(__xludf.DUMMYFUNCTION("""COMPUTED_VALUE"""),44679)</f>
        <v>44679</v>
      </c>
      <c r="C1887" t="str">
        <f ca="1">IFERROR(__xludf.DUMMYFUNCTION("""COMPUTED_VALUE"""),"АО ОМСКТИСИЗ 168-РДО от 26.04.2022")</f>
        <v>АО ОМСКТИСИЗ 168-РДО от 26.04.2022</v>
      </c>
      <c r="D18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7" t="str">
        <f ca="1">IFERROR(__xludf.DUMMYFUNCTION("""COMPUTED_VALUE"""),"Новый")</f>
        <v>Новый</v>
      </c>
      <c r="G1887" s="68"/>
      <c r="K1887" s="68"/>
    </row>
    <row r="1888" spans="1:11" ht="12.75">
      <c r="A1888" s="69">
        <f ca="1">IFERROR(__xludf.DUMMYFUNCTION("""COMPUTED_VALUE"""),96575)</f>
        <v>96575</v>
      </c>
      <c r="B1888" s="4">
        <f ca="1">IFERROR(__xludf.DUMMYFUNCTION("""COMPUTED_VALUE"""),44679)</f>
        <v>44679</v>
      </c>
      <c r="C1888" t="str">
        <f ca="1">IFERROR(__xludf.DUMMYFUNCTION("""COMPUTED_VALUE"""),"АО ОМСКТИСИЗ 168-РДО от 26.04.2022")</f>
        <v>АО ОМСКТИСИЗ 168-РДО от 26.04.2022</v>
      </c>
      <c r="D18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8" t="str">
        <f ca="1">IFERROR(__xludf.DUMMYFUNCTION("""COMPUTED_VALUE"""),"Новый")</f>
        <v>Новый</v>
      </c>
      <c r="G1888" s="68"/>
      <c r="K1888" s="68"/>
    </row>
    <row r="1889" spans="1:11" ht="12.75">
      <c r="A1889" s="69">
        <f ca="1">IFERROR(__xludf.DUMMYFUNCTION("""COMPUTED_VALUE"""),96576)</f>
        <v>96576</v>
      </c>
      <c r="B1889" s="4">
        <f ca="1">IFERROR(__xludf.DUMMYFUNCTION("""COMPUTED_VALUE"""),44679)</f>
        <v>44679</v>
      </c>
      <c r="C1889" t="str">
        <f ca="1">IFERROR(__xludf.DUMMYFUNCTION("""COMPUTED_VALUE"""),"АО ОМСКТИСИЗ 168-РДО от 26.04.2022")</f>
        <v>АО ОМСКТИСИЗ 168-РДО от 26.04.2022</v>
      </c>
      <c r="D18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89" t="str">
        <f ca="1">IFERROR(__xludf.DUMMYFUNCTION("""COMPUTED_VALUE"""),"Новый")</f>
        <v>Новый</v>
      </c>
      <c r="G1889" s="68"/>
      <c r="K1889" s="68"/>
    </row>
    <row r="1890" spans="1:11" ht="12.75">
      <c r="A1890" s="69">
        <f ca="1">IFERROR(__xludf.DUMMYFUNCTION("""COMPUTED_VALUE"""),96577)</f>
        <v>96577</v>
      </c>
      <c r="B1890" s="4">
        <f ca="1">IFERROR(__xludf.DUMMYFUNCTION("""COMPUTED_VALUE"""),44679)</f>
        <v>44679</v>
      </c>
      <c r="C1890" t="str">
        <f ca="1">IFERROR(__xludf.DUMMYFUNCTION("""COMPUTED_VALUE"""),"АО ОМСКТИСИЗ 168-РДО от 26.04.2022")</f>
        <v>АО ОМСКТИСИЗ 168-РДО от 26.04.2022</v>
      </c>
      <c r="D18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0" t="str">
        <f ca="1">IFERROR(__xludf.DUMMYFUNCTION("""COMPUTED_VALUE"""),"Новый")</f>
        <v>Новый</v>
      </c>
      <c r="G1890" s="68"/>
      <c r="K1890" s="68"/>
    </row>
    <row r="1891" spans="1:11" ht="12.75">
      <c r="A1891" s="69">
        <f ca="1">IFERROR(__xludf.DUMMYFUNCTION("""COMPUTED_VALUE"""),96578)</f>
        <v>96578</v>
      </c>
      <c r="B1891" s="4">
        <f ca="1">IFERROR(__xludf.DUMMYFUNCTION("""COMPUTED_VALUE"""),44679)</f>
        <v>44679</v>
      </c>
      <c r="C1891" t="str">
        <f ca="1">IFERROR(__xludf.DUMMYFUNCTION("""COMPUTED_VALUE"""),"АО ОМСКТИСИЗ 168-РДО от 26.04.2022")</f>
        <v>АО ОМСКТИСИЗ 168-РДО от 26.04.2022</v>
      </c>
      <c r="D18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1" t="str">
        <f ca="1">IFERROR(__xludf.DUMMYFUNCTION("""COMPUTED_VALUE"""),"Новый")</f>
        <v>Новый</v>
      </c>
      <c r="G1891" s="68"/>
      <c r="K1891" s="68"/>
    </row>
    <row r="1892" spans="1:11" ht="12.75">
      <c r="A1892" s="69">
        <f ca="1">IFERROR(__xludf.DUMMYFUNCTION("""COMPUTED_VALUE"""),96579)</f>
        <v>96579</v>
      </c>
      <c r="B1892" s="4">
        <f ca="1">IFERROR(__xludf.DUMMYFUNCTION("""COMPUTED_VALUE"""),44679)</f>
        <v>44679</v>
      </c>
      <c r="C1892" t="str">
        <f ca="1">IFERROR(__xludf.DUMMYFUNCTION("""COMPUTED_VALUE"""),"АО ОМСКТИСИЗ 168-РДО от 26.04.2022")</f>
        <v>АО ОМСКТИСИЗ 168-РДО от 26.04.2022</v>
      </c>
      <c r="D18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2" t="str">
        <f ca="1">IFERROR(__xludf.DUMMYFUNCTION("""COMPUTED_VALUE"""),"Новый")</f>
        <v>Новый</v>
      </c>
      <c r="G1892" s="68"/>
      <c r="K1892" s="68"/>
    </row>
    <row r="1893" spans="1:11" ht="12.75">
      <c r="A1893" s="69">
        <f ca="1">IFERROR(__xludf.DUMMYFUNCTION("""COMPUTED_VALUE"""),96580)</f>
        <v>96580</v>
      </c>
      <c r="B1893" s="4">
        <f ca="1">IFERROR(__xludf.DUMMYFUNCTION("""COMPUTED_VALUE"""),44679)</f>
        <v>44679</v>
      </c>
      <c r="C1893" t="str">
        <f ca="1">IFERROR(__xludf.DUMMYFUNCTION("""COMPUTED_VALUE"""),"АО ОМСКТИСИЗ 168-РДО от 26.04.2022")</f>
        <v>АО ОМСКТИСИЗ 168-РДО от 26.04.2022</v>
      </c>
      <c r="D18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3" t="str">
        <f ca="1">IFERROR(__xludf.DUMMYFUNCTION("""COMPUTED_VALUE"""),"Новый")</f>
        <v>Новый</v>
      </c>
      <c r="G1893" s="68"/>
      <c r="K1893" s="68"/>
    </row>
    <row r="1894" spans="1:11" ht="12.75">
      <c r="A1894" s="69">
        <f ca="1">IFERROR(__xludf.DUMMYFUNCTION("""COMPUTED_VALUE"""),96581)</f>
        <v>96581</v>
      </c>
      <c r="B1894" s="4">
        <f ca="1">IFERROR(__xludf.DUMMYFUNCTION("""COMPUTED_VALUE"""),44679)</f>
        <v>44679</v>
      </c>
      <c r="C1894" t="str">
        <f ca="1">IFERROR(__xludf.DUMMYFUNCTION("""COMPUTED_VALUE"""),"АО ОМСКТИСИЗ 168-РДО от 26.04.2022")</f>
        <v>АО ОМСКТИСИЗ 168-РДО от 26.04.2022</v>
      </c>
      <c r="D18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4" t="str">
        <f ca="1">IFERROR(__xludf.DUMMYFUNCTION("""COMPUTED_VALUE"""),"Новый")</f>
        <v>Новый</v>
      </c>
      <c r="G1894" s="68"/>
      <c r="K1894" s="68"/>
    </row>
    <row r="1895" spans="1:11" ht="12.75">
      <c r="A1895" s="69">
        <f ca="1">IFERROR(__xludf.DUMMYFUNCTION("""COMPUTED_VALUE"""),96582)</f>
        <v>96582</v>
      </c>
      <c r="B1895" s="4">
        <f ca="1">IFERROR(__xludf.DUMMYFUNCTION("""COMPUTED_VALUE"""),44679)</f>
        <v>44679</v>
      </c>
      <c r="C1895" t="str">
        <f ca="1">IFERROR(__xludf.DUMMYFUNCTION("""COMPUTED_VALUE"""),"АО ОМСКТИСИЗ 168-РДО от 26.04.2022")</f>
        <v>АО ОМСКТИСИЗ 168-РДО от 26.04.2022</v>
      </c>
      <c r="D18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5" t="str">
        <f ca="1">IFERROR(__xludf.DUMMYFUNCTION("""COMPUTED_VALUE"""),"Новый")</f>
        <v>Новый</v>
      </c>
      <c r="G1895" s="68"/>
      <c r="K1895" s="68"/>
    </row>
    <row r="1896" spans="1:11" ht="12.75">
      <c r="A1896" s="69">
        <f ca="1">IFERROR(__xludf.DUMMYFUNCTION("""COMPUTED_VALUE"""),96583)</f>
        <v>96583</v>
      </c>
      <c r="B1896" s="4">
        <f ca="1">IFERROR(__xludf.DUMMYFUNCTION("""COMPUTED_VALUE"""),44679)</f>
        <v>44679</v>
      </c>
      <c r="C1896" t="str">
        <f ca="1">IFERROR(__xludf.DUMMYFUNCTION("""COMPUTED_VALUE"""),"АО ОМСКТИСИЗ 168-РДО от 26.04.2022")</f>
        <v>АО ОМСКТИСИЗ 168-РДО от 26.04.2022</v>
      </c>
      <c r="D18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6" t="str">
        <f ca="1">IFERROR(__xludf.DUMMYFUNCTION("""COMPUTED_VALUE"""),"Новый")</f>
        <v>Новый</v>
      </c>
      <c r="G1896" s="68"/>
      <c r="K1896" s="68"/>
    </row>
    <row r="1897" spans="1:11" ht="12.75">
      <c r="A1897" s="69">
        <f ca="1">IFERROR(__xludf.DUMMYFUNCTION("""COMPUTED_VALUE"""),96584)</f>
        <v>96584</v>
      </c>
      <c r="B1897" s="4">
        <f ca="1">IFERROR(__xludf.DUMMYFUNCTION("""COMPUTED_VALUE"""),44679)</f>
        <v>44679</v>
      </c>
      <c r="C1897" t="str">
        <f ca="1">IFERROR(__xludf.DUMMYFUNCTION("""COMPUTED_VALUE"""),"АО ОМСКТИСИЗ 168-РДО от 26.04.2022")</f>
        <v>АО ОМСКТИСИЗ 168-РДО от 26.04.2022</v>
      </c>
      <c r="D18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7" t="str">
        <f ca="1">IFERROR(__xludf.DUMMYFUNCTION("""COMPUTED_VALUE"""),"Новый")</f>
        <v>Новый</v>
      </c>
      <c r="G1897" s="68"/>
      <c r="K1897" s="68"/>
    </row>
    <row r="1898" spans="1:11" ht="12.75">
      <c r="A1898" s="69">
        <f ca="1">IFERROR(__xludf.DUMMYFUNCTION("""COMPUTED_VALUE"""),96585)</f>
        <v>96585</v>
      </c>
      <c r="B1898" s="4">
        <f ca="1">IFERROR(__xludf.DUMMYFUNCTION("""COMPUTED_VALUE"""),44679)</f>
        <v>44679</v>
      </c>
      <c r="C1898" t="str">
        <f ca="1">IFERROR(__xludf.DUMMYFUNCTION("""COMPUTED_VALUE"""),"АО ОМСКТИСИЗ 168-РДО от 26.04.2022")</f>
        <v>АО ОМСКТИСИЗ 168-РДО от 26.04.2022</v>
      </c>
      <c r="D18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8" t="str">
        <f ca="1">IFERROR(__xludf.DUMMYFUNCTION("""COMPUTED_VALUE"""),"Новый")</f>
        <v>Новый</v>
      </c>
      <c r="G1898" s="68"/>
      <c r="K1898" s="68"/>
    </row>
    <row r="1899" spans="1:11" ht="12.75">
      <c r="A1899" s="69">
        <f ca="1">IFERROR(__xludf.DUMMYFUNCTION("""COMPUTED_VALUE"""),96586)</f>
        <v>96586</v>
      </c>
      <c r="B1899" s="4">
        <f ca="1">IFERROR(__xludf.DUMMYFUNCTION("""COMPUTED_VALUE"""),44679)</f>
        <v>44679</v>
      </c>
      <c r="C1899" t="str">
        <f ca="1">IFERROR(__xludf.DUMMYFUNCTION("""COMPUTED_VALUE"""),"АО ОМСКТИСИЗ 168-РДО от 26.04.2022")</f>
        <v>АО ОМСКТИСИЗ 168-РДО от 26.04.2022</v>
      </c>
      <c r="D18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899" t="str">
        <f ca="1">IFERROR(__xludf.DUMMYFUNCTION("""COMPUTED_VALUE"""),"Новый")</f>
        <v>Новый</v>
      </c>
      <c r="G1899" s="68"/>
      <c r="K1899" s="68"/>
    </row>
    <row r="1900" spans="1:11" ht="12.75">
      <c r="A1900" s="69">
        <f ca="1">IFERROR(__xludf.DUMMYFUNCTION("""COMPUTED_VALUE"""),96587)</f>
        <v>96587</v>
      </c>
      <c r="B1900" s="4">
        <f ca="1">IFERROR(__xludf.DUMMYFUNCTION("""COMPUTED_VALUE"""),44679)</f>
        <v>44679</v>
      </c>
      <c r="C1900" t="str">
        <f ca="1">IFERROR(__xludf.DUMMYFUNCTION("""COMPUTED_VALUE"""),"АО ОМСКТИСИЗ 168-РДО от 26.04.2022")</f>
        <v>АО ОМСКТИСИЗ 168-РДО от 26.04.2022</v>
      </c>
      <c r="D19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0" t="str">
        <f ca="1">IFERROR(__xludf.DUMMYFUNCTION("""COMPUTED_VALUE"""),"Новый")</f>
        <v>Новый</v>
      </c>
      <c r="G1900" s="68"/>
      <c r="K1900" s="68"/>
    </row>
    <row r="1901" spans="1:11" ht="12.75">
      <c r="A1901" s="69">
        <f ca="1">IFERROR(__xludf.DUMMYFUNCTION("""COMPUTED_VALUE"""),96588)</f>
        <v>96588</v>
      </c>
      <c r="B1901" s="4">
        <f ca="1">IFERROR(__xludf.DUMMYFUNCTION("""COMPUTED_VALUE"""),44679)</f>
        <v>44679</v>
      </c>
      <c r="C1901" t="str">
        <f ca="1">IFERROR(__xludf.DUMMYFUNCTION("""COMPUTED_VALUE"""),"АО ОМСКТИСИЗ 168-РДО от 26.04.2022")</f>
        <v>АО ОМСКТИСИЗ 168-РДО от 26.04.2022</v>
      </c>
      <c r="D19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1" t="str">
        <f ca="1">IFERROR(__xludf.DUMMYFUNCTION("""COMPUTED_VALUE"""),"Новый")</f>
        <v>Новый</v>
      </c>
      <c r="G1901" s="68"/>
      <c r="K1901" s="68"/>
    </row>
    <row r="1902" spans="1:11" ht="12.75">
      <c r="A1902" s="69">
        <f ca="1">IFERROR(__xludf.DUMMYFUNCTION("""COMPUTED_VALUE"""),96589)</f>
        <v>96589</v>
      </c>
      <c r="B1902" s="4">
        <f ca="1">IFERROR(__xludf.DUMMYFUNCTION("""COMPUTED_VALUE"""),44679)</f>
        <v>44679</v>
      </c>
      <c r="C1902" t="str">
        <f ca="1">IFERROR(__xludf.DUMMYFUNCTION("""COMPUTED_VALUE"""),"АО ОМСКТИСИЗ 168-РДО от 26.04.2022")</f>
        <v>АО ОМСКТИСИЗ 168-РДО от 26.04.2022</v>
      </c>
      <c r="D19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2" t="str">
        <f ca="1">IFERROR(__xludf.DUMMYFUNCTION("""COMPUTED_VALUE"""),"Новый")</f>
        <v>Новый</v>
      </c>
      <c r="G1902" s="68"/>
      <c r="K1902" s="68"/>
    </row>
    <row r="1903" spans="1:11" ht="12.75">
      <c r="A1903" s="69">
        <f ca="1">IFERROR(__xludf.DUMMYFUNCTION("""COMPUTED_VALUE"""),96590)</f>
        <v>96590</v>
      </c>
      <c r="B1903" s="4">
        <f ca="1">IFERROR(__xludf.DUMMYFUNCTION("""COMPUTED_VALUE"""),44679)</f>
        <v>44679</v>
      </c>
      <c r="C1903" t="str">
        <f ca="1">IFERROR(__xludf.DUMMYFUNCTION("""COMPUTED_VALUE"""),"АО ОМСКТИСИЗ 168-РДО от 26.04.2022")</f>
        <v>АО ОМСКТИСИЗ 168-РДО от 26.04.2022</v>
      </c>
      <c r="D19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3" t="str">
        <f ca="1">IFERROR(__xludf.DUMMYFUNCTION("""COMPUTED_VALUE"""),"Новый")</f>
        <v>Новый</v>
      </c>
      <c r="G1903" s="68"/>
      <c r="K1903" s="68"/>
    </row>
    <row r="1904" spans="1:11" ht="12.75">
      <c r="A1904" s="69">
        <f ca="1">IFERROR(__xludf.DUMMYFUNCTION("""COMPUTED_VALUE"""),96591)</f>
        <v>96591</v>
      </c>
      <c r="B1904" s="4">
        <f ca="1">IFERROR(__xludf.DUMMYFUNCTION("""COMPUTED_VALUE"""),44679)</f>
        <v>44679</v>
      </c>
      <c r="C1904" t="str">
        <f ca="1">IFERROR(__xludf.DUMMYFUNCTION("""COMPUTED_VALUE"""),"АО ОМСКТИСИЗ 168-РДО от 26.04.2022")</f>
        <v>АО ОМСКТИСИЗ 168-РДО от 26.04.2022</v>
      </c>
      <c r="D19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4" t="str">
        <f ca="1">IFERROR(__xludf.DUMMYFUNCTION("""COMPUTED_VALUE"""),"Новый")</f>
        <v>Новый</v>
      </c>
      <c r="G1904" s="68"/>
      <c r="K1904" s="68"/>
    </row>
    <row r="1905" spans="1:11" ht="12.75">
      <c r="A1905" s="69">
        <f ca="1">IFERROR(__xludf.DUMMYFUNCTION("""COMPUTED_VALUE"""),96592)</f>
        <v>96592</v>
      </c>
      <c r="B1905" s="4">
        <f ca="1">IFERROR(__xludf.DUMMYFUNCTION("""COMPUTED_VALUE"""),44679)</f>
        <v>44679</v>
      </c>
      <c r="C1905" t="str">
        <f ca="1">IFERROR(__xludf.DUMMYFUNCTION("""COMPUTED_VALUE"""),"ЗАО ""ЭКОС"" 128-РДО от 01.01.2022")</f>
        <v>ЗАО "ЭКОС" 128-РДО от 01.01.2022</v>
      </c>
      <c r="D19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5" t="str">
        <f ca="1">IFERROR(__xludf.DUMMYFUNCTION("""COMPUTED_VALUE"""),"Новый")</f>
        <v>Новый</v>
      </c>
      <c r="G1905" s="68"/>
      <c r="K1905" s="68"/>
    </row>
    <row r="1906" spans="1:11" ht="12.75">
      <c r="A1906" s="69">
        <f ca="1">IFERROR(__xludf.DUMMYFUNCTION("""COMPUTED_VALUE"""),96593)</f>
        <v>96593</v>
      </c>
      <c r="B1906" s="4">
        <f ca="1">IFERROR(__xludf.DUMMYFUNCTION("""COMPUTED_VALUE"""),44679)</f>
        <v>44679</v>
      </c>
      <c r="C1906" t="str">
        <f ca="1">IFERROR(__xludf.DUMMYFUNCTION("""COMPUTED_VALUE"""),"ЗАО ""ЭКОС"" 128-РДО от 01.01.2022")</f>
        <v>ЗАО "ЭКОС" 128-РДО от 01.01.2022</v>
      </c>
      <c r="D19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6" t="str">
        <f ca="1">IFERROR(__xludf.DUMMYFUNCTION("""COMPUTED_VALUE"""),"Новый")</f>
        <v>Новый</v>
      </c>
      <c r="G1906" s="68"/>
      <c r="K1906" s="68"/>
    </row>
    <row r="1907" spans="1:11" ht="12.75">
      <c r="A1907" s="69">
        <f ca="1">IFERROR(__xludf.DUMMYFUNCTION("""COMPUTED_VALUE"""),96594)</f>
        <v>96594</v>
      </c>
      <c r="B1907" s="4">
        <f ca="1">IFERROR(__xludf.DUMMYFUNCTION("""COMPUTED_VALUE"""),44679)</f>
        <v>44679</v>
      </c>
      <c r="C1907" t="str">
        <f ca="1">IFERROR(__xludf.DUMMYFUNCTION("""COMPUTED_VALUE"""),"ЗАО ""ЭКОС"" 128-РДО от 01.01.2022")</f>
        <v>ЗАО "ЭКОС" 128-РДО от 01.01.2022</v>
      </c>
      <c r="D19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7" t="str">
        <f ca="1">IFERROR(__xludf.DUMMYFUNCTION("""COMPUTED_VALUE"""),"Новый")</f>
        <v>Новый</v>
      </c>
      <c r="G1907" s="68"/>
      <c r="K1907" s="68"/>
    </row>
    <row r="1908" spans="1:11" ht="12.75">
      <c r="A1908" s="69">
        <f ca="1">IFERROR(__xludf.DUMMYFUNCTION("""COMPUTED_VALUE"""),96595)</f>
        <v>96595</v>
      </c>
      <c r="B1908" s="4">
        <f ca="1">IFERROR(__xludf.DUMMYFUNCTION("""COMPUTED_VALUE"""),44679)</f>
        <v>44679</v>
      </c>
      <c r="C1908" t="str">
        <f ca="1">IFERROR(__xludf.DUMMYFUNCTION("""COMPUTED_VALUE"""),"ЗАО ""ЭКОС"" 128-РДО от 01.01.2022")</f>
        <v>ЗАО "ЭКОС" 128-РДО от 01.01.2022</v>
      </c>
      <c r="D19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8" t="str">
        <f ca="1">IFERROR(__xludf.DUMMYFUNCTION("""COMPUTED_VALUE"""),"Новый")</f>
        <v>Новый</v>
      </c>
      <c r="G1908" s="68"/>
      <c r="K1908" s="68"/>
    </row>
    <row r="1909" spans="1:11" ht="12.75">
      <c r="A1909" s="69">
        <f ca="1">IFERROR(__xludf.DUMMYFUNCTION("""COMPUTED_VALUE"""),96596)</f>
        <v>96596</v>
      </c>
      <c r="B1909" s="4">
        <f ca="1">IFERROR(__xludf.DUMMYFUNCTION("""COMPUTED_VALUE"""),44679)</f>
        <v>44679</v>
      </c>
      <c r="C1909" t="str">
        <f ca="1">IFERROR(__xludf.DUMMYFUNCTION("""COMPUTED_VALUE"""),"ЗАО ""ЭКОС"" 128-РДО от 01.01.2022")</f>
        <v>ЗАО "ЭКОС" 128-РДО от 01.01.2022</v>
      </c>
      <c r="D19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09" t="str">
        <f ca="1">IFERROR(__xludf.DUMMYFUNCTION("""COMPUTED_VALUE"""),"Новый")</f>
        <v>Новый</v>
      </c>
      <c r="G1909" s="68"/>
      <c r="K1909" s="68"/>
    </row>
    <row r="1910" spans="1:11" ht="12.75">
      <c r="A1910" s="69">
        <f ca="1">IFERROR(__xludf.DUMMYFUNCTION("""COMPUTED_VALUE"""),96597)</f>
        <v>96597</v>
      </c>
      <c r="B1910" s="4">
        <f ca="1">IFERROR(__xludf.DUMMYFUNCTION("""COMPUTED_VALUE"""),44679)</f>
        <v>44679</v>
      </c>
      <c r="C1910" t="str">
        <f ca="1">IFERROR(__xludf.DUMMYFUNCTION("""COMPUTED_VALUE"""),"ЗАО ""ЭКОС"" 128-РДО от 01.01.2022")</f>
        <v>ЗАО "ЭКОС" 128-РДО от 01.01.2022</v>
      </c>
      <c r="D19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0" t="str">
        <f ca="1">IFERROR(__xludf.DUMMYFUNCTION("""COMPUTED_VALUE"""),"Новый")</f>
        <v>Новый</v>
      </c>
      <c r="G1910" s="68"/>
      <c r="K1910" s="68"/>
    </row>
    <row r="1911" spans="1:11" ht="12.75">
      <c r="A1911" s="69">
        <f ca="1">IFERROR(__xludf.DUMMYFUNCTION("""COMPUTED_VALUE"""),96598)</f>
        <v>96598</v>
      </c>
      <c r="B1911" s="4">
        <f ca="1">IFERROR(__xludf.DUMMYFUNCTION("""COMPUTED_VALUE"""),44679)</f>
        <v>44679</v>
      </c>
      <c r="C1911" t="str">
        <f ca="1">IFERROR(__xludf.DUMMYFUNCTION("""COMPUTED_VALUE"""),"ЗАО ""ЭКОС"" 128-РДО от 01.01.2022")</f>
        <v>ЗАО "ЭКОС" 128-РДО от 01.01.2022</v>
      </c>
      <c r="D19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1" t="str">
        <f ca="1">IFERROR(__xludf.DUMMYFUNCTION("""COMPUTED_VALUE"""),"Новый")</f>
        <v>Новый</v>
      </c>
      <c r="G1911" s="68"/>
      <c r="K1911" s="68"/>
    </row>
    <row r="1912" spans="1:11" ht="12.75">
      <c r="A1912" s="69">
        <f ca="1">IFERROR(__xludf.DUMMYFUNCTION("""COMPUTED_VALUE"""),96599)</f>
        <v>96599</v>
      </c>
      <c r="B1912" s="4">
        <f ca="1">IFERROR(__xludf.DUMMYFUNCTION("""COMPUTED_VALUE"""),44679)</f>
        <v>44679</v>
      </c>
      <c r="C1912" t="str">
        <f ca="1">IFERROR(__xludf.DUMMYFUNCTION("""COMPUTED_VALUE"""),"ЗАО ""ЭКОС"" 128-РДО от 01.01.2022")</f>
        <v>ЗАО "ЭКОС" 128-РДО от 01.01.2022</v>
      </c>
      <c r="D19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2" t="str">
        <f ca="1">IFERROR(__xludf.DUMMYFUNCTION("""COMPUTED_VALUE"""),"Новый")</f>
        <v>Новый</v>
      </c>
      <c r="G1912" s="68"/>
      <c r="K1912" s="68"/>
    </row>
    <row r="1913" spans="1:11" ht="12.75">
      <c r="A1913" s="69">
        <f ca="1">IFERROR(__xludf.DUMMYFUNCTION("""COMPUTED_VALUE"""),96600)</f>
        <v>96600</v>
      </c>
      <c r="B1913" s="4">
        <f ca="1">IFERROR(__xludf.DUMMYFUNCTION("""COMPUTED_VALUE"""),44679)</f>
        <v>44679</v>
      </c>
      <c r="C1913" t="str">
        <f ca="1">IFERROR(__xludf.DUMMYFUNCTION("""COMPUTED_VALUE"""),"ЗАО ""ЭКОС"" 128-РДО от 01.01.2022")</f>
        <v>ЗАО "ЭКОС" 128-РДО от 01.01.2022</v>
      </c>
      <c r="D19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3" t="str">
        <f ca="1">IFERROR(__xludf.DUMMYFUNCTION("""COMPUTED_VALUE"""),"Новый")</f>
        <v>Новый</v>
      </c>
      <c r="G1913" s="68"/>
      <c r="K1913" s="68"/>
    </row>
    <row r="1914" spans="1:11" ht="12.75">
      <c r="A1914" s="69">
        <f ca="1">IFERROR(__xludf.DUMMYFUNCTION("""COMPUTED_VALUE"""),96601)</f>
        <v>96601</v>
      </c>
      <c r="B1914" s="4">
        <f ca="1">IFERROR(__xludf.DUMMYFUNCTION("""COMPUTED_VALUE"""),44679)</f>
        <v>44679</v>
      </c>
      <c r="C1914" t="str">
        <f ca="1">IFERROR(__xludf.DUMMYFUNCTION("""COMPUTED_VALUE"""),"ЗАО ""ЭКОС"" 128-РДО от 01.01.2022")</f>
        <v>ЗАО "ЭКОС" 128-РДО от 01.01.2022</v>
      </c>
      <c r="D19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4" t="str">
        <f ca="1">IFERROR(__xludf.DUMMYFUNCTION("""COMPUTED_VALUE"""),"Новый")</f>
        <v>Новый</v>
      </c>
      <c r="G1914" s="68"/>
      <c r="K1914" s="68"/>
    </row>
    <row r="1915" spans="1:11" ht="12.75">
      <c r="A1915" s="69">
        <f ca="1">IFERROR(__xludf.DUMMYFUNCTION("""COMPUTED_VALUE"""),96602)</f>
        <v>96602</v>
      </c>
      <c r="B1915" s="4">
        <f ca="1">IFERROR(__xludf.DUMMYFUNCTION("""COMPUTED_VALUE"""),44679)</f>
        <v>44679</v>
      </c>
      <c r="C1915" t="str">
        <f ca="1">IFERROR(__xludf.DUMMYFUNCTION("""COMPUTED_VALUE"""),"ЗАО ""ЭКОС"" 128-РДО от 01.01.2022")</f>
        <v>ЗАО "ЭКОС" 128-РДО от 01.01.2022</v>
      </c>
      <c r="D19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5" t="str">
        <f ca="1">IFERROR(__xludf.DUMMYFUNCTION("""COMPUTED_VALUE"""),"Новый")</f>
        <v>Новый</v>
      </c>
      <c r="G1915" s="68"/>
      <c r="K1915" s="68"/>
    </row>
    <row r="1916" spans="1:11" ht="12.75">
      <c r="A1916" s="69">
        <f ca="1">IFERROR(__xludf.DUMMYFUNCTION("""COMPUTED_VALUE"""),96603)</f>
        <v>96603</v>
      </c>
      <c r="B1916" s="4">
        <f ca="1">IFERROR(__xludf.DUMMYFUNCTION("""COMPUTED_VALUE"""),44679)</f>
        <v>44679</v>
      </c>
      <c r="C1916" t="str">
        <f ca="1">IFERROR(__xludf.DUMMYFUNCTION("""COMPUTED_VALUE"""),"ЗАО ""ЭКОС"" 128-РДО от 01.01.2022")</f>
        <v>ЗАО "ЭКОС" 128-РДО от 01.01.2022</v>
      </c>
      <c r="D19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6" t="str">
        <f ca="1">IFERROR(__xludf.DUMMYFUNCTION("""COMPUTED_VALUE"""),"Новый")</f>
        <v>Новый</v>
      </c>
      <c r="G1916" s="68"/>
      <c r="K1916" s="68"/>
    </row>
    <row r="1917" spans="1:11" ht="12.75">
      <c r="A1917" s="69">
        <f ca="1">IFERROR(__xludf.DUMMYFUNCTION("""COMPUTED_VALUE"""),96604)</f>
        <v>96604</v>
      </c>
      <c r="B1917" s="4">
        <f ca="1">IFERROR(__xludf.DUMMYFUNCTION("""COMPUTED_VALUE"""),44679)</f>
        <v>44679</v>
      </c>
      <c r="C1917" t="str">
        <f ca="1">IFERROR(__xludf.DUMMYFUNCTION("""COMPUTED_VALUE"""),"ЗАО ""ЭКОС"" 128-РДО от 01.01.2022")</f>
        <v>ЗАО "ЭКОС" 128-РДО от 01.01.2022</v>
      </c>
      <c r="D19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7" t="str">
        <f ca="1">IFERROR(__xludf.DUMMYFUNCTION("""COMPUTED_VALUE"""),"Новый")</f>
        <v>Новый</v>
      </c>
      <c r="G1917" s="68"/>
      <c r="K1917" s="68"/>
    </row>
    <row r="1918" spans="1:11" ht="12.75">
      <c r="A1918" s="69">
        <f ca="1">IFERROR(__xludf.DUMMYFUNCTION("""COMPUTED_VALUE"""),96605)</f>
        <v>96605</v>
      </c>
      <c r="B1918" s="4">
        <f ca="1">IFERROR(__xludf.DUMMYFUNCTION("""COMPUTED_VALUE"""),44679)</f>
        <v>44679</v>
      </c>
      <c r="C1918" t="str">
        <f ca="1">IFERROR(__xludf.DUMMYFUNCTION("""COMPUTED_VALUE"""),"ЗАО ""ЭКОС"" 128-РДО от 01.01.2022")</f>
        <v>ЗАО "ЭКОС" 128-РДО от 01.01.2022</v>
      </c>
      <c r="D19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8" t="str">
        <f ca="1">IFERROR(__xludf.DUMMYFUNCTION("""COMPUTED_VALUE"""),"Новый")</f>
        <v>Новый</v>
      </c>
      <c r="G1918" s="68"/>
      <c r="K1918" s="68"/>
    </row>
    <row r="1919" spans="1:11" ht="12.75">
      <c r="A1919" s="69">
        <f ca="1">IFERROR(__xludf.DUMMYFUNCTION("""COMPUTED_VALUE"""),96606)</f>
        <v>96606</v>
      </c>
      <c r="B1919" s="4">
        <f ca="1">IFERROR(__xludf.DUMMYFUNCTION("""COMPUTED_VALUE"""),44679)</f>
        <v>44679</v>
      </c>
      <c r="C1919" t="str">
        <f ca="1">IFERROR(__xludf.DUMMYFUNCTION("""COMPUTED_VALUE"""),"ЗАО ""ЭКОС"" 128-РДО от 01.01.2022")</f>
        <v>ЗАО "ЭКОС" 128-РДО от 01.01.2022</v>
      </c>
      <c r="D19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19" t="str">
        <f ca="1">IFERROR(__xludf.DUMMYFUNCTION("""COMPUTED_VALUE"""),"Новый")</f>
        <v>Новый</v>
      </c>
      <c r="G1919" s="68"/>
      <c r="K1919" s="68"/>
    </row>
    <row r="1920" spans="1:11" ht="12.75">
      <c r="A1920" s="69">
        <f ca="1">IFERROR(__xludf.DUMMYFUNCTION("""COMPUTED_VALUE"""),96607)</f>
        <v>96607</v>
      </c>
      <c r="B1920" s="4">
        <f ca="1">IFERROR(__xludf.DUMMYFUNCTION("""COMPUTED_VALUE"""),44679)</f>
        <v>44679</v>
      </c>
      <c r="C1920" t="str">
        <f ca="1">IFERROR(__xludf.DUMMYFUNCTION("""COMPUTED_VALUE"""),"ЗАО ""ЭКОС"" 128-РДО от 01.01.2022")</f>
        <v>ЗАО "ЭКОС" 128-РДО от 01.01.2022</v>
      </c>
      <c r="D19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0" t="str">
        <f ca="1">IFERROR(__xludf.DUMMYFUNCTION("""COMPUTED_VALUE"""),"Новый")</f>
        <v>Новый</v>
      </c>
      <c r="G1920" s="68"/>
      <c r="K1920" s="68"/>
    </row>
    <row r="1921" spans="1:11" ht="12.75">
      <c r="A1921" s="69">
        <f ca="1">IFERROR(__xludf.DUMMYFUNCTION("""COMPUTED_VALUE"""),96608)</f>
        <v>96608</v>
      </c>
      <c r="B1921" s="4">
        <f ca="1">IFERROR(__xludf.DUMMYFUNCTION("""COMPUTED_VALUE"""),44679)</f>
        <v>44679</v>
      </c>
      <c r="C1921" t="str">
        <f ca="1">IFERROR(__xludf.DUMMYFUNCTION("""COMPUTED_VALUE"""),"ЗАО ""ЭКОС"" 128-РДО от 01.01.2022")</f>
        <v>ЗАО "ЭКОС" 128-РДО от 01.01.2022</v>
      </c>
      <c r="D19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1" t="str">
        <f ca="1">IFERROR(__xludf.DUMMYFUNCTION("""COMPUTED_VALUE"""),"Новый")</f>
        <v>Новый</v>
      </c>
      <c r="G1921" s="68"/>
      <c r="K1921" s="68"/>
    </row>
    <row r="1922" spans="1:11" ht="12.75">
      <c r="A1922" s="69">
        <f ca="1">IFERROR(__xludf.DUMMYFUNCTION("""COMPUTED_VALUE"""),96609)</f>
        <v>96609</v>
      </c>
      <c r="B1922" s="4">
        <f ca="1">IFERROR(__xludf.DUMMYFUNCTION("""COMPUTED_VALUE"""),44679)</f>
        <v>44679</v>
      </c>
      <c r="C1922" t="str">
        <f ca="1">IFERROR(__xludf.DUMMYFUNCTION("""COMPUTED_VALUE"""),"ЗАО ""ЭКОС"" 128-РДО от 01.01.2022")</f>
        <v>ЗАО "ЭКОС" 128-РДО от 01.01.2022</v>
      </c>
      <c r="D19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2" t="str">
        <f ca="1">IFERROR(__xludf.DUMMYFUNCTION("""COMPUTED_VALUE"""),"Новый")</f>
        <v>Новый</v>
      </c>
      <c r="G1922" s="68"/>
      <c r="K1922" s="68"/>
    </row>
    <row r="1923" spans="1:11" ht="12.75">
      <c r="A1923" s="69">
        <f ca="1">IFERROR(__xludf.DUMMYFUNCTION("""COMPUTED_VALUE"""),96610)</f>
        <v>96610</v>
      </c>
      <c r="B1923" s="4">
        <f ca="1">IFERROR(__xludf.DUMMYFUNCTION("""COMPUTED_VALUE"""),44679)</f>
        <v>44679</v>
      </c>
      <c r="C1923" t="str">
        <f ca="1">IFERROR(__xludf.DUMMYFUNCTION("""COMPUTED_VALUE"""),"ЗАО ""ЭКОС"" 128-РДО от 01.01.2022")</f>
        <v>ЗАО "ЭКОС" 128-РДО от 01.01.2022</v>
      </c>
      <c r="D19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3" t="str">
        <f ca="1">IFERROR(__xludf.DUMMYFUNCTION("""COMPUTED_VALUE"""),"Новый")</f>
        <v>Новый</v>
      </c>
      <c r="G1923" s="68"/>
      <c r="K1923" s="68"/>
    </row>
    <row r="1924" spans="1:11" ht="12.75">
      <c r="A1924" s="69">
        <f ca="1">IFERROR(__xludf.DUMMYFUNCTION("""COMPUTED_VALUE"""),96611)</f>
        <v>96611</v>
      </c>
      <c r="B1924" s="4">
        <f ca="1">IFERROR(__xludf.DUMMYFUNCTION("""COMPUTED_VALUE"""),44679)</f>
        <v>44679</v>
      </c>
      <c r="C1924" t="str">
        <f ca="1">IFERROR(__xludf.DUMMYFUNCTION("""COMPUTED_VALUE"""),"ЗАО ""ЭКОС"" 128-РДО от 01.01.2022")</f>
        <v>ЗАО "ЭКОС" 128-РДО от 01.01.2022</v>
      </c>
      <c r="D19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4" t="str">
        <f ca="1">IFERROR(__xludf.DUMMYFUNCTION("""COMPUTED_VALUE"""),"Новый")</f>
        <v>Новый</v>
      </c>
      <c r="G1924" s="68"/>
      <c r="K1924" s="68"/>
    </row>
    <row r="1925" spans="1:11" ht="12.75">
      <c r="A1925" s="69">
        <f ca="1">IFERROR(__xludf.DUMMYFUNCTION("""COMPUTED_VALUE"""),96612)</f>
        <v>96612</v>
      </c>
      <c r="B1925" s="4">
        <f ca="1">IFERROR(__xludf.DUMMYFUNCTION("""COMPUTED_VALUE"""),44679)</f>
        <v>44679</v>
      </c>
      <c r="C1925" t="str">
        <f ca="1">IFERROR(__xludf.DUMMYFUNCTION("""COMPUTED_VALUE"""),"ЗАО ""ЭКОС"" 128-РДО от 01.01.2022")</f>
        <v>ЗАО "ЭКОС" 128-РДО от 01.01.2022</v>
      </c>
      <c r="D19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5" t="str">
        <f ca="1">IFERROR(__xludf.DUMMYFUNCTION("""COMPUTED_VALUE"""),"Новый")</f>
        <v>Новый</v>
      </c>
      <c r="G1925" s="68"/>
      <c r="K1925" s="68"/>
    </row>
    <row r="1926" spans="1:11" ht="12.75">
      <c r="A1926" s="69">
        <f ca="1">IFERROR(__xludf.DUMMYFUNCTION("""COMPUTED_VALUE"""),96613)</f>
        <v>96613</v>
      </c>
      <c r="B1926" s="4">
        <f ca="1">IFERROR(__xludf.DUMMYFUNCTION("""COMPUTED_VALUE"""),44679)</f>
        <v>44679</v>
      </c>
      <c r="C1926" t="str">
        <f ca="1">IFERROR(__xludf.DUMMYFUNCTION("""COMPUTED_VALUE"""),"ЗАО ""ЭКОС"" 128-РДО от 01.01.2022")</f>
        <v>ЗАО "ЭКОС" 128-РДО от 01.01.2022</v>
      </c>
      <c r="D19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6" t="str">
        <f ca="1">IFERROR(__xludf.DUMMYFUNCTION("""COMPUTED_VALUE"""),"Новый")</f>
        <v>Новый</v>
      </c>
      <c r="G1926" s="68"/>
      <c r="K1926" s="68"/>
    </row>
    <row r="1927" spans="1:11" ht="12.75">
      <c r="A1927" s="69">
        <f ca="1">IFERROR(__xludf.DUMMYFUNCTION("""COMPUTED_VALUE"""),96614)</f>
        <v>96614</v>
      </c>
      <c r="B1927" s="4">
        <f ca="1">IFERROR(__xludf.DUMMYFUNCTION("""COMPUTED_VALUE"""),44679)</f>
        <v>44679</v>
      </c>
      <c r="C1927" t="str">
        <f ca="1">IFERROR(__xludf.DUMMYFUNCTION("""COMPUTED_VALUE"""),"ЗАО ""ЭКОС"" 128-РДО от 01.01.2022")</f>
        <v>ЗАО "ЭКОС" 128-РДО от 01.01.2022</v>
      </c>
      <c r="D19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7" t="str">
        <f ca="1">IFERROR(__xludf.DUMMYFUNCTION("""COMPUTED_VALUE"""),"Новый")</f>
        <v>Новый</v>
      </c>
      <c r="G1927" s="68"/>
      <c r="K1927" s="68"/>
    </row>
    <row r="1928" spans="1:11" ht="12.75">
      <c r="A1928" s="69">
        <f ca="1">IFERROR(__xludf.DUMMYFUNCTION("""COMPUTED_VALUE"""),96615)</f>
        <v>96615</v>
      </c>
      <c r="B1928" s="4">
        <f ca="1">IFERROR(__xludf.DUMMYFUNCTION("""COMPUTED_VALUE"""),44679)</f>
        <v>44679</v>
      </c>
      <c r="C1928" t="str">
        <f ca="1">IFERROR(__xludf.DUMMYFUNCTION("""COMPUTED_VALUE"""),"ЗАО ""ЭКОС"" 128-РДО от 01.01.2022")</f>
        <v>ЗАО "ЭКОС" 128-РДО от 01.01.2022</v>
      </c>
      <c r="D19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8" t="str">
        <f ca="1">IFERROR(__xludf.DUMMYFUNCTION("""COMPUTED_VALUE"""),"Новый")</f>
        <v>Новый</v>
      </c>
      <c r="G1928" s="68"/>
      <c r="K1928" s="68"/>
    </row>
    <row r="1929" spans="1:11" ht="12.75">
      <c r="A1929" s="69">
        <f ca="1">IFERROR(__xludf.DUMMYFUNCTION("""COMPUTED_VALUE"""),96616)</f>
        <v>96616</v>
      </c>
      <c r="B1929" s="4">
        <f ca="1">IFERROR(__xludf.DUMMYFUNCTION("""COMPUTED_VALUE"""),44679)</f>
        <v>44679</v>
      </c>
      <c r="C1929" t="str">
        <f ca="1">IFERROR(__xludf.DUMMYFUNCTION("""COMPUTED_VALUE"""),"ЗАО ""ЭКОС"" 128-РДО от 01.01.2022")</f>
        <v>ЗАО "ЭКОС" 128-РДО от 01.01.2022</v>
      </c>
      <c r="D19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29" t="str">
        <f ca="1">IFERROR(__xludf.DUMMYFUNCTION("""COMPUTED_VALUE"""),"Новый")</f>
        <v>Новый</v>
      </c>
      <c r="G1929" s="68"/>
      <c r="K1929" s="68"/>
    </row>
    <row r="1930" spans="1:11" ht="12.75">
      <c r="A1930" s="69">
        <f ca="1">IFERROR(__xludf.DUMMYFUNCTION("""COMPUTED_VALUE"""),96617)</f>
        <v>96617</v>
      </c>
      <c r="B1930" s="4">
        <f ca="1">IFERROR(__xludf.DUMMYFUNCTION("""COMPUTED_VALUE"""),44679)</f>
        <v>44679</v>
      </c>
      <c r="C1930" t="str">
        <f ca="1">IFERROR(__xludf.DUMMYFUNCTION("""COMPUTED_VALUE"""),"ЗАО ""ЭКОС"" 128-РДО от 01.01.2022")</f>
        <v>ЗАО "ЭКОС" 128-РДО от 01.01.2022</v>
      </c>
      <c r="D19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0" t="str">
        <f ca="1">IFERROR(__xludf.DUMMYFUNCTION("""COMPUTED_VALUE"""),"Новый")</f>
        <v>Новый</v>
      </c>
      <c r="G1930" s="68"/>
      <c r="K1930" s="68"/>
    </row>
    <row r="1931" spans="1:11" ht="12.75">
      <c r="A1931" s="69">
        <f ca="1">IFERROR(__xludf.DUMMYFUNCTION("""COMPUTED_VALUE"""),96618)</f>
        <v>96618</v>
      </c>
      <c r="B1931" s="4">
        <f ca="1">IFERROR(__xludf.DUMMYFUNCTION("""COMPUTED_VALUE"""),44679)</f>
        <v>44679</v>
      </c>
      <c r="C1931" t="str">
        <f ca="1">IFERROR(__xludf.DUMMYFUNCTION("""COMPUTED_VALUE"""),"ЗАО ""ЭКОС"" 128-РДО от 01.01.2022")</f>
        <v>ЗАО "ЭКОС" 128-РДО от 01.01.2022</v>
      </c>
      <c r="D19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1" t="str">
        <f ca="1">IFERROR(__xludf.DUMMYFUNCTION("""COMPUTED_VALUE"""),"Новый")</f>
        <v>Новый</v>
      </c>
      <c r="G1931" s="68"/>
      <c r="K1931" s="68"/>
    </row>
    <row r="1932" spans="1:11" ht="12.75">
      <c r="A1932" s="69">
        <f ca="1">IFERROR(__xludf.DUMMYFUNCTION("""COMPUTED_VALUE"""),96619)</f>
        <v>96619</v>
      </c>
      <c r="B1932" s="4">
        <f ca="1">IFERROR(__xludf.DUMMYFUNCTION("""COMPUTED_VALUE"""),44679)</f>
        <v>44679</v>
      </c>
      <c r="C1932" t="str">
        <f ca="1">IFERROR(__xludf.DUMMYFUNCTION("""COMPUTED_VALUE"""),"ЗАО ""ЭКОС"" 128-РДО от 01.01.2022")</f>
        <v>ЗАО "ЭКОС" 128-РДО от 01.01.2022</v>
      </c>
      <c r="D19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2" t="str">
        <f ca="1">IFERROR(__xludf.DUMMYFUNCTION("""COMPUTED_VALUE"""),"Новый")</f>
        <v>Новый</v>
      </c>
      <c r="G1932" s="68"/>
      <c r="K1932" s="68"/>
    </row>
    <row r="1933" spans="1:11" ht="12.75">
      <c r="A1933" s="69">
        <f ca="1">IFERROR(__xludf.DUMMYFUNCTION("""COMPUTED_VALUE"""),96620)</f>
        <v>96620</v>
      </c>
      <c r="B1933" s="4">
        <f ca="1">IFERROR(__xludf.DUMMYFUNCTION("""COMPUTED_VALUE"""),44679)</f>
        <v>44679</v>
      </c>
      <c r="C1933" t="str">
        <f ca="1">IFERROR(__xludf.DUMMYFUNCTION("""COMPUTED_VALUE"""),"ЗАО ""ЭКОС"" 128-РДО от 01.01.2022")</f>
        <v>ЗАО "ЭКОС" 128-РДО от 01.01.2022</v>
      </c>
      <c r="D19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3" t="str">
        <f ca="1">IFERROR(__xludf.DUMMYFUNCTION("""COMPUTED_VALUE"""),"Новый")</f>
        <v>Новый</v>
      </c>
      <c r="G1933" s="68"/>
      <c r="K1933" s="68"/>
    </row>
    <row r="1934" spans="1:11" ht="12.75">
      <c r="A1934" s="69">
        <f ca="1">IFERROR(__xludf.DUMMYFUNCTION("""COMPUTED_VALUE"""),96621)</f>
        <v>96621</v>
      </c>
      <c r="B1934" s="4">
        <f ca="1">IFERROR(__xludf.DUMMYFUNCTION("""COMPUTED_VALUE"""),44679)</f>
        <v>44679</v>
      </c>
      <c r="C1934" t="str">
        <f ca="1">IFERROR(__xludf.DUMMYFUNCTION("""COMPUTED_VALUE"""),"ЗАО ""ЭКОС"" 128-РДО от 01.01.2022")</f>
        <v>ЗАО "ЭКОС" 128-РДО от 01.01.2022</v>
      </c>
      <c r="D19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4" t="str">
        <f ca="1">IFERROR(__xludf.DUMMYFUNCTION("""COMPUTED_VALUE"""),"Новый")</f>
        <v>Новый</v>
      </c>
      <c r="G1934" s="68"/>
      <c r="K1934" s="68"/>
    </row>
    <row r="1935" spans="1:11" ht="12.75">
      <c r="A1935" s="69">
        <f ca="1">IFERROR(__xludf.DUMMYFUNCTION("""COMPUTED_VALUE"""),96622)</f>
        <v>96622</v>
      </c>
      <c r="B1935" s="4">
        <f ca="1">IFERROR(__xludf.DUMMYFUNCTION("""COMPUTED_VALUE"""),44679)</f>
        <v>44679</v>
      </c>
      <c r="C1935" t="str">
        <f ca="1">IFERROR(__xludf.DUMMYFUNCTION("""COMPUTED_VALUE"""),"ЗАО ""ЭКОС"" 128-РДО от 01.01.2022")</f>
        <v>ЗАО "ЭКОС" 128-РДО от 01.01.2022</v>
      </c>
      <c r="D19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5" t="str">
        <f ca="1">IFERROR(__xludf.DUMMYFUNCTION("""COMPUTED_VALUE"""),"Новый")</f>
        <v>Новый</v>
      </c>
      <c r="G1935" s="68"/>
      <c r="K1935" s="68"/>
    </row>
    <row r="1936" spans="1:11" ht="12.75">
      <c r="A1936" s="69">
        <f ca="1">IFERROR(__xludf.DUMMYFUNCTION("""COMPUTED_VALUE"""),96623)</f>
        <v>96623</v>
      </c>
      <c r="B1936" s="4">
        <f ca="1">IFERROR(__xludf.DUMMYFUNCTION("""COMPUTED_VALUE"""),44679)</f>
        <v>44679</v>
      </c>
      <c r="C1936" t="str">
        <f ca="1">IFERROR(__xludf.DUMMYFUNCTION("""COMPUTED_VALUE"""),"ЗАО ""ЭКОС"" 128-РДО от 01.01.2022")</f>
        <v>ЗАО "ЭКОС" 128-РДО от 01.01.2022</v>
      </c>
      <c r="D19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6" t="str">
        <f ca="1">IFERROR(__xludf.DUMMYFUNCTION("""COMPUTED_VALUE"""),"Новый")</f>
        <v>Новый</v>
      </c>
      <c r="G1936" s="68"/>
      <c r="K1936" s="68"/>
    </row>
    <row r="1937" spans="1:11" ht="12.75">
      <c r="A1937" s="69">
        <f ca="1">IFERROR(__xludf.DUMMYFUNCTION("""COMPUTED_VALUE"""),96624)</f>
        <v>96624</v>
      </c>
      <c r="B1937" s="4">
        <f ca="1">IFERROR(__xludf.DUMMYFUNCTION("""COMPUTED_VALUE"""),44679)</f>
        <v>44679</v>
      </c>
      <c r="C1937" t="str">
        <f ca="1">IFERROR(__xludf.DUMMYFUNCTION("""COMPUTED_VALUE"""),"ЗАО ""ЭКОС"" 128-РДО от 01.01.2022")</f>
        <v>ЗАО "ЭКОС" 128-РДО от 01.01.2022</v>
      </c>
      <c r="D19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7" t="str">
        <f ca="1">IFERROR(__xludf.DUMMYFUNCTION("""COMPUTED_VALUE"""),"Новый")</f>
        <v>Новый</v>
      </c>
      <c r="G1937" s="68"/>
      <c r="K1937" s="68"/>
    </row>
    <row r="1938" spans="1:11" ht="12.75">
      <c r="A1938" s="69">
        <f ca="1">IFERROR(__xludf.DUMMYFUNCTION("""COMPUTED_VALUE"""),96625)</f>
        <v>96625</v>
      </c>
      <c r="B1938" s="4">
        <f ca="1">IFERROR(__xludf.DUMMYFUNCTION("""COMPUTED_VALUE"""),44679)</f>
        <v>44679</v>
      </c>
      <c r="C1938" t="str">
        <f ca="1">IFERROR(__xludf.DUMMYFUNCTION("""COMPUTED_VALUE"""),"ЗАО ""ЭКОС"" 128-РДО от 01.01.2022")</f>
        <v>ЗАО "ЭКОС" 128-РДО от 01.01.2022</v>
      </c>
      <c r="D19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8" t="str">
        <f ca="1">IFERROR(__xludf.DUMMYFUNCTION("""COMPUTED_VALUE"""),"Новый")</f>
        <v>Новый</v>
      </c>
      <c r="G1938" s="68"/>
      <c r="K1938" s="68"/>
    </row>
    <row r="1939" spans="1:11" ht="12.75">
      <c r="A1939" s="69">
        <f ca="1">IFERROR(__xludf.DUMMYFUNCTION("""COMPUTED_VALUE"""),96626)</f>
        <v>96626</v>
      </c>
      <c r="B1939" s="4">
        <f ca="1">IFERROR(__xludf.DUMMYFUNCTION("""COMPUTED_VALUE"""),44679)</f>
        <v>44679</v>
      </c>
      <c r="C1939" t="str">
        <f ca="1">IFERROR(__xludf.DUMMYFUNCTION("""COMPUTED_VALUE"""),"ЗАО ""ЭКОС"" 128-РДО от 01.01.2022")</f>
        <v>ЗАО "ЭКОС" 128-РДО от 01.01.2022</v>
      </c>
      <c r="D19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39" t="str">
        <f ca="1">IFERROR(__xludf.DUMMYFUNCTION("""COMPUTED_VALUE"""),"Новый")</f>
        <v>Новый</v>
      </c>
      <c r="G1939" s="68"/>
      <c r="K1939" s="68"/>
    </row>
    <row r="1940" spans="1:11" ht="12.75">
      <c r="A1940" s="69">
        <f ca="1">IFERROR(__xludf.DUMMYFUNCTION("""COMPUTED_VALUE"""),96627)</f>
        <v>96627</v>
      </c>
      <c r="B1940" s="4">
        <f ca="1">IFERROR(__xludf.DUMMYFUNCTION("""COMPUTED_VALUE"""),44679)</f>
        <v>44679</v>
      </c>
      <c r="C1940" t="str">
        <f ca="1">IFERROR(__xludf.DUMMYFUNCTION("""COMPUTED_VALUE"""),"ЗАО ""ЭКОС"" 128-РДО от 01.01.2022")</f>
        <v>ЗАО "ЭКОС" 128-РДО от 01.01.2022</v>
      </c>
      <c r="D19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0" t="str">
        <f ca="1">IFERROR(__xludf.DUMMYFUNCTION("""COMPUTED_VALUE"""),"Новый")</f>
        <v>Новый</v>
      </c>
      <c r="G1940" s="68"/>
      <c r="K1940" s="68"/>
    </row>
    <row r="1941" spans="1:11" ht="12.75">
      <c r="A1941" s="69">
        <f ca="1">IFERROR(__xludf.DUMMYFUNCTION("""COMPUTED_VALUE"""),96628)</f>
        <v>96628</v>
      </c>
      <c r="B1941" s="4">
        <f ca="1">IFERROR(__xludf.DUMMYFUNCTION("""COMPUTED_VALUE"""),44679)</f>
        <v>44679</v>
      </c>
      <c r="C1941" t="str">
        <f ca="1">IFERROR(__xludf.DUMMYFUNCTION("""COMPUTED_VALUE"""),"ЗАО ""ЭКОС"" 128-РДО от 01.01.2022")</f>
        <v>ЗАО "ЭКОС" 128-РДО от 01.01.2022</v>
      </c>
      <c r="D19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1" t="str">
        <f ca="1">IFERROR(__xludf.DUMMYFUNCTION("""COMPUTED_VALUE"""),"Новый")</f>
        <v>Новый</v>
      </c>
      <c r="G1941" s="68"/>
      <c r="K1941" s="68"/>
    </row>
    <row r="1942" spans="1:11" ht="12.75">
      <c r="A1942" s="69">
        <f ca="1">IFERROR(__xludf.DUMMYFUNCTION("""COMPUTED_VALUE"""),96629)</f>
        <v>96629</v>
      </c>
      <c r="B1942" s="4">
        <f ca="1">IFERROR(__xludf.DUMMYFUNCTION("""COMPUTED_VALUE"""),44679)</f>
        <v>44679</v>
      </c>
      <c r="C1942" t="str">
        <f ca="1">IFERROR(__xludf.DUMMYFUNCTION("""COMPUTED_VALUE"""),"ЗАО ""ЭКОС"" 128-РДО от 01.01.2022")</f>
        <v>ЗАО "ЭКОС" 128-РДО от 01.01.2022</v>
      </c>
      <c r="D19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2" t="str">
        <f ca="1">IFERROR(__xludf.DUMMYFUNCTION("""COMPUTED_VALUE"""),"Новый")</f>
        <v>Новый</v>
      </c>
      <c r="G1942" s="68"/>
      <c r="K1942" s="68"/>
    </row>
    <row r="1943" spans="1:11" ht="12.75">
      <c r="A1943" s="69">
        <f ca="1">IFERROR(__xludf.DUMMYFUNCTION("""COMPUTED_VALUE"""),96630)</f>
        <v>96630</v>
      </c>
      <c r="B1943" s="4">
        <f ca="1">IFERROR(__xludf.DUMMYFUNCTION("""COMPUTED_VALUE"""),44679)</f>
        <v>44679</v>
      </c>
      <c r="C1943" t="str">
        <f ca="1">IFERROR(__xludf.DUMMYFUNCTION("""COMPUTED_VALUE"""),"ЗАО ""ЭКОС"" 128-РДО от 01.01.2022")</f>
        <v>ЗАО "ЭКОС" 128-РДО от 01.01.2022</v>
      </c>
      <c r="D19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3" t="str">
        <f ca="1">IFERROR(__xludf.DUMMYFUNCTION("""COMPUTED_VALUE"""),"Новый")</f>
        <v>Новый</v>
      </c>
      <c r="G1943" s="68"/>
      <c r="K1943" s="68"/>
    </row>
    <row r="1944" spans="1:11" ht="12.75">
      <c r="A1944" s="69">
        <f ca="1">IFERROR(__xludf.DUMMYFUNCTION("""COMPUTED_VALUE"""),96631)</f>
        <v>96631</v>
      </c>
      <c r="B1944" s="4">
        <f ca="1">IFERROR(__xludf.DUMMYFUNCTION("""COMPUTED_VALUE"""),44679)</f>
        <v>44679</v>
      </c>
      <c r="C1944" t="str">
        <f ca="1">IFERROR(__xludf.DUMMYFUNCTION("""COMPUTED_VALUE"""),"ЗАО ""ЭКОС"" 128-РДО от 01.01.2022")</f>
        <v>ЗАО "ЭКОС" 128-РДО от 01.01.2022</v>
      </c>
      <c r="D19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4" t="str">
        <f ca="1">IFERROR(__xludf.DUMMYFUNCTION("""COMPUTED_VALUE"""),"Новый")</f>
        <v>Новый</v>
      </c>
      <c r="G1944" s="68"/>
      <c r="K1944" s="68"/>
    </row>
    <row r="1945" spans="1:11" ht="12.75">
      <c r="A1945" s="69">
        <f ca="1">IFERROR(__xludf.DUMMYFUNCTION("""COMPUTED_VALUE"""),96632)</f>
        <v>96632</v>
      </c>
      <c r="B1945" s="4">
        <f ca="1">IFERROR(__xludf.DUMMYFUNCTION("""COMPUTED_VALUE"""),44679)</f>
        <v>44679</v>
      </c>
      <c r="C1945" t="str">
        <f ca="1">IFERROR(__xludf.DUMMYFUNCTION("""COMPUTED_VALUE"""),"ЗАО ""ЭКОС"" 128-РДО от 01.01.2022")</f>
        <v>ЗАО "ЭКОС" 128-РДО от 01.01.2022</v>
      </c>
      <c r="D19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5" t="str">
        <f ca="1">IFERROR(__xludf.DUMMYFUNCTION("""COMPUTED_VALUE"""),"Новый")</f>
        <v>Новый</v>
      </c>
      <c r="G1945" s="68"/>
      <c r="K1945" s="68"/>
    </row>
    <row r="1946" spans="1:11" ht="12.75">
      <c r="A1946" s="69">
        <f ca="1">IFERROR(__xludf.DUMMYFUNCTION("""COMPUTED_VALUE"""),96633)</f>
        <v>96633</v>
      </c>
      <c r="B1946" s="4">
        <f ca="1">IFERROR(__xludf.DUMMYFUNCTION("""COMPUTED_VALUE"""),44679)</f>
        <v>44679</v>
      </c>
      <c r="C1946" t="str">
        <f ca="1">IFERROR(__xludf.DUMMYFUNCTION("""COMPUTED_VALUE"""),"ЗАО ""ЭКОС"" 128-РДО от 01.01.2022")</f>
        <v>ЗАО "ЭКОС" 128-РДО от 01.01.2022</v>
      </c>
      <c r="D19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6" t="str">
        <f ca="1">IFERROR(__xludf.DUMMYFUNCTION("""COMPUTED_VALUE"""),"Новый")</f>
        <v>Новый</v>
      </c>
      <c r="G1946" s="68"/>
      <c r="K1946" s="68"/>
    </row>
    <row r="1947" spans="1:11" ht="12.75">
      <c r="A1947" s="69">
        <f ca="1">IFERROR(__xludf.DUMMYFUNCTION("""COMPUTED_VALUE"""),96634)</f>
        <v>96634</v>
      </c>
      <c r="B1947" s="4">
        <f ca="1">IFERROR(__xludf.DUMMYFUNCTION("""COMPUTED_VALUE"""),44679)</f>
        <v>44679</v>
      </c>
      <c r="C1947" t="str">
        <f ca="1">IFERROR(__xludf.DUMMYFUNCTION("""COMPUTED_VALUE"""),"ЗАО ""ЭКОС"" 128-РДО от 01.01.2022")</f>
        <v>ЗАО "ЭКОС" 128-РДО от 01.01.2022</v>
      </c>
      <c r="D19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7" t="str">
        <f ca="1">IFERROR(__xludf.DUMMYFUNCTION("""COMPUTED_VALUE"""),"Новый")</f>
        <v>Новый</v>
      </c>
      <c r="G1947" s="68"/>
      <c r="K1947" s="68"/>
    </row>
    <row r="1948" spans="1:11" ht="12.75">
      <c r="A1948" s="69">
        <f ca="1">IFERROR(__xludf.DUMMYFUNCTION("""COMPUTED_VALUE"""),96635)</f>
        <v>96635</v>
      </c>
      <c r="B1948" s="4">
        <f ca="1">IFERROR(__xludf.DUMMYFUNCTION("""COMPUTED_VALUE"""),44679)</f>
        <v>44679</v>
      </c>
      <c r="C1948" t="str">
        <f ca="1">IFERROR(__xludf.DUMMYFUNCTION("""COMPUTED_VALUE"""),"ЗАО ""ЭКОС"" 128-РДО от 01.01.2022")</f>
        <v>ЗАО "ЭКОС" 128-РДО от 01.01.2022</v>
      </c>
      <c r="D19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8" t="str">
        <f ca="1">IFERROR(__xludf.DUMMYFUNCTION("""COMPUTED_VALUE"""),"Новый")</f>
        <v>Новый</v>
      </c>
      <c r="G1948" s="68"/>
      <c r="K1948" s="68"/>
    </row>
    <row r="1949" spans="1:11" ht="12.75">
      <c r="A1949" s="69">
        <f ca="1">IFERROR(__xludf.DUMMYFUNCTION("""COMPUTED_VALUE"""),96636)</f>
        <v>96636</v>
      </c>
      <c r="B1949" s="4">
        <f ca="1">IFERROR(__xludf.DUMMYFUNCTION("""COMPUTED_VALUE"""),44679)</f>
        <v>44679</v>
      </c>
      <c r="C1949" t="str">
        <f ca="1">IFERROR(__xludf.DUMMYFUNCTION("""COMPUTED_VALUE"""),"ЗАО ""ЭКОС"" 128-РДО от 01.01.2022")</f>
        <v>ЗАО "ЭКОС" 128-РДО от 01.01.2022</v>
      </c>
      <c r="D19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49" t="str">
        <f ca="1">IFERROR(__xludf.DUMMYFUNCTION("""COMPUTED_VALUE"""),"Новый")</f>
        <v>Новый</v>
      </c>
      <c r="G1949" s="68"/>
      <c r="K1949" s="68"/>
    </row>
    <row r="1950" spans="1:11" ht="12.75">
      <c r="A1950" s="69">
        <f ca="1">IFERROR(__xludf.DUMMYFUNCTION("""COMPUTED_VALUE"""),96637)</f>
        <v>96637</v>
      </c>
      <c r="B1950" s="4">
        <f ca="1">IFERROR(__xludf.DUMMYFUNCTION("""COMPUTED_VALUE"""),44679)</f>
        <v>44679</v>
      </c>
      <c r="C1950" t="str">
        <f ca="1">IFERROR(__xludf.DUMMYFUNCTION("""COMPUTED_VALUE"""),"ЗАО ""ЭКОС"" 128-РДО от 01.01.2022")</f>
        <v>ЗАО "ЭКОС" 128-РДО от 01.01.2022</v>
      </c>
      <c r="D19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50" t="str">
        <f ca="1">IFERROR(__xludf.DUMMYFUNCTION("""COMPUTED_VALUE"""),"Новый")</f>
        <v>Новый</v>
      </c>
      <c r="G1950" s="68"/>
      <c r="K1950" s="68"/>
    </row>
    <row r="1951" spans="1:11" ht="12.75">
      <c r="A1951" s="69">
        <f ca="1">IFERROR(__xludf.DUMMYFUNCTION("""COMPUTED_VALUE"""),96638)</f>
        <v>96638</v>
      </c>
      <c r="B1951" s="4">
        <f ca="1">IFERROR(__xludf.DUMMYFUNCTION("""COMPUTED_VALUE"""),44679)</f>
        <v>44679</v>
      </c>
      <c r="C1951" t="str">
        <f ca="1">IFERROR(__xludf.DUMMYFUNCTION("""COMPUTED_VALUE"""),"ЗАО ""ЭКОС"" 128-РДО от 01.01.2022")</f>
        <v>ЗАО "ЭКОС" 128-РДО от 01.01.2022</v>
      </c>
      <c r="D19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51" t="str">
        <f ca="1">IFERROR(__xludf.DUMMYFUNCTION("""COMPUTED_VALUE"""),"Новый")</f>
        <v>Новый</v>
      </c>
      <c r="G1951" s="68"/>
      <c r="K1951" s="68"/>
    </row>
    <row r="1952" spans="1:11" ht="12.75">
      <c r="A1952" s="69">
        <f ca="1">IFERROR(__xludf.DUMMYFUNCTION("""COMPUTED_VALUE"""),96639)</f>
        <v>96639</v>
      </c>
      <c r="B1952" s="4">
        <f ca="1">IFERROR(__xludf.DUMMYFUNCTION("""COMPUTED_VALUE"""),44679)</f>
        <v>44679</v>
      </c>
      <c r="C1952" t="str">
        <f ca="1">IFERROR(__xludf.DUMMYFUNCTION("""COMPUTED_VALUE"""),"ЗАО ""ЭКОС"" 128-РДО от 01.01.2022")</f>
        <v>ЗАО "ЭКОС" 128-РДО от 01.01.2022</v>
      </c>
      <c r="D19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52" t="str">
        <f ca="1">IFERROR(__xludf.DUMMYFUNCTION("""COMPUTED_VALUE"""),"Новый")</f>
        <v>Новый</v>
      </c>
      <c r="G1952" s="68"/>
      <c r="K1952" s="68"/>
    </row>
    <row r="1953" spans="1:11" ht="12.75">
      <c r="A1953" s="69">
        <f ca="1">IFERROR(__xludf.DUMMYFUNCTION("""COMPUTED_VALUE"""),96640)</f>
        <v>96640</v>
      </c>
      <c r="B1953" s="4">
        <f ca="1">IFERROR(__xludf.DUMMYFUNCTION("""COMPUTED_VALUE"""),44679)</f>
        <v>44679</v>
      </c>
      <c r="C1953" t="str">
        <f ca="1">IFERROR(__xludf.DUMMYFUNCTION("""COMPUTED_VALUE"""),"ЗАО ""ЭКОС"" 128-РДО от 01.01.2022")</f>
        <v>ЗАО "ЭКОС" 128-РДО от 01.01.2022</v>
      </c>
      <c r="D19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53" t="str">
        <f ca="1">IFERROR(__xludf.DUMMYFUNCTION("""COMPUTED_VALUE"""),"Новый")</f>
        <v>Новый</v>
      </c>
      <c r="G1953" s="68"/>
      <c r="K1953" s="68"/>
    </row>
    <row r="1954" spans="1:11" ht="12.75">
      <c r="A1954" s="69">
        <f ca="1">IFERROR(__xludf.DUMMYFUNCTION("""COMPUTED_VALUE"""),96641)</f>
        <v>96641</v>
      </c>
      <c r="B1954" s="4">
        <f ca="1">IFERROR(__xludf.DUMMYFUNCTION("""COMPUTED_VALUE"""),44679)</f>
        <v>44679</v>
      </c>
      <c r="C1954" t="str">
        <f ca="1">IFERROR(__xludf.DUMMYFUNCTION("""COMPUTED_VALUE"""),"ЗАО ""ЭКОС"" 128-РДО от 01.01.2022")</f>
        <v>ЗАО "ЭКОС" 128-РДО от 01.01.2022</v>
      </c>
      <c r="D19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54" t="str">
        <f ca="1">IFERROR(__xludf.DUMMYFUNCTION("""COMPUTED_VALUE"""),"Новый")</f>
        <v>Новый</v>
      </c>
      <c r="G1954" s="68"/>
      <c r="K1954" s="68"/>
    </row>
    <row r="1955" spans="1:11" ht="12.75">
      <c r="A1955" s="69">
        <f ca="1">IFERROR(__xludf.DUMMYFUNCTION("""COMPUTED_VALUE"""),96644)</f>
        <v>96644</v>
      </c>
      <c r="B1955" s="4">
        <f ca="1">IFERROR(__xludf.DUMMYFUNCTION("""COMPUTED_VALUE"""),44679)</f>
        <v>44679</v>
      </c>
      <c r="C1955" t="str">
        <f ca="1">IFERROR(__xludf.DUMMYFUNCTION("""COMPUTED_VALUE"""),"ЗАО ""ЭКОС"" 115-СТР от 01.01.2022")</f>
        <v>ЗАО "ЭКОС" 115-СТР от 01.01.2022</v>
      </c>
      <c r="D19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5" t="str">
        <f ca="1">IFERROR(__xludf.DUMMYFUNCTION("""COMPUTED_VALUE"""),"Новый")</f>
        <v>Новый</v>
      </c>
      <c r="G1955" s="68"/>
      <c r="K1955" s="68"/>
    </row>
    <row r="1956" spans="1:11" ht="12.75">
      <c r="A1956" s="69">
        <f ca="1">IFERROR(__xludf.DUMMYFUNCTION("""COMPUTED_VALUE"""),96645)</f>
        <v>96645</v>
      </c>
      <c r="B1956" s="4">
        <f ca="1">IFERROR(__xludf.DUMMYFUNCTION("""COMPUTED_VALUE"""),44679)</f>
        <v>44679</v>
      </c>
      <c r="C1956" t="str">
        <f ca="1">IFERROR(__xludf.DUMMYFUNCTION("""COMPUTED_VALUE"""),"ЗАО ""ЭКОС"" 115-СТР от 01.01.2022")</f>
        <v>ЗАО "ЭКОС" 115-СТР от 01.01.2022</v>
      </c>
      <c r="D19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6" t="str">
        <f ca="1">IFERROR(__xludf.DUMMYFUNCTION("""COMPUTED_VALUE"""),"Новый")</f>
        <v>Новый</v>
      </c>
      <c r="G1956" s="68"/>
      <c r="K1956" s="68"/>
    </row>
    <row r="1957" spans="1:11" ht="12.75">
      <c r="A1957" s="69">
        <f ca="1">IFERROR(__xludf.DUMMYFUNCTION("""COMPUTED_VALUE"""),96646)</f>
        <v>96646</v>
      </c>
      <c r="B1957" s="4">
        <f ca="1">IFERROR(__xludf.DUMMYFUNCTION("""COMPUTED_VALUE"""),44679)</f>
        <v>44679</v>
      </c>
      <c r="C1957" t="str">
        <f ca="1">IFERROR(__xludf.DUMMYFUNCTION("""COMPUTED_VALUE"""),"ЗАО ""ЭКОС"" 115-СТР от 01.01.2022")</f>
        <v>ЗАО "ЭКОС" 115-СТР от 01.01.2022</v>
      </c>
      <c r="D19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7" t="str">
        <f ca="1">IFERROR(__xludf.DUMMYFUNCTION("""COMPUTED_VALUE"""),"Новый")</f>
        <v>Новый</v>
      </c>
      <c r="G1957" s="68"/>
      <c r="K1957" s="68"/>
    </row>
    <row r="1958" spans="1:11" ht="12.75">
      <c r="A1958" s="69">
        <f ca="1">IFERROR(__xludf.DUMMYFUNCTION("""COMPUTED_VALUE"""),96647)</f>
        <v>96647</v>
      </c>
      <c r="B1958" s="4">
        <f ca="1">IFERROR(__xludf.DUMMYFUNCTION("""COMPUTED_VALUE"""),44679)</f>
        <v>44679</v>
      </c>
      <c r="C1958" t="str">
        <f ca="1">IFERROR(__xludf.DUMMYFUNCTION("""COMPUTED_VALUE"""),"ЗАО ""ЭКОС"" 115-СТР от 01.01.2022")</f>
        <v>ЗАО "ЭКОС" 115-СТР от 01.01.2022</v>
      </c>
      <c r="D19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8" t="str">
        <f ca="1">IFERROR(__xludf.DUMMYFUNCTION("""COMPUTED_VALUE"""),"Новый")</f>
        <v>Новый</v>
      </c>
      <c r="G1958" s="68"/>
      <c r="K1958" s="68"/>
    </row>
    <row r="1959" spans="1:11" ht="12.75">
      <c r="A1959" s="69">
        <f ca="1">IFERROR(__xludf.DUMMYFUNCTION("""COMPUTED_VALUE"""),96648)</f>
        <v>96648</v>
      </c>
      <c r="B1959" s="4">
        <f ca="1">IFERROR(__xludf.DUMMYFUNCTION("""COMPUTED_VALUE"""),44679)</f>
        <v>44679</v>
      </c>
      <c r="C1959" t="str">
        <f ca="1">IFERROR(__xludf.DUMMYFUNCTION("""COMPUTED_VALUE"""),"ЗАО ""ЭКОС"" 115-СТР от 01.01.2022")</f>
        <v>ЗАО "ЭКОС" 115-СТР от 01.01.2022</v>
      </c>
      <c r="D19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59" t="str">
        <f ca="1">IFERROR(__xludf.DUMMYFUNCTION("""COMPUTED_VALUE"""),"Новый")</f>
        <v>Новый</v>
      </c>
      <c r="G1959" s="68"/>
      <c r="K1959" s="68"/>
    </row>
    <row r="1960" spans="1:11" ht="12.75">
      <c r="A1960" s="69">
        <f ca="1">IFERROR(__xludf.DUMMYFUNCTION("""COMPUTED_VALUE"""),96649)</f>
        <v>96649</v>
      </c>
      <c r="B1960" s="4">
        <f ca="1">IFERROR(__xludf.DUMMYFUNCTION("""COMPUTED_VALUE"""),44679)</f>
        <v>44679</v>
      </c>
      <c r="C1960" t="str">
        <f ca="1">IFERROR(__xludf.DUMMYFUNCTION("""COMPUTED_VALUE"""),"ЗАО ""ЭКОС"" 115-СТР от 01.01.2022")</f>
        <v>ЗАО "ЭКОС" 115-СТР от 01.01.2022</v>
      </c>
      <c r="D19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0" t="str">
        <f ca="1">IFERROR(__xludf.DUMMYFUNCTION("""COMPUTED_VALUE"""),"Новый")</f>
        <v>Новый</v>
      </c>
      <c r="G1960" s="68"/>
      <c r="K1960" s="68"/>
    </row>
    <row r="1961" spans="1:11" ht="12.75">
      <c r="A1961" s="69">
        <f ca="1">IFERROR(__xludf.DUMMYFUNCTION("""COMPUTED_VALUE"""),96652)</f>
        <v>96652</v>
      </c>
      <c r="B1961" s="4">
        <f ca="1">IFERROR(__xludf.DUMMYFUNCTION("""COMPUTED_VALUE"""),44679)</f>
        <v>44679</v>
      </c>
      <c r="C1961" t="str">
        <f ca="1">IFERROR(__xludf.DUMMYFUNCTION("""COMPUTED_VALUE"""),"ЗАО ""ЭКОС"" 115-СТР от 01.01.2022")</f>
        <v>ЗАО "ЭКОС" 115-СТР от 01.01.2022</v>
      </c>
      <c r="D19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1" t="str">
        <f ca="1">IFERROR(__xludf.DUMMYFUNCTION("""COMPUTED_VALUE"""),"Новый")</f>
        <v>Новый</v>
      </c>
      <c r="G1961" s="68"/>
      <c r="K1961" s="68"/>
    </row>
    <row r="1962" spans="1:11" ht="12.75">
      <c r="A1962" s="69">
        <f ca="1">IFERROR(__xludf.DUMMYFUNCTION("""COMPUTED_VALUE"""),96653)</f>
        <v>96653</v>
      </c>
      <c r="B1962" s="4">
        <f ca="1">IFERROR(__xludf.DUMMYFUNCTION("""COMPUTED_VALUE"""),44679)</f>
        <v>44679</v>
      </c>
      <c r="C1962" t="str">
        <f ca="1">IFERROR(__xludf.DUMMYFUNCTION("""COMPUTED_VALUE"""),"ЗАО ""ЭКОС"" 115-СТР от 01.01.2022")</f>
        <v>ЗАО "ЭКОС" 115-СТР от 01.01.2022</v>
      </c>
      <c r="D19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2" t="str">
        <f ca="1">IFERROR(__xludf.DUMMYFUNCTION("""COMPUTED_VALUE"""),"Новый")</f>
        <v>Новый</v>
      </c>
      <c r="G1962" s="68"/>
      <c r="K1962" s="68"/>
    </row>
    <row r="1963" spans="1:11" ht="12.75">
      <c r="A1963" s="69">
        <f ca="1">IFERROR(__xludf.DUMMYFUNCTION("""COMPUTED_VALUE"""),96654)</f>
        <v>96654</v>
      </c>
      <c r="B1963" s="4">
        <f ca="1">IFERROR(__xludf.DUMMYFUNCTION("""COMPUTED_VALUE"""),44679)</f>
        <v>44679</v>
      </c>
      <c r="C1963" t="str">
        <f ca="1">IFERROR(__xludf.DUMMYFUNCTION("""COMPUTED_VALUE"""),"ЗАО ""ЭКОС"" 115-СТР от 01.01.2022")</f>
        <v>ЗАО "ЭКОС" 115-СТР от 01.01.2022</v>
      </c>
      <c r="D19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3" t="str">
        <f ca="1">IFERROR(__xludf.DUMMYFUNCTION("""COMPUTED_VALUE"""),"Новый")</f>
        <v>Новый</v>
      </c>
      <c r="G1963" s="68"/>
      <c r="K1963" s="68"/>
    </row>
    <row r="1964" spans="1:11" ht="12.75">
      <c r="A1964" s="69">
        <f ca="1">IFERROR(__xludf.DUMMYFUNCTION("""COMPUTED_VALUE"""),96656)</f>
        <v>96656</v>
      </c>
      <c r="B1964" s="4">
        <f ca="1">IFERROR(__xludf.DUMMYFUNCTION("""COMPUTED_VALUE"""),44679)</f>
        <v>44679</v>
      </c>
      <c r="C1964" t="str">
        <f ca="1">IFERROR(__xludf.DUMMYFUNCTION("""COMPUTED_VALUE"""),"ЗАО ""ЭКОС"" 115-СТР от 01.01.2022")</f>
        <v>ЗАО "ЭКОС" 115-СТР от 01.01.2022</v>
      </c>
      <c r="D19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4" t="str">
        <f ca="1">IFERROR(__xludf.DUMMYFUNCTION("""COMPUTED_VALUE"""),"Новый")</f>
        <v>Новый</v>
      </c>
      <c r="G1964" s="68"/>
      <c r="K1964" s="68"/>
    </row>
    <row r="1965" spans="1:11" ht="12.75">
      <c r="A1965" s="69">
        <f ca="1">IFERROR(__xludf.DUMMYFUNCTION("""COMPUTED_VALUE"""),96657)</f>
        <v>96657</v>
      </c>
      <c r="B1965" s="4">
        <f ca="1">IFERROR(__xludf.DUMMYFUNCTION("""COMPUTED_VALUE"""),44679)</f>
        <v>44679</v>
      </c>
      <c r="C1965" t="str">
        <f ca="1">IFERROR(__xludf.DUMMYFUNCTION("""COMPUTED_VALUE"""),"ЗАО ""ЭКОС"" 115-СТР от 01.01.2022")</f>
        <v>ЗАО "ЭКОС" 115-СТР от 01.01.2022</v>
      </c>
      <c r="D19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5" t="str">
        <f ca="1">IFERROR(__xludf.DUMMYFUNCTION("""COMPUTED_VALUE"""),"Новый")</f>
        <v>Новый</v>
      </c>
      <c r="G1965" s="68"/>
      <c r="K1965" s="68"/>
    </row>
    <row r="1966" spans="1:11" ht="12.75">
      <c r="A1966" s="69">
        <f ca="1">IFERROR(__xludf.DUMMYFUNCTION("""COMPUTED_VALUE"""),96658)</f>
        <v>96658</v>
      </c>
      <c r="B1966" s="4">
        <f ca="1">IFERROR(__xludf.DUMMYFUNCTION("""COMPUTED_VALUE"""),44679)</f>
        <v>44679</v>
      </c>
      <c r="C1966" t="str">
        <f ca="1">IFERROR(__xludf.DUMMYFUNCTION("""COMPUTED_VALUE"""),"ЗАО ""ЭКОС"" 115-СТР от 01.01.2022")</f>
        <v>ЗАО "ЭКОС" 115-СТР от 01.01.2022</v>
      </c>
      <c r="D19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6" t="str">
        <f ca="1">IFERROR(__xludf.DUMMYFUNCTION("""COMPUTED_VALUE"""),"Новый")</f>
        <v>Новый</v>
      </c>
      <c r="G1966" s="68"/>
      <c r="K1966" s="68"/>
    </row>
    <row r="1967" spans="1:11" ht="12.75">
      <c r="A1967" s="69">
        <f ca="1">IFERROR(__xludf.DUMMYFUNCTION("""COMPUTED_VALUE"""),96659)</f>
        <v>96659</v>
      </c>
      <c r="B1967" s="4">
        <f ca="1">IFERROR(__xludf.DUMMYFUNCTION("""COMPUTED_VALUE"""),44679)</f>
        <v>44679</v>
      </c>
      <c r="C1967" t="str">
        <f ca="1">IFERROR(__xludf.DUMMYFUNCTION("""COMPUTED_VALUE"""),"ЗАО ""ЭКОС"" 115-СТР от 01.01.2022")</f>
        <v>ЗАО "ЭКОС" 115-СТР от 01.01.2022</v>
      </c>
      <c r="D19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7" t="str">
        <f ca="1">IFERROR(__xludf.DUMMYFUNCTION("""COMPUTED_VALUE"""),"Новый")</f>
        <v>Новый</v>
      </c>
      <c r="G1967" s="68"/>
      <c r="K1967" s="68"/>
    </row>
    <row r="1968" spans="1:11" ht="12.75">
      <c r="A1968" s="69">
        <f ca="1">IFERROR(__xludf.DUMMYFUNCTION("""COMPUTED_VALUE"""),96660)</f>
        <v>96660</v>
      </c>
      <c r="B1968" s="4">
        <f ca="1">IFERROR(__xludf.DUMMYFUNCTION("""COMPUTED_VALUE"""),44679)</f>
        <v>44679</v>
      </c>
      <c r="C1968" t="str">
        <f ca="1">IFERROR(__xludf.DUMMYFUNCTION("""COMPUTED_VALUE"""),"ЗАО ""ЭКОС"" 115-СТР от 01.01.2022")</f>
        <v>ЗАО "ЭКОС" 115-СТР от 01.01.2022</v>
      </c>
      <c r="D19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8" t="str">
        <f ca="1">IFERROR(__xludf.DUMMYFUNCTION("""COMPUTED_VALUE"""),"Новый")</f>
        <v>Новый</v>
      </c>
      <c r="G1968" s="68"/>
      <c r="K1968" s="68"/>
    </row>
    <row r="1969" spans="1:11" ht="12.75">
      <c r="A1969" s="69">
        <f ca="1">IFERROR(__xludf.DUMMYFUNCTION("""COMPUTED_VALUE"""),96661)</f>
        <v>96661</v>
      </c>
      <c r="B1969" s="4">
        <f ca="1">IFERROR(__xludf.DUMMYFUNCTION("""COMPUTED_VALUE"""),44679)</f>
        <v>44679</v>
      </c>
      <c r="C1969" t="str">
        <f ca="1">IFERROR(__xludf.DUMMYFUNCTION("""COMPUTED_VALUE"""),"ЗАО ""ЭКОС"" 115-СТР от 01.01.2022")</f>
        <v>ЗАО "ЭКОС" 115-СТР от 01.01.2022</v>
      </c>
      <c r="D19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69" t="str">
        <f ca="1">IFERROR(__xludf.DUMMYFUNCTION("""COMPUTED_VALUE"""),"Новый")</f>
        <v>Новый</v>
      </c>
      <c r="G1969" s="68"/>
      <c r="K1969" s="68"/>
    </row>
    <row r="1970" spans="1:11" ht="12.75">
      <c r="A1970" s="69">
        <f ca="1">IFERROR(__xludf.DUMMYFUNCTION("""COMPUTED_VALUE"""),96678)</f>
        <v>96678</v>
      </c>
      <c r="B1970" s="4">
        <f ca="1">IFERROR(__xludf.DUMMYFUNCTION("""COMPUTED_VALUE"""),44679)</f>
        <v>44679</v>
      </c>
      <c r="C1970" t="str">
        <f ca="1">IFERROR(__xludf.DUMMYFUNCTION("""COMPUTED_VALUE"""),"ЗАО ""ЭКОС"" 115-СТР от 01.01.2022")</f>
        <v>ЗАО "ЭКОС" 115-СТР от 01.01.2022</v>
      </c>
      <c r="D19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0" t="str">
        <f ca="1">IFERROR(__xludf.DUMMYFUNCTION("""COMPUTED_VALUE"""),"Новый")</f>
        <v>Новый</v>
      </c>
      <c r="G1970" s="68"/>
      <c r="K1970" s="68"/>
    </row>
    <row r="1971" spans="1:11" ht="12.75">
      <c r="A1971" s="69">
        <f ca="1">IFERROR(__xludf.DUMMYFUNCTION("""COMPUTED_VALUE"""),96679)</f>
        <v>96679</v>
      </c>
      <c r="B1971" s="4">
        <f ca="1">IFERROR(__xludf.DUMMYFUNCTION("""COMPUTED_VALUE"""),44679)</f>
        <v>44679</v>
      </c>
      <c r="C1971" t="str">
        <f ca="1">IFERROR(__xludf.DUMMYFUNCTION("""COMPUTED_VALUE"""),"ЗАО ""ЭКОС"" 115-СТР от 01.01.2022")</f>
        <v>ЗАО "ЭКОС" 115-СТР от 01.01.2022</v>
      </c>
      <c r="D19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1" t="str">
        <f ca="1">IFERROR(__xludf.DUMMYFUNCTION("""COMPUTED_VALUE"""),"Новый")</f>
        <v>Новый</v>
      </c>
      <c r="G1971" s="68"/>
      <c r="K1971" s="68"/>
    </row>
    <row r="1972" spans="1:11" ht="12.75">
      <c r="A1972" s="69">
        <f ca="1">IFERROR(__xludf.DUMMYFUNCTION("""COMPUTED_VALUE"""),96680)</f>
        <v>96680</v>
      </c>
      <c r="B1972" s="4">
        <f ca="1">IFERROR(__xludf.DUMMYFUNCTION("""COMPUTED_VALUE"""),44679)</f>
        <v>44679</v>
      </c>
      <c r="C1972" t="str">
        <f ca="1">IFERROR(__xludf.DUMMYFUNCTION("""COMPUTED_VALUE"""),"ЗАО ""ЭКОС"" 115-СТР от 01.01.2022")</f>
        <v>ЗАО "ЭКОС" 115-СТР от 01.01.2022</v>
      </c>
      <c r="D19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2" t="str">
        <f ca="1">IFERROR(__xludf.DUMMYFUNCTION("""COMPUTED_VALUE"""),"Новый")</f>
        <v>Новый</v>
      </c>
      <c r="G1972" s="68"/>
      <c r="K1972" s="68"/>
    </row>
    <row r="1973" spans="1:11" ht="12.75">
      <c r="A1973" s="69">
        <f ca="1">IFERROR(__xludf.DUMMYFUNCTION("""COMPUTED_VALUE"""),96681)</f>
        <v>96681</v>
      </c>
      <c r="B1973" s="4">
        <f ca="1">IFERROR(__xludf.DUMMYFUNCTION("""COMPUTED_VALUE"""),44679)</f>
        <v>44679</v>
      </c>
      <c r="C1973" t="str">
        <f ca="1">IFERROR(__xludf.DUMMYFUNCTION("""COMPUTED_VALUE"""),"ЗАО ""ЭКОС"" 115-СТР от 01.01.2022")</f>
        <v>ЗАО "ЭКОС" 115-СТР от 01.01.2022</v>
      </c>
      <c r="D19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3" t="str">
        <f ca="1">IFERROR(__xludf.DUMMYFUNCTION("""COMPUTED_VALUE"""),"Новый")</f>
        <v>Новый</v>
      </c>
      <c r="G1973" s="68"/>
      <c r="K1973" s="68"/>
    </row>
    <row r="1974" spans="1:11" ht="12.75">
      <c r="A1974" s="69">
        <f ca="1">IFERROR(__xludf.DUMMYFUNCTION("""COMPUTED_VALUE"""),96715)</f>
        <v>96715</v>
      </c>
      <c r="B1974" s="4">
        <f ca="1">IFERROR(__xludf.DUMMYFUNCTION("""COMPUTED_VALUE"""),44679)</f>
        <v>44679</v>
      </c>
      <c r="C1974" t="str">
        <f ca="1">IFERROR(__xludf.DUMMYFUNCTION("""COMPUTED_VALUE"""),"ЗАО ""ЭКОС"" 115-СТР от 01.01.2022")</f>
        <v>ЗАО "ЭКОС" 115-СТР от 01.01.2022</v>
      </c>
      <c r="D19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1974" t="str">
        <f ca="1">IFERROR(__xludf.DUMMYFUNCTION("""COMPUTED_VALUE"""),"Новый")</f>
        <v>Новый</v>
      </c>
      <c r="G1974" s="68"/>
      <c r="K1974" s="68"/>
    </row>
    <row r="1975" spans="1:11" ht="12.75">
      <c r="A1975" s="69">
        <f ca="1">IFERROR(__xludf.DUMMYFUNCTION("""COMPUTED_VALUE"""),96742)</f>
        <v>96742</v>
      </c>
      <c r="B1975" s="4">
        <f ca="1">IFERROR(__xludf.DUMMYFUNCTION("""COMPUTED_VALUE"""),44679)</f>
        <v>44679</v>
      </c>
      <c r="C1975" t="str">
        <f ca="1">IFERROR(__xludf.DUMMYFUNCTION("""COMPUTED_VALUE"""),"ЗАО ""ЭКОС"" 128-РДО от 01.01.2022")</f>
        <v>ЗАО "ЭКОС" 128-РДО от 01.01.2022</v>
      </c>
      <c r="D19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75" t="str">
        <f ca="1">IFERROR(__xludf.DUMMYFUNCTION("""COMPUTED_VALUE"""),"Новый")</f>
        <v>Новый</v>
      </c>
      <c r="G1975" s="68"/>
      <c r="K1975" s="68"/>
    </row>
    <row r="1976" spans="1:11" ht="12.75">
      <c r="A1976" s="69">
        <f ca="1">IFERROR(__xludf.DUMMYFUNCTION("""COMPUTED_VALUE"""),96743)</f>
        <v>96743</v>
      </c>
      <c r="B1976" s="4">
        <f ca="1">IFERROR(__xludf.DUMMYFUNCTION("""COMPUTED_VALUE"""),44679)</f>
        <v>44679</v>
      </c>
      <c r="C1976" t="str">
        <f ca="1">IFERROR(__xludf.DUMMYFUNCTION("""COMPUTED_VALUE"""),"ЗАО ""ЭКОС"" 128-РДО от 01.01.2022")</f>
        <v>ЗАО "ЭКОС" 128-РДО от 01.01.2022</v>
      </c>
      <c r="D19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76" t="str">
        <f ca="1">IFERROR(__xludf.DUMMYFUNCTION("""COMPUTED_VALUE"""),"Новый")</f>
        <v>Новый</v>
      </c>
      <c r="G1976" s="68"/>
      <c r="K1976" s="68"/>
    </row>
    <row r="1977" spans="1:11" ht="12.75">
      <c r="A1977" s="69">
        <f ca="1">IFERROR(__xludf.DUMMYFUNCTION("""COMPUTED_VALUE"""),96744)</f>
        <v>96744</v>
      </c>
      <c r="B1977" s="4">
        <f ca="1">IFERROR(__xludf.DUMMYFUNCTION("""COMPUTED_VALUE"""),44679)</f>
        <v>44679</v>
      </c>
      <c r="C1977" t="str">
        <f ca="1">IFERROR(__xludf.DUMMYFUNCTION("""COMPUTED_VALUE"""),"ЗАО ""ЭКОС"" 128-РДО от 01.01.2022")</f>
        <v>ЗАО "ЭКОС" 128-РДО от 01.01.2022</v>
      </c>
      <c r="D19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77" t="str">
        <f ca="1">IFERROR(__xludf.DUMMYFUNCTION("""COMPUTED_VALUE"""),"Новый")</f>
        <v>Новый</v>
      </c>
      <c r="G1977" s="68"/>
      <c r="K1977" s="68"/>
    </row>
    <row r="1978" spans="1:11" ht="12.75">
      <c r="A1978" s="69">
        <f ca="1">IFERROR(__xludf.DUMMYFUNCTION("""COMPUTED_VALUE"""),96745)</f>
        <v>96745</v>
      </c>
      <c r="B1978" s="4">
        <f ca="1">IFERROR(__xludf.DUMMYFUNCTION("""COMPUTED_VALUE"""),44679)</f>
        <v>44679</v>
      </c>
      <c r="C1978" t="str">
        <f ca="1">IFERROR(__xludf.DUMMYFUNCTION("""COMPUTED_VALUE"""),"ЗАО ""ЭКОС"" 128-РДО от 01.01.2022")</f>
        <v>ЗАО "ЭКОС" 128-РДО от 01.01.2022</v>
      </c>
      <c r="D19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78" t="str">
        <f ca="1">IFERROR(__xludf.DUMMYFUNCTION("""COMPUTED_VALUE"""),"Новый")</f>
        <v>Новый</v>
      </c>
      <c r="G1978" s="68"/>
      <c r="K1978" s="68"/>
    </row>
    <row r="1979" spans="1:11" ht="12.75">
      <c r="A1979" s="69">
        <f ca="1">IFERROR(__xludf.DUMMYFUNCTION("""COMPUTED_VALUE"""),96746)</f>
        <v>96746</v>
      </c>
      <c r="B1979" s="4">
        <f ca="1">IFERROR(__xludf.DUMMYFUNCTION("""COMPUTED_VALUE"""),44679)</f>
        <v>44679</v>
      </c>
      <c r="C1979" t="str">
        <f ca="1">IFERROR(__xludf.DUMMYFUNCTION("""COMPUTED_VALUE"""),"ЗАО ""ЭКОС"" 128-РДО от 01.01.2022")</f>
        <v>ЗАО "ЭКОС" 128-РДО от 01.01.2022</v>
      </c>
      <c r="D19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79" t="str">
        <f ca="1">IFERROR(__xludf.DUMMYFUNCTION("""COMPUTED_VALUE"""),"Новый")</f>
        <v>Новый</v>
      </c>
      <c r="G1979" s="68"/>
      <c r="K1979" s="68"/>
    </row>
    <row r="1980" spans="1:11" ht="12.75">
      <c r="A1980" s="69">
        <f ca="1">IFERROR(__xludf.DUMMYFUNCTION("""COMPUTED_VALUE"""),96747)</f>
        <v>96747</v>
      </c>
      <c r="B1980" s="4">
        <f ca="1">IFERROR(__xludf.DUMMYFUNCTION("""COMPUTED_VALUE"""),44679)</f>
        <v>44679</v>
      </c>
      <c r="C1980" t="str">
        <f ca="1">IFERROR(__xludf.DUMMYFUNCTION("""COMPUTED_VALUE"""),"ЗАО ""ЭКОС"" 128-РДО от 01.01.2022")</f>
        <v>ЗАО "ЭКОС" 128-РДО от 01.01.2022</v>
      </c>
      <c r="D19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0" t="str">
        <f ca="1">IFERROR(__xludf.DUMMYFUNCTION("""COMPUTED_VALUE"""),"Новый")</f>
        <v>Новый</v>
      </c>
      <c r="G1980" s="68"/>
      <c r="K1980" s="68"/>
    </row>
    <row r="1981" spans="1:11" ht="12.75">
      <c r="A1981" s="69">
        <f ca="1">IFERROR(__xludf.DUMMYFUNCTION("""COMPUTED_VALUE"""),96748)</f>
        <v>96748</v>
      </c>
      <c r="B1981" s="4">
        <f ca="1">IFERROR(__xludf.DUMMYFUNCTION("""COMPUTED_VALUE"""),44679)</f>
        <v>44679</v>
      </c>
      <c r="C1981" t="str">
        <f ca="1">IFERROR(__xludf.DUMMYFUNCTION("""COMPUTED_VALUE"""),"ЗАО ""ЭКОС"" 128-РДО от 01.01.2022")</f>
        <v>ЗАО "ЭКОС" 128-РДО от 01.01.2022</v>
      </c>
      <c r="D19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1" t="str">
        <f ca="1">IFERROR(__xludf.DUMMYFUNCTION("""COMPUTED_VALUE"""),"Новый")</f>
        <v>Новый</v>
      </c>
      <c r="G1981" s="68"/>
      <c r="K1981" s="68"/>
    </row>
    <row r="1982" spans="1:11" ht="12.75">
      <c r="A1982" s="69">
        <f ca="1">IFERROR(__xludf.DUMMYFUNCTION("""COMPUTED_VALUE"""),96749)</f>
        <v>96749</v>
      </c>
      <c r="B1982" s="4">
        <f ca="1">IFERROR(__xludf.DUMMYFUNCTION("""COMPUTED_VALUE"""),44679)</f>
        <v>44679</v>
      </c>
      <c r="C1982" t="str">
        <f ca="1">IFERROR(__xludf.DUMMYFUNCTION("""COMPUTED_VALUE"""),"ЗАО ""ЭКОС"" 128-РДО от 01.01.2022")</f>
        <v>ЗАО "ЭКОС" 128-РДО от 01.01.2022</v>
      </c>
      <c r="D19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2" t="str">
        <f ca="1">IFERROR(__xludf.DUMMYFUNCTION("""COMPUTED_VALUE"""),"Новый")</f>
        <v>Новый</v>
      </c>
      <c r="G1982" s="68"/>
      <c r="K1982" s="68"/>
    </row>
    <row r="1983" spans="1:11" ht="12.75">
      <c r="A1983" s="69">
        <f ca="1">IFERROR(__xludf.DUMMYFUNCTION("""COMPUTED_VALUE"""),96772)</f>
        <v>96772</v>
      </c>
      <c r="B1983" s="4">
        <f ca="1">IFERROR(__xludf.DUMMYFUNCTION("""COMPUTED_VALUE"""),44679)</f>
        <v>44679</v>
      </c>
      <c r="C1983" t="str">
        <f ca="1">IFERROR(__xludf.DUMMYFUNCTION("""COMPUTED_VALUE"""),"ЗАО ""ЭКОС"" 128-РДО от 01.01.2022")</f>
        <v>ЗАО "ЭКОС" 128-РДО от 01.01.2022</v>
      </c>
      <c r="D19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3" t="str">
        <f ca="1">IFERROR(__xludf.DUMMYFUNCTION("""COMPUTED_VALUE"""),"Новый")</f>
        <v>Новый</v>
      </c>
      <c r="G1983" s="68"/>
      <c r="K1983" s="68"/>
    </row>
    <row r="1984" spans="1:11" ht="12.75">
      <c r="A1984" s="69">
        <f ca="1">IFERROR(__xludf.DUMMYFUNCTION("""COMPUTED_VALUE"""),96773)</f>
        <v>96773</v>
      </c>
      <c r="B1984" s="4">
        <f ca="1">IFERROR(__xludf.DUMMYFUNCTION("""COMPUTED_VALUE"""),44679)</f>
        <v>44679</v>
      </c>
      <c r="C1984" t="str">
        <f ca="1">IFERROR(__xludf.DUMMYFUNCTION("""COMPUTED_VALUE"""),"ЗАО ""ЭКОС"" 128-РДО от 01.01.2022")</f>
        <v>ЗАО "ЭКОС" 128-РДО от 01.01.2022</v>
      </c>
      <c r="D19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4" t="str">
        <f ca="1">IFERROR(__xludf.DUMMYFUNCTION("""COMPUTED_VALUE"""),"Новый")</f>
        <v>Новый</v>
      </c>
      <c r="G1984" s="68"/>
      <c r="K1984" s="68"/>
    </row>
    <row r="1985" spans="1:11" ht="12.75">
      <c r="A1985" s="69">
        <f ca="1">IFERROR(__xludf.DUMMYFUNCTION("""COMPUTED_VALUE"""),96774)</f>
        <v>96774</v>
      </c>
      <c r="B1985" s="4">
        <f ca="1">IFERROR(__xludf.DUMMYFUNCTION("""COMPUTED_VALUE"""),44679)</f>
        <v>44679</v>
      </c>
      <c r="C1985" t="str">
        <f ca="1">IFERROR(__xludf.DUMMYFUNCTION("""COMPUTED_VALUE"""),"ЗАО ""ЭКОС"" 128-РДО от 01.01.2022")</f>
        <v>ЗАО "ЭКОС" 128-РДО от 01.01.2022</v>
      </c>
      <c r="D19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5" t="str">
        <f ca="1">IFERROR(__xludf.DUMMYFUNCTION("""COMPUTED_VALUE"""),"Новый")</f>
        <v>Новый</v>
      </c>
      <c r="G1985" s="68"/>
      <c r="K1985" s="68"/>
    </row>
    <row r="1986" spans="1:11" ht="12.75">
      <c r="A1986" s="69">
        <f ca="1">IFERROR(__xludf.DUMMYFUNCTION("""COMPUTED_VALUE"""),96775)</f>
        <v>96775</v>
      </c>
      <c r="B1986" s="4">
        <f ca="1">IFERROR(__xludf.DUMMYFUNCTION("""COMPUTED_VALUE"""),44679)</f>
        <v>44679</v>
      </c>
      <c r="C1986" t="str">
        <f ca="1">IFERROR(__xludf.DUMMYFUNCTION("""COMPUTED_VALUE"""),"ЗАО ""ЭКОС"" 128-РДО от 01.01.2022")</f>
        <v>ЗАО "ЭКОС" 128-РДО от 01.01.2022</v>
      </c>
      <c r="D19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6" t="str">
        <f ca="1">IFERROR(__xludf.DUMMYFUNCTION("""COMPUTED_VALUE"""),"Новый")</f>
        <v>Новый</v>
      </c>
      <c r="G1986" s="68"/>
      <c r="K1986" s="68"/>
    </row>
    <row r="1987" spans="1:11" ht="12.75">
      <c r="A1987" s="69">
        <f ca="1">IFERROR(__xludf.DUMMYFUNCTION("""COMPUTED_VALUE"""),96776)</f>
        <v>96776</v>
      </c>
      <c r="B1987" s="4">
        <f ca="1">IFERROR(__xludf.DUMMYFUNCTION("""COMPUTED_VALUE"""),44679)</f>
        <v>44679</v>
      </c>
      <c r="C1987" t="str">
        <f ca="1">IFERROR(__xludf.DUMMYFUNCTION("""COMPUTED_VALUE"""),"ЗАО ""ЭКОС"" 128-РДО от 01.01.2022")</f>
        <v>ЗАО "ЭКОС" 128-РДО от 01.01.2022</v>
      </c>
      <c r="D19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7" t="str">
        <f ca="1">IFERROR(__xludf.DUMMYFUNCTION("""COMPUTED_VALUE"""),"Новый")</f>
        <v>Новый</v>
      </c>
      <c r="G1987" s="68"/>
      <c r="K1987" s="68"/>
    </row>
    <row r="1988" spans="1:11" ht="12.75">
      <c r="A1988" s="69">
        <f ca="1">IFERROR(__xludf.DUMMYFUNCTION("""COMPUTED_VALUE"""),96777)</f>
        <v>96777</v>
      </c>
      <c r="B1988" s="4">
        <f ca="1">IFERROR(__xludf.DUMMYFUNCTION("""COMPUTED_VALUE"""),44679)</f>
        <v>44679</v>
      </c>
      <c r="C1988" t="str">
        <f ca="1">IFERROR(__xludf.DUMMYFUNCTION("""COMPUTED_VALUE"""),"ЗАО ""ЭКОС"" 128-РДО от 01.01.2022")</f>
        <v>ЗАО "ЭКОС" 128-РДО от 01.01.2022</v>
      </c>
      <c r="D19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8" t="str">
        <f ca="1">IFERROR(__xludf.DUMMYFUNCTION("""COMPUTED_VALUE"""),"Новый")</f>
        <v>Новый</v>
      </c>
      <c r="G1988" s="68"/>
      <c r="K1988" s="68"/>
    </row>
    <row r="1989" spans="1:11" ht="12.75">
      <c r="A1989" s="69">
        <f ca="1">IFERROR(__xludf.DUMMYFUNCTION("""COMPUTED_VALUE"""),96778)</f>
        <v>96778</v>
      </c>
      <c r="B1989" s="4">
        <f ca="1">IFERROR(__xludf.DUMMYFUNCTION("""COMPUTED_VALUE"""),44679)</f>
        <v>44679</v>
      </c>
      <c r="C1989" t="str">
        <f ca="1">IFERROR(__xludf.DUMMYFUNCTION("""COMPUTED_VALUE"""),"ЗАО ""ЭКОС"" 128-РДО от 01.01.2022")</f>
        <v>ЗАО "ЭКОС" 128-РДО от 01.01.2022</v>
      </c>
      <c r="D19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89" t="str">
        <f ca="1">IFERROR(__xludf.DUMMYFUNCTION("""COMPUTED_VALUE"""),"Новый")</f>
        <v>Новый</v>
      </c>
      <c r="G1989" s="68"/>
      <c r="K1989" s="68"/>
    </row>
    <row r="1990" spans="1:11" ht="12.75">
      <c r="A1990" s="69">
        <f ca="1">IFERROR(__xludf.DUMMYFUNCTION("""COMPUTED_VALUE"""),96779)</f>
        <v>96779</v>
      </c>
      <c r="B1990" s="4">
        <f ca="1">IFERROR(__xludf.DUMMYFUNCTION("""COMPUTED_VALUE"""),44679)</f>
        <v>44679</v>
      </c>
      <c r="C1990" t="str">
        <f ca="1">IFERROR(__xludf.DUMMYFUNCTION("""COMPUTED_VALUE"""),"ЗАО ""ЭКОС"" 128-РДО от 01.01.2022")</f>
        <v>ЗАО "ЭКОС" 128-РДО от 01.01.2022</v>
      </c>
      <c r="D19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0" t="str">
        <f ca="1">IFERROR(__xludf.DUMMYFUNCTION("""COMPUTED_VALUE"""),"Новый")</f>
        <v>Новый</v>
      </c>
      <c r="G1990" s="68"/>
      <c r="K1990" s="68"/>
    </row>
    <row r="1991" spans="1:11" ht="12.75">
      <c r="A1991" s="69">
        <f ca="1">IFERROR(__xludf.DUMMYFUNCTION("""COMPUTED_VALUE"""),96780)</f>
        <v>96780</v>
      </c>
      <c r="B1991" s="4">
        <f ca="1">IFERROR(__xludf.DUMMYFUNCTION("""COMPUTED_VALUE"""),44679)</f>
        <v>44679</v>
      </c>
      <c r="C1991" t="str">
        <f ca="1">IFERROR(__xludf.DUMMYFUNCTION("""COMPUTED_VALUE"""),"ЗАО ""ЭКОС"" 128-РДО от 01.01.2022")</f>
        <v>ЗАО "ЭКОС" 128-РДО от 01.01.2022</v>
      </c>
      <c r="D19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1" t="str">
        <f ca="1">IFERROR(__xludf.DUMMYFUNCTION("""COMPUTED_VALUE"""),"Новый")</f>
        <v>Новый</v>
      </c>
      <c r="G1991" s="68"/>
      <c r="K1991" s="68"/>
    </row>
    <row r="1992" spans="1:11" ht="12.75">
      <c r="A1992" s="69">
        <f ca="1">IFERROR(__xludf.DUMMYFUNCTION("""COMPUTED_VALUE"""),96781)</f>
        <v>96781</v>
      </c>
      <c r="B1992" s="4">
        <f ca="1">IFERROR(__xludf.DUMMYFUNCTION("""COMPUTED_VALUE"""),44679)</f>
        <v>44679</v>
      </c>
      <c r="C1992" t="str">
        <f ca="1">IFERROR(__xludf.DUMMYFUNCTION("""COMPUTED_VALUE"""),"ЗАО ""ЭКОС"" 128-РДО от 01.01.2022")</f>
        <v>ЗАО "ЭКОС" 128-РДО от 01.01.2022</v>
      </c>
      <c r="D19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2" t="str">
        <f ca="1">IFERROR(__xludf.DUMMYFUNCTION("""COMPUTED_VALUE"""),"Новый")</f>
        <v>Новый</v>
      </c>
      <c r="G1992" s="68"/>
      <c r="K1992" s="68"/>
    </row>
    <row r="1993" spans="1:11" ht="12.75">
      <c r="A1993" s="69">
        <f ca="1">IFERROR(__xludf.DUMMYFUNCTION("""COMPUTED_VALUE"""),96782)</f>
        <v>96782</v>
      </c>
      <c r="B1993" s="4">
        <f ca="1">IFERROR(__xludf.DUMMYFUNCTION("""COMPUTED_VALUE"""),44679)</f>
        <v>44679</v>
      </c>
      <c r="C1993" t="str">
        <f ca="1">IFERROR(__xludf.DUMMYFUNCTION("""COMPUTED_VALUE"""),"ЗАО ""ЭКОС"" 128-РДО от 01.01.2022")</f>
        <v>ЗАО "ЭКОС" 128-РДО от 01.01.2022</v>
      </c>
      <c r="D19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3" t="str">
        <f ca="1">IFERROR(__xludf.DUMMYFUNCTION("""COMPUTED_VALUE"""),"Новый")</f>
        <v>Новый</v>
      </c>
      <c r="G1993" s="68"/>
      <c r="K1993" s="68"/>
    </row>
    <row r="1994" spans="1:11" ht="12.75">
      <c r="A1994" s="69">
        <f ca="1">IFERROR(__xludf.DUMMYFUNCTION("""COMPUTED_VALUE"""),96783)</f>
        <v>96783</v>
      </c>
      <c r="B1994" s="4">
        <f ca="1">IFERROR(__xludf.DUMMYFUNCTION("""COMPUTED_VALUE"""),44679)</f>
        <v>44679</v>
      </c>
      <c r="C1994" t="str">
        <f ca="1">IFERROR(__xludf.DUMMYFUNCTION("""COMPUTED_VALUE"""),"ЗАО ""ЭКОС"" 128-РДО от 01.01.2022")</f>
        <v>ЗАО "ЭКОС" 128-РДО от 01.01.2022</v>
      </c>
      <c r="D19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4" t="str">
        <f ca="1">IFERROR(__xludf.DUMMYFUNCTION("""COMPUTED_VALUE"""),"Новый")</f>
        <v>Новый</v>
      </c>
      <c r="G1994" s="68"/>
      <c r="K1994" s="68"/>
    </row>
    <row r="1995" spans="1:11" ht="12.75">
      <c r="A1995" s="69">
        <f ca="1">IFERROR(__xludf.DUMMYFUNCTION("""COMPUTED_VALUE"""),96784)</f>
        <v>96784</v>
      </c>
      <c r="B1995" s="4">
        <f ca="1">IFERROR(__xludf.DUMMYFUNCTION("""COMPUTED_VALUE"""),44679)</f>
        <v>44679</v>
      </c>
      <c r="C1995" t="str">
        <f ca="1">IFERROR(__xludf.DUMMYFUNCTION("""COMPUTED_VALUE"""),"ЗАО ""ЭКОС"" 128-РДО от 01.01.2022")</f>
        <v>ЗАО "ЭКОС" 128-РДО от 01.01.2022</v>
      </c>
      <c r="D19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5" t="str">
        <f ca="1">IFERROR(__xludf.DUMMYFUNCTION("""COMPUTED_VALUE"""),"Новый")</f>
        <v>Новый</v>
      </c>
      <c r="G1995" s="68"/>
      <c r="K1995" s="68"/>
    </row>
    <row r="1996" spans="1:11" ht="12.75">
      <c r="A1996" s="69">
        <f ca="1">IFERROR(__xludf.DUMMYFUNCTION("""COMPUTED_VALUE"""),96785)</f>
        <v>96785</v>
      </c>
      <c r="B1996" s="4">
        <f ca="1">IFERROR(__xludf.DUMMYFUNCTION("""COMPUTED_VALUE"""),44679)</f>
        <v>44679</v>
      </c>
      <c r="C1996" t="str">
        <f ca="1">IFERROR(__xludf.DUMMYFUNCTION("""COMPUTED_VALUE"""),"ЗАО ""ЭКОС"" 128-РДО от 01.01.2022")</f>
        <v>ЗАО "ЭКОС" 128-РДО от 01.01.2022</v>
      </c>
      <c r="D19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6" t="str">
        <f ca="1">IFERROR(__xludf.DUMMYFUNCTION("""COMPUTED_VALUE"""),"Новый")</f>
        <v>Новый</v>
      </c>
      <c r="G1996" s="68"/>
      <c r="K1996" s="68"/>
    </row>
    <row r="1997" spans="1:11" ht="12.75">
      <c r="A1997" s="69">
        <f ca="1">IFERROR(__xludf.DUMMYFUNCTION("""COMPUTED_VALUE"""),96786)</f>
        <v>96786</v>
      </c>
      <c r="B1997" s="4">
        <f ca="1">IFERROR(__xludf.DUMMYFUNCTION("""COMPUTED_VALUE"""),44679)</f>
        <v>44679</v>
      </c>
      <c r="C1997" t="str">
        <f ca="1">IFERROR(__xludf.DUMMYFUNCTION("""COMPUTED_VALUE"""),"ЗАО ""ЭКОС"" 128-РДО от 01.01.2022")</f>
        <v>ЗАО "ЭКОС" 128-РДО от 01.01.2022</v>
      </c>
      <c r="D19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7" t="str">
        <f ca="1">IFERROR(__xludf.DUMMYFUNCTION("""COMPUTED_VALUE"""),"Новый")</f>
        <v>Новый</v>
      </c>
      <c r="G1997" s="68"/>
      <c r="K1997" s="68"/>
    </row>
    <row r="1998" spans="1:11" ht="12.75">
      <c r="A1998" s="69">
        <f ca="1">IFERROR(__xludf.DUMMYFUNCTION("""COMPUTED_VALUE"""),96787)</f>
        <v>96787</v>
      </c>
      <c r="B1998" s="4">
        <f ca="1">IFERROR(__xludf.DUMMYFUNCTION("""COMPUTED_VALUE"""),44679)</f>
        <v>44679</v>
      </c>
      <c r="C1998" t="str">
        <f ca="1">IFERROR(__xludf.DUMMYFUNCTION("""COMPUTED_VALUE"""),"ЗАО ""ЭКОС"" 128-РДО от 01.01.2022")</f>
        <v>ЗАО "ЭКОС" 128-РДО от 01.01.2022</v>
      </c>
      <c r="D19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8" t="str">
        <f ca="1">IFERROR(__xludf.DUMMYFUNCTION("""COMPUTED_VALUE"""),"Новый")</f>
        <v>Новый</v>
      </c>
      <c r="G1998" s="68"/>
      <c r="K1998" s="68"/>
    </row>
    <row r="1999" spans="1:11" ht="12.75">
      <c r="A1999" s="69">
        <f ca="1">IFERROR(__xludf.DUMMYFUNCTION("""COMPUTED_VALUE"""),96788)</f>
        <v>96788</v>
      </c>
      <c r="B1999" s="4">
        <f ca="1">IFERROR(__xludf.DUMMYFUNCTION("""COMPUTED_VALUE"""),44679)</f>
        <v>44679</v>
      </c>
      <c r="C1999" t="str">
        <f ca="1">IFERROR(__xludf.DUMMYFUNCTION("""COMPUTED_VALUE"""),"ЗАО ""ЭКОС"" 128-РДО от 01.01.2022")</f>
        <v>ЗАО "ЭКОС" 128-РДО от 01.01.2022</v>
      </c>
      <c r="D19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1999" t="str">
        <f ca="1">IFERROR(__xludf.DUMMYFUNCTION("""COMPUTED_VALUE"""),"Новый")</f>
        <v>Новый</v>
      </c>
      <c r="G1999" s="68"/>
      <c r="K1999" s="68"/>
    </row>
    <row r="2000" spans="1:11" ht="12.75">
      <c r="A2000" s="69">
        <f ca="1">IFERROR(__xludf.DUMMYFUNCTION("""COMPUTED_VALUE"""),96789)</f>
        <v>96789</v>
      </c>
      <c r="B2000" s="4">
        <f ca="1">IFERROR(__xludf.DUMMYFUNCTION("""COMPUTED_VALUE"""),44679)</f>
        <v>44679</v>
      </c>
      <c r="C2000" t="str">
        <f ca="1">IFERROR(__xludf.DUMMYFUNCTION("""COMPUTED_VALUE"""),"ЗАО ""ЭКОС"" 128-РДО от 01.01.2022")</f>
        <v>ЗАО "ЭКОС" 128-РДО от 01.01.2022</v>
      </c>
      <c r="D20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0" t="str">
        <f ca="1">IFERROR(__xludf.DUMMYFUNCTION("""COMPUTED_VALUE"""),"Новый")</f>
        <v>Новый</v>
      </c>
      <c r="G2000" s="68"/>
      <c r="K2000" s="68"/>
    </row>
    <row r="2001" spans="1:11" ht="12.75">
      <c r="A2001" s="69">
        <f ca="1">IFERROR(__xludf.DUMMYFUNCTION("""COMPUTED_VALUE"""),96790)</f>
        <v>96790</v>
      </c>
      <c r="B2001" s="4">
        <f ca="1">IFERROR(__xludf.DUMMYFUNCTION("""COMPUTED_VALUE"""),44679)</f>
        <v>44679</v>
      </c>
      <c r="C2001" t="str">
        <f ca="1">IFERROR(__xludf.DUMMYFUNCTION("""COMPUTED_VALUE"""),"ЗАО ""ЭКОС"" 128-РДО от 01.01.2022")</f>
        <v>ЗАО "ЭКОС" 128-РДО от 01.01.2022</v>
      </c>
      <c r="D20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1" t="str">
        <f ca="1">IFERROR(__xludf.DUMMYFUNCTION("""COMPUTED_VALUE"""),"Новый")</f>
        <v>Новый</v>
      </c>
      <c r="G2001" s="68"/>
      <c r="K2001" s="68"/>
    </row>
    <row r="2002" spans="1:11" ht="12.75">
      <c r="A2002" s="69">
        <f ca="1">IFERROR(__xludf.DUMMYFUNCTION("""COMPUTED_VALUE"""),96791)</f>
        <v>96791</v>
      </c>
      <c r="B2002" s="4">
        <f ca="1">IFERROR(__xludf.DUMMYFUNCTION("""COMPUTED_VALUE"""),44679)</f>
        <v>44679</v>
      </c>
      <c r="C2002" t="str">
        <f ca="1">IFERROR(__xludf.DUMMYFUNCTION("""COMPUTED_VALUE"""),"ЗАО ""ЭКОС"" 128-РДО от 01.01.2022")</f>
        <v>ЗАО "ЭКОС" 128-РДО от 01.01.2022</v>
      </c>
      <c r="D20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2" t="str">
        <f ca="1">IFERROR(__xludf.DUMMYFUNCTION("""COMPUTED_VALUE"""),"Новый")</f>
        <v>Новый</v>
      </c>
      <c r="G2002" s="68"/>
      <c r="K2002" s="68"/>
    </row>
    <row r="2003" spans="1:11" ht="12.75">
      <c r="A2003" s="69">
        <f ca="1">IFERROR(__xludf.DUMMYFUNCTION("""COMPUTED_VALUE"""),96792)</f>
        <v>96792</v>
      </c>
      <c r="B2003" s="4">
        <f ca="1">IFERROR(__xludf.DUMMYFUNCTION("""COMPUTED_VALUE"""),44679)</f>
        <v>44679</v>
      </c>
      <c r="C2003" t="str">
        <f ca="1">IFERROR(__xludf.DUMMYFUNCTION("""COMPUTED_VALUE"""),"ЗАО ""ЭКОС"" 128-РДО от 01.01.2022")</f>
        <v>ЗАО "ЭКОС" 128-РДО от 01.01.2022</v>
      </c>
      <c r="D20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3" t="str">
        <f ca="1">IFERROR(__xludf.DUMMYFUNCTION("""COMPUTED_VALUE"""),"Новый")</f>
        <v>Новый</v>
      </c>
      <c r="G2003" s="68"/>
      <c r="K2003" s="68"/>
    </row>
    <row r="2004" spans="1:11" ht="12.75">
      <c r="A2004" s="69">
        <f ca="1">IFERROR(__xludf.DUMMYFUNCTION("""COMPUTED_VALUE"""),96793)</f>
        <v>96793</v>
      </c>
      <c r="B2004" s="4">
        <f ca="1">IFERROR(__xludf.DUMMYFUNCTION("""COMPUTED_VALUE"""),44679)</f>
        <v>44679</v>
      </c>
      <c r="C2004" t="str">
        <f ca="1">IFERROR(__xludf.DUMMYFUNCTION("""COMPUTED_VALUE"""),"ЗАО ""ЭКОС"" 128-РДО от 01.01.2022")</f>
        <v>ЗАО "ЭКОС" 128-РДО от 01.01.2022</v>
      </c>
      <c r="D20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4" t="str">
        <f ca="1">IFERROR(__xludf.DUMMYFUNCTION("""COMPUTED_VALUE"""),"Новый")</f>
        <v>Новый</v>
      </c>
      <c r="G2004" s="68"/>
      <c r="K2004" s="68"/>
    </row>
    <row r="2005" spans="1:11" ht="12.75">
      <c r="A2005" s="69">
        <f ca="1">IFERROR(__xludf.DUMMYFUNCTION("""COMPUTED_VALUE"""),96794)</f>
        <v>96794</v>
      </c>
      <c r="B2005" s="4">
        <f ca="1">IFERROR(__xludf.DUMMYFUNCTION("""COMPUTED_VALUE"""),44679)</f>
        <v>44679</v>
      </c>
      <c r="C2005" t="str">
        <f ca="1">IFERROR(__xludf.DUMMYFUNCTION("""COMPUTED_VALUE"""),"ЗАО ""ЭКОС"" 128-РДО от 01.01.2022")</f>
        <v>ЗАО "ЭКОС" 128-РДО от 01.01.2022</v>
      </c>
      <c r="D20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5" t="str">
        <f ca="1">IFERROR(__xludf.DUMMYFUNCTION("""COMPUTED_VALUE"""),"Новый")</f>
        <v>Новый</v>
      </c>
      <c r="G2005" s="68"/>
      <c r="K2005" s="68"/>
    </row>
    <row r="2006" spans="1:11" ht="12.75">
      <c r="A2006" s="69">
        <f ca="1">IFERROR(__xludf.DUMMYFUNCTION("""COMPUTED_VALUE"""),96795)</f>
        <v>96795</v>
      </c>
      <c r="B2006" s="4">
        <f ca="1">IFERROR(__xludf.DUMMYFUNCTION("""COMPUTED_VALUE"""),44679)</f>
        <v>44679</v>
      </c>
      <c r="C2006" t="str">
        <f ca="1">IFERROR(__xludf.DUMMYFUNCTION("""COMPUTED_VALUE"""),"ЗАО ""ЭКОС"" 128-РДО от 01.01.2022")</f>
        <v>ЗАО "ЭКОС" 128-РДО от 01.01.2022</v>
      </c>
      <c r="D20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6" t="str">
        <f ca="1">IFERROR(__xludf.DUMMYFUNCTION("""COMPUTED_VALUE"""),"Новый")</f>
        <v>Новый</v>
      </c>
      <c r="G2006" s="68"/>
      <c r="K2006" s="68"/>
    </row>
    <row r="2007" spans="1:11" ht="12.75">
      <c r="A2007" s="69">
        <f ca="1">IFERROR(__xludf.DUMMYFUNCTION("""COMPUTED_VALUE"""),96796)</f>
        <v>96796</v>
      </c>
      <c r="B2007" s="4">
        <f ca="1">IFERROR(__xludf.DUMMYFUNCTION("""COMPUTED_VALUE"""),44679)</f>
        <v>44679</v>
      </c>
      <c r="C2007" t="str">
        <f ca="1">IFERROR(__xludf.DUMMYFUNCTION("""COMPUTED_VALUE"""),"ЗАО ""ЭКОС"" 128-РДО от 01.01.2022")</f>
        <v>ЗАО "ЭКОС" 128-РДО от 01.01.2022</v>
      </c>
      <c r="D20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7" t="str">
        <f ca="1">IFERROR(__xludf.DUMMYFUNCTION("""COMPUTED_VALUE"""),"Новый")</f>
        <v>Новый</v>
      </c>
      <c r="G2007" s="68"/>
      <c r="K2007" s="68"/>
    </row>
    <row r="2008" spans="1:11" ht="12.75">
      <c r="A2008" s="69">
        <f ca="1">IFERROR(__xludf.DUMMYFUNCTION("""COMPUTED_VALUE"""),96797)</f>
        <v>96797</v>
      </c>
      <c r="B2008" s="4">
        <f ca="1">IFERROR(__xludf.DUMMYFUNCTION("""COMPUTED_VALUE"""),44679)</f>
        <v>44679</v>
      </c>
      <c r="C2008" t="str">
        <f ca="1">IFERROR(__xludf.DUMMYFUNCTION("""COMPUTED_VALUE"""),"ЗАО ""ЭКОС"" 128-РДО от 01.01.2022")</f>
        <v>ЗАО "ЭКОС" 128-РДО от 01.01.2022</v>
      </c>
      <c r="D20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8" t="str">
        <f ca="1">IFERROR(__xludf.DUMMYFUNCTION("""COMPUTED_VALUE"""),"Новый")</f>
        <v>Новый</v>
      </c>
      <c r="G2008" s="68"/>
      <c r="K2008" s="68"/>
    </row>
    <row r="2009" spans="1:11" ht="12.75">
      <c r="A2009" s="69">
        <f ca="1">IFERROR(__xludf.DUMMYFUNCTION("""COMPUTED_VALUE"""),96798)</f>
        <v>96798</v>
      </c>
      <c r="B2009" s="4">
        <f ca="1">IFERROR(__xludf.DUMMYFUNCTION("""COMPUTED_VALUE"""),44679)</f>
        <v>44679</v>
      </c>
      <c r="C2009" t="str">
        <f ca="1">IFERROR(__xludf.DUMMYFUNCTION("""COMPUTED_VALUE"""),"ЗАО ""ЭКОС"" 128-РДО от 01.01.2022")</f>
        <v>ЗАО "ЭКОС" 128-РДО от 01.01.2022</v>
      </c>
      <c r="D20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09" t="str">
        <f ca="1">IFERROR(__xludf.DUMMYFUNCTION("""COMPUTED_VALUE"""),"Новый")</f>
        <v>Новый</v>
      </c>
      <c r="G2009" s="68"/>
      <c r="K2009" s="68"/>
    </row>
    <row r="2010" spans="1:11" ht="12.75">
      <c r="A2010" s="69">
        <f ca="1">IFERROR(__xludf.DUMMYFUNCTION("""COMPUTED_VALUE"""),96799)</f>
        <v>96799</v>
      </c>
      <c r="B2010" s="4">
        <f ca="1">IFERROR(__xludf.DUMMYFUNCTION("""COMPUTED_VALUE"""),44679)</f>
        <v>44679</v>
      </c>
      <c r="C2010" t="str">
        <f ca="1">IFERROR(__xludf.DUMMYFUNCTION("""COMPUTED_VALUE"""),"ЗАО ""ЭКОС"" 128-РДО от 01.01.2022")</f>
        <v>ЗАО "ЭКОС" 128-РДО от 01.01.2022</v>
      </c>
      <c r="D20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0" t="str">
        <f ca="1">IFERROR(__xludf.DUMMYFUNCTION("""COMPUTED_VALUE"""),"Новый")</f>
        <v>Новый</v>
      </c>
      <c r="G2010" s="68"/>
      <c r="K2010" s="68"/>
    </row>
    <row r="2011" spans="1:11" ht="12.75">
      <c r="A2011" s="69">
        <f ca="1">IFERROR(__xludf.DUMMYFUNCTION("""COMPUTED_VALUE"""),96800)</f>
        <v>96800</v>
      </c>
      <c r="B2011" s="4">
        <f ca="1">IFERROR(__xludf.DUMMYFUNCTION("""COMPUTED_VALUE"""),44679)</f>
        <v>44679</v>
      </c>
      <c r="C2011" t="str">
        <f ca="1">IFERROR(__xludf.DUMMYFUNCTION("""COMPUTED_VALUE"""),"ЗАО ""ЭКОС"" 128-РДО от 01.01.2022")</f>
        <v>ЗАО "ЭКОС" 128-РДО от 01.01.2022</v>
      </c>
      <c r="D20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1" t="str">
        <f ca="1">IFERROR(__xludf.DUMMYFUNCTION("""COMPUTED_VALUE"""),"Новый")</f>
        <v>Новый</v>
      </c>
      <c r="G2011" s="68"/>
      <c r="K2011" s="68"/>
    </row>
    <row r="2012" spans="1:11" ht="12.75">
      <c r="A2012" s="69">
        <f ca="1">IFERROR(__xludf.DUMMYFUNCTION("""COMPUTED_VALUE"""),96801)</f>
        <v>96801</v>
      </c>
      <c r="B2012" s="4">
        <f ca="1">IFERROR(__xludf.DUMMYFUNCTION("""COMPUTED_VALUE"""),44679)</f>
        <v>44679</v>
      </c>
      <c r="C2012" t="str">
        <f ca="1">IFERROR(__xludf.DUMMYFUNCTION("""COMPUTED_VALUE"""),"ЗАО ""ЭКОС"" 128-РДО от 01.01.2022")</f>
        <v>ЗАО "ЭКОС" 128-РДО от 01.01.2022</v>
      </c>
      <c r="D20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2" t="str">
        <f ca="1">IFERROR(__xludf.DUMMYFUNCTION("""COMPUTED_VALUE"""),"Новый")</f>
        <v>Новый</v>
      </c>
      <c r="G2012" s="68"/>
      <c r="K2012" s="68"/>
    </row>
    <row r="2013" spans="1:11" ht="12.75">
      <c r="A2013" s="69">
        <f ca="1">IFERROR(__xludf.DUMMYFUNCTION("""COMPUTED_VALUE"""),96818)</f>
        <v>96818</v>
      </c>
      <c r="B2013" s="4">
        <f ca="1">IFERROR(__xludf.DUMMYFUNCTION("""COMPUTED_VALUE"""),44679)</f>
        <v>44679</v>
      </c>
      <c r="C2013" t="str">
        <f ca="1">IFERROR(__xludf.DUMMYFUNCTION("""COMPUTED_VALUE"""),"ЗАО ""ЭКОС"" 128-РДО от 01.01.2022")</f>
        <v>ЗАО "ЭКОС" 128-РДО от 01.01.2022</v>
      </c>
      <c r="D20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3" t="str">
        <f ca="1">IFERROR(__xludf.DUMMYFUNCTION("""COMPUTED_VALUE"""),"Новый")</f>
        <v>Новый</v>
      </c>
      <c r="G2013" s="68"/>
      <c r="K2013" s="68"/>
    </row>
    <row r="2014" spans="1:11" ht="12.75">
      <c r="A2014" s="69">
        <f ca="1">IFERROR(__xludf.DUMMYFUNCTION("""COMPUTED_VALUE"""),96819)</f>
        <v>96819</v>
      </c>
      <c r="B2014" s="4">
        <f ca="1">IFERROR(__xludf.DUMMYFUNCTION("""COMPUTED_VALUE"""),44679)</f>
        <v>44679</v>
      </c>
      <c r="C2014" t="str">
        <f ca="1">IFERROR(__xludf.DUMMYFUNCTION("""COMPUTED_VALUE"""),"ЗАО ""ЭКОС"" 128-РДО от 01.01.2022")</f>
        <v>ЗАО "ЭКОС" 128-РДО от 01.01.2022</v>
      </c>
      <c r="D20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4" t="str">
        <f ca="1">IFERROR(__xludf.DUMMYFUNCTION("""COMPUTED_VALUE"""),"Новый")</f>
        <v>Новый</v>
      </c>
      <c r="G2014" s="68"/>
      <c r="K2014" s="68"/>
    </row>
    <row r="2015" spans="1:11" ht="12.75">
      <c r="A2015" s="69">
        <f ca="1">IFERROR(__xludf.DUMMYFUNCTION("""COMPUTED_VALUE"""),96820)</f>
        <v>96820</v>
      </c>
      <c r="B2015" s="4">
        <f ca="1">IFERROR(__xludf.DUMMYFUNCTION("""COMPUTED_VALUE"""),44679)</f>
        <v>44679</v>
      </c>
      <c r="C2015" t="str">
        <f ca="1">IFERROR(__xludf.DUMMYFUNCTION("""COMPUTED_VALUE"""),"ЗАО ""ЭКОС"" 128-РДО от 01.01.2022")</f>
        <v>ЗАО "ЭКОС" 128-РДО от 01.01.2022</v>
      </c>
      <c r="D20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5" t="str">
        <f ca="1">IFERROR(__xludf.DUMMYFUNCTION("""COMPUTED_VALUE"""),"Новый")</f>
        <v>Новый</v>
      </c>
      <c r="G2015" s="68"/>
      <c r="K2015" s="68"/>
    </row>
    <row r="2016" spans="1:11" ht="12.75">
      <c r="A2016" s="69">
        <f ca="1">IFERROR(__xludf.DUMMYFUNCTION("""COMPUTED_VALUE"""),96821)</f>
        <v>96821</v>
      </c>
      <c r="B2016" s="4">
        <f ca="1">IFERROR(__xludf.DUMMYFUNCTION("""COMPUTED_VALUE"""),44679)</f>
        <v>44679</v>
      </c>
      <c r="C2016" t="str">
        <f ca="1">IFERROR(__xludf.DUMMYFUNCTION("""COMPUTED_VALUE"""),"ЗАО ""ЭКОС"" 128-РДО от 01.01.2022")</f>
        <v>ЗАО "ЭКОС" 128-РДО от 01.01.2022</v>
      </c>
      <c r="D20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6" t="str">
        <f ca="1">IFERROR(__xludf.DUMMYFUNCTION("""COMPUTED_VALUE"""),"Новый")</f>
        <v>Новый</v>
      </c>
      <c r="G2016" s="68"/>
      <c r="K2016" s="68"/>
    </row>
    <row r="2017" spans="1:11" ht="12.75">
      <c r="A2017" s="69">
        <f ca="1">IFERROR(__xludf.DUMMYFUNCTION("""COMPUTED_VALUE"""),96837)</f>
        <v>96837</v>
      </c>
      <c r="B2017" s="4">
        <f ca="1">IFERROR(__xludf.DUMMYFUNCTION("""COMPUTED_VALUE"""),44679)</f>
        <v>44679</v>
      </c>
      <c r="C2017" t="str">
        <f ca="1">IFERROR(__xludf.DUMMYFUNCTION("""COMPUTED_VALUE"""),"ЗАО ""ЭКОС"" 128-РДО от 01.01.2022")</f>
        <v>ЗАО "ЭКОС" 128-РДО от 01.01.2022</v>
      </c>
      <c r="D20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7" t="str">
        <f ca="1">IFERROR(__xludf.DUMMYFUNCTION("""COMPUTED_VALUE"""),"Новый")</f>
        <v>Новый</v>
      </c>
      <c r="G2017" s="68"/>
      <c r="K2017" s="68"/>
    </row>
    <row r="2018" spans="1:11" ht="12.75">
      <c r="A2018" s="69">
        <f ca="1">IFERROR(__xludf.DUMMYFUNCTION("""COMPUTED_VALUE"""),96872)</f>
        <v>96872</v>
      </c>
      <c r="B2018" s="4">
        <f ca="1">IFERROR(__xludf.DUMMYFUNCTION("""COMPUTED_VALUE"""),44679)</f>
        <v>44679</v>
      </c>
      <c r="C2018" t="str">
        <f ca="1">IFERROR(__xludf.DUMMYFUNCTION("""COMPUTED_VALUE"""),"АО ""ОМСКИЙ БЕКОН"" 171-РДО от 27.04.2022")</f>
        <v>АО "ОМСКИЙ БЕКОН" 171-РДО от 27.04.2022</v>
      </c>
      <c r="D20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8" t="str">
        <f ca="1">IFERROR(__xludf.DUMMYFUNCTION("""COMPUTED_VALUE"""),"Новый")</f>
        <v>Новый</v>
      </c>
      <c r="G2018" s="68"/>
      <c r="K2018" s="68"/>
    </row>
    <row r="2019" spans="1:11" ht="12.75">
      <c r="A2019" s="69">
        <f ca="1">IFERROR(__xludf.DUMMYFUNCTION("""COMPUTED_VALUE"""),96874)</f>
        <v>96874</v>
      </c>
      <c r="B2019" s="4">
        <f ca="1">IFERROR(__xludf.DUMMYFUNCTION("""COMPUTED_VALUE"""),44679)</f>
        <v>44679</v>
      </c>
      <c r="C2019" t="str">
        <f ca="1">IFERROR(__xludf.DUMMYFUNCTION("""COMPUTED_VALUE"""),"АО ""ОМСКИЙ БЕКОН"" 171-РДО от 27.04.2022")</f>
        <v>АО "ОМСКИЙ БЕКОН" 171-РДО от 27.04.2022</v>
      </c>
      <c r="D20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19" t="str">
        <f ca="1">IFERROR(__xludf.DUMMYFUNCTION("""COMPUTED_VALUE"""),"Новый")</f>
        <v>Новый</v>
      </c>
      <c r="G2019" s="68"/>
      <c r="K2019" s="68"/>
    </row>
    <row r="2020" spans="1:11" ht="12.75">
      <c r="A2020" s="69">
        <f ca="1">IFERROR(__xludf.DUMMYFUNCTION("""COMPUTED_VALUE"""),96878)</f>
        <v>96878</v>
      </c>
      <c r="B2020" s="4">
        <f ca="1">IFERROR(__xludf.DUMMYFUNCTION("""COMPUTED_VALUE"""),44679)</f>
        <v>44679</v>
      </c>
      <c r="C2020" t="str">
        <f ca="1">IFERROR(__xludf.DUMMYFUNCTION("""COMPUTED_VALUE"""),"АО ""ОМСКИЙ БЕКОН"" 171-РДО от 27.04.2022")</f>
        <v>АО "ОМСКИЙ БЕКОН" 171-РДО от 27.04.2022</v>
      </c>
      <c r="D20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0" t="str">
        <f ca="1">IFERROR(__xludf.DUMMYFUNCTION("""COMPUTED_VALUE"""),"Новый")</f>
        <v>Новый</v>
      </c>
      <c r="G2020" s="68"/>
      <c r="K2020" s="68"/>
    </row>
    <row r="2021" spans="1:11" ht="12.75">
      <c r="A2021" s="69">
        <f ca="1">IFERROR(__xludf.DUMMYFUNCTION("""COMPUTED_VALUE"""),96879)</f>
        <v>96879</v>
      </c>
      <c r="B2021" s="4">
        <f ca="1">IFERROR(__xludf.DUMMYFUNCTION("""COMPUTED_VALUE"""),44679)</f>
        <v>44679</v>
      </c>
      <c r="C2021" t="str">
        <f ca="1">IFERROR(__xludf.DUMMYFUNCTION("""COMPUTED_VALUE"""),"АО ""ОМСКИЙ БЕКОН"" 171-РДО от 27.04.2022")</f>
        <v>АО "ОМСКИЙ БЕКОН" 171-РДО от 27.04.2022</v>
      </c>
      <c r="D20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1" t="str">
        <f ca="1">IFERROR(__xludf.DUMMYFUNCTION("""COMPUTED_VALUE"""),"Новый")</f>
        <v>Новый</v>
      </c>
      <c r="G2021" s="68"/>
      <c r="K2021" s="68"/>
    </row>
    <row r="2022" spans="1:11" ht="12.75">
      <c r="A2022" s="69">
        <f ca="1">IFERROR(__xludf.DUMMYFUNCTION("""COMPUTED_VALUE"""),96880)</f>
        <v>96880</v>
      </c>
      <c r="B2022" s="4">
        <f ca="1">IFERROR(__xludf.DUMMYFUNCTION("""COMPUTED_VALUE"""),44679)</f>
        <v>44679</v>
      </c>
      <c r="C2022" t="str">
        <f ca="1">IFERROR(__xludf.DUMMYFUNCTION("""COMPUTED_VALUE"""),"АО ""ОМСКИЙ БЕКОН"" 171-РДО от 27.04.2022")</f>
        <v>АО "ОМСКИЙ БЕКОН" 171-РДО от 27.04.2022</v>
      </c>
      <c r="D20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2" t="str">
        <f ca="1">IFERROR(__xludf.DUMMYFUNCTION("""COMPUTED_VALUE"""),"Новый")</f>
        <v>Новый</v>
      </c>
      <c r="G2022" s="68"/>
      <c r="K2022" s="68"/>
    </row>
    <row r="2023" spans="1:11" ht="12.75">
      <c r="A2023" s="69">
        <f ca="1">IFERROR(__xludf.DUMMYFUNCTION("""COMPUTED_VALUE"""),96881)</f>
        <v>96881</v>
      </c>
      <c r="B2023" s="4">
        <f ca="1">IFERROR(__xludf.DUMMYFUNCTION("""COMPUTED_VALUE"""),44679)</f>
        <v>44679</v>
      </c>
      <c r="C2023" t="str">
        <f ca="1">IFERROR(__xludf.DUMMYFUNCTION("""COMPUTED_VALUE"""),"АО ""ОМСКИЙ БЕКОН"" 171-РДО от 27.04.2022")</f>
        <v>АО "ОМСКИЙ БЕКОН" 171-РДО от 27.04.2022</v>
      </c>
      <c r="D20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3" t="str">
        <f ca="1">IFERROR(__xludf.DUMMYFUNCTION("""COMPUTED_VALUE"""),"Новый")</f>
        <v>Новый</v>
      </c>
      <c r="G2023" s="68"/>
      <c r="K2023" s="68"/>
    </row>
    <row r="2024" spans="1:11" ht="12.75">
      <c r="A2024" s="69">
        <f ca="1">IFERROR(__xludf.DUMMYFUNCTION("""COMPUTED_VALUE"""),96884)</f>
        <v>96884</v>
      </c>
      <c r="B2024" s="4">
        <f ca="1">IFERROR(__xludf.DUMMYFUNCTION("""COMPUTED_VALUE"""),44679)</f>
        <v>44679</v>
      </c>
      <c r="C2024" t="str">
        <f ca="1">IFERROR(__xludf.DUMMYFUNCTION("""COMPUTED_VALUE"""),"АО ""ОМСКИЙ БЕКОН"" 171-РДО от 27.04.2022")</f>
        <v>АО "ОМСКИЙ БЕКОН" 171-РДО от 27.04.2022</v>
      </c>
      <c r="D20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4" t="str">
        <f ca="1">IFERROR(__xludf.DUMMYFUNCTION("""COMPUTED_VALUE"""),"Новый")</f>
        <v>Новый</v>
      </c>
      <c r="G2024" s="68"/>
      <c r="K2024" s="68"/>
    </row>
    <row r="2025" spans="1:11" ht="12.75">
      <c r="A2025" s="69">
        <f ca="1">IFERROR(__xludf.DUMMYFUNCTION("""COMPUTED_VALUE"""),96885)</f>
        <v>96885</v>
      </c>
      <c r="B2025" s="4">
        <f ca="1">IFERROR(__xludf.DUMMYFUNCTION("""COMPUTED_VALUE"""),44679)</f>
        <v>44679</v>
      </c>
      <c r="C2025" t="str">
        <f ca="1">IFERROR(__xludf.DUMMYFUNCTION("""COMPUTED_VALUE"""),"АО ""ОМСКИЙ БЕКОН"" 171-РДО от 27.04.2022")</f>
        <v>АО "ОМСКИЙ БЕКОН" 171-РДО от 27.04.2022</v>
      </c>
      <c r="D20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5" t="str">
        <f ca="1">IFERROR(__xludf.DUMMYFUNCTION("""COMPUTED_VALUE"""),"Новый")</f>
        <v>Новый</v>
      </c>
      <c r="G2025" s="68"/>
      <c r="K2025" s="68"/>
    </row>
    <row r="2026" spans="1:11" ht="12.75">
      <c r="A2026" s="69">
        <f ca="1">IFERROR(__xludf.DUMMYFUNCTION("""COMPUTED_VALUE"""),96886)</f>
        <v>96886</v>
      </c>
      <c r="B2026" s="4">
        <f ca="1">IFERROR(__xludf.DUMMYFUNCTION("""COMPUTED_VALUE"""),44679)</f>
        <v>44679</v>
      </c>
      <c r="C2026" t="str">
        <f ca="1">IFERROR(__xludf.DUMMYFUNCTION("""COMPUTED_VALUE"""),"АО ""ОМСКИЙ БЕКОН"" 171-РДО от 27.04.2022")</f>
        <v>АО "ОМСКИЙ БЕКОН" 171-РДО от 27.04.2022</v>
      </c>
      <c r="D20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6" t="str">
        <f ca="1">IFERROR(__xludf.DUMMYFUNCTION("""COMPUTED_VALUE"""),"Новый")</f>
        <v>Новый</v>
      </c>
      <c r="G2026" s="68"/>
      <c r="K2026" s="68"/>
    </row>
    <row r="2027" spans="1:11" ht="12.75">
      <c r="A2027" s="69">
        <f ca="1">IFERROR(__xludf.DUMMYFUNCTION("""COMPUTED_VALUE"""),96887)</f>
        <v>96887</v>
      </c>
      <c r="B2027" s="4">
        <f ca="1">IFERROR(__xludf.DUMMYFUNCTION("""COMPUTED_VALUE"""),44679)</f>
        <v>44679</v>
      </c>
      <c r="C2027" t="str">
        <f ca="1">IFERROR(__xludf.DUMMYFUNCTION("""COMPUTED_VALUE"""),"АО ""ОМСКИЙ БЕКОН"" 171-РДО от 27.04.2022")</f>
        <v>АО "ОМСКИЙ БЕКОН" 171-РДО от 27.04.2022</v>
      </c>
      <c r="D20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7" t="str">
        <f ca="1">IFERROR(__xludf.DUMMYFUNCTION("""COMPUTED_VALUE"""),"Новый")</f>
        <v>Новый</v>
      </c>
      <c r="G2027" s="68"/>
      <c r="K2027" s="68"/>
    </row>
    <row r="2028" spans="1:11" ht="12.75">
      <c r="A2028" s="69">
        <f ca="1">IFERROR(__xludf.DUMMYFUNCTION("""COMPUTED_VALUE"""),96888)</f>
        <v>96888</v>
      </c>
      <c r="B2028" s="4">
        <f ca="1">IFERROR(__xludf.DUMMYFUNCTION("""COMPUTED_VALUE"""),44679)</f>
        <v>44679</v>
      </c>
      <c r="C2028" t="str">
        <f ca="1">IFERROR(__xludf.DUMMYFUNCTION("""COMPUTED_VALUE"""),"АО ""ОМСКИЙ БЕКОН"" 171-РДО от 27.04.2022")</f>
        <v>АО "ОМСКИЙ БЕКОН" 171-РДО от 27.04.2022</v>
      </c>
      <c r="D20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8" t="str">
        <f ca="1">IFERROR(__xludf.DUMMYFUNCTION("""COMPUTED_VALUE"""),"Новый")</f>
        <v>Новый</v>
      </c>
      <c r="G2028" s="68"/>
      <c r="K2028" s="68"/>
    </row>
    <row r="2029" spans="1:11" ht="12.75">
      <c r="A2029" s="69">
        <f ca="1">IFERROR(__xludf.DUMMYFUNCTION("""COMPUTED_VALUE"""),96889)</f>
        <v>96889</v>
      </c>
      <c r="B2029" s="4">
        <f ca="1">IFERROR(__xludf.DUMMYFUNCTION("""COMPUTED_VALUE"""),44679)</f>
        <v>44679</v>
      </c>
      <c r="C2029" t="str">
        <f ca="1">IFERROR(__xludf.DUMMYFUNCTION("""COMPUTED_VALUE"""),"АО ""ОМСКИЙ БЕКОН"" 171-РДО от 27.04.2022")</f>
        <v>АО "ОМСКИЙ БЕКОН" 171-РДО от 27.04.2022</v>
      </c>
      <c r="D20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29" t="str">
        <f ca="1">IFERROR(__xludf.DUMMYFUNCTION("""COMPUTED_VALUE"""),"Новый")</f>
        <v>Новый</v>
      </c>
      <c r="G2029" s="68"/>
      <c r="K2029" s="68"/>
    </row>
    <row r="2030" spans="1:11" ht="12.75">
      <c r="A2030" s="69">
        <f ca="1">IFERROR(__xludf.DUMMYFUNCTION("""COMPUTED_VALUE"""),96890)</f>
        <v>96890</v>
      </c>
      <c r="B2030" s="4">
        <f ca="1">IFERROR(__xludf.DUMMYFUNCTION("""COMPUTED_VALUE"""),44679)</f>
        <v>44679</v>
      </c>
      <c r="C2030" t="str">
        <f ca="1">IFERROR(__xludf.DUMMYFUNCTION("""COMPUTED_VALUE"""),"АО ""ОМСКИЙ БЕКОН"" 171-РДО от 27.04.2022")</f>
        <v>АО "ОМСКИЙ БЕКОН" 171-РДО от 27.04.2022</v>
      </c>
      <c r="D20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0" t="str">
        <f ca="1">IFERROR(__xludf.DUMMYFUNCTION("""COMPUTED_VALUE"""),"Новый")</f>
        <v>Новый</v>
      </c>
      <c r="G2030" s="68"/>
      <c r="K2030" s="68"/>
    </row>
    <row r="2031" spans="1:11" ht="12.75">
      <c r="A2031" s="69">
        <f ca="1">IFERROR(__xludf.DUMMYFUNCTION("""COMPUTED_VALUE"""),96891)</f>
        <v>96891</v>
      </c>
      <c r="B2031" s="4">
        <f ca="1">IFERROR(__xludf.DUMMYFUNCTION("""COMPUTED_VALUE"""),44679)</f>
        <v>44679</v>
      </c>
      <c r="C2031" t="str">
        <f ca="1">IFERROR(__xludf.DUMMYFUNCTION("""COMPUTED_VALUE"""),"АО ""ОМСКИЙ БЕКОН"" 171-РДО от 27.04.2022")</f>
        <v>АО "ОМСКИЙ БЕКОН" 171-РДО от 27.04.2022</v>
      </c>
      <c r="D20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1" t="str">
        <f ca="1">IFERROR(__xludf.DUMMYFUNCTION("""COMPUTED_VALUE"""),"Новый")</f>
        <v>Новый</v>
      </c>
      <c r="G2031" s="68"/>
      <c r="K2031" s="68"/>
    </row>
    <row r="2032" spans="1:11" ht="12.75">
      <c r="A2032" s="69">
        <f ca="1">IFERROR(__xludf.DUMMYFUNCTION("""COMPUTED_VALUE"""),96904)</f>
        <v>96904</v>
      </c>
      <c r="B2032" s="4">
        <f ca="1">IFERROR(__xludf.DUMMYFUNCTION("""COMPUTED_VALUE"""),44680)</f>
        <v>44680</v>
      </c>
      <c r="C2032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2" t="str">
        <f ca="1">IFERROR(__xludf.DUMMYFUNCTION("""COMPUTED_VALUE"""),"Новый")</f>
        <v>Новый</v>
      </c>
      <c r="G2032" s="68"/>
      <c r="K2032" s="68"/>
    </row>
    <row r="2033" spans="1:17" ht="12.75">
      <c r="A2033" s="69">
        <f ca="1">IFERROR(__xludf.DUMMYFUNCTION("""COMPUTED_VALUE"""),96905)</f>
        <v>96905</v>
      </c>
      <c r="B2033" s="4">
        <f ca="1">IFERROR(__xludf.DUMMYFUNCTION("""COMPUTED_VALUE"""),44680)</f>
        <v>44680</v>
      </c>
      <c r="C2033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3" t="str">
        <f ca="1">IFERROR(__xludf.DUMMYFUNCTION("""COMPUTED_VALUE"""),"Новый")</f>
        <v>Новый</v>
      </c>
      <c r="G2033" s="68"/>
      <c r="K2033" s="68"/>
    </row>
    <row r="2034" spans="1:17" ht="12.75">
      <c r="A2034" s="69">
        <f ca="1">IFERROR(__xludf.DUMMYFUNCTION("""COMPUTED_VALUE"""),96906)</f>
        <v>96906</v>
      </c>
      <c r="B2034" s="4">
        <f ca="1">IFERROR(__xludf.DUMMYFUNCTION("""COMPUTED_VALUE"""),44680)</f>
        <v>44680</v>
      </c>
      <c r="C2034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4" t="str">
        <f ca="1">IFERROR(__xludf.DUMMYFUNCTION("""COMPUTED_VALUE"""),"Новый")</f>
        <v>Новый</v>
      </c>
      <c r="G2034" s="68"/>
      <c r="K2034" s="68"/>
    </row>
    <row r="2035" spans="1:17" ht="12.75">
      <c r="A2035" s="69">
        <f ca="1">IFERROR(__xludf.DUMMYFUNCTION("""COMPUTED_VALUE"""),96907)</f>
        <v>96907</v>
      </c>
      <c r="B2035" s="4">
        <f ca="1">IFERROR(__xludf.DUMMYFUNCTION("""COMPUTED_VALUE"""),44680)</f>
        <v>44680</v>
      </c>
      <c r="C2035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5" t="str">
        <f ca="1">IFERROR(__xludf.DUMMYFUNCTION("""COMPUTED_VALUE"""),"Новый")</f>
        <v>Новый</v>
      </c>
      <c r="G2035" s="68"/>
      <c r="K2035" s="68"/>
    </row>
    <row r="2036" spans="1:17" ht="12.75">
      <c r="A2036" s="69">
        <f ca="1">IFERROR(__xludf.DUMMYFUNCTION("""COMPUTED_VALUE"""),96908)</f>
        <v>96908</v>
      </c>
      <c r="B2036" s="4">
        <f ca="1">IFERROR(__xludf.DUMMYFUNCTION("""COMPUTED_VALUE"""),44680)</f>
        <v>44680</v>
      </c>
      <c r="C2036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6" t="str">
        <f ca="1">IFERROR(__xludf.DUMMYFUNCTION("""COMPUTED_VALUE"""),"Новый")</f>
        <v>Новый</v>
      </c>
      <c r="G2036" s="68"/>
      <c r="K2036" s="68"/>
    </row>
    <row r="2037" spans="1:17" ht="12.75">
      <c r="A2037" s="69">
        <f ca="1">IFERROR(__xludf.DUMMYFUNCTION("""COMPUTED_VALUE"""),96909)</f>
        <v>96909</v>
      </c>
      <c r="B2037" s="4">
        <f ca="1">IFERROR(__xludf.DUMMYFUNCTION("""COMPUTED_VALUE"""),44680)</f>
        <v>44680</v>
      </c>
      <c r="C2037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7" t="str">
        <f ca="1">IFERROR(__xludf.DUMMYFUNCTION("""COMPUTED_VALUE"""),"Новый")</f>
        <v>Новый</v>
      </c>
      <c r="G2037" s="68"/>
      <c r="K2037" s="68"/>
    </row>
    <row r="2038" spans="1:17" ht="12.75">
      <c r="A2038" s="69">
        <f ca="1">IFERROR(__xludf.DUMMYFUNCTION("""COMPUTED_VALUE"""),96910)</f>
        <v>96910</v>
      </c>
      <c r="B2038" s="4">
        <f ca="1">IFERROR(__xludf.DUMMYFUNCTION("""COMPUTED_VALUE"""),44680)</f>
        <v>44680</v>
      </c>
      <c r="C2038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8" t="str">
        <f ca="1">IFERROR(__xludf.DUMMYFUNCTION("""COMPUTED_VALUE"""),"Новый")</f>
        <v>Новый</v>
      </c>
      <c r="G2038" s="68"/>
      <c r="K2038" s="68"/>
    </row>
    <row r="2039" spans="1:17" ht="12.75">
      <c r="A2039" s="69">
        <f ca="1">IFERROR(__xludf.DUMMYFUNCTION("""COMPUTED_VALUE"""),96911)</f>
        <v>96911</v>
      </c>
      <c r="B2039" s="4">
        <f ca="1">IFERROR(__xludf.DUMMYFUNCTION("""COMPUTED_VALUE"""),44680)</f>
        <v>44680</v>
      </c>
      <c r="C2039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39" t="str">
        <f ca="1">IFERROR(__xludf.DUMMYFUNCTION("""COMPUTED_VALUE"""),"Новый")</f>
        <v>Новый</v>
      </c>
      <c r="G2039" s="68"/>
      <c r="K2039" s="68"/>
    </row>
    <row r="2040" spans="1:17" ht="12.75">
      <c r="A2040" s="69">
        <f ca="1">IFERROR(__xludf.DUMMYFUNCTION("""COMPUTED_VALUE"""),96912)</f>
        <v>96912</v>
      </c>
      <c r="B2040" s="4">
        <f ca="1">IFERROR(__xludf.DUMMYFUNCTION("""COMPUTED_VALUE"""),44680)</f>
        <v>44680</v>
      </c>
      <c r="C2040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0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0" t="str">
        <f ca="1">IFERROR(__xludf.DUMMYFUNCTION("""COMPUTED_VALUE"""),"Открыт")</f>
        <v>Открыт</v>
      </c>
      <c r="F2040" t="str">
        <f ca="1">IFERROR(__xludf.DUMMYFUNCTION("""COMPUTED_VALUE"""),"Кировский полигон")</f>
        <v>Кировский полигон</v>
      </c>
      <c r="G2040" s="68">
        <f ca="1">IFERROR(__xludf.DUMMYFUNCTION("""COMPUTED_VALUE"""),44847.4785676157)</f>
        <v>44847.478567615697</v>
      </c>
      <c r="H2040" t="str">
        <f ca="1">IFERROR(__xludf.DUMMYFUNCTION("""COMPUTED_VALUE"""),"в562му")</f>
        <v>в562му</v>
      </c>
      <c r="I2040">
        <f ca="1">IFERROR(__xludf.DUMMYFUNCTION("""COMPUTED_VALUE"""),10380)</f>
        <v>10380</v>
      </c>
      <c r="K2040" s="68"/>
      <c r="N2040">
        <f ca="1">IFERROR(__xludf.DUMMYFUNCTION("""COMPUTED_VALUE"""),0)</f>
        <v>0</v>
      </c>
      <c r="Q2040" t="str">
        <f ca="1">IFERROR(__xludf.DUMMYFUNCTION("""COMPUTED_VALUE"""),"Другое")</f>
        <v>Другое</v>
      </c>
    </row>
    <row r="2041" spans="1:17" ht="12.75">
      <c r="A2041" s="69">
        <f ca="1">IFERROR(__xludf.DUMMYFUNCTION("""COMPUTED_VALUE"""),97124)</f>
        <v>97124</v>
      </c>
      <c r="B2041" s="4">
        <f ca="1">IFERROR(__xludf.DUMMYFUNCTION("""COMPUTED_VALUE"""),44680)</f>
        <v>44680</v>
      </c>
      <c r="C2041" t="str">
        <f ca="1">IFERROR(__xludf.DUMMYFUNCTION("""COMPUTED_VALUE"""),"ООО ""ЧИСТЫЙ ГОРОД-ОМСК"" 127-РДО от 01.01.2022")</f>
        <v>ООО "ЧИСТЫЙ ГОРОД-ОМСК" 127-РДО от 01.01.2022</v>
      </c>
      <c r="D20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1" t="str">
        <f ca="1">IFERROR(__xludf.DUMMYFUNCTION("""COMPUTED_VALUE"""),"Новый")</f>
        <v>Новый</v>
      </c>
      <c r="G2041" s="68"/>
      <c r="K2041" s="68"/>
    </row>
    <row r="2042" spans="1:17" ht="12.75">
      <c r="A2042" s="69">
        <f ca="1">IFERROR(__xludf.DUMMYFUNCTION("""COMPUTED_VALUE"""),97125)</f>
        <v>97125</v>
      </c>
      <c r="B2042" s="4">
        <f ca="1">IFERROR(__xludf.DUMMYFUNCTION("""COMPUTED_VALUE"""),44680)</f>
        <v>44680</v>
      </c>
      <c r="C2042" t="str">
        <f ca="1">IFERROR(__xludf.DUMMYFUNCTION("""COMPUTED_VALUE"""),"ООО ""ЧИСТЫЙ ГОРОД-ОМСК"" 127-РДО от 01.01.2022")</f>
        <v>ООО "ЧИСТЫЙ ГОРОД-ОМСК" 127-РДО от 01.01.2022</v>
      </c>
      <c r="D20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2" t="str">
        <f ca="1">IFERROR(__xludf.DUMMYFUNCTION("""COMPUTED_VALUE"""),"Новый")</f>
        <v>Новый</v>
      </c>
      <c r="G2042" s="68"/>
      <c r="K2042" s="68"/>
    </row>
    <row r="2043" spans="1:17" ht="12.75">
      <c r="A2043" s="69">
        <f ca="1">IFERROR(__xludf.DUMMYFUNCTION("""COMPUTED_VALUE"""),97134)</f>
        <v>97134</v>
      </c>
      <c r="B2043" s="4">
        <f ca="1">IFERROR(__xludf.DUMMYFUNCTION("""COMPUTED_VALUE"""),44680)</f>
        <v>44680</v>
      </c>
      <c r="C2043" t="str">
        <f ca="1">IFERROR(__xludf.DUMMYFUNCTION("""COMPUTED_VALUE"""),"ООО ""ЧИСТЫЙ ГОРОД-ОМСК"" 127-РДО от 01.01.2022")</f>
        <v>ООО "ЧИСТЫЙ ГОРОД-ОМСК" 127-РДО от 01.01.2022</v>
      </c>
      <c r="D20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3" t="str">
        <f ca="1">IFERROR(__xludf.DUMMYFUNCTION("""COMPUTED_VALUE"""),"Новый")</f>
        <v>Новый</v>
      </c>
      <c r="G2043" s="68"/>
      <c r="K2043" s="68"/>
    </row>
    <row r="2044" spans="1:17" ht="12.75">
      <c r="A2044" s="69">
        <f ca="1">IFERROR(__xludf.DUMMYFUNCTION("""COMPUTED_VALUE"""),97136)</f>
        <v>97136</v>
      </c>
      <c r="B2044" s="4">
        <f ca="1">IFERROR(__xludf.DUMMYFUNCTION("""COMPUTED_VALUE"""),44680)</f>
        <v>44680</v>
      </c>
      <c r="C2044" t="str">
        <f ca="1">IFERROR(__xludf.DUMMYFUNCTION("""COMPUTED_VALUE"""),"ООО ""ЧИСТЫЙ ГОРОД-ОМСК"" 127-РДО от 01.01.2022")</f>
        <v>ООО "ЧИСТЫЙ ГОРОД-ОМСК" 127-РДО от 01.01.2022</v>
      </c>
      <c r="D20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4" t="str">
        <f ca="1">IFERROR(__xludf.DUMMYFUNCTION("""COMPUTED_VALUE"""),"Новый")</f>
        <v>Новый</v>
      </c>
      <c r="G2044" s="68"/>
      <c r="K2044" s="68"/>
    </row>
    <row r="2045" spans="1:17" ht="12.75">
      <c r="A2045" s="69">
        <f ca="1">IFERROR(__xludf.DUMMYFUNCTION("""COMPUTED_VALUE"""),97137)</f>
        <v>97137</v>
      </c>
      <c r="B2045" s="4">
        <f ca="1">IFERROR(__xludf.DUMMYFUNCTION("""COMPUTED_VALUE"""),44680)</f>
        <v>44680</v>
      </c>
      <c r="C2045" t="str">
        <f ca="1">IFERROR(__xludf.DUMMYFUNCTION("""COMPUTED_VALUE"""),"ООО ""ЧИСТЫЙ ГОРОД-ОМСК"" 127-РДО от 01.01.2022")</f>
        <v>ООО "ЧИСТЫЙ ГОРОД-ОМСК" 127-РДО от 01.01.2022</v>
      </c>
      <c r="D20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5" t="str">
        <f ca="1">IFERROR(__xludf.DUMMYFUNCTION("""COMPUTED_VALUE"""),"Новый")</f>
        <v>Новый</v>
      </c>
      <c r="G2045" s="68"/>
      <c r="K2045" s="68"/>
    </row>
    <row r="2046" spans="1:17" ht="12.75">
      <c r="A2046" s="69">
        <f ca="1">IFERROR(__xludf.DUMMYFUNCTION("""COMPUTED_VALUE"""),97144)</f>
        <v>97144</v>
      </c>
      <c r="B2046" s="4"/>
      <c r="C2046" t="str">
        <f ca="1">IFERROR(__xludf.DUMMYFUNCTION("""COMPUTED_VALUE"""),"ООО ""ЧИСТЫЙ ГОРОД-ОМСК"" 127-РДО от 01.01.2022")</f>
        <v>ООО "ЧИСТЫЙ ГОРОД-ОМСК" 127-РДО от 01.01.2022</v>
      </c>
      <c r="D20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6" t="str">
        <f ca="1">IFERROR(__xludf.DUMMYFUNCTION("""COMPUTED_VALUE"""),"Новый")</f>
        <v>Новый</v>
      </c>
      <c r="G2046" s="68"/>
      <c r="K2046" s="68"/>
    </row>
    <row r="2047" spans="1:17" ht="12.75">
      <c r="A2047" s="69">
        <f ca="1">IFERROR(__xludf.DUMMYFUNCTION("""COMPUTED_VALUE"""),97145)</f>
        <v>97145</v>
      </c>
      <c r="B2047" s="4"/>
      <c r="C2047" t="str">
        <f ca="1">IFERROR(__xludf.DUMMYFUNCTION("""COMPUTED_VALUE"""),"ООО ""ЧИСТЫЙ ГОРОД-ОМСК"" 127-РДО от 01.01.2022")</f>
        <v>ООО "ЧИСТЫЙ ГОРОД-ОМСК" 127-РДО от 01.01.2022</v>
      </c>
      <c r="D20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7" t="str">
        <f ca="1">IFERROR(__xludf.DUMMYFUNCTION("""COMPUTED_VALUE"""),"Новый")</f>
        <v>Новый</v>
      </c>
      <c r="G2047" s="68"/>
      <c r="K2047" s="68"/>
    </row>
    <row r="2048" spans="1:17" ht="12.75">
      <c r="A2048" s="69">
        <f ca="1">IFERROR(__xludf.DUMMYFUNCTION("""COMPUTED_VALUE"""),97146)</f>
        <v>97146</v>
      </c>
      <c r="B2048" s="4"/>
      <c r="C2048" t="str">
        <f ca="1">IFERROR(__xludf.DUMMYFUNCTION("""COMPUTED_VALUE"""),"ООО ""ЧИСТЫЙ ГОРОД-ОМСК"" 127-РДО от 01.01.2022")</f>
        <v>ООО "ЧИСТЫЙ ГОРОД-ОМСК" 127-РДО от 01.01.2022</v>
      </c>
      <c r="D20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8" t="str">
        <f ca="1">IFERROR(__xludf.DUMMYFUNCTION("""COMPUTED_VALUE"""),"Новый")</f>
        <v>Новый</v>
      </c>
      <c r="G2048" s="68"/>
      <c r="K2048" s="68"/>
    </row>
    <row r="2049" spans="1:11" ht="12.75">
      <c r="A2049" s="69">
        <f ca="1">IFERROR(__xludf.DUMMYFUNCTION("""COMPUTED_VALUE"""),97147)</f>
        <v>97147</v>
      </c>
      <c r="B2049" s="4"/>
      <c r="C2049" t="str">
        <f ca="1">IFERROR(__xludf.DUMMYFUNCTION("""COMPUTED_VALUE"""),"ООО ""ЧИСТЫЙ ГОРОД-ОМСК"" 127-РДО от 01.01.2022")</f>
        <v>ООО "ЧИСТЫЙ ГОРОД-ОМСК" 127-РДО от 01.01.2022</v>
      </c>
      <c r="D20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49" t="str">
        <f ca="1">IFERROR(__xludf.DUMMYFUNCTION("""COMPUTED_VALUE"""),"Новый")</f>
        <v>Новый</v>
      </c>
      <c r="G2049" s="68"/>
      <c r="K2049" s="68"/>
    </row>
    <row r="2050" spans="1:11" ht="12.75">
      <c r="A2050" s="69">
        <f ca="1">IFERROR(__xludf.DUMMYFUNCTION("""COMPUTED_VALUE"""),97148)</f>
        <v>97148</v>
      </c>
      <c r="B2050" s="4"/>
      <c r="C2050" t="str">
        <f ca="1">IFERROR(__xludf.DUMMYFUNCTION("""COMPUTED_VALUE"""),"ООО ""ЧИСТЫЙ ГОРОД-ОМСК"" 127-РДО от 01.01.2022")</f>
        <v>ООО "ЧИСТЫЙ ГОРОД-ОМСК" 127-РДО от 01.01.2022</v>
      </c>
      <c r="D20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0" t="str">
        <f ca="1">IFERROR(__xludf.DUMMYFUNCTION("""COMPUTED_VALUE"""),"Новый")</f>
        <v>Новый</v>
      </c>
      <c r="G2050" s="68"/>
      <c r="K2050" s="68"/>
    </row>
    <row r="2051" spans="1:11" ht="12.75">
      <c r="A2051" s="69">
        <f ca="1">IFERROR(__xludf.DUMMYFUNCTION("""COMPUTED_VALUE"""),97149)</f>
        <v>97149</v>
      </c>
      <c r="B2051" s="4"/>
      <c r="C2051" t="str">
        <f ca="1">IFERROR(__xludf.DUMMYFUNCTION("""COMPUTED_VALUE"""),"ООО ""ЧИСТЫЙ ГОРОД-ОМСК"" 127-РДО от 01.01.2022")</f>
        <v>ООО "ЧИСТЫЙ ГОРОД-ОМСК" 127-РДО от 01.01.2022</v>
      </c>
      <c r="D20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1" t="str">
        <f ca="1">IFERROR(__xludf.DUMMYFUNCTION("""COMPUTED_VALUE"""),"Новый")</f>
        <v>Новый</v>
      </c>
      <c r="G2051" s="68"/>
      <c r="K2051" s="68"/>
    </row>
    <row r="2052" spans="1:11" ht="12.75">
      <c r="A2052" s="69">
        <f ca="1">IFERROR(__xludf.DUMMYFUNCTION("""COMPUTED_VALUE"""),97150)</f>
        <v>97150</v>
      </c>
      <c r="B2052" s="4"/>
      <c r="C2052" t="str">
        <f ca="1">IFERROR(__xludf.DUMMYFUNCTION("""COMPUTED_VALUE"""),"ООО ""ЧИСТЫЙ ГОРОД-ОМСК"" 127-РДО от 01.01.2022")</f>
        <v>ООО "ЧИСТЫЙ ГОРОД-ОМСК" 127-РДО от 01.01.2022</v>
      </c>
      <c r="D20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2" t="str">
        <f ca="1">IFERROR(__xludf.DUMMYFUNCTION("""COMPUTED_VALUE"""),"Новый")</f>
        <v>Новый</v>
      </c>
      <c r="G2052" s="68"/>
      <c r="K2052" s="68"/>
    </row>
    <row r="2053" spans="1:11" ht="12.75">
      <c r="A2053" s="69">
        <f ca="1">IFERROR(__xludf.DUMMYFUNCTION("""COMPUTED_VALUE"""),97151)</f>
        <v>97151</v>
      </c>
      <c r="B2053" s="4"/>
      <c r="C2053" t="str">
        <f ca="1">IFERROR(__xludf.DUMMYFUNCTION("""COMPUTED_VALUE"""),"ООО ""ЧИСТЫЙ ГОРОД-ОМСК"" 127-РДО от 01.01.2022")</f>
        <v>ООО "ЧИСТЫЙ ГОРОД-ОМСК" 127-РДО от 01.01.2022</v>
      </c>
      <c r="D20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3" t="str">
        <f ca="1">IFERROR(__xludf.DUMMYFUNCTION("""COMPUTED_VALUE"""),"Новый")</f>
        <v>Новый</v>
      </c>
      <c r="G2053" s="68"/>
      <c r="K2053" s="68"/>
    </row>
    <row r="2054" spans="1:11" ht="12.75">
      <c r="A2054" s="69">
        <f ca="1">IFERROR(__xludf.DUMMYFUNCTION("""COMPUTED_VALUE"""),97152)</f>
        <v>97152</v>
      </c>
      <c r="B2054" s="4"/>
      <c r="C2054" t="str">
        <f ca="1">IFERROR(__xludf.DUMMYFUNCTION("""COMPUTED_VALUE"""),"ООО ""ЧИСТЫЙ ГОРОД-ОМСК"" 127-РДО от 01.01.2022")</f>
        <v>ООО "ЧИСТЫЙ ГОРОД-ОМСК" 127-РДО от 01.01.2022</v>
      </c>
      <c r="D20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4" t="str">
        <f ca="1">IFERROR(__xludf.DUMMYFUNCTION("""COMPUTED_VALUE"""),"Новый")</f>
        <v>Новый</v>
      </c>
      <c r="G2054" s="68"/>
      <c r="K2054" s="68"/>
    </row>
    <row r="2055" spans="1:11" ht="12.75">
      <c r="A2055" s="69">
        <f ca="1">IFERROR(__xludf.DUMMYFUNCTION("""COMPUTED_VALUE"""),97153)</f>
        <v>97153</v>
      </c>
      <c r="B2055" s="4"/>
      <c r="C2055" t="str">
        <f ca="1">IFERROR(__xludf.DUMMYFUNCTION("""COMPUTED_VALUE"""),"ООО ""ЧИСТЫЙ ГОРОД-ОМСК"" 127-РДО от 01.01.2022")</f>
        <v>ООО "ЧИСТЫЙ ГОРОД-ОМСК" 127-РДО от 01.01.2022</v>
      </c>
      <c r="D20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5" t="str">
        <f ca="1">IFERROR(__xludf.DUMMYFUNCTION("""COMPUTED_VALUE"""),"Новый")</f>
        <v>Новый</v>
      </c>
      <c r="G2055" s="68"/>
      <c r="K2055" s="68"/>
    </row>
    <row r="2056" spans="1:11" ht="12.75">
      <c r="A2056" s="69">
        <f ca="1">IFERROR(__xludf.DUMMYFUNCTION("""COMPUTED_VALUE"""),97154)</f>
        <v>97154</v>
      </c>
      <c r="B2056" s="4"/>
      <c r="C2056" t="str">
        <f ca="1">IFERROR(__xludf.DUMMYFUNCTION("""COMPUTED_VALUE"""),"ООО ""ЧИСТЫЙ ГОРОД-ОМСК"" 127-РДО от 01.01.2022")</f>
        <v>ООО "ЧИСТЫЙ ГОРОД-ОМСК" 127-РДО от 01.01.2022</v>
      </c>
      <c r="D20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6" t="str">
        <f ca="1">IFERROR(__xludf.DUMMYFUNCTION("""COMPUTED_VALUE"""),"Новый")</f>
        <v>Новый</v>
      </c>
      <c r="G2056" s="68"/>
      <c r="K2056" s="68"/>
    </row>
    <row r="2057" spans="1:11" ht="12.75">
      <c r="A2057" s="69">
        <f ca="1">IFERROR(__xludf.DUMMYFUNCTION("""COMPUTED_VALUE"""),97155)</f>
        <v>97155</v>
      </c>
      <c r="B2057" s="4"/>
      <c r="C2057" t="str">
        <f ca="1">IFERROR(__xludf.DUMMYFUNCTION("""COMPUTED_VALUE"""),"ООО ""ЧИСТЫЙ ГОРОД-ОМСК"" 127-РДО от 01.01.2022")</f>
        <v>ООО "ЧИСТЫЙ ГОРОД-ОМСК" 127-РДО от 01.01.2022</v>
      </c>
      <c r="D20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7" t="str">
        <f ca="1">IFERROR(__xludf.DUMMYFUNCTION("""COMPUTED_VALUE"""),"Новый")</f>
        <v>Новый</v>
      </c>
      <c r="G2057" s="68"/>
      <c r="K2057" s="68"/>
    </row>
    <row r="2058" spans="1:11" ht="12.75">
      <c r="A2058" s="69">
        <f ca="1">IFERROR(__xludf.DUMMYFUNCTION("""COMPUTED_VALUE"""),97156)</f>
        <v>97156</v>
      </c>
      <c r="B2058" s="4"/>
      <c r="C2058" t="str">
        <f ca="1">IFERROR(__xludf.DUMMYFUNCTION("""COMPUTED_VALUE"""),"ООО ""ЧИСТЫЙ ГОРОД-ОМСК"" 127-РДО от 01.01.2022")</f>
        <v>ООО "ЧИСТЫЙ ГОРОД-ОМСК" 127-РДО от 01.01.2022</v>
      </c>
      <c r="D20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8" t="str">
        <f ca="1">IFERROR(__xludf.DUMMYFUNCTION("""COMPUTED_VALUE"""),"Новый")</f>
        <v>Новый</v>
      </c>
      <c r="G2058" s="68"/>
      <c r="K2058" s="68"/>
    </row>
    <row r="2059" spans="1:11" ht="12.75">
      <c r="A2059" s="69">
        <f ca="1">IFERROR(__xludf.DUMMYFUNCTION("""COMPUTED_VALUE"""),97157)</f>
        <v>97157</v>
      </c>
      <c r="B2059" s="4"/>
      <c r="C2059" t="str">
        <f ca="1">IFERROR(__xludf.DUMMYFUNCTION("""COMPUTED_VALUE"""),"ООО ""ЧИСТЫЙ ГОРОД-ОМСК"" 127-РДО от 01.01.2022")</f>
        <v>ООО "ЧИСТЫЙ ГОРОД-ОМСК" 127-РДО от 01.01.2022</v>
      </c>
      <c r="D20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59" t="str">
        <f ca="1">IFERROR(__xludf.DUMMYFUNCTION("""COMPUTED_VALUE"""),"Новый")</f>
        <v>Новый</v>
      </c>
      <c r="G2059" s="68"/>
      <c r="K2059" s="68"/>
    </row>
    <row r="2060" spans="1:11" ht="12.75">
      <c r="A2060" s="69">
        <f ca="1">IFERROR(__xludf.DUMMYFUNCTION("""COMPUTED_VALUE"""),97158)</f>
        <v>97158</v>
      </c>
      <c r="B2060" s="4"/>
      <c r="C2060" t="str">
        <f ca="1">IFERROR(__xludf.DUMMYFUNCTION("""COMPUTED_VALUE"""),"ООО ""ЧИСТЫЙ ГОРОД-ОМСК"" 127-РДО от 01.01.2022")</f>
        <v>ООО "ЧИСТЫЙ ГОРОД-ОМСК" 127-РДО от 01.01.2022</v>
      </c>
      <c r="D20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0" t="str">
        <f ca="1">IFERROR(__xludf.DUMMYFUNCTION("""COMPUTED_VALUE"""),"Новый")</f>
        <v>Новый</v>
      </c>
      <c r="G2060" s="68"/>
      <c r="K2060" s="68"/>
    </row>
    <row r="2061" spans="1:11" ht="12.75">
      <c r="A2061" s="69">
        <f ca="1">IFERROR(__xludf.DUMMYFUNCTION("""COMPUTED_VALUE"""),97159)</f>
        <v>97159</v>
      </c>
      <c r="B2061" s="4"/>
      <c r="C2061" t="str">
        <f ca="1">IFERROR(__xludf.DUMMYFUNCTION("""COMPUTED_VALUE"""),"ООО ""ЧИСТЫЙ ГОРОД-ОМСК"" 127-РДО от 01.01.2022")</f>
        <v>ООО "ЧИСТЫЙ ГОРОД-ОМСК" 127-РДО от 01.01.2022</v>
      </c>
      <c r="D20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1" t="str">
        <f ca="1">IFERROR(__xludf.DUMMYFUNCTION("""COMPUTED_VALUE"""),"Новый")</f>
        <v>Новый</v>
      </c>
      <c r="G2061" s="68"/>
      <c r="K2061" s="68"/>
    </row>
    <row r="2062" spans="1:11" ht="12.75">
      <c r="A2062" s="69">
        <f ca="1">IFERROR(__xludf.DUMMYFUNCTION("""COMPUTED_VALUE"""),97160)</f>
        <v>97160</v>
      </c>
      <c r="B2062" s="4"/>
      <c r="C2062" t="str">
        <f ca="1">IFERROR(__xludf.DUMMYFUNCTION("""COMPUTED_VALUE"""),"ООО ""ЧИСТЫЙ ГОРОД-ОМСК"" 127-РДО от 01.01.2022")</f>
        <v>ООО "ЧИСТЫЙ ГОРОД-ОМСК" 127-РДО от 01.01.2022</v>
      </c>
      <c r="D20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2" t="str">
        <f ca="1">IFERROR(__xludf.DUMMYFUNCTION("""COMPUTED_VALUE"""),"Новый")</f>
        <v>Новый</v>
      </c>
      <c r="G2062" s="68"/>
      <c r="K2062" s="68"/>
    </row>
    <row r="2063" spans="1:11" ht="12.75">
      <c r="A2063" s="69">
        <f ca="1">IFERROR(__xludf.DUMMYFUNCTION("""COMPUTED_VALUE"""),97161)</f>
        <v>97161</v>
      </c>
      <c r="B2063" s="4"/>
      <c r="C2063" t="str">
        <f ca="1">IFERROR(__xludf.DUMMYFUNCTION("""COMPUTED_VALUE"""),"ООО ""ЧИСТЫЙ ГОРОД-ОМСК"" 127-РДО от 01.01.2022")</f>
        <v>ООО "ЧИСТЫЙ ГОРОД-ОМСК" 127-РДО от 01.01.2022</v>
      </c>
      <c r="D20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3" t="str">
        <f ca="1">IFERROR(__xludf.DUMMYFUNCTION("""COMPUTED_VALUE"""),"Новый")</f>
        <v>Новый</v>
      </c>
      <c r="G2063" s="68"/>
      <c r="K2063" s="68"/>
    </row>
    <row r="2064" spans="1:11" ht="12.75">
      <c r="A2064" s="69">
        <f ca="1">IFERROR(__xludf.DUMMYFUNCTION("""COMPUTED_VALUE"""),97162)</f>
        <v>97162</v>
      </c>
      <c r="B2064" s="4"/>
      <c r="C2064" t="str">
        <f ca="1">IFERROR(__xludf.DUMMYFUNCTION("""COMPUTED_VALUE"""),"ООО ""ЧИСТЫЙ ГОРОД-ОМСК"" 127-РДО от 01.01.2022")</f>
        <v>ООО "ЧИСТЫЙ ГОРОД-ОМСК" 127-РДО от 01.01.2022</v>
      </c>
      <c r="D20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4" t="str">
        <f ca="1">IFERROR(__xludf.DUMMYFUNCTION("""COMPUTED_VALUE"""),"Новый")</f>
        <v>Новый</v>
      </c>
      <c r="G2064" s="68"/>
      <c r="K2064" s="68"/>
    </row>
    <row r="2065" spans="1:11" ht="12.75">
      <c r="A2065" s="69">
        <f ca="1">IFERROR(__xludf.DUMMYFUNCTION("""COMPUTED_VALUE"""),97163)</f>
        <v>97163</v>
      </c>
      <c r="B2065" s="4"/>
      <c r="C2065" t="str">
        <f ca="1">IFERROR(__xludf.DUMMYFUNCTION("""COMPUTED_VALUE"""),"ООО ""ЧИСТЫЙ ГОРОД-ОМСК"" 127-РДО от 01.01.2022")</f>
        <v>ООО "ЧИСТЫЙ ГОРОД-ОМСК" 127-РДО от 01.01.2022</v>
      </c>
      <c r="D20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5" t="str">
        <f ca="1">IFERROR(__xludf.DUMMYFUNCTION("""COMPUTED_VALUE"""),"Новый")</f>
        <v>Новый</v>
      </c>
      <c r="G2065" s="68"/>
      <c r="K2065" s="68"/>
    </row>
    <row r="2066" spans="1:11" ht="12.75">
      <c r="A2066" s="69">
        <f ca="1">IFERROR(__xludf.DUMMYFUNCTION("""COMPUTED_VALUE"""),97164)</f>
        <v>97164</v>
      </c>
      <c r="B2066" s="4"/>
      <c r="C2066" t="str">
        <f ca="1">IFERROR(__xludf.DUMMYFUNCTION("""COMPUTED_VALUE"""),"ООО ""ЧИСТЫЙ ГОРОД-ОМСК"" 127-РДО от 01.01.2022")</f>
        <v>ООО "ЧИСТЫЙ ГОРОД-ОМСК" 127-РДО от 01.01.2022</v>
      </c>
      <c r="D20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6" t="str">
        <f ca="1">IFERROR(__xludf.DUMMYFUNCTION("""COMPUTED_VALUE"""),"Новый")</f>
        <v>Новый</v>
      </c>
      <c r="G2066" s="68"/>
      <c r="K2066" s="68"/>
    </row>
    <row r="2067" spans="1:11" ht="12.75">
      <c r="A2067" s="69">
        <f ca="1">IFERROR(__xludf.DUMMYFUNCTION("""COMPUTED_VALUE"""),97165)</f>
        <v>97165</v>
      </c>
      <c r="B2067" s="4"/>
      <c r="C2067" t="str">
        <f ca="1">IFERROR(__xludf.DUMMYFUNCTION("""COMPUTED_VALUE"""),"ООО ""ЧИСТЫЙ ГОРОД-ОМСК"" 127-РДО от 01.01.2022")</f>
        <v>ООО "ЧИСТЫЙ ГОРОД-ОМСК" 127-РДО от 01.01.2022</v>
      </c>
      <c r="D20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7" t="str">
        <f ca="1">IFERROR(__xludf.DUMMYFUNCTION("""COMPUTED_VALUE"""),"Новый")</f>
        <v>Новый</v>
      </c>
      <c r="G2067" s="68"/>
      <c r="K2067" s="68"/>
    </row>
    <row r="2068" spans="1:11" ht="12.75">
      <c r="A2068" s="69">
        <f ca="1">IFERROR(__xludf.DUMMYFUNCTION("""COMPUTED_VALUE"""),97166)</f>
        <v>97166</v>
      </c>
      <c r="B2068" s="4"/>
      <c r="C2068" t="str">
        <f ca="1">IFERROR(__xludf.DUMMYFUNCTION("""COMPUTED_VALUE"""),"ООО ""ЧИСТЫЙ ГОРОД-ОМСК"" 127-РДО от 01.01.2022")</f>
        <v>ООО "ЧИСТЫЙ ГОРОД-ОМСК" 127-РДО от 01.01.2022</v>
      </c>
      <c r="D20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8" t="str">
        <f ca="1">IFERROR(__xludf.DUMMYFUNCTION("""COMPUTED_VALUE"""),"Новый")</f>
        <v>Новый</v>
      </c>
      <c r="G2068" s="68"/>
      <c r="K2068" s="68"/>
    </row>
    <row r="2069" spans="1:11" ht="12.75">
      <c r="A2069" s="69">
        <f ca="1">IFERROR(__xludf.DUMMYFUNCTION("""COMPUTED_VALUE"""),97167)</f>
        <v>97167</v>
      </c>
      <c r="B2069" s="4"/>
      <c r="C2069" t="str">
        <f ca="1">IFERROR(__xludf.DUMMYFUNCTION("""COMPUTED_VALUE"""),"ООО ""ЧИСТЫЙ ГОРОД-ОМСК"" 127-РДО от 01.01.2022")</f>
        <v>ООО "ЧИСТЫЙ ГОРОД-ОМСК" 127-РДО от 01.01.2022</v>
      </c>
      <c r="D20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69" t="str">
        <f ca="1">IFERROR(__xludf.DUMMYFUNCTION("""COMPUTED_VALUE"""),"Новый")</f>
        <v>Новый</v>
      </c>
      <c r="G2069" s="68"/>
      <c r="K2069" s="68"/>
    </row>
    <row r="2070" spans="1:11" ht="12.75">
      <c r="A2070" s="69">
        <f ca="1">IFERROR(__xludf.DUMMYFUNCTION("""COMPUTED_VALUE"""),97168)</f>
        <v>97168</v>
      </c>
      <c r="B2070" s="4"/>
      <c r="C2070" t="str">
        <f ca="1">IFERROR(__xludf.DUMMYFUNCTION("""COMPUTED_VALUE"""),"ООО ""ЧИСТЫЙ ГОРОД-ОМСК"" 127-РДО от 01.01.2022")</f>
        <v>ООО "ЧИСТЫЙ ГОРОД-ОМСК" 127-РДО от 01.01.2022</v>
      </c>
      <c r="D20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0" t="str">
        <f ca="1">IFERROR(__xludf.DUMMYFUNCTION("""COMPUTED_VALUE"""),"Новый")</f>
        <v>Новый</v>
      </c>
      <c r="G2070" s="68"/>
      <c r="K2070" s="68"/>
    </row>
    <row r="2071" spans="1:11" ht="12.75">
      <c r="A2071" s="69">
        <f ca="1">IFERROR(__xludf.DUMMYFUNCTION("""COMPUTED_VALUE"""),97169)</f>
        <v>97169</v>
      </c>
      <c r="B2071" s="4"/>
      <c r="C2071" t="str">
        <f ca="1">IFERROR(__xludf.DUMMYFUNCTION("""COMPUTED_VALUE"""),"ООО ""ЧИСТЫЙ ГОРОД-ОМСК"" 127-РДО от 01.01.2022")</f>
        <v>ООО "ЧИСТЫЙ ГОРОД-ОМСК" 127-РДО от 01.01.2022</v>
      </c>
      <c r="D20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1" t="str">
        <f ca="1">IFERROR(__xludf.DUMMYFUNCTION("""COMPUTED_VALUE"""),"Новый")</f>
        <v>Новый</v>
      </c>
      <c r="G2071" s="68"/>
      <c r="K2071" s="68"/>
    </row>
    <row r="2072" spans="1:11" ht="12.75">
      <c r="A2072" s="69">
        <f ca="1">IFERROR(__xludf.DUMMYFUNCTION("""COMPUTED_VALUE"""),97170)</f>
        <v>97170</v>
      </c>
      <c r="B2072" s="4"/>
      <c r="C2072" t="str">
        <f ca="1">IFERROR(__xludf.DUMMYFUNCTION("""COMPUTED_VALUE"""),"ООО ""ЧИСТЫЙ ГОРОД-ОМСК"" 127-РДО от 01.01.2022")</f>
        <v>ООО "ЧИСТЫЙ ГОРОД-ОМСК" 127-РДО от 01.01.2022</v>
      </c>
      <c r="D20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2" t="str">
        <f ca="1">IFERROR(__xludf.DUMMYFUNCTION("""COMPUTED_VALUE"""),"Новый")</f>
        <v>Новый</v>
      </c>
      <c r="G2072" s="68"/>
      <c r="K2072" s="68"/>
    </row>
    <row r="2073" spans="1:11" ht="12.75">
      <c r="A2073" s="69">
        <f ca="1">IFERROR(__xludf.DUMMYFUNCTION("""COMPUTED_VALUE"""),97171)</f>
        <v>97171</v>
      </c>
      <c r="B2073" s="4"/>
      <c r="C2073" t="str">
        <f ca="1">IFERROR(__xludf.DUMMYFUNCTION("""COMPUTED_VALUE"""),"ООО ""ЧИСТЫЙ ГОРОД-ОМСК"" 127-РДО от 01.01.2022")</f>
        <v>ООО "ЧИСТЫЙ ГОРОД-ОМСК" 127-РДО от 01.01.2022</v>
      </c>
      <c r="D20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3" t="str">
        <f ca="1">IFERROR(__xludf.DUMMYFUNCTION("""COMPUTED_VALUE"""),"Новый")</f>
        <v>Новый</v>
      </c>
      <c r="G2073" s="68"/>
      <c r="K2073" s="68"/>
    </row>
    <row r="2074" spans="1:11" ht="12.75">
      <c r="A2074" s="69">
        <f ca="1">IFERROR(__xludf.DUMMYFUNCTION("""COMPUTED_VALUE"""),97172)</f>
        <v>97172</v>
      </c>
      <c r="B2074" s="4"/>
      <c r="C2074" t="str">
        <f ca="1">IFERROR(__xludf.DUMMYFUNCTION("""COMPUTED_VALUE"""),"ООО ""ЧИСТЫЙ ГОРОД-ОМСК"" 127-РДО от 01.01.2022")</f>
        <v>ООО "ЧИСТЫЙ ГОРОД-ОМСК" 127-РДО от 01.01.2022</v>
      </c>
      <c r="D20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4" t="str">
        <f ca="1">IFERROR(__xludf.DUMMYFUNCTION("""COMPUTED_VALUE"""),"Новый")</f>
        <v>Новый</v>
      </c>
      <c r="G2074" s="68"/>
      <c r="K2074" s="68"/>
    </row>
    <row r="2075" spans="1:11" ht="12.75">
      <c r="A2075" s="69">
        <f ca="1">IFERROR(__xludf.DUMMYFUNCTION("""COMPUTED_VALUE"""),97173)</f>
        <v>97173</v>
      </c>
      <c r="B2075" s="4"/>
      <c r="C2075" t="str">
        <f ca="1">IFERROR(__xludf.DUMMYFUNCTION("""COMPUTED_VALUE"""),"ООО ""ЧИСТЫЙ ГОРОД-ОМСК"" 127-РДО от 01.01.2022")</f>
        <v>ООО "ЧИСТЫЙ ГОРОД-ОМСК" 127-РДО от 01.01.2022</v>
      </c>
      <c r="D20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5" t="str">
        <f ca="1">IFERROR(__xludf.DUMMYFUNCTION("""COMPUTED_VALUE"""),"Новый")</f>
        <v>Новый</v>
      </c>
      <c r="G2075" s="68"/>
      <c r="K2075" s="68"/>
    </row>
    <row r="2076" spans="1:11" ht="12.75">
      <c r="A2076" s="69">
        <f ca="1">IFERROR(__xludf.DUMMYFUNCTION("""COMPUTED_VALUE"""),97174)</f>
        <v>97174</v>
      </c>
      <c r="B2076" s="4"/>
      <c r="C2076" t="str">
        <f ca="1">IFERROR(__xludf.DUMMYFUNCTION("""COMPUTED_VALUE"""),"ООО ""ЧИСТЫЙ ГОРОД-ОМСК"" 127-РДО от 01.01.2022")</f>
        <v>ООО "ЧИСТЫЙ ГОРОД-ОМСК" 127-РДО от 01.01.2022</v>
      </c>
      <c r="D20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6" t="str">
        <f ca="1">IFERROR(__xludf.DUMMYFUNCTION("""COMPUTED_VALUE"""),"Новый")</f>
        <v>Новый</v>
      </c>
      <c r="G2076" s="68"/>
      <c r="K2076" s="68"/>
    </row>
    <row r="2077" spans="1:11" ht="12.75">
      <c r="A2077" s="69">
        <f ca="1">IFERROR(__xludf.DUMMYFUNCTION("""COMPUTED_VALUE"""),97175)</f>
        <v>97175</v>
      </c>
      <c r="B2077" s="4"/>
      <c r="C2077" t="str">
        <f ca="1">IFERROR(__xludf.DUMMYFUNCTION("""COMPUTED_VALUE"""),"ООО ""ЧИСТЫЙ ГОРОД-ОМСК"" 127-РДО от 01.01.2022")</f>
        <v>ООО "ЧИСТЫЙ ГОРОД-ОМСК" 127-РДО от 01.01.2022</v>
      </c>
      <c r="D20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7" t="str">
        <f ca="1">IFERROR(__xludf.DUMMYFUNCTION("""COMPUTED_VALUE"""),"Новый")</f>
        <v>Новый</v>
      </c>
      <c r="G2077" s="68"/>
      <c r="K2077" s="68"/>
    </row>
    <row r="2078" spans="1:11" ht="12.75">
      <c r="A2078" s="69">
        <f ca="1">IFERROR(__xludf.DUMMYFUNCTION("""COMPUTED_VALUE"""),97176)</f>
        <v>97176</v>
      </c>
      <c r="B2078" s="4"/>
      <c r="C2078" t="str">
        <f ca="1">IFERROR(__xludf.DUMMYFUNCTION("""COMPUTED_VALUE"""),"ООО ""ЧИСТЫЙ ГОРОД-ОМСК"" 127-РДО от 01.01.2022")</f>
        <v>ООО "ЧИСТЫЙ ГОРОД-ОМСК" 127-РДО от 01.01.2022</v>
      </c>
      <c r="D20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8" t="str">
        <f ca="1">IFERROR(__xludf.DUMMYFUNCTION("""COMPUTED_VALUE"""),"Новый")</f>
        <v>Новый</v>
      </c>
      <c r="G2078" s="68"/>
      <c r="K2078" s="68"/>
    </row>
    <row r="2079" spans="1:11" ht="12.75">
      <c r="A2079" s="69">
        <f ca="1">IFERROR(__xludf.DUMMYFUNCTION("""COMPUTED_VALUE"""),97177)</f>
        <v>97177</v>
      </c>
      <c r="B2079" s="4"/>
      <c r="C2079" t="str">
        <f ca="1">IFERROR(__xludf.DUMMYFUNCTION("""COMPUTED_VALUE"""),"ООО ""ЧИСТЫЙ ГОРОД-ОМСК"" 127-РДО от 01.01.2022")</f>
        <v>ООО "ЧИСТЫЙ ГОРОД-ОМСК" 127-РДО от 01.01.2022</v>
      </c>
      <c r="D20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79" t="str">
        <f ca="1">IFERROR(__xludf.DUMMYFUNCTION("""COMPUTED_VALUE"""),"Новый")</f>
        <v>Новый</v>
      </c>
      <c r="G2079" s="68"/>
      <c r="K2079" s="68"/>
    </row>
    <row r="2080" spans="1:11" ht="12.75">
      <c r="A2080" s="69">
        <f ca="1">IFERROR(__xludf.DUMMYFUNCTION("""COMPUTED_VALUE"""),97178)</f>
        <v>97178</v>
      </c>
      <c r="B2080" s="4"/>
      <c r="C2080" t="str">
        <f ca="1">IFERROR(__xludf.DUMMYFUNCTION("""COMPUTED_VALUE"""),"ООО ""ЧИСТЫЙ ГОРОД-ОМСК"" 127-РДО от 01.01.2022")</f>
        <v>ООО "ЧИСТЫЙ ГОРОД-ОМСК" 127-РДО от 01.01.2022</v>
      </c>
      <c r="D20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0" t="str">
        <f ca="1">IFERROR(__xludf.DUMMYFUNCTION("""COMPUTED_VALUE"""),"Новый")</f>
        <v>Новый</v>
      </c>
      <c r="G2080" s="68"/>
      <c r="K2080" s="68"/>
    </row>
    <row r="2081" spans="1:11" ht="12.75">
      <c r="A2081" s="69">
        <f ca="1">IFERROR(__xludf.DUMMYFUNCTION("""COMPUTED_VALUE"""),97179)</f>
        <v>97179</v>
      </c>
      <c r="B2081" s="4"/>
      <c r="C2081" t="str">
        <f ca="1">IFERROR(__xludf.DUMMYFUNCTION("""COMPUTED_VALUE"""),"ООО ""ЧИСТЫЙ ГОРОД-ОМСК"" 127-РДО от 01.01.2022")</f>
        <v>ООО "ЧИСТЫЙ ГОРОД-ОМСК" 127-РДО от 01.01.2022</v>
      </c>
      <c r="D20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1" t="str">
        <f ca="1">IFERROR(__xludf.DUMMYFUNCTION("""COMPUTED_VALUE"""),"Новый")</f>
        <v>Новый</v>
      </c>
      <c r="G2081" s="68"/>
      <c r="K2081" s="68"/>
    </row>
    <row r="2082" spans="1:11" ht="12.75">
      <c r="A2082" s="69">
        <f ca="1">IFERROR(__xludf.DUMMYFUNCTION("""COMPUTED_VALUE"""),97180)</f>
        <v>97180</v>
      </c>
      <c r="B2082" s="4"/>
      <c r="C2082" t="str">
        <f ca="1">IFERROR(__xludf.DUMMYFUNCTION("""COMPUTED_VALUE"""),"ООО ""ЧИСТЫЙ ГОРОД-ОМСК"" 127-РДО от 01.01.2022")</f>
        <v>ООО "ЧИСТЫЙ ГОРОД-ОМСК" 127-РДО от 01.01.2022</v>
      </c>
      <c r="D20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2" t="str">
        <f ca="1">IFERROR(__xludf.DUMMYFUNCTION("""COMPUTED_VALUE"""),"Новый")</f>
        <v>Новый</v>
      </c>
      <c r="G2082" s="68"/>
      <c r="K2082" s="68"/>
    </row>
    <row r="2083" spans="1:11" ht="12.75">
      <c r="A2083" s="69">
        <f ca="1">IFERROR(__xludf.DUMMYFUNCTION("""COMPUTED_VALUE"""),97181)</f>
        <v>97181</v>
      </c>
      <c r="B2083" s="4"/>
      <c r="C2083" t="str">
        <f ca="1">IFERROR(__xludf.DUMMYFUNCTION("""COMPUTED_VALUE"""),"ООО ""ЧИСТЫЙ ГОРОД-ОМСК"" 127-РДО от 01.01.2022")</f>
        <v>ООО "ЧИСТЫЙ ГОРОД-ОМСК" 127-РДО от 01.01.2022</v>
      </c>
      <c r="D20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3" t="str">
        <f ca="1">IFERROR(__xludf.DUMMYFUNCTION("""COMPUTED_VALUE"""),"Новый")</f>
        <v>Новый</v>
      </c>
      <c r="G2083" s="68"/>
      <c r="K2083" s="68"/>
    </row>
    <row r="2084" spans="1:11" ht="12.75">
      <c r="A2084" s="69">
        <f ca="1">IFERROR(__xludf.DUMMYFUNCTION("""COMPUTED_VALUE"""),97182)</f>
        <v>97182</v>
      </c>
      <c r="B2084" s="4"/>
      <c r="C2084" t="str">
        <f ca="1">IFERROR(__xludf.DUMMYFUNCTION("""COMPUTED_VALUE"""),"ООО ""ЧИСТЫЙ ГОРОД-ОМСК"" 127-РДО от 01.01.2022")</f>
        <v>ООО "ЧИСТЫЙ ГОРОД-ОМСК" 127-РДО от 01.01.2022</v>
      </c>
      <c r="D20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4" t="str">
        <f ca="1">IFERROR(__xludf.DUMMYFUNCTION("""COMPUTED_VALUE"""),"Новый")</f>
        <v>Новый</v>
      </c>
      <c r="G2084" s="68"/>
      <c r="K2084" s="68"/>
    </row>
    <row r="2085" spans="1:11" ht="12.75">
      <c r="A2085" s="69">
        <f ca="1">IFERROR(__xludf.DUMMYFUNCTION("""COMPUTED_VALUE"""),97183)</f>
        <v>97183</v>
      </c>
      <c r="B2085" s="4"/>
      <c r="C2085" t="str">
        <f ca="1">IFERROR(__xludf.DUMMYFUNCTION("""COMPUTED_VALUE"""),"ООО ""ЧИСТЫЙ ГОРОД-ОМСК"" 127-РДО от 01.01.2022")</f>
        <v>ООО "ЧИСТЫЙ ГОРОД-ОМСК" 127-РДО от 01.01.2022</v>
      </c>
      <c r="D20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5" t="str">
        <f ca="1">IFERROR(__xludf.DUMMYFUNCTION("""COMPUTED_VALUE"""),"Новый")</f>
        <v>Новый</v>
      </c>
      <c r="G2085" s="68"/>
      <c r="K2085" s="68"/>
    </row>
    <row r="2086" spans="1:11" ht="12.75">
      <c r="A2086" s="69">
        <f ca="1">IFERROR(__xludf.DUMMYFUNCTION("""COMPUTED_VALUE"""),97188)</f>
        <v>97188</v>
      </c>
      <c r="B2086" s="4">
        <f ca="1">IFERROR(__xludf.DUMMYFUNCTION("""COMPUTED_VALUE"""),44680)</f>
        <v>44680</v>
      </c>
      <c r="C2086" t="str">
        <f ca="1">IFERROR(__xludf.DUMMYFUNCTION("""COMPUTED_VALUE"""),"ООО ""ЧИСТЫЙ ГОРОД-ОМСК"" 127-РДО от 01.01.2022")</f>
        <v>ООО "ЧИСТЫЙ ГОРОД-ОМСК" 127-РДО от 01.01.2022</v>
      </c>
      <c r="D20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086" t="str">
        <f ca="1">IFERROR(__xludf.DUMMYFUNCTION("""COMPUTED_VALUE"""),"Новый")</f>
        <v>Новый</v>
      </c>
      <c r="G2086" s="68"/>
      <c r="K2086" s="68"/>
    </row>
    <row r="2087" spans="1:11" ht="12.75">
      <c r="A2087" s="69">
        <f ca="1">IFERROR(__xludf.DUMMYFUNCTION("""COMPUTED_VALUE"""),97204)</f>
        <v>97204</v>
      </c>
      <c r="B2087" s="4">
        <f ca="1">IFERROR(__xludf.DUMMYFUNCTION("""COMPUTED_VALUE"""),44680)</f>
        <v>44680</v>
      </c>
      <c r="C2087" t="str">
        <f ca="1">IFERROR(__xludf.DUMMYFUNCTION("""COMPUTED_VALUE"""),"ООО ""ТКО СЕРВИС"" 131-СТР от 20.04.2022")</f>
        <v>ООО "ТКО СЕРВИС" 131-СТР от 20.04.2022</v>
      </c>
      <c r="D20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87" t="str">
        <f ca="1">IFERROR(__xludf.DUMMYFUNCTION("""COMPUTED_VALUE"""),"Новый")</f>
        <v>Новый</v>
      </c>
      <c r="G2087" s="68"/>
      <c r="K2087" s="68"/>
    </row>
    <row r="2088" spans="1:11" ht="12.75">
      <c r="A2088" s="69">
        <f ca="1">IFERROR(__xludf.DUMMYFUNCTION("""COMPUTED_VALUE"""),97205)</f>
        <v>97205</v>
      </c>
      <c r="B2088" s="4">
        <f ca="1">IFERROR(__xludf.DUMMYFUNCTION("""COMPUTED_VALUE"""),44680)</f>
        <v>44680</v>
      </c>
      <c r="C2088" t="str">
        <f ca="1">IFERROR(__xludf.DUMMYFUNCTION("""COMPUTED_VALUE"""),"ООО ""ТКО СЕРВИС"" 131-СТР от 20.04.2022")</f>
        <v>ООО "ТКО СЕРВИС" 131-СТР от 20.04.2022</v>
      </c>
      <c r="D20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88" t="str">
        <f ca="1">IFERROR(__xludf.DUMMYFUNCTION("""COMPUTED_VALUE"""),"Новый")</f>
        <v>Новый</v>
      </c>
      <c r="G2088" s="68"/>
      <c r="K2088" s="68"/>
    </row>
    <row r="2089" spans="1:11" ht="12.75">
      <c r="A2089" s="69">
        <f ca="1">IFERROR(__xludf.DUMMYFUNCTION("""COMPUTED_VALUE"""),97206)</f>
        <v>97206</v>
      </c>
      <c r="B2089" s="4">
        <f ca="1">IFERROR(__xludf.DUMMYFUNCTION("""COMPUTED_VALUE"""),44680)</f>
        <v>44680</v>
      </c>
      <c r="C2089" t="str">
        <f ca="1">IFERROR(__xludf.DUMMYFUNCTION("""COMPUTED_VALUE"""),"ООО ""ТКО СЕРВИС"" 131-СТР от 20.04.2022")</f>
        <v>ООО "ТКО СЕРВИС" 131-СТР от 20.04.2022</v>
      </c>
      <c r="D20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89" t="str">
        <f ca="1">IFERROR(__xludf.DUMMYFUNCTION("""COMPUTED_VALUE"""),"Новый")</f>
        <v>Новый</v>
      </c>
      <c r="G2089" s="68"/>
      <c r="K2089" s="68"/>
    </row>
    <row r="2090" spans="1:11" ht="12.75">
      <c r="A2090" s="69">
        <f ca="1">IFERROR(__xludf.DUMMYFUNCTION("""COMPUTED_VALUE"""),97207)</f>
        <v>97207</v>
      </c>
      <c r="B2090" s="4">
        <f ca="1">IFERROR(__xludf.DUMMYFUNCTION("""COMPUTED_VALUE"""),44680)</f>
        <v>44680</v>
      </c>
      <c r="C2090" t="str">
        <f ca="1">IFERROR(__xludf.DUMMYFUNCTION("""COMPUTED_VALUE"""),"ООО ""ТКО СЕРВИС"" 131-СТР от 20.04.2022")</f>
        <v>ООО "ТКО СЕРВИС" 131-СТР от 20.04.2022</v>
      </c>
      <c r="D20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0" t="str">
        <f ca="1">IFERROR(__xludf.DUMMYFUNCTION("""COMPUTED_VALUE"""),"Новый")</f>
        <v>Новый</v>
      </c>
      <c r="G2090" s="68"/>
      <c r="K2090" s="68"/>
    </row>
    <row r="2091" spans="1:11" ht="12.75">
      <c r="A2091" s="69">
        <f ca="1">IFERROR(__xludf.DUMMYFUNCTION("""COMPUTED_VALUE"""),97208)</f>
        <v>97208</v>
      </c>
      <c r="B2091" s="4">
        <f ca="1">IFERROR(__xludf.DUMMYFUNCTION("""COMPUTED_VALUE"""),44680)</f>
        <v>44680</v>
      </c>
      <c r="C2091" t="str">
        <f ca="1">IFERROR(__xludf.DUMMYFUNCTION("""COMPUTED_VALUE"""),"ООО ""ТКО СЕРВИС"" 131-СТР от 20.04.2022")</f>
        <v>ООО "ТКО СЕРВИС" 131-СТР от 20.04.2022</v>
      </c>
      <c r="D20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1" t="str">
        <f ca="1">IFERROR(__xludf.DUMMYFUNCTION("""COMPUTED_VALUE"""),"Новый")</f>
        <v>Новый</v>
      </c>
      <c r="G2091" s="68"/>
      <c r="K2091" s="68"/>
    </row>
    <row r="2092" spans="1:11" ht="12.75">
      <c r="A2092" s="69">
        <f ca="1">IFERROR(__xludf.DUMMYFUNCTION("""COMPUTED_VALUE"""),97209)</f>
        <v>97209</v>
      </c>
      <c r="B2092" s="4">
        <f ca="1">IFERROR(__xludf.DUMMYFUNCTION("""COMPUTED_VALUE"""),44680)</f>
        <v>44680</v>
      </c>
      <c r="C2092" t="str">
        <f ca="1">IFERROR(__xludf.DUMMYFUNCTION("""COMPUTED_VALUE"""),"ООО ""ТКО СЕРВИС"" 131-СТР от 20.04.2022")</f>
        <v>ООО "ТКО СЕРВИС" 131-СТР от 20.04.2022</v>
      </c>
      <c r="D20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2" t="str">
        <f ca="1">IFERROR(__xludf.DUMMYFUNCTION("""COMPUTED_VALUE"""),"Новый")</f>
        <v>Новый</v>
      </c>
      <c r="G2092" s="68"/>
      <c r="K2092" s="68"/>
    </row>
    <row r="2093" spans="1:11" ht="12.75">
      <c r="A2093" s="69">
        <f ca="1">IFERROR(__xludf.DUMMYFUNCTION("""COMPUTED_VALUE"""),97210)</f>
        <v>97210</v>
      </c>
      <c r="B2093" s="4">
        <f ca="1">IFERROR(__xludf.DUMMYFUNCTION("""COMPUTED_VALUE"""),44680)</f>
        <v>44680</v>
      </c>
      <c r="C2093" t="str">
        <f ca="1">IFERROR(__xludf.DUMMYFUNCTION("""COMPUTED_VALUE"""),"ООО ""ТКО СЕРВИС"" 131-СТР от 20.04.2022")</f>
        <v>ООО "ТКО СЕРВИС" 131-СТР от 20.04.2022</v>
      </c>
      <c r="D20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3" t="str">
        <f ca="1">IFERROR(__xludf.DUMMYFUNCTION("""COMPUTED_VALUE"""),"Новый")</f>
        <v>Новый</v>
      </c>
      <c r="G2093" s="68"/>
      <c r="K2093" s="68"/>
    </row>
    <row r="2094" spans="1:11" ht="12.75">
      <c r="A2094" s="69">
        <f ca="1">IFERROR(__xludf.DUMMYFUNCTION("""COMPUTED_VALUE"""),97211)</f>
        <v>97211</v>
      </c>
      <c r="B2094" s="4">
        <f ca="1">IFERROR(__xludf.DUMMYFUNCTION("""COMPUTED_VALUE"""),44680)</f>
        <v>44680</v>
      </c>
      <c r="C2094" t="str">
        <f ca="1">IFERROR(__xludf.DUMMYFUNCTION("""COMPUTED_VALUE"""),"ООО ""ТКО СЕРВИС"" 131-СТР от 20.04.2022")</f>
        <v>ООО "ТКО СЕРВИС" 131-СТР от 20.04.2022</v>
      </c>
      <c r="D20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4" t="str">
        <f ca="1">IFERROR(__xludf.DUMMYFUNCTION("""COMPUTED_VALUE"""),"Новый")</f>
        <v>Новый</v>
      </c>
      <c r="G2094" s="68"/>
      <c r="K2094" s="68"/>
    </row>
    <row r="2095" spans="1:11" ht="12.75">
      <c r="A2095" s="69">
        <f ca="1">IFERROR(__xludf.DUMMYFUNCTION("""COMPUTED_VALUE"""),97212)</f>
        <v>97212</v>
      </c>
      <c r="B2095" s="4">
        <f ca="1">IFERROR(__xludf.DUMMYFUNCTION("""COMPUTED_VALUE"""),44680)</f>
        <v>44680</v>
      </c>
      <c r="C2095" t="str">
        <f ca="1">IFERROR(__xludf.DUMMYFUNCTION("""COMPUTED_VALUE"""),"ООО ""ТКО СЕРВИС"" 131-СТР от 20.04.2022")</f>
        <v>ООО "ТКО СЕРВИС" 131-СТР от 20.04.2022</v>
      </c>
      <c r="D20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5" t="str">
        <f ca="1">IFERROR(__xludf.DUMMYFUNCTION("""COMPUTED_VALUE"""),"Новый")</f>
        <v>Новый</v>
      </c>
      <c r="G2095" s="68"/>
      <c r="K2095" s="68"/>
    </row>
    <row r="2096" spans="1:11" ht="12.75">
      <c r="A2096" s="69">
        <f ca="1">IFERROR(__xludf.DUMMYFUNCTION("""COMPUTED_VALUE"""),97213)</f>
        <v>97213</v>
      </c>
      <c r="B2096" s="4">
        <f ca="1">IFERROR(__xludf.DUMMYFUNCTION("""COMPUTED_VALUE"""),44680)</f>
        <v>44680</v>
      </c>
      <c r="C2096" t="str">
        <f ca="1">IFERROR(__xludf.DUMMYFUNCTION("""COMPUTED_VALUE"""),"ООО ""ТКО СЕРВИС"" 131-СТР от 20.04.2022")</f>
        <v>ООО "ТКО СЕРВИС" 131-СТР от 20.04.2022</v>
      </c>
      <c r="D20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6" t="str">
        <f ca="1">IFERROR(__xludf.DUMMYFUNCTION("""COMPUTED_VALUE"""),"Новый")</f>
        <v>Новый</v>
      </c>
      <c r="G2096" s="68"/>
      <c r="K2096" s="68"/>
    </row>
    <row r="2097" spans="1:11" ht="12.75">
      <c r="A2097" s="69">
        <f ca="1">IFERROR(__xludf.DUMMYFUNCTION("""COMPUTED_VALUE"""),97214)</f>
        <v>97214</v>
      </c>
      <c r="B2097" s="4">
        <f ca="1">IFERROR(__xludf.DUMMYFUNCTION("""COMPUTED_VALUE"""),44680)</f>
        <v>44680</v>
      </c>
      <c r="C2097" t="str">
        <f ca="1">IFERROR(__xludf.DUMMYFUNCTION("""COMPUTED_VALUE"""),"ООО ""ТКО СЕРВИС"" 131-СТР от 20.04.2022")</f>
        <v>ООО "ТКО СЕРВИС" 131-СТР от 20.04.2022</v>
      </c>
      <c r="D20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7" t="str">
        <f ca="1">IFERROR(__xludf.DUMMYFUNCTION("""COMPUTED_VALUE"""),"Новый")</f>
        <v>Новый</v>
      </c>
      <c r="G2097" s="68"/>
      <c r="K2097" s="68"/>
    </row>
    <row r="2098" spans="1:11" ht="12.75">
      <c r="A2098" s="69">
        <f ca="1">IFERROR(__xludf.DUMMYFUNCTION("""COMPUTED_VALUE"""),97215)</f>
        <v>97215</v>
      </c>
      <c r="B2098" s="4">
        <f ca="1">IFERROR(__xludf.DUMMYFUNCTION("""COMPUTED_VALUE"""),44680)</f>
        <v>44680</v>
      </c>
      <c r="C2098" t="str">
        <f ca="1">IFERROR(__xludf.DUMMYFUNCTION("""COMPUTED_VALUE"""),"ООО ""ТКО СЕРВИС"" 131-СТР от 20.04.2022")</f>
        <v>ООО "ТКО СЕРВИС" 131-СТР от 20.04.2022</v>
      </c>
      <c r="D20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8" t="str">
        <f ca="1">IFERROR(__xludf.DUMMYFUNCTION("""COMPUTED_VALUE"""),"Новый")</f>
        <v>Новый</v>
      </c>
      <c r="G2098" s="68"/>
      <c r="K2098" s="68"/>
    </row>
    <row r="2099" spans="1:11" ht="12.75">
      <c r="A2099" s="69">
        <f ca="1">IFERROR(__xludf.DUMMYFUNCTION("""COMPUTED_VALUE"""),97216)</f>
        <v>97216</v>
      </c>
      <c r="B2099" s="4">
        <f ca="1">IFERROR(__xludf.DUMMYFUNCTION("""COMPUTED_VALUE"""),44680)</f>
        <v>44680</v>
      </c>
      <c r="C2099" t="str">
        <f ca="1">IFERROR(__xludf.DUMMYFUNCTION("""COMPUTED_VALUE"""),"ООО ""ТКО СЕРВИС"" 131-СТР от 20.04.2022")</f>
        <v>ООО "ТКО СЕРВИС" 131-СТР от 20.04.2022</v>
      </c>
      <c r="D20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099" t="str">
        <f ca="1">IFERROR(__xludf.DUMMYFUNCTION("""COMPUTED_VALUE"""),"Новый")</f>
        <v>Новый</v>
      </c>
      <c r="G2099" s="68"/>
      <c r="K2099" s="68"/>
    </row>
    <row r="2100" spans="1:11" ht="12.75">
      <c r="A2100" s="69">
        <f ca="1">IFERROR(__xludf.DUMMYFUNCTION("""COMPUTED_VALUE"""),97217)</f>
        <v>97217</v>
      </c>
      <c r="B2100" s="4">
        <f ca="1">IFERROR(__xludf.DUMMYFUNCTION("""COMPUTED_VALUE"""),44680)</f>
        <v>44680</v>
      </c>
      <c r="C2100" t="str">
        <f ca="1">IFERROR(__xludf.DUMMYFUNCTION("""COMPUTED_VALUE"""),"ООО ""ТКО СЕРВИС"" 131-СТР от 20.04.2022")</f>
        <v>ООО "ТКО СЕРВИС" 131-СТР от 20.04.2022</v>
      </c>
      <c r="D21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0" t="str">
        <f ca="1">IFERROR(__xludf.DUMMYFUNCTION("""COMPUTED_VALUE"""),"Новый")</f>
        <v>Новый</v>
      </c>
      <c r="G2100" s="68"/>
      <c r="K2100" s="68"/>
    </row>
    <row r="2101" spans="1:11" ht="12.75">
      <c r="A2101" s="69">
        <f ca="1">IFERROR(__xludf.DUMMYFUNCTION("""COMPUTED_VALUE"""),97218)</f>
        <v>97218</v>
      </c>
      <c r="B2101" s="4">
        <f ca="1">IFERROR(__xludf.DUMMYFUNCTION("""COMPUTED_VALUE"""),44680)</f>
        <v>44680</v>
      </c>
      <c r="C2101" t="str">
        <f ca="1">IFERROR(__xludf.DUMMYFUNCTION("""COMPUTED_VALUE"""),"ООО ""ТКО СЕРВИС"" 131-СТР от 20.04.2022")</f>
        <v>ООО "ТКО СЕРВИС" 131-СТР от 20.04.2022</v>
      </c>
      <c r="D21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1" t="str">
        <f ca="1">IFERROR(__xludf.DUMMYFUNCTION("""COMPUTED_VALUE"""),"Новый")</f>
        <v>Новый</v>
      </c>
      <c r="G2101" s="68"/>
      <c r="K2101" s="68"/>
    </row>
    <row r="2102" spans="1:11" ht="12.75">
      <c r="A2102" s="69">
        <f ca="1">IFERROR(__xludf.DUMMYFUNCTION("""COMPUTED_VALUE"""),97219)</f>
        <v>97219</v>
      </c>
      <c r="B2102" s="4">
        <f ca="1">IFERROR(__xludf.DUMMYFUNCTION("""COMPUTED_VALUE"""),44680)</f>
        <v>44680</v>
      </c>
      <c r="C2102" t="str">
        <f ca="1">IFERROR(__xludf.DUMMYFUNCTION("""COMPUTED_VALUE"""),"ООО ""ТКО СЕРВИС"" 131-СТР от 20.04.2022")</f>
        <v>ООО "ТКО СЕРВИС" 131-СТР от 20.04.2022</v>
      </c>
      <c r="D21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2" t="str">
        <f ca="1">IFERROR(__xludf.DUMMYFUNCTION("""COMPUTED_VALUE"""),"Новый")</f>
        <v>Новый</v>
      </c>
      <c r="G2102" s="68"/>
      <c r="K2102" s="68"/>
    </row>
    <row r="2103" spans="1:11" ht="12.75">
      <c r="A2103" s="69">
        <f ca="1">IFERROR(__xludf.DUMMYFUNCTION("""COMPUTED_VALUE"""),97220)</f>
        <v>97220</v>
      </c>
      <c r="B2103" s="4">
        <f ca="1">IFERROR(__xludf.DUMMYFUNCTION("""COMPUTED_VALUE"""),44680)</f>
        <v>44680</v>
      </c>
      <c r="C2103" t="str">
        <f ca="1">IFERROR(__xludf.DUMMYFUNCTION("""COMPUTED_VALUE"""),"ООО ""ТКО СЕРВИС"" 131-СТР от 20.04.2022")</f>
        <v>ООО "ТКО СЕРВИС" 131-СТР от 20.04.2022</v>
      </c>
      <c r="D21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3" t="str">
        <f ca="1">IFERROR(__xludf.DUMMYFUNCTION("""COMPUTED_VALUE"""),"Новый")</f>
        <v>Новый</v>
      </c>
      <c r="G2103" s="68"/>
      <c r="K2103" s="68"/>
    </row>
    <row r="2104" spans="1:11" ht="12.75">
      <c r="A2104" s="69">
        <f ca="1">IFERROR(__xludf.DUMMYFUNCTION("""COMPUTED_VALUE"""),97221)</f>
        <v>97221</v>
      </c>
      <c r="B2104" s="4">
        <f ca="1">IFERROR(__xludf.DUMMYFUNCTION("""COMPUTED_VALUE"""),44680)</f>
        <v>44680</v>
      </c>
      <c r="C2104" t="str">
        <f ca="1">IFERROR(__xludf.DUMMYFUNCTION("""COMPUTED_VALUE"""),"ООО ""ТКО СЕРВИС"" 131-СТР от 20.04.2022")</f>
        <v>ООО "ТКО СЕРВИС" 131-СТР от 20.04.2022</v>
      </c>
      <c r="D21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4" t="str">
        <f ca="1">IFERROR(__xludf.DUMMYFUNCTION("""COMPUTED_VALUE"""),"Новый")</f>
        <v>Новый</v>
      </c>
      <c r="G2104" s="68"/>
      <c r="K2104" s="68"/>
    </row>
    <row r="2105" spans="1:11" ht="12.75">
      <c r="A2105" s="69">
        <f ca="1">IFERROR(__xludf.DUMMYFUNCTION("""COMPUTED_VALUE"""),97222)</f>
        <v>97222</v>
      </c>
      <c r="B2105" s="4">
        <f ca="1">IFERROR(__xludf.DUMMYFUNCTION("""COMPUTED_VALUE"""),44680)</f>
        <v>44680</v>
      </c>
      <c r="C2105" t="str">
        <f ca="1">IFERROR(__xludf.DUMMYFUNCTION("""COMPUTED_VALUE"""),"ООО ""ТКО СЕРВИС"" 131-СТР от 20.04.2022")</f>
        <v>ООО "ТКО СЕРВИС" 131-СТР от 20.04.2022</v>
      </c>
      <c r="D21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5" t="str">
        <f ca="1">IFERROR(__xludf.DUMMYFUNCTION("""COMPUTED_VALUE"""),"Новый")</f>
        <v>Новый</v>
      </c>
      <c r="G2105" s="68"/>
      <c r="K2105" s="68"/>
    </row>
    <row r="2106" spans="1:11" ht="12.75">
      <c r="A2106" s="69">
        <f ca="1">IFERROR(__xludf.DUMMYFUNCTION("""COMPUTED_VALUE"""),97223)</f>
        <v>97223</v>
      </c>
      <c r="B2106" s="4">
        <f ca="1">IFERROR(__xludf.DUMMYFUNCTION("""COMPUTED_VALUE"""),44680)</f>
        <v>44680</v>
      </c>
      <c r="C2106" t="str">
        <f ca="1">IFERROR(__xludf.DUMMYFUNCTION("""COMPUTED_VALUE"""),"ООО ""ТКО СЕРВИС"" 131-СТР от 20.04.2022")</f>
        <v>ООО "ТКО СЕРВИС" 131-СТР от 20.04.2022</v>
      </c>
      <c r="D21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6" t="str">
        <f ca="1">IFERROR(__xludf.DUMMYFUNCTION("""COMPUTED_VALUE"""),"Новый")</f>
        <v>Новый</v>
      </c>
      <c r="G2106" s="68"/>
      <c r="K2106" s="68"/>
    </row>
    <row r="2107" spans="1:11" ht="12.75">
      <c r="A2107" s="69">
        <f ca="1">IFERROR(__xludf.DUMMYFUNCTION("""COMPUTED_VALUE"""),97224)</f>
        <v>97224</v>
      </c>
      <c r="B2107" s="4">
        <f ca="1">IFERROR(__xludf.DUMMYFUNCTION("""COMPUTED_VALUE"""),44680)</f>
        <v>44680</v>
      </c>
      <c r="C2107" t="str">
        <f ca="1">IFERROR(__xludf.DUMMYFUNCTION("""COMPUTED_VALUE"""),"ООО ""ТКО СЕРВИС"" 131-СТР от 20.04.2022")</f>
        <v>ООО "ТКО СЕРВИС" 131-СТР от 20.04.2022</v>
      </c>
      <c r="D21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7" t="str">
        <f ca="1">IFERROR(__xludf.DUMMYFUNCTION("""COMPUTED_VALUE"""),"Новый")</f>
        <v>Новый</v>
      </c>
      <c r="G2107" s="68"/>
      <c r="K2107" s="68"/>
    </row>
    <row r="2108" spans="1:11" ht="12.75">
      <c r="A2108" s="69">
        <f ca="1">IFERROR(__xludf.DUMMYFUNCTION("""COMPUTED_VALUE"""),97225)</f>
        <v>97225</v>
      </c>
      <c r="B2108" s="4">
        <f ca="1">IFERROR(__xludf.DUMMYFUNCTION("""COMPUTED_VALUE"""),44680)</f>
        <v>44680</v>
      </c>
      <c r="C2108" t="str">
        <f ca="1">IFERROR(__xludf.DUMMYFUNCTION("""COMPUTED_VALUE"""),"ООО ""ТКО СЕРВИС"" 131-СТР от 20.04.2022")</f>
        <v>ООО "ТКО СЕРВИС" 131-СТР от 20.04.2022</v>
      </c>
      <c r="D21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8" t="str">
        <f ca="1">IFERROR(__xludf.DUMMYFUNCTION("""COMPUTED_VALUE"""),"Новый")</f>
        <v>Новый</v>
      </c>
      <c r="G2108" s="68"/>
      <c r="K2108" s="68"/>
    </row>
    <row r="2109" spans="1:11" ht="12.75">
      <c r="A2109" s="69">
        <f ca="1">IFERROR(__xludf.DUMMYFUNCTION("""COMPUTED_VALUE"""),97226)</f>
        <v>97226</v>
      </c>
      <c r="B2109" s="4">
        <f ca="1">IFERROR(__xludf.DUMMYFUNCTION("""COMPUTED_VALUE"""),44680)</f>
        <v>44680</v>
      </c>
      <c r="C2109" t="str">
        <f ca="1">IFERROR(__xludf.DUMMYFUNCTION("""COMPUTED_VALUE"""),"ООО ""ТКО СЕРВИС"" 131-СТР от 20.04.2022")</f>
        <v>ООО "ТКО СЕРВИС" 131-СТР от 20.04.2022</v>
      </c>
      <c r="D21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09" t="str">
        <f ca="1">IFERROR(__xludf.DUMMYFUNCTION("""COMPUTED_VALUE"""),"Новый")</f>
        <v>Новый</v>
      </c>
      <c r="G2109" s="68"/>
      <c r="K2109" s="68"/>
    </row>
    <row r="2110" spans="1:11" ht="12.75">
      <c r="A2110" s="69">
        <f ca="1">IFERROR(__xludf.DUMMYFUNCTION("""COMPUTED_VALUE"""),97227)</f>
        <v>97227</v>
      </c>
      <c r="B2110" s="4">
        <f ca="1">IFERROR(__xludf.DUMMYFUNCTION("""COMPUTED_VALUE"""),44680)</f>
        <v>44680</v>
      </c>
      <c r="C2110" t="str">
        <f ca="1">IFERROR(__xludf.DUMMYFUNCTION("""COMPUTED_VALUE"""),"ООО ""ТКО СЕРВИС"" 131-СТР от 20.04.2022")</f>
        <v>ООО "ТКО СЕРВИС" 131-СТР от 20.04.2022</v>
      </c>
      <c r="D21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0" t="str">
        <f ca="1">IFERROR(__xludf.DUMMYFUNCTION("""COMPUTED_VALUE"""),"Новый")</f>
        <v>Новый</v>
      </c>
      <c r="G2110" s="68"/>
      <c r="K2110" s="68"/>
    </row>
    <row r="2111" spans="1:11" ht="12.75">
      <c r="A2111" s="69">
        <f ca="1">IFERROR(__xludf.DUMMYFUNCTION("""COMPUTED_VALUE"""),97228)</f>
        <v>97228</v>
      </c>
      <c r="B2111" s="4">
        <f ca="1">IFERROR(__xludf.DUMMYFUNCTION("""COMPUTED_VALUE"""),44680)</f>
        <v>44680</v>
      </c>
      <c r="C2111" t="str">
        <f ca="1">IFERROR(__xludf.DUMMYFUNCTION("""COMPUTED_VALUE"""),"ООО ""ТКО СЕРВИС"" 131-СТР от 20.04.2022")</f>
        <v>ООО "ТКО СЕРВИС" 131-СТР от 20.04.2022</v>
      </c>
      <c r="D21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1" t="str">
        <f ca="1">IFERROR(__xludf.DUMMYFUNCTION("""COMPUTED_VALUE"""),"Новый")</f>
        <v>Новый</v>
      </c>
      <c r="G2111" s="68"/>
      <c r="K2111" s="68"/>
    </row>
    <row r="2112" spans="1:11" ht="12.75">
      <c r="A2112" s="69">
        <f ca="1">IFERROR(__xludf.DUMMYFUNCTION("""COMPUTED_VALUE"""),97229)</f>
        <v>97229</v>
      </c>
      <c r="B2112" s="4">
        <f ca="1">IFERROR(__xludf.DUMMYFUNCTION("""COMPUTED_VALUE"""),44680)</f>
        <v>44680</v>
      </c>
      <c r="C2112" t="str">
        <f ca="1">IFERROR(__xludf.DUMMYFUNCTION("""COMPUTED_VALUE"""),"ООО ""ТКО СЕРВИС"" 131-СТР от 20.04.2022")</f>
        <v>ООО "ТКО СЕРВИС" 131-СТР от 20.04.2022</v>
      </c>
      <c r="D21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2" t="str">
        <f ca="1">IFERROR(__xludf.DUMMYFUNCTION("""COMPUTED_VALUE"""),"Новый")</f>
        <v>Новый</v>
      </c>
      <c r="G2112" s="68"/>
      <c r="K2112" s="68"/>
    </row>
    <row r="2113" spans="1:11" ht="12.75">
      <c r="A2113" s="69">
        <f ca="1">IFERROR(__xludf.DUMMYFUNCTION("""COMPUTED_VALUE"""),97230)</f>
        <v>97230</v>
      </c>
      <c r="B2113" s="4">
        <f ca="1">IFERROR(__xludf.DUMMYFUNCTION("""COMPUTED_VALUE"""),44680)</f>
        <v>44680</v>
      </c>
      <c r="C2113" t="str">
        <f ca="1">IFERROR(__xludf.DUMMYFUNCTION("""COMPUTED_VALUE"""),"ООО ""ТКО СЕРВИС"" 131-СТР от 20.04.2022")</f>
        <v>ООО "ТКО СЕРВИС" 131-СТР от 20.04.2022</v>
      </c>
      <c r="D21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3" t="str">
        <f ca="1">IFERROR(__xludf.DUMMYFUNCTION("""COMPUTED_VALUE"""),"Новый")</f>
        <v>Новый</v>
      </c>
      <c r="G2113" s="68"/>
      <c r="K2113" s="68"/>
    </row>
    <row r="2114" spans="1:11" ht="12.75">
      <c r="A2114" s="69">
        <f ca="1">IFERROR(__xludf.DUMMYFUNCTION("""COMPUTED_VALUE"""),97231)</f>
        <v>97231</v>
      </c>
      <c r="B2114" s="4">
        <f ca="1">IFERROR(__xludf.DUMMYFUNCTION("""COMPUTED_VALUE"""),44680)</f>
        <v>44680</v>
      </c>
      <c r="C2114" t="str">
        <f ca="1">IFERROR(__xludf.DUMMYFUNCTION("""COMPUTED_VALUE"""),"ООО ""ТКО СЕРВИС"" 131-СТР от 20.04.2022")</f>
        <v>ООО "ТКО СЕРВИС" 131-СТР от 20.04.2022</v>
      </c>
      <c r="D21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4" t="str">
        <f ca="1">IFERROR(__xludf.DUMMYFUNCTION("""COMPUTED_VALUE"""),"Новый")</f>
        <v>Новый</v>
      </c>
      <c r="G2114" s="68"/>
      <c r="K2114" s="68"/>
    </row>
    <row r="2115" spans="1:11" ht="12.75">
      <c r="A2115" s="69">
        <f ca="1">IFERROR(__xludf.DUMMYFUNCTION("""COMPUTED_VALUE"""),97236)</f>
        <v>97236</v>
      </c>
      <c r="B2115" s="4">
        <f ca="1">IFERROR(__xludf.DUMMYFUNCTION("""COMPUTED_VALUE"""),44680)</f>
        <v>44680</v>
      </c>
      <c r="C2115" t="str">
        <f ca="1">IFERROR(__xludf.DUMMYFUNCTION("""COMPUTED_VALUE"""),"ООО ""ТКО СЕРВИС"" 131-СТР от 20.04.2022")</f>
        <v>ООО "ТКО СЕРВИС" 131-СТР от 20.04.2022</v>
      </c>
      <c r="D21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5" t="str">
        <f ca="1">IFERROR(__xludf.DUMMYFUNCTION("""COMPUTED_VALUE"""),"Новый")</f>
        <v>Новый</v>
      </c>
      <c r="G2115" s="68"/>
      <c r="K2115" s="68"/>
    </row>
    <row r="2116" spans="1:11" ht="12.75">
      <c r="A2116" s="69">
        <f ca="1">IFERROR(__xludf.DUMMYFUNCTION("""COMPUTED_VALUE"""),97237)</f>
        <v>97237</v>
      </c>
      <c r="B2116" s="4">
        <f ca="1">IFERROR(__xludf.DUMMYFUNCTION("""COMPUTED_VALUE"""),44680)</f>
        <v>44680</v>
      </c>
      <c r="C2116" t="str">
        <f ca="1">IFERROR(__xludf.DUMMYFUNCTION("""COMPUTED_VALUE"""),"ООО ""ТКО СЕРВИС"" 131-СТР от 20.04.2022")</f>
        <v>ООО "ТКО СЕРВИС" 131-СТР от 20.04.2022</v>
      </c>
      <c r="D21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16" t="str">
        <f ca="1">IFERROR(__xludf.DUMMYFUNCTION("""COMPUTED_VALUE"""),"Новый")</f>
        <v>Новый</v>
      </c>
      <c r="G2116" s="68"/>
      <c r="K2116" s="68"/>
    </row>
    <row r="2117" spans="1:11" ht="12.75">
      <c r="A2117" s="69">
        <f ca="1">IFERROR(__xludf.DUMMYFUNCTION("""COMPUTED_VALUE"""),97248)</f>
        <v>97248</v>
      </c>
      <c r="B2117" s="4">
        <f ca="1">IFERROR(__xludf.DUMMYFUNCTION("""COMPUTED_VALUE"""),44680)</f>
        <v>44680</v>
      </c>
      <c r="C2117" t="str">
        <f ca="1">IFERROR(__xludf.DUMMYFUNCTION("""COMPUTED_VALUE"""),"ООО ""ТКО СЕРВИС"" 162-РДО от 20.04.2022")</f>
        <v>ООО "ТКО СЕРВИС" 162-РДО от 20.04.2022</v>
      </c>
      <c r="D21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17" t="str">
        <f ca="1">IFERROR(__xludf.DUMMYFUNCTION("""COMPUTED_VALUE"""),"Новый")</f>
        <v>Новый</v>
      </c>
      <c r="G2117" s="68"/>
      <c r="K2117" s="68"/>
    </row>
    <row r="2118" spans="1:11" ht="12.75">
      <c r="A2118" s="69">
        <f ca="1">IFERROR(__xludf.DUMMYFUNCTION("""COMPUTED_VALUE"""),97249)</f>
        <v>97249</v>
      </c>
      <c r="B2118" s="4">
        <f ca="1">IFERROR(__xludf.DUMMYFUNCTION("""COMPUTED_VALUE"""),44680)</f>
        <v>44680</v>
      </c>
      <c r="C2118" t="str">
        <f ca="1">IFERROR(__xludf.DUMMYFUNCTION("""COMPUTED_VALUE"""),"ООО ""ТКО СЕРВИС"" 162-РДО от 20.04.2022")</f>
        <v>ООО "ТКО СЕРВИС" 162-РДО от 20.04.2022</v>
      </c>
      <c r="D21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18" t="str">
        <f ca="1">IFERROR(__xludf.DUMMYFUNCTION("""COMPUTED_VALUE"""),"Новый")</f>
        <v>Новый</v>
      </c>
      <c r="G2118" s="68"/>
      <c r="K2118" s="68"/>
    </row>
    <row r="2119" spans="1:11" ht="12.75">
      <c r="A2119" s="69">
        <f ca="1">IFERROR(__xludf.DUMMYFUNCTION("""COMPUTED_VALUE"""),97250)</f>
        <v>97250</v>
      </c>
      <c r="B2119" s="4">
        <f ca="1">IFERROR(__xludf.DUMMYFUNCTION("""COMPUTED_VALUE"""),44680)</f>
        <v>44680</v>
      </c>
      <c r="C2119" t="str">
        <f ca="1">IFERROR(__xludf.DUMMYFUNCTION("""COMPUTED_VALUE"""),"ООО ""ТКО СЕРВИС"" 162-РДО от 20.04.2022")</f>
        <v>ООО "ТКО СЕРВИС" 162-РДО от 20.04.2022</v>
      </c>
      <c r="D21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19" t="str">
        <f ca="1">IFERROR(__xludf.DUMMYFUNCTION("""COMPUTED_VALUE"""),"Новый")</f>
        <v>Новый</v>
      </c>
      <c r="G2119" s="68"/>
      <c r="K2119" s="68"/>
    </row>
    <row r="2120" spans="1:11" ht="12.75">
      <c r="A2120" s="69">
        <f ca="1">IFERROR(__xludf.DUMMYFUNCTION("""COMPUTED_VALUE"""),97251)</f>
        <v>97251</v>
      </c>
      <c r="B2120" s="4">
        <f ca="1">IFERROR(__xludf.DUMMYFUNCTION("""COMPUTED_VALUE"""),44680)</f>
        <v>44680</v>
      </c>
      <c r="C2120" t="str">
        <f ca="1">IFERROR(__xludf.DUMMYFUNCTION("""COMPUTED_VALUE"""),"ООО ""ТКО СЕРВИС"" 162-РДО от 20.04.2022")</f>
        <v>ООО "ТКО СЕРВИС" 162-РДО от 20.04.2022</v>
      </c>
      <c r="D21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0" t="str">
        <f ca="1">IFERROR(__xludf.DUMMYFUNCTION("""COMPUTED_VALUE"""),"Новый")</f>
        <v>Новый</v>
      </c>
      <c r="G2120" s="68"/>
      <c r="K2120" s="68"/>
    </row>
    <row r="2121" spans="1:11" ht="12.75">
      <c r="A2121" s="69">
        <f ca="1">IFERROR(__xludf.DUMMYFUNCTION("""COMPUTED_VALUE"""),97252)</f>
        <v>97252</v>
      </c>
      <c r="B2121" s="4">
        <f ca="1">IFERROR(__xludf.DUMMYFUNCTION("""COMPUTED_VALUE"""),44680)</f>
        <v>44680</v>
      </c>
      <c r="C2121" t="str">
        <f ca="1">IFERROR(__xludf.DUMMYFUNCTION("""COMPUTED_VALUE"""),"ООО ""ТКО СЕРВИС"" 162-РДО от 20.04.2022")</f>
        <v>ООО "ТКО СЕРВИС" 162-РДО от 20.04.2022</v>
      </c>
      <c r="D21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1" t="str">
        <f ca="1">IFERROR(__xludf.DUMMYFUNCTION("""COMPUTED_VALUE"""),"Новый")</f>
        <v>Новый</v>
      </c>
      <c r="G2121" s="68"/>
      <c r="K2121" s="68"/>
    </row>
    <row r="2122" spans="1:11" ht="12.75">
      <c r="A2122" s="69">
        <f ca="1">IFERROR(__xludf.DUMMYFUNCTION("""COMPUTED_VALUE"""),97253)</f>
        <v>97253</v>
      </c>
      <c r="B2122" s="4">
        <f ca="1">IFERROR(__xludf.DUMMYFUNCTION("""COMPUTED_VALUE"""),44680)</f>
        <v>44680</v>
      </c>
      <c r="C2122" t="str">
        <f ca="1">IFERROR(__xludf.DUMMYFUNCTION("""COMPUTED_VALUE"""),"ООО ""ТКО СЕРВИС"" 162-РДО от 20.04.2022")</f>
        <v>ООО "ТКО СЕРВИС" 162-РДО от 20.04.2022</v>
      </c>
      <c r="D21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2" t="str">
        <f ca="1">IFERROR(__xludf.DUMMYFUNCTION("""COMPUTED_VALUE"""),"Новый")</f>
        <v>Новый</v>
      </c>
      <c r="G2122" s="68"/>
      <c r="K2122" s="68"/>
    </row>
    <row r="2123" spans="1:11" ht="12.75">
      <c r="A2123" s="69">
        <f ca="1">IFERROR(__xludf.DUMMYFUNCTION("""COMPUTED_VALUE"""),97254)</f>
        <v>97254</v>
      </c>
      <c r="B2123" s="4">
        <f ca="1">IFERROR(__xludf.DUMMYFUNCTION("""COMPUTED_VALUE"""),44680)</f>
        <v>44680</v>
      </c>
      <c r="C2123" t="str">
        <f ca="1">IFERROR(__xludf.DUMMYFUNCTION("""COMPUTED_VALUE"""),"ООО ""ТКО СЕРВИС"" 162-РДО от 20.04.2022")</f>
        <v>ООО "ТКО СЕРВИС" 162-РДО от 20.04.2022</v>
      </c>
      <c r="D21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3" t="str">
        <f ca="1">IFERROR(__xludf.DUMMYFUNCTION("""COMPUTED_VALUE"""),"Новый")</f>
        <v>Новый</v>
      </c>
      <c r="G2123" s="68"/>
      <c r="K2123" s="68"/>
    </row>
    <row r="2124" spans="1:11" ht="12.75">
      <c r="A2124" s="69">
        <f ca="1">IFERROR(__xludf.DUMMYFUNCTION("""COMPUTED_VALUE"""),97255)</f>
        <v>97255</v>
      </c>
      <c r="B2124" s="4">
        <f ca="1">IFERROR(__xludf.DUMMYFUNCTION("""COMPUTED_VALUE"""),44680)</f>
        <v>44680</v>
      </c>
      <c r="C2124" t="str">
        <f ca="1">IFERROR(__xludf.DUMMYFUNCTION("""COMPUTED_VALUE"""),"ООО ""ТКО СЕРВИС"" 162-РДО от 20.04.2022")</f>
        <v>ООО "ТКО СЕРВИС" 162-РДО от 20.04.2022</v>
      </c>
      <c r="D21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4" t="str">
        <f ca="1">IFERROR(__xludf.DUMMYFUNCTION("""COMPUTED_VALUE"""),"Новый")</f>
        <v>Новый</v>
      </c>
      <c r="G2124" s="68"/>
      <c r="K2124" s="68"/>
    </row>
    <row r="2125" spans="1:11" ht="12.75">
      <c r="A2125" s="69">
        <f ca="1">IFERROR(__xludf.DUMMYFUNCTION("""COMPUTED_VALUE"""),97256)</f>
        <v>97256</v>
      </c>
      <c r="B2125" s="4">
        <f ca="1">IFERROR(__xludf.DUMMYFUNCTION("""COMPUTED_VALUE"""),44680)</f>
        <v>44680</v>
      </c>
      <c r="C2125" t="str">
        <f ca="1">IFERROR(__xludf.DUMMYFUNCTION("""COMPUTED_VALUE"""),"ООО ""ТКО СЕРВИС"" 162-РДО от 20.04.2022")</f>
        <v>ООО "ТКО СЕРВИС" 162-РДО от 20.04.2022</v>
      </c>
      <c r="D21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5" t="str">
        <f ca="1">IFERROR(__xludf.DUMMYFUNCTION("""COMPUTED_VALUE"""),"Новый")</f>
        <v>Новый</v>
      </c>
      <c r="G2125" s="68"/>
      <c r="K2125" s="68"/>
    </row>
    <row r="2126" spans="1:11" ht="12.75">
      <c r="A2126" s="69">
        <f ca="1">IFERROR(__xludf.DUMMYFUNCTION("""COMPUTED_VALUE"""),97257)</f>
        <v>97257</v>
      </c>
      <c r="B2126" s="4">
        <f ca="1">IFERROR(__xludf.DUMMYFUNCTION("""COMPUTED_VALUE"""),44680)</f>
        <v>44680</v>
      </c>
      <c r="C2126" t="str">
        <f ca="1">IFERROR(__xludf.DUMMYFUNCTION("""COMPUTED_VALUE"""),"ООО ""ТКО СЕРВИС"" 162-РДО от 20.04.2022")</f>
        <v>ООО "ТКО СЕРВИС" 162-РДО от 20.04.2022</v>
      </c>
      <c r="D21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6" t="str">
        <f ca="1">IFERROR(__xludf.DUMMYFUNCTION("""COMPUTED_VALUE"""),"Новый")</f>
        <v>Новый</v>
      </c>
      <c r="G2126" s="68"/>
      <c r="K2126" s="68"/>
    </row>
    <row r="2127" spans="1:11" ht="12.75">
      <c r="A2127" s="69">
        <f ca="1">IFERROR(__xludf.DUMMYFUNCTION("""COMPUTED_VALUE"""),97258)</f>
        <v>97258</v>
      </c>
      <c r="B2127" s="4">
        <f ca="1">IFERROR(__xludf.DUMMYFUNCTION("""COMPUTED_VALUE"""),44680)</f>
        <v>44680</v>
      </c>
      <c r="C2127" t="str">
        <f ca="1">IFERROR(__xludf.DUMMYFUNCTION("""COMPUTED_VALUE"""),"ООО ""ТКО СЕРВИС"" 162-РДО от 20.04.2022")</f>
        <v>ООО "ТКО СЕРВИС" 162-РДО от 20.04.2022</v>
      </c>
      <c r="D21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7" t="str">
        <f ca="1">IFERROR(__xludf.DUMMYFUNCTION("""COMPUTED_VALUE"""),"Новый")</f>
        <v>Новый</v>
      </c>
      <c r="G2127" s="68"/>
      <c r="K2127" s="68"/>
    </row>
    <row r="2128" spans="1:11" ht="12.75">
      <c r="A2128" s="69">
        <f ca="1">IFERROR(__xludf.DUMMYFUNCTION("""COMPUTED_VALUE"""),97259)</f>
        <v>97259</v>
      </c>
      <c r="B2128" s="4">
        <f ca="1">IFERROR(__xludf.DUMMYFUNCTION("""COMPUTED_VALUE"""),44680)</f>
        <v>44680</v>
      </c>
      <c r="C2128" t="str">
        <f ca="1">IFERROR(__xludf.DUMMYFUNCTION("""COMPUTED_VALUE"""),"ООО ""ТКО СЕРВИС"" 162-РДО от 20.04.2022")</f>
        <v>ООО "ТКО СЕРВИС" 162-РДО от 20.04.2022</v>
      </c>
      <c r="D21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8" t="str">
        <f ca="1">IFERROR(__xludf.DUMMYFUNCTION("""COMPUTED_VALUE"""),"Новый")</f>
        <v>Новый</v>
      </c>
      <c r="G2128" s="68"/>
      <c r="K2128" s="68"/>
    </row>
    <row r="2129" spans="1:11" ht="12.75">
      <c r="A2129" s="69">
        <f ca="1">IFERROR(__xludf.DUMMYFUNCTION("""COMPUTED_VALUE"""),97272)</f>
        <v>97272</v>
      </c>
      <c r="B2129" s="4">
        <f ca="1">IFERROR(__xludf.DUMMYFUNCTION("""COMPUTED_VALUE"""),44680)</f>
        <v>44680</v>
      </c>
      <c r="C2129" t="str">
        <f ca="1">IFERROR(__xludf.DUMMYFUNCTION("""COMPUTED_VALUE"""),"ООО ""ЧИСТЫЙ ГОРОД-ОМСК"" 127-РДО от 01.01.2022")</f>
        <v>ООО "ЧИСТЫЙ ГОРОД-ОМСК" 127-РДО от 01.01.2022</v>
      </c>
      <c r="D21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29" t="str">
        <f ca="1">IFERROR(__xludf.DUMMYFUNCTION("""COMPUTED_VALUE"""),"Новый")</f>
        <v>Новый</v>
      </c>
      <c r="G2129" s="68"/>
      <c r="K2129" s="68"/>
    </row>
    <row r="2130" spans="1:11" ht="12.75">
      <c r="A2130" s="69">
        <f ca="1">IFERROR(__xludf.DUMMYFUNCTION("""COMPUTED_VALUE"""),97274)</f>
        <v>97274</v>
      </c>
      <c r="B2130" s="4">
        <f ca="1">IFERROR(__xludf.DUMMYFUNCTION("""COMPUTED_VALUE"""),44680)</f>
        <v>44680</v>
      </c>
      <c r="C2130" t="str">
        <f ca="1">IFERROR(__xludf.DUMMYFUNCTION("""COMPUTED_VALUE"""),"ООО ""ЧИСТЫЙ ГОРОД-ОМСК"" 127-РДО от 01.01.2022")</f>
        <v>ООО "ЧИСТЫЙ ГОРОД-ОМСК" 127-РДО от 01.01.2022</v>
      </c>
      <c r="D21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0" t="str">
        <f ca="1">IFERROR(__xludf.DUMMYFUNCTION("""COMPUTED_VALUE"""),"Новый")</f>
        <v>Новый</v>
      </c>
      <c r="G2130" s="68"/>
      <c r="K2130" s="68"/>
    </row>
    <row r="2131" spans="1:11" ht="12.75">
      <c r="A2131" s="69">
        <f ca="1">IFERROR(__xludf.DUMMYFUNCTION("""COMPUTED_VALUE"""),97275)</f>
        <v>97275</v>
      </c>
      <c r="B2131" s="4">
        <f ca="1">IFERROR(__xludf.DUMMYFUNCTION("""COMPUTED_VALUE"""),44680)</f>
        <v>44680</v>
      </c>
      <c r="C2131" t="str">
        <f ca="1">IFERROR(__xludf.DUMMYFUNCTION("""COMPUTED_VALUE"""),"ООО ""ЧИСТЫЙ ГОРОД-ОМСК"" 127-РДО от 01.01.2022")</f>
        <v>ООО "ЧИСТЫЙ ГОРОД-ОМСК" 127-РДО от 01.01.2022</v>
      </c>
      <c r="D21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1" t="str">
        <f ca="1">IFERROR(__xludf.DUMMYFUNCTION("""COMPUTED_VALUE"""),"Новый")</f>
        <v>Новый</v>
      </c>
      <c r="G2131" s="68"/>
      <c r="K2131" s="68"/>
    </row>
    <row r="2132" spans="1:11" ht="12.75">
      <c r="A2132" s="69">
        <f ca="1">IFERROR(__xludf.DUMMYFUNCTION("""COMPUTED_VALUE"""),97277)</f>
        <v>97277</v>
      </c>
      <c r="B2132" s="4">
        <f ca="1">IFERROR(__xludf.DUMMYFUNCTION("""COMPUTED_VALUE"""),44680)</f>
        <v>44680</v>
      </c>
      <c r="C2132" t="str">
        <f ca="1">IFERROR(__xludf.DUMMYFUNCTION("""COMPUTED_VALUE"""),"ООО ""ЧИСТЫЙ ГОРОД-ОМСК"" 127-РДО от 01.01.2022")</f>
        <v>ООО "ЧИСТЫЙ ГОРОД-ОМСК" 127-РДО от 01.01.2022</v>
      </c>
      <c r="D21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2" t="str">
        <f ca="1">IFERROR(__xludf.DUMMYFUNCTION("""COMPUTED_VALUE"""),"Новый")</f>
        <v>Новый</v>
      </c>
      <c r="G2132" s="68"/>
      <c r="K2132" s="68"/>
    </row>
    <row r="2133" spans="1:11" ht="12.75">
      <c r="A2133" s="69">
        <f ca="1">IFERROR(__xludf.DUMMYFUNCTION("""COMPUTED_VALUE"""),97279)</f>
        <v>97279</v>
      </c>
      <c r="B2133" s="4">
        <f ca="1">IFERROR(__xludf.DUMMYFUNCTION("""COMPUTED_VALUE"""),44680)</f>
        <v>44680</v>
      </c>
      <c r="C2133" t="str">
        <f ca="1">IFERROR(__xludf.DUMMYFUNCTION("""COMPUTED_VALUE"""),"ООО ""ЧИСТЫЙ ГОРОД-ОМСК"" 127-РДО от 01.01.2022")</f>
        <v>ООО "ЧИСТЫЙ ГОРОД-ОМСК" 127-РДО от 01.01.2022</v>
      </c>
      <c r="D21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3" t="str">
        <f ca="1">IFERROR(__xludf.DUMMYFUNCTION("""COMPUTED_VALUE"""),"Новый")</f>
        <v>Новый</v>
      </c>
      <c r="G2133" s="68"/>
      <c r="K2133" s="68"/>
    </row>
    <row r="2134" spans="1:11" ht="12.75">
      <c r="A2134" s="69">
        <f ca="1">IFERROR(__xludf.DUMMYFUNCTION("""COMPUTED_VALUE"""),97281)</f>
        <v>97281</v>
      </c>
      <c r="B2134" s="4">
        <f ca="1">IFERROR(__xludf.DUMMYFUNCTION("""COMPUTED_VALUE"""),44680)</f>
        <v>44680</v>
      </c>
      <c r="C2134" t="str">
        <f ca="1">IFERROR(__xludf.DUMMYFUNCTION("""COMPUTED_VALUE"""),"ООО ""ЧИСТЫЙ ГОРОД-ОМСК"" 127-РДО от 01.01.2022")</f>
        <v>ООО "ЧИСТЫЙ ГОРОД-ОМСК" 127-РДО от 01.01.2022</v>
      </c>
      <c r="D21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4" t="str">
        <f ca="1">IFERROR(__xludf.DUMMYFUNCTION("""COMPUTED_VALUE"""),"Новый")</f>
        <v>Новый</v>
      </c>
      <c r="G2134" s="68"/>
      <c r="K2134" s="68"/>
    </row>
    <row r="2135" spans="1:11" ht="12.75">
      <c r="A2135" s="69">
        <f ca="1">IFERROR(__xludf.DUMMYFUNCTION("""COMPUTED_VALUE"""),97283)</f>
        <v>97283</v>
      </c>
      <c r="B2135" s="4">
        <f ca="1">IFERROR(__xludf.DUMMYFUNCTION("""COMPUTED_VALUE"""),44680)</f>
        <v>44680</v>
      </c>
      <c r="C2135" t="str">
        <f ca="1">IFERROR(__xludf.DUMMYFUNCTION("""COMPUTED_VALUE"""),"ООО ""ЧИСТЫЙ ГОРОД-ОМСК"" 127-РДО от 01.01.2022")</f>
        <v>ООО "ЧИСТЫЙ ГОРОД-ОМСК" 127-РДО от 01.01.2022</v>
      </c>
      <c r="D21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5" t="str">
        <f ca="1">IFERROR(__xludf.DUMMYFUNCTION("""COMPUTED_VALUE"""),"Новый")</f>
        <v>Новый</v>
      </c>
      <c r="G2135" s="68"/>
      <c r="K2135" s="68"/>
    </row>
    <row r="2136" spans="1:11" ht="12.75">
      <c r="A2136" s="69">
        <f ca="1">IFERROR(__xludf.DUMMYFUNCTION("""COMPUTED_VALUE"""),97287)</f>
        <v>97287</v>
      </c>
      <c r="B2136" s="4">
        <f ca="1">IFERROR(__xludf.DUMMYFUNCTION("""COMPUTED_VALUE"""),44680)</f>
        <v>44680</v>
      </c>
      <c r="C2136" t="str">
        <f ca="1">IFERROR(__xludf.DUMMYFUNCTION("""COMPUTED_VALUE"""),"ООО ""ЧИСТЫЙ ГОРОД-ОМСК"" 127-РДО от 01.01.2022")</f>
        <v>ООО "ЧИСТЫЙ ГОРОД-ОМСК" 127-РДО от 01.01.2022</v>
      </c>
      <c r="D21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6" t="str">
        <f ca="1">IFERROR(__xludf.DUMMYFUNCTION("""COMPUTED_VALUE"""),"Новый")</f>
        <v>Новый</v>
      </c>
      <c r="G2136" s="68"/>
      <c r="K2136" s="68"/>
    </row>
    <row r="2137" spans="1:11" ht="12.75">
      <c r="A2137" s="69">
        <f ca="1">IFERROR(__xludf.DUMMYFUNCTION("""COMPUTED_VALUE"""),97298)</f>
        <v>97298</v>
      </c>
      <c r="B2137" s="4">
        <f ca="1">IFERROR(__xludf.DUMMYFUNCTION("""COMPUTED_VALUE"""),44680)</f>
        <v>44680</v>
      </c>
      <c r="C2137" t="str">
        <f ca="1">IFERROR(__xludf.DUMMYFUNCTION("""COMPUTED_VALUE"""),"ООО ""ЧИСТЫЙ ГОРОД-ОМСК"" 127-РДО от 01.01.2022")</f>
        <v>ООО "ЧИСТЫЙ ГОРОД-ОМСК" 127-РДО от 01.01.2022</v>
      </c>
      <c r="D21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7" t="str">
        <f ca="1">IFERROR(__xludf.DUMMYFUNCTION("""COMPUTED_VALUE"""),"Новый")</f>
        <v>Новый</v>
      </c>
      <c r="G2137" s="68"/>
      <c r="K2137" s="68"/>
    </row>
    <row r="2138" spans="1:11" ht="12.75">
      <c r="A2138" s="69">
        <f ca="1">IFERROR(__xludf.DUMMYFUNCTION("""COMPUTED_VALUE"""),97334)</f>
        <v>97334</v>
      </c>
      <c r="B2138" s="4">
        <f ca="1">IFERROR(__xludf.DUMMYFUNCTION("""COMPUTED_VALUE"""),44685)</f>
        <v>44685</v>
      </c>
      <c r="C2138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8" t="str">
        <f ca="1">IFERROR(__xludf.DUMMYFUNCTION("""COMPUTED_VALUE"""),"Новый")</f>
        <v>Новый</v>
      </c>
      <c r="G2138" s="68"/>
      <c r="K2138" s="68"/>
    </row>
    <row r="2139" spans="1:11" ht="12.75">
      <c r="A2139" s="69">
        <f ca="1">IFERROR(__xludf.DUMMYFUNCTION("""COMPUTED_VALUE"""),97336)</f>
        <v>97336</v>
      </c>
      <c r="B2139" s="4">
        <f ca="1">IFERROR(__xludf.DUMMYFUNCTION("""COMPUTED_VALUE"""),44685)</f>
        <v>44685</v>
      </c>
      <c r="C2139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39" t="str">
        <f ca="1">IFERROR(__xludf.DUMMYFUNCTION("""COMPUTED_VALUE"""),"Новый")</f>
        <v>Новый</v>
      </c>
      <c r="G2139" s="68"/>
      <c r="K2139" s="68"/>
    </row>
    <row r="2140" spans="1:11" ht="12.75">
      <c r="A2140" s="69">
        <f ca="1">IFERROR(__xludf.DUMMYFUNCTION("""COMPUTED_VALUE"""),97337)</f>
        <v>97337</v>
      </c>
      <c r="B2140" s="4">
        <f ca="1">IFERROR(__xludf.DUMMYFUNCTION("""COMPUTED_VALUE"""),44685)</f>
        <v>44685</v>
      </c>
      <c r="C2140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0" t="str">
        <f ca="1">IFERROR(__xludf.DUMMYFUNCTION("""COMPUTED_VALUE"""),"Новый")</f>
        <v>Новый</v>
      </c>
      <c r="G2140" s="68"/>
      <c r="K2140" s="68"/>
    </row>
    <row r="2141" spans="1:11" ht="12.75">
      <c r="A2141" s="69">
        <f ca="1">IFERROR(__xludf.DUMMYFUNCTION("""COMPUTED_VALUE"""),97338)</f>
        <v>97338</v>
      </c>
      <c r="B2141" s="4">
        <f ca="1">IFERROR(__xludf.DUMMYFUNCTION("""COMPUTED_VALUE"""),44685)</f>
        <v>44685</v>
      </c>
      <c r="C2141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1" t="str">
        <f ca="1">IFERROR(__xludf.DUMMYFUNCTION("""COMPUTED_VALUE"""),"Новый")</f>
        <v>Новый</v>
      </c>
      <c r="G2141" s="68"/>
      <c r="K2141" s="68"/>
    </row>
    <row r="2142" spans="1:11" ht="12.75">
      <c r="A2142" s="69">
        <f ca="1">IFERROR(__xludf.DUMMYFUNCTION("""COMPUTED_VALUE"""),97339)</f>
        <v>97339</v>
      </c>
      <c r="B2142" s="4">
        <f ca="1">IFERROR(__xludf.DUMMYFUNCTION("""COMPUTED_VALUE"""),44685)</f>
        <v>44685</v>
      </c>
      <c r="C2142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2" t="str">
        <f ca="1">IFERROR(__xludf.DUMMYFUNCTION("""COMPUTED_VALUE"""),"Новый")</f>
        <v>Новый</v>
      </c>
      <c r="G2142" s="68"/>
      <c r="K2142" s="68"/>
    </row>
    <row r="2143" spans="1:11" ht="12.75">
      <c r="A2143" s="69">
        <f ca="1">IFERROR(__xludf.DUMMYFUNCTION("""COMPUTED_VALUE"""),97340)</f>
        <v>97340</v>
      </c>
      <c r="B2143" s="4">
        <f ca="1">IFERROR(__xludf.DUMMYFUNCTION("""COMPUTED_VALUE"""),44685)</f>
        <v>44685</v>
      </c>
      <c r="C2143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3" t="str">
        <f ca="1">IFERROR(__xludf.DUMMYFUNCTION("""COMPUTED_VALUE"""),"Новый")</f>
        <v>Новый</v>
      </c>
      <c r="G2143" s="68"/>
      <c r="K2143" s="68"/>
    </row>
    <row r="2144" spans="1:11" ht="12.75">
      <c r="A2144" s="69">
        <f ca="1">IFERROR(__xludf.DUMMYFUNCTION("""COMPUTED_VALUE"""),97341)</f>
        <v>97341</v>
      </c>
      <c r="B2144" s="4">
        <f ca="1">IFERROR(__xludf.DUMMYFUNCTION("""COMPUTED_VALUE"""),44685)</f>
        <v>44685</v>
      </c>
      <c r="C2144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4" t="str">
        <f ca="1">IFERROR(__xludf.DUMMYFUNCTION("""COMPUTED_VALUE"""),"Новый")</f>
        <v>Новый</v>
      </c>
      <c r="G2144" s="68"/>
      <c r="K2144" s="68"/>
    </row>
    <row r="2145" spans="1:11" ht="12.75">
      <c r="A2145" s="69">
        <f ca="1">IFERROR(__xludf.DUMMYFUNCTION("""COMPUTED_VALUE"""),97342)</f>
        <v>97342</v>
      </c>
      <c r="B2145" s="4">
        <f ca="1">IFERROR(__xludf.DUMMYFUNCTION("""COMPUTED_VALUE"""),44685)</f>
        <v>44685</v>
      </c>
      <c r="C2145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5" t="str">
        <f ca="1">IFERROR(__xludf.DUMMYFUNCTION("""COMPUTED_VALUE"""),"Новый")</f>
        <v>Новый</v>
      </c>
      <c r="G2145" s="68"/>
      <c r="K2145" s="68"/>
    </row>
    <row r="2146" spans="1:11" ht="12.75">
      <c r="A2146" s="69">
        <f ca="1">IFERROR(__xludf.DUMMYFUNCTION("""COMPUTED_VALUE"""),97343)</f>
        <v>97343</v>
      </c>
      <c r="B2146" s="4">
        <f ca="1">IFERROR(__xludf.DUMMYFUNCTION("""COMPUTED_VALUE"""),44685)</f>
        <v>44685</v>
      </c>
      <c r="C2146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1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46" t="str">
        <f ca="1">IFERROR(__xludf.DUMMYFUNCTION("""COMPUTED_VALUE"""),"Новый")</f>
        <v>Новый</v>
      </c>
      <c r="G2146" s="68"/>
      <c r="K2146" s="68"/>
    </row>
    <row r="2147" spans="1:11" ht="12.75">
      <c r="A2147" s="69">
        <f ca="1">IFERROR(__xludf.DUMMYFUNCTION("""COMPUTED_VALUE"""),97350)</f>
        <v>97350</v>
      </c>
      <c r="B2147" s="4">
        <f ca="1">IFERROR(__xludf.DUMMYFUNCTION("""COMPUTED_VALUE"""),44685)</f>
        <v>44685</v>
      </c>
      <c r="C2147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21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47" t="str">
        <f ca="1">IFERROR(__xludf.DUMMYFUNCTION("""COMPUTED_VALUE"""),"Новый")</f>
        <v>Новый</v>
      </c>
      <c r="G2147" s="68"/>
      <c r="K2147" s="68"/>
    </row>
    <row r="2148" spans="1:11" ht="12.75">
      <c r="A2148" s="69">
        <f ca="1">IFERROR(__xludf.DUMMYFUNCTION("""COMPUTED_VALUE"""),97351)</f>
        <v>97351</v>
      </c>
      <c r="B2148" s="4">
        <f ca="1">IFERROR(__xludf.DUMMYFUNCTION("""COMPUTED_VALUE"""),44685)</f>
        <v>44685</v>
      </c>
      <c r="C2148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21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48" t="str">
        <f ca="1">IFERROR(__xludf.DUMMYFUNCTION("""COMPUTED_VALUE"""),"Новый")</f>
        <v>Новый</v>
      </c>
      <c r="G2148" s="68"/>
      <c r="K2148" s="68"/>
    </row>
    <row r="2149" spans="1:11" ht="12.75">
      <c r="A2149" s="69">
        <f ca="1">IFERROR(__xludf.DUMMYFUNCTION("""COMPUTED_VALUE"""),97352)</f>
        <v>97352</v>
      </c>
      <c r="B2149" s="4">
        <f ca="1">IFERROR(__xludf.DUMMYFUNCTION("""COMPUTED_VALUE"""),44685)</f>
        <v>44685</v>
      </c>
      <c r="C2149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21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49" t="str">
        <f ca="1">IFERROR(__xludf.DUMMYFUNCTION("""COMPUTED_VALUE"""),"Новый")</f>
        <v>Новый</v>
      </c>
      <c r="G2149" s="68"/>
      <c r="K2149" s="68"/>
    </row>
    <row r="2150" spans="1:11" ht="12.75">
      <c r="A2150" s="69">
        <f ca="1">IFERROR(__xludf.DUMMYFUNCTION("""COMPUTED_VALUE"""),97353)</f>
        <v>97353</v>
      </c>
      <c r="B2150" s="4">
        <f ca="1">IFERROR(__xludf.DUMMYFUNCTION("""COMPUTED_VALUE"""),44685)</f>
        <v>44685</v>
      </c>
      <c r="C2150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21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0" t="str">
        <f ca="1">IFERROR(__xludf.DUMMYFUNCTION("""COMPUTED_VALUE"""),"Новый")</f>
        <v>Новый</v>
      </c>
      <c r="G2150" s="68"/>
      <c r="K2150" s="68"/>
    </row>
    <row r="2151" spans="1:11" ht="12.75">
      <c r="A2151" s="69">
        <f ca="1">IFERROR(__xludf.DUMMYFUNCTION("""COMPUTED_VALUE"""),97364)</f>
        <v>97364</v>
      </c>
      <c r="B2151" s="4">
        <f ca="1">IFERROR(__xludf.DUMMYFUNCTION("""COMPUTED_VALUE"""),44685)</f>
        <v>44685</v>
      </c>
      <c r="C2151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21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51" t="str">
        <f ca="1">IFERROR(__xludf.DUMMYFUNCTION("""COMPUTED_VALUE"""),"Новый")</f>
        <v>Новый</v>
      </c>
      <c r="G2151" s="68"/>
      <c r="K2151" s="68"/>
    </row>
    <row r="2152" spans="1:11" ht="12.75">
      <c r="A2152" s="69">
        <f ca="1">IFERROR(__xludf.DUMMYFUNCTION("""COMPUTED_VALUE"""),97365)</f>
        <v>97365</v>
      </c>
      <c r="B2152" s="4">
        <f ca="1">IFERROR(__xludf.DUMMYFUNCTION("""COMPUTED_VALUE"""),44685)</f>
        <v>44685</v>
      </c>
      <c r="C2152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21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52" t="str">
        <f ca="1">IFERROR(__xludf.DUMMYFUNCTION("""COMPUTED_VALUE"""),"Новый")</f>
        <v>Новый</v>
      </c>
      <c r="G2152" s="68"/>
      <c r="K2152" s="68"/>
    </row>
    <row r="2153" spans="1:11" ht="12.75">
      <c r="A2153" s="69">
        <f ca="1">IFERROR(__xludf.DUMMYFUNCTION("""COMPUTED_VALUE"""),97367)</f>
        <v>97367</v>
      </c>
      <c r="B2153" s="4">
        <f ca="1">IFERROR(__xludf.DUMMYFUNCTION("""COMPUTED_VALUE"""),44685)</f>
        <v>44685</v>
      </c>
      <c r="C2153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21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53" t="str">
        <f ca="1">IFERROR(__xludf.DUMMYFUNCTION("""COMPUTED_VALUE"""),"Новый")</f>
        <v>Новый</v>
      </c>
      <c r="G2153" s="68"/>
      <c r="K2153" s="68"/>
    </row>
    <row r="2154" spans="1:11" ht="12.75">
      <c r="A2154" s="69">
        <f ca="1">IFERROR(__xludf.DUMMYFUNCTION("""COMPUTED_VALUE"""),97368)</f>
        <v>97368</v>
      </c>
      <c r="B2154" s="4">
        <f ca="1">IFERROR(__xludf.DUMMYFUNCTION("""COMPUTED_VALUE"""),44685)</f>
        <v>44685</v>
      </c>
      <c r="C2154" t="str">
        <f ca="1">IFERROR(__xludf.DUMMYFUNCTION("""COMPUTED_VALUE"""),"ОАО ""Омскхлебопродукт"" дог. № 42/РДО от 29.07.20г.")</f>
        <v>ОАО "Омскхлебопродукт" дог. № 42/РДО от 29.07.20г.</v>
      </c>
      <c r="D21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54" t="str">
        <f ca="1">IFERROR(__xludf.DUMMYFUNCTION("""COMPUTED_VALUE"""),"Новый")</f>
        <v>Новый</v>
      </c>
      <c r="G2154" s="68"/>
      <c r="K2154" s="68"/>
    </row>
    <row r="2155" spans="1:11" ht="12.75">
      <c r="A2155" s="69">
        <f ca="1">IFERROR(__xludf.DUMMYFUNCTION("""COMPUTED_VALUE"""),97370)</f>
        <v>97370</v>
      </c>
      <c r="B2155" s="4">
        <f ca="1">IFERROR(__xludf.DUMMYFUNCTION("""COMPUTED_VALUE"""),44685)</f>
        <v>44685</v>
      </c>
      <c r="C2155" t="str">
        <f ca="1">IFERROR(__xludf.DUMMYFUNCTION("""COMPUTED_VALUE"""),"АО ""ЦКБА"" 134-РДО от 15.03.2022")</f>
        <v>АО "ЦКБА" 134-РДО от 15.03.2022</v>
      </c>
      <c r="D21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55" t="str">
        <f ca="1">IFERROR(__xludf.DUMMYFUNCTION("""COMPUTED_VALUE"""),"Новый")</f>
        <v>Новый</v>
      </c>
      <c r="G2155" s="68"/>
      <c r="K2155" s="68"/>
    </row>
    <row r="2156" spans="1:11" ht="12.75">
      <c r="A2156" s="69">
        <f ca="1">IFERROR(__xludf.DUMMYFUNCTION("""COMPUTED_VALUE"""),97383)</f>
        <v>97383</v>
      </c>
      <c r="B2156" s="4">
        <f ca="1">IFERROR(__xludf.DUMMYFUNCTION("""COMPUTED_VALUE"""),44686)</f>
        <v>44686</v>
      </c>
      <c r="C2156" t="str">
        <f ca="1">IFERROR(__xludf.DUMMYFUNCTION("""COMPUTED_VALUE"""),"ООО ""СВАРОЖИЧ"" 133-СТР от 25.04.2022")</f>
        <v>ООО "СВАРОЖИЧ" 133-СТР от 25.04.2022</v>
      </c>
      <c r="D21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6" t="str">
        <f ca="1">IFERROR(__xludf.DUMMYFUNCTION("""COMPUTED_VALUE"""),"Новый")</f>
        <v>Новый</v>
      </c>
      <c r="G2156" s="68"/>
      <c r="K2156" s="68"/>
    </row>
    <row r="2157" spans="1:11" ht="12.75">
      <c r="A2157" s="69">
        <f ca="1">IFERROR(__xludf.DUMMYFUNCTION("""COMPUTED_VALUE"""),97384)</f>
        <v>97384</v>
      </c>
      <c r="B2157" s="4">
        <f ca="1">IFERROR(__xludf.DUMMYFUNCTION("""COMPUTED_VALUE"""),44686)</f>
        <v>44686</v>
      </c>
      <c r="C2157" t="str">
        <f ca="1">IFERROR(__xludf.DUMMYFUNCTION("""COMPUTED_VALUE"""),"ООО ""СВАРОЖИЧ"" 133-СТР от 25.04.2022")</f>
        <v>ООО "СВАРОЖИЧ" 133-СТР от 25.04.2022</v>
      </c>
      <c r="D21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7" t="str">
        <f ca="1">IFERROR(__xludf.DUMMYFUNCTION("""COMPUTED_VALUE"""),"Новый")</f>
        <v>Новый</v>
      </c>
      <c r="G2157" s="68"/>
      <c r="K2157" s="68"/>
    </row>
    <row r="2158" spans="1:11" ht="12.75">
      <c r="A2158" s="69">
        <f ca="1">IFERROR(__xludf.DUMMYFUNCTION("""COMPUTED_VALUE"""),97385)</f>
        <v>97385</v>
      </c>
      <c r="B2158" s="4">
        <f ca="1">IFERROR(__xludf.DUMMYFUNCTION("""COMPUTED_VALUE"""),44686)</f>
        <v>44686</v>
      </c>
      <c r="C2158" t="str">
        <f ca="1">IFERROR(__xludf.DUMMYFUNCTION("""COMPUTED_VALUE"""),"ООО ""СВАРОЖИЧ"" 133-СТР от 25.04.2022")</f>
        <v>ООО "СВАРОЖИЧ" 133-СТР от 25.04.2022</v>
      </c>
      <c r="D21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8" t="str">
        <f ca="1">IFERROR(__xludf.DUMMYFUNCTION("""COMPUTED_VALUE"""),"Новый")</f>
        <v>Новый</v>
      </c>
      <c r="G2158" s="68"/>
      <c r="K2158" s="68"/>
    </row>
    <row r="2159" spans="1:11" ht="12.75">
      <c r="A2159" s="69">
        <f ca="1">IFERROR(__xludf.DUMMYFUNCTION("""COMPUTED_VALUE"""),97386)</f>
        <v>97386</v>
      </c>
      <c r="B2159" s="4">
        <f ca="1">IFERROR(__xludf.DUMMYFUNCTION("""COMPUTED_VALUE"""),44686)</f>
        <v>44686</v>
      </c>
      <c r="C2159" t="str">
        <f ca="1">IFERROR(__xludf.DUMMYFUNCTION("""COMPUTED_VALUE"""),"ООО ""СВАРОЖИЧ"" 133-СТР от 25.04.2022")</f>
        <v>ООО "СВАРОЖИЧ" 133-СТР от 25.04.2022</v>
      </c>
      <c r="D21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59" t="str">
        <f ca="1">IFERROR(__xludf.DUMMYFUNCTION("""COMPUTED_VALUE"""),"Новый")</f>
        <v>Новый</v>
      </c>
      <c r="G2159" s="68"/>
      <c r="K2159" s="68"/>
    </row>
    <row r="2160" spans="1:11" ht="12.75">
      <c r="A2160" s="69">
        <f ca="1">IFERROR(__xludf.DUMMYFUNCTION("""COMPUTED_VALUE"""),97387)</f>
        <v>97387</v>
      </c>
      <c r="B2160" s="4">
        <f ca="1">IFERROR(__xludf.DUMMYFUNCTION("""COMPUTED_VALUE"""),44686)</f>
        <v>44686</v>
      </c>
      <c r="C2160" t="str">
        <f ca="1">IFERROR(__xludf.DUMMYFUNCTION("""COMPUTED_VALUE"""),"ООО ""СВАРОЖИЧ"" 133-СТР от 25.04.2022")</f>
        <v>ООО "СВАРОЖИЧ" 133-СТР от 25.04.2022</v>
      </c>
      <c r="D21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60" t="str">
        <f ca="1">IFERROR(__xludf.DUMMYFUNCTION("""COMPUTED_VALUE"""),"Новый")</f>
        <v>Новый</v>
      </c>
      <c r="G2160" s="68"/>
      <c r="K2160" s="68"/>
    </row>
    <row r="2161" spans="1:11" ht="12.75">
      <c r="A2161" s="69">
        <f ca="1">IFERROR(__xludf.DUMMYFUNCTION("""COMPUTED_VALUE"""),97388)</f>
        <v>97388</v>
      </c>
      <c r="B2161" s="4">
        <f ca="1">IFERROR(__xludf.DUMMYFUNCTION("""COMPUTED_VALUE"""),44686)</f>
        <v>44686</v>
      </c>
      <c r="C2161" t="str">
        <f ca="1">IFERROR(__xludf.DUMMYFUNCTION("""COMPUTED_VALUE"""),"ООО ""СВАРОЖИЧ"" 133-СТР от 25.04.2022")</f>
        <v>ООО "СВАРОЖИЧ" 133-СТР от 25.04.2022</v>
      </c>
      <c r="D21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161" t="str">
        <f ca="1">IFERROR(__xludf.DUMMYFUNCTION("""COMPUTED_VALUE"""),"Новый")</f>
        <v>Новый</v>
      </c>
      <c r="G2161" s="68"/>
      <c r="K2161" s="68"/>
    </row>
    <row r="2162" spans="1:11" ht="12.75">
      <c r="A2162" s="69">
        <f ca="1">IFERROR(__xludf.DUMMYFUNCTION("""COMPUTED_VALUE"""),97389)</f>
        <v>97389</v>
      </c>
      <c r="B2162" s="4">
        <f ca="1">IFERROR(__xludf.DUMMYFUNCTION("""COMPUTED_VALUE"""),44686)</f>
        <v>44686</v>
      </c>
      <c r="C2162" t="str">
        <f ca="1">IFERROR(__xludf.DUMMYFUNCTION("""COMPUTED_VALUE"""),"УДХБ БУ Г. ОМСКА 126-РДО от 01.01.2022")</f>
        <v>УДХБ БУ Г. ОМСКА 126-РДО от 01.01.2022</v>
      </c>
      <c r="D21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2" t="str">
        <f ca="1">IFERROR(__xludf.DUMMYFUNCTION("""COMPUTED_VALUE"""),"Новый")</f>
        <v>Новый</v>
      </c>
      <c r="G2162" s="68"/>
      <c r="K2162" s="68"/>
    </row>
    <row r="2163" spans="1:11" ht="12.75">
      <c r="A2163" s="69">
        <f ca="1">IFERROR(__xludf.DUMMYFUNCTION("""COMPUTED_VALUE"""),97404)</f>
        <v>97404</v>
      </c>
      <c r="B2163" s="4">
        <f ca="1">IFERROR(__xludf.DUMMYFUNCTION("""COMPUTED_VALUE"""),44686)</f>
        <v>44686</v>
      </c>
      <c r="C2163" t="str">
        <f ca="1">IFERROR(__xludf.DUMMYFUNCTION("""COMPUTED_VALUE"""),"УДХБ БУ Г. ОМСКА 126-РДО от 01.01.2022")</f>
        <v>УДХБ БУ Г. ОМСКА 126-РДО от 01.01.2022</v>
      </c>
      <c r="D21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3" t="str">
        <f ca="1">IFERROR(__xludf.DUMMYFUNCTION("""COMPUTED_VALUE"""),"Новый")</f>
        <v>Новый</v>
      </c>
      <c r="G2163" s="68"/>
      <c r="K2163" s="68"/>
    </row>
    <row r="2164" spans="1:11" ht="12.75">
      <c r="A2164" s="69">
        <f ca="1">IFERROR(__xludf.DUMMYFUNCTION("""COMPUTED_VALUE"""),97405)</f>
        <v>97405</v>
      </c>
      <c r="B2164" s="4">
        <f ca="1">IFERROR(__xludf.DUMMYFUNCTION("""COMPUTED_VALUE"""),44686)</f>
        <v>44686</v>
      </c>
      <c r="C2164" t="str">
        <f ca="1">IFERROR(__xludf.DUMMYFUNCTION("""COMPUTED_VALUE"""),"УДХБ БУ Г. ОМСКА 126-РДО от 01.01.2022")</f>
        <v>УДХБ БУ Г. ОМСКА 126-РДО от 01.01.2022</v>
      </c>
      <c r="D21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4" t="str">
        <f ca="1">IFERROR(__xludf.DUMMYFUNCTION("""COMPUTED_VALUE"""),"Новый")</f>
        <v>Новый</v>
      </c>
      <c r="G2164" s="68"/>
      <c r="K2164" s="68"/>
    </row>
    <row r="2165" spans="1:11" ht="12.75">
      <c r="A2165" s="69">
        <f ca="1">IFERROR(__xludf.DUMMYFUNCTION("""COMPUTED_VALUE"""),97409)</f>
        <v>97409</v>
      </c>
      <c r="B2165" s="4">
        <f ca="1">IFERROR(__xludf.DUMMYFUNCTION("""COMPUTED_VALUE"""),44686)</f>
        <v>44686</v>
      </c>
      <c r="C2165" t="str">
        <f ca="1">IFERROR(__xludf.DUMMYFUNCTION("""COMPUTED_VALUE"""),"УДХБ БУ Г. ОМСКА 126-РДО от 01.01.2022")</f>
        <v>УДХБ БУ Г. ОМСКА 126-РДО от 01.01.2022</v>
      </c>
      <c r="D21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5" t="str">
        <f ca="1">IFERROR(__xludf.DUMMYFUNCTION("""COMPUTED_VALUE"""),"Новый")</f>
        <v>Новый</v>
      </c>
      <c r="G2165" s="68"/>
      <c r="K2165" s="68"/>
    </row>
    <row r="2166" spans="1:11" ht="12.75">
      <c r="A2166" s="69">
        <f ca="1">IFERROR(__xludf.DUMMYFUNCTION("""COMPUTED_VALUE"""),97410)</f>
        <v>97410</v>
      </c>
      <c r="B2166" s="4">
        <f ca="1">IFERROR(__xludf.DUMMYFUNCTION("""COMPUTED_VALUE"""),44686)</f>
        <v>44686</v>
      </c>
      <c r="C2166" t="str">
        <f ca="1">IFERROR(__xludf.DUMMYFUNCTION("""COMPUTED_VALUE"""),"УДХБ БУ Г. ОМСКА 126-РДО от 01.01.2022")</f>
        <v>УДХБ БУ Г. ОМСКА 126-РДО от 01.01.2022</v>
      </c>
      <c r="D21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6" t="str">
        <f ca="1">IFERROR(__xludf.DUMMYFUNCTION("""COMPUTED_VALUE"""),"Новый")</f>
        <v>Новый</v>
      </c>
      <c r="G2166" s="68"/>
      <c r="K2166" s="68"/>
    </row>
    <row r="2167" spans="1:11" ht="12.75">
      <c r="A2167" s="69">
        <f ca="1">IFERROR(__xludf.DUMMYFUNCTION("""COMPUTED_VALUE"""),97411)</f>
        <v>97411</v>
      </c>
      <c r="B2167" s="4">
        <f ca="1">IFERROR(__xludf.DUMMYFUNCTION("""COMPUTED_VALUE"""),44686)</f>
        <v>44686</v>
      </c>
      <c r="C2167" t="str">
        <f ca="1">IFERROR(__xludf.DUMMYFUNCTION("""COMPUTED_VALUE"""),"УДХБ БУ Г. ОМСКА 126-РДО от 01.01.2022")</f>
        <v>УДХБ БУ Г. ОМСКА 126-РДО от 01.01.2022</v>
      </c>
      <c r="D21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7" t="str">
        <f ca="1">IFERROR(__xludf.DUMMYFUNCTION("""COMPUTED_VALUE"""),"Новый")</f>
        <v>Новый</v>
      </c>
      <c r="G2167" s="68"/>
      <c r="K2167" s="68"/>
    </row>
    <row r="2168" spans="1:11" ht="12.75">
      <c r="A2168" s="69">
        <f ca="1">IFERROR(__xludf.DUMMYFUNCTION("""COMPUTED_VALUE"""),97412)</f>
        <v>97412</v>
      </c>
      <c r="B2168" s="4">
        <f ca="1">IFERROR(__xludf.DUMMYFUNCTION("""COMPUTED_VALUE"""),44686)</f>
        <v>44686</v>
      </c>
      <c r="C2168" t="str">
        <f ca="1">IFERROR(__xludf.DUMMYFUNCTION("""COMPUTED_VALUE"""),"УДХБ БУ Г. ОМСКА 126-РДО от 01.01.2022")</f>
        <v>УДХБ БУ Г. ОМСКА 126-РДО от 01.01.2022</v>
      </c>
      <c r="D21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8" t="str">
        <f ca="1">IFERROR(__xludf.DUMMYFUNCTION("""COMPUTED_VALUE"""),"Новый")</f>
        <v>Новый</v>
      </c>
      <c r="G2168" s="68"/>
      <c r="K2168" s="68"/>
    </row>
    <row r="2169" spans="1:11" ht="12.75">
      <c r="A2169" s="69">
        <f ca="1">IFERROR(__xludf.DUMMYFUNCTION("""COMPUTED_VALUE"""),97413)</f>
        <v>97413</v>
      </c>
      <c r="B2169" s="4">
        <f ca="1">IFERROR(__xludf.DUMMYFUNCTION("""COMPUTED_VALUE"""),44686)</f>
        <v>44686</v>
      </c>
      <c r="C2169" t="str">
        <f ca="1">IFERROR(__xludf.DUMMYFUNCTION("""COMPUTED_VALUE"""),"УДХБ БУ Г. ОМСКА 126-РДО от 01.01.2022")</f>
        <v>УДХБ БУ Г. ОМСКА 126-РДО от 01.01.2022</v>
      </c>
      <c r="D21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69" t="str">
        <f ca="1">IFERROR(__xludf.DUMMYFUNCTION("""COMPUTED_VALUE"""),"Новый")</f>
        <v>Новый</v>
      </c>
      <c r="G2169" s="68"/>
      <c r="K2169" s="68"/>
    </row>
    <row r="2170" spans="1:11" ht="12.75">
      <c r="A2170" s="69">
        <f ca="1">IFERROR(__xludf.DUMMYFUNCTION("""COMPUTED_VALUE"""),97414)</f>
        <v>97414</v>
      </c>
      <c r="B2170" s="4">
        <f ca="1">IFERROR(__xludf.DUMMYFUNCTION("""COMPUTED_VALUE"""),44686)</f>
        <v>44686</v>
      </c>
      <c r="C2170" t="str">
        <f ca="1">IFERROR(__xludf.DUMMYFUNCTION("""COMPUTED_VALUE"""),"УДХБ БУ Г. ОМСКА 126-РДО от 01.01.2022")</f>
        <v>УДХБ БУ Г. ОМСКА 126-РДО от 01.01.2022</v>
      </c>
      <c r="D21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0" t="str">
        <f ca="1">IFERROR(__xludf.DUMMYFUNCTION("""COMPUTED_VALUE"""),"Новый")</f>
        <v>Новый</v>
      </c>
      <c r="G2170" s="68"/>
      <c r="K2170" s="68"/>
    </row>
    <row r="2171" spans="1:11" ht="12.75">
      <c r="A2171" s="69">
        <f ca="1">IFERROR(__xludf.DUMMYFUNCTION("""COMPUTED_VALUE"""),97415)</f>
        <v>97415</v>
      </c>
      <c r="B2171" s="4">
        <f ca="1">IFERROR(__xludf.DUMMYFUNCTION("""COMPUTED_VALUE"""),44686)</f>
        <v>44686</v>
      </c>
      <c r="C2171" t="str">
        <f ca="1">IFERROR(__xludf.DUMMYFUNCTION("""COMPUTED_VALUE"""),"УДХБ БУ Г. ОМСКА 126-РДО от 01.01.2022")</f>
        <v>УДХБ БУ Г. ОМСКА 126-РДО от 01.01.2022</v>
      </c>
      <c r="D21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1" t="str">
        <f ca="1">IFERROR(__xludf.DUMMYFUNCTION("""COMPUTED_VALUE"""),"Новый")</f>
        <v>Новый</v>
      </c>
      <c r="G2171" s="68"/>
      <c r="K2171" s="68"/>
    </row>
    <row r="2172" spans="1:11" ht="12.75">
      <c r="A2172" s="69">
        <f ca="1">IFERROR(__xludf.DUMMYFUNCTION("""COMPUTED_VALUE"""),97416)</f>
        <v>97416</v>
      </c>
      <c r="B2172" s="4">
        <f ca="1">IFERROR(__xludf.DUMMYFUNCTION("""COMPUTED_VALUE"""),44686)</f>
        <v>44686</v>
      </c>
      <c r="C2172" t="str">
        <f ca="1">IFERROR(__xludf.DUMMYFUNCTION("""COMPUTED_VALUE"""),"УДХБ БУ Г. ОМСКА 126-РДО от 01.01.2022")</f>
        <v>УДХБ БУ Г. ОМСКА 126-РДО от 01.01.2022</v>
      </c>
      <c r="D21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2" t="str">
        <f ca="1">IFERROR(__xludf.DUMMYFUNCTION("""COMPUTED_VALUE"""),"Новый")</f>
        <v>Новый</v>
      </c>
      <c r="G2172" s="68"/>
      <c r="K2172" s="68"/>
    </row>
    <row r="2173" spans="1:11" ht="12.75">
      <c r="A2173" s="69">
        <f ca="1">IFERROR(__xludf.DUMMYFUNCTION("""COMPUTED_VALUE"""),97417)</f>
        <v>97417</v>
      </c>
      <c r="B2173" s="4">
        <f ca="1">IFERROR(__xludf.DUMMYFUNCTION("""COMPUTED_VALUE"""),44686)</f>
        <v>44686</v>
      </c>
      <c r="C2173" t="str">
        <f ca="1">IFERROR(__xludf.DUMMYFUNCTION("""COMPUTED_VALUE"""),"УДХБ БУ Г. ОМСКА 126-РДО от 01.01.2022")</f>
        <v>УДХБ БУ Г. ОМСКА 126-РДО от 01.01.2022</v>
      </c>
      <c r="D21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3" t="str">
        <f ca="1">IFERROR(__xludf.DUMMYFUNCTION("""COMPUTED_VALUE"""),"Новый")</f>
        <v>Новый</v>
      </c>
      <c r="G2173" s="68"/>
      <c r="K2173" s="68"/>
    </row>
    <row r="2174" spans="1:11" ht="12.75">
      <c r="A2174" s="69">
        <f ca="1">IFERROR(__xludf.DUMMYFUNCTION("""COMPUTED_VALUE"""),97418)</f>
        <v>97418</v>
      </c>
      <c r="B2174" s="4">
        <f ca="1">IFERROR(__xludf.DUMMYFUNCTION("""COMPUTED_VALUE"""),44686)</f>
        <v>44686</v>
      </c>
      <c r="C2174" t="str">
        <f ca="1">IFERROR(__xludf.DUMMYFUNCTION("""COMPUTED_VALUE"""),"УДХБ БУ Г. ОМСКА 126-РДО от 01.01.2022")</f>
        <v>УДХБ БУ Г. ОМСКА 126-РДО от 01.01.2022</v>
      </c>
      <c r="D21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4" t="str">
        <f ca="1">IFERROR(__xludf.DUMMYFUNCTION("""COMPUTED_VALUE"""),"Новый")</f>
        <v>Новый</v>
      </c>
      <c r="G2174" s="68"/>
      <c r="K2174" s="68"/>
    </row>
    <row r="2175" spans="1:11" ht="12.75">
      <c r="A2175" s="69">
        <f ca="1">IFERROR(__xludf.DUMMYFUNCTION("""COMPUTED_VALUE"""),97419)</f>
        <v>97419</v>
      </c>
      <c r="B2175" s="4">
        <f ca="1">IFERROR(__xludf.DUMMYFUNCTION("""COMPUTED_VALUE"""),44686)</f>
        <v>44686</v>
      </c>
      <c r="C2175" t="str">
        <f ca="1">IFERROR(__xludf.DUMMYFUNCTION("""COMPUTED_VALUE"""),"УДХБ БУ Г. ОМСКА 126-РДО от 01.01.2022")</f>
        <v>УДХБ БУ Г. ОМСКА 126-РДО от 01.01.2022</v>
      </c>
      <c r="D21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5" t="str">
        <f ca="1">IFERROR(__xludf.DUMMYFUNCTION("""COMPUTED_VALUE"""),"Новый")</f>
        <v>Новый</v>
      </c>
      <c r="G2175" s="68"/>
      <c r="K2175" s="68"/>
    </row>
    <row r="2176" spans="1:11" ht="12.75">
      <c r="A2176" s="69">
        <f ca="1">IFERROR(__xludf.DUMMYFUNCTION("""COMPUTED_VALUE"""),97420)</f>
        <v>97420</v>
      </c>
      <c r="B2176" s="4">
        <f ca="1">IFERROR(__xludf.DUMMYFUNCTION("""COMPUTED_VALUE"""),44686)</f>
        <v>44686</v>
      </c>
      <c r="C2176" t="str">
        <f ca="1">IFERROR(__xludf.DUMMYFUNCTION("""COMPUTED_VALUE"""),"УДХБ БУ Г. ОМСКА 126-РДО от 01.01.2022")</f>
        <v>УДХБ БУ Г. ОМСКА 126-РДО от 01.01.2022</v>
      </c>
      <c r="D21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6" t="str">
        <f ca="1">IFERROR(__xludf.DUMMYFUNCTION("""COMPUTED_VALUE"""),"Новый")</f>
        <v>Новый</v>
      </c>
      <c r="G2176" s="68"/>
      <c r="K2176" s="68"/>
    </row>
    <row r="2177" spans="1:11" ht="12.75">
      <c r="A2177" s="69">
        <f ca="1">IFERROR(__xludf.DUMMYFUNCTION("""COMPUTED_VALUE"""),97421)</f>
        <v>97421</v>
      </c>
      <c r="B2177" s="4">
        <f ca="1">IFERROR(__xludf.DUMMYFUNCTION("""COMPUTED_VALUE"""),44686)</f>
        <v>44686</v>
      </c>
      <c r="C2177" t="str">
        <f ca="1">IFERROR(__xludf.DUMMYFUNCTION("""COMPUTED_VALUE"""),"УДХБ БУ Г. ОМСКА 126-РДО от 01.01.2022")</f>
        <v>УДХБ БУ Г. ОМСКА 126-РДО от 01.01.2022</v>
      </c>
      <c r="D21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7" t="str">
        <f ca="1">IFERROR(__xludf.DUMMYFUNCTION("""COMPUTED_VALUE"""),"Новый")</f>
        <v>Новый</v>
      </c>
      <c r="G2177" s="68"/>
      <c r="K2177" s="68"/>
    </row>
    <row r="2178" spans="1:11" ht="12.75">
      <c r="A2178" s="69">
        <f ca="1">IFERROR(__xludf.DUMMYFUNCTION("""COMPUTED_VALUE"""),97422)</f>
        <v>97422</v>
      </c>
      <c r="B2178" s="4">
        <f ca="1">IFERROR(__xludf.DUMMYFUNCTION("""COMPUTED_VALUE"""),44686)</f>
        <v>44686</v>
      </c>
      <c r="C2178" t="str">
        <f ca="1">IFERROR(__xludf.DUMMYFUNCTION("""COMPUTED_VALUE"""),"УДХБ БУ Г. ОМСКА 126-РДО от 01.01.2022")</f>
        <v>УДХБ БУ Г. ОМСКА 126-РДО от 01.01.2022</v>
      </c>
      <c r="D21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8" t="str">
        <f ca="1">IFERROR(__xludf.DUMMYFUNCTION("""COMPUTED_VALUE"""),"Новый")</f>
        <v>Новый</v>
      </c>
      <c r="G2178" s="68"/>
      <c r="K2178" s="68"/>
    </row>
    <row r="2179" spans="1:11" ht="12.75">
      <c r="A2179" s="69">
        <f ca="1">IFERROR(__xludf.DUMMYFUNCTION("""COMPUTED_VALUE"""),97423)</f>
        <v>97423</v>
      </c>
      <c r="B2179" s="4">
        <f ca="1">IFERROR(__xludf.DUMMYFUNCTION("""COMPUTED_VALUE"""),44686)</f>
        <v>44686</v>
      </c>
      <c r="C2179" t="str">
        <f ca="1">IFERROR(__xludf.DUMMYFUNCTION("""COMPUTED_VALUE"""),"УДХБ БУ Г. ОМСКА 126-РДО от 01.01.2022")</f>
        <v>УДХБ БУ Г. ОМСКА 126-РДО от 01.01.2022</v>
      </c>
      <c r="D21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79" t="str">
        <f ca="1">IFERROR(__xludf.DUMMYFUNCTION("""COMPUTED_VALUE"""),"Новый")</f>
        <v>Новый</v>
      </c>
      <c r="G2179" s="68"/>
      <c r="K2179" s="68"/>
    </row>
    <row r="2180" spans="1:11" ht="12.75">
      <c r="A2180" s="69">
        <f ca="1">IFERROR(__xludf.DUMMYFUNCTION("""COMPUTED_VALUE"""),97424)</f>
        <v>97424</v>
      </c>
      <c r="B2180" s="4">
        <f ca="1">IFERROR(__xludf.DUMMYFUNCTION("""COMPUTED_VALUE"""),44686)</f>
        <v>44686</v>
      </c>
      <c r="C2180" t="str">
        <f ca="1">IFERROR(__xludf.DUMMYFUNCTION("""COMPUTED_VALUE"""),"УДХБ БУ Г. ОМСКА 126-РДО от 01.01.2022")</f>
        <v>УДХБ БУ Г. ОМСКА 126-РДО от 01.01.2022</v>
      </c>
      <c r="D21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0" t="str">
        <f ca="1">IFERROR(__xludf.DUMMYFUNCTION("""COMPUTED_VALUE"""),"Новый")</f>
        <v>Новый</v>
      </c>
      <c r="G2180" s="68"/>
      <c r="K2180" s="68"/>
    </row>
    <row r="2181" spans="1:11" ht="12.75">
      <c r="A2181" s="69">
        <f ca="1">IFERROR(__xludf.DUMMYFUNCTION("""COMPUTED_VALUE"""),97425)</f>
        <v>97425</v>
      </c>
      <c r="B2181" s="4">
        <f ca="1">IFERROR(__xludf.DUMMYFUNCTION("""COMPUTED_VALUE"""),44686)</f>
        <v>44686</v>
      </c>
      <c r="C2181" t="str">
        <f ca="1">IFERROR(__xludf.DUMMYFUNCTION("""COMPUTED_VALUE"""),"УДХБ БУ Г. ОМСКА 126-РДО от 01.01.2022")</f>
        <v>УДХБ БУ Г. ОМСКА 126-РДО от 01.01.2022</v>
      </c>
      <c r="D21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1" t="str">
        <f ca="1">IFERROR(__xludf.DUMMYFUNCTION("""COMPUTED_VALUE"""),"Новый")</f>
        <v>Новый</v>
      </c>
      <c r="G2181" s="68"/>
      <c r="K2181" s="68"/>
    </row>
    <row r="2182" spans="1:11" ht="12.75">
      <c r="A2182" s="69">
        <f ca="1">IFERROR(__xludf.DUMMYFUNCTION("""COMPUTED_VALUE"""),97426)</f>
        <v>97426</v>
      </c>
      <c r="B2182" s="4">
        <f ca="1">IFERROR(__xludf.DUMMYFUNCTION("""COMPUTED_VALUE"""),44686)</f>
        <v>44686</v>
      </c>
      <c r="C2182" t="str">
        <f ca="1">IFERROR(__xludf.DUMMYFUNCTION("""COMPUTED_VALUE"""),"УДХБ БУ Г. ОМСКА 126-РДО от 01.01.2022")</f>
        <v>УДХБ БУ Г. ОМСКА 126-РДО от 01.01.2022</v>
      </c>
      <c r="D21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2" t="str">
        <f ca="1">IFERROR(__xludf.DUMMYFUNCTION("""COMPUTED_VALUE"""),"Новый")</f>
        <v>Новый</v>
      </c>
      <c r="G2182" s="68"/>
      <c r="K2182" s="68"/>
    </row>
    <row r="2183" spans="1:11" ht="12.75">
      <c r="A2183" s="69">
        <f ca="1">IFERROR(__xludf.DUMMYFUNCTION("""COMPUTED_VALUE"""),97427)</f>
        <v>97427</v>
      </c>
      <c r="B2183" s="4">
        <f ca="1">IFERROR(__xludf.DUMMYFUNCTION("""COMPUTED_VALUE"""),44686)</f>
        <v>44686</v>
      </c>
      <c r="C2183" t="str">
        <f ca="1">IFERROR(__xludf.DUMMYFUNCTION("""COMPUTED_VALUE"""),"УДХБ БУ Г. ОМСКА 126-РДО от 01.01.2022")</f>
        <v>УДХБ БУ Г. ОМСКА 126-РДО от 01.01.2022</v>
      </c>
      <c r="D21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3" t="str">
        <f ca="1">IFERROR(__xludf.DUMMYFUNCTION("""COMPUTED_VALUE"""),"Новый")</f>
        <v>Новый</v>
      </c>
      <c r="G2183" s="68"/>
      <c r="K2183" s="68"/>
    </row>
    <row r="2184" spans="1:11" ht="12.75">
      <c r="A2184" s="69">
        <f ca="1">IFERROR(__xludf.DUMMYFUNCTION("""COMPUTED_VALUE"""),97428)</f>
        <v>97428</v>
      </c>
      <c r="B2184" s="4">
        <f ca="1">IFERROR(__xludf.DUMMYFUNCTION("""COMPUTED_VALUE"""),44686)</f>
        <v>44686</v>
      </c>
      <c r="C2184" t="str">
        <f ca="1">IFERROR(__xludf.DUMMYFUNCTION("""COMPUTED_VALUE"""),"УДХБ БУ Г. ОМСКА 126-РДО от 01.01.2022")</f>
        <v>УДХБ БУ Г. ОМСКА 126-РДО от 01.01.2022</v>
      </c>
      <c r="D21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4" t="str">
        <f ca="1">IFERROR(__xludf.DUMMYFUNCTION("""COMPUTED_VALUE"""),"Новый")</f>
        <v>Новый</v>
      </c>
      <c r="G2184" s="68"/>
      <c r="K2184" s="68"/>
    </row>
    <row r="2185" spans="1:11" ht="12.75">
      <c r="A2185" s="69">
        <f ca="1">IFERROR(__xludf.DUMMYFUNCTION("""COMPUTED_VALUE"""),97429)</f>
        <v>97429</v>
      </c>
      <c r="B2185" s="4">
        <f ca="1">IFERROR(__xludf.DUMMYFUNCTION("""COMPUTED_VALUE"""),44686)</f>
        <v>44686</v>
      </c>
      <c r="C2185" t="str">
        <f ca="1">IFERROR(__xludf.DUMMYFUNCTION("""COMPUTED_VALUE"""),"УДХБ БУ Г. ОМСКА 126-РДО от 01.01.2022")</f>
        <v>УДХБ БУ Г. ОМСКА 126-РДО от 01.01.2022</v>
      </c>
      <c r="D21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5" t="str">
        <f ca="1">IFERROR(__xludf.DUMMYFUNCTION("""COMPUTED_VALUE"""),"Новый")</f>
        <v>Новый</v>
      </c>
      <c r="G2185" s="68"/>
      <c r="K2185" s="68"/>
    </row>
    <row r="2186" spans="1:11" ht="12.75">
      <c r="A2186" s="69">
        <f ca="1">IFERROR(__xludf.DUMMYFUNCTION("""COMPUTED_VALUE"""),97430)</f>
        <v>97430</v>
      </c>
      <c r="B2186" s="4">
        <f ca="1">IFERROR(__xludf.DUMMYFUNCTION("""COMPUTED_VALUE"""),44686)</f>
        <v>44686</v>
      </c>
      <c r="C2186" t="str">
        <f ca="1">IFERROR(__xludf.DUMMYFUNCTION("""COMPUTED_VALUE"""),"УДХБ БУ Г. ОМСКА 126-РДО от 01.01.2022")</f>
        <v>УДХБ БУ Г. ОМСКА 126-РДО от 01.01.2022</v>
      </c>
      <c r="D21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6" t="str">
        <f ca="1">IFERROR(__xludf.DUMMYFUNCTION("""COMPUTED_VALUE"""),"Новый")</f>
        <v>Новый</v>
      </c>
      <c r="G2186" s="68"/>
      <c r="K2186" s="68"/>
    </row>
    <row r="2187" spans="1:11" ht="12.75">
      <c r="A2187" s="69">
        <f ca="1">IFERROR(__xludf.DUMMYFUNCTION("""COMPUTED_VALUE"""),97431)</f>
        <v>97431</v>
      </c>
      <c r="B2187" s="4">
        <f ca="1">IFERROR(__xludf.DUMMYFUNCTION("""COMPUTED_VALUE"""),44686)</f>
        <v>44686</v>
      </c>
      <c r="C2187" t="str">
        <f ca="1">IFERROR(__xludf.DUMMYFUNCTION("""COMPUTED_VALUE"""),"УДХБ БУ Г. ОМСКА 126-РДО от 01.01.2022")</f>
        <v>УДХБ БУ Г. ОМСКА 126-РДО от 01.01.2022</v>
      </c>
      <c r="D21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7" t="str">
        <f ca="1">IFERROR(__xludf.DUMMYFUNCTION("""COMPUTED_VALUE"""),"Новый")</f>
        <v>Новый</v>
      </c>
      <c r="G2187" s="68"/>
      <c r="K2187" s="68"/>
    </row>
    <row r="2188" spans="1:11" ht="12.75">
      <c r="A2188" s="69">
        <f ca="1">IFERROR(__xludf.DUMMYFUNCTION("""COMPUTED_VALUE"""),97432)</f>
        <v>97432</v>
      </c>
      <c r="B2188" s="4">
        <f ca="1">IFERROR(__xludf.DUMMYFUNCTION("""COMPUTED_VALUE"""),44686)</f>
        <v>44686</v>
      </c>
      <c r="C2188" t="str">
        <f ca="1">IFERROR(__xludf.DUMMYFUNCTION("""COMPUTED_VALUE"""),"УДХБ БУ Г. ОМСКА 126-РДО от 01.01.2022")</f>
        <v>УДХБ БУ Г. ОМСКА 126-РДО от 01.01.2022</v>
      </c>
      <c r="D21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8" t="str">
        <f ca="1">IFERROR(__xludf.DUMMYFUNCTION("""COMPUTED_VALUE"""),"Новый")</f>
        <v>Новый</v>
      </c>
      <c r="G2188" s="68"/>
      <c r="K2188" s="68"/>
    </row>
    <row r="2189" spans="1:11" ht="12.75">
      <c r="A2189" s="69">
        <f ca="1">IFERROR(__xludf.DUMMYFUNCTION("""COMPUTED_VALUE"""),97433)</f>
        <v>97433</v>
      </c>
      <c r="B2189" s="4">
        <f ca="1">IFERROR(__xludf.DUMMYFUNCTION("""COMPUTED_VALUE"""),44686)</f>
        <v>44686</v>
      </c>
      <c r="C2189" t="str">
        <f ca="1">IFERROR(__xludf.DUMMYFUNCTION("""COMPUTED_VALUE"""),"УДХБ БУ Г. ОМСКА 126-РДО от 01.01.2022")</f>
        <v>УДХБ БУ Г. ОМСКА 126-РДО от 01.01.2022</v>
      </c>
      <c r="D21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89" t="str">
        <f ca="1">IFERROR(__xludf.DUMMYFUNCTION("""COMPUTED_VALUE"""),"Новый")</f>
        <v>Новый</v>
      </c>
      <c r="G2189" s="68"/>
      <c r="K2189" s="68"/>
    </row>
    <row r="2190" spans="1:11" ht="12.75">
      <c r="A2190" s="69">
        <f ca="1">IFERROR(__xludf.DUMMYFUNCTION("""COMPUTED_VALUE"""),97434)</f>
        <v>97434</v>
      </c>
      <c r="B2190" s="4">
        <f ca="1">IFERROR(__xludf.DUMMYFUNCTION("""COMPUTED_VALUE"""),44686)</f>
        <v>44686</v>
      </c>
      <c r="C2190" t="str">
        <f ca="1">IFERROR(__xludf.DUMMYFUNCTION("""COMPUTED_VALUE"""),"УДХБ БУ Г. ОМСКА 126-РДО от 01.01.2022")</f>
        <v>УДХБ БУ Г. ОМСКА 126-РДО от 01.01.2022</v>
      </c>
      <c r="D21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0" t="str">
        <f ca="1">IFERROR(__xludf.DUMMYFUNCTION("""COMPUTED_VALUE"""),"Новый")</f>
        <v>Новый</v>
      </c>
      <c r="G2190" s="68"/>
      <c r="K2190" s="68"/>
    </row>
    <row r="2191" spans="1:11" ht="12.75">
      <c r="A2191" s="69">
        <f ca="1">IFERROR(__xludf.DUMMYFUNCTION("""COMPUTED_VALUE"""),97435)</f>
        <v>97435</v>
      </c>
      <c r="B2191" s="4">
        <f ca="1">IFERROR(__xludf.DUMMYFUNCTION("""COMPUTED_VALUE"""),44686)</f>
        <v>44686</v>
      </c>
      <c r="C2191" t="str">
        <f ca="1">IFERROR(__xludf.DUMMYFUNCTION("""COMPUTED_VALUE"""),"УДХБ БУ Г. ОМСКА 126-РДО от 01.01.2022")</f>
        <v>УДХБ БУ Г. ОМСКА 126-РДО от 01.01.2022</v>
      </c>
      <c r="D21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1" t="str">
        <f ca="1">IFERROR(__xludf.DUMMYFUNCTION("""COMPUTED_VALUE"""),"Новый")</f>
        <v>Новый</v>
      </c>
      <c r="G2191" s="68"/>
      <c r="K2191" s="68"/>
    </row>
    <row r="2192" spans="1:11" ht="12.75">
      <c r="A2192" s="69">
        <f ca="1">IFERROR(__xludf.DUMMYFUNCTION("""COMPUTED_VALUE"""),97436)</f>
        <v>97436</v>
      </c>
      <c r="B2192" s="4">
        <f ca="1">IFERROR(__xludf.DUMMYFUNCTION("""COMPUTED_VALUE"""),44686)</f>
        <v>44686</v>
      </c>
      <c r="C2192" t="str">
        <f ca="1">IFERROR(__xludf.DUMMYFUNCTION("""COMPUTED_VALUE"""),"УДХБ БУ Г. ОМСКА 126-РДО от 01.01.2022")</f>
        <v>УДХБ БУ Г. ОМСКА 126-РДО от 01.01.2022</v>
      </c>
      <c r="D21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2" t="str">
        <f ca="1">IFERROR(__xludf.DUMMYFUNCTION("""COMPUTED_VALUE"""),"Новый")</f>
        <v>Новый</v>
      </c>
      <c r="G2192" s="68"/>
      <c r="K2192" s="68"/>
    </row>
    <row r="2193" spans="1:11" ht="12.75">
      <c r="A2193" s="69">
        <f ca="1">IFERROR(__xludf.DUMMYFUNCTION("""COMPUTED_VALUE"""),97437)</f>
        <v>97437</v>
      </c>
      <c r="B2193" s="4">
        <f ca="1">IFERROR(__xludf.DUMMYFUNCTION("""COMPUTED_VALUE"""),44686)</f>
        <v>44686</v>
      </c>
      <c r="C2193" t="str">
        <f ca="1">IFERROR(__xludf.DUMMYFUNCTION("""COMPUTED_VALUE"""),"УДХБ БУ Г. ОМСКА 126-РДО от 01.01.2022")</f>
        <v>УДХБ БУ Г. ОМСКА 126-РДО от 01.01.2022</v>
      </c>
      <c r="D21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3" t="str">
        <f ca="1">IFERROR(__xludf.DUMMYFUNCTION("""COMPUTED_VALUE"""),"Новый")</f>
        <v>Новый</v>
      </c>
      <c r="G2193" s="68"/>
      <c r="K2193" s="68"/>
    </row>
    <row r="2194" spans="1:11" ht="12.75">
      <c r="A2194" s="69">
        <f ca="1">IFERROR(__xludf.DUMMYFUNCTION("""COMPUTED_VALUE"""),97438)</f>
        <v>97438</v>
      </c>
      <c r="B2194" s="4">
        <f ca="1">IFERROR(__xludf.DUMMYFUNCTION("""COMPUTED_VALUE"""),44686)</f>
        <v>44686</v>
      </c>
      <c r="C2194" t="str">
        <f ca="1">IFERROR(__xludf.DUMMYFUNCTION("""COMPUTED_VALUE"""),"УДХБ БУ Г. ОМСКА 126-РДО от 01.01.2022")</f>
        <v>УДХБ БУ Г. ОМСКА 126-РДО от 01.01.2022</v>
      </c>
      <c r="D21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4" t="str">
        <f ca="1">IFERROR(__xludf.DUMMYFUNCTION("""COMPUTED_VALUE"""),"Новый")</f>
        <v>Новый</v>
      </c>
      <c r="G2194" s="68"/>
      <c r="K2194" s="68"/>
    </row>
    <row r="2195" spans="1:11" ht="12.75">
      <c r="A2195" s="69">
        <f ca="1">IFERROR(__xludf.DUMMYFUNCTION("""COMPUTED_VALUE"""),97439)</f>
        <v>97439</v>
      </c>
      <c r="B2195" s="4">
        <f ca="1">IFERROR(__xludf.DUMMYFUNCTION("""COMPUTED_VALUE"""),44686)</f>
        <v>44686</v>
      </c>
      <c r="C2195" t="str">
        <f ca="1">IFERROR(__xludf.DUMMYFUNCTION("""COMPUTED_VALUE"""),"УДХБ БУ Г. ОМСКА 126-РДО от 01.01.2022")</f>
        <v>УДХБ БУ Г. ОМСКА 126-РДО от 01.01.2022</v>
      </c>
      <c r="D21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5" t="str">
        <f ca="1">IFERROR(__xludf.DUMMYFUNCTION("""COMPUTED_VALUE"""),"Новый")</f>
        <v>Новый</v>
      </c>
      <c r="G2195" s="68"/>
      <c r="K2195" s="68"/>
    </row>
    <row r="2196" spans="1:11" ht="12.75">
      <c r="A2196" s="69">
        <f ca="1">IFERROR(__xludf.DUMMYFUNCTION("""COMPUTED_VALUE"""),97440)</f>
        <v>97440</v>
      </c>
      <c r="B2196" s="4">
        <f ca="1">IFERROR(__xludf.DUMMYFUNCTION("""COMPUTED_VALUE"""),44686)</f>
        <v>44686</v>
      </c>
      <c r="C2196" t="str">
        <f ca="1">IFERROR(__xludf.DUMMYFUNCTION("""COMPUTED_VALUE"""),"УДХБ БУ Г. ОМСКА 126-РДО от 01.01.2022")</f>
        <v>УДХБ БУ Г. ОМСКА 126-РДО от 01.01.2022</v>
      </c>
      <c r="D21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6" t="str">
        <f ca="1">IFERROR(__xludf.DUMMYFUNCTION("""COMPUTED_VALUE"""),"Новый")</f>
        <v>Новый</v>
      </c>
      <c r="G2196" s="68"/>
      <c r="K2196" s="68"/>
    </row>
    <row r="2197" spans="1:11" ht="12.75">
      <c r="A2197" s="69">
        <f ca="1">IFERROR(__xludf.DUMMYFUNCTION("""COMPUTED_VALUE"""),97441)</f>
        <v>97441</v>
      </c>
      <c r="B2197" s="4">
        <f ca="1">IFERROR(__xludf.DUMMYFUNCTION("""COMPUTED_VALUE"""),44686)</f>
        <v>44686</v>
      </c>
      <c r="C2197" t="str">
        <f ca="1">IFERROR(__xludf.DUMMYFUNCTION("""COMPUTED_VALUE"""),"УДХБ БУ Г. ОМСКА 126-РДО от 01.01.2022")</f>
        <v>УДХБ БУ Г. ОМСКА 126-РДО от 01.01.2022</v>
      </c>
      <c r="D21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7" t="str">
        <f ca="1">IFERROR(__xludf.DUMMYFUNCTION("""COMPUTED_VALUE"""),"Новый")</f>
        <v>Новый</v>
      </c>
      <c r="G2197" s="68"/>
      <c r="K2197" s="68"/>
    </row>
    <row r="2198" spans="1:11" ht="12.75">
      <c r="A2198" s="69">
        <f ca="1">IFERROR(__xludf.DUMMYFUNCTION("""COMPUTED_VALUE"""),97442)</f>
        <v>97442</v>
      </c>
      <c r="B2198" s="4">
        <f ca="1">IFERROR(__xludf.DUMMYFUNCTION("""COMPUTED_VALUE"""),44686)</f>
        <v>44686</v>
      </c>
      <c r="C2198" t="str">
        <f ca="1">IFERROR(__xludf.DUMMYFUNCTION("""COMPUTED_VALUE"""),"УДХБ БУ Г. ОМСКА 126-РДО от 01.01.2022")</f>
        <v>УДХБ БУ Г. ОМСКА 126-РДО от 01.01.2022</v>
      </c>
      <c r="D21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8" t="str">
        <f ca="1">IFERROR(__xludf.DUMMYFUNCTION("""COMPUTED_VALUE"""),"Новый")</f>
        <v>Новый</v>
      </c>
      <c r="G2198" s="68"/>
      <c r="K2198" s="68"/>
    </row>
    <row r="2199" spans="1:11" ht="12.75">
      <c r="A2199" s="69">
        <f ca="1">IFERROR(__xludf.DUMMYFUNCTION("""COMPUTED_VALUE"""),97443)</f>
        <v>97443</v>
      </c>
      <c r="B2199" s="4">
        <f ca="1">IFERROR(__xludf.DUMMYFUNCTION("""COMPUTED_VALUE"""),44686)</f>
        <v>44686</v>
      </c>
      <c r="C2199" t="str">
        <f ca="1">IFERROR(__xludf.DUMMYFUNCTION("""COMPUTED_VALUE"""),"УДХБ БУ Г. ОМСКА 126-РДО от 01.01.2022")</f>
        <v>УДХБ БУ Г. ОМСКА 126-РДО от 01.01.2022</v>
      </c>
      <c r="D21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199" t="str">
        <f ca="1">IFERROR(__xludf.DUMMYFUNCTION("""COMPUTED_VALUE"""),"Новый")</f>
        <v>Новый</v>
      </c>
      <c r="G2199" s="68"/>
      <c r="K2199" s="68"/>
    </row>
    <row r="2200" spans="1:11" ht="12.75">
      <c r="A2200" s="69">
        <f ca="1">IFERROR(__xludf.DUMMYFUNCTION("""COMPUTED_VALUE"""),97444)</f>
        <v>97444</v>
      </c>
      <c r="B2200" s="4">
        <f ca="1">IFERROR(__xludf.DUMMYFUNCTION("""COMPUTED_VALUE"""),44686)</f>
        <v>44686</v>
      </c>
      <c r="C2200" t="str">
        <f ca="1">IFERROR(__xludf.DUMMYFUNCTION("""COMPUTED_VALUE"""),"УДХБ БУ Г. ОМСКА 126-РДО от 01.01.2022")</f>
        <v>УДХБ БУ Г. ОМСКА 126-РДО от 01.01.2022</v>
      </c>
      <c r="D22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0" t="str">
        <f ca="1">IFERROR(__xludf.DUMMYFUNCTION("""COMPUTED_VALUE"""),"Новый")</f>
        <v>Новый</v>
      </c>
      <c r="G2200" s="68"/>
      <c r="K2200" s="68"/>
    </row>
    <row r="2201" spans="1:11" ht="12.75">
      <c r="A2201" s="69">
        <f ca="1">IFERROR(__xludf.DUMMYFUNCTION("""COMPUTED_VALUE"""),97445)</f>
        <v>97445</v>
      </c>
      <c r="B2201" s="4">
        <f ca="1">IFERROR(__xludf.DUMMYFUNCTION("""COMPUTED_VALUE"""),44686)</f>
        <v>44686</v>
      </c>
      <c r="C2201" t="str">
        <f ca="1">IFERROR(__xludf.DUMMYFUNCTION("""COMPUTED_VALUE"""),"УДХБ БУ Г. ОМСКА 126-РДО от 01.01.2022")</f>
        <v>УДХБ БУ Г. ОМСКА 126-РДО от 01.01.2022</v>
      </c>
      <c r="D22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1" t="str">
        <f ca="1">IFERROR(__xludf.DUMMYFUNCTION("""COMPUTED_VALUE"""),"Новый")</f>
        <v>Новый</v>
      </c>
      <c r="G2201" s="68"/>
      <c r="K2201" s="68"/>
    </row>
    <row r="2202" spans="1:11" ht="12.75">
      <c r="A2202" s="69">
        <f ca="1">IFERROR(__xludf.DUMMYFUNCTION("""COMPUTED_VALUE"""),97446)</f>
        <v>97446</v>
      </c>
      <c r="B2202" s="4">
        <f ca="1">IFERROR(__xludf.DUMMYFUNCTION("""COMPUTED_VALUE"""),44686)</f>
        <v>44686</v>
      </c>
      <c r="C2202" t="str">
        <f ca="1">IFERROR(__xludf.DUMMYFUNCTION("""COMPUTED_VALUE"""),"УДХБ БУ Г. ОМСКА 126-РДО от 01.01.2022")</f>
        <v>УДХБ БУ Г. ОМСКА 126-РДО от 01.01.2022</v>
      </c>
      <c r="D22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2" t="str">
        <f ca="1">IFERROR(__xludf.DUMMYFUNCTION("""COMPUTED_VALUE"""),"Новый")</f>
        <v>Новый</v>
      </c>
      <c r="G2202" s="68"/>
      <c r="K2202" s="68"/>
    </row>
    <row r="2203" spans="1:11" ht="12.75">
      <c r="A2203" s="69">
        <f ca="1">IFERROR(__xludf.DUMMYFUNCTION("""COMPUTED_VALUE"""),97447)</f>
        <v>97447</v>
      </c>
      <c r="B2203" s="4">
        <f ca="1">IFERROR(__xludf.DUMMYFUNCTION("""COMPUTED_VALUE"""),44686)</f>
        <v>44686</v>
      </c>
      <c r="C2203" t="str">
        <f ca="1">IFERROR(__xludf.DUMMYFUNCTION("""COMPUTED_VALUE"""),"УДХБ БУ Г. ОМСКА 126-РДО от 01.01.2022")</f>
        <v>УДХБ БУ Г. ОМСКА 126-РДО от 01.01.2022</v>
      </c>
      <c r="D22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3" t="str">
        <f ca="1">IFERROR(__xludf.DUMMYFUNCTION("""COMPUTED_VALUE"""),"Новый")</f>
        <v>Новый</v>
      </c>
      <c r="G2203" s="68"/>
      <c r="K2203" s="68"/>
    </row>
    <row r="2204" spans="1:11" ht="12.75">
      <c r="A2204" s="69">
        <f ca="1">IFERROR(__xludf.DUMMYFUNCTION("""COMPUTED_VALUE"""),97448)</f>
        <v>97448</v>
      </c>
      <c r="B2204" s="4">
        <f ca="1">IFERROR(__xludf.DUMMYFUNCTION("""COMPUTED_VALUE"""),44686)</f>
        <v>44686</v>
      </c>
      <c r="C2204" t="str">
        <f ca="1">IFERROR(__xludf.DUMMYFUNCTION("""COMPUTED_VALUE"""),"УДХБ БУ Г. ОМСКА 126-РДО от 01.01.2022")</f>
        <v>УДХБ БУ Г. ОМСКА 126-РДО от 01.01.2022</v>
      </c>
      <c r="D22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4" t="str">
        <f ca="1">IFERROR(__xludf.DUMMYFUNCTION("""COMPUTED_VALUE"""),"Новый")</f>
        <v>Новый</v>
      </c>
      <c r="G2204" s="68"/>
      <c r="K2204" s="68"/>
    </row>
    <row r="2205" spans="1:11" ht="12.75">
      <c r="A2205" s="69">
        <f ca="1">IFERROR(__xludf.DUMMYFUNCTION("""COMPUTED_VALUE"""),97479)</f>
        <v>97479</v>
      </c>
      <c r="B2205" s="4">
        <f ca="1">IFERROR(__xludf.DUMMYFUNCTION("""COMPUTED_VALUE"""),44686)</f>
        <v>44686</v>
      </c>
      <c r="C2205" t="str">
        <f ca="1">IFERROR(__xludf.DUMMYFUNCTION("""COMPUTED_VALUE"""),"УДХБ БУ Г. ОМСКА 126-РДО от 01.01.2022")</f>
        <v>УДХБ БУ Г. ОМСКА 126-РДО от 01.01.2022</v>
      </c>
      <c r="D22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5" t="str">
        <f ca="1">IFERROR(__xludf.DUMMYFUNCTION("""COMPUTED_VALUE"""),"Новый")</f>
        <v>Новый</v>
      </c>
      <c r="G2205" s="68"/>
      <c r="K2205" s="68"/>
    </row>
    <row r="2206" spans="1:11" ht="12.75">
      <c r="A2206" s="69">
        <f ca="1">IFERROR(__xludf.DUMMYFUNCTION("""COMPUTED_VALUE"""),97481)</f>
        <v>97481</v>
      </c>
      <c r="B2206" s="4">
        <f ca="1">IFERROR(__xludf.DUMMYFUNCTION("""COMPUTED_VALUE"""),44686)</f>
        <v>44686</v>
      </c>
      <c r="C2206" t="str">
        <f ca="1">IFERROR(__xludf.DUMMYFUNCTION("""COMPUTED_VALUE"""),"УДХБ БУ Г. ОМСКА 126-РДО от 01.01.2022")</f>
        <v>УДХБ БУ Г. ОМСКА 126-РДО от 01.01.2022</v>
      </c>
      <c r="D22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6" t="str">
        <f ca="1">IFERROR(__xludf.DUMMYFUNCTION("""COMPUTED_VALUE"""),"Новый")</f>
        <v>Новый</v>
      </c>
      <c r="G2206" s="68"/>
      <c r="K2206" s="68"/>
    </row>
    <row r="2207" spans="1:11" ht="12.75">
      <c r="A2207" s="69">
        <f ca="1">IFERROR(__xludf.DUMMYFUNCTION("""COMPUTED_VALUE"""),97489)</f>
        <v>97489</v>
      </c>
      <c r="B2207" s="4">
        <f ca="1">IFERROR(__xludf.DUMMYFUNCTION("""COMPUTED_VALUE"""),44686)</f>
        <v>44686</v>
      </c>
      <c r="C2207" t="str">
        <f ca="1">IFERROR(__xludf.DUMMYFUNCTION("""COMPUTED_VALUE"""),"УДХБ БУ Г. ОМСКА 126-РДО от 01.01.2022")</f>
        <v>УДХБ БУ Г. ОМСКА 126-РДО от 01.01.2022</v>
      </c>
      <c r="D22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7" t="str">
        <f ca="1">IFERROR(__xludf.DUMMYFUNCTION("""COMPUTED_VALUE"""),"Новый")</f>
        <v>Новый</v>
      </c>
      <c r="G2207" s="68"/>
      <c r="K2207" s="68"/>
    </row>
    <row r="2208" spans="1:11" ht="12.75">
      <c r="A2208" s="69">
        <f ca="1">IFERROR(__xludf.DUMMYFUNCTION("""COMPUTED_VALUE"""),97490)</f>
        <v>97490</v>
      </c>
      <c r="B2208" s="4">
        <f ca="1">IFERROR(__xludf.DUMMYFUNCTION("""COMPUTED_VALUE"""),44686)</f>
        <v>44686</v>
      </c>
      <c r="C2208" t="str">
        <f ca="1">IFERROR(__xludf.DUMMYFUNCTION("""COMPUTED_VALUE"""),"УДХБ БУ Г. ОМСКА 126-РДО от 01.01.2022")</f>
        <v>УДХБ БУ Г. ОМСКА 126-РДО от 01.01.2022</v>
      </c>
      <c r="D22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8" t="str">
        <f ca="1">IFERROR(__xludf.DUMMYFUNCTION("""COMPUTED_VALUE"""),"Новый")</f>
        <v>Новый</v>
      </c>
      <c r="G2208" s="68"/>
      <c r="K2208" s="68"/>
    </row>
    <row r="2209" spans="1:11" ht="12.75">
      <c r="A2209" s="69">
        <f ca="1">IFERROR(__xludf.DUMMYFUNCTION("""COMPUTED_VALUE"""),97493)</f>
        <v>97493</v>
      </c>
      <c r="B2209" s="4">
        <f ca="1">IFERROR(__xludf.DUMMYFUNCTION("""COMPUTED_VALUE"""),44686)</f>
        <v>44686</v>
      </c>
      <c r="C2209" t="str">
        <f ca="1">IFERROR(__xludf.DUMMYFUNCTION("""COMPUTED_VALUE"""),"УДХБ БУ Г. ОМСКА 126-РДО от 01.01.2022")</f>
        <v>УДХБ БУ Г. ОМСКА 126-РДО от 01.01.2022</v>
      </c>
      <c r="D22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09" t="str">
        <f ca="1">IFERROR(__xludf.DUMMYFUNCTION("""COMPUTED_VALUE"""),"Новый")</f>
        <v>Новый</v>
      </c>
      <c r="G2209" s="68"/>
      <c r="K2209" s="68"/>
    </row>
    <row r="2210" spans="1:11" ht="12.75">
      <c r="A2210" s="69">
        <f ca="1">IFERROR(__xludf.DUMMYFUNCTION("""COMPUTED_VALUE"""),97494)</f>
        <v>97494</v>
      </c>
      <c r="B2210" s="4">
        <f ca="1">IFERROR(__xludf.DUMMYFUNCTION("""COMPUTED_VALUE"""),44686)</f>
        <v>44686</v>
      </c>
      <c r="C2210" t="str">
        <f ca="1">IFERROR(__xludf.DUMMYFUNCTION("""COMPUTED_VALUE"""),"УДХБ БУ Г. ОМСКА 126-РДО от 01.01.2022")</f>
        <v>УДХБ БУ Г. ОМСКА 126-РДО от 01.01.2022</v>
      </c>
      <c r="D22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0" t="str">
        <f ca="1">IFERROR(__xludf.DUMMYFUNCTION("""COMPUTED_VALUE"""),"Новый")</f>
        <v>Новый</v>
      </c>
      <c r="G2210" s="68"/>
      <c r="K2210" s="68"/>
    </row>
    <row r="2211" spans="1:11" ht="12.75">
      <c r="A2211" s="69">
        <f ca="1">IFERROR(__xludf.DUMMYFUNCTION("""COMPUTED_VALUE"""),97495)</f>
        <v>97495</v>
      </c>
      <c r="B2211" s="4">
        <f ca="1">IFERROR(__xludf.DUMMYFUNCTION("""COMPUTED_VALUE"""),44686)</f>
        <v>44686</v>
      </c>
      <c r="C2211" t="str">
        <f ca="1">IFERROR(__xludf.DUMMYFUNCTION("""COMPUTED_VALUE"""),"УДХБ БУ Г. ОМСКА 126-РДО от 01.01.2022")</f>
        <v>УДХБ БУ Г. ОМСКА 126-РДО от 01.01.2022</v>
      </c>
      <c r="D22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1" t="str">
        <f ca="1">IFERROR(__xludf.DUMMYFUNCTION("""COMPUTED_VALUE"""),"Новый")</f>
        <v>Новый</v>
      </c>
      <c r="G2211" s="68"/>
      <c r="K2211" s="68"/>
    </row>
    <row r="2212" spans="1:11" ht="12.75">
      <c r="A2212" s="69">
        <f ca="1">IFERROR(__xludf.DUMMYFUNCTION("""COMPUTED_VALUE"""),97496)</f>
        <v>97496</v>
      </c>
      <c r="B2212" s="4">
        <f ca="1">IFERROR(__xludf.DUMMYFUNCTION("""COMPUTED_VALUE"""),44686)</f>
        <v>44686</v>
      </c>
      <c r="C2212" t="str">
        <f ca="1">IFERROR(__xludf.DUMMYFUNCTION("""COMPUTED_VALUE"""),"УДХБ БУ Г. ОМСКА 126-РДО от 01.01.2022")</f>
        <v>УДХБ БУ Г. ОМСКА 126-РДО от 01.01.2022</v>
      </c>
      <c r="D22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2" t="str">
        <f ca="1">IFERROR(__xludf.DUMMYFUNCTION("""COMPUTED_VALUE"""),"Новый")</f>
        <v>Новый</v>
      </c>
      <c r="G2212" s="68"/>
      <c r="K2212" s="68"/>
    </row>
    <row r="2213" spans="1:11" ht="12.75">
      <c r="A2213" s="69">
        <f ca="1">IFERROR(__xludf.DUMMYFUNCTION("""COMPUTED_VALUE"""),97497)</f>
        <v>97497</v>
      </c>
      <c r="B2213" s="4">
        <f ca="1">IFERROR(__xludf.DUMMYFUNCTION("""COMPUTED_VALUE"""),44686)</f>
        <v>44686</v>
      </c>
      <c r="C2213" t="str">
        <f ca="1">IFERROR(__xludf.DUMMYFUNCTION("""COMPUTED_VALUE"""),"УДХБ БУ Г. ОМСКА 126-РДО от 01.01.2022")</f>
        <v>УДХБ БУ Г. ОМСКА 126-РДО от 01.01.2022</v>
      </c>
      <c r="D22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3" t="str">
        <f ca="1">IFERROR(__xludf.DUMMYFUNCTION("""COMPUTED_VALUE"""),"Новый")</f>
        <v>Новый</v>
      </c>
      <c r="G2213" s="68"/>
      <c r="K2213" s="68"/>
    </row>
    <row r="2214" spans="1:11" ht="12.75">
      <c r="A2214" s="69">
        <f ca="1">IFERROR(__xludf.DUMMYFUNCTION("""COMPUTED_VALUE"""),97498)</f>
        <v>97498</v>
      </c>
      <c r="B2214" s="4">
        <f ca="1">IFERROR(__xludf.DUMMYFUNCTION("""COMPUTED_VALUE"""),44686)</f>
        <v>44686</v>
      </c>
      <c r="C2214" t="str">
        <f ca="1">IFERROR(__xludf.DUMMYFUNCTION("""COMPUTED_VALUE"""),"УДХБ БУ Г. ОМСКА 126-РДО от 01.01.2022")</f>
        <v>УДХБ БУ Г. ОМСКА 126-РДО от 01.01.2022</v>
      </c>
      <c r="D22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4" t="str">
        <f ca="1">IFERROR(__xludf.DUMMYFUNCTION("""COMPUTED_VALUE"""),"Новый")</f>
        <v>Новый</v>
      </c>
      <c r="G2214" s="68"/>
      <c r="K2214" s="68"/>
    </row>
    <row r="2215" spans="1:11" ht="12.75">
      <c r="A2215" s="69">
        <f ca="1">IFERROR(__xludf.DUMMYFUNCTION("""COMPUTED_VALUE"""),97499)</f>
        <v>97499</v>
      </c>
      <c r="B2215" s="4">
        <f ca="1">IFERROR(__xludf.DUMMYFUNCTION("""COMPUTED_VALUE"""),44686)</f>
        <v>44686</v>
      </c>
      <c r="C2215" t="str">
        <f ca="1">IFERROR(__xludf.DUMMYFUNCTION("""COMPUTED_VALUE"""),"УДХБ БУ Г. ОМСКА 126-РДО от 01.01.2022")</f>
        <v>УДХБ БУ Г. ОМСКА 126-РДО от 01.01.2022</v>
      </c>
      <c r="D22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5" t="str">
        <f ca="1">IFERROR(__xludf.DUMMYFUNCTION("""COMPUTED_VALUE"""),"Новый")</f>
        <v>Новый</v>
      </c>
      <c r="G2215" s="68"/>
      <c r="K2215" s="68"/>
    </row>
    <row r="2216" spans="1:11" ht="12.75">
      <c r="A2216" s="69">
        <f ca="1">IFERROR(__xludf.DUMMYFUNCTION("""COMPUTED_VALUE"""),97500)</f>
        <v>97500</v>
      </c>
      <c r="B2216" s="4">
        <f ca="1">IFERROR(__xludf.DUMMYFUNCTION("""COMPUTED_VALUE"""),44686)</f>
        <v>44686</v>
      </c>
      <c r="C2216" t="str">
        <f ca="1">IFERROR(__xludf.DUMMYFUNCTION("""COMPUTED_VALUE"""),"УДХБ БУ Г. ОМСКА 126-РДО от 01.01.2022")</f>
        <v>УДХБ БУ Г. ОМСКА 126-РДО от 01.01.2022</v>
      </c>
      <c r="D22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6" t="str">
        <f ca="1">IFERROR(__xludf.DUMMYFUNCTION("""COMPUTED_VALUE"""),"Новый")</f>
        <v>Новый</v>
      </c>
      <c r="G2216" s="68"/>
      <c r="K2216" s="68"/>
    </row>
    <row r="2217" spans="1:11" ht="12.75">
      <c r="A2217" s="69">
        <f ca="1">IFERROR(__xludf.DUMMYFUNCTION("""COMPUTED_VALUE"""),97502)</f>
        <v>97502</v>
      </c>
      <c r="B2217" s="4">
        <f ca="1">IFERROR(__xludf.DUMMYFUNCTION("""COMPUTED_VALUE"""),44686)</f>
        <v>44686</v>
      </c>
      <c r="C2217" t="str">
        <f ca="1">IFERROR(__xludf.DUMMYFUNCTION("""COMPUTED_VALUE"""),"УДХБ БУ Г. ОМСКА 126-РДО от 01.01.2022")</f>
        <v>УДХБ БУ Г. ОМСКА 126-РДО от 01.01.2022</v>
      </c>
      <c r="D22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7" t="str">
        <f ca="1">IFERROR(__xludf.DUMMYFUNCTION("""COMPUTED_VALUE"""),"Новый")</f>
        <v>Новый</v>
      </c>
      <c r="G2217" s="68"/>
      <c r="K2217" s="68"/>
    </row>
    <row r="2218" spans="1:11" ht="12.75">
      <c r="A2218" s="69">
        <f ca="1">IFERROR(__xludf.DUMMYFUNCTION("""COMPUTED_VALUE"""),97525)</f>
        <v>97525</v>
      </c>
      <c r="B2218" s="4">
        <f ca="1">IFERROR(__xludf.DUMMYFUNCTION("""COMPUTED_VALUE"""),44686)</f>
        <v>44686</v>
      </c>
      <c r="C2218" t="str">
        <f ca="1">IFERROR(__xludf.DUMMYFUNCTION("""COMPUTED_VALUE"""),"УДХБ БУ Г. ОМСКА 126-РДО от 01.01.2022")</f>
        <v>УДХБ БУ Г. ОМСКА 126-РДО от 01.01.2022</v>
      </c>
      <c r="D22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8" t="str">
        <f ca="1">IFERROR(__xludf.DUMMYFUNCTION("""COMPUTED_VALUE"""),"Новый")</f>
        <v>Новый</v>
      </c>
      <c r="G2218" s="68"/>
      <c r="K2218" s="68"/>
    </row>
    <row r="2219" spans="1:11" ht="12.75">
      <c r="A2219" s="69">
        <f ca="1">IFERROR(__xludf.DUMMYFUNCTION("""COMPUTED_VALUE"""),97526)</f>
        <v>97526</v>
      </c>
      <c r="B2219" s="4">
        <f ca="1">IFERROR(__xludf.DUMMYFUNCTION("""COMPUTED_VALUE"""),44686)</f>
        <v>44686</v>
      </c>
      <c r="C2219" t="str">
        <f ca="1">IFERROR(__xludf.DUMMYFUNCTION("""COMPUTED_VALUE"""),"УДХБ БУ Г. ОМСКА 126-РДО от 01.01.2022")</f>
        <v>УДХБ БУ Г. ОМСКА 126-РДО от 01.01.2022</v>
      </c>
      <c r="D22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19" t="str">
        <f ca="1">IFERROR(__xludf.DUMMYFUNCTION("""COMPUTED_VALUE"""),"Новый")</f>
        <v>Новый</v>
      </c>
      <c r="G2219" s="68"/>
      <c r="K2219" s="68"/>
    </row>
    <row r="2220" spans="1:11" ht="12.75">
      <c r="A2220" s="69">
        <f ca="1">IFERROR(__xludf.DUMMYFUNCTION("""COMPUTED_VALUE"""),97527)</f>
        <v>97527</v>
      </c>
      <c r="B2220" s="4">
        <f ca="1">IFERROR(__xludf.DUMMYFUNCTION("""COMPUTED_VALUE"""),44686)</f>
        <v>44686</v>
      </c>
      <c r="C2220" t="str">
        <f ca="1">IFERROR(__xludf.DUMMYFUNCTION("""COMPUTED_VALUE"""),"УДХБ БУ Г. ОМСКА 126-РДО от 01.01.2022")</f>
        <v>УДХБ БУ Г. ОМСКА 126-РДО от 01.01.2022</v>
      </c>
      <c r="D22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0" t="str">
        <f ca="1">IFERROR(__xludf.DUMMYFUNCTION("""COMPUTED_VALUE"""),"Новый")</f>
        <v>Новый</v>
      </c>
      <c r="G2220" s="68"/>
      <c r="K2220" s="68"/>
    </row>
    <row r="2221" spans="1:11" ht="12.75">
      <c r="A2221" s="69">
        <f ca="1">IFERROR(__xludf.DUMMYFUNCTION("""COMPUTED_VALUE"""),97609)</f>
        <v>97609</v>
      </c>
      <c r="B2221" s="4">
        <f ca="1">IFERROR(__xludf.DUMMYFUNCTION("""COMPUTED_VALUE"""),44686)</f>
        <v>44686</v>
      </c>
      <c r="C2221" t="str">
        <f ca="1">IFERROR(__xludf.DUMMYFUNCTION("""COMPUTED_VALUE"""),"УДХБ БУ Г. ОМСКА 126-РДО от 01.01.2022")</f>
        <v>УДХБ БУ Г. ОМСКА 126-РДО от 01.01.2022</v>
      </c>
      <c r="D22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1" t="str">
        <f ca="1">IFERROR(__xludf.DUMMYFUNCTION("""COMPUTED_VALUE"""),"Новый")</f>
        <v>Новый</v>
      </c>
      <c r="G2221" s="68"/>
      <c r="K2221" s="68"/>
    </row>
    <row r="2222" spans="1:11" ht="12.75">
      <c r="A2222" s="69">
        <f ca="1">IFERROR(__xludf.DUMMYFUNCTION("""COMPUTED_VALUE"""),97610)</f>
        <v>97610</v>
      </c>
      <c r="B2222" s="4">
        <f ca="1">IFERROR(__xludf.DUMMYFUNCTION("""COMPUTED_VALUE"""),44686)</f>
        <v>44686</v>
      </c>
      <c r="C2222" t="str">
        <f ca="1">IFERROR(__xludf.DUMMYFUNCTION("""COMPUTED_VALUE"""),"УДХБ БУ Г. ОМСКА 126-РДО от 01.01.2022")</f>
        <v>УДХБ БУ Г. ОМСКА 126-РДО от 01.01.2022</v>
      </c>
      <c r="D22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2" t="str">
        <f ca="1">IFERROR(__xludf.DUMMYFUNCTION("""COMPUTED_VALUE"""),"Новый")</f>
        <v>Новый</v>
      </c>
      <c r="G2222" s="68"/>
      <c r="K2222" s="68"/>
    </row>
    <row r="2223" spans="1:11" ht="12.75">
      <c r="A2223" s="69">
        <f ca="1">IFERROR(__xludf.DUMMYFUNCTION("""COMPUTED_VALUE"""),97611)</f>
        <v>97611</v>
      </c>
      <c r="B2223" s="4">
        <f ca="1">IFERROR(__xludf.DUMMYFUNCTION("""COMPUTED_VALUE"""),44686)</f>
        <v>44686</v>
      </c>
      <c r="C2223" t="str">
        <f ca="1">IFERROR(__xludf.DUMMYFUNCTION("""COMPUTED_VALUE"""),"УДХБ БУ Г. ОМСКА 126-РДО от 01.01.2022")</f>
        <v>УДХБ БУ Г. ОМСКА 126-РДО от 01.01.2022</v>
      </c>
      <c r="D22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3" t="str">
        <f ca="1">IFERROR(__xludf.DUMMYFUNCTION("""COMPUTED_VALUE"""),"Новый")</f>
        <v>Новый</v>
      </c>
      <c r="G2223" s="68"/>
      <c r="K2223" s="68"/>
    </row>
    <row r="2224" spans="1:11" ht="12.75">
      <c r="A2224" s="69">
        <f ca="1">IFERROR(__xludf.DUMMYFUNCTION("""COMPUTED_VALUE"""),97612)</f>
        <v>97612</v>
      </c>
      <c r="B2224" s="4">
        <f ca="1">IFERROR(__xludf.DUMMYFUNCTION("""COMPUTED_VALUE"""),44686)</f>
        <v>44686</v>
      </c>
      <c r="C2224" t="str">
        <f ca="1">IFERROR(__xludf.DUMMYFUNCTION("""COMPUTED_VALUE"""),"УДХБ БУ Г. ОМСКА 126-РДО от 01.01.2022")</f>
        <v>УДХБ БУ Г. ОМСКА 126-РДО от 01.01.2022</v>
      </c>
      <c r="D22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4" t="str">
        <f ca="1">IFERROR(__xludf.DUMMYFUNCTION("""COMPUTED_VALUE"""),"Новый")</f>
        <v>Новый</v>
      </c>
      <c r="G2224" s="68"/>
      <c r="K2224" s="68"/>
    </row>
    <row r="2225" spans="1:11" ht="12.75">
      <c r="A2225" s="69">
        <f ca="1">IFERROR(__xludf.DUMMYFUNCTION("""COMPUTED_VALUE"""),97613)</f>
        <v>97613</v>
      </c>
      <c r="B2225" s="4">
        <f ca="1">IFERROR(__xludf.DUMMYFUNCTION("""COMPUTED_VALUE"""),44686)</f>
        <v>44686</v>
      </c>
      <c r="C2225" t="str">
        <f ca="1">IFERROR(__xludf.DUMMYFUNCTION("""COMPUTED_VALUE"""),"УДХБ БУ Г. ОМСКА 126-РДО от 01.01.2022")</f>
        <v>УДХБ БУ Г. ОМСКА 126-РДО от 01.01.2022</v>
      </c>
      <c r="D22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5" t="str">
        <f ca="1">IFERROR(__xludf.DUMMYFUNCTION("""COMPUTED_VALUE"""),"Новый")</f>
        <v>Новый</v>
      </c>
      <c r="G2225" s="68"/>
      <c r="K2225" s="68"/>
    </row>
    <row r="2226" spans="1:11" ht="12.75">
      <c r="A2226" s="69">
        <f ca="1">IFERROR(__xludf.DUMMYFUNCTION("""COMPUTED_VALUE"""),97614)</f>
        <v>97614</v>
      </c>
      <c r="B2226" s="4">
        <f ca="1">IFERROR(__xludf.DUMMYFUNCTION("""COMPUTED_VALUE"""),44686)</f>
        <v>44686</v>
      </c>
      <c r="C2226" t="str">
        <f ca="1">IFERROR(__xludf.DUMMYFUNCTION("""COMPUTED_VALUE"""),"УДХБ БУ Г. ОМСКА 126-РДО от 01.01.2022")</f>
        <v>УДХБ БУ Г. ОМСКА 126-РДО от 01.01.2022</v>
      </c>
      <c r="D22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6" t="str">
        <f ca="1">IFERROR(__xludf.DUMMYFUNCTION("""COMPUTED_VALUE"""),"Новый")</f>
        <v>Новый</v>
      </c>
      <c r="G2226" s="68"/>
      <c r="K2226" s="68"/>
    </row>
    <row r="2227" spans="1:11" ht="12.75">
      <c r="A2227" s="69">
        <f ca="1">IFERROR(__xludf.DUMMYFUNCTION("""COMPUTED_VALUE"""),97615)</f>
        <v>97615</v>
      </c>
      <c r="B2227" s="4">
        <f ca="1">IFERROR(__xludf.DUMMYFUNCTION("""COMPUTED_VALUE"""),44686)</f>
        <v>44686</v>
      </c>
      <c r="C2227" t="str">
        <f ca="1">IFERROR(__xludf.DUMMYFUNCTION("""COMPUTED_VALUE"""),"УДХБ БУ Г. ОМСКА 126-РДО от 01.01.2022")</f>
        <v>УДХБ БУ Г. ОМСКА 126-РДО от 01.01.2022</v>
      </c>
      <c r="D22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7" t="str">
        <f ca="1">IFERROR(__xludf.DUMMYFUNCTION("""COMPUTED_VALUE"""),"Новый")</f>
        <v>Новый</v>
      </c>
      <c r="G2227" s="68"/>
      <c r="K2227" s="68"/>
    </row>
    <row r="2228" spans="1:11" ht="12.75">
      <c r="A2228" s="69">
        <f ca="1">IFERROR(__xludf.DUMMYFUNCTION("""COMPUTED_VALUE"""),97616)</f>
        <v>97616</v>
      </c>
      <c r="B2228" s="4">
        <f ca="1">IFERROR(__xludf.DUMMYFUNCTION("""COMPUTED_VALUE"""),44686)</f>
        <v>44686</v>
      </c>
      <c r="C2228" t="str">
        <f ca="1">IFERROR(__xludf.DUMMYFUNCTION("""COMPUTED_VALUE"""),"УДХБ БУ Г. ОМСКА 126-РДО от 01.01.2022")</f>
        <v>УДХБ БУ Г. ОМСКА 126-РДО от 01.01.2022</v>
      </c>
      <c r="D22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8" t="str">
        <f ca="1">IFERROR(__xludf.DUMMYFUNCTION("""COMPUTED_VALUE"""),"Новый")</f>
        <v>Новый</v>
      </c>
      <c r="G2228" s="68"/>
      <c r="K2228" s="68"/>
    </row>
    <row r="2229" spans="1:11" ht="12.75">
      <c r="A2229" s="69">
        <f ca="1">IFERROR(__xludf.DUMMYFUNCTION("""COMPUTED_VALUE"""),97617)</f>
        <v>97617</v>
      </c>
      <c r="B2229" s="4">
        <f ca="1">IFERROR(__xludf.DUMMYFUNCTION("""COMPUTED_VALUE"""),44686)</f>
        <v>44686</v>
      </c>
      <c r="C2229" t="str">
        <f ca="1">IFERROR(__xludf.DUMMYFUNCTION("""COMPUTED_VALUE"""),"УДХБ БУ Г. ОМСКА 126-РДО от 01.01.2022")</f>
        <v>УДХБ БУ Г. ОМСКА 126-РДО от 01.01.2022</v>
      </c>
      <c r="D22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29" t="str">
        <f ca="1">IFERROR(__xludf.DUMMYFUNCTION("""COMPUTED_VALUE"""),"Новый")</f>
        <v>Новый</v>
      </c>
      <c r="G2229" s="68"/>
      <c r="K2229" s="68"/>
    </row>
    <row r="2230" spans="1:11" ht="12.75">
      <c r="A2230" s="69">
        <f ca="1">IFERROR(__xludf.DUMMYFUNCTION("""COMPUTED_VALUE"""),97618)</f>
        <v>97618</v>
      </c>
      <c r="B2230" s="4">
        <f ca="1">IFERROR(__xludf.DUMMYFUNCTION("""COMPUTED_VALUE"""),44686)</f>
        <v>44686</v>
      </c>
      <c r="C2230" t="str">
        <f ca="1">IFERROR(__xludf.DUMMYFUNCTION("""COMPUTED_VALUE"""),"УДХБ БУ Г. ОМСКА 126-РДО от 01.01.2022")</f>
        <v>УДХБ БУ Г. ОМСКА 126-РДО от 01.01.2022</v>
      </c>
      <c r="D22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0" t="str">
        <f ca="1">IFERROR(__xludf.DUMMYFUNCTION("""COMPUTED_VALUE"""),"Новый")</f>
        <v>Новый</v>
      </c>
      <c r="G2230" s="68"/>
      <c r="K2230" s="68"/>
    </row>
    <row r="2231" spans="1:11" ht="12.75">
      <c r="A2231" s="69">
        <f ca="1">IFERROR(__xludf.DUMMYFUNCTION("""COMPUTED_VALUE"""),97619)</f>
        <v>97619</v>
      </c>
      <c r="B2231" s="4">
        <f ca="1">IFERROR(__xludf.DUMMYFUNCTION("""COMPUTED_VALUE"""),44686)</f>
        <v>44686</v>
      </c>
      <c r="C2231" t="str">
        <f ca="1">IFERROR(__xludf.DUMMYFUNCTION("""COMPUTED_VALUE"""),"УДХБ БУ Г. ОМСКА 126-РДО от 01.01.2022")</f>
        <v>УДХБ БУ Г. ОМСКА 126-РДО от 01.01.2022</v>
      </c>
      <c r="D22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1" t="str">
        <f ca="1">IFERROR(__xludf.DUMMYFUNCTION("""COMPUTED_VALUE"""),"Новый")</f>
        <v>Новый</v>
      </c>
      <c r="G2231" s="68"/>
      <c r="K2231" s="68"/>
    </row>
    <row r="2232" spans="1:11" ht="12.75">
      <c r="A2232" s="69">
        <f ca="1">IFERROR(__xludf.DUMMYFUNCTION("""COMPUTED_VALUE"""),97620)</f>
        <v>97620</v>
      </c>
      <c r="B2232" s="4">
        <f ca="1">IFERROR(__xludf.DUMMYFUNCTION("""COMPUTED_VALUE"""),44686)</f>
        <v>44686</v>
      </c>
      <c r="C2232" t="str">
        <f ca="1">IFERROR(__xludf.DUMMYFUNCTION("""COMPUTED_VALUE"""),"УДХБ БУ Г. ОМСКА 126-РДО от 01.01.2022")</f>
        <v>УДХБ БУ Г. ОМСКА 126-РДО от 01.01.2022</v>
      </c>
      <c r="D22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2" t="str">
        <f ca="1">IFERROR(__xludf.DUMMYFUNCTION("""COMPUTED_VALUE"""),"Новый")</f>
        <v>Новый</v>
      </c>
      <c r="G2232" s="68"/>
      <c r="K2232" s="68"/>
    </row>
    <row r="2233" spans="1:11" ht="12.75">
      <c r="A2233" s="69">
        <f ca="1">IFERROR(__xludf.DUMMYFUNCTION("""COMPUTED_VALUE"""),97621)</f>
        <v>97621</v>
      </c>
      <c r="B2233" s="4">
        <f ca="1">IFERROR(__xludf.DUMMYFUNCTION("""COMPUTED_VALUE"""),44686)</f>
        <v>44686</v>
      </c>
      <c r="C2233" t="str">
        <f ca="1">IFERROR(__xludf.DUMMYFUNCTION("""COMPUTED_VALUE"""),"УДХБ БУ Г. ОМСКА 126-РДО от 01.01.2022")</f>
        <v>УДХБ БУ Г. ОМСКА 126-РДО от 01.01.2022</v>
      </c>
      <c r="D22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3" t="str">
        <f ca="1">IFERROR(__xludf.DUMMYFUNCTION("""COMPUTED_VALUE"""),"Новый")</f>
        <v>Новый</v>
      </c>
      <c r="G2233" s="68"/>
      <c r="K2233" s="68"/>
    </row>
    <row r="2234" spans="1:11" ht="12.75">
      <c r="A2234" s="69">
        <f ca="1">IFERROR(__xludf.DUMMYFUNCTION("""COMPUTED_VALUE"""),97622)</f>
        <v>97622</v>
      </c>
      <c r="B2234" s="4">
        <f ca="1">IFERROR(__xludf.DUMMYFUNCTION("""COMPUTED_VALUE"""),44686)</f>
        <v>44686</v>
      </c>
      <c r="C2234" t="str">
        <f ca="1">IFERROR(__xludf.DUMMYFUNCTION("""COMPUTED_VALUE"""),"УДХБ БУ Г. ОМСКА 126-РДО от 01.01.2022")</f>
        <v>УДХБ БУ Г. ОМСКА 126-РДО от 01.01.2022</v>
      </c>
      <c r="D22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4" t="str">
        <f ca="1">IFERROR(__xludf.DUMMYFUNCTION("""COMPUTED_VALUE"""),"Новый")</f>
        <v>Новый</v>
      </c>
      <c r="G2234" s="68"/>
      <c r="K2234" s="68"/>
    </row>
    <row r="2235" spans="1:11" ht="12.75">
      <c r="A2235" s="69">
        <f ca="1">IFERROR(__xludf.DUMMYFUNCTION("""COMPUTED_VALUE"""),97623)</f>
        <v>97623</v>
      </c>
      <c r="B2235" s="4">
        <f ca="1">IFERROR(__xludf.DUMMYFUNCTION("""COMPUTED_VALUE"""),44686)</f>
        <v>44686</v>
      </c>
      <c r="C2235" t="str">
        <f ca="1">IFERROR(__xludf.DUMMYFUNCTION("""COMPUTED_VALUE"""),"УДХБ БУ Г. ОМСКА 126-РДО от 01.01.2022")</f>
        <v>УДХБ БУ Г. ОМСКА 126-РДО от 01.01.2022</v>
      </c>
      <c r="D22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5" t="str">
        <f ca="1">IFERROR(__xludf.DUMMYFUNCTION("""COMPUTED_VALUE"""),"Новый")</f>
        <v>Новый</v>
      </c>
      <c r="G2235" s="68"/>
      <c r="K2235" s="68"/>
    </row>
    <row r="2236" spans="1:11" ht="12.75">
      <c r="A2236" s="69">
        <f ca="1">IFERROR(__xludf.DUMMYFUNCTION("""COMPUTED_VALUE"""),97624)</f>
        <v>97624</v>
      </c>
      <c r="B2236" s="4">
        <f ca="1">IFERROR(__xludf.DUMMYFUNCTION("""COMPUTED_VALUE"""),44686)</f>
        <v>44686</v>
      </c>
      <c r="C2236" t="str">
        <f ca="1">IFERROR(__xludf.DUMMYFUNCTION("""COMPUTED_VALUE"""),"УДХБ БУ Г. ОМСКА 126-РДО от 01.01.2022")</f>
        <v>УДХБ БУ Г. ОМСКА 126-РДО от 01.01.2022</v>
      </c>
      <c r="D22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6" t="str">
        <f ca="1">IFERROR(__xludf.DUMMYFUNCTION("""COMPUTED_VALUE"""),"Новый")</f>
        <v>Новый</v>
      </c>
      <c r="G2236" s="68"/>
      <c r="K2236" s="68"/>
    </row>
    <row r="2237" spans="1:11" ht="12.75">
      <c r="A2237" s="69">
        <f ca="1">IFERROR(__xludf.DUMMYFUNCTION("""COMPUTED_VALUE"""),97625)</f>
        <v>97625</v>
      </c>
      <c r="B2237" s="4">
        <f ca="1">IFERROR(__xludf.DUMMYFUNCTION("""COMPUTED_VALUE"""),44686)</f>
        <v>44686</v>
      </c>
      <c r="C2237" t="str">
        <f ca="1">IFERROR(__xludf.DUMMYFUNCTION("""COMPUTED_VALUE"""),"УДХБ БУ Г. ОМСКА 126-РДО от 01.01.2022")</f>
        <v>УДХБ БУ Г. ОМСКА 126-РДО от 01.01.2022</v>
      </c>
      <c r="D22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7" t="str">
        <f ca="1">IFERROR(__xludf.DUMMYFUNCTION("""COMPUTED_VALUE"""),"Новый")</f>
        <v>Новый</v>
      </c>
      <c r="G2237" s="68"/>
      <c r="K2237" s="68"/>
    </row>
    <row r="2238" spans="1:11" ht="12.75">
      <c r="A2238" s="69">
        <f ca="1">IFERROR(__xludf.DUMMYFUNCTION("""COMPUTED_VALUE"""),97626)</f>
        <v>97626</v>
      </c>
      <c r="B2238" s="4">
        <f ca="1">IFERROR(__xludf.DUMMYFUNCTION("""COMPUTED_VALUE"""),44686)</f>
        <v>44686</v>
      </c>
      <c r="C2238" t="str">
        <f ca="1">IFERROR(__xludf.DUMMYFUNCTION("""COMPUTED_VALUE"""),"УДХБ БУ Г. ОМСКА 126-РДО от 01.01.2022")</f>
        <v>УДХБ БУ Г. ОМСКА 126-РДО от 01.01.2022</v>
      </c>
      <c r="D22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8" t="str">
        <f ca="1">IFERROR(__xludf.DUMMYFUNCTION("""COMPUTED_VALUE"""),"Новый")</f>
        <v>Новый</v>
      </c>
      <c r="G2238" s="68"/>
      <c r="K2238" s="68"/>
    </row>
    <row r="2239" spans="1:11" ht="12.75">
      <c r="A2239" s="69">
        <f ca="1">IFERROR(__xludf.DUMMYFUNCTION("""COMPUTED_VALUE"""),97627)</f>
        <v>97627</v>
      </c>
      <c r="B2239" s="4">
        <f ca="1">IFERROR(__xludf.DUMMYFUNCTION("""COMPUTED_VALUE"""),44686)</f>
        <v>44686</v>
      </c>
      <c r="C2239" t="str">
        <f ca="1">IFERROR(__xludf.DUMMYFUNCTION("""COMPUTED_VALUE"""),"УДХБ БУ Г. ОМСКА 126-РДО от 01.01.2022")</f>
        <v>УДХБ БУ Г. ОМСКА 126-РДО от 01.01.2022</v>
      </c>
      <c r="D22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39" t="str">
        <f ca="1">IFERROR(__xludf.DUMMYFUNCTION("""COMPUTED_VALUE"""),"Новый")</f>
        <v>Новый</v>
      </c>
      <c r="G2239" s="68"/>
      <c r="K2239" s="68"/>
    </row>
    <row r="2240" spans="1:11" ht="12.75">
      <c r="A2240" s="69">
        <f ca="1">IFERROR(__xludf.DUMMYFUNCTION("""COMPUTED_VALUE"""),97628)</f>
        <v>97628</v>
      </c>
      <c r="B2240" s="4">
        <f ca="1">IFERROR(__xludf.DUMMYFUNCTION("""COMPUTED_VALUE"""),44686)</f>
        <v>44686</v>
      </c>
      <c r="C2240" t="str">
        <f ca="1">IFERROR(__xludf.DUMMYFUNCTION("""COMPUTED_VALUE"""),"УДХБ БУ Г. ОМСКА 126-РДО от 01.01.2022")</f>
        <v>УДХБ БУ Г. ОМСКА 126-РДО от 01.01.2022</v>
      </c>
      <c r="D22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0" t="str">
        <f ca="1">IFERROR(__xludf.DUMMYFUNCTION("""COMPUTED_VALUE"""),"Новый")</f>
        <v>Новый</v>
      </c>
      <c r="G2240" s="68"/>
      <c r="K2240" s="68"/>
    </row>
    <row r="2241" spans="1:11" ht="12.75">
      <c r="A2241" s="69">
        <f ca="1">IFERROR(__xludf.DUMMYFUNCTION("""COMPUTED_VALUE"""),97629)</f>
        <v>97629</v>
      </c>
      <c r="B2241" s="4">
        <f ca="1">IFERROR(__xludf.DUMMYFUNCTION("""COMPUTED_VALUE"""),44686)</f>
        <v>44686</v>
      </c>
      <c r="C2241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1" t="str">
        <f ca="1">IFERROR(__xludf.DUMMYFUNCTION("""COMPUTED_VALUE"""),"Новый")</f>
        <v>Новый</v>
      </c>
      <c r="G2241" s="68"/>
      <c r="K2241" s="68"/>
    </row>
    <row r="2242" spans="1:11" ht="12.75">
      <c r="A2242" s="69">
        <f ca="1">IFERROR(__xludf.DUMMYFUNCTION("""COMPUTED_VALUE"""),97630)</f>
        <v>97630</v>
      </c>
      <c r="B2242" s="4">
        <f ca="1">IFERROR(__xludf.DUMMYFUNCTION("""COMPUTED_VALUE"""),44686)</f>
        <v>44686</v>
      </c>
      <c r="C2242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2" t="str">
        <f ca="1">IFERROR(__xludf.DUMMYFUNCTION("""COMPUTED_VALUE"""),"Новый")</f>
        <v>Новый</v>
      </c>
      <c r="G2242" s="68"/>
      <c r="K2242" s="68"/>
    </row>
    <row r="2243" spans="1:11" ht="12.75">
      <c r="A2243" s="69">
        <f ca="1">IFERROR(__xludf.DUMMYFUNCTION("""COMPUTED_VALUE"""),97631)</f>
        <v>97631</v>
      </c>
      <c r="B2243" s="4">
        <f ca="1">IFERROR(__xludf.DUMMYFUNCTION("""COMPUTED_VALUE"""),44686)</f>
        <v>44686</v>
      </c>
      <c r="C2243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3" t="str">
        <f ca="1">IFERROR(__xludf.DUMMYFUNCTION("""COMPUTED_VALUE"""),"Новый")</f>
        <v>Новый</v>
      </c>
      <c r="G2243" s="68"/>
      <c r="K2243" s="68"/>
    </row>
    <row r="2244" spans="1:11" ht="12.75">
      <c r="A2244" s="69">
        <f ca="1">IFERROR(__xludf.DUMMYFUNCTION("""COMPUTED_VALUE"""),97632)</f>
        <v>97632</v>
      </c>
      <c r="B2244" s="4">
        <f ca="1">IFERROR(__xludf.DUMMYFUNCTION("""COMPUTED_VALUE"""),44686)</f>
        <v>44686</v>
      </c>
      <c r="C2244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4" t="str">
        <f ca="1">IFERROR(__xludf.DUMMYFUNCTION("""COMPUTED_VALUE"""),"Новый")</f>
        <v>Новый</v>
      </c>
      <c r="G2244" s="68"/>
      <c r="K2244" s="68"/>
    </row>
    <row r="2245" spans="1:11" ht="12.75">
      <c r="A2245" s="69">
        <f ca="1">IFERROR(__xludf.DUMMYFUNCTION("""COMPUTED_VALUE"""),97633)</f>
        <v>97633</v>
      </c>
      <c r="B2245" s="4">
        <f ca="1">IFERROR(__xludf.DUMMYFUNCTION("""COMPUTED_VALUE"""),44686)</f>
        <v>44686</v>
      </c>
      <c r="C2245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5" t="str">
        <f ca="1">IFERROR(__xludf.DUMMYFUNCTION("""COMPUTED_VALUE"""),"Новый")</f>
        <v>Новый</v>
      </c>
      <c r="G2245" s="68"/>
      <c r="K2245" s="68"/>
    </row>
    <row r="2246" spans="1:11" ht="12.75">
      <c r="A2246" s="69">
        <f ca="1">IFERROR(__xludf.DUMMYFUNCTION("""COMPUTED_VALUE"""),97634)</f>
        <v>97634</v>
      </c>
      <c r="B2246" s="4">
        <f ca="1">IFERROR(__xludf.DUMMYFUNCTION("""COMPUTED_VALUE"""),44686)</f>
        <v>44686</v>
      </c>
      <c r="C2246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6" t="str">
        <f ca="1">IFERROR(__xludf.DUMMYFUNCTION("""COMPUTED_VALUE"""),"Новый")</f>
        <v>Новый</v>
      </c>
      <c r="G2246" s="68"/>
      <c r="K2246" s="68"/>
    </row>
    <row r="2247" spans="1:11" ht="12.75">
      <c r="A2247" s="69">
        <f ca="1">IFERROR(__xludf.DUMMYFUNCTION("""COMPUTED_VALUE"""),97635)</f>
        <v>97635</v>
      </c>
      <c r="B2247" s="4">
        <f ca="1">IFERROR(__xludf.DUMMYFUNCTION("""COMPUTED_VALUE"""),44686)</f>
        <v>44686</v>
      </c>
      <c r="C2247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7" t="str">
        <f ca="1">IFERROR(__xludf.DUMMYFUNCTION("""COMPUTED_VALUE"""),"Новый")</f>
        <v>Новый</v>
      </c>
      <c r="G2247" s="68"/>
      <c r="K2247" s="68"/>
    </row>
    <row r="2248" spans="1:11" ht="12.75">
      <c r="A2248" s="69">
        <f ca="1">IFERROR(__xludf.DUMMYFUNCTION("""COMPUTED_VALUE"""),97636)</f>
        <v>97636</v>
      </c>
      <c r="B2248" s="4">
        <f ca="1">IFERROR(__xludf.DUMMYFUNCTION("""COMPUTED_VALUE"""),44686)</f>
        <v>44686</v>
      </c>
      <c r="C2248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8" t="str">
        <f ca="1">IFERROR(__xludf.DUMMYFUNCTION("""COMPUTED_VALUE"""),"Новый")</f>
        <v>Новый</v>
      </c>
      <c r="G2248" s="68"/>
      <c r="K2248" s="68"/>
    </row>
    <row r="2249" spans="1:11" ht="12.75">
      <c r="A2249" s="69">
        <f ca="1">IFERROR(__xludf.DUMMYFUNCTION("""COMPUTED_VALUE"""),97637)</f>
        <v>97637</v>
      </c>
      <c r="B2249" s="4">
        <f ca="1">IFERROR(__xludf.DUMMYFUNCTION("""COMPUTED_VALUE"""),44686)</f>
        <v>44686</v>
      </c>
      <c r="C2249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49" t="str">
        <f ca="1">IFERROR(__xludf.DUMMYFUNCTION("""COMPUTED_VALUE"""),"Новый")</f>
        <v>Новый</v>
      </c>
      <c r="G2249" s="68"/>
      <c r="K2249" s="68"/>
    </row>
    <row r="2250" spans="1:11" ht="12.75">
      <c r="A2250" s="69">
        <f ca="1">IFERROR(__xludf.DUMMYFUNCTION("""COMPUTED_VALUE"""),97638)</f>
        <v>97638</v>
      </c>
      <c r="B2250" s="4">
        <f ca="1">IFERROR(__xludf.DUMMYFUNCTION("""COMPUTED_VALUE"""),44686)</f>
        <v>44686</v>
      </c>
      <c r="C2250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0" t="str">
        <f ca="1">IFERROR(__xludf.DUMMYFUNCTION("""COMPUTED_VALUE"""),"Новый")</f>
        <v>Новый</v>
      </c>
      <c r="G2250" s="68"/>
      <c r="K2250" s="68"/>
    </row>
    <row r="2251" spans="1:11" ht="12.75">
      <c r="A2251" s="69">
        <f ca="1">IFERROR(__xludf.DUMMYFUNCTION("""COMPUTED_VALUE"""),97639)</f>
        <v>97639</v>
      </c>
      <c r="B2251" s="4">
        <f ca="1">IFERROR(__xludf.DUMMYFUNCTION("""COMPUTED_VALUE"""),44686)</f>
        <v>44686</v>
      </c>
      <c r="C2251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1" t="str">
        <f ca="1">IFERROR(__xludf.DUMMYFUNCTION("""COMPUTED_VALUE"""),"Новый")</f>
        <v>Новый</v>
      </c>
      <c r="G2251" s="68"/>
      <c r="K2251" s="68"/>
    </row>
    <row r="2252" spans="1:11" ht="12.75">
      <c r="A2252" s="69">
        <f ca="1">IFERROR(__xludf.DUMMYFUNCTION("""COMPUTED_VALUE"""),97640)</f>
        <v>97640</v>
      </c>
      <c r="B2252" s="4">
        <f ca="1">IFERROR(__xludf.DUMMYFUNCTION("""COMPUTED_VALUE"""),44686)</f>
        <v>44686</v>
      </c>
      <c r="C2252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2" t="str">
        <f ca="1">IFERROR(__xludf.DUMMYFUNCTION("""COMPUTED_VALUE"""),"Новый")</f>
        <v>Новый</v>
      </c>
      <c r="G2252" s="68"/>
      <c r="K2252" s="68"/>
    </row>
    <row r="2253" spans="1:11" ht="12.75">
      <c r="A2253" s="69">
        <f ca="1">IFERROR(__xludf.DUMMYFUNCTION("""COMPUTED_VALUE"""),97641)</f>
        <v>97641</v>
      </c>
      <c r="B2253" s="4">
        <f ca="1">IFERROR(__xludf.DUMMYFUNCTION("""COMPUTED_VALUE"""),44686)</f>
        <v>44686</v>
      </c>
      <c r="C2253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3" t="str">
        <f ca="1">IFERROR(__xludf.DUMMYFUNCTION("""COMPUTED_VALUE"""),"Новый")</f>
        <v>Новый</v>
      </c>
      <c r="G2253" s="68"/>
      <c r="K2253" s="68"/>
    </row>
    <row r="2254" spans="1:11" ht="12.75">
      <c r="A2254" s="69">
        <f ca="1">IFERROR(__xludf.DUMMYFUNCTION("""COMPUTED_VALUE"""),97642)</f>
        <v>97642</v>
      </c>
      <c r="B2254" s="4">
        <f ca="1">IFERROR(__xludf.DUMMYFUNCTION("""COMPUTED_VALUE"""),44686)</f>
        <v>44686</v>
      </c>
      <c r="C2254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4" t="str">
        <f ca="1">IFERROR(__xludf.DUMMYFUNCTION("""COMPUTED_VALUE"""),"Новый")</f>
        <v>Новый</v>
      </c>
      <c r="G2254" s="68"/>
      <c r="K2254" s="68"/>
    </row>
    <row r="2255" spans="1:11" ht="12.75">
      <c r="A2255" s="69">
        <f ca="1">IFERROR(__xludf.DUMMYFUNCTION("""COMPUTED_VALUE"""),97643)</f>
        <v>97643</v>
      </c>
      <c r="B2255" s="4">
        <f ca="1">IFERROR(__xludf.DUMMYFUNCTION("""COMPUTED_VALUE"""),44686)</f>
        <v>44686</v>
      </c>
      <c r="C2255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5" t="str">
        <f ca="1">IFERROR(__xludf.DUMMYFUNCTION("""COMPUTED_VALUE"""),"Новый")</f>
        <v>Новый</v>
      </c>
      <c r="G2255" s="68"/>
      <c r="K2255" s="68"/>
    </row>
    <row r="2256" spans="1:11" ht="12.75">
      <c r="A2256" s="69">
        <f ca="1">IFERROR(__xludf.DUMMYFUNCTION("""COMPUTED_VALUE"""),97644)</f>
        <v>97644</v>
      </c>
      <c r="B2256" s="4">
        <f ca="1">IFERROR(__xludf.DUMMYFUNCTION("""COMPUTED_VALUE"""),44686)</f>
        <v>44686</v>
      </c>
      <c r="C2256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6" t="str">
        <f ca="1">IFERROR(__xludf.DUMMYFUNCTION("""COMPUTED_VALUE"""),"Новый")</f>
        <v>Новый</v>
      </c>
      <c r="G2256" s="68"/>
      <c r="K2256" s="68"/>
    </row>
    <row r="2257" spans="1:11" ht="12.75">
      <c r="A2257" s="69">
        <f ca="1">IFERROR(__xludf.DUMMYFUNCTION("""COMPUTED_VALUE"""),97645)</f>
        <v>97645</v>
      </c>
      <c r="B2257" s="4">
        <f ca="1">IFERROR(__xludf.DUMMYFUNCTION("""COMPUTED_VALUE"""),44686)</f>
        <v>44686</v>
      </c>
      <c r="C2257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7" t="str">
        <f ca="1">IFERROR(__xludf.DUMMYFUNCTION("""COMPUTED_VALUE"""),"Новый")</f>
        <v>Новый</v>
      </c>
      <c r="G2257" s="68"/>
      <c r="K2257" s="68"/>
    </row>
    <row r="2258" spans="1:11" ht="12.75">
      <c r="A2258" s="69">
        <f ca="1">IFERROR(__xludf.DUMMYFUNCTION("""COMPUTED_VALUE"""),97646)</f>
        <v>97646</v>
      </c>
      <c r="B2258" s="4">
        <f ca="1">IFERROR(__xludf.DUMMYFUNCTION("""COMPUTED_VALUE"""),44686)</f>
        <v>44686</v>
      </c>
      <c r="C2258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8" t="str">
        <f ca="1">IFERROR(__xludf.DUMMYFUNCTION("""COMPUTED_VALUE"""),"Новый")</f>
        <v>Новый</v>
      </c>
      <c r="G2258" s="68"/>
      <c r="K2258" s="68"/>
    </row>
    <row r="2259" spans="1:11" ht="12.75">
      <c r="A2259" s="69">
        <f ca="1">IFERROR(__xludf.DUMMYFUNCTION("""COMPUTED_VALUE"""),97647)</f>
        <v>97647</v>
      </c>
      <c r="B2259" s="4">
        <f ca="1">IFERROR(__xludf.DUMMYFUNCTION("""COMPUTED_VALUE"""),44686)</f>
        <v>44686</v>
      </c>
      <c r="C2259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59" t="str">
        <f ca="1">IFERROR(__xludf.DUMMYFUNCTION("""COMPUTED_VALUE"""),"Новый")</f>
        <v>Новый</v>
      </c>
      <c r="G2259" s="68"/>
      <c r="K2259" s="68"/>
    </row>
    <row r="2260" spans="1:11" ht="12.75">
      <c r="A2260" s="69">
        <f ca="1">IFERROR(__xludf.DUMMYFUNCTION("""COMPUTED_VALUE"""),97648)</f>
        <v>97648</v>
      </c>
      <c r="B2260" s="4">
        <f ca="1">IFERROR(__xludf.DUMMYFUNCTION("""COMPUTED_VALUE"""),44686)</f>
        <v>44686</v>
      </c>
      <c r="C2260" t="str">
        <f ca="1">IFERROR(__xludf.DUMMYFUNCTION("""COMPUTED_VALUE"""),"ООО ""Омский автобусный завод"" 126-СТР от 05.04.2022")</f>
        <v>ООО "Омский автобусный завод" 126-СТР от 05.04.2022</v>
      </c>
      <c r="D22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60" t="str">
        <f ca="1">IFERROR(__xludf.DUMMYFUNCTION("""COMPUTED_VALUE"""),"Новый")</f>
        <v>Новый</v>
      </c>
      <c r="G2260" s="68"/>
      <c r="K2260" s="68"/>
    </row>
    <row r="2261" spans="1:11" ht="12.75">
      <c r="A2261" s="69">
        <f ca="1">IFERROR(__xludf.DUMMYFUNCTION("""COMPUTED_VALUE"""),97703)</f>
        <v>97703</v>
      </c>
      <c r="B2261" s="4">
        <f ca="1">IFERROR(__xludf.DUMMYFUNCTION("""COMPUTED_VALUE"""),44692)</f>
        <v>44692</v>
      </c>
      <c r="C2261" t="str">
        <f ca="1">IFERROR(__xludf.DUMMYFUNCTION("""COMPUTED_VALUE"""),"ООО ""ЛИКВИДАТОР"" №116-СТР от 01.03.2022")</f>
        <v>ООО "ЛИКВИДАТОР" №116-СТР от 01.03.2022</v>
      </c>
      <c r="D22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61" t="str">
        <f ca="1">IFERROR(__xludf.DUMMYFUNCTION("""COMPUTED_VALUE"""),"Новый")</f>
        <v>Новый</v>
      </c>
      <c r="G2261" s="68"/>
      <c r="K2261" s="68"/>
    </row>
    <row r="2262" spans="1:11" ht="12.75">
      <c r="A2262" s="69">
        <f ca="1">IFERROR(__xludf.DUMMYFUNCTION("""COMPUTED_VALUE"""),97708)</f>
        <v>97708</v>
      </c>
      <c r="B2262" s="4">
        <f ca="1">IFERROR(__xludf.DUMMYFUNCTION("""COMPUTED_VALUE"""),44692)</f>
        <v>44692</v>
      </c>
      <c r="C2262" t="str">
        <f ca="1">IFERROR(__xludf.DUMMYFUNCTION("""COMPUTED_VALUE"""),"ООО ""ЛИКВИДАТОР"" №116-СТР от 01.03.2022")</f>
        <v>ООО "ЛИКВИДАТОР" №116-СТР от 01.03.2022</v>
      </c>
      <c r="D22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62" t="str">
        <f ca="1">IFERROR(__xludf.DUMMYFUNCTION("""COMPUTED_VALUE"""),"Новый")</f>
        <v>Новый</v>
      </c>
      <c r="G2262" s="68"/>
      <c r="K2262" s="68"/>
    </row>
    <row r="2263" spans="1:11" ht="12.75">
      <c r="A2263" s="69">
        <f ca="1">IFERROR(__xludf.DUMMYFUNCTION("""COMPUTED_VALUE"""),97763)</f>
        <v>97763</v>
      </c>
      <c r="B2263" s="4">
        <f ca="1">IFERROR(__xludf.DUMMYFUNCTION("""COMPUTED_VALUE"""),44692)</f>
        <v>44692</v>
      </c>
      <c r="C2263" t="str">
        <f ca="1">IFERROR(__xludf.DUMMYFUNCTION("""COMPUTED_VALUE"""),"ООО ""СТРОЙ РЕМОНТ"" 165-РДО от 26.04.2022")</f>
        <v>ООО "СТРОЙ РЕМОНТ" 165-РДО от 26.04.2022</v>
      </c>
      <c r="D22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63" t="str">
        <f ca="1">IFERROR(__xludf.DUMMYFUNCTION("""COMPUTED_VALUE"""),"Новый")</f>
        <v>Новый</v>
      </c>
      <c r="G2263" s="68"/>
      <c r="K2263" s="68"/>
    </row>
    <row r="2264" spans="1:11" ht="12.75">
      <c r="A2264" s="69">
        <f ca="1">IFERROR(__xludf.DUMMYFUNCTION("""COMPUTED_VALUE"""),97787)</f>
        <v>97787</v>
      </c>
      <c r="B2264" s="4">
        <f ca="1">IFERROR(__xludf.DUMMYFUNCTION("""COMPUTED_VALUE"""),44693)</f>
        <v>44693</v>
      </c>
      <c r="C2264" t="str">
        <f ca="1">IFERROR(__xludf.DUMMYFUNCTION("""COMPUTED_VALUE"""),"БУЗОО ""КМСЧ № 9"" 143-РДО от 07.04.2022")</f>
        <v>БУЗОО "КМСЧ № 9" 143-РДО от 07.04.2022</v>
      </c>
      <c r="D22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64" t="str">
        <f ca="1">IFERROR(__xludf.DUMMYFUNCTION("""COMPUTED_VALUE"""),"Новый")</f>
        <v>Новый</v>
      </c>
      <c r="G2264" s="68"/>
      <c r="K2264" s="68"/>
    </row>
    <row r="2265" spans="1:11" ht="12.75">
      <c r="A2265" s="69">
        <f ca="1">IFERROR(__xludf.DUMMYFUNCTION("""COMPUTED_VALUE"""),97788)</f>
        <v>97788</v>
      </c>
      <c r="B2265" s="4">
        <f ca="1">IFERROR(__xludf.DUMMYFUNCTION("""COMPUTED_VALUE"""),44693)</f>
        <v>44693</v>
      </c>
      <c r="C2265" t="str">
        <f ca="1">IFERROR(__xludf.DUMMYFUNCTION("""COMPUTED_VALUE"""),"БУЗОО ""КМСЧ № 9"" 143-РДО от 07.04.2022")</f>
        <v>БУЗОО "КМСЧ № 9" 143-РДО от 07.04.2022</v>
      </c>
      <c r="D22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65" t="str">
        <f ca="1">IFERROR(__xludf.DUMMYFUNCTION("""COMPUTED_VALUE"""),"Новый")</f>
        <v>Новый</v>
      </c>
      <c r="G2265" s="68"/>
      <c r="K2265" s="68"/>
    </row>
    <row r="2266" spans="1:11" ht="12.75">
      <c r="A2266" s="69">
        <f ca="1">IFERROR(__xludf.DUMMYFUNCTION("""COMPUTED_VALUE"""),97789)</f>
        <v>97789</v>
      </c>
      <c r="B2266" s="4">
        <f ca="1">IFERROR(__xludf.DUMMYFUNCTION("""COMPUTED_VALUE"""),44694)</f>
        <v>44694</v>
      </c>
      <c r="C2266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66" s="67"/>
      <c r="E2266" t="str">
        <f ca="1">IFERROR(__xludf.DUMMYFUNCTION("""COMPUTED_VALUE"""),"Новый")</f>
        <v>Новый</v>
      </c>
      <c r="G2266" s="68"/>
      <c r="K2266" s="68"/>
    </row>
    <row r="2267" spans="1:11" ht="12.75">
      <c r="A2267" s="69">
        <f ca="1">IFERROR(__xludf.DUMMYFUNCTION("""COMPUTED_VALUE"""),97790)</f>
        <v>97790</v>
      </c>
      <c r="B2267" s="4">
        <f ca="1">IFERROR(__xludf.DUMMYFUNCTION("""COMPUTED_VALUE"""),44694)</f>
        <v>44694</v>
      </c>
      <c r="C2267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67" s="67"/>
      <c r="E2267" t="str">
        <f ca="1">IFERROR(__xludf.DUMMYFUNCTION("""COMPUTED_VALUE"""),"Новый")</f>
        <v>Новый</v>
      </c>
      <c r="G2267" s="68"/>
      <c r="K2267" s="68"/>
    </row>
    <row r="2268" spans="1:11" ht="12.75">
      <c r="A2268" s="69">
        <f ca="1">IFERROR(__xludf.DUMMYFUNCTION("""COMPUTED_VALUE"""),97791)</f>
        <v>97791</v>
      </c>
      <c r="B2268" s="4">
        <f ca="1">IFERROR(__xludf.DUMMYFUNCTION("""COMPUTED_VALUE"""),44694)</f>
        <v>44694</v>
      </c>
      <c r="C2268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68" s="67"/>
      <c r="E2268" t="str">
        <f ca="1">IFERROR(__xludf.DUMMYFUNCTION("""COMPUTED_VALUE"""),"Новый")</f>
        <v>Новый</v>
      </c>
      <c r="G2268" s="68"/>
      <c r="K2268" s="68"/>
    </row>
    <row r="2269" spans="1:11" ht="12.75">
      <c r="A2269" s="69">
        <f ca="1">IFERROR(__xludf.DUMMYFUNCTION("""COMPUTED_VALUE"""),97792)</f>
        <v>97792</v>
      </c>
      <c r="B2269" s="4">
        <f ca="1">IFERROR(__xludf.DUMMYFUNCTION("""COMPUTED_VALUE"""),44694)</f>
        <v>44694</v>
      </c>
      <c r="C2269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69" s="67"/>
      <c r="E2269" t="str">
        <f ca="1">IFERROR(__xludf.DUMMYFUNCTION("""COMPUTED_VALUE"""),"Новый")</f>
        <v>Новый</v>
      </c>
      <c r="G2269" s="68"/>
      <c r="K2269" s="68"/>
    </row>
    <row r="2270" spans="1:11" ht="12.75">
      <c r="A2270" s="69">
        <f ca="1">IFERROR(__xludf.DUMMYFUNCTION("""COMPUTED_VALUE"""),97795)</f>
        <v>97795</v>
      </c>
      <c r="B2270" s="4">
        <f ca="1">IFERROR(__xludf.DUMMYFUNCTION("""COMPUTED_VALUE"""),44694)</f>
        <v>44694</v>
      </c>
      <c r="C2270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0" t="str">
        <f ca="1">IFERROR(__xludf.DUMMYFUNCTION("""COMPUTED_VALUE"""),"Новый")</f>
        <v>Новый</v>
      </c>
      <c r="G2270" s="68"/>
      <c r="K2270" s="68"/>
    </row>
    <row r="2271" spans="1:11" ht="12.75">
      <c r="A2271" s="69">
        <f ca="1">IFERROR(__xludf.DUMMYFUNCTION("""COMPUTED_VALUE"""),97796)</f>
        <v>97796</v>
      </c>
      <c r="B2271" s="4">
        <f ca="1">IFERROR(__xludf.DUMMYFUNCTION("""COMPUTED_VALUE"""),44694)</f>
        <v>44694</v>
      </c>
      <c r="C2271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1" t="str">
        <f ca="1">IFERROR(__xludf.DUMMYFUNCTION("""COMPUTED_VALUE"""),"Новый")</f>
        <v>Новый</v>
      </c>
      <c r="G2271" s="68"/>
      <c r="K2271" s="68"/>
    </row>
    <row r="2272" spans="1:11" ht="12.75">
      <c r="A2272" s="69">
        <f ca="1">IFERROR(__xludf.DUMMYFUNCTION("""COMPUTED_VALUE"""),97797)</f>
        <v>97797</v>
      </c>
      <c r="B2272" s="4">
        <f ca="1">IFERROR(__xludf.DUMMYFUNCTION("""COMPUTED_VALUE"""),44694)</f>
        <v>44694</v>
      </c>
      <c r="C2272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2" t="str">
        <f ca="1">IFERROR(__xludf.DUMMYFUNCTION("""COMPUTED_VALUE"""),"Новый")</f>
        <v>Новый</v>
      </c>
      <c r="G2272" s="68"/>
      <c r="K2272" s="68"/>
    </row>
    <row r="2273" spans="1:11" ht="12.75">
      <c r="A2273" s="69">
        <f ca="1">IFERROR(__xludf.DUMMYFUNCTION("""COMPUTED_VALUE"""),97798)</f>
        <v>97798</v>
      </c>
      <c r="B2273" s="4">
        <f ca="1">IFERROR(__xludf.DUMMYFUNCTION("""COMPUTED_VALUE"""),44694)</f>
        <v>44694</v>
      </c>
      <c r="C2273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3" t="str">
        <f ca="1">IFERROR(__xludf.DUMMYFUNCTION("""COMPUTED_VALUE"""),"Новый")</f>
        <v>Новый</v>
      </c>
      <c r="G2273" s="68"/>
      <c r="K2273" s="68"/>
    </row>
    <row r="2274" spans="1:11" ht="12.75">
      <c r="A2274" s="69">
        <f ca="1">IFERROR(__xludf.DUMMYFUNCTION("""COMPUTED_VALUE"""),97799)</f>
        <v>97799</v>
      </c>
      <c r="B2274" s="4">
        <f ca="1">IFERROR(__xludf.DUMMYFUNCTION("""COMPUTED_VALUE"""),44694)</f>
        <v>44694</v>
      </c>
      <c r="C2274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4" t="str">
        <f ca="1">IFERROR(__xludf.DUMMYFUNCTION("""COMPUTED_VALUE"""),"Новый")</f>
        <v>Новый</v>
      </c>
      <c r="G2274" s="68"/>
      <c r="K2274" s="68"/>
    </row>
    <row r="2275" spans="1:11" ht="12.75">
      <c r="A2275" s="69">
        <f ca="1">IFERROR(__xludf.DUMMYFUNCTION("""COMPUTED_VALUE"""),97801)</f>
        <v>97801</v>
      </c>
      <c r="B2275" s="4">
        <f ca="1">IFERROR(__xludf.DUMMYFUNCTION("""COMPUTED_VALUE"""),44694)</f>
        <v>44694</v>
      </c>
      <c r="C2275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5" t="str">
        <f ca="1">IFERROR(__xludf.DUMMYFUNCTION("""COMPUTED_VALUE"""),"Новый")</f>
        <v>Новый</v>
      </c>
      <c r="G2275" s="68"/>
      <c r="K2275" s="68"/>
    </row>
    <row r="2276" spans="1:11" ht="12.75">
      <c r="A2276" s="69">
        <f ca="1">IFERROR(__xludf.DUMMYFUNCTION("""COMPUTED_VALUE"""),97802)</f>
        <v>97802</v>
      </c>
      <c r="B2276" s="4">
        <f ca="1">IFERROR(__xludf.DUMMYFUNCTION("""COMPUTED_VALUE"""),44694)</f>
        <v>44694</v>
      </c>
      <c r="C2276" t="str">
        <f ca="1">IFERROR(__xludf.DUMMYFUNCTION("""COMPUTED_VALUE"""),"БУК ""ОМСКИЙ ГОСУДАРСТВЕННЫЙ АКАДЕМИЧЕСКИЙ ТЕАТР ДРАМЫ"" 110-РДО от 17.06.2021")</f>
        <v>БУК "ОМСКИЙ ГОСУДАРСТВЕННЫЙ АКАДЕМИЧЕСКИЙ ТЕАТР ДРАМЫ" 110-РДО от 17.06.2021</v>
      </c>
      <c r="D22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76" t="str">
        <f ca="1">IFERROR(__xludf.DUMMYFUNCTION("""COMPUTED_VALUE"""),"Новый")</f>
        <v>Новый</v>
      </c>
      <c r="G2276" s="68"/>
      <c r="K2276" s="68"/>
    </row>
    <row r="2277" spans="1:11" ht="12.75">
      <c r="A2277" s="69">
        <f ca="1">IFERROR(__xludf.DUMMYFUNCTION("""COMPUTED_VALUE"""),97803)</f>
        <v>97803</v>
      </c>
      <c r="B2277" s="4">
        <f ca="1">IFERROR(__xludf.DUMMYFUNCTION("""COMPUTED_VALUE"""),44694)</f>
        <v>44694</v>
      </c>
      <c r="C2277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77" t="str">
        <f ca="1">IFERROR(__xludf.DUMMYFUNCTION("""COMPUTED_VALUE"""),"Новый")</f>
        <v>Новый</v>
      </c>
      <c r="G2277" s="68"/>
      <c r="K2277" s="68"/>
    </row>
    <row r="2278" spans="1:11" ht="12.75">
      <c r="A2278" s="69">
        <f ca="1">IFERROR(__xludf.DUMMYFUNCTION("""COMPUTED_VALUE"""),97805)</f>
        <v>97805</v>
      </c>
      <c r="B2278" s="4">
        <f ca="1">IFERROR(__xludf.DUMMYFUNCTION("""COMPUTED_VALUE"""),44694)</f>
        <v>44694</v>
      </c>
      <c r="C2278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78" t="str">
        <f ca="1">IFERROR(__xludf.DUMMYFUNCTION("""COMPUTED_VALUE"""),"Новый")</f>
        <v>Новый</v>
      </c>
      <c r="G2278" s="68"/>
      <c r="K2278" s="68"/>
    </row>
    <row r="2279" spans="1:11" ht="12.75">
      <c r="A2279" s="69">
        <f ca="1">IFERROR(__xludf.DUMMYFUNCTION("""COMPUTED_VALUE"""),97806)</f>
        <v>97806</v>
      </c>
      <c r="B2279" s="4">
        <f ca="1">IFERROR(__xludf.DUMMYFUNCTION("""COMPUTED_VALUE"""),44694)</f>
        <v>44694</v>
      </c>
      <c r="C2279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79" t="str">
        <f ca="1">IFERROR(__xludf.DUMMYFUNCTION("""COMPUTED_VALUE"""),"Новый")</f>
        <v>Новый</v>
      </c>
      <c r="G2279" s="68"/>
      <c r="K2279" s="68"/>
    </row>
    <row r="2280" spans="1:11" ht="12.75">
      <c r="A2280" s="69">
        <f ca="1">IFERROR(__xludf.DUMMYFUNCTION("""COMPUTED_VALUE"""),97807)</f>
        <v>97807</v>
      </c>
      <c r="B2280" s="4">
        <f ca="1">IFERROR(__xludf.DUMMYFUNCTION("""COMPUTED_VALUE"""),44694)</f>
        <v>44694</v>
      </c>
      <c r="C2280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0" t="str">
        <f ca="1">IFERROR(__xludf.DUMMYFUNCTION("""COMPUTED_VALUE"""),"Новый")</f>
        <v>Новый</v>
      </c>
      <c r="G2280" s="68"/>
      <c r="K2280" s="68"/>
    </row>
    <row r="2281" spans="1:11" ht="12.75">
      <c r="A2281" s="69">
        <f ca="1">IFERROR(__xludf.DUMMYFUNCTION("""COMPUTED_VALUE"""),97808)</f>
        <v>97808</v>
      </c>
      <c r="B2281" s="4">
        <f ca="1">IFERROR(__xludf.DUMMYFUNCTION("""COMPUTED_VALUE"""),44694)</f>
        <v>44694</v>
      </c>
      <c r="C2281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1" t="str">
        <f ca="1">IFERROR(__xludf.DUMMYFUNCTION("""COMPUTED_VALUE"""),"Новый")</f>
        <v>Новый</v>
      </c>
      <c r="G2281" s="68"/>
      <c r="K2281" s="68"/>
    </row>
    <row r="2282" spans="1:11" ht="12.75">
      <c r="A2282" s="69">
        <f ca="1">IFERROR(__xludf.DUMMYFUNCTION("""COMPUTED_VALUE"""),97809)</f>
        <v>97809</v>
      </c>
      <c r="B2282" s="4">
        <f ca="1">IFERROR(__xludf.DUMMYFUNCTION("""COMPUTED_VALUE"""),44694)</f>
        <v>44694</v>
      </c>
      <c r="C2282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2" t="str">
        <f ca="1">IFERROR(__xludf.DUMMYFUNCTION("""COMPUTED_VALUE"""),"Новый")</f>
        <v>Новый</v>
      </c>
      <c r="G2282" s="68"/>
      <c r="K2282" s="68"/>
    </row>
    <row r="2283" spans="1:11" ht="12.75">
      <c r="A2283" s="69">
        <f ca="1">IFERROR(__xludf.DUMMYFUNCTION("""COMPUTED_VALUE"""),97810)</f>
        <v>97810</v>
      </c>
      <c r="B2283" s="4">
        <f ca="1">IFERROR(__xludf.DUMMYFUNCTION("""COMPUTED_VALUE"""),44694)</f>
        <v>44694</v>
      </c>
      <c r="C2283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3" t="str">
        <f ca="1">IFERROR(__xludf.DUMMYFUNCTION("""COMPUTED_VALUE"""),"Новый")</f>
        <v>Новый</v>
      </c>
      <c r="G2283" s="68"/>
      <c r="K2283" s="68"/>
    </row>
    <row r="2284" spans="1:11" ht="12.75">
      <c r="A2284" s="69">
        <f ca="1">IFERROR(__xludf.DUMMYFUNCTION("""COMPUTED_VALUE"""),97811)</f>
        <v>97811</v>
      </c>
      <c r="B2284" s="4">
        <f ca="1">IFERROR(__xludf.DUMMYFUNCTION("""COMPUTED_VALUE"""),44694)</f>
        <v>44694</v>
      </c>
      <c r="C2284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4" t="str">
        <f ca="1">IFERROR(__xludf.DUMMYFUNCTION("""COMPUTED_VALUE"""),"Новый")</f>
        <v>Новый</v>
      </c>
      <c r="G2284" s="68"/>
      <c r="K2284" s="68"/>
    </row>
    <row r="2285" spans="1:11" ht="12.75">
      <c r="A2285" s="69">
        <f ca="1">IFERROR(__xludf.DUMMYFUNCTION("""COMPUTED_VALUE"""),97812)</f>
        <v>97812</v>
      </c>
      <c r="B2285" s="4">
        <f ca="1">IFERROR(__xludf.DUMMYFUNCTION("""COMPUTED_VALUE"""),44694)</f>
        <v>44694</v>
      </c>
      <c r="C2285" t="str">
        <f ca="1">IFERROR(__xludf.DUMMYFUNCTION("""COMPUTED_VALUE"""),"БУК ""ОМСКИЙ ГОСУДАРСТВЕННЫЙ АКАДЕМИЧЕСКИЙ ТЕАТР ДРАМЫ"" дог. № 26-СТР от 09.06.2020г.")</f>
        <v>БУК "ОМСКИЙ ГОСУДАРСТВЕННЫЙ АКАДЕМИЧЕСКИЙ ТЕАТР ДРАМЫ" дог. № 26-СТР от 09.06.2020г.</v>
      </c>
      <c r="D22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285" t="str">
        <f ca="1">IFERROR(__xludf.DUMMYFUNCTION("""COMPUTED_VALUE"""),"Новый")</f>
        <v>Новый</v>
      </c>
      <c r="G2285" s="68"/>
      <c r="K2285" s="68"/>
    </row>
    <row r="2286" spans="1:11" ht="12.75">
      <c r="A2286" s="69">
        <f ca="1">IFERROR(__xludf.DUMMYFUNCTION("""COMPUTED_VALUE"""),97828)</f>
        <v>97828</v>
      </c>
      <c r="B2286" s="4">
        <f ca="1">IFERROR(__xludf.DUMMYFUNCTION("""COMPUTED_VALUE"""),44694)</f>
        <v>44694</v>
      </c>
      <c r="C2286" t="str">
        <f ca="1">IFERROR(__xludf.DUMMYFUNCTION("""COMPUTED_VALUE"""),"ИП Зюлин Егор Геннадьевич 118-РДО от 24.08.2021")</f>
        <v>ИП Зюлин Егор Геннадьевич 118-РДО от 24.08.2021</v>
      </c>
      <c r="D22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86" t="str">
        <f ca="1">IFERROR(__xludf.DUMMYFUNCTION("""COMPUTED_VALUE"""),"Новый")</f>
        <v>Новый</v>
      </c>
      <c r="G2286" s="68"/>
      <c r="K2286" s="68"/>
    </row>
    <row r="2287" spans="1:11" ht="12.75">
      <c r="A2287" s="69">
        <f ca="1">IFERROR(__xludf.DUMMYFUNCTION("""COMPUTED_VALUE"""),97830)</f>
        <v>97830</v>
      </c>
      <c r="B2287" s="4">
        <f ca="1">IFERROR(__xludf.DUMMYFUNCTION("""COMPUTED_VALUE"""),44694)</f>
        <v>44694</v>
      </c>
      <c r="C2287" t="str">
        <f ca="1">IFERROR(__xludf.DUMMYFUNCTION("""COMPUTED_VALUE"""),"ИП Зюлин Егор Геннадьевич 118-РДО от 24.08.2021")</f>
        <v>ИП Зюлин Егор Геннадьевич 118-РДО от 24.08.2021</v>
      </c>
      <c r="D22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87" t="str">
        <f ca="1">IFERROR(__xludf.DUMMYFUNCTION("""COMPUTED_VALUE"""),"Новый")</f>
        <v>Новый</v>
      </c>
      <c r="G2287" s="68"/>
      <c r="K2287" s="68"/>
    </row>
    <row r="2288" spans="1:11" ht="12.75">
      <c r="A2288" s="69">
        <f ca="1">IFERROR(__xludf.DUMMYFUNCTION("""COMPUTED_VALUE"""),97837)</f>
        <v>97837</v>
      </c>
      <c r="B2288" s="4">
        <f ca="1">IFERROR(__xludf.DUMMYFUNCTION("""COMPUTED_VALUE"""),44694)</f>
        <v>44694</v>
      </c>
      <c r="C2288" t="str">
        <f ca="1">IFERROR(__xludf.DUMMYFUNCTION("""COMPUTED_VALUE"""),"ИП Зюлин Егор Геннадьевич 118-РДО от 24.08.2021")</f>
        <v>ИП Зюлин Егор Геннадьевич 118-РДО от 24.08.2021</v>
      </c>
      <c r="D22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88" t="str">
        <f ca="1">IFERROR(__xludf.DUMMYFUNCTION("""COMPUTED_VALUE"""),"Новый")</f>
        <v>Новый</v>
      </c>
      <c r="G2288" s="68"/>
      <c r="K2288" s="68"/>
    </row>
    <row r="2289" spans="1:11" ht="12.75">
      <c r="A2289" s="69">
        <f ca="1">IFERROR(__xludf.DUMMYFUNCTION("""COMPUTED_VALUE"""),97870)</f>
        <v>97870</v>
      </c>
      <c r="B2289" s="4">
        <f ca="1">IFERROR(__xludf.DUMMYFUNCTION("""COMPUTED_VALUE"""),44697)</f>
        <v>44697</v>
      </c>
      <c r="C2289" t="str">
        <f ca="1">IFERROR(__xludf.DUMMYFUNCTION("""COMPUTED_VALUE"""),"ООО ""Уют"" 150-РДО от 15.04.2022")</f>
        <v>ООО "Уют" 150-РДО от 15.04.2022</v>
      </c>
      <c r="D22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89" t="str">
        <f ca="1">IFERROR(__xludf.DUMMYFUNCTION("""COMPUTED_VALUE"""),"Новый")</f>
        <v>Новый</v>
      </c>
      <c r="G2289" s="68"/>
      <c r="K2289" s="68"/>
    </row>
    <row r="2290" spans="1:11" ht="12.75">
      <c r="A2290" s="69">
        <f ca="1">IFERROR(__xludf.DUMMYFUNCTION("""COMPUTED_VALUE"""),97871)</f>
        <v>97871</v>
      </c>
      <c r="B2290" s="4">
        <f ca="1">IFERROR(__xludf.DUMMYFUNCTION("""COMPUTED_VALUE"""),44697)</f>
        <v>44697</v>
      </c>
      <c r="C2290" t="str">
        <f ca="1">IFERROR(__xludf.DUMMYFUNCTION("""COMPUTED_VALUE"""),"ООО ""Уют"" 150-РДО от 15.04.2022")</f>
        <v>ООО "Уют" 150-РДО от 15.04.2022</v>
      </c>
      <c r="D22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0" t="str">
        <f ca="1">IFERROR(__xludf.DUMMYFUNCTION("""COMPUTED_VALUE"""),"Новый")</f>
        <v>Новый</v>
      </c>
      <c r="G2290" s="68"/>
      <c r="K2290" s="68"/>
    </row>
    <row r="2291" spans="1:11" ht="12.75">
      <c r="A2291" s="69">
        <f ca="1">IFERROR(__xludf.DUMMYFUNCTION("""COMPUTED_VALUE"""),97876)</f>
        <v>97876</v>
      </c>
      <c r="B2291" s="4">
        <f ca="1">IFERROR(__xludf.DUMMYFUNCTION("""COMPUTED_VALUE"""),44697)</f>
        <v>44697</v>
      </c>
      <c r="C2291" t="str">
        <f ca="1">IFERROR(__xludf.DUMMYFUNCTION("""COMPUTED_VALUE"""),"ООО ""Уют"" 150-РДО от 15.04.2022")</f>
        <v>ООО "Уют" 150-РДО от 15.04.2022</v>
      </c>
      <c r="D22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1" t="str">
        <f ca="1">IFERROR(__xludf.DUMMYFUNCTION("""COMPUTED_VALUE"""),"Новый")</f>
        <v>Новый</v>
      </c>
      <c r="G2291" s="68"/>
      <c r="K2291" s="68"/>
    </row>
    <row r="2292" spans="1:11" ht="12.75">
      <c r="A2292" s="69">
        <f ca="1">IFERROR(__xludf.DUMMYFUNCTION("""COMPUTED_VALUE"""),97877)</f>
        <v>97877</v>
      </c>
      <c r="B2292" s="4">
        <f ca="1">IFERROR(__xludf.DUMMYFUNCTION("""COMPUTED_VALUE"""),44697)</f>
        <v>44697</v>
      </c>
      <c r="C2292" t="str">
        <f ca="1">IFERROR(__xludf.DUMMYFUNCTION("""COMPUTED_VALUE"""),"ООО ""Уют"" 150-РДО от 15.04.2022")</f>
        <v>ООО "Уют" 150-РДО от 15.04.2022</v>
      </c>
      <c r="D22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2" t="str">
        <f ca="1">IFERROR(__xludf.DUMMYFUNCTION("""COMPUTED_VALUE"""),"Новый")</f>
        <v>Новый</v>
      </c>
      <c r="G2292" s="68"/>
      <c r="K2292" s="68"/>
    </row>
    <row r="2293" spans="1:11" ht="12.75">
      <c r="A2293" s="69">
        <f ca="1">IFERROR(__xludf.DUMMYFUNCTION("""COMPUTED_VALUE"""),97970)</f>
        <v>97970</v>
      </c>
      <c r="B2293" s="4">
        <f ca="1">IFERROR(__xludf.DUMMYFUNCTION("""COMPUTED_VALUE"""),44697)</f>
        <v>44697</v>
      </c>
      <c r="C2293" t="str">
        <f ca="1">IFERROR(__xludf.DUMMYFUNCTION("""COMPUTED_VALUE"""),"УДХБ БУ Г. ОМСКА 126-РДО от 01.01.2022")</f>
        <v>УДХБ БУ Г. ОМСКА 126-РДО от 01.01.2022</v>
      </c>
      <c r="D22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3" t="str">
        <f ca="1">IFERROR(__xludf.DUMMYFUNCTION("""COMPUTED_VALUE"""),"Новый")</f>
        <v>Новый</v>
      </c>
      <c r="G2293" s="68"/>
      <c r="K2293" s="68"/>
    </row>
    <row r="2294" spans="1:11" ht="12.75">
      <c r="A2294" s="69">
        <f ca="1">IFERROR(__xludf.DUMMYFUNCTION("""COMPUTED_VALUE"""),98038)</f>
        <v>98038</v>
      </c>
      <c r="B2294" s="4">
        <f ca="1">IFERROR(__xludf.DUMMYFUNCTION("""COMPUTED_VALUE"""),44697)</f>
        <v>44697</v>
      </c>
      <c r="C2294" t="str">
        <f ca="1">IFERROR(__xludf.DUMMYFUNCTION("""COMPUTED_VALUE"""),"УДХБ БУ Г. ОМСКА 126-РДО от 01.01.2022")</f>
        <v>УДХБ БУ Г. ОМСКА 126-РДО от 01.01.2022</v>
      </c>
      <c r="D22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4" t="str">
        <f ca="1">IFERROR(__xludf.DUMMYFUNCTION("""COMPUTED_VALUE"""),"Новый")</f>
        <v>Новый</v>
      </c>
      <c r="G2294" s="68"/>
      <c r="K2294" s="68"/>
    </row>
    <row r="2295" spans="1:11" ht="12.75">
      <c r="A2295" s="69">
        <f ca="1">IFERROR(__xludf.DUMMYFUNCTION("""COMPUTED_VALUE"""),98039)</f>
        <v>98039</v>
      </c>
      <c r="B2295" s="4">
        <f ca="1">IFERROR(__xludf.DUMMYFUNCTION("""COMPUTED_VALUE"""),44697)</f>
        <v>44697</v>
      </c>
      <c r="C2295" t="str">
        <f ca="1">IFERROR(__xludf.DUMMYFUNCTION("""COMPUTED_VALUE"""),"УДХБ БУ Г. ОМСКА 126-РДО от 01.01.2022")</f>
        <v>УДХБ БУ Г. ОМСКА 126-РДО от 01.01.2022</v>
      </c>
      <c r="D22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5" t="str">
        <f ca="1">IFERROR(__xludf.DUMMYFUNCTION("""COMPUTED_VALUE"""),"Новый")</f>
        <v>Новый</v>
      </c>
      <c r="G2295" s="68"/>
      <c r="K2295" s="68"/>
    </row>
    <row r="2296" spans="1:11" ht="12.75">
      <c r="A2296" s="69">
        <f ca="1">IFERROR(__xludf.DUMMYFUNCTION("""COMPUTED_VALUE"""),98040)</f>
        <v>98040</v>
      </c>
      <c r="B2296" s="4">
        <f ca="1">IFERROR(__xludf.DUMMYFUNCTION("""COMPUTED_VALUE"""),44697)</f>
        <v>44697</v>
      </c>
      <c r="C2296" t="str">
        <f ca="1">IFERROR(__xludf.DUMMYFUNCTION("""COMPUTED_VALUE"""),"УДХБ БУ Г. ОМСКА 126-РДО от 01.01.2022")</f>
        <v>УДХБ БУ Г. ОМСКА 126-РДО от 01.01.2022</v>
      </c>
      <c r="D22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6" t="str">
        <f ca="1">IFERROR(__xludf.DUMMYFUNCTION("""COMPUTED_VALUE"""),"Новый")</f>
        <v>Новый</v>
      </c>
      <c r="G2296" s="68"/>
      <c r="K2296" s="68"/>
    </row>
    <row r="2297" spans="1:11" ht="12.75">
      <c r="A2297" s="69">
        <f ca="1">IFERROR(__xludf.DUMMYFUNCTION("""COMPUTED_VALUE"""),98041)</f>
        <v>98041</v>
      </c>
      <c r="B2297" s="4">
        <f ca="1">IFERROR(__xludf.DUMMYFUNCTION("""COMPUTED_VALUE"""),44697)</f>
        <v>44697</v>
      </c>
      <c r="C2297" t="str">
        <f ca="1">IFERROR(__xludf.DUMMYFUNCTION("""COMPUTED_VALUE"""),"УДХБ БУ Г. ОМСКА 126-РДО от 01.01.2022")</f>
        <v>УДХБ БУ Г. ОМСКА 126-РДО от 01.01.2022</v>
      </c>
      <c r="D22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7" t="str">
        <f ca="1">IFERROR(__xludf.DUMMYFUNCTION("""COMPUTED_VALUE"""),"Новый")</f>
        <v>Новый</v>
      </c>
      <c r="G2297" s="68"/>
      <c r="K2297" s="68"/>
    </row>
    <row r="2298" spans="1:11" ht="12.75">
      <c r="A2298" s="69">
        <f ca="1">IFERROR(__xludf.DUMMYFUNCTION("""COMPUTED_VALUE"""),98042)</f>
        <v>98042</v>
      </c>
      <c r="B2298" s="4">
        <f ca="1">IFERROR(__xludf.DUMMYFUNCTION("""COMPUTED_VALUE"""),44697)</f>
        <v>44697</v>
      </c>
      <c r="C2298" t="str">
        <f ca="1">IFERROR(__xludf.DUMMYFUNCTION("""COMPUTED_VALUE"""),"УДХБ БУ Г. ОМСКА 126-РДО от 01.01.2022")</f>
        <v>УДХБ БУ Г. ОМСКА 126-РДО от 01.01.2022</v>
      </c>
      <c r="D22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8" t="str">
        <f ca="1">IFERROR(__xludf.DUMMYFUNCTION("""COMPUTED_VALUE"""),"Новый")</f>
        <v>Новый</v>
      </c>
      <c r="G2298" s="68"/>
      <c r="K2298" s="68"/>
    </row>
    <row r="2299" spans="1:11" ht="12.75">
      <c r="A2299" s="69">
        <f ca="1">IFERROR(__xludf.DUMMYFUNCTION("""COMPUTED_VALUE"""),98043)</f>
        <v>98043</v>
      </c>
      <c r="B2299" s="4">
        <f ca="1">IFERROR(__xludf.DUMMYFUNCTION("""COMPUTED_VALUE"""),44697)</f>
        <v>44697</v>
      </c>
      <c r="C2299" t="str">
        <f ca="1">IFERROR(__xludf.DUMMYFUNCTION("""COMPUTED_VALUE"""),"УДХБ БУ Г. ОМСКА 126-РДО от 01.01.2022")</f>
        <v>УДХБ БУ Г. ОМСКА 126-РДО от 01.01.2022</v>
      </c>
      <c r="D22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299" t="str">
        <f ca="1">IFERROR(__xludf.DUMMYFUNCTION("""COMPUTED_VALUE"""),"Новый")</f>
        <v>Новый</v>
      </c>
      <c r="G2299" s="68"/>
      <c r="K2299" s="68"/>
    </row>
    <row r="2300" spans="1:11" ht="12.75">
      <c r="A2300" s="69">
        <f ca="1">IFERROR(__xludf.DUMMYFUNCTION("""COMPUTED_VALUE"""),98044)</f>
        <v>98044</v>
      </c>
      <c r="B2300" s="4">
        <f ca="1">IFERROR(__xludf.DUMMYFUNCTION("""COMPUTED_VALUE"""),44697)</f>
        <v>44697</v>
      </c>
      <c r="C2300" t="str">
        <f ca="1">IFERROR(__xludf.DUMMYFUNCTION("""COMPUTED_VALUE"""),"УДХБ БУ Г. ОМСКА 126-РДО от 01.01.2022")</f>
        <v>УДХБ БУ Г. ОМСКА 126-РДО от 01.01.2022</v>
      </c>
      <c r="D23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0" t="str">
        <f ca="1">IFERROR(__xludf.DUMMYFUNCTION("""COMPUTED_VALUE"""),"Новый")</f>
        <v>Новый</v>
      </c>
      <c r="G2300" s="68"/>
      <c r="K2300" s="68"/>
    </row>
    <row r="2301" spans="1:11" ht="12.75">
      <c r="A2301" s="69">
        <f ca="1">IFERROR(__xludf.DUMMYFUNCTION("""COMPUTED_VALUE"""),98045)</f>
        <v>98045</v>
      </c>
      <c r="B2301" s="4">
        <f ca="1">IFERROR(__xludf.DUMMYFUNCTION("""COMPUTED_VALUE"""),44697)</f>
        <v>44697</v>
      </c>
      <c r="C2301" t="str">
        <f ca="1">IFERROR(__xludf.DUMMYFUNCTION("""COMPUTED_VALUE"""),"УДХБ БУ Г. ОМСКА 126-РДО от 01.01.2022")</f>
        <v>УДХБ БУ Г. ОМСКА 126-РДО от 01.01.2022</v>
      </c>
      <c r="D23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1" t="str">
        <f ca="1">IFERROR(__xludf.DUMMYFUNCTION("""COMPUTED_VALUE"""),"Новый")</f>
        <v>Новый</v>
      </c>
      <c r="G2301" s="68"/>
      <c r="K2301" s="68"/>
    </row>
    <row r="2302" spans="1:11" ht="12.75">
      <c r="A2302" s="69">
        <f ca="1">IFERROR(__xludf.DUMMYFUNCTION("""COMPUTED_VALUE"""),98046)</f>
        <v>98046</v>
      </c>
      <c r="B2302" s="4">
        <f ca="1">IFERROR(__xludf.DUMMYFUNCTION("""COMPUTED_VALUE"""),44697)</f>
        <v>44697</v>
      </c>
      <c r="C2302" t="str">
        <f ca="1">IFERROR(__xludf.DUMMYFUNCTION("""COMPUTED_VALUE"""),"УДХБ БУ Г. ОМСКА 126-РДО от 01.01.2022")</f>
        <v>УДХБ БУ Г. ОМСКА 126-РДО от 01.01.2022</v>
      </c>
      <c r="D23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2" t="str">
        <f ca="1">IFERROR(__xludf.DUMMYFUNCTION("""COMPUTED_VALUE"""),"Новый")</f>
        <v>Новый</v>
      </c>
      <c r="G2302" s="68"/>
      <c r="K2302" s="68"/>
    </row>
    <row r="2303" spans="1:11" ht="12.75">
      <c r="A2303" s="69">
        <f ca="1">IFERROR(__xludf.DUMMYFUNCTION("""COMPUTED_VALUE"""),98047)</f>
        <v>98047</v>
      </c>
      <c r="B2303" s="4">
        <f ca="1">IFERROR(__xludf.DUMMYFUNCTION("""COMPUTED_VALUE"""),44697)</f>
        <v>44697</v>
      </c>
      <c r="C2303" t="str">
        <f ca="1">IFERROR(__xludf.DUMMYFUNCTION("""COMPUTED_VALUE"""),"УДХБ БУ Г. ОМСКА 126-РДО от 01.01.2022")</f>
        <v>УДХБ БУ Г. ОМСКА 126-РДО от 01.01.2022</v>
      </c>
      <c r="D23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3" t="str">
        <f ca="1">IFERROR(__xludf.DUMMYFUNCTION("""COMPUTED_VALUE"""),"Новый")</f>
        <v>Новый</v>
      </c>
      <c r="G2303" s="68"/>
      <c r="K2303" s="68"/>
    </row>
    <row r="2304" spans="1:11" ht="12.75">
      <c r="A2304" s="69">
        <f ca="1">IFERROR(__xludf.DUMMYFUNCTION("""COMPUTED_VALUE"""),98048)</f>
        <v>98048</v>
      </c>
      <c r="B2304" s="4">
        <f ca="1">IFERROR(__xludf.DUMMYFUNCTION("""COMPUTED_VALUE"""),44697)</f>
        <v>44697</v>
      </c>
      <c r="C2304" t="str">
        <f ca="1">IFERROR(__xludf.DUMMYFUNCTION("""COMPUTED_VALUE"""),"УДХБ БУ Г. ОМСКА 126-РДО от 01.01.2022")</f>
        <v>УДХБ БУ Г. ОМСКА 126-РДО от 01.01.2022</v>
      </c>
      <c r="D23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4" t="str">
        <f ca="1">IFERROR(__xludf.DUMMYFUNCTION("""COMPUTED_VALUE"""),"Новый")</f>
        <v>Новый</v>
      </c>
      <c r="G2304" s="68"/>
      <c r="K2304" s="68"/>
    </row>
    <row r="2305" spans="1:11" ht="12.75">
      <c r="A2305" s="69">
        <f ca="1">IFERROR(__xludf.DUMMYFUNCTION("""COMPUTED_VALUE"""),98049)</f>
        <v>98049</v>
      </c>
      <c r="B2305" s="4">
        <f ca="1">IFERROR(__xludf.DUMMYFUNCTION("""COMPUTED_VALUE"""),44697)</f>
        <v>44697</v>
      </c>
      <c r="C2305" t="str">
        <f ca="1">IFERROR(__xludf.DUMMYFUNCTION("""COMPUTED_VALUE"""),"УДХБ БУ Г. ОМСКА 126-РДО от 01.01.2022")</f>
        <v>УДХБ БУ Г. ОМСКА 126-РДО от 01.01.2022</v>
      </c>
      <c r="D23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5" t="str">
        <f ca="1">IFERROR(__xludf.DUMMYFUNCTION("""COMPUTED_VALUE"""),"Новый")</f>
        <v>Новый</v>
      </c>
      <c r="G2305" s="68"/>
      <c r="K2305" s="68"/>
    </row>
    <row r="2306" spans="1:11" ht="12.75">
      <c r="A2306" s="69">
        <f ca="1">IFERROR(__xludf.DUMMYFUNCTION("""COMPUTED_VALUE"""),98050)</f>
        <v>98050</v>
      </c>
      <c r="B2306" s="4">
        <f ca="1">IFERROR(__xludf.DUMMYFUNCTION("""COMPUTED_VALUE"""),44697)</f>
        <v>44697</v>
      </c>
      <c r="C2306" t="str">
        <f ca="1">IFERROR(__xludf.DUMMYFUNCTION("""COMPUTED_VALUE"""),"УДХБ БУ Г. ОМСКА 126-РДО от 01.01.2022")</f>
        <v>УДХБ БУ Г. ОМСКА 126-РДО от 01.01.2022</v>
      </c>
      <c r="D23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6" t="str">
        <f ca="1">IFERROR(__xludf.DUMMYFUNCTION("""COMPUTED_VALUE"""),"Новый")</f>
        <v>Новый</v>
      </c>
      <c r="G2306" s="68"/>
      <c r="K2306" s="68"/>
    </row>
    <row r="2307" spans="1:11" ht="12.75">
      <c r="A2307" s="69">
        <f ca="1">IFERROR(__xludf.DUMMYFUNCTION("""COMPUTED_VALUE"""),98051)</f>
        <v>98051</v>
      </c>
      <c r="B2307" s="4">
        <f ca="1">IFERROR(__xludf.DUMMYFUNCTION("""COMPUTED_VALUE"""),44697)</f>
        <v>44697</v>
      </c>
      <c r="C2307" t="str">
        <f ca="1">IFERROR(__xludf.DUMMYFUNCTION("""COMPUTED_VALUE"""),"УДХБ БУ Г. ОМСКА 126-РДО от 01.01.2022")</f>
        <v>УДХБ БУ Г. ОМСКА 126-РДО от 01.01.2022</v>
      </c>
      <c r="D23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7" t="str">
        <f ca="1">IFERROR(__xludf.DUMMYFUNCTION("""COMPUTED_VALUE"""),"Новый")</f>
        <v>Новый</v>
      </c>
      <c r="G2307" s="68"/>
      <c r="K2307" s="68"/>
    </row>
    <row r="2308" spans="1:11" ht="12.75">
      <c r="A2308" s="69">
        <f ca="1">IFERROR(__xludf.DUMMYFUNCTION("""COMPUTED_VALUE"""),98052)</f>
        <v>98052</v>
      </c>
      <c r="B2308" s="4">
        <f ca="1">IFERROR(__xludf.DUMMYFUNCTION("""COMPUTED_VALUE"""),44697)</f>
        <v>44697</v>
      </c>
      <c r="C2308" t="str">
        <f ca="1">IFERROR(__xludf.DUMMYFUNCTION("""COMPUTED_VALUE"""),"УДХБ БУ Г. ОМСКА 126-РДО от 01.01.2022")</f>
        <v>УДХБ БУ Г. ОМСКА 126-РДО от 01.01.2022</v>
      </c>
      <c r="D23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8" t="str">
        <f ca="1">IFERROR(__xludf.DUMMYFUNCTION("""COMPUTED_VALUE"""),"Новый")</f>
        <v>Новый</v>
      </c>
      <c r="G2308" s="68"/>
      <c r="K2308" s="68"/>
    </row>
    <row r="2309" spans="1:11" ht="12.75">
      <c r="A2309" s="69">
        <f ca="1">IFERROR(__xludf.DUMMYFUNCTION("""COMPUTED_VALUE"""),98053)</f>
        <v>98053</v>
      </c>
      <c r="B2309" s="4">
        <f ca="1">IFERROR(__xludf.DUMMYFUNCTION("""COMPUTED_VALUE"""),44697)</f>
        <v>44697</v>
      </c>
      <c r="C2309" t="str">
        <f ca="1">IFERROR(__xludf.DUMMYFUNCTION("""COMPUTED_VALUE"""),"УДХБ БУ Г. ОМСКА 126-РДО от 01.01.2022")</f>
        <v>УДХБ БУ Г. ОМСКА 126-РДО от 01.01.2022</v>
      </c>
      <c r="D23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09" t="str">
        <f ca="1">IFERROR(__xludf.DUMMYFUNCTION("""COMPUTED_VALUE"""),"Новый")</f>
        <v>Новый</v>
      </c>
      <c r="G2309" s="68"/>
      <c r="K2309" s="68"/>
    </row>
    <row r="2310" spans="1:11" ht="12.75">
      <c r="A2310" s="69">
        <f ca="1">IFERROR(__xludf.DUMMYFUNCTION("""COMPUTED_VALUE"""),98054)</f>
        <v>98054</v>
      </c>
      <c r="B2310" s="4">
        <f ca="1">IFERROR(__xludf.DUMMYFUNCTION("""COMPUTED_VALUE"""),44697)</f>
        <v>44697</v>
      </c>
      <c r="C2310" t="str">
        <f ca="1">IFERROR(__xludf.DUMMYFUNCTION("""COMPUTED_VALUE"""),"УДХБ БУ Г. ОМСКА 126-РДО от 01.01.2022")</f>
        <v>УДХБ БУ Г. ОМСКА 126-РДО от 01.01.2022</v>
      </c>
      <c r="D23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0" t="str">
        <f ca="1">IFERROR(__xludf.DUMMYFUNCTION("""COMPUTED_VALUE"""),"Новый")</f>
        <v>Новый</v>
      </c>
      <c r="G2310" s="68"/>
      <c r="K2310" s="68"/>
    </row>
    <row r="2311" spans="1:11" ht="12.75">
      <c r="A2311" s="69">
        <f ca="1">IFERROR(__xludf.DUMMYFUNCTION("""COMPUTED_VALUE"""),98055)</f>
        <v>98055</v>
      </c>
      <c r="B2311" s="4">
        <f ca="1">IFERROR(__xludf.DUMMYFUNCTION("""COMPUTED_VALUE"""),44697)</f>
        <v>44697</v>
      </c>
      <c r="C2311" t="str">
        <f ca="1">IFERROR(__xludf.DUMMYFUNCTION("""COMPUTED_VALUE"""),"УДХБ БУ Г. ОМСКА 126-РДО от 01.01.2022")</f>
        <v>УДХБ БУ Г. ОМСКА 126-РДО от 01.01.2022</v>
      </c>
      <c r="D23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1" t="str">
        <f ca="1">IFERROR(__xludf.DUMMYFUNCTION("""COMPUTED_VALUE"""),"Новый")</f>
        <v>Новый</v>
      </c>
      <c r="G2311" s="68"/>
      <c r="K2311" s="68"/>
    </row>
    <row r="2312" spans="1:11" ht="12.75">
      <c r="A2312" s="69">
        <f ca="1">IFERROR(__xludf.DUMMYFUNCTION("""COMPUTED_VALUE"""),98056)</f>
        <v>98056</v>
      </c>
      <c r="B2312" s="4">
        <f ca="1">IFERROR(__xludf.DUMMYFUNCTION("""COMPUTED_VALUE"""),44697)</f>
        <v>44697</v>
      </c>
      <c r="C2312" t="str">
        <f ca="1">IFERROR(__xludf.DUMMYFUNCTION("""COMPUTED_VALUE"""),"УДХБ БУ Г. ОМСКА 126-РДО от 01.01.2022")</f>
        <v>УДХБ БУ Г. ОМСКА 126-РДО от 01.01.2022</v>
      </c>
      <c r="D23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2" t="str">
        <f ca="1">IFERROR(__xludf.DUMMYFUNCTION("""COMPUTED_VALUE"""),"Новый")</f>
        <v>Новый</v>
      </c>
      <c r="G2312" s="68"/>
      <c r="K2312" s="68"/>
    </row>
    <row r="2313" spans="1:11" ht="12.75">
      <c r="A2313" s="69">
        <f ca="1">IFERROR(__xludf.DUMMYFUNCTION("""COMPUTED_VALUE"""),98057)</f>
        <v>98057</v>
      </c>
      <c r="B2313" s="4">
        <f ca="1">IFERROR(__xludf.DUMMYFUNCTION("""COMPUTED_VALUE"""),44697)</f>
        <v>44697</v>
      </c>
      <c r="C2313" t="str">
        <f ca="1">IFERROR(__xludf.DUMMYFUNCTION("""COMPUTED_VALUE"""),"УДХБ БУ Г. ОМСКА 126-РДО от 01.01.2022")</f>
        <v>УДХБ БУ Г. ОМСКА 126-РДО от 01.01.2022</v>
      </c>
      <c r="D23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3" t="str">
        <f ca="1">IFERROR(__xludf.DUMMYFUNCTION("""COMPUTED_VALUE"""),"Новый")</f>
        <v>Новый</v>
      </c>
      <c r="G2313" s="68"/>
      <c r="K2313" s="68"/>
    </row>
    <row r="2314" spans="1:11" ht="12.75">
      <c r="A2314" s="69">
        <f ca="1">IFERROR(__xludf.DUMMYFUNCTION("""COMPUTED_VALUE"""),98084)</f>
        <v>98084</v>
      </c>
      <c r="B2314" s="4">
        <f ca="1">IFERROR(__xludf.DUMMYFUNCTION("""COMPUTED_VALUE"""),44697)</f>
        <v>44697</v>
      </c>
      <c r="C2314" t="str">
        <f ca="1">IFERROR(__xludf.DUMMYFUNCTION("""COMPUTED_VALUE"""),"УДХБ БУ Г. ОМСКА 126-РДО от 01.01.2022")</f>
        <v>УДХБ БУ Г. ОМСКА 126-РДО от 01.01.2022</v>
      </c>
      <c r="D23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4" t="str">
        <f ca="1">IFERROR(__xludf.DUMMYFUNCTION("""COMPUTED_VALUE"""),"Новый")</f>
        <v>Новый</v>
      </c>
      <c r="G2314" s="68"/>
      <c r="K2314" s="68"/>
    </row>
    <row r="2315" spans="1:11" ht="12.75">
      <c r="A2315" s="69">
        <f ca="1">IFERROR(__xludf.DUMMYFUNCTION("""COMPUTED_VALUE"""),98147)</f>
        <v>98147</v>
      </c>
      <c r="B2315" s="4">
        <f ca="1">IFERROR(__xludf.DUMMYFUNCTION("""COMPUTED_VALUE"""),44697)</f>
        <v>44697</v>
      </c>
      <c r="C2315" t="str">
        <f ca="1">IFERROR(__xludf.DUMMYFUNCTION("""COMPUTED_VALUE"""),"УДХБ БУ Г. ОМСКА 126-РДО от 01.01.2022")</f>
        <v>УДХБ БУ Г. ОМСКА 126-РДО от 01.01.2022</v>
      </c>
      <c r="D23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5" t="str">
        <f ca="1">IFERROR(__xludf.DUMMYFUNCTION("""COMPUTED_VALUE"""),"Новый")</f>
        <v>Новый</v>
      </c>
      <c r="G2315" s="68"/>
      <c r="K2315" s="68"/>
    </row>
    <row r="2316" spans="1:11" ht="12.75">
      <c r="A2316" s="69">
        <f ca="1">IFERROR(__xludf.DUMMYFUNCTION("""COMPUTED_VALUE"""),98256)</f>
        <v>98256</v>
      </c>
      <c r="B2316" s="4">
        <f ca="1">IFERROR(__xludf.DUMMYFUNCTION("""COMPUTED_VALUE"""),44698)</f>
        <v>44698</v>
      </c>
      <c r="C2316" t="str">
        <f ca="1">IFERROR(__xludf.DUMMYFUNCTION("""COMPUTED_VALUE"""),"УДХБ БУ Г. ОМСКА 126-РДО от 01.01.2022")</f>
        <v>УДХБ БУ Г. ОМСКА 126-РДО от 01.01.2022</v>
      </c>
      <c r="D23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6" t="str">
        <f ca="1">IFERROR(__xludf.DUMMYFUNCTION("""COMPUTED_VALUE"""),"Новый")</f>
        <v>Новый</v>
      </c>
      <c r="G2316" s="68"/>
      <c r="K2316" s="68"/>
    </row>
    <row r="2317" spans="1:11" ht="12.75">
      <c r="A2317" s="69">
        <f ca="1">IFERROR(__xludf.DUMMYFUNCTION("""COMPUTED_VALUE"""),98257)</f>
        <v>98257</v>
      </c>
      <c r="B2317" s="4">
        <f ca="1">IFERROR(__xludf.DUMMYFUNCTION("""COMPUTED_VALUE"""),44698)</f>
        <v>44698</v>
      </c>
      <c r="C2317" t="str">
        <f ca="1">IFERROR(__xludf.DUMMYFUNCTION("""COMPUTED_VALUE"""),"УДХБ БУ Г. ОМСКА 126-РДО от 01.01.2022")</f>
        <v>УДХБ БУ Г. ОМСКА 126-РДО от 01.01.2022</v>
      </c>
      <c r="D23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7" t="str">
        <f ca="1">IFERROR(__xludf.DUMMYFUNCTION("""COMPUTED_VALUE"""),"Новый")</f>
        <v>Новый</v>
      </c>
      <c r="G2317" s="68"/>
      <c r="K2317" s="68"/>
    </row>
    <row r="2318" spans="1:11" ht="12.75">
      <c r="A2318" s="69">
        <f ca="1">IFERROR(__xludf.DUMMYFUNCTION("""COMPUTED_VALUE"""),98303)</f>
        <v>98303</v>
      </c>
      <c r="B2318" s="4">
        <f ca="1">IFERROR(__xludf.DUMMYFUNCTION("""COMPUTED_VALUE"""),44699)</f>
        <v>44699</v>
      </c>
      <c r="C231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3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8" t="str">
        <f ca="1">IFERROR(__xludf.DUMMYFUNCTION("""COMPUTED_VALUE"""),"Новый")</f>
        <v>Новый</v>
      </c>
      <c r="G2318" s="68"/>
      <c r="K2318" s="68"/>
    </row>
    <row r="2319" spans="1:11" ht="12.75">
      <c r="A2319" s="69">
        <f ca="1">IFERROR(__xludf.DUMMYFUNCTION("""COMPUTED_VALUE"""),98308)</f>
        <v>98308</v>
      </c>
      <c r="B2319" s="4">
        <f ca="1">IFERROR(__xludf.DUMMYFUNCTION("""COMPUTED_VALUE"""),44699)</f>
        <v>44699</v>
      </c>
      <c r="C2319" t="str">
        <f ca="1">IFERROR(__xludf.DUMMYFUNCTION("""COMPUTED_VALUE"""),"ООО ""ВЫСОКИЕ ТЕХНОЛОГИИ"" 177-РДО от 18.05.2022")</f>
        <v>ООО "ВЫСОКИЕ ТЕХНОЛОГИИ" 177-РДО от 18.05.2022</v>
      </c>
      <c r="D23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19" t="str">
        <f ca="1">IFERROR(__xludf.DUMMYFUNCTION("""COMPUTED_VALUE"""),"Новый")</f>
        <v>Новый</v>
      </c>
      <c r="G2319" s="68"/>
      <c r="K2319" s="68"/>
    </row>
    <row r="2320" spans="1:11" ht="12.75">
      <c r="A2320" s="69">
        <f ca="1">IFERROR(__xludf.DUMMYFUNCTION("""COMPUTED_VALUE"""),98309)</f>
        <v>98309</v>
      </c>
      <c r="B2320" s="4">
        <f ca="1">IFERROR(__xludf.DUMMYFUNCTION("""COMPUTED_VALUE"""),44699)</f>
        <v>44699</v>
      </c>
      <c r="C2320" t="str">
        <f ca="1">IFERROR(__xludf.DUMMYFUNCTION("""COMPUTED_VALUE"""),"ООО ""ВЫСОКИЕ ТЕХНОЛОГИИ"" 177-РДО от 18.05.2022")</f>
        <v>ООО "ВЫСОКИЕ ТЕХНОЛОГИИ" 177-РДО от 18.05.2022</v>
      </c>
      <c r="D23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0" t="str">
        <f ca="1">IFERROR(__xludf.DUMMYFUNCTION("""COMPUTED_VALUE"""),"Новый")</f>
        <v>Новый</v>
      </c>
      <c r="G2320" s="68"/>
      <c r="K2320" s="68"/>
    </row>
    <row r="2321" spans="1:11" ht="12.75">
      <c r="A2321" s="69">
        <f ca="1">IFERROR(__xludf.DUMMYFUNCTION("""COMPUTED_VALUE"""),98310)</f>
        <v>98310</v>
      </c>
      <c r="B2321" s="4">
        <f ca="1">IFERROR(__xludf.DUMMYFUNCTION("""COMPUTED_VALUE"""),44699)</f>
        <v>44699</v>
      </c>
      <c r="C2321" t="str">
        <f ca="1">IFERROR(__xludf.DUMMYFUNCTION("""COMPUTED_VALUE"""),"ООО ""ВЫСОКИЕ ТЕХНОЛОГИИ"" 177-РДО от 18.05.2022")</f>
        <v>ООО "ВЫСОКИЕ ТЕХНОЛОГИИ" 177-РДО от 18.05.2022</v>
      </c>
      <c r="D23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1" t="str">
        <f ca="1">IFERROR(__xludf.DUMMYFUNCTION("""COMPUTED_VALUE"""),"Новый")</f>
        <v>Новый</v>
      </c>
      <c r="G2321" s="68"/>
      <c r="K2321" s="68"/>
    </row>
    <row r="2322" spans="1:11" ht="12.75">
      <c r="A2322" s="69">
        <f ca="1">IFERROR(__xludf.DUMMYFUNCTION("""COMPUTED_VALUE"""),98311)</f>
        <v>98311</v>
      </c>
      <c r="B2322" s="4">
        <f ca="1">IFERROR(__xludf.DUMMYFUNCTION("""COMPUTED_VALUE"""),44699)</f>
        <v>44699</v>
      </c>
      <c r="C2322" t="str">
        <f ca="1">IFERROR(__xludf.DUMMYFUNCTION("""COMPUTED_VALUE"""),"ООО ""ВЫСОКИЕ ТЕХНОЛОГИИ"" 177-РДО от 18.05.2022")</f>
        <v>ООО "ВЫСОКИЕ ТЕХНОЛОГИИ" 177-РДО от 18.05.2022</v>
      </c>
      <c r="D23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2" t="str">
        <f ca="1">IFERROR(__xludf.DUMMYFUNCTION("""COMPUTED_VALUE"""),"Новый")</f>
        <v>Новый</v>
      </c>
      <c r="G2322" s="68"/>
      <c r="K2322" s="68"/>
    </row>
    <row r="2323" spans="1:11" ht="12.75">
      <c r="A2323" s="69">
        <f ca="1">IFERROR(__xludf.DUMMYFUNCTION("""COMPUTED_VALUE"""),98312)</f>
        <v>98312</v>
      </c>
      <c r="B2323" s="4">
        <f ca="1">IFERROR(__xludf.DUMMYFUNCTION("""COMPUTED_VALUE"""),44699)</f>
        <v>44699</v>
      </c>
      <c r="C2323" t="str">
        <f ca="1">IFERROR(__xludf.DUMMYFUNCTION("""COMPUTED_VALUE"""),"ООО ""ВЫСОКИЕ ТЕХНОЛОГИИ"" 177-РДО от 18.05.2022")</f>
        <v>ООО "ВЫСОКИЕ ТЕХНОЛОГИИ" 177-РДО от 18.05.2022</v>
      </c>
      <c r="D23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3" t="str">
        <f ca="1">IFERROR(__xludf.DUMMYFUNCTION("""COMPUTED_VALUE"""),"Новый")</f>
        <v>Новый</v>
      </c>
      <c r="G2323" s="68"/>
      <c r="K2323" s="68"/>
    </row>
    <row r="2324" spans="1:11" ht="12.75">
      <c r="A2324" s="69">
        <f ca="1">IFERROR(__xludf.DUMMYFUNCTION("""COMPUTED_VALUE"""),98313)</f>
        <v>98313</v>
      </c>
      <c r="B2324" s="4">
        <f ca="1">IFERROR(__xludf.DUMMYFUNCTION("""COMPUTED_VALUE"""),44699)</f>
        <v>44699</v>
      </c>
      <c r="C2324" t="str">
        <f ca="1">IFERROR(__xludf.DUMMYFUNCTION("""COMPUTED_VALUE"""),"ООО ""ВЫСОКИЕ ТЕХНОЛОГИИ"" 177-РДО от 18.05.2022")</f>
        <v>ООО "ВЫСОКИЕ ТЕХНОЛОГИИ" 177-РДО от 18.05.2022</v>
      </c>
      <c r="D23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4" t="str">
        <f ca="1">IFERROR(__xludf.DUMMYFUNCTION("""COMPUTED_VALUE"""),"Новый")</f>
        <v>Новый</v>
      </c>
      <c r="G2324" s="68"/>
      <c r="K2324" s="68"/>
    </row>
    <row r="2325" spans="1:11" ht="12.75">
      <c r="A2325" s="69">
        <f ca="1">IFERROR(__xludf.DUMMYFUNCTION("""COMPUTED_VALUE"""),98314)</f>
        <v>98314</v>
      </c>
      <c r="B2325" s="4">
        <f ca="1">IFERROR(__xludf.DUMMYFUNCTION("""COMPUTED_VALUE"""),44699)</f>
        <v>44699</v>
      </c>
      <c r="C2325" t="str">
        <f ca="1">IFERROR(__xludf.DUMMYFUNCTION("""COMPUTED_VALUE"""),"ООО ""ВЫСОКИЕ ТЕХНОЛОГИИ"" 177-РДО от 18.05.2022")</f>
        <v>ООО "ВЫСОКИЕ ТЕХНОЛОГИИ" 177-РДО от 18.05.2022</v>
      </c>
      <c r="D23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5" t="str">
        <f ca="1">IFERROR(__xludf.DUMMYFUNCTION("""COMPUTED_VALUE"""),"Новый")</f>
        <v>Новый</v>
      </c>
      <c r="G2325" s="68"/>
      <c r="K2325" s="68"/>
    </row>
    <row r="2326" spans="1:11" ht="12.75">
      <c r="A2326" s="69">
        <f ca="1">IFERROR(__xludf.DUMMYFUNCTION("""COMPUTED_VALUE"""),98315)</f>
        <v>98315</v>
      </c>
      <c r="B2326" s="4">
        <f ca="1">IFERROR(__xludf.DUMMYFUNCTION("""COMPUTED_VALUE"""),44699)</f>
        <v>44699</v>
      </c>
      <c r="C2326" t="str">
        <f ca="1">IFERROR(__xludf.DUMMYFUNCTION("""COMPUTED_VALUE"""),"ООО ""ВЫСОКИЕ ТЕХНОЛОГИИ"" 177-РДО от 18.05.2022")</f>
        <v>ООО "ВЫСОКИЕ ТЕХНОЛОГИИ" 177-РДО от 18.05.2022</v>
      </c>
      <c r="D23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6" t="str">
        <f ca="1">IFERROR(__xludf.DUMMYFUNCTION("""COMPUTED_VALUE"""),"Новый")</f>
        <v>Новый</v>
      </c>
      <c r="G2326" s="68"/>
      <c r="K2326" s="68"/>
    </row>
    <row r="2327" spans="1:11" ht="12.75">
      <c r="A2327" s="69">
        <f ca="1">IFERROR(__xludf.DUMMYFUNCTION("""COMPUTED_VALUE"""),98316)</f>
        <v>98316</v>
      </c>
      <c r="B2327" s="4">
        <f ca="1">IFERROR(__xludf.DUMMYFUNCTION("""COMPUTED_VALUE"""),44699)</f>
        <v>44699</v>
      </c>
      <c r="C2327" t="str">
        <f ca="1">IFERROR(__xludf.DUMMYFUNCTION("""COMPUTED_VALUE"""),"ООО ""ВЫСОКИЕ ТЕХНОЛОГИИ"" 177-РДО от 18.05.2022")</f>
        <v>ООО "ВЫСОКИЕ ТЕХНОЛОГИИ" 177-РДО от 18.05.2022</v>
      </c>
      <c r="D23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7" t="str">
        <f ca="1">IFERROR(__xludf.DUMMYFUNCTION("""COMPUTED_VALUE"""),"Новый")</f>
        <v>Новый</v>
      </c>
      <c r="G2327" s="68"/>
      <c r="K2327" s="68"/>
    </row>
    <row r="2328" spans="1:11" ht="12.75">
      <c r="A2328" s="69">
        <f ca="1">IFERROR(__xludf.DUMMYFUNCTION("""COMPUTED_VALUE"""),98317)</f>
        <v>98317</v>
      </c>
      <c r="B2328" s="4">
        <f ca="1">IFERROR(__xludf.DUMMYFUNCTION("""COMPUTED_VALUE"""),44699)</f>
        <v>44699</v>
      </c>
      <c r="C2328" t="str">
        <f ca="1">IFERROR(__xludf.DUMMYFUNCTION("""COMPUTED_VALUE"""),"ООО ""ВЫСОКИЕ ТЕХНОЛОГИИ"" 177-РДО от 18.05.2022")</f>
        <v>ООО "ВЫСОКИЕ ТЕХНОЛОГИИ" 177-РДО от 18.05.2022</v>
      </c>
      <c r="D23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8" t="str">
        <f ca="1">IFERROR(__xludf.DUMMYFUNCTION("""COMPUTED_VALUE"""),"Новый")</f>
        <v>Новый</v>
      </c>
      <c r="G2328" s="68"/>
      <c r="K2328" s="68"/>
    </row>
    <row r="2329" spans="1:11" ht="12.75">
      <c r="A2329" s="69">
        <f ca="1">IFERROR(__xludf.DUMMYFUNCTION("""COMPUTED_VALUE"""),98318)</f>
        <v>98318</v>
      </c>
      <c r="B2329" s="4">
        <f ca="1">IFERROR(__xludf.DUMMYFUNCTION("""COMPUTED_VALUE"""),44699)</f>
        <v>44699</v>
      </c>
      <c r="C2329" t="str">
        <f ca="1">IFERROR(__xludf.DUMMYFUNCTION("""COMPUTED_VALUE"""),"ООО ""ВЫСОКИЕ ТЕХНОЛОГИИ"" 177-РДО от 18.05.2022")</f>
        <v>ООО "ВЫСОКИЕ ТЕХНОЛОГИИ" 177-РДО от 18.05.2022</v>
      </c>
      <c r="D23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29" t="str">
        <f ca="1">IFERROR(__xludf.DUMMYFUNCTION("""COMPUTED_VALUE"""),"Новый")</f>
        <v>Новый</v>
      </c>
      <c r="G2329" s="68"/>
      <c r="K2329" s="68"/>
    </row>
    <row r="2330" spans="1:11" ht="12.75">
      <c r="A2330" s="69">
        <f ca="1">IFERROR(__xludf.DUMMYFUNCTION("""COMPUTED_VALUE"""),98319)</f>
        <v>98319</v>
      </c>
      <c r="B2330" s="4">
        <f ca="1">IFERROR(__xludf.DUMMYFUNCTION("""COMPUTED_VALUE"""),44699)</f>
        <v>44699</v>
      </c>
      <c r="C2330" t="str">
        <f ca="1">IFERROR(__xludf.DUMMYFUNCTION("""COMPUTED_VALUE"""),"ООО ""ВЫСОКИЕ ТЕХНОЛОГИИ"" 177-РДО от 18.05.2022")</f>
        <v>ООО "ВЫСОКИЕ ТЕХНОЛОГИИ" 177-РДО от 18.05.2022</v>
      </c>
      <c r="D23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30" t="str">
        <f ca="1">IFERROR(__xludf.DUMMYFUNCTION("""COMPUTED_VALUE"""),"Новый")</f>
        <v>Новый</v>
      </c>
      <c r="G2330" s="68"/>
      <c r="K2330" s="68"/>
    </row>
    <row r="2331" spans="1:11" ht="12.75">
      <c r="A2331" s="69">
        <f ca="1">IFERROR(__xludf.DUMMYFUNCTION("""COMPUTED_VALUE"""),98321)</f>
        <v>98321</v>
      </c>
      <c r="B2331" s="4">
        <f ca="1">IFERROR(__xludf.DUMMYFUNCTION("""COMPUTED_VALUE"""),44699)</f>
        <v>44699</v>
      </c>
      <c r="C2331" t="str">
        <f ca="1">IFERROR(__xludf.DUMMYFUNCTION("""COMPUTED_VALUE"""),"ООО ""ВЫСОКИЕ ТЕХНОЛОГИИ"" 177-РДО от 18.05.2022")</f>
        <v>ООО "ВЫСОКИЕ ТЕХНОЛОГИИ" 177-РДО от 18.05.2022</v>
      </c>
      <c r="D23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31" t="str">
        <f ca="1">IFERROR(__xludf.DUMMYFUNCTION("""COMPUTED_VALUE"""),"Новый")</f>
        <v>Новый</v>
      </c>
      <c r="G2331" s="68"/>
      <c r="K2331" s="68"/>
    </row>
    <row r="2332" spans="1:11" ht="12.75">
      <c r="A2332" s="69">
        <f ca="1">IFERROR(__xludf.DUMMYFUNCTION("""COMPUTED_VALUE"""),98328)</f>
        <v>98328</v>
      </c>
      <c r="B2332" s="4">
        <f ca="1">IFERROR(__xludf.DUMMYFUNCTION("""COMPUTED_VALUE"""),44699)</f>
        <v>44699</v>
      </c>
      <c r="C2332" t="str">
        <f ca="1">IFERROR(__xludf.DUMMYFUNCTION("""COMPUTED_VALUE"""),"ООО ""ВЫСОКИЕ ТЕХНОЛОГИИ"" 137-СТР от 18.05.2022")</f>
        <v>ООО "ВЫСОКИЕ ТЕХНОЛОГИИ" 137-СТР от 18.05.2022</v>
      </c>
      <c r="D23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2" t="str">
        <f ca="1">IFERROR(__xludf.DUMMYFUNCTION("""COMPUTED_VALUE"""),"Новый")</f>
        <v>Новый</v>
      </c>
      <c r="G2332" s="68"/>
      <c r="K2332" s="68"/>
    </row>
    <row r="2333" spans="1:11" ht="12.75">
      <c r="A2333" s="69">
        <f ca="1">IFERROR(__xludf.DUMMYFUNCTION("""COMPUTED_VALUE"""),98329)</f>
        <v>98329</v>
      </c>
      <c r="B2333" s="4">
        <f ca="1">IFERROR(__xludf.DUMMYFUNCTION("""COMPUTED_VALUE"""),44699)</f>
        <v>44699</v>
      </c>
      <c r="C2333" t="str">
        <f ca="1">IFERROR(__xludf.DUMMYFUNCTION("""COMPUTED_VALUE"""),"ООО ""ВЫСОКИЕ ТЕХНОЛОГИИ"" 137-СТР от 18.05.2022")</f>
        <v>ООО "ВЫСОКИЕ ТЕХНОЛОГИИ" 137-СТР от 18.05.2022</v>
      </c>
      <c r="D23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3" t="str">
        <f ca="1">IFERROR(__xludf.DUMMYFUNCTION("""COMPUTED_VALUE"""),"Новый")</f>
        <v>Новый</v>
      </c>
      <c r="G2333" s="68"/>
      <c r="K2333" s="68"/>
    </row>
    <row r="2334" spans="1:11" ht="12.75">
      <c r="A2334" s="69">
        <f ca="1">IFERROR(__xludf.DUMMYFUNCTION("""COMPUTED_VALUE"""),98330)</f>
        <v>98330</v>
      </c>
      <c r="B2334" s="4">
        <f ca="1">IFERROR(__xludf.DUMMYFUNCTION("""COMPUTED_VALUE"""),44699)</f>
        <v>44699</v>
      </c>
      <c r="C2334" t="str">
        <f ca="1">IFERROR(__xludf.DUMMYFUNCTION("""COMPUTED_VALUE"""),"ООО ""ВЫСОКИЕ ТЕХНОЛОГИИ"" 137-СТР от 18.05.2022")</f>
        <v>ООО "ВЫСОКИЕ ТЕХНОЛОГИИ" 137-СТР от 18.05.2022</v>
      </c>
      <c r="D23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4" t="str">
        <f ca="1">IFERROR(__xludf.DUMMYFUNCTION("""COMPUTED_VALUE"""),"Новый")</f>
        <v>Новый</v>
      </c>
      <c r="G2334" s="68"/>
      <c r="K2334" s="68"/>
    </row>
    <row r="2335" spans="1:11" ht="12.75">
      <c r="A2335" s="69">
        <f ca="1">IFERROR(__xludf.DUMMYFUNCTION("""COMPUTED_VALUE"""),98331)</f>
        <v>98331</v>
      </c>
      <c r="B2335" s="4">
        <f ca="1">IFERROR(__xludf.DUMMYFUNCTION("""COMPUTED_VALUE"""),44699)</f>
        <v>44699</v>
      </c>
      <c r="C2335" t="str">
        <f ca="1">IFERROR(__xludf.DUMMYFUNCTION("""COMPUTED_VALUE"""),"ООО ""ВЫСОКИЕ ТЕХНОЛОГИИ"" 137-СТР от 18.05.2022")</f>
        <v>ООО "ВЫСОКИЕ ТЕХНОЛОГИИ" 137-СТР от 18.05.2022</v>
      </c>
      <c r="D23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5" t="str">
        <f ca="1">IFERROR(__xludf.DUMMYFUNCTION("""COMPUTED_VALUE"""),"Новый")</f>
        <v>Новый</v>
      </c>
      <c r="G2335" s="68"/>
      <c r="K2335" s="68"/>
    </row>
    <row r="2336" spans="1:11" ht="12.75">
      <c r="A2336" s="69">
        <f ca="1">IFERROR(__xludf.DUMMYFUNCTION("""COMPUTED_VALUE"""),98332)</f>
        <v>98332</v>
      </c>
      <c r="B2336" s="4">
        <f ca="1">IFERROR(__xludf.DUMMYFUNCTION("""COMPUTED_VALUE"""),44699)</f>
        <v>44699</v>
      </c>
      <c r="C2336" t="str">
        <f ca="1">IFERROR(__xludf.DUMMYFUNCTION("""COMPUTED_VALUE"""),"ООО ""ВЫСОКИЕ ТЕХНОЛОГИИ"" 137-СТР от 18.05.2022")</f>
        <v>ООО "ВЫСОКИЕ ТЕХНОЛОГИИ" 137-СТР от 18.05.2022</v>
      </c>
      <c r="D23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6" t="str">
        <f ca="1">IFERROR(__xludf.DUMMYFUNCTION("""COMPUTED_VALUE"""),"Новый")</f>
        <v>Новый</v>
      </c>
      <c r="G2336" s="68"/>
      <c r="K2336" s="68"/>
    </row>
    <row r="2337" spans="1:11" ht="12.75">
      <c r="A2337" s="69">
        <f ca="1">IFERROR(__xludf.DUMMYFUNCTION("""COMPUTED_VALUE"""),98333)</f>
        <v>98333</v>
      </c>
      <c r="B2337" s="4">
        <f ca="1">IFERROR(__xludf.DUMMYFUNCTION("""COMPUTED_VALUE"""),44699)</f>
        <v>44699</v>
      </c>
      <c r="C2337" t="str">
        <f ca="1">IFERROR(__xludf.DUMMYFUNCTION("""COMPUTED_VALUE"""),"ООО ""ВЫСОКИЕ ТЕХНОЛОГИИ"" 137-СТР от 18.05.2022")</f>
        <v>ООО "ВЫСОКИЕ ТЕХНОЛОГИИ" 137-СТР от 18.05.2022</v>
      </c>
      <c r="D23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7" t="str">
        <f ca="1">IFERROR(__xludf.DUMMYFUNCTION("""COMPUTED_VALUE"""),"Новый")</f>
        <v>Новый</v>
      </c>
      <c r="G2337" s="68"/>
      <c r="K2337" s="68"/>
    </row>
    <row r="2338" spans="1:11" ht="12.75">
      <c r="A2338" s="69">
        <f ca="1">IFERROR(__xludf.DUMMYFUNCTION("""COMPUTED_VALUE"""),98334)</f>
        <v>98334</v>
      </c>
      <c r="B2338" s="4">
        <f ca="1">IFERROR(__xludf.DUMMYFUNCTION("""COMPUTED_VALUE"""),44699)</f>
        <v>44699</v>
      </c>
      <c r="C2338" t="str">
        <f ca="1">IFERROR(__xludf.DUMMYFUNCTION("""COMPUTED_VALUE"""),"ООО ""ВЫСОКИЕ ТЕХНОЛОГИИ"" 137-СТР от 18.05.2022")</f>
        <v>ООО "ВЫСОКИЕ ТЕХНОЛОГИИ" 137-СТР от 18.05.2022</v>
      </c>
      <c r="D23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8" t="str">
        <f ca="1">IFERROR(__xludf.DUMMYFUNCTION("""COMPUTED_VALUE"""),"Новый")</f>
        <v>Новый</v>
      </c>
      <c r="G2338" s="68"/>
      <c r="K2338" s="68"/>
    </row>
    <row r="2339" spans="1:11" ht="12.75">
      <c r="A2339" s="69">
        <f ca="1">IFERROR(__xludf.DUMMYFUNCTION("""COMPUTED_VALUE"""),98335)</f>
        <v>98335</v>
      </c>
      <c r="B2339" s="4">
        <f ca="1">IFERROR(__xludf.DUMMYFUNCTION("""COMPUTED_VALUE"""),44699)</f>
        <v>44699</v>
      </c>
      <c r="C2339" t="str">
        <f ca="1">IFERROR(__xludf.DUMMYFUNCTION("""COMPUTED_VALUE"""),"ООО ""ВЫСОКИЕ ТЕХНОЛОГИИ"" 137-СТР от 18.05.2022")</f>
        <v>ООО "ВЫСОКИЕ ТЕХНОЛОГИИ" 137-СТР от 18.05.2022</v>
      </c>
      <c r="D23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39" t="str">
        <f ca="1">IFERROR(__xludf.DUMMYFUNCTION("""COMPUTED_VALUE"""),"Новый")</f>
        <v>Новый</v>
      </c>
      <c r="G2339" s="68"/>
      <c r="K2339" s="68"/>
    </row>
    <row r="2340" spans="1:11" ht="12.75">
      <c r="A2340" s="69">
        <f ca="1">IFERROR(__xludf.DUMMYFUNCTION("""COMPUTED_VALUE"""),98336)</f>
        <v>98336</v>
      </c>
      <c r="B2340" s="4">
        <f ca="1">IFERROR(__xludf.DUMMYFUNCTION("""COMPUTED_VALUE"""),44699)</f>
        <v>44699</v>
      </c>
      <c r="C2340" t="str">
        <f ca="1">IFERROR(__xludf.DUMMYFUNCTION("""COMPUTED_VALUE"""),"ООО ""ВЫСОКИЕ ТЕХНОЛОГИИ"" 137-СТР от 18.05.2022")</f>
        <v>ООО "ВЫСОКИЕ ТЕХНОЛОГИИ" 137-СТР от 18.05.2022</v>
      </c>
      <c r="D23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0" t="str">
        <f ca="1">IFERROR(__xludf.DUMMYFUNCTION("""COMPUTED_VALUE"""),"Новый")</f>
        <v>Новый</v>
      </c>
      <c r="G2340" s="68"/>
      <c r="K2340" s="68"/>
    </row>
    <row r="2341" spans="1:11" ht="12.75">
      <c r="A2341" s="69">
        <f ca="1">IFERROR(__xludf.DUMMYFUNCTION("""COMPUTED_VALUE"""),98337)</f>
        <v>98337</v>
      </c>
      <c r="B2341" s="4">
        <f ca="1">IFERROR(__xludf.DUMMYFUNCTION("""COMPUTED_VALUE"""),44699)</f>
        <v>44699</v>
      </c>
      <c r="C2341" t="str">
        <f ca="1">IFERROR(__xludf.DUMMYFUNCTION("""COMPUTED_VALUE"""),"ООО ""ВЫСОКИЕ ТЕХНОЛОГИИ"" 137-СТР от 18.05.2022")</f>
        <v>ООО "ВЫСОКИЕ ТЕХНОЛОГИИ" 137-СТР от 18.05.2022</v>
      </c>
      <c r="D23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1" t="str">
        <f ca="1">IFERROR(__xludf.DUMMYFUNCTION("""COMPUTED_VALUE"""),"Новый")</f>
        <v>Новый</v>
      </c>
      <c r="G2341" s="68"/>
      <c r="K2341" s="68"/>
    </row>
    <row r="2342" spans="1:11" ht="12.75">
      <c r="A2342" s="69">
        <f ca="1">IFERROR(__xludf.DUMMYFUNCTION("""COMPUTED_VALUE"""),98338)</f>
        <v>98338</v>
      </c>
      <c r="B2342" s="4">
        <f ca="1">IFERROR(__xludf.DUMMYFUNCTION("""COMPUTED_VALUE"""),44699)</f>
        <v>44699</v>
      </c>
      <c r="C2342" t="str">
        <f ca="1">IFERROR(__xludf.DUMMYFUNCTION("""COMPUTED_VALUE"""),"ООО ""ВЫСОКИЕ ТЕХНОЛОГИИ"" 137-СТР от 18.05.2022")</f>
        <v>ООО "ВЫСОКИЕ ТЕХНОЛОГИИ" 137-СТР от 18.05.2022</v>
      </c>
      <c r="D23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2" t="str">
        <f ca="1">IFERROR(__xludf.DUMMYFUNCTION("""COMPUTED_VALUE"""),"Новый")</f>
        <v>Новый</v>
      </c>
      <c r="G2342" s="68"/>
      <c r="K2342" s="68"/>
    </row>
    <row r="2343" spans="1:11" ht="12.75">
      <c r="A2343" s="69">
        <f ca="1">IFERROR(__xludf.DUMMYFUNCTION("""COMPUTED_VALUE"""),98339)</f>
        <v>98339</v>
      </c>
      <c r="B2343" s="4">
        <f ca="1">IFERROR(__xludf.DUMMYFUNCTION("""COMPUTED_VALUE"""),44699)</f>
        <v>44699</v>
      </c>
      <c r="C2343" t="str">
        <f ca="1">IFERROR(__xludf.DUMMYFUNCTION("""COMPUTED_VALUE"""),"ООО ""ВЫСОКИЕ ТЕХНОЛОГИИ"" 137-СТР от 18.05.2022")</f>
        <v>ООО "ВЫСОКИЕ ТЕХНОЛОГИИ" 137-СТР от 18.05.2022</v>
      </c>
      <c r="D23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3" t="str">
        <f ca="1">IFERROR(__xludf.DUMMYFUNCTION("""COMPUTED_VALUE"""),"Новый")</f>
        <v>Новый</v>
      </c>
      <c r="G2343" s="68"/>
      <c r="K2343" s="68"/>
    </row>
    <row r="2344" spans="1:11" ht="12.75">
      <c r="A2344" s="69">
        <f ca="1">IFERROR(__xludf.DUMMYFUNCTION("""COMPUTED_VALUE"""),98340)</f>
        <v>98340</v>
      </c>
      <c r="B2344" s="4">
        <f ca="1">IFERROR(__xludf.DUMMYFUNCTION("""COMPUTED_VALUE"""),44699)</f>
        <v>44699</v>
      </c>
      <c r="C2344" t="str">
        <f ca="1">IFERROR(__xludf.DUMMYFUNCTION("""COMPUTED_VALUE"""),"ООО ""ВЫСОКИЕ ТЕХНОЛОГИИ"" 137-СТР от 18.05.2022")</f>
        <v>ООО "ВЫСОКИЕ ТЕХНОЛОГИИ" 137-СТР от 18.05.2022</v>
      </c>
      <c r="D23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4" t="str">
        <f ca="1">IFERROR(__xludf.DUMMYFUNCTION("""COMPUTED_VALUE"""),"Новый")</f>
        <v>Новый</v>
      </c>
      <c r="G2344" s="68"/>
      <c r="K2344" s="68"/>
    </row>
    <row r="2345" spans="1:11" ht="12.75">
      <c r="A2345" s="69">
        <f ca="1">IFERROR(__xludf.DUMMYFUNCTION("""COMPUTED_VALUE"""),98341)</f>
        <v>98341</v>
      </c>
      <c r="B2345" s="4">
        <f ca="1">IFERROR(__xludf.DUMMYFUNCTION("""COMPUTED_VALUE"""),44699)</f>
        <v>44699</v>
      </c>
      <c r="C2345" t="str">
        <f ca="1">IFERROR(__xludf.DUMMYFUNCTION("""COMPUTED_VALUE"""),"ООО ""ВЫСОКИЕ ТЕХНОЛОГИИ"" 137-СТР от 18.05.2022")</f>
        <v>ООО "ВЫСОКИЕ ТЕХНОЛОГИИ" 137-СТР от 18.05.2022</v>
      </c>
      <c r="D23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45" t="str">
        <f ca="1">IFERROR(__xludf.DUMMYFUNCTION("""COMPUTED_VALUE"""),"Новый")</f>
        <v>Новый</v>
      </c>
      <c r="G2345" s="68"/>
      <c r="K2345" s="68"/>
    </row>
    <row r="2346" spans="1:11" ht="12.75">
      <c r="A2346" s="69">
        <f ca="1">IFERROR(__xludf.DUMMYFUNCTION("""COMPUTED_VALUE"""),98348)</f>
        <v>98348</v>
      </c>
      <c r="B2346" s="4">
        <f ca="1">IFERROR(__xludf.DUMMYFUNCTION("""COMPUTED_VALUE"""),44701)</f>
        <v>44701</v>
      </c>
      <c r="C2346" t="str">
        <f ca="1">IFERROR(__xludf.DUMMYFUNCTION("""COMPUTED_VALUE"""),"АО ""Омскгоргаз""")</f>
        <v>АО "Омскгоргаз"</v>
      </c>
      <c r="D23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46" t="str">
        <f ca="1">IFERROR(__xludf.DUMMYFUNCTION("""COMPUTED_VALUE"""),"Новый")</f>
        <v>Новый</v>
      </c>
      <c r="G2346" s="68"/>
      <c r="K2346" s="68"/>
    </row>
    <row r="2347" spans="1:11" ht="12.75">
      <c r="A2347" s="69">
        <f ca="1">IFERROR(__xludf.DUMMYFUNCTION("""COMPUTED_VALUE"""),98349)</f>
        <v>98349</v>
      </c>
      <c r="B2347" s="4">
        <f ca="1">IFERROR(__xludf.DUMMYFUNCTION("""COMPUTED_VALUE"""),44701)</f>
        <v>44701</v>
      </c>
      <c r="C2347" t="str">
        <f ca="1">IFERROR(__xludf.DUMMYFUNCTION("""COMPUTED_VALUE"""),"АО ""Омскгоргаз""")</f>
        <v>АО "Омскгоргаз"</v>
      </c>
      <c r="D23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47" t="str">
        <f ca="1">IFERROR(__xludf.DUMMYFUNCTION("""COMPUTED_VALUE"""),"Новый")</f>
        <v>Новый</v>
      </c>
      <c r="G2347" s="68"/>
      <c r="K2347" s="68"/>
    </row>
    <row r="2348" spans="1:11" ht="12.75">
      <c r="A2348" s="69">
        <f ca="1">IFERROR(__xludf.DUMMYFUNCTION("""COMPUTED_VALUE"""),98360)</f>
        <v>98360</v>
      </c>
      <c r="B2348" s="4">
        <f ca="1">IFERROR(__xludf.DUMMYFUNCTION("""COMPUTED_VALUE"""),44701)</f>
        <v>44701</v>
      </c>
      <c r="C2348" t="str">
        <f ca="1">IFERROR(__xludf.DUMMYFUNCTION("""COMPUTED_VALUE"""),"АО ""Омскгоргаз""")</f>
        <v>АО "Омскгоргаз"</v>
      </c>
      <c r="D23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48" t="str">
        <f ca="1">IFERROR(__xludf.DUMMYFUNCTION("""COMPUTED_VALUE"""),"Новый")</f>
        <v>Новый</v>
      </c>
      <c r="G2348" s="68"/>
      <c r="K2348" s="68"/>
    </row>
    <row r="2349" spans="1:11" ht="12.75">
      <c r="A2349" s="69">
        <f ca="1">IFERROR(__xludf.DUMMYFUNCTION("""COMPUTED_VALUE"""),98364)</f>
        <v>98364</v>
      </c>
      <c r="B2349" s="4">
        <f ca="1">IFERROR(__xludf.DUMMYFUNCTION("""COMPUTED_VALUE"""),44701)</f>
        <v>44701</v>
      </c>
      <c r="C2349" t="str">
        <f ca="1">IFERROR(__xludf.DUMMYFUNCTION("""COMPUTED_VALUE"""),"АО ""Омскгоргаз""")</f>
        <v>АО "Омскгоргаз"</v>
      </c>
      <c r="D23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49" t="str">
        <f ca="1">IFERROR(__xludf.DUMMYFUNCTION("""COMPUTED_VALUE"""),"Новый")</f>
        <v>Новый</v>
      </c>
      <c r="G2349" s="68"/>
      <c r="K2349" s="68"/>
    </row>
    <row r="2350" spans="1:11" ht="12.75">
      <c r="A2350" s="69">
        <f ca="1">IFERROR(__xludf.DUMMYFUNCTION("""COMPUTED_VALUE"""),98366)</f>
        <v>98366</v>
      </c>
      <c r="B2350" s="4">
        <f ca="1">IFERROR(__xludf.DUMMYFUNCTION("""COMPUTED_VALUE"""),44701)</f>
        <v>44701</v>
      </c>
      <c r="C2350" t="str">
        <f ca="1">IFERROR(__xludf.DUMMYFUNCTION("""COMPUTED_VALUE"""),"АО ""Омскгоргаз""")</f>
        <v>АО "Омскгоргаз"</v>
      </c>
      <c r="D23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50" t="str">
        <f ca="1">IFERROR(__xludf.DUMMYFUNCTION("""COMPUTED_VALUE"""),"Новый")</f>
        <v>Новый</v>
      </c>
      <c r="G2350" s="68"/>
      <c r="K2350" s="68"/>
    </row>
    <row r="2351" spans="1:11" ht="12.75">
      <c r="A2351" s="69">
        <f ca="1">IFERROR(__xludf.DUMMYFUNCTION("""COMPUTED_VALUE"""),98367)</f>
        <v>98367</v>
      </c>
      <c r="B2351" s="4">
        <f ca="1">IFERROR(__xludf.DUMMYFUNCTION("""COMPUTED_VALUE"""),44701)</f>
        <v>44701</v>
      </c>
      <c r="C2351" t="str">
        <f ca="1">IFERROR(__xludf.DUMMYFUNCTION("""COMPUTED_VALUE"""),"АО ""Омскгоргаз""")</f>
        <v>АО "Омскгоргаз"</v>
      </c>
      <c r="D23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51" t="str">
        <f ca="1">IFERROR(__xludf.DUMMYFUNCTION("""COMPUTED_VALUE"""),"Новый")</f>
        <v>Новый</v>
      </c>
      <c r="G2351" s="68"/>
      <c r="K2351" s="68"/>
    </row>
    <row r="2352" spans="1:11" ht="12.75">
      <c r="A2352" s="69">
        <f ca="1">IFERROR(__xludf.DUMMYFUNCTION("""COMPUTED_VALUE"""),98390)</f>
        <v>98390</v>
      </c>
      <c r="B2352" s="4">
        <f ca="1">IFERROR(__xludf.DUMMYFUNCTION("""COMPUTED_VALUE"""),44701)</f>
        <v>44701</v>
      </c>
      <c r="C2352" t="str">
        <f ca="1">IFERROR(__xludf.DUMMYFUNCTION("""COMPUTED_VALUE"""),"ООО ""ЛИКВИДАТОР"" №116-СТР от 01.03.2022")</f>
        <v>ООО "ЛИКВИДАТОР" №116-СТР от 01.03.2022</v>
      </c>
      <c r="D23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2" t="str">
        <f ca="1">IFERROR(__xludf.DUMMYFUNCTION("""COMPUTED_VALUE"""),"Новый")</f>
        <v>Новый</v>
      </c>
      <c r="G2352" s="68"/>
      <c r="K2352" s="68"/>
    </row>
    <row r="2353" spans="1:11" ht="12.75">
      <c r="A2353" s="69">
        <f ca="1">IFERROR(__xludf.DUMMYFUNCTION("""COMPUTED_VALUE"""),98391)</f>
        <v>98391</v>
      </c>
      <c r="B2353" s="4">
        <f ca="1">IFERROR(__xludf.DUMMYFUNCTION("""COMPUTED_VALUE"""),44701)</f>
        <v>44701</v>
      </c>
      <c r="C2353" t="str">
        <f ca="1">IFERROR(__xludf.DUMMYFUNCTION("""COMPUTED_VALUE"""),"ООО ""ЛИКВИДАТОР"" №116-СТР от 01.03.2022")</f>
        <v>ООО "ЛИКВИДАТОР" №116-СТР от 01.03.2022</v>
      </c>
      <c r="D23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3" t="str">
        <f ca="1">IFERROR(__xludf.DUMMYFUNCTION("""COMPUTED_VALUE"""),"Новый")</f>
        <v>Новый</v>
      </c>
      <c r="G2353" s="68"/>
      <c r="K2353" s="68"/>
    </row>
    <row r="2354" spans="1:11" ht="12.75">
      <c r="A2354" s="69">
        <f ca="1">IFERROR(__xludf.DUMMYFUNCTION("""COMPUTED_VALUE"""),98392)</f>
        <v>98392</v>
      </c>
      <c r="B2354" s="4">
        <f ca="1">IFERROR(__xludf.DUMMYFUNCTION("""COMPUTED_VALUE"""),44701)</f>
        <v>44701</v>
      </c>
      <c r="C2354" t="str">
        <f ca="1">IFERROR(__xludf.DUMMYFUNCTION("""COMPUTED_VALUE"""),"ООО ""ЛИКВИДАТОР"" №116-СТР от 01.03.2022")</f>
        <v>ООО "ЛИКВИДАТОР" №116-СТР от 01.03.2022</v>
      </c>
      <c r="D23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4" t="str">
        <f ca="1">IFERROR(__xludf.DUMMYFUNCTION("""COMPUTED_VALUE"""),"Новый")</f>
        <v>Новый</v>
      </c>
      <c r="G2354" s="68"/>
      <c r="K2354" s="68"/>
    </row>
    <row r="2355" spans="1:11" ht="12.75">
      <c r="A2355" s="69">
        <f ca="1">IFERROR(__xludf.DUMMYFUNCTION("""COMPUTED_VALUE"""),98393)</f>
        <v>98393</v>
      </c>
      <c r="B2355" s="4">
        <f ca="1">IFERROR(__xludf.DUMMYFUNCTION("""COMPUTED_VALUE"""),44701)</f>
        <v>44701</v>
      </c>
      <c r="C2355" t="str">
        <f ca="1">IFERROR(__xludf.DUMMYFUNCTION("""COMPUTED_VALUE"""),"ООО ""ЛИКВИДАТОР"" №116-СТР от 01.03.2022")</f>
        <v>ООО "ЛИКВИДАТОР" №116-СТР от 01.03.2022</v>
      </c>
      <c r="D23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5" t="str">
        <f ca="1">IFERROR(__xludf.DUMMYFUNCTION("""COMPUTED_VALUE"""),"Новый")</f>
        <v>Новый</v>
      </c>
      <c r="G2355" s="68"/>
      <c r="K2355" s="68"/>
    </row>
    <row r="2356" spans="1:11" ht="12.75">
      <c r="A2356" s="69">
        <f ca="1">IFERROR(__xludf.DUMMYFUNCTION("""COMPUTED_VALUE"""),98394)</f>
        <v>98394</v>
      </c>
      <c r="B2356" s="4">
        <f ca="1">IFERROR(__xludf.DUMMYFUNCTION("""COMPUTED_VALUE"""),44701)</f>
        <v>44701</v>
      </c>
      <c r="C2356" t="str">
        <f ca="1">IFERROR(__xludf.DUMMYFUNCTION("""COMPUTED_VALUE"""),"ООО ""ЛИКВИДАТОР"" №116-СТР от 01.03.2022")</f>
        <v>ООО "ЛИКВИДАТОР" №116-СТР от 01.03.2022</v>
      </c>
      <c r="D23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6" t="str">
        <f ca="1">IFERROR(__xludf.DUMMYFUNCTION("""COMPUTED_VALUE"""),"Новый")</f>
        <v>Новый</v>
      </c>
      <c r="G2356" s="68"/>
      <c r="K2356" s="68"/>
    </row>
    <row r="2357" spans="1:11" ht="12.75">
      <c r="A2357" s="69">
        <f ca="1">IFERROR(__xludf.DUMMYFUNCTION("""COMPUTED_VALUE"""),98395)</f>
        <v>98395</v>
      </c>
      <c r="B2357" s="4">
        <f ca="1">IFERROR(__xludf.DUMMYFUNCTION("""COMPUTED_VALUE"""),44701)</f>
        <v>44701</v>
      </c>
      <c r="C2357" t="str">
        <f ca="1">IFERROR(__xludf.DUMMYFUNCTION("""COMPUTED_VALUE"""),"ООО ""ЛИКВИДАТОР"" №116-СТР от 01.03.2022")</f>
        <v>ООО "ЛИКВИДАТОР" №116-СТР от 01.03.2022</v>
      </c>
      <c r="D23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7" t="str">
        <f ca="1">IFERROR(__xludf.DUMMYFUNCTION("""COMPUTED_VALUE"""),"Новый")</f>
        <v>Новый</v>
      </c>
      <c r="G2357" s="68"/>
      <c r="K2357" s="68"/>
    </row>
    <row r="2358" spans="1:11" ht="12.75">
      <c r="A2358" s="69">
        <f ca="1">IFERROR(__xludf.DUMMYFUNCTION("""COMPUTED_VALUE"""),98396)</f>
        <v>98396</v>
      </c>
      <c r="B2358" s="4">
        <f ca="1">IFERROR(__xludf.DUMMYFUNCTION("""COMPUTED_VALUE"""),44701)</f>
        <v>44701</v>
      </c>
      <c r="C2358" t="str">
        <f ca="1">IFERROR(__xludf.DUMMYFUNCTION("""COMPUTED_VALUE"""),"ООО ""ЛИКВИДАТОР"" №116-СТР от 01.03.2022")</f>
        <v>ООО "ЛИКВИДАТОР" №116-СТР от 01.03.2022</v>
      </c>
      <c r="D23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8" t="str">
        <f ca="1">IFERROR(__xludf.DUMMYFUNCTION("""COMPUTED_VALUE"""),"Новый")</f>
        <v>Новый</v>
      </c>
      <c r="G2358" s="68"/>
      <c r="K2358" s="68"/>
    </row>
    <row r="2359" spans="1:11" ht="12.75">
      <c r="A2359" s="69">
        <f ca="1">IFERROR(__xludf.DUMMYFUNCTION("""COMPUTED_VALUE"""),98397)</f>
        <v>98397</v>
      </c>
      <c r="B2359" s="4">
        <f ca="1">IFERROR(__xludf.DUMMYFUNCTION("""COMPUTED_VALUE"""),44701)</f>
        <v>44701</v>
      </c>
      <c r="C2359" t="str">
        <f ca="1">IFERROR(__xludf.DUMMYFUNCTION("""COMPUTED_VALUE"""),"ООО ""ЛИКВИДАТОР"" №116-СТР от 01.03.2022")</f>
        <v>ООО "ЛИКВИДАТОР" №116-СТР от 01.03.2022</v>
      </c>
      <c r="D23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59" t="str">
        <f ca="1">IFERROR(__xludf.DUMMYFUNCTION("""COMPUTED_VALUE"""),"Новый")</f>
        <v>Новый</v>
      </c>
      <c r="G2359" s="68"/>
      <c r="K2359" s="68"/>
    </row>
    <row r="2360" spans="1:11" ht="12.75">
      <c r="A2360" s="69">
        <f ca="1">IFERROR(__xludf.DUMMYFUNCTION("""COMPUTED_VALUE"""),98398)</f>
        <v>98398</v>
      </c>
      <c r="B2360" s="4">
        <f ca="1">IFERROR(__xludf.DUMMYFUNCTION("""COMPUTED_VALUE"""),44701)</f>
        <v>44701</v>
      </c>
      <c r="C2360" t="str">
        <f ca="1">IFERROR(__xludf.DUMMYFUNCTION("""COMPUTED_VALUE"""),"ООО ""ЛИКВИДАТОР"" №116-СТР от 01.03.2022")</f>
        <v>ООО "ЛИКВИДАТОР" №116-СТР от 01.03.2022</v>
      </c>
      <c r="D23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0" t="str">
        <f ca="1">IFERROR(__xludf.DUMMYFUNCTION("""COMPUTED_VALUE"""),"Новый")</f>
        <v>Новый</v>
      </c>
      <c r="G2360" s="68"/>
      <c r="K2360" s="68"/>
    </row>
    <row r="2361" spans="1:11" ht="12.75">
      <c r="A2361" s="69">
        <f ca="1">IFERROR(__xludf.DUMMYFUNCTION("""COMPUTED_VALUE"""),98399)</f>
        <v>98399</v>
      </c>
      <c r="B2361" s="4">
        <f ca="1">IFERROR(__xludf.DUMMYFUNCTION("""COMPUTED_VALUE"""),44701)</f>
        <v>44701</v>
      </c>
      <c r="C2361" t="str">
        <f ca="1">IFERROR(__xludf.DUMMYFUNCTION("""COMPUTED_VALUE"""),"ООО ""ЛИКВИДАТОР"" №116-СТР от 01.03.2022")</f>
        <v>ООО "ЛИКВИДАТОР" №116-СТР от 01.03.2022</v>
      </c>
      <c r="D23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1" t="str">
        <f ca="1">IFERROR(__xludf.DUMMYFUNCTION("""COMPUTED_VALUE"""),"Новый")</f>
        <v>Новый</v>
      </c>
      <c r="G2361" s="68"/>
      <c r="K2361" s="68"/>
    </row>
    <row r="2362" spans="1:11" ht="12.75">
      <c r="A2362" s="69">
        <f ca="1">IFERROR(__xludf.DUMMYFUNCTION("""COMPUTED_VALUE"""),98400)</f>
        <v>98400</v>
      </c>
      <c r="B2362" s="4">
        <f ca="1">IFERROR(__xludf.DUMMYFUNCTION("""COMPUTED_VALUE"""),44701)</f>
        <v>44701</v>
      </c>
      <c r="C2362" t="str">
        <f ca="1">IFERROR(__xludf.DUMMYFUNCTION("""COMPUTED_VALUE"""),"ООО ""ЛИКВИДАТОР"" №116-СТР от 01.03.2022")</f>
        <v>ООО "ЛИКВИДАТОР" №116-СТР от 01.03.2022</v>
      </c>
      <c r="D23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2" t="str">
        <f ca="1">IFERROR(__xludf.DUMMYFUNCTION("""COMPUTED_VALUE"""),"Новый")</f>
        <v>Новый</v>
      </c>
      <c r="G2362" s="68"/>
      <c r="K2362" s="68"/>
    </row>
    <row r="2363" spans="1:11" ht="12.75">
      <c r="A2363" s="69">
        <f ca="1">IFERROR(__xludf.DUMMYFUNCTION("""COMPUTED_VALUE"""),98401)</f>
        <v>98401</v>
      </c>
      <c r="B2363" s="4">
        <f ca="1">IFERROR(__xludf.DUMMYFUNCTION("""COMPUTED_VALUE"""),44701)</f>
        <v>44701</v>
      </c>
      <c r="C2363" t="str">
        <f ca="1">IFERROR(__xludf.DUMMYFUNCTION("""COMPUTED_VALUE"""),"ООО ""ЛИКВИДАТОР"" №116-СТР от 01.03.2022")</f>
        <v>ООО "ЛИКВИДАТОР" №116-СТР от 01.03.2022</v>
      </c>
      <c r="D23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3" t="str">
        <f ca="1">IFERROR(__xludf.DUMMYFUNCTION("""COMPUTED_VALUE"""),"Новый")</f>
        <v>Новый</v>
      </c>
      <c r="G2363" s="68"/>
      <c r="K2363" s="68"/>
    </row>
    <row r="2364" spans="1:11" ht="12.75">
      <c r="A2364" s="69">
        <f ca="1">IFERROR(__xludf.DUMMYFUNCTION("""COMPUTED_VALUE"""),98402)</f>
        <v>98402</v>
      </c>
      <c r="B2364" s="4">
        <f ca="1">IFERROR(__xludf.DUMMYFUNCTION("""COMPUTED_VALUE"""),44701)</f>
        <v>44701</v>
      </c>
      <c r="C2364" t="str">
        <f ca="1">IFERROR(__xludf.DUMMYFUNCTION("""COMPUTED_VALUE"""),"ООО ""ЛИКВИДАТОР"" №116-СТР от 01.03.2022")</f>
        <v>ООО "ЛИКВИДАТОР" №116-СТР от 01.03.2022</v>
      </c>
      <c r="D23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4" t="str">
        <f ca="1">IFERROR(__xludf.DUMMYFUNCTION("""COMPUTED_VALUE"""),"Новый")</f>
        <v>Новый</v>
      </c>
      <c r="G2364" s="68"/>
      <c r="K2364" s="68"/>
    </row>
    <row r="2365" spans="1:11" ht="12.75">
      <c r="A2365" s="69">
        <f ca="1">IFERROR(__xludf.DUMMYFUNCTION("""COMPUTED_VALUE"""),98414)</f>
        <v>98414</v>
      </c>
      <c r="B2365" s="4">
        <f ca="1">IFERROR(__xludf.DUMMYFUNCTION("""COMPUTED_VALUE"""),44701)</f>
        <v>44701</v>
      </c>
      <c r="C2365" t="str">
        <f ca="1">IFERROR(__xludf.DUMMYFUNCTION("""COMPUTED_VALUE"""),"ООО ""ЛИКВИДАТОР"" №116-СТР от 01.03.2022")</f>
        <v>ООО "ЛИКВИДАТОР" №116-СТР от 01.03.2022</v>
      </c>
      <c r="D23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5" t="str">
        <f ca="1">IFERROR(__xludf.DUMMYFUNCTION("""COMPUTED_VALUE"""),"Новый")</f>
        <v>Новый</v>
      </c>
      <c r="G2365" s="68"/>
      <c r="K2365" s="68"/>
    </row>
    <row r="2366" spans="1:11" ht="12.75">
      <c r="A2366" s="69">
        <f ca="1">IFERROR(__xludf.DUMMYFUNCTION("""COMPUTED_VALUE"""),98415)</f>
        <v>98415</v>
      </c>
      <c r="B2366" s="4">
        <f ca="1">IFERROR(__xludf.DUMMYFUNCTION("""COMPUTED_VALUE"""),44701)</f>
        <v>44701</v>
      </c>
      <c r="C2366" t="str">
        <f ca="1">IFERROR(__xludf.DUMMYFUNCTION("""COMPUTED_VALUE"""),"ООО ""ЛИКВИДАТОР"" №116-СТР от 01.03.2022")</f>
        <v>ООО "ЛИКВИДАТОР" №116-СТР от 01.03.2022</v>
      </c>
      <c r="D23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6" t="str">
        <f ca="1">IFERROR(__xludf.DUMMYFUNCTION("""COMPUTED_VALUE"""),"Новый")</f>
        <v>Новый</v>
      </c>
      <c r="G2366" s="68"/>
      <c r="K2366" s="68"/>
    </row>
    <row r="2367" spans="1:11" ht="12.75">
      <c r="A2367" s="69">
        <f ca="1">IFERROR(__xludf.DUMMYFUNCTION("""COMPUTED_VALUE"""),98416)</f>
        <v>98416</v>
      </c>
      <c r="B2367" s="4">
        <f ca="1">IFERROR(__xludf.DUMMYFUNCTION("""COMPUTED_VALUE"""),44701)</f>
        <v>44701</v>
      </c>
      <c r="C2367" t="str">
        <f ca="1">IFERROR(__xludf.DUMMYFUNCTION("""COMPUTED_VALUE"""),"ООО ""ЛИКВИДАТОР"" №116-СТР от 01.03.2022")</f>
        <v>ООО "ЛИКВИДАТОР" №116-СТР от 01.03.2022</v>
      </c>
      <c r="D23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7" t="str">
        <f ca="1">IFERROR(__xludf.DUMMYFUNCTION("""COMPUTED_VALUE"""),"Новый")</f>
        <v>Новый</v>
      </c>
      <c r="G2367" s="68"/>
      <c r="K2367" s="68"/>
    </row>
    <row r="2368" spans="1:11" ht="12.75">
      <c r="A2368" s="69">
        <f ca="1">IFERROR(__xludf.DUMMYFUNCTION("""COMPUTED_VALUE"""),98417)</f>
        <v>98417</v>
      </c>
      <c r="B2368" s="4">
        <f ca="1">IFERROR(__xludf.DUMMYFUNCTION("""COMPUTED_VALUE"""),44701)</f>
        <v>44701</v>
      </c>
      <c r="C2368" t="str">
        <f ca="1">IFERROR(__xludf.DUMMYFUNCTION("""COMPUTED_VALUE"""),"ООО ""ЛИКВИДАТОР"" №116-СТР от 01.03.2022")</f>
        <v>ООО "ЛИКВИДАТОР" №116-СТР от 01.03.2022</v>
      </c>
      <c r="D23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368" t="str">
        <f ca="1">IFERROR(__xludf.DUMMYFUNCTION("""COMPUTED_VALUE"""),"Новый")</f>
        <v>Новый</v>
      </c>
      <c r="G2368" s="68"/>
      <c r="K2368" s="68"/>
    </row>
    <row r="2369" spans="1:11" ht="12.75">
      <c r="A2369" s="69">
        <f ca="1">IFERROR(__xludf.DUMMYFUNCTION("""COMPUTED_VALUE"""),98418)</f>
        <v>98418</v>
      </c>
      <c r="B2369" s="4">
        <f ca="1">IFERROR(__xludf.DUMMYFUNCTION("""COMPUTED_VALUE"""),44701)</f>
        <v>44701</v>
      </c>
      <c r="C2369" t="str">
        <f ca="1">IFERROR(__xludf.DUMMYFUNCTION("""COMPUTED_VALUE"""),"ОАО ""ОМД-завод колбасных изделий"" 175-РДО от 16.05.2022")</f>
        <v>ОАО "ОМД-завод колбасных изделий" 175-РДО от 16.05.2022</v>
      </c>
      <c r="D23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69" t="str">
        <f ca="1">IFERROR(__xludf.DUMMYFUNCTION("""COMPUTED_VALUE"""),"Новый")</f>
        <v>Новый</v>
      </c>
      <c r="G2369" s="68"/>
      <c r="K2369" s="68"/>
    </row>
    <row r="2370" spans="1:11" ht="12.75">
      <c r="A2370" s="69">
        <f ca="1">IFERROR(__xludf.DUMMYFUNCTION("""COMPUTED_VALUE"""),98419)</f>
        <v>98419</v>
      </c>
      <c r="B2370" s="4">
        <f ca="1">IFERROR(__xludf.DUMMYFUNCTION("""COMPUTED_VALUE"""),44701)</f>
        <v>44701</v>
      </c>
      <c r="C2370" t="str">
        <f ca="1">IFERROR(__xludf.DUMMYFUNCTION("""COMPUTED_VALUE"""),"ОАО ""ОМД-завод колбасных изделий"" 175-РДО от 16.05.2022")</f>
        <v>ОАО "ОМД-завод колбасных изделий" 175-РДО от 16.05.2022</v>
      </c>
      <c r="D23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0" t="str">
        <f ca="1">IFERROR(__xludf.DUMMYFUNCTION("""COMPUTED_VALUE"""),"Новый")</f>
        <v>Новый</v>
      </c>
      <c r="G2370" s="68"/>
      <c r="K2370" s="68"/>
    </row>
    <row r="2371" spans="1:11" ht="12.75">
      <c r="A2371" s="69">
        <f ca="1">IFERROR(__xludf.DUMMYFUNCTION("""COMPUTED_VALUE"""),98427)</f>
        <v>98427</v>
      </c>
      <c r="B2371" s="4">
        <f ca="1">IFERROR(__xludf.DUMMYFUNCTION("""COMPUTED_VALUE"""),44701)</f>
        <v>44701</v>
      </c>
      <c r="C2371" t="str">
        <f ca="1">IFERROR(__xludf.DUMMYFUNCTION("""COMPUTED_VALUE"""),"ОАО ""ОМД-завод колбасных изделий"" 175-РДО от 16.05.2022")</f>
        <v>ОАО "ОМД-завод колбасных изделий" 175-РДО от 16.05.2022</v>
      </c>
      <c r="D23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1" t="str">
        <f ca="1">IFERROR(__xludf.DUMMYFUNCTION("""COMPUTED_VALUE"""),"Новый")</f>
        <v>Новый</v>
      </c>
      <c r="G2371" s="68"/>
      <c r="K2371" s="68"/>
    </row>
    <row r="2372" spans="1:11" ht="12.75">
      <c r="A2372" s="69">
        <f ca="1">IFERROR(__xludf.DUMMYFUNCTION("""COMPUTED_VALUE"""),98430)</f>
        <v>98430</v>
      </c>
      <c r="B2372" s="4">
        <f ca="1">IFERROR(__xludf.DUMMYFUNCTION("""COMPUTED_VALUE"""),44701)</f>
        <v>44701</v>
      </c>
      <c r="C2372" t="str">
        <f ca="1">IFERROR(__xludf.DUMMYFUNCTION("""COMPUTED_VALUE"""),"ИП Зюлин Егор Геннадьевич 118-РДО от 24.08.2021")</f>
        <v>ИП Зюлин Егор Геннадьевич 118-РДО от 24.08.2021</v>
      </c>
      <c r="D23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2" t="str">
        <f ca="1">IFERROR(__xludf.DUMMYFUNCTION("""COMPUTED_VALUE"""),"Новый")</f>
        <v>Новый</v>
      </c>
      <c r="G2372" s="68"/>
      <c r="K2372" s="68"/>
    </row>
    <row r="2373" spans="1:11" ht="12.75">
      <c r="A2373" s="69">
        <f ca="1">IFERROR(__xludf.DUMMYFUNCTION("""COMPUTED_VALUE"""),98431)</f>
        <v>98431</v>
      </c>
      <c r="B2373" s="4">
        <f ca="1">IFERROR(__xludf.DUMMYFUNCTION("""COMPUTED_VALUE"""),44701)</f>
        <v>44701</v>
      </c>
      <c r="C2373" t="str">
        <f ca="1">IFERROR(__xludf.DUMMYFUNCTION("""COMPUTED_VALUE"""),"ИП Зюлин Егор Геннадьевич 118-РДО от 24.08.2021")</f>
        <v>ИП Зюлин Егор Геннадьевич 118-РДО от 24.08.2021</v>
      </c>
      <c r="D23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3" t="str">
        <f ca="1">IFERROR(__xludf.DUMMYFUNCTION("""COMPUTED_VALUE"""),"Новый")</f>
        <v>Новый</v>
      </c>
      <c r="G2373" s="68"/>
      <c r="K2373" s="68"/>
    </row>
    <row r="2374" spans="1:11" ht="12.75">
      <c r="A2374" s="69">
        <f ca="1">IFERROR(__xludf.DUMMYFUNCTION("""COMPUTED_VALUE"""),98432)</f>
        <v>98432</v>
      </c>
      <c r="B2374" s="4">
        <f ca="1">IFERROR(__xludf.DUMMYFUNCTION("""COMPUTED_VALUE"""),44701)</f>
        <v>44701</v>
      </c>
      <c r="C2374" t="str">
        <f ca="1">IFERROR(__xludf.DUMMYFUNCTION("""COMPUTED_VALUE"""),"ИП Зюлин Егор Геннадьевич 118-РДО от 24.08.2021")</f>
        <v>ИП Зюлин Егор Геннадьевич 118-РДО от 24.08.2021</v>
      </c>
      <c r="D23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4" t="str">
        <f ca="1">IFERROR(__xludf.DUMMYFUNCTION("""COMPUTED_VALUE"""),"Новый")</f>
        <v>Новый</v>
      </c>
      <c r="G2374" s="68"/>
      <c r="K2374" s="68"/>
    </row>
    <row r="2375" spans="1:11" ht="12.75">
      <c r="A2375" s="69">
        <f ca="1">IFERROR(__xludf.DUMMYFUNCTION("""COMPUTED_VALUE"""),98433)</f>
        <v>98433</v>
      </c>
      <c r="B2375" s="4">
        <f ca="1">IFERROR(__xludf.DUMMYFUNCTION("""COMPUTED_VALUE"""),44701)</f>
        <v>44701</v>
      </c>
      <c r="C2375" t="str">
        <f ca="1">IFERROR(__xludf.DUMMYFUNCTION("""COMPUTED_VALUE"""),"ИП Зюлин Егор Геннадьевич 118-РДО от 24.08.2021")</f>
        <v>ИП Зюлин Егор Геннадьевич 118-РДО от 24.08.2021</v>
      </c>
      <c r="D23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5" t="str">
        <f ca="1">IFERROR(__xludf.DUMMYFUNCTION("""COMPUTED_VALUE"""),"Новый")</f>
        <v>Новый</v>
      </c>
      <c r="G2375" s="68"/>
      <c r="K2375" s="68"/>
    </row>
    <row r="2376" spans="1:11" ht="12.75">
      <c r="A2376" s="69">
        <f ca="1">IFERROR(__xludf.DUMMYFUNCTION("""COMPUTED_VALUE"""),98435)</f>
        <v>98435</v>
      </c>
      <c r="B2376" s="4">
        <f ca="1">IFERROR(__xludf.DUMMYFUNCTION("""COMPUTED_VALUE"""),44701)</f>
        <v>44701</v>
      </c>
      <c r="C2376" t="str">
        <f ca="1">IFERROR(__xludf.DUMMYFUNCTION("""COMPUTED_VALUE"""),"ИП Зюлин Егор Геннадьевич 118-РДО от 24.08.2021")</f>
        <v>ИП Зюлин Егор Геннадьевич 118-РДО от 24.08.2021</v>
      </c>
      <c r="D23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6" t="str">
        <f ca="1">IFERROR(__xludf.DUMMYFUNCTION("""COMPUTED_VALUE"""),"Новый")</f>
        <v>Новый</v>
      </c>
      <c r="G2376" s="68"/>
      <c r="K2376" s="68"/>
    </row>
    <row r="2377" spans="1:11" ht="12.75">
      <c r="A2377" s="69">
        <f ca="1">IFERROR(__xludf.DUMMYFUNCTION("""COMPUTED_VALUE"""),98454)</f>
        <v>98454</v>
      </c>
      <c r="B2377" s="4">
        <f ca="1">IFERROR(__xludf.DUMMYFUNCTION("""COMPUTED_VALUE"""),44704)</f>
        <v>44704</v>
      </c>
      <c r="C2377" t="str">
        <f ca="1">IFERROR(__xludf.DUMMYFUNCTION("""COMPUTED_VALUE"""),"УДХБ БУ Г. ОМСКА 126-РДО от 01.01.2022")</f>
        <v>УДХБ БУ Г. ОМСКА 126-РДО от 01.01.2022</v>
      </c>
      <c r="D23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7" t="str">
        <f ca="1">IFERROR(__xludf.DUMMYFUNCTION("""COMPUTED_VALUE"""),"Новый")</f>
        <v>Новый</v>
      </c>
      <c r="G2377" s="68"/>
      <c r="K2377" s="68"/>
    </row>
    <row r="2378" spans="1:11" ht="12.75">
      <c r="A2378" s="69">
        <f ca="1">IFERROR(__xludf.DUMMYFUNCTION("""COMPUTED_VALUE"""),98455)</f>
        <v>98455</v>
      </c>
      <c r="B2378" s="4">
        <f ca="1">IFERROR(__xludf.DUMMYFUNCTION("""COMPUTED_VALUE"""),44704)</f>
        <v>44704</v>
      </c>
      <c r="C2378" t="str">
        <f ca="1">IFERROR(__xludf.DUMMYFUNCTION("""COMPUTED_VALUE"""),"УДХБ БУ Г. ОМСКА 126-РДО от 01.01.2022")</f>
        <v>УДХБ БУ Г. ОМСКА 126-РДО от 01.01.2022</v>
      </c>
      <c r="D23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8" t="str">
        <f ca="1">IFERROR(__xludf.DUMMYFUNCTION("""COMPUTED_VALUE"""),"Новый")</f>
        <v>Новый</v>
      </c>
      <c r="G2378" s="68"/>
      <c r="K2378" s="68"/>
    </row>
    <row r="2379" spans="1:11" ht="12.75">
      <c r="A2379" s="69">
        <f ca="1">IFERROR(__xludf.DUMMYFUNCTION("""COMPUTED_VALUE"""),98456)</f>
        <v>98456</v>
      </c>
      <c r="B2379" s="4">
        <f ca="1">IFERROR(__xludf.DUMMYFUNCTION("""COMPUTED_VALUE"""),44704)</f>
        <v>44704</v>
      </c>
      <c r="C2379" t="str">
        <f ca="1">IFERROR(__xludf.DUMMYFUNCTION("""COMPUTED_VALUE"""),"УДХБ БУ Г. ОМСКА 126-РДО от 01.01.2022")</f>
        <v>УДХБ БУ Г. ОМСКА 126-РДО от 01.01.2022</v>
      </c>
      <c r="D23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79" t="str">
        <f ca="1">IFERROR(__xludf.DUMMYFUNCTION("""COMPUTED_VALUE"""),"Новый")</f>
        <v>Новый</v>
      </c>
      <c r="G2379" s="68"/>
      <c r="K2379" s="68"/>
    </row>
    <row r="2380" spans="1:11" ht="12.75">
      <c r="A2380" s="69">
        <f ca="1">IFERROR(__xludf.DUMMYFUNCTION("""COMPUTED_VALUE"""),98457)</f>
        <v>98457</v>
      </c>
      <c r="B2380" s="4">
        <f ca="1">IFERROR(__xludf.DUMMYFUNCTION("""COMPUTED_VALUE"""),44704)</f>
        <v>44704</v>
      </c>
      <c r="C2380" t="str">
        <f ca="1">IFERROR(__xludf.DUMMYFUNCTION("""COMPUTED_VALUE"""),"УДХБ БУ Г. ОМСКА 126-РДО от 01.01.2022")</f>
        <v>УДХБ БУ Г. ОМСКА 126-РДО от 01.01.2022</v>
      </c>
      <c r="D23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0" t="str">
        <f ca="1">IFERROR(__xludf.DUMMYFUNCTION("""COMPUTED_VALUE"""),"Новый")</f>
        <v>Новый</v>
      </c>
      <c r="G2380" s="68"/>
      <c r="K2380" s="68"/>
    </row>
    <row r="2381" spans="1:11" ht="12.75">
      <c r="A2381" s="69">
        <f ca="1">IFERROR(__xludf.DUMMYFUNCTION("""COMPUTED_VALUE"""),98462)</f>
        <v>98462</v>
      </c>
      <c r="B2381" s="4">
        <f ca="1">IFERROR(__xludf.DUMMYFUNCTION("""COMPUTED_VALUE"""),44704)</f>
        <v>44704</v>
      </c>
      <c r="C2381" t="str">
        <f ca="1">IFERROR(__xludf.DUMMYFUNCTION("""COMPUTED_VALUE"""),"УДХБ БУ Г. ОМСКА 126-РДО от 01.01.2022")</f>
        <v>УДХБ БУ Г. ОМСКА 126-РДО от 01.01.2022</v>
      </c>
      <c r="D23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1" t="str">
        <f ca="1">IFERROR(__xludf.DUMMYFUNCTION("""COMPUTED_VALUE"""),"Новый")</f>
        <v>Новый</v>
      </c>
      <c r="G2381" s="68"/>
      <c r="K2381" s="68"/>
    </row>
    <row r="2382" spans="1:11" ht="12.75">
      <c r="A2382" s="69">
        <f ca="1">IFERROR(__xludf.DUMMYFUNCTION("""COMPUTED_VALUE"""),98463)</f>
        <v>98463</v>
      </c>
      <c r="B2382" s="4">
        <f ca="1">IFERROR(__xludf.DUMMYFUNCTION("""COMPUTED_VALUE"""),44704)</f>
        <v>44704</v>
      </c>
      <c r="C2382" t="str">
        <f ca="1">IFERROR(__xludf.DUMMYFUNCTION("""COMPUTED_VALUE"""),"УДХБ БУ Г. ОМСКА 126-РДО от 01.01.2022")</f>
        <v>УДХБ БУ Г. ОМСКА 126-РДО от 01.01.2022</v>
      </c>
      <c r="D23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2" t="str">
        <f ca="1">IFERROR(__xludf.DUMMYFUNCTION("""COMPUTED_VALUE"""),"Новый")</f>
        <v>Новый</v>
      </c>
      <c r="G2382" s="68"/>
      <c r="K2382" s="68"/>
    </row>
    <row r="2383" spans="1:11" ht="12.75">
      <c r="A2383" s="69">
        <f ca="1">IFERROR(__xludf.DUMMYFUNCTION("""COMPUTED_VALUE"""),98464)</f>
        <v>98464</v>
      </c>
      <c r="B2383" s="4">
        <f ca="1">IFERROR(__xludf.DUMMYFUNCTION("""COMPUTED_VALUE"""),44704)</f>
        <v>44704</v>
      </c>
      <c r="C2383" t="str">
        <f ca="1">IFERROR(__xludf.DUMMYFUNCTION("""COMPUTED_VALUE"""),"УДХБ БУ Г. ОМСКА 126-РДО от 01.01.2022")</f>
        <v>УДХБ БУ Г. ОМСКА 126-РДО от 01.01.2022</v>
      </c>
      <c r="D23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3" t="str">
        <f ca="1">IFERROR(__xludf.DUMMYFUNCTION("""COMPUTED_VALUE"""),"Новый")</f>
        <v>Новый</v>
      </c>
      <c r="G2383" s="68"/>
      <c r="K2383" s="68"/>
    </row>
    <row r="2384" spans="1:11" ht="12.75">
      <c r="A2384" s="69">
        <f ca="1">IFERROR(__xludf.DUMMYFUNCTION("""COMPUTED_VALUE"""),98465)</f>
        <v>98465</v>
      </c>
      <c r="B2384" s="4">
        <f ca="1">IFERROR(__xludf.DUMMYFUNCTION("""COMPUTED_VALUE"""),44704)</f>
        <v>44704</v>
      </c>
      <c r="C2384" t="str">
        <f ca="1">IFERROR(__xludf.DUMMYFUNCTION("""COMPUTED_VALUE"""),"УДХБ БУ Г. ОМСКА 126-РДО от 01.01.2022")</f>
        <v>УДХБ БУ Г. ОМСКА 126-РДО от 01.01.2022</v>
      </c>
      <c r="D23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4" t="str">
        <f ca="1">IFERROR(__xludf.DUMMYFUNCTION("""COMPUTED_VALUE"""),"Новый")</f>
        <v>Новый</v>
      </c>
      <c r="G2384" s="68"/>
      <c r="K2384" s="68"/>
    </row>
    <row r="2385" spans="1:11" ht="12.75">
      <c r="A2385" s="69">
        <f ca="1">IFERROR(__xludf.DUMMYFUNCTION("""COMPUTED_VALUE"""),98466)</f>
        <v>98466</v>
      </c>
      <c r="B2385" s="4">
        <f ca="1">IFERROR(__xludf.DUMMYFUNCTION("""COMPUTED_VALUE"""),44704)</f>
        <v>44704</v>
      </c>
      <c r="C2385" t="str">
        <f ca="1">IFERROR(__xludf.DUMMYFUNCTION("""COMPUTED_VALUE"""),"УДХБ БУ Г. ОМСКА 126-РДО от 01.01.2022")</f>
        <v>УДХБ БУ Г. ОМСКА 126-РДО от 01.01.2022</v>
      </c>
      <c r="D23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5" t="str">
        <f ca="1">IFERROR(__xludf.DUMMYFUNCTION("""COMPUTED_VALUE"""),"Новый")</f>
        <v>Новый</v>
      </c>
      <c r="G2385" s="68"/>
      <c r="K2385" s="68"/>
    </row>
    <row r="2386" spans="1:11" ht="12.75">
      <c r="A2386" s="69">
        <f ca="1">IFERROR(__xludf.DUMMYFUNCTION("""COMPUTED_VALUE"""),98467)</f>
        <v>98467</v>
      </c>
      <c r="B2386" s="4">
        <f ca="1">IFERROR(__xludf.DUMMYFUNCTION("""COMPUTED_VALUE"""),44704)</f>
        <v>44704</v>
      </c>
      <c r="C2386" t="str">
        <f ca="1">IFERROR(__xludf.DUMMYFUNCTION("""COMPUTED_VALUE"""),"УДХБ БУ Г. ОМСКА 126-РДО от 01.01.2022")</f>
        <v>УДХБ БУ Г. ОМСКА 126-РДО от 01.01.2022</v>
      </c>
      <c r="D23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6" t="str">
        <f ca="1">IFERROR(__xludf.DUMMYFUNCTION("""COMPUTED_VALUE"""),"Новый")</f>
        <v>Новый</v>
      </c>
      <c r="G2386" s="68"/>
      <c r="K2386" s="68"/>
    </row>
    <row r="2387" spans="1:11" ht="12.75">
      <c r="A2387" s="69">
        <f ca="1">IFERROR(__xludf.DUMMYFUNCTION("""COMPUTED_VALUE"""),98468)</f>
        <v>98468</v>
      </c>
      <c r="B2387" s="4">
        <f ca="1">IFERROR(__xludf.DUMMYFUNCTION("""COMPUTED_VALUE"""),44704)</f>
        <v>44704</v>
      </c>
      <c r="C2387" t="str">
        <f ca="1">IFERROR(__xludf.DUMMYFUNCTION("""COMPUTED_VALUE"""),"УДХБ БУ Г. ОМСКА 126-РДО от 01.01.2022")</f>
        <v>УДХБ БУ Г. ОМСКА 126-РДО от 01.01.2022</v>
      </c>
      <c r="D23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7" t="str">
        <f ca="1">IFERROR(__xludf.DUMMYFUNCTION("""COMPUTED_VALUE"""),"Новый")</f>
        <v>Новый</v>
      </c>
      <c r="G2387" s="68"/>
      <c r="K2387" s="68"/>
    </row>
    <row r="2388" spans="1:11" ht="12.75">
      <c r="A2388" s="69">
        <f ca="1">IFERROR(__xludf.DUMMYFUNCTION("""COMPUTED_VALUE"""),98469)</f>
        <v>98469</v>
      </c>
      <c r="B2388" s="4">
        <f ca="1">IFERROR(__xludf.DUMMYFUNCTION("""COMPUTED_VALUE"""),44704)</f>
        <v>44704</v>
      </c>
      <c r="C2388" t="str">
        <f ca="1">IFERROR(__xludf.DUMMYFUNCTION("""COMPUTED_VALUE"""),"УДХБ БУ Г. ОМСКА 126-РДО от 01.01.2022")</f>
        <v>УДХБ БУ Г. ОМСКА 126-РДО от 01.01.2022</v>
      </c>
      <c r="D23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8" t="str">
        <f ca="1">IFERROR(__xludf.DUMMYFUNCTION("""COMPUTED_VALUE"""),"Новый")</f>
        <v>Новый</v>
      </c>
      <c r="G2388" s="68"/>
      <c r="K2388" s="68"/>
    </row>
    <row r="2389" spans="1:11" ht="12.75">
      <c r="A2389" s="69">
        <f ca="1">IFERROR(__xludf.DUMMYFUNCTION("""COMPUTED_VALUE"""),98470)</f>
        <v>98470</v>
      </c>
      <c r="B2389" s="4">
        <f ca="1">IFERROR(__xludf.DUMMYFUNCTION("""COMPUTED_VALUE"""),44704)</f>
        <v>44704</v>
      </c>
      <c r="C2389" t="str">
        <f ca="1">IFERROR(__xludf.DUMMYFUNCTION("""COMPUTED_VALUE"""),"УДХБ БУ Г. ОМСКА 126-РДО от 01.01.2022")</f>
        <v>УДХБ БУ Г. ОМСКА 126-РДО от 01.01.2022</v>
      </c>
      <c r="D23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89" t="str">
        <f ca="1">IFERROR(__xludf.DUMMYFUNCTION("""COMPUTED_VALUE"""),"Новый")</f>
        <v>Новый</v>
      </c>
      <c r="G2389" s="68"/>
      <c r="K2389" s="68"/>
    </row>
    <row r="2390" spans="1:11" ht="12.75">
      <c r="A2390" s="69">
        <f ca="1">IFERROR(__xludf.DUMMYFUNCTION("""COMPUTED_VALUE"""),98471)</f>
        <v>98471</v>
      </c>
      <c r="B2390" s="4">
        <f ca="1">IFERROR(__xludf.DUMMYFUNCTION("""COMPUTED_VALUE"""),44704)</f>
        <v>44704</v>
      </c>
      <c r="C2390" t="str">
        <f ca="1">IFERROR(__xludf.DUMMYFUNCTION("""COMPUTED_VALUE"""),"УДХБ БУ Г. ОМСКА 126-РДО от 01.01.2022")</f>
        <v>УДХБ БУ Г. ОМСКА 126-РДО от 01.01.2022</v>
      </c>
      <c r="D23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0" t="str">
        <f ca="1">IFERROR(__xludf.DUMMYFUNCTION("""COMPUTED_VALUE"""),"Новый")</f>
        <v>Новый</v>
      </c>
      <c r="G2390" s="68"/>
      <c r="K2390" s="68"/>
    </row>
    <row r="2391" spans="1:11" ht="12.75">
      <c r="A2391" s="69">
        <f ca="1">IFERROR(__xludf.DUMMYFUNCTION("""COMPUTED_VALUE"""),98478)</f>
        <v>98478</v>
      </c>
      <c r="B2391" s="4">
        <f ca="1">IFERROR(__xludf.DUMMYFUNCTION("""COMPUTED_VALUE"""),44704)</f>
        <v>44704</v>
      </c>
      <c r="C2391" t="str">
        <f ca="1">IFERROR(__xludf.DUMMYFUNCTION("""COMPUTED_VALUE"""),"УДХБ БУ Г. ОМСКА 126-РДО от 01.01.2022")</f>
        <v>УДХБ БУ Г. ОМСКА 126-РДО от 01.01.2022</v>
      </c>
      <c r="D23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1" t="str">
        <f ca="1">IFERROR(__xludf.DUMMYFUNCTION("""COMPUTED_VALUE"""),"Новый")</f>
        <v>Новый</v>
      </c>
      <c r="G2391" s="68"/>
      <c r="K2391" s="68"/>
    </row>
    <row r="2392" spans="1:11" ht="12.75">
      <c r="A2392" s="69">
        <f ca="1">IFERROR(__xludf.DUMMYFUNCTION("""COMPUTED_VALUE"""),98479)</f>
        <v>98479</v>
      </c>
      <c r="B2392" s="4">
        <f ca="1">IFERROR(__xludf.DUMMYFUNCTION("""COMPUTED_VALUE"""),44704)</f>
        <v>44704</v>
      </c>
      <c r="C2392" t="str">
        <f ca="1">IFERROR(__xludf.DUMMYFUNCTION("""COMPUTED_VALUE"""),"УДХБ БУ Г. ОМСКА 126-РДО от 01.01.2022")</f>
        <v>УДХБ БУ Г. ОМСКА 126-РДО от 01.01.2022</v>
      </c>
      <c r="D23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2" t="str">
        <f ca="1">IFERROR(__xludf.DUMMYFUNCTION("""COMPUTED_VALUE"""),"Новый")</f>
        <v>Новый</v>
      </c>
      <c r="G2392" s="68"/>
      <c r="K2392" s="68"/>
    </row>
    <row r="2393" spans="1:11" ht="12.75">
      <c r="A2393" s="69">
        <f ca="1">IFERROR(__xludf.DUMMYFUNCTION("""COMPUTED_VALUE"""),98480)</f>
        <v>98480</v>
      </c>
      <c r="B2393" s="4">
        <f ca="1">IFERROR(__xludf.DUMMYFUNCTION("""COMPUTED_VALUE"""),44704)</f>
        <v>44704</v>
      </c>
      <c r="C2393" t="str">
        <f ca="1">IFERROR(__xludf.DUMMYFUNCTION("""COMPUTED_VALUE"""),"УДХБ БУ Г. ОМСКА 126-РДО от 01.01.2022")</f>
        <v>УДХБ БУ Г. ОМСКА 126-РДО от 01.01.2022</v>
      </c>
      <c r="D23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3" t="str">
        <f ca="1">IFERROR(__xludf.DUMMYFUNCTION("""COMPUTED_VALUE"""),"Новый")</f>
        <v>Новый</v>
      </c>
      <c r="G2393" s="68"/>
      <c r="K2393" s="68"/>
    </row>
    <row r="2394" spans="1:11" ht="12.75">
      <c r="A2394" s="69">
        <f ca="1">IFERROR(__xludf.DUMMYFUNCTION("""COMPUTED_VALUE"""),98481)</f>
        <v>98481</v>
      </c>
      <c r="B2394" s="4">
        <f ca="1">IFERROR(__xludf.DUMMYFUNCTION("""COMPUTED_VALUE"""),44704)</f>
        <v>44704</v>
      </c>
      <c r="C2394" t="str">
        <f ca="1">IFERROR(__xludf.DUMMYFUNCTION("""COMPUTED_VALUE"""),"УДХБ БУ Г. ОМСКА 126-РДО от 01.01.2022")</f>
        <v>УДХБ БУ Г. ОМСКА 126-РДО от 01.01.2022</v>
      </c>
      <c r="D23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4" t="str">
        <f ca="1">IFERROR(__xludf.DUMMYFUNCTION("""COMPUTED_VALUE"""),"Новый")</f>
        <v>Новый</v>
      </c>
      <c r="G2394" s="68"/>
      <c r="K2394" s="68"/>
    </row>
    <row r="2395" spans="1:11" ht="12.75">
      <c r="A2395" s="69">
        <f ca="1">IFERROR(__xludf.DUMMYFUNCTION("""COMPUTED_VALUE"""),98482)</f>
        <v>98482</v>
      </c>
      <c r="B2395" s="4">
        <f ca="1">IFERROR(__xludf.DUMMYFUNCTION("""COMPUTED_VALUE"""),44704)</f>
        <v>44704</v>
      </c>
      <c r="C2395" t="str">
        <f ca="1">IFERROR(__xludf.DUMMYFUNCTION("""COMPUTED_VALUE"""),"УДХБ БУ Г. ОМСКА 126-РДО от 01.01.2022")</f>
        <v>УДХБ БУ Г. ОМСКА 126-РДО от 01.01.2022</v>
      </c>
      <c r="D23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5" t="str">
        <f ca="1">IFERROR(__xludf.DUMMYFUNCTION("""COMPUTED_VALUE"""),"Новый")</f>
        <v>Новый</v>
      </c>
      <c r="G2395" s="68"/>
      <c r="K2395" s="68"/>
    </row>
    <row r="2396" spans="1:11" ht="12.75">
      <c r="A2396" s="69">
        <f ca="1">IFERROR(__xludf.DUMMYFUNCTION("""COMPUTED_VALUE"""),98483)</f>
        <v>98483</v>
      </c>
      <c r="B2396" s="4">
        <f ca="1">IFERROR(__xludf.DUMMYFUNCTION("""COMPUTED_VALUE"""),44704)</f>
        <v>44704</v>
      </c>
      <c r="C2396" t="str">
        <f ca="1">IFERROR(__xludf.DUMMYFUNCTION("""COMPUTED_VALUE"""),"УДХБ БУ Г. ОМСКА 126-РДО от 01.01.2022")</f>
        <v>УДХБ БУ Г. ОМСКА 126-РДО от 01.01.2022</v>
      </c>
      <c r="D23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6" t="str">
        <f ca="1">IFERROR(__xludf.DUMMYFUNCTION("""COMPUTED_VALUE"""),"Новый")</f>
        <v>Новый</v>
      </c>
      <c r="G2396" s="68"/>
      <c r="K2396" s="68"/>
    </row>
    <row r="2397" spans="1:11" ht="12.75">
      <c r="A2397" s="69">
        <f ca="1">IFERROR(__xludf.DUMMYFUNCTION("""COMPUTED_VALUE"""),98516)</f>
        <v>98516</v>
      </c>
      <c r="B2397" s="4">
        <f ca="1">IFERROR(__xludf.DUMMYFUNCTION("""COMPUTED_VALUE"""),44704)</f>
        <v>44704</v>
      </c>
      <c r="C2397" t="str">
        <f ca="1">IFERROR(__xludf.DUMMYFUNCTION("""COMPUTED_VALUE"""),"УДХБ БУ Г. ОМСКА 126-РДО от 01.01.2022")</f>
        <v>УДХБ БУ Г. ОМСКА 126-РДО от 01.01.2022</v>
      </c>
      <c r="D23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7" t="str">
        <f ca="1">IFERROR(__xludf.DUMMYFUNCTION("""COMPUTED_VALUE"""),"Новый")</f>
        <v>Новый</v>
      </c>
      <c r="G2397" s="68"/>
      <c r="K2397" s="68"/>
    </row>
    <row r="2398" spans="1:11" ht="12.75">
      <c r="A2398" s="69">
        <f ca="1">IFERROR(__xludf.DUMMYFUNCTION("""COMPUTED_VALUE"""),98517)</f>
        <v>98517</v>
      </c>
      <c r="B2398" s="4">
        <f ca="1">IFERROR(__xludf.DUMMYFUNCTION("""COMPUTED_VALUE"""),44704)</f>
        <v>44704</v>
      </c>
      <c r="C2398" t="str">
        <f ca="1">IFERROR(__xludf.DUMMYFUNCTION("""COMPUTED_VALUE"""),"УДХБ БУ Г. ОМСКА 126-РДО от 01.01.2022")</f>
        <v>УДХБ БУ Г. ОМСКА 126-РДО от 01.01.2022</v>
      </c>
      <c r="D23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8" t="str">
        <f ca="1">IFERROR(__xludf.DUMMYFUNCTION("""COMPUTED_VALUE"""),"Новый")</f>
        <v>Новый</v>
      </c>
      <c r="G2398" s="68"/>
      <c r="K2398" s="68"/>
    </row>
    <row r="2399" spans="1:11" ht="12.75">
      <c r="A2399" s="69">
        <f ca="1">IFERROR(__xludf.DUMMYFUNCTION("""COMPUTED_VALUE"""),98581)</f>
        <v>98581</v>
      </c>
      <c r="B2399" s="4">
        <f ca="1">IFERROR(__xludf.DUMMYFUNCTION("""COMPUTED_VALUE"""),44704)</f>
        <v>44704</v>
      </c>
      <c r="C2399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23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399" t="str">
        <f ca="1">IFERROR(__xludf.DUMMYFUNCTION("""COMPUTED_VALUE"""),"Новый")</f>
        <v>Новый</v>
      </c>
      <c r="G2399" s="68"/>
      <c r="K2399" s="68"/>
    </row>
    <row r="2400" spans="1:11" ht="12.75">
      <c r="A2400" s="69">
        <f ca="1">IFERROR(__xludf.DUMMYFUNCTION("""COMPUTED_VALUE"""),98593)</f>
        <v>98593</v>
      </c>
      <c r="B2400" s="4">
        <f ca="1">IFERROR(__xludf.DUMMYFUNCTION("""COMPUTED_VALUE"""),44705)</f>
        <v>44705</v>
      </c>
      <c r="C2400" t="str">
        <f ca="1">IFERROR(__xludf.DUMMYFUNCTION("""COMPUTED_VALUE"""),"ИП Рогов Константин Викторович 157-РДО от 18.04.2022")</f>
        <v>ИП Рогов Константин Викторович 157-РДО от 18.04.2022</v>
      </c>
      <c r="D24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0" t="str">
        <f ca="1">IFERROR(__xludf.DUMMYFUNCTION("""COMPUTED_VALUE"""),"Новый")</f>
        <v>Новый</v>
      </c>
      <c r="G2400" s="68"/>
      <c r="K2400" s="68"/>
    </row>
    <row r="2401" spans="1:11" ht="12.75">
      <c r="A2401" s="69">
        <f ca="1">IFERROR(__xludf.DUMMYFUNCTION("""COMPUTED_VALUE"""),98610)</f>
        <v>98610</v>
      </c>
      <c r="B2401" s="4">
        <f ca="1">IFERROR(__xludf.DUMMYFUNCTION("""COMPUTED_VALUE"""),44705)</f>
        <v>44705</v>
      </c>
      <c r="C2401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1" t="str">
        <f ca="1">IFERROR(__xludf.DUMMYFUNCTION("""COMPUTED_VALUE"""),"Новый")</f>
        <v>Новый</v>
      </c>
      <c r="G2401" s="68"/>
      <c r="K2401" s="68"/>
    </row>
    <row r="2402" spans="1:11" ht="12.75">
      <c r="A2402" s="69">
        <f ca="1">IFERROR(__xludf.DUMMYFUNCTION("""COMPUTED_VALUE"""),98622)</f>
        <v>98622</v>
      </c>
      <c r="B2402" s="4">
        <f ca="1">IFERROR(__xludf.DUMMYFUNCTION("""COMPUTED_VALUE"""),44705)</f>
        <v>44705</v>
      </c>
      <c r="C2402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2" t="str">
        <f ca="1">IFERROR(__xludf.DUMMYFUNCTION("""COMPUTED_VALUE"""),"Новый")</f>
        <v>Новый</v>
      </c>
      <c r="G2402" s="68"/>
      <c r="K2402" s="68"/>
    </row>
    <row r="2403" spans="1:11" ht="12.75">
      <c r="A2403" s="69">
        <f ca="1">IFERROR(__xludf.DUMMYFUNCTION("""COMPUTED_VALUE"""),98623)</f>
        <v>98623</v>
      </c>
      <c r="B2403" s="4">
        <f ca="1">IFERROR(__xludf.DUMMYFUNCTION("""COMPUTED_VALUE"""),44705)</f>
        <v>44705</v>
      </c>
      <c r="C2403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3" t="str">
        <f ca="1">IFERROR(__xludf.DUMMYFUNCTION("""COMPUTED_VALUE"""),"Новый")</f>
        <v>Новый</v>
      </c>
      <c r="G2403" s="68"/>
      <c r="K2403" s="68"/>
    </row>
    <row r="2404" spans="1:11" ht="12.75">
      <c r="A2404" s="69">
        <f ca="1">IFERROR(__xludf.DUMMYFUNCTION("""COMPUTED_VALUE"""),98624)</f>
        <v>98624</v>
      </c>
      <c r="B2404" s="4">
        <f ca="1">IFERROR(__xludf.DUMMYFUNCTION("""COMPUTED_VALUE"""),44705)</f>
        <v>44705</v>
      </c>
      <c r="C2404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4" t="str">
        <f ca="1">IFERROR(__xludf.DUMMYFUNCTION("""COMPUTED_VALUE"""),"Новый")</f>
        <v>Новый</v>
      </c>
      <c r="G2404" s="68"/>
      <c r="K2404" s="68"/>
    </row>
    <row r="2405" spans="1:11" ht="12.75">
      <c r="A2405" s="69">
        <f ca="1">IFERROR(__xludf.DUMMYFUNCTION("""COMPUTED_VALUE"""),98625)</f>
        <v>98625</v>
      </c>
      <c r="B2405" s="4">
        <f ca="1">IFERROR(__xludf.DUMMYFUNCTION("""COMPUTED_VALUE"""),44705)</f>
        <v>44705</v>
      </c>
      <c r="C2405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5" t="str">
        <f ca="1">IFERROR(__xludf.DUMMYFUNCTION("""COMPUTED_VALUE"""),"Новый")</f>
        <v>Новый</v>
      </c>
      <c r="G2405" s="68"/>
      <c r="K2405" s="68"/>
    </row>
    <row r="2406" spans="1:11" ht="12.75">
      <c r="A2406" s="69">
        <f ca="1">IFERROR(__xludf.DUMMYFUNCTION("""COMPUTED_VALUE"""),98626)</f>
        <v>98626</v>
      </c>
      <c r="B2406" s="4">
        <f ca="1">IFERROR(__xludf.DUMMYFUNCTION("""COMPUTED_VALUE"""),44705)</f>
        <v>44705</v>
      </c>
      <c r="C2406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6" t="str">
        <f ca="1">IFERROR(__xludf.DUMMYFUNCTION("""COMPUTED_VALUE"""),"Новый")</f>
        <v>Новый</v>
      </c>
      <c r="G2406" s="68"/>
      <c r="K2406" s="68"/>
    </row>
    <row r="2407" spans="1:11" ht="12.75">
      <c r="A2407" s="69">
        <f ca="1">IFERROR(__xludf.DUMMYFUNCTION("""COMPUTED_VALUE"""),98627)</f>
        <v>98627</v>
      </c>
      <c r="B2407" s="4">
        <f ca="1">IFERROR(__xludf.DUMMYFUNCTION("""COMPUTED_VALUE"""),44705)</f>
        <v>44705</v>
      </c>
      <c r="C2407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7" t="str">
        <f ca="1">IFERROR(__xludf.DUMMYFUNCTION("""COMPUTED_VALUE"""),"Новый")</f>
        <v>Новый</v>
      </c>
      <c r="G2407" s="68"/>
      <c r="K2407" s="68"/>
    </row>
    <row r="2408" spans="1:11" ht="12.75">
      <c r="A2408" s="69">
        <f ca="1">IFERROR(__xludf.DUMMYFUNCTION("""COMPUTED_VALUE"""),98628)</f>
        <v>98628</v>
      </c>
      <c r="B2408" s="4">
        <f ca="1">IFERROR(__xludf.DUMMYFUNCTION("""COMPUTED_VALUE"""),44705)</f>
        <v>44705</v>
      </c>
      <c r="C2408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8" t="str">
        <f ca="1">IFERROR(__xludf.DUMMYFUNCTION("""COMPUTED_VALUE"""),"Новый")</f>
        <v>Новый</v>
      </c>
      <c r="G2408" s="68"/>
      <c r="K2408" s="68"/>
    </row>
    <row r="2409" spans="1:11" ht="12.75">
      <c r="A2409" s="69">
        <f ca="1">IFERROR(__xludf.DUMMYFUNCTION("""COMPUTED_VALUE"""),98629)</f>
        <v>98629</v>
      </c>
      <c r="B2409" s="4">
        <f ca="1">IFERROR(__xludf.DUMMYFUNCTION("""COMPUTED_VALUE"""),44705)</f>
        <v>44705</v>
      </c>
      <c r="C2409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09" t="str">
        <f ca="1">IFERROR(__xludf.DUMMYFUNCTION("""COMPUTED_VALUE"""),"Новый")</f>
        <v>Новый</v>
      </c>
      <c r="G2409" s="68"/>
      <c r="K2409" s="68"/>
    </row>
    <row r="2410" spans="1:11" ht="12.75">
      <c r="A2410" s="69">
        <f ca="1">IFERROR(__xludf.DUMMYFUNCTION("""COMPUTED_VALUE"""),98630)</f>
        <v>98630</v>
      </c>
      <c r="B2410" s="4">
        <f ca="1">IFERROR(__xludf.DUMMYFUNCTION("""COMPUTED_VALUE"""),44705)</f>
        <v>44705</v>
      </c>
      <c r="C2410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0" t="str">
        <f ca="1">IFERROR(__xludf.DUMMYFUNCTION("""COMPUTED_VALUE"""),"Новый")</f>
        <v>Новый</v>
      </c>
      <c r="G2410" s="68"/>
      <c r="K2410" s="68"/>
    </row>
    <row r="2411" spans="1:11" ht="12.75">
      <c r="A2411" s="69">
        <f ca="1">IFERROR(__xludf.DUMMYFUNCTION("""COMPUTED_VALUE"""),98631)</f>
        <v>98631</v>
      </c>
      <c r="B2411" s="4">
        <f ca="1">IFERROR(__xludf.DUMMYFUNCTION("""COMPUTED_VALUE"""),44705)</f>
        <v>44705</v>
      </c>
      <c r="C2411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1" t="str">
        <f ca="1">IFERROR(__xludf.DUMMYFUNCTION("""COMPUTED_VALUE"""),"Новый")</f>
        <v>Новый</v>
      </c>
      <c r="G2411" s="68"/>
      <c r="K2411" s="68"/>
    </row>
    <row r="2412" spans="1:11" ht="12.75">
      <c r="A2412" s="69">
        <f ca="1">IFERROR(__xludf.DUMMYFUNCTION("""COMPUTED_VALUE"""),98632)</f>
        <v>98632</v>
      </c>
      <c r="B2412" s="4">
        <f ca="1">IFERROR(__xludf.DUMMYFUNCTION("""COMPUTED_VALUE"""),44705)</f>
        <v>44705</v>
      </c>
      <c r="C2412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2" t="str">
        <f ca="1">IFERROR(__xludf.DUMMYFUNCTION("""COMPUTED_VALUE"""),"Новый")</f>
        <v>Новый</v>
      </c>
      <c r="G2412" s="68"/>
      <c r="K2412" s="68"/>
    </row>
    <row r="2413" spans="1:11" ht="12.75">
      <c r="A2413" s="69">
        <f ca="1">IFERROR(__xludf.DUMMYFUNCTION("""COMPUTED_VALUE"""),98633)</f>
        <v>98633</v>
      </c>
      <c r="B2413" s="4">
        <f ca="1">IFERROR(__xludf.DUMMYFUNCTION("""COMPUTED_VALUE"""),44705)</f>
        <v>44705</v>
      </c>
      <c r="C2413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3" t="str">
        <f ca="1">IFERROR(__xludf.DUMMYFUNCTION("""COMPUTED_VALUE"""),"Новый")</f>
        <v>Новый</v>
      </c>
      <c r="G2413" s="68"/>
      <c r="K2413" s="68"/>
    </row>
    <row r="2414" spans="1:11" ht="12.75">
      <c r="A2414" s="69">
        <f ca="1">IFERROR(__xludf.DUMMYFUNCTION("""COMPUTED_VALUE"""),98634)</f>
        <v>98634</v>
      </c>
      <c r="B2414" s="4">
        <f ca="1">IFERROR(__xludf.DUMMYFUNCTION("""COMPUTED_VALUE"""),44705)</f>
        <v>44705</v>
      </c>
      <c r="C2414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4" t="str">
        <f ca="1">IFERROR(__xludf.DUMMYFUNCTION("""COMPUTED_VALUE"""),"Новый")</f>
        <v>Новый</v>
      </c>
      <c r="G2414" s="68"/>
      <c r="K2414" s="68"/>
    </row>
    <row r="2415" spans="1:11" ht="12.75">
      <c r="A2415" s="69">
        <f ca="1">IFERROR(__xludf.DUMMYFUNCTION("""COMPUTED_VALUE"""),98635)</f>
        <v>98635</v>
      </c>
      <c r="B2415" s="4">
        <f ca="1">IFERROR(__xludf.DUMMYFUNCTION("""COMPUTED_VALUE"""),44705)</f>
        <v>44705</v>
      </c>
      <c r="C2415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5" t="str">
        <f ca="1">IFERROR(__xludf.DUMMYFUNCTION("""COMPUTED_VALUE"""),"Новый")</f>
        <v>Новый</v>
      </c>
      <c r="G2415" s="68"/>
      <c r="K2415" s="68"/>
    </row>
    <row r="2416" spans="1:11" ht="12.75">
      <c r="A2416" s="69">
        <f ca="1">IFERROR(__xludf.DUMMYFUNCTION("""COMPUTED_VALUE"""),98636)</f>
        <v>98636</v>
      </c>
      <c r="B2416" s="4">
        <f ca="1">IFERROR(__xludf.DUMMYFUNCTION("""COMPUTED_VALUE"""),44705)</f>
        <v>44705</v>
      </c>
      <c r="C2416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6" t="str">
        <f ca="1">IFERROR(__xludf.DUMMYFUNCTION("""COMPUTED_VALUE"""),"Новый")</f>
        <v>Новый</v>
      </c>
      <c r="G2416" s="68"/>
      <c r="K2416" s="68"/>
    </row>
    <row r="2417" spans="1:11" ht="12.75">
      <c r="A2417" s="69">
        <f ca="1">IFERROR(__xludf.DUMMYFUNCTION("""COMPUTED_VALUE"""),98637)</f>
        <v>98637</v>
      </c>
      <c r="B2417" s="4">
        <f ca="1">IFERROR(__xludf.DUMMYFUNCTION("""COMPUTED_VALUE"""),44705)</f>
        <v>44705</v>
      </c>
      <c r="C2417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7" t="str">
        <f ca="1">IFERROR(__xludf.DUMMYFUNCTION("""COMPUTED_VALUE"""),"Новый")</f>
        <v>Новый</v>
      </c>
      <c r="G2417" s="68"/>
      <c r="K2417" s="68"/>
    </row>
    <row r="2418" spans="1:11" ht="12.75">
      <c r="A2418" s="69">
        <f ca="1">IFERROR(__xludf.DUMMYFUNCTION("""COMPUTED_VALUE"""),98638)</f>
        <v>98638</v>
      </c>
      <c r="B2418" s="4">
        <f ca="1">IFERROR(__xludf.DUMMYFUNCTION("""COMPUTED_VALUE"""),44705)</f>
        <v>44705</v>
      </c>
      <c r="C2418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8" t="str">
        <f ca="1">IFERROR(__xludf.DUMMYFUNCTION("""COMPUTED_VALUE"""),"Новый")</f>
        <v>Новый</v>
      </c>
      <c r="G2418" s="68"/>
      <c r="K2418" s="68"/>
    </row>
    <row r="2419" spans="1:11" ht="12.75">
      <c r="A2419" s="69">
        <f ca="1">IFERROR(__xludf.DUMMYFUNCTION("""COMPUTED_VALUE"""),98639)</f>
        <v>98639</v>
      </c>
      <c r="B2419" s="4">
        <f ca="1">IFERROR(__xludf.DUMMYFUNCTION("""COMPUTED_VALUE"""),44705)</f>
        <v>44705</v>
      </c>
      <c r="C2419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19" t="str">
        <f ca="1">IFERROR(__xludf.DUMMYFUNCTION("""COMPUTED_VALUE"""),"Новый")</f>
        <v>Новый</v>
      </c>
      <c r="G2419" s="68"/>
      <c r="K2419" s="68"/>
    </row>
    <row r="2420" spans="1:11" ht="12.75">
      <c r="A2420" s="69">
        <f ca="1">IFERROR(__xludf.DUMMYFUNCTION("""COMPUTED_VALUE"""),98640)</f>
        <v>98640</v>
      </c>
      <c r="B2420" s="4">
        <f ca="1">IFERROR(__xludf.DUMMYFUNCTION("""COMPUTED_VALUE"""),44705)</f>
        <v>44705</v>
      </c>
      <c r="C2420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0" t="str">
        <f ca="1">IFERROR(__xludf.DUMMYFUNCTION("""COMPUTED_VALUE"""),"Новый")</f>
        <v>Новый</v>
      </c>
      <c r="G2420" s="68"/>
      <c r="K2420" s="68"/>
    </row>
    <row r="2421" spans="1:11" ht="12.75">
      <c r="A2421" s="69">
        <f ca="1">IFERROR(__xludf.DUMMYFUNCTION("""COMPUTED_VALUE"""),98641)</f>
        <v>98641</v>
      </c>
      <c r="B2421" s="4">
        <f ca="1">IFERROR(__xludf.DUMMYFUNCTION("""COMPUTED_VALUE"""),44705)</f>
        <v>44705</v>
      </c>
      <c r="C2421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1" t="str">
        <f ca="1">IFERROR(__xludf.DUMMYFUNCTION("""COMPUTED_VALUE"""),"Новый")</f>
        <v>Новый</v>
      </c>
      <c r="G2421" s="68"/>
      <c r="K2421" s="68"/>
    </row>
    <row r="2422" spans="1:11" ht="12.75">
      <c r="A2422" s="69">
        <f ca="1">IFERROR(__xludf.DUMMYFUNCTION("""COMPUTED_VALUE"""),98642)</f>
        <v>98642</v>
      </c>
      <c r="B2422" s="4">
        <f ca="1">IFERROR(__xludf.DUMMYFUNCTION("""COMPUTED_VALUE"""),44705)</f>
        <v>44705</v>
      </c>
      <c r="C2422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2" t="str">
        <f ca="1">IFERROR(__xludf.DUMMYFUNCTION("""COMPUTED_VALUE"""),"Новый")</f>
        <v>Новый</v>
      </c>
      <c r="G2422" s="68"/>
      <c r="K2422" s="68"/>
    </row>
    <row r="2423" spans="1:11" ht="12.75">
      <c r="A2423" s="69">
        <f ca="1">IFERROR(__xludf.DUMMYFUNCTION("""COMPUTED_VALUE"""),98643)</f>
        <v>98643</v>
      </c>
      <c r="B2423" s="4">
        <f ca="1">IFERROR(__xludf.DUMMYFUNCTION("""COMPUTED_VALUE"""),44705)</f>
        <v>44705</v>
      </c>
      <c r="C2423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3" t="str">
        <f ca="1">IFERROR(__xludf.DUMMYFUNCTION("""COMPUTED_VALUE"""),"Новый")</f>
        <v>Новый</v>
      </c>
      <c r="G2423" s="68"/>
      <c r="K2423" s="68"/>
    </row>
    <row r="2424" spans="1:11" ht="12.75">
      <c r="A2424" s="69">
        <f ca="1">IFERROR(__xludf.DUMMYFUNCTION("""COMPUTED_VALUE"""),98644)</f>
        <v>98644</v>
      </c>
      <c r="B2424" s="4">
        <f ca="1">IFERROR(__xludf.DUMMYFUNCTION("""COMPUTED_VALUE"""),44705)</f>
        <v>44705</v>
      </c>
      <c r="C2424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4" t="str">
        <f ca="1">IFERROR(__xludf.DUMMYFUNCTION("""COMPUTED_VALUE"""),"Новый")</f>
        <v>Новый</v>
      </c>
      <c r="G2424" s="68"/>
      <c r="K2424" s="68"/>
    </row>
    <row r="2425" spans="1:11" ht="12.75">
      <c r="A2425" s="69">
        <f ca="1">IFERROR(__xludf.DUMMYFUNCTION("""COMPUTED_VALUE"""),98645)</f>
        <v>98645</v>
      </c>
      <c r="B2425" s="4">
        <f ca="1">IFERROR(__xludf.DUMMYFUNCTION("""COMPUTED_VALUE"""),44705)</f>
        <v>44705</v>
      </c>
      <c r="C2425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5" t="str">
        <f ca="1">IFERROR(__xludf.DUMMYFUNCTION("""COMPUTED_VALUE"""),"Новый")</f>
        <v>Новый</v>
      </c>
      <c r="G2425" s="68"/>
      <c r="K2425" s="68"/>
    </row>
    <row r="2426" spans="1:11" ht="12.75">
      <c r="A2426" s="69">
        <f ca="1">IFERROR(__xludf.DUMMYFUNCTION("""COMPUTED_VALUE"""),98646)</f>
        <v>98646</v>
      </c>
      <c r="B2426" s="4">
        <f ca="1">IFERROR(__xludf.DUMMYFUNCTION("""COMPUTED_VALUE"""),44705)</f>
        <v>44705</v>
      </c>
      <c r="C2426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6" t="str">
        <f ca="1">IFERROR(__xludf.DUMMYFUNCTION("""COMPUTED_VALUE"""),"Новый")</f>
        <v>Новый</v>
      </c>
      <c r="G2426" s="68"/>
      <c r="K2426" s="68"/>
    </row>
    <row r="2427" spans="1:11" ht="12.75">
      <c r="A2427" s="69">
        <f ca="1">IFERROR(__xludf.DUMMYFUNCTION("""COMPUTED_VALUE"""),98647)</f>
        <v>98647</v>
      </c>
      <c r="B2427" s="4">
        <f ca="1">IFERROR(__xludf.DUMMYFUNCTION("""COMPUTED_VALUE"""),44705)</f>
        <v>44705</v>
      </c>
      <c r="C2427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7" t="str">
        <f ca="1">IFERROR(__xludf.DUMMYFUNCTION("""COMPUTED_VALUE"""),"Новый")</f>
        <v>Новый</v>
      </c>
      <c r="G2427" s="68"/>
      <c r="K2427" s="68"/>
    </row>
    <row r="2428" spans="1:11" ht="12.75">
      <c r="A2428" s="69">
        <f ca="1">IFERROR(__xludf.DUMMYFUNCTION("""COMPUTED_VALUE"""),98648)</f>
        <v>98648</v>
      </c>
      <c r="B2428" s="4">
        <f ca="1">IFERROR(__xludf.DUMMYFUNCTION("""COMPUTED_VALUE"""),44705)</f>
        <v>44705</v>
      </c>
      <c r="C2428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8" t="str">
        <f ca="1">IFERROR(__xludf.DUMMYFUNCTION("""COMPUTED_VALUE"""),"Новый")</f>
        <v>Новый</v>
      </c>
      <c r="G2428" s="68"/>
      <c r="K2428" s="68"/>
    </row>
    <row r="2429" spans="1:11" ht="12.75">
      <c r="A2429" s="69">
        <f ca="1">IFERROR(__xludf.DUMMYFUNCTION("""COMPUTED_VALUE"""),98649)</f>
        <v>98649</v>
      </c>
      <c r="B2429" s="4">
        <f ca="1">IFERROR(__xludf.DUMMYFUNCTION("""COMPUTED_VALUE"""),44705)</f>
        <v>44705</v>
      </c>
      <c r="C2429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29" t="str">
        <f ca="1">IFERROR(__xludf.DUMMYFUNCTION("""COMPUTED_VALUE"""),"Новый")</f>
        <v>Новый</v>
      </c>
      <c r="G2429" s="68"/>
      <c r="K2429" s="68"/>
    </row>
    <row r="2430" spans="1:11" ht="12.75">
      <c r="A2430" s="69">
        <f ca="1">IFERROR(__xludf.DUMMYFUNCTION("""COMPUTED_VALUE"""),98650)</f>
        <v>98650</v>
      </c>
      <c r="B2430" s="4">
        <f ca="1">IFERROR(__xludf.DUMMYFUNCTION("""COMPUTED_VALUE"""),44705)</f>
        <v>44705</v>
      </c>
      <c r="C2430" t="str">
        <f ca="1">IFERROR(__xludf.DUMMYFUNCTION("""COMPUTED_VALUE"""),"ООО ""ГАЗПРОМНЕФТЬ - СНАБЖЕНИЕ"" 133-РДО от 19.04.2022")</f>
        <v>ООО "ГАЗПРОМНЕФТЬ - СНАБЖЕНИЕ" 133-РДО от 19.04.2022</v>
      </c>
      <c r="D24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0" t="str">
        <f ca="1">IFERROR(__xludf.DUMMYFUNCTION("""COMPUTED_VALUE"""),"Новый")</f>
        <v>Новый</v>
      </c>
      <c r="G2430" s="68"/>
      <c r="K2430" s="68"/>
    </row>
    <row r="2431" spans="1:11" ht="12.75">
      <c r="A2431" s="69">
        <f ca="1">IFERROR(__xludf.DUMMYFUNCTION("""COMPUTED_VALUE"""),98668)</f>
        <v>98668</v>
      </c>
      <c r="B2431" s="4">
        <f ca="1">IFERROR(__xludf.DUMMYFUNCTION("""COMPUTED_VALUE"""),44706)</f>
        <v>44706</v>
      </c>
      <c r="C2431" t="str">
        <f ca="1">IFERROR(__xludf.DUMMYFUNCTION("""COMPUTED_VALUE"""),"УДХБ БУ Г. ОМСКА 126-РДО от 01.01.2022")</f>
        <v>УДХБ БУ Г. ОМСКА 126-РДО от 01.01.2022</v>
      </c>
      <c r="D24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1" t="str">
        <f ca="1">IFERROR(__xludf.DUMMYFUNCTION("""COMPUTED_VALUE"""),"Новый")</f>
        <v>Новый</v>
      </c>
      <c r="G2431" s="68"/>
      <c r="K2431" s="68"/>
    </row>
    <row r="2432" spans="1:11" ht="12.75">
      <c r="A2432" s="69">
        <f ca="1">IFERROR(__xludf.DUMMYFUNCTION("""COMPUTED_VALUE"""),98669)</f>
        <v>98669</v>
      </c>
      <c r="B2432" s="4">
        <f ca="1">IFERROR(__xludf.DUMMYFUNCTION("""COMPUTED_VALUE"""),44706)</f>
        <v>44706</v>
      </c>
      <c r="C2432" t="str">
        <f ca="1">IFERROR(__xludf.DUMMYFUNCTION("""COMPUTED_VALUE"""),"УДХБ БУ Г. ОМСКА 126-РДО от 01.01.2022")</f>
        <v>УДХБ БУ Г. ОМСКА 126-РДО от 01.01.2022</v>
      </c>
      <c r="D24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2" t="str">
        <f ca="1">IFERROR(__xludf.DUMMYFUNCTION("""COMPUTED_VALUE"""),"Новый")</f>
        <v>Новый</v>
      </c>
      <c r="G2432" s="68"/>
      <c r="K2432" s="68"/>
    </row>
    <row r="2433" spans="1:11" ht="12.75">
      <c r="A2433" s="69">
        <f ca="1">IFERROR(__xludf.DUMMYFUNCTION("""COMPUTED_VALUE"""),98670)</f>
        <v>98670</v>
      </c>
      <c r="B2433" s="4">
        <f ca="1">IFERROR(__xludf.DUMMYFUNCTION("""COMPUTED_VALUE"""),44706)</f>
        <v>44706</v>
      </c>
      <c r="C2433" t="str">
        <f ca="1">IFERROR(__xludf.DUMMYFUNCTION("""COMPUTED_VALUE"""),"УДХБ БУ Г. ОМСКА 126-РДО от 01.01.2022")</f>
        <v>УДХБ БУ Г. ОМСКА 126-РДО от 01.01.2022</v>
      </c>
      <c r="D24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3" t="str">
        <f ca="1">IFERROR(__xludf.DUMMYFUNCTION("""COMPUTED_VALUE"""),"Новый")</f>
        <v>Новый</v>
      </c>
      <c r="G2433" s="68"/>
      <c r="K2433" s="68"/>
    </row>
    <row r="2434" spans="1:11" ht="12.75">
      <c r="A2434" s="69">
        <f ca="1">IFERROR(__xludf.DUMMYFUNCTION("""COMPUTED_VALUE"""),98671)</f>
        <v>98671</v>
      </c>
      <c r="B2434" s="4">
        <f ca="1">IFERROR(__xludf.DUMMYFUNCTION("""COMPUTED_VALUE"""),44706)</f>
        <v>44706</v>
      </c>
      <c r="C2434" t="str">
        <f ca="1">IFERROR(__xludf.DUMMYFUNCTION("""COMPUTED_VALUE"""),"УДХБ БУ Г. ОМСКА 126-РДО от 01.01.2022")</f>
        <v>УДХБ БУ Г. ОМСКА 126-РДО от 01.01.2022</v>
      </c>
      <c r="D24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4" t="str">
        <f ca="1">IFERROR(__xludf.DUMMYFUNCTION("""COMPUTED_VALUE"""),"Новый")</f>
        <v>Новый</v>
      </c>
      <c r="G2434" s="68"/>
      <c r="K2434" s="68"/>
    </row>
    <row r="2435" spans="1:11" ht="12.75">
      <c r="A2435" s="69">
        <f ca="1">IFERROR(__xludf.DUMMYFUNCTION("""COMPUTED_VALUE"""),98674)</f>
        <v>98674</v>
      </c>
      <c r="B2435" s="4">
        <f ca="1">IFERROR(__xludf.DUMMYFUNCTION("""COMPUTED_VALUE"""),44706)</f>
        <v>44706</v>
      </c>
      <c r="C2435" t="str">
        <f ca="1">IFERROR(__xludf.DUMMYFUNCTION("""COMPUTED_VALUE"""),"УДХБ БУ Г. ОМСКА 126-РДО от 01.01.2022")</f>
        <v>УДХБ БУ Г. ОМСКА 126-РДО от 01.01.2022</v>
      </c>
      <c r="D24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5" t="str">
        <f ca="1">IFERROR(__xludf.DUMMYFUNCTION("""COMPUTED_VALUE"""),"Новый")</f>
        <v>Новый</v>
      </c>
      <c r="G2435" s="68"/>
      <c r="K2435" s="68"/>
    </row>
    <row r="2436" spans="1:11" ht="12.75">
      <c r="A2436" s="69">
        <f ca="1">IFERROR(__xludf.DUMMYFUNCTION("""COMPUTED_VALUE"""),98675)</f>
        <v>98675</v>
      </c>
      <c r="B2436" s="4">
        <f ca="1">IFERROR(__xludf.DUMMYFUNCTION("""COMPUTED_VALUE"""),44706)</f>
        <v>44706</v>
      </c>
      <c r="C2436" t="str">
        <f ca="1">IFERROR(__xludf.DUMMYFUNCTION("""COMPUTED_VALUE"""),"УДХБ БУ Г. ОМСКА 126-РДО от 01.01.2022")</f>
        <v>УДХБ БУ Г. ОМСКА 126-РДО от 01.01.2022</v>
      </c>
      <c r="D24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6" t="str">
        <f ca="1">IFERROR(__xludf.DUMMYFUNCTION("""COMPUTED_VALUE"""),"Новый")</f>
        <v>Новый</v>
      </c>
      <c r="G2436" s="68"/>
      <c r="K2436" s="68"/>
    </row>
    <row r="2437" spans="1:11" ht="12.75">
      <c r="A2437" s="69">
        <f ca="1">IFERROR(__xludf.DUMMYFUNCTION("""COMPUTED_VALUE"""),98676)</f>
        <v>98676</v>
      </c>
      <c r="B2437" s="4">
        <f ca="1">IFERROR(__xludf.DUMMYFUNCTION("""COMPUTED_VALUE"""),44706)</f>
        <v>44706</v>
      </c>
      <c r="C2437" t="str">
        <f ca="1">IFERROR(__xludf.DUMMYFUNCTION("""COMPUTED_VALUE"""),"УДХБ БУ Г. ОМСКА 126-РДО от 01.01.2022")</f>
        <v>УДХБ БУ Г. ОМСКА 126-РДО от 01.01.2022</v>
      </c>
      <c r="D24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7" t="str">
        <f ca="1">IFERROR(__xludf.DUMMYFUNCTION("""COMPUTED_VALUE"""),"Новый")</f>
        <v>Новый</v>
      </c>
      <c r="G2437" s="68"/>
      <c r="K2437" s="68"/>
    </row>
    <row r="2438" spans="1:11" ht="12.75">
      <c r="A2438" s="69">
        <f ca="1">IFERROR(__xludf.DUMMYFUNCTION("""COMPUTED_VALUE"""),98677)</f>
        <v>98677</v>
      </c>
      <c r="B2438" s="4">
        <f ca="1">IFERROR(__xludf.DUMMYFUNCTION("""COMPUTED_VALUE"""),44706)</f>
        <v>44706</v>
      </c>
      <c r="C2438" t="str">
        <f ca="1">IFERROR(__xludf.DUMMYFUNCTION("""COMPUTED_VALUE"""),"УДХБ БУ Г. ОМСКА 126-РДО от 01.01.2022")</f>
        <v>УДХБ БУ Г. ОМСКА 126-РДО от 01.01.2022</v>
      </c>
      <c r="D24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8" t="str">
        <f ca="1">IFERROR(__xludf.DUMMYFUNCTION("""COMPUTED_VALUE"""),"Новый")</f>
        <v>Новый</v>
      </c>
      <c r="G2438" s="68"/>
      <c r="K2438" s="68"/>
    </row>
    <row r="2439" spans="1:11" ht="12.75">
      <c r="A2439" s="69">
        <f ca="1">IFERROR(__xludf.DUMMYFUNCTION("""COMPUTED_VALUE"""),98682)</f>
        <v>98682</v>
      </c>
      <c r="B2439" s="4">
        <f ca="1">IFERROR(__xludf.DUMMYFUNCTION("""COMPUTED_VALUE"""),44706)</f>
        <v>44706</v>
      </c>
      <c r="C2439" t="str">
        <f ca="1">IFERROR(__xludf.DUMMYFUNCTION("""COMPUTED_VALUE"""),"УДХБ БУ Г. ОМСКА 126-РДО от 01.01.2022")</f>
        <v>УДХБ БУ Г. ОМСКА 126-РДО от 01.01.2022</v>
      </c>
      <c r="D24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39" t="str">
        <f ca="1">IFERROR(__xludf.DUMMYFUNCTION("""COMPUTED_VALUE"""),"Новый")</f>
        <v>Новый</v>
      </c>
      <c r="G2439" s="68"/>
      <c r="K2439" s="68"/>
    </row>
    <row r="2440" spans="1:11" ht="12.75">
      <c r="A2440" s="69">
        <f ca="1">IFERROR(__xludf.DUMMYFUNCTION("""COMPUTED_VALUE"""),98683)</f>
        <v>98683</v>
      </c>
      <c r="B2440" s="4">
        <f ca="1">IFERROR(__xludf.DUMMYFUNCTION("""COMPUTED_VALUE"""),44706)</f>
        <v>44706</v>
      </c>
      <c r="C2440" t="str">
        <f ca="1">IFERROR(__xludf.DUMMYFUNCTION("""COMPUTED_VALUE"""),"УДХБ БУ Г. ОМСКА 126-РДО от 01.01.2022")</f>
        <v>УДХБ БУ Г. ОМСКА 126-РДО от 01.01.2022</v>
      </c>
      <c r="D24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0" t="str">
        <f ca="1">IFERROR(__xludf.DUMMYFUNCTION("""COMPUTED_VALUE"""),"Новый")</f>
        <v>Новый</v>
      </c>
      <c r="G2440" s="68"/>
      <c r="K2440" s="68"/>
    </row>
    <row r="2441" spans="1:11" ht="12.75">
      <c r="A2441" s="69">
        <f ca="1">IFERROR(__xludf.DUMMYFUNCTION("""COMPUTED_VALUE"""),98686)</f>
        <v>98686</v>
      </c>
      <c r="B2441" s="4">
        <f ca="1">IFERROR(__xludf.DUMMYFUNCTION("""COMPUTED_VALUE"""),44706)</f>
        <v>44706</v>
      </c>
      <c r="C2441" t="str">
        <f ca="1">IFERROR(__xludf.DUMMYFUNCTION("""COMPUTED_VALUE"""),"УДХБ БУ Г. ОМСКА 126-РДО от 01.01.2022")</f>
        <v>УДХБ БУ Г. ОМСКА 126-РДО от 01.01.2022</v>
      </c>
      <c r="D24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1" t="str">
        <f ca="1">IFERROR(__xludf.DUMMYFUNCTION("""COMPUTED_VALUE"""),"Новый")</f>
        <v>Новый</v>
      </c>
      <c r="G2441" s="68"/>
      <c r="K2441" s="68"/>
    </row>
    <row r="2442" spans="1:11" ht="12.75">
      <c r="A2442" s="69">
        <f ca="1">IFERROR(__xludf.DUMMYFUNCTION("""COMPUTED_VALUE"""),98687)</f>
        <v>98687</v>
      </c>
      <c r="B2442" s="4">
        <f ca="1">IFERROR(__xludf.DUMMYFUNCTION("""COMPUTED_VALUE"""),44706)</f>
        <v>44706</v>
      </c>
      <c r="C2442" t="str">
        <f ca="1">IFERROR(__xludf.DUMMYFUNCTION("""COMPUTED_VALUE"""),"УДХБ БУ Г. ОМСКА 126-РДО от 01.01.2022")</f>
        <v>УДХБ БУ Г. ОМСКА 126-РДО от 01.01.2022</v>
      </c>
      <c r="D24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2" t="str">
        <f ca="1">IFERROR(__xludf.DUMMYFUNCTION("""COMPUTED_VALUE"""),"Новый")</f>
        <v>Новый</v>
      </c>
      <c r="G2442" s="68"/>
      <c r="K2442" s="68"/>
    </row>
    <row r="2443" spans="1:11" ht="12.75">
      <c r="A2443" s="69">
        <f ca="1">IFERROR(__xludf.DUMMYFUNCTION("""COMPUTED_VALUE"""),98693)</f>
        <v>98693</v>
      </c>
      <c r="B2443" s="4">
        <f ca="1">IFERROR(__xludf.DUMMYFUNCTION("""COMPUTED_VALUE"""),44706)</f>
        <v>44706</v>
      </c>
      <c r="C2443" t="str">
        <f ca="1">IFERROR(__xludf.DUMMYFUNCTION("""COMPUTED_VALUE"""),"УДХБ БУ Г. ОМСКА 126-РДО от 01.01.2022")</f>
        <v>УДХБ БУ Г. ОМСКА 126-РДО от 01.01.2022</v>
      </c>
      <c r="D24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3" t="str">
        <f ca="1">IFERROR(__xludf.DUMMYFUNCTION("""COMPUTED_VALUE"""),"Новый")</f>
        <v>Новый</v>
      </c>
      <c r="G2443" s="68"/>
      <c r="K2443" s="68"/>
    </row>
    <row r="2444" spans="1:11" ht="12.75">
      <c r="A2444" s="69">
        <f ca="1">IFERROR(__xludf.DUMMYFUNCTION("""COMPUTED_VALUE"""),98704)</f>
        <v>98704</v>
      </c>
      <c r="B2444" s="4">
        <f ca="1">IFERROR(__xludf.DUMMYFUNCTION("""COMPUTED_VALUE"""),44706)</f>
        <v>44706</v>
      </c>
      <c r="C2444" t="str">
        <f ca="1">IFERROR(__xludf.DUMMYFUNCTION("""COMPUTED_VALUE"""),"УДХБ БУ Г. ОМСКА 126-РДО от 01.01.2022")</f>
        <v>УДХБ БУ Г. ОМСКА 126-РДО от 01.01.2022</v>
      </c>
      <c r="D24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4" t="str">
        <f ca="1">IFERROR(__xludf.DUMMYFUNCTION("""COMPUTED_VALUE"""),"Новый")</f>
        <v>Новый</v>
      </c>
      <c r="G2444" s="68"/>
      <c r="K2444" s="68"/>
    </row>
    <row r="2445" spans="1:11" ht="12.75">
      <c r="A2445" s="69">
        <f ca="1">IFERROR(__xludf.DUMMYFUNCTION("""COMPUTED_VALUE"""),98705)</f>
        <v>98705</v>
      </c>
      <c r="B2445" s="4">
        <f ca="1">IFERROR(__xludf.DUMMYFUNCTION("""COMPUTED_VALUE"""),44706)</f>
        <v>44706</v>
      </c>
      <c r="C2445" t="str">
        <f ca="1">IFERROR(__xludf.DUMMYFUNCTION("""COMPUTED_VALUE"""),"УДХБ БУ Г. ОМСКА 126-РДО от 01.01.2022")</f>
        <v>УДХБ БУ Г. ОМСКА 126-РДО от 01.01.2022</v>
      </c>
      <c r="D24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5" t="str">
        <f ca="1">IFERROR(__xludf.DUMMYFUNCTION("""COMPUTED_VALUE"""),"Новый")</f>
        <v>Новый</v>
      </c>
      <c r="G2445" s="68"/>
      <c r="K2445" s="68"/>
    </row>
    <row r="2446" spans="1:11" ht="12.75">
      <c r="A2446" s="69">
        <f ca="1">IFERROR(__xludf.DUMMYFUNCTION("""COMPUTED_VALUE"""),98706)</f>
        <v>98706</v>
      </c>
      <c r="B2446" s="4">
        <f ca="1">IFERROR(__xludf.DUMMYFUNCTION("""COMPUTED_VALUE"""),44706)</f>
        <v>44706</v>
      </c>
      <c r="C2446" t="str">
        <f ca="1">IFERROR(__xludf.DUMMYFUNCTION("""COMPUTED_VALUE"""),"УДХБ БУ Г. ОМСКА 126-РДО от 01.01.2022")</f>
        <v>УДХБ БУ Г. ОМСКА 126-РДО от 01.01.2022</v>
      </c>
      <c r="D24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6" t="str">
        <f ca="1">IFERROR(__xludf.DUMMYFUNCTION("""COMPUTED_VALUE"""),"Новый")</f>
        <v>Новый</v>
      </c>
      <c r="G2446" s="68"/>
      <c r="K2446" s="68"/>
    </row>
    <row r="2447" spans="1:11" ht="12.75">
      <c r="A2447" s="69">
        <f ca="1">IFERROR(__xludf.DUMMYFUNCTION("""COMPUTED_VALUE"""),98707)</f>
        <v>98707</v>
      </c>
      <c r="B2447" s="4">
        <f ca="1">IFERROR(__xludf.DUMMYFUNCTION("""COMPUTED_VALUE"""),44706)</f>
        <v>44706</v>
      </c>
      <c r="C2447" t="str">
        <f ca="1">IFERROR(__xludf.DUMMYFUNCTION("""COMPUTED_VALUE"""),"УДХБ БУ Г. ОМСКА 126-РДО от 01.01.2022")</f>
        <v>УДХБ БУ Г. ОМСКА 126-РДО от 01.01.2022</v>
      </c>
      <c r="D24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7" t="str">
        <f ca="1">IFERROR(__xludf.DUMMYFUNCTION("""COMPUTED_VALUE"""),"Новый")</f>
        <v>Новый</v>
      </c>
      <c r="G2447" s="68"/>
      <c r="K2447" s="68"/>
    </row>
    <row r="2448" spans="1:11" ht="12.75">
      <c r="A2448" s="69">
        <f ca="1">IFERROR(__xludf.DUMMYFUNCTION("""COMPUTED_VALUE"""),98708)</f>
        <v>98708</v>
      </c>
      <c r="B2448" s="4">
        <f ca="1">IFERROR(__xludf.DUMMYFUNCTION("""COMPUTED_VALUE"""),44706)</f>
        <v>44706</v>
      </c>
      <c r="C2448" t="str">
        <f ca="1">IFERROR(__xludf.DUMMYFUNCTION("""COMPUTED_VALUE"""),"УДХБ БУ Г. ОМСКА 126-РДО от 01.01.2022")</f>
        <v>УДХБ БУ Г. ОМСКА 126-РДО от 01.01.2022</v>
      </c>
      <c r="D24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8" t="str">
        <f ca="1">IFERROR(__xludf.DUMMYFUNCTION("""COMPUTED_VALUE"""),"Новый")</f>
        <v>Новый</v>
      </c>
      <c r="G2448" s="68"/>
      <c r="K2448" s="68"/>
    </row>
    <row r="2449" spans="1:11" ht="12.75">
      <c r="A2449" s="69">
        <f ca="1">IFERROR(__xludf.DUMMYFUNCTION("""COMPUTED_VALUE"""),98709)</f>
        <v>98709</v>
      </c>
      <c r="B2449" s="4">
        <f ca="1">IFERROR(__xludf.DUMMYFUNCTION("""COMPUTED_VALUE"""),44706)</f>
        <v>44706</v>
      </c>
      <c r="C2449" t="str">
        <f ca="1">IFERROR(__xludf.DUMMYFUNCTION("""COMPUTED_VALUE"""),"УДХБ БУ Г. ОМСКА 126-РДО от 01.01.2022")</f>
        <v>УДХБ БУ Г. ОМСКА 126-РДО от 01.01.2022</v>
      </c>
      <c r="D24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49" t="str">
        <f ca="1">IFERROR(__xludf.DUMMYFUNCTION("""COMPUTED_VALUE"""),"Новый")</f>
        <v>Новый</v>
      </c>
      <c r="G2449" s="68"/>
      <c r="K2449" s="68"/>
    </row>
    <row r="2450" spans="1:11" ht="12.75">
      <c r="A2450" s="69">
        <f ca="1">IFERROR(__xludf.DUMMYFUNCTION("""COMPUTED_VALUE"""),98710)</f>
        <v>98710</v>
      </c>
      <c r="B2450" s="4">
        <f ca="1">IFERROR(__xludf.DUMMYFUNCTION("""COMPUTED_VALUE"""),44706)</f>
        <v>44706</v>
      </c>
      <c r="C2450" t="str">
        <f ca="1">IFERROR(__xludf.DUMMYFUNCTION("""COMPUTED_VALUE"""),"УДХБ БУ Г. ОМСКА 126-РДО от 01.01.2022")</f>
        <v>УДХБ БУ Г. ОМСКА 126-РДО от 01.01.2022</v>
      </c>
      <c r="D24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0" t="str">
        <f ca="1">IFERROR(__xludf.DUMMYFUNCTION("""COMPUTED_VALUE"""),"Новый")</f>
        <v>Новый</v>
      </c>
      <c r="G2450" s="68"/>
      <c r="K2450" s="68"/>
    </row>
    <row r="2451" spans="1:11" ht="12.75">
      <c r="A2451" s="69">
        <f ca="1">IFERROR(__xludf.DUMMYFUNCTION("""COMPUTED_VALUE"""),98711)</f>
        <v>98711</v>
      </c>
      <c r="B2451" s="4">
        <f ca="1">IFERROR(__xludf.DUMMYFUNCTION("""COMPUTED_VALUE"""),44706)</f>
        <v>44706</v>
      </c>
      <c r="C2451" t="str">
        <f ca="1">IFERROR(__xludf.DUMMYFUNCTION("""COMPUTED_VALUE"""),"УДХБ БУ Г. ОМСКА 126-РДО от 01.01.2022")</f>
        <v>УДХБ БУ Г. ОМСКА 126-РДО от 01.01.2022</v>
      </c>
      <c r="D24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1" t="str">
        <f ca="1">IFERROR(__xludf.DUMMYFUNCTION("""COMPUTED_VALUE"""),"Новый")</f>
        <v>Новый</v>
      </c>
      <c r="G2451" s="68"/>
      <c r="K2451" s="68"/>
    </row>
    <row r="2452" spans="1:11" ht="12.75">
      <c r="A2452" s="69">
        <f ca="1">IFERROR(__xludf.DUMMYFUNCTION("""COMPUTED_VALUE"""),98712)</f>
        <v>98712</v>
      </c>
      <c r="B2452" s="4">
        <f ca="1">IFERROR(__xludf.DUMMYFUNCTION("""COMPUTED_VALUE"""),44706)</f>
        <v>44706</v>
      </c>
      <c r="C2452" t="str">
        <f ca="1">IFERROR(__xludf.DUMMYFUNCTION("""COMPUTED_VALUE"""),"УДХБ БУ Г. ОМСКА 126-РДО от 01.01.2022")</f>
        <v>УДХБ БУ Г. ОМСКА 126-РДО от 01.01.2022</v>
      </c>
      <c r="D24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2" t="str">
        <f ca="1">IFERROR(__xludf.DUMMYFUNCTION("""COMPUTED_VALUE"""),"Новый")</f>
        <v>Новый</v>
      </c>
      <c r="G2452" s="68"/>
      <c r="K2452" s="68"/>
    </row>
    <row r="2453" spans="1:11" ht="12.75">
      <c r="A2453" s="69">
        <f ca="1">IFERROR(__xludf.DUMMYFUNCTION("""COMPUTED_VALUE"""),98713)</f>
        <v>98713</v>
      </c>
      <c r="B2453" s="4">
        <f ca="1">IFERROR(__xludf.DUMMYFUNCTION("""COMPUTED_VALUE"""),44706)</f>
        <v>44706</v>
      </c>
      <c r="C2453" t="str">
        <f ca="1">IFERROR(__xludf.DUMMYFUNCTION("""COMPUTED_VALUE"""),"УДХБ БУ Г. ОМСКА 126-РДО от 01.01.2022")</f>
        <v>УДХБ БУ Г. ОМСКА 126-РДО от 01.01.2022</v>
      </c>
      <c r="D24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3" t="str">
        <f ca="1">IFERROR(__xludf.DUMMYFUNCTION("""COMPUTED_VALUE"""),"Новый")</f>
        <v>Новый</v>
      </c>
      <c r="G2453" s="68"/>
      <c r="K2453" s="68"/>
    </row>
    <row r="2454" spans="1:11" ht="12.75">
      <c r="A2454" s="69">
        <f ca="1">IFERROR(__xludf.DUMMYFUNCTION("""COMPUTED_VALUE"""),98714)</f>
        <v>98714</v>
      </c>
      <c r="B2454" s="4">
        <f ca="1">IFERROR(__xludf.DUMMYFUNCTION("""COMPUTED_VALUE"""),44706)</f>
        <v>44706</v>
      </c>
      <c r="C2454" t="str">
        <f ca="1">IFERROR(__xludf.DUMMYFUNCTION("""COMPUTED_VALUE"""),"УДХБ БУ Г. ОМСКА 126-РДО от 01.01.2022")</f>
        <v>УДХБ БУ Г. ОМСКА 126-РДО от 01.01.2022</v>
      </c>
      <c r="D24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4" t="str">
        <f ca="1">IFERROR(__xludf.DUMMYFUNCTION("""COMPUTED_VALUE"""),"Новый")</f>
        <v>Новый</v>
      </c>
      <c r="G2454" s="68"/>
      <c r="K2454" s="68"/>
    </row>
    <row r="2455" spans="1:11" ht="12.75">
      <c r="A2455" s="69">
        <f ca="1">IFERROR(__xludf.DUMMYFUNCTION("""COMPUTED_VALUE"""),98715)</f>
        <v>98715</v>
      </c>
      <c r="B2455" s="4">
        <f ca="1">IFERROR(__xludf.DUMMYFUNCTION("""COMPUTED_VALUE"""),44706)</f>
        <v>44706</v>
      </c>
      <c r="C2455" t="str">
        <f ca="1">IFERROR(__xludf.DUMMYFUNCTION("""COMPUTED_VALUE"""),"УДХБ БУ Г. ОМСКА 126-РДО от 01.01.2022")</f>
        <v>УДХБ БУ Г. ОМСКА 126-РДО от 01.01.2022</v>
      </c>
      <c r="D24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5" t="str">
        <f ca="1">IFERROR(__xludf.DUMMYFUNCTION("""COMPUTED_VALUE"""),"Новый")</f>
        <v>Новый</v>
      </c>
      <c r="G2455" s="68"/>
      <c r="K2455" s="68"/>
    </row>
    <row r="2456" spans="1:11" ht="12.75">
      <c r="A2456" s="69">
        <f ca="1">IFERROR(__xludf.DUMMYFUNCTION("""COMPUTED_VALUE"""),98716)</f>
        <v>98716</v>
      </c>
      <c r="B2456" s="4">
        <f ca="1">IFERROR(__xludf.DUMMYFUNCTION("""COMPUTED_VALUE"""),44706)</f>
        <v>44706</v>
      </c>
      <c r="C2456" t="str">
        <f ca="1">IFERROR(__xludf.DUMMYFUNCTION("""COMPUTED_VALUE"""),"УДХБ БУ Г. ОМСКА 126-РДО от 01.01.2022")</f>
        <v>УДХБ БУ Г. ОМСКА 126-РДО от 01.01.2022</v>
      </c>
      <c r="D24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6" t="str">
        <f ca="1">IFERROR(__xludf.DUMMYFUNCTION("""COMPUTED_VALUE"""),"Новый")</f>
        <v>Новый</v>
      </c>
      <c r="G2456" s="68"/>
      <c r="K2456" s="68"/>
    </row>
    <row r="2457" spans="1:11" ht="12.75">
      <c r="A2457" s="69">
        <f ca="1">IFERROR(__xludf.DUMMYFUNCTION("""COMPUTED_VALUE"""),98717)</f>
        <v>98717</v>
      </c>
      <c r="B2457" s="4">
        <f ca="1">IFERROR(__xludf.DUMMYFUNCTION("""COMPUTED_VALUE"""),44706)</f>
        <v>44706</v>
      </c>
      <c r="C2457" t="str">
        <f ca="1">IFERROR(__xludf.DUMMYFUNCTION("""COMPUTED_VALUE"""),"УДХБ БУ Г. ОМСКА 126-РДО от 01.01.2022")</f>
        <v>УДХБ БУ Г. ОМСКА 126-РДО от 01.01.2022</v>
      </c>
      <c r="D24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7" t="str">
        <f ca="1">IFERROR(__xludf.DUMMYFUNCTION("""COMPUTED_VALUE"""),"Новый")</f>
        <v>Новый</v>
      </c>
      <c r="G2457" s="68"/>
      <c r="K2457" s="68"/>
    </row>
    <row r="2458" spans="1:11" ht="12.75">
      <c r="A2458" s="69">
        <f ca="1">IFERROR(__xludf.DUMMYFUNCTION("""COMPUTED_VALUE"""),98718)</f>
        <v>98718</v>
      </c>
      <c r="B2458" s="4">
        <f ca="1">IFERROR(__xludf.DUMMYFUNCTION("""COMPUTED_VALUE"""),44706)</f>
        <v>44706</v>
      </c>
      <c r="C2458" t="str">
        <f ca="1">IFERROR(__xludf.DUMMYFUNCTION("""COMPUTED_VALUE"""),"УДХБ БУ Г. ОМСКА 126-РДО от 01.01.2022")</f>
        <v>УДХБ БУ Г. ОМСКА 126-РДО от 01.01.2022</v>
      </c>
      <c r="D24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8" t="str">
        <f ca="1">IFERROR(__xludf.DUMMYFUNCTION("""COMPUTED_VALUE"""),"Новый")</f>
        <v>Новый</v>
      </c>
      <c r="G2458" s="68"/>
      <c r="K2458" s="68"/>
    </row>
    <row r="2459" spans="1:11" ht="12.75">
      <c r="A2459" s="69">
        <f ca="1">IFERROR(__xludf.DUMMYFUNCTION("""COMPUTED_VALUE"""),98719)</f>
        <v>98719</v>
      </c>
      <c r="B2459" s="4">
        <f ca="1">IFERROR(__xludf.DUMMYFUNCTION("""COMPUTED_VALUE"""),44706)</f>
        <v>44706</v>
      </c>
      <c r="C2459" t="str">
        <f ca="1">IFERROR(__xludf.DUMMYFUNCTION("""COMPUTED_VALUE"""),"УДХБ БУ Г. ОМСКА 126-РДО от 01.01.2022")</f>
        <v>УДХБ БУ Г. ОМСКА 126-РДО от 01.01.2022</v>
      </c>
      <c r="D24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59" t="str">
        <f ca="1">IFERROR(__xludf.DUMMYFUNCTION("""COMPUTED_VALUE"""),"Новый")</f>
        <v>Новый</v>
      </c>
      <c r="G2459" s="68"/>
      <c r="K2459" s="68"/>
    </row>
    <row r="2460" spans="1:11" ht="12.75">
      <c r="A2460" s="69">
        <f ca="1">IFERROR(__xludf.DUMMYFUNCTION("""COMPUTED_VALUE"""),98720)</f>
        <v>98720</v>
      </c>
      <c r="B2460" s="4">
        <f ca="1">IFERROR(__xludf.DUMMYFUNCTION("""COMPUTED_VALUE"""),44706)</f>
        <v>44706</v>
      </c>
      <c r="C2460" t="str">
        <f ca="1">IFERROR(__xludf.DUMMYFUNCTION("""COMPUTED_VALUE"""),"УДХБ БУ Г. ОМСКА 126-РДО от 01.01.2022")</f>
        <v>УДХБ БУ Г. ОМСКА 126-РДО от 01.01.2022</v>
      </c>
      <c r="D24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0" t="str">
        <f ca="1">IFERROR(__xludf.DUMMYFUNCTION("""COMPUTED_VALUE"""),"Новый")</f>
        <v>Новый</v>
      </c>
      <c r="G2460" s="68"/>
      <c r="K2460" s="68"/>
    </row>
    <row r="2461" spans="1:11" ht="12.75">
      <c r="A2461" s="69">
        <f ca="1">IFERROR(__xludf.DUMMYFUNCTION("""COMPUTED_VALUE"""),98721)</f>
        <v>98721</v>
      </c>
      <c r="B2461" s="4">
        <f ca="1">IFERROR(__xludf.DUMMYFUNCTION("""COMPUTED_VALUE"""),44706)</f>
        <v>44706</v>
      </c>
      <c r="C2461" t="str">
        <f ca="1">IFERROR(__xludf.DUMMYFUNCTION("""COMPUTED_VALUE"""),"УДХБ БУ Г. ОМСКА 126-РДО от 01.01.2022")</f>
        <v>УДХБ БУ Г. ОМСКА 126-РДО от 01.01.2022</v>
      </c>
      <c r="D24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1" t="str">
        <f ca="1">IFERROR(__xludf.DUMMYFUNCTION("""COMPUTED_VALUE"""),"Новый")</f>
        <v>Новый</v>
      </c>
      <c r="G2461" s="68"/>
      <c r="K2461" s="68"/>
    </row>
    <row r="2462" spans="1:11" ht="12.75">
      <c r="A2462" s="69">
        <f ca="1">IFERROR(__xludf.DUMMYFUNCTION("""COMPUTED_VALUE"""),98726)</f>
        <v>98726</v>
      </c>
      <c r="B2462" s="4">
        <f ca="1">IFERROR(__xludf.DUMMYFUNCTION("""COMPUTED_VALUE"""),44706)</f>
        <v>44706</v>
      </c>
      <c r="C2462" t="str">
        <f ca="1">IFERROR(__xludf.DUMMYFUNCTION("""COMPUTED_VALUE"""),"УДХБ БУ Г. ОМСКА 126-РДО от 01.01.2022")</f>
        <v>УДХБ БУ Г. ОМСКА 126-РДО от 01.01.2022</v>
      </c>
      <c r="D24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2" t="str">
        <f ca="1">IFERROR(__xludf.DUMMYFUNCTION("""COMPUTED_VALUE"""),"Новый")</f>
        <v>Новый</v>
      </c>
      <c r="G2462" s="68"/>
      <c r="K2462" s="68"/>
    </row>
    <row r="2463" spans="1:11" ht="12.75">
      <c r="A2463" s="69">
        <f ca="1">IFERROR(__xludf.DUMMYFUNCTION("""COMPUTED_VALUE"""),98727)</f>
        <v>98727</v>
      </c>
      <c r="B2463" s="4">
        <f ca="1">IFERROR(__xludf.DUMMYFUNCTION("""COMPUTED_VALUE"""),44706)</f>
        <v>44706</v>
      </c>
      <c r="C2463" t="str">
        <f ca="1">IFERROR(__xludf.DUMMYFUNCTION("""COMPUTED_VALUE"""),"УДХБ БУ Г. ОМСКА 126-РДО от 01.01.2022")</f>
        <v>УДХБ БУ Г. ОМСКА 126-РДО от 01.01.2022</v>
      </c>
      <c r="D24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3" t="str">
        <f ca="1">IFERROR(__xludf.DUMMYFUNCTION("""COMPUTED_VALUE"""),"Новый")</f>
        <v>Новый</v>
      </c>
      <c r="G2463" s="68"/>
      <c r="K2463" s="68"/>
    </row>
    <row r="2464" spans="1:11" ht="12.75">
      <c r="A2464" s="69">
        <f ca="1">IFERROR(__xludf.DUMMYFUNCTION("""COMPUTED_VALUE"""),98728)</f>
        <v>98728</v>
      </c>
      <c r="B2464" s="4">
        <f ca="1">IFERROR(__xludf.DUMMYFUNCTION("""COMPUTED_VALUE"""),44706)</f>
        <v>44706</v>
      </c>
      <c r="C2464" t="str">
        <f ca="1">IFERROR(__xludf.DUMMYFUNCTION("""COMPUTED_VALUE"""),"УДХБ БУ Г. ОМСКА 126-РДО от 01.01.2022")</f>
        <v>УДХБ БУ Г. ОМСКА 126-РДО от 01.01.2022</v>
      </c>
      <c r="D24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4" t="str">
        <f ca="1">IFERROR(__xludf.DUMMYFUNCTION("""COMPUTED_VALUE"""),"Новый")</f>
        <v>Новый</v>
      </c>
      <c r="G2464" s="68"/>
      <c r="K2464" s="68"/>
    </row>
    <row r="2465" spans="1:11" ht="12.75">
      <c r="A2465" s="69">
        <f ca="1">IFERROR(__xludf.DUMMYFUNCTION("""COMPUTED_VALUE"""),98729)</f>
        <v>98729</v>
      </c>
      <c r="B2465" s="4">
        <f ca="1">IFERROR(__xludf.DUMMYFUNCTION("""COMPUTED_VALUE"""),44706)</f>
        <v>44706</v>
      </c>
      <c r="C2465" t="str">
        <f ca="1">IFERROR(__xludf.DUMMYFUNCTION("""COMPUTED_VALUE"""),"УДХБ БУ Г. ОМСКА 126-РДО от 01.01.2022")</f>
        <v>УДХБ БУ Г. ОМСКА 126-РДО от 01.01.2022</v>
      </c>
      <c r="D24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5" t="str">
        <f ca="1">IFERROR(__xludf.DUMMYFUNCTION("""COMPUTED_VALUE"""),"Новый")</f>
        <v>Новый</v>
      </c>
      <c r="G2465" s="68"/>
      <c r="K2465" s="68"/>
    </row>
    <row r="2466" spans="1:11" ht="12.75">
      <c r="A2466" s="69">
        <f ca="1">IFERROR(__xludf.DUMMYFUNCTION("""COMPUTED_VALUE"""),98730)</f>
        <v>98730</v>
      </c>
      <c r="B2466" s="4">
        <f ca="1">IFERROR(__xludf.DUMMYFUNCTION("""COMPUTED_VALUE"""),44706)</f>
        <v>44706</v>
      </c>
      <c r="C2466" t="str">
        <f ca="1">IFERROR(__xludf.DUMMYFUNCTION("""COMPUTED_VALUE"""),"УДХБ БУ Г. ОМСКА 126-РДО от 01.01.2022")</f>
        <v>УДХБ БУ Г. ОМСКА 126-РДО от 01.01.2022</v>
      </c>
      <c r="D24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6" t="str">
        <f ca="1">IFERROR(__xludf.DUMMYFUNCTION("""COMPUTED_VALUE"""),"Новый")</f>
        <v>Новый</v>
      </c>
      <c r="G2466" s="68"/>
      <c r="K2466" s="68"/>
    </row>
    <row r="2467" spans="1:11" ht="12.75">
      <c r="A2467" s="69">
        <f ca="1">IFERROR(__xludf.DUMMYFUNCTION("""COMPUTED_VALUE"""),98731)</f>
        <v>98731</v>
      </c>
      <c r="B2467" s="4">
        <f ca="1">IFERROR(__xludf.DUMMYFUNCTION("""COMPUTED_VALUE"""),44706)</f>
        <v>44706</v>
      </c>
      <c r="C2467" t="str">
        <f ca="1">IFERROR(__xludf.DUMMYFUNCTION("""COMPUTED_VALUE"""),"УДХБ БУ Г. ОМСКА 126-РДО от 01.01.2022")</f>
        <v>УДХБ БУ Г. ОМСКА 126-РДО от 01.01.2022</v>
      </c>
      <c r="D24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7" t="str">
        <f ca="1">IFERROR(__xludf.DUMMYFUNCTION("""COMPUTED_VALUE"""),"Новый")</f>
        <v>Новый</v>
      </c>
      <c r="G2467" s="68"/>
      <c r="K2467" s="68"/>
    </row>
    <row r="2468" spans="1:11" ht="12.75">
      <c r="A2468" s="69">
        <f ca="1">IFERROR(__xludf.DUMMYFUNCTION("""COMPUTED_VALUE"""),98732)</f>
        <v>98732</v>
      </c>
      <c r="B2468" s="4">
        <f ca="1">IFERROR(__xludf.DUMMYFUNCTION("""COMPUTED_VALUE"""),44706)</f>
        <v>44706</v>
      </c>
      <c r="C2468" t="str">
        <f ca="1">IFERROR(__xludf.DUMMYFUNCTION("""COMPUTED_VALUE"""),"УДХБ БУ Г. ОМСКА 126-РДО от 01.01.2022")</f>
        <v>УДХБ БУ Г. ОМСКА 126-РДО от 01.01.2022</v>
      </c>
      <c r="D24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8" t="str">
        <f ca="1">IFERROR(__xludf.DUMMYFUNCTION("""COMPUTED_VALUE"""),"Новый")</f>
        <v>Новый</v>
      </c>
      <c r="G2468" s="68"/>
      <c r="K2468" s="68"/>
    </row>
    <row r="2469" spans="1:11" ht="12.75">
      <c r="A2469" s="69">
        <f ca="1">IFERROR(__xludf.DUMMYFUNCTION("""COMPUTED_VALUE"""),98733)</f>
        <v>98733</v>
      </c>
      <c r="B2469" s="4">
        <f ca="1">IFERROR(__xludf.DUMMYFUNCTION("""COMPUTED_VALUE"""),44706)</f>
        <v>44706</v>
      </c>
      <c r="C2469" t="str">
        <f ca="1">IFERROR(__xludf.DUMMYFUNCTION("""COMPUTED_VALUE"""),"УДХБ БУ Г. ОМСКА 126-РДО от 01.01.2022")</f>
        <v>УДХБ БУ Г. ОМСКА 126-РДО от 01.01.2022</v>
      </c>
      <c r="D24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69" t="str">
        <f ca="1">IFERROR(__xludf.DUMMYFUNCTION("""COMPUTED_VALUE"""),"Новый")</f>
        <v>Новый</v>
      </c>
      <c r="G2469" s="68"/>
      <c r="K2469" s="68"/>
    </row>
    <row r="2470" spans="1:11" ht="12.75">
      <c r="A2470" s="69">
        <f ca="1">IFERROR(__xludf.DUMMYFUNCTION("""COMPUTED_VALUE"""),98734)</f>
        <v>98734</v>
      </c>
      <c r="B2470" s="4">
        <f ca="1">IFERROR(__xludf.DUMMYFUNCTION("""COMPUTED_VALUE"""),44706)</f>
        <v>44706</v>
      </c>
      <c r="C2470" t="str">
        <f ca="1">IFERROR(__xludf.DUMMYFUNCTION("""COMPUTED_VALUE"""),"УДХБ БУ Г. ОМСКА 126-РДО от 01.01.2022")</f>
        <v>УДХБ БУ Г. ОМСКА 126-РДО от 01.01.2022</v>
      </c>
      <c r="D24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0" t="str">
        <f ca="1">IFERROR(__xludf.DUMMYFUNCTION("""COMPUTED_VALUE"""),"Новый")</f>
        <v>Новый</v>
      </c>
      <c r="G2470" s="68"/>
      <c r="K2470" s="68"/>
    </row>
    <row r="2471" spans="1:11" ht="12.75">
      <c r="A2471" s="69">
        <f ca="1">IFERROR(__xludf.DUMMYFUNCTION("""COMPUTED_VALUE"""),98735)</f>
        <v>98735</v>
      </c>
      <c r="B2471" s="4">
        <f ca="1">IFERROR(__xludf.DUMMYFUNCTION("""COMPUTED_VALUE"""),44706)</f>
        <v>44706</v>
      </c>
      <c r="C2471" t="str">
        <f ca="1">IFERROR(__xludf.DUMMYFUNCTION("""COMPUTED_VALUE"""),"УДХБ БУ Г. ОМСКА 126-РДО от 01.01.2022")</f>
        <v>УДХБ БУ Г. ОМСКА 126-РДО от 01.01.2022</v>
      </c>
      <c r="D24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1" t="str">
        <f ca="1">IFERROR(__xludf.DUMMYFUNCTION("""COMPUTED_VALUE"""),"Новый")</f>
        <v>Новый</v>
      </c>
      <c r="G2471" s="68"/>
      <c r="K2471" s="68"/>
    </row>
    <row r="2472" spans="1:11" ht="12.75">
      <c r="A2472" s="69">
        <f ca="1">IFERROR(__xludf.DUMMYFUNCTION("""COMPUTED_VALUE"""),98736)</f>
        <v>98736</v>
      </c>
      <c r="B2472" s="4">
        <f ca="1">IFERROR(__xludf.DUMMYFUNCTION("""COMPUTED_VALUE"""),44706)</f>
        <v>44706</v>
      </c>
      <c r="C2472" t="str">
        <f ca="1">IFERROR(__xludf.DUMMYFUNCTION("""COMPUTED_VALUE"""),"УДХБ БУ Г. ОМСКА 126-РДО от 01.01.2022")</f>
        <v>УДХБ БУ Г. ОМСКА 126-РДО от 01.01.2022</v>
      </c>
      <c r="D24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2" t="str">
        <f ca="1">IFERROR(__xludf.DUMMYFUNCTION("""COMPUTED_VALUE"""),"Новый")</f>
        <v>Новый</v>
      </c>
      <c r="G2472" s="68"/>
      <c r="K2472" s="68"/>
    </row>
    <row r="2473" spans="1:11" ht="12.75">
      <c r="A2473" s="69">
        <f ca="1">IFERROR(__xludf.DUMMYFUNCTION("""COMPUTED_VALUE"""),98738)</f>
        <v>98738</v>
      </c>
      <c r="B2473" s="4">
        <f ca="1">IFERROR(__xludf.DUMMYFUNCTION("""COMPUTED_VALUE"""),44706)</f>
        <v>44706</v>
      </c>
      <c r="C2473" t="str">
        <f ca="1">IFERROR(__xludf.DUMMYFUNCTION("""COMPUTED_VALUE"""),"УДХБ БУ Г. ОМСКА 126-РДО от 01.01.2022")</f>
        <v>УДХБ БУ Г. ОМСКА 126-РДО от 01.01.2022</v>
      </c>
      <c r="D24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3" t="str">
        <f ca="1">IFERROR(__xludf.DUMMYFUNCTION("""COMPUTED_VALUE"""),"Новый")</f>
        <v>Новый</v>
      </c>
      <c r="G2473" s="68"/>
      <c r="K2473" s="68"/>
    </row>
    <row r="2474" spans="1:11" ht="12.75">
      <c r="A2474" s="69">
        <f ca="1">IFERROR(__xludf.DUMMYFUNCTION("""COMPUTED_VALUE"""),98739)</f>
        <v>98739</v>
      </c>
      <c r="B2474" s="4">
        <f ca="1">IFERROR(__xludf.DUMMYFUNCTION("""COMPUTED_VALUE"""),44706)</f>
        <v>44706</v>
      </c>
      <c r="C2474" t="str">
        <f ca="1">IFERROR(__xludf.DUMMYFUNCTION("""COMPUTED_VALUE"""),"УДХБ БУ Г. ОМСКА 126-РДО от 01.01.2022")</f>
        <v>УДХБ БУ Г. ОМСКА 126-РДО от 01.01.2022</v>
      </c>
      <c r="D24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4" t="str">
        <f ca="1">IFERROR(__xludf.DUMMYFUNCTION("""COMPUTED_VALUE"""),"Новый")</f>
        <v>Новый</v>
      </c>
      <c r="G2474" s="68"/>
      <c r="K2474" s="68"/>
    </row>
    <row r="2475" spans="1:11" ht="12.75">
      <c r="A2475" s="69">
        <f ca="1">IFERROR(__xludf.DUMMYFUNCTION("""COMPUTED_VALUE"""),98740)</f>
        <v>98740</v>
      </c>
      <c r="B2475" s="4">
        <f ca="1">IFERROR(__xludf.DUMMYFUNCTION("""COMPUTED_VALUE"""),44706)</f>
        <v>44706</v>
      </c>
      <c r="C2475" t="str">
        <f ca="1">IFERROR(__xludf.DUMMYFUNCTION("""COMPUTED_VALUE"""),"УДХБ БУ Г. ОМСКА 126-РДО от 01.01.2022")</f>
        <v>УДХБ БУ Г. ОМСКА 126-РДО от 01.01.2022</v>
      </c>
      <c r="D24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5" t="str">
        <f ca="1">IFERROR(__xludf.DUMMYFUNCTION("""COMPUTED_VALUE"""),"Новый")</f>
        <v>Новый</v>
      </c>
      <c r="G2475" s="68"/>
      <c r="K2475" s="68"/>
    </row>
    <row r="2476" spans="1:11" ht="12.75">
      <c r="A2476" s="69">
        <f ca="1">IFERROR(__xludf.DUMMYFUNCTION("""COMPUTED_VALUE"""),98741)</f>
        <v>98741</v>
      </c>
      <c r="B2476" s="4">
        <f ca="1">IFERROR(__xludf.DUMMYFUNCTION("""COMPUTED_VALUE"""),44706)</f>
        <v>44706</v>
      </c>
      <c r="C2476" t="str">
        <f ca="1">IFERROR(__xludf.DUMMYFUNCTION("""COMPUTED_VALUE"""),"УДХБ БУ Г. ОМСКА 126-РДО от 01.01.2022")</f>
        <v>УДХБ БУ Г. ОМСКА 126-РДО от 01.01.2022</v>
      </c>
      <c r="D24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6" t="str">
        <f ca="1">IFERROR(__xludf.DUMMYFUNCTION("""COMPUTED_VALUE"""),"Новый")</f>
        <v>Новый</v>
      </c>
      <c r="G2476" s="68"/>
      <c r="K2476" s="68"/>
    </row>
    <row r="2477" spans="1:11" ht="12.75">
      <c r="A2477" s="69">
        <f ca="1">IFERROR(__xludf.DUMMYFUNCTION("""COMPUTED_VALUE"""),98761)</f>
        <v>98761</v>
      </c>
      <c r="B2477" s="4">
        <f ca="1">IFERROR(__xludf.DUMMYFUNCTION("""COMPUTED_VALUE"""),44706)</f>
        <v>44706</v>
      </c>
      <c r="C2477" t="str">
        <f ca="1">IFERROR(__xludf.DUMMYFUNCTION("""COMPUTED_VALUE"""),"УДХБ БУ Г. ОМСКА 126-РДО от 01.01.2022")</f>
        <v>УДХБ БУ Г. ОМСКА 126-РДО от 01.01.2022</v>
      </c>
      <c r="D24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7" t="str">
        <f ca="1">IFERROR(__xludf.DUMMYFUNCTION("""COMPUTED_VALUE"""),"Новый")</f>
        <v>Новый</v>
      </c>
      <c r="G2477" s="68"/>
      <c r="K2477" s="68"/>
    </row>
    <row r="2478" spans="1:11" ht="12.75">
      <c r="A2478" s="69">
        <f ca="1">IFERROR(__xludf.DUMMYFUNCTION("""COMPUTED_VALUE"""),98776)</f>
        <v>98776</v>
      </c>
      <c r="B2478" s="4">
        <f ca="1">IFERROR(__xludf.DUMMYFUNCTION("""COMPUTED_VALUE"""),44706)</f>
        <v>44706</v>
      </c>
      <c r="C2478" t="str">
        <f ca="1">IFERROR(__xludf.DUMMYFUNCTION("""COMPUTED_VALUE"""),"УДХБ БУ Г. ОМСКА 126-РДО от 01.01.2022")</f>
        <v>УДХБ БУ Г. ОМСКА 126-РДО от 01.01.2022</v>
      </c>
      <c r="D24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8" t="str">
        <f ca="1">IFERROR(__xludf.DUMMYFUNCTION("""COMPUTED_VALUE"""),"Новый")</f>
        <v>Новый</v>
      </c>
      <c r="G2478" s="68"/>
      <c r="K2478" s="68"/>
    </row>
    <row r="2479" spans="1:11" ht="12.75">
      <c r="A2479" s="69">
        <f ca="1">IFERROR(__xludf.DUMMYFUNCTION("""COMPUTED_VALUE"""),98777)</f>
        <v>98777</v>
      </c>
      <c r="B2479" s="4">
        <f ca="1">IFERROR(__xludf.DUMMYFUNCTION("""COMPUTED_VALUE"""),44706)</f>
        <v>44706</v>
      </c>
      <c r="C2479" t="str">
        <f ca="1">IFERROR(__xludf.DUMMYFUNCTION("""COMPUTED_VALUE"""),"УДХБ БУ Г. ОМСКА 126-РДО от 01.01.2022")</f>
        <v>УДХБ БУ Г. ОМСКА 126-РДО от 01.01.2022</v>
      </c>
      <c r="D24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79" t="str">
        <f ca="1">IFERROR(__xludf.DUMMYFUNCTION("""COMPUTED_VALUE"""),"Новый")</f>
        <v>Новый</v>
      </c>
      <c r="G2479" s="68"/>
      <c r="K2479" s="68"/>
    </row>
    <row r="2480" spans="1:11" ht="12.75">
      <c r="A2480" s="69">
        <f ca="1">IFERROR(__xludf.DUMMYFUNCTION("""COMPUTED_VALUE"""),98778)</f>
        <v>98778</v>
      </c>
      <c r="B2480" s="4">
        <f ca="1">IFERROR(__xludf.DUMMYFUNCTION("""COMPUTED_VALUE"""),44706)</f>
        <v>44706</v>
      </c>
      <c r="C2480" t="str">
        <f ca="1">IFERROR(__xludf.DUMMYFUNCTION("""COMPUTED_VALUE"""),"УДХБ БУ Г. ОМСКА 126-РДО от 01.01.2022")</f>
        <v>УДХБ БУ Г. ОМСКА 126-РДО от 01.01.2022</v>
      </c>
      <c r="D24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0" t="str">
        <f ca="1">IFERROR(__xludf.DUMMYFUNCTION("""COMPUTED_VALUE"""),"Новый")</f>
        <v>Новый</v>
      </c>
      <c r="G2480" s="68"/>
      <c r="K2480" s="68"/>
    </row>
    <row r="2481" spans="1:11" ht="12.75">
      <c r="A2481" s="69">
        <f ca="1">IFERROR(__xludf.DUMMYFUNCTION("""COMPUTED_VALUE"""),98779)</f>
        <v>98779</v>
      </c>
      <c r="B2481" s="4">
        <f ca="1">IFERROR(__xludf.DUMMYFUNCTION("""COMPUTED_VALUE"""),44706)</f>
        <v>44706</v>
      </c>
      <c r="C2481" t="str">
        <f ca="1">IFERROR(__xludf.DUMMYFUNCTION("""COMPUTED_VALUE"""),"УДХБ БУ Г. ОМСКА 126-РДО от 01.01.2022")</f>
        <v>УДХБ БУ Г. ОМСКА 126-РДО от 01.01.2022</v>
      </c>
      <c r="D24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1" t="str">
        <f ca="1">IFERROR(__xludf.DUMMYFUNCTION("""COMPUTED_VALUE"""),"Новый")</f>
        <v>Новый</v>
      </c>
      <c r="G2481" s="68"/>
      <c r="K2481" s="68"/>
    </row>
    <row r="2482" spans="1:11" ht="12.75">
      <c r="A2482" s="69">
        <f ca="1">IFERROR(__xludf.DUMMYFUNCTION("""COMPUTED_VALUE"""),98780)</f>
        <v>98780</v>
      </c>
      <c r="B2482" s="4">
        <f ca="1">IFERROR(__xludf.DUMMYFUNCTION("""COMPUTED_VALUE"""),44706)</f>
        <v>44706</v>
      </c>
      <c r="C2482" t="str">
        <f ca="1">IFERROR(__xludf.DUMMYFUNCTION("""COMPUTED_VALUE"""),"УДХБ БУ Г. ОМСКА 126-РДО от 01.01.2022")</f>
        <v>УДХБ БУ Г. ОМСКА 126-РДО от 01.01.2022</v>
      </c>
      <c r="D24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2" t="str">
        <f ca="1">IFERROR(__xludf.DUMMYFUNCTION("""COMPUTED_VALUE"""),"Новый")</f>
        <v>Новый</v>
      </c>
      <c r="G2482" s="68"/>
      <c r="K2482" s="68"/>
    </row>
    <row r="2483" spans="1:11" ht="12.75">
      <c r="A2483" s="69">
        <f ca="1">IFERROR(__xludf.DUMMYFUNCTION("""COMPUTED_VALUE"""),98781)</f>
        <v>98781</v>
      </c>
      <c r="B2483" s="4">
        <f ca="1">IFERROR(__xludf.DUMMYFUNCTION("""COMPUTED_VALUE"""),44706)</f>
        <v>44706</v>
      </c>
      <c r="C2483" t="str">
        <f ca="1">IFERROR(__xludf.DUMMYFUNCTION("""COMPUTED_VALUE"""),"УДХБ БУ Г. ОМСКА 126-РДО от 01.01.2022")</f>
        <v>УДХБ БУ Г. ОМСКА 126-РДО от 01.01.2022</v>
      </c>
      <c r="D24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3" t="str">
        <f ca="1">IFERROR(__xludf.DUMMYFUNCTION("""COMPUTED_VALUE"""),"Новый")</f>
        <v>Новый</v>
      </c>
      <c r="G2483" s="68"/>
      <c r="K2483" s="68"/>
    </row>
    <row r="2484" spans="1:11" ht="12.75">
      <c r="A2484" s="69">
        <f ca="1">IFERROR(__xludf.DUMMYFUNCTION("""COMPUTED_VALUE"""),98814)</f>
        <v>98814</v>
      </c>
      <c r="B2484" s="4">
        <f ca="1">IFERROR(__xludf.DUMMYFUNCTION("""COMPUTED_VALUE"""),44707)</f>
        <v>44707</v>
      </c>
      <c r="C2484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4" t="str">
        <f ca="1">IFERROR(__xludf.DUMMYFUNCTION("""COMPUTED_VALUE"""),"Новый")</f>
        <v>Новый</v>
      </c>
      <c r="G2484" s="68"/>
      <c r="K2484" s="68"/>
    </row>
    <row r="2485" spans="1:11" ht="12.75">
      <c r="A2485" s="69">
        <f ca="1">IFERROR(__xludf.DUMMYFUNCTION("""COMPUTED_VALUE"""),98815)</f>
        <v>98815</v>
      </c>
      <c r="B2485" s="4">
        <f ca="1">IFERROR(__xludf.DUMMYFUNCTION("""COMPUTED_VALUE"""),44707)</f>
        <v>44707</v>
      </c>
      <c r="C2485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5" t="str">
        <f ca="1">IFERROR(__xludf.DUMMYFUNCTION("""COMPUTED_VALUE"""),"Новый")</f>
        <v>Новый</v>
      </c>
      <c r="G2485" s="68"/>
      <c r="K2485" s="68"/>
    </row>
    <row r="2486" spans="1:11" ht="12.75">
      <c r="A2486" s="69">
        <f ca="1">IFERROR(__xludf.DUMMYFUNCTION("""COMPUTED_VALUE"""),98816)</f>
        <v>98816</v>
      </c>
      <c r="B2486" s="4">
        <f ca="1">IFERROR(__xludf.DUMMYFUNCTION("""COMPUTED_VALUE"""),44707)</f>
        <v>44707</v>
      </c>
      <c r="C2486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6" t="str">
        <f ca="1">IFERROR(__xludf.DUMMYFUNCTION("""COMPUTED_VALUE"""),"Новый")</f>
        <v>Новый</v>
      </c>
      <c r="G2486" s="68"/>
      <c r="K2486" s="68"/>
    </row>
    <row r="2487" spans="1:11" ht="12.75">
      <c r="A2487" s="69">
        <f ca="1">IFERROR(__xludf.DUMMYFUNCTION("""COMPUTED_VALUE"""),98817)</f>
        <v>98817</v>
      </c>
      <c r="B2487" s="4">
        <f ca="1">IFERROR(__xludf.DUMMYFUNCTION("""COMPUTED_VALUE"""),44707)</f>
        <v>44707</v>
      </c>
      <c r="C2487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7" t="str">
        <f ca="1">IFERROR(__xludf.DUMMYFUNCTION("""COMPUTED_VALUE"""),"Новый")</f>
        <v>Новый</v>
      </c>
      <c r="G2487" s="68"/>
      <c r="K2487" s="68"/>
    </row>
    <row r="2488" spans="1:11" ht="12.75">
      <c r="A2488" s="69">
        <f ca="1">IFERROR(__xludf.DUMMYFUNCTION("""COMPUTED_VALUE"""),98818)</f>
        <v>98818</v>
      </c>
      <c r="B2488" s="4">
        <f ca="1">IFERROR(__xludf.DUMMYFUNCTION("""COMPUTED_VALUE"""),44707)</f>
        <v>44707</v>
      </c>
      <c r="C2488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8" t="str">
        <f ca="1">IFERROR(__xludf.DUMMYFUNCTION("""COMPUTED_VALUE"""),"Новый")</f>
        <v>Новый</v>
      </c>
      <c r="G2488" s="68"/>
      <c r="K2488" s="68"/>
    </row>
    <row r="2489" spans="1:11" ht="12.75">
      <c r="A2489" s="69">
        <f ca="1">IFERROR(__xludf.DUMMYFUNCTION("""COMPUTED_VALUE"""),98819)</f>
        <v>98819</v>
      </c>
      <c r="B2489" s="4">
        <f ca="1">IFERROR(__xludf.DUMMYFUNCTION("""COMPUTED_VALUE"""),44707)</f>
        <v>44707</v>
      </c>
      <c r="C2489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89" t="str">
        <f ca="1">IFERROR(__xludf.DUMMYFUNCTION("""COMPUTED_VALUE"""),"Новый")</f>
        <v>Новый</v>
      </c>
      <c r="G2489" s="68"/>
      <c r="K2489" s="68"/>
    </row>
    <row r="2490" spans="1:11" ht="12.75">
      <c r="A2490" s="69">
        <f ca="1">IFERROR(__xludf.DUMMYFUNCTION("""COMPUTED_VALUE"""),98820)</f>
        <v>98820</v>
      </c>
      <c r="B2490" s="4">
        <f ca="1">IFERROR(__xludf.DUMMYFUNCTION("""COMPUTED_VALUE"""),44707)</f>
        <v>44707</v>
      </c>
      <c r="C2490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0" t="str">
        <f ca="1">IFERROR(__xludf.DUMMYFUNCTION("""COMPUTED_VALUE"""),"Новый")</f>
        <v>Новый</v>
      </c>
      <c r="G2490" s="68"/>
      <c r="K2490" s="68"/>
    </row>
    <row r="2491" spans="1:11" ht="12.75">
      <c r="A2491" s="69">
        <f ca="1">IFERROR(__xludf.DUMMYFUNCTION("""COMPUTED_VALUE"""),98821)</f>
        <v>98821</v>
      </c>
      <c r="B2491" s="4">
        <f ca="1">IFERROR(__xludf.DUMMYFUNCTION("""COMPUTED_VALUE"""),44707)</f>
        <v>44707</v>
      </c>
      <c r="C2491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24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1" t="str">
        <f ca="1">IFERROR(__xludf.DUMMYFUNCTION("""COMPUTED_VALUE"""),"Новый")</f>
        <v>Новый</v>
      </c>
      <c r="G2491" s="68"/>
      <c r="K2491" s="68"/>
    </row>
    <row r="2492" spans="1:11" ht="12.75">
      <c r="A2492" s="69">
        <f ca="1">IFERROR(__xludf.DUMMYFUNCTION("""COMPUTED_VALUE"""),98844)</f>
        <v>98844</v>
      </c>
      <c r="B2492" s="4">
        <f ca="1">IFERROR(__xludf.DUMMYFUNCTION("""COMPUTED_VALUE"""),44712)</f>
        <v>44712</v>
      </c>
      <c r="C2492" t="str">
        <f ca="1">IFERROR(__xludf.DUMMYFUNCTION("""COMPUTED_VALUE"""),"ФГБУ ""ОБЬ-ИРТЫШСКОЕ УГМС"" 178-РДО")</f>
        <v>ФГБУ "ОБЬ-ИРТЫШСКОЕ УГМС" 178-РДО</v>
      </c>
      <c r="D24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2" t="str">
        <f ca="1">IFERROR(__xludf.DUMMYFUNCTION("""COMPUTED_VALUE"""),"Новый")</f>
        <v>Новый</v>
      </c>
      <c r="G2492" s="68"/>
      <c r="K2492" s="68"/>
    </row>
    <row r="2493" spans="1:11" ht="12.75">
      <c r="A2493" s="69">
        <f ca="1">IFERROR(__xludf.DUMMYFUNCTION("""COMPUTED_VALUE"""),98845)</f>
        <v>98845</v>
      </c>
      <c r="B2493" s="4">
        <f ca="1">IFERROR(__xludf.DUMMYFUNCTION("""COMPUTED_VALUE"""),44712)</f>
        <v>44712</v>
      </c>
      <c r="C2493" t="str">
        <f ca="1">IFERROR(__xludf.DUMMYFUNCTION("""COMPUTED_VALUE"""),"ФГБУ ""ОБЬ-ИРТЫШСКОЕ УГМС"" 178-РДО")</f>
        <v>ФГБУ "ОБЬ-ИРТЫШСКОЕ УГМС" 178-РДО</v>
      </c>
      <c r="D24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3" t="str">
        <f ca="1">IFERROR(__xludf.DUMMYFUNCTION("""COMPUTED_VALUE"""),"Новый")</f>
        <v>Новый</v>
      </c>
      <c r="G2493" s="68"/>
      <c r="K2493" s="68"/>
    </row>
    <row r="2494" spans="1:11" ht="12.75">
      <c r="A2494" s="69">
        <f ca="1">IFERROR(__xludf.DUMMYFUNCTION("""COMPUTED_VALUE"""),98846)</f>
        <v>98846</v>
      </c>
      <c r="B2494" s="4">
        <f ca="1">IFERROR(__xludf.DUMMYFUNCTION("""COMPUTED_VALUE"""),44712)</f>
        <v>44712</v>
      </c>
      <c r="C2494" t="str">
        <f ca="1">IFERROR(__xludf.DUMMYFUNCTION("""COMPUTED_VALUE"""),"ФГБУ ""ОБЬ-ИРТЫШСКОЕ УГМС"" 178-РДО")</f>
        <v>ФГБУ "ОБЬ-ИРТЫШСКОЕ УГМС" 178-РДО</v>
      </c>
      <c r="D24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4" t="str">
        <f ca="1">IFERROR(__xludf.DUMMYFUNCTION("""COMPUTED_VALUE"""),"Новый")</f>
        <v>Новый</v>
      </c>
      <c r="G2494" s="68"/>
      <c r="K2494" s="68"/>
    </row>
    <row r="2495" spans="1:11" ht="12.75">
      <c r="A2495" s="69">
        <f ca="1">IFERROR(__xludf.DUMMYFUNCTION("""COMPUTED_VALUE"""),98847)</f>
        <v>98847</v>
      </c>
      <c r="B2495" s="4">
        <f ca="1">IFERROR(__xludf.DUMMYFUNCTION("""COMPUTED_VALUE"""),44712)</f>
        <v>44712</v>
      </c>
      <c r="C2495" t="str">
        <f ca="1">IFERROR(__xludf.DUMMYFUNCTION("""COMPUTED_VALUE"""),"ФГБУ ""ОБЬ-ИРТЫШСКОЕ УГМС"" 178-РДО")</f>
        <v>ФГБУ "ОБЬ-ИРТЫШСКОЕ УГМС" 178-РДО</v>
      </c>
      <c r="D24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5" t="str">
        <f ca="1">IFERROR(__xludf.DUMMYFUNCTION("""COMPUTED_VALUE"""),"Новый")</f>
        <v>Новый</v>
      </c>
      <c r="G2495" s="68"/>
      <c r="K2495" s="68"/>
    </row>
    <row r="2496" spans="1:11" ht="12.75">
      <c r="A2496" s="69">
        <f ca="1">IFERROR(__xludf.DUMMYFUNCTION("""COMPUTED_VALUE"""),98848)</f>
        <v>98848</v>
      </c>
      <c r="B2496" s="4">
        <f ca="1">IFERROR(__xludf.DUMMYFUNCTION("""COMPUTED_VALUE"""),44712)</f>
        <v>44712</v>
      </c>
      <c r="C2496" t="str">
        <f ca="1">IFERROR(__xludf.DUMMYFUNCTION("""COMPUTED_VALUE"""),"ФГБУ ""ОБЬ-ИРТЫШСКОЕ УГМС"" 178-РДО")</f>
        <v>ФГБУ "ОБЬ-ИРТЫШСКОЕ УГМС" 178-РДО</v>
      </c>
      <c r="D24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6" t="str">
        <f ca="1">IFERROR(__xludf.DUMMYFUNCTION("""COMPUTED_VALUE"""),"Новый")</f>
        <v>Новый</v>
      </c>
      <c r="G2496" s="68"/>
      <c r="K2496" s="68"/>
    </row>
    <row r="2497" spans="1:11" ht="12.75">
      <c r="A2497" s="69">
        <f ca="1">IFERROR(__xludf.DUMMYFUNCTION("""COMPUTED_VALUE"""),98873)</f>
        <v>98873</v>
      </c>
      <c r="B2497" s="4">
        <f ca="1">IFERROR(__xludf.DUMMYFUNCTION("""COMPUTED_VALUE"""),44713)</f>
        <v>44713</v>
      </c>
      <c r="C2497" t="str">
        <f ca="1">IFERROR(__xludf.DUMMYFUNCTION("""COMPUTED_VALUE"""),"УДХБ БУ Г. ОМСКА 114-СТР от 01.01.2022")</f>
        <v>УДХБ БУ Г. ОМСКА 114-СТР от 01.01.2022</v>
      </c>
      <c r="D24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97" t="str">
        <f ca="1">IFERROR(__xludf.DUMMYFUNCTION("""COMPUTED_VALUE"""),"Новый")</f>
        <v>Новый</v>
      </c>
      <c r="G2497" s="68"/>
      <c r="K2497" s="68"/>
    </row>
    <row r="2498" spans="1:11" ht="12.75">
      <c r="A2498" s="69">
        <f ca="1">IFERROR(__xludf.DUMMYFUNCTION("""COMPUTED_VALUE"""),98874)</f>
        <v>98874</v>
      </c>
      <c r="B2498" s="4">
        <f ca="1">IFERROR(__xludf.DUMMYFUNCTION("""COMPUTED_VALUE"""),44713)</f>
        <v>44713</v>
      </c>
      <c r="C2498" t="str">
        <f ca="1">IFERROR(__xludf.DUMMYFUNCTION("""COMPUTED_VALUE"""),"УДХБ БУ Г. ОМСКА 114-СТР от 01.01.2022")</f>
        <v>УДХБ БУ Г. ОМСКА 114-СТР от 01.01.2022</v>
      </c>
      <c r="D24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498" t="str">
        <f ca="1">IFERROR(__xludf.DUMMYFUNCTION("""COMPUTED_VALUE"""),"Новый")</f>
        <v>Новый</v>
      </c>
      <c r="G2498" s="68"/>
      <c r="K2498" s="68"/>
    </row>
    <row r="2499" spans="1:11" ht="12.75">
      <c r="A2499" s="69">
        <f ca="1">IFERROR(__xludf.DUMMYFUNCTION("""COMPUTED_VALUE"""),98924)</f>
        <v>98924</v>
      </c>
      <c r="B2499" s="4">
        <f ca="1">IFERROR(__xludf.DUMMYFUNCTION("""COMPUTED_VALUE"""),44713)</f>
        <v>44713</v>
      </c>
      <c r="C2499" t="str">
        <f ca="1">IFERROR(__xludf.DUMMYFUNCTION("""COMPUTED_VALUE"""),"УДХБ БУ Г. ОМСКА 126-РДО от 01.01.2022")</f>
        <v>УДХБ БУ Г. ОМСКА 126-РДО от 01.01.2022</v>
      </c>
      <c r="D24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499" t="str">
        <f ca="1">IFERROR(__xludf.DUMMYFUNCTION("""COMPUTED_VALUE"""),"Новый")</f>
        <v>Новый</v>
      </c>
      <c r="G2499" s="68"/>
      <c r="K2499" s="68"/>
    </row>
    <row r="2500" spans="1:11" ht="12.75">
      <c r="A2500" s="69">
        <f ca="1">IFERROR(__xludf.DUMMYFUNCTION("""COMPUTED_VALUE"""),98925)</f>
        <v>98925</v>
      </c>
      <c r="B2500" s="4">
        <f ca="1">IFERROR(__xludf.DUMMYFUNCTION("""COMPUTED_VALUE"""),44713)</f>
        <v>44713</v>
      </c>
      <c r="C2500" t="str">
        <f ca="1">IFERROR(__xludf.DUMMYFUNCTION("""COMPUTED_VALUE"""),"УДХБ БУ Г. ОМСКА 126-РДО от 01.01.2022")</f>
        <v>УДХБ БУ Г. ОМСКА 126-РДО от 01.01.2022</v>
      </c>
      <c r="D25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0" t="str">
        <f ca="1">IFERROR(__xludf.DUMMYFUNCTION("""COMPUTED_VALUE"""),"Новый")</f>
        <v>Новый</v>
      </c>
      <c r="G2500" s="68"/>
      <c r="K2500" s="68"/>
    </row>
    <row r="2501" spans="1:11" ht="12.75">
      <c r="A2501" s="69">
        <f ca="1">IFERROR(__xludf.DUMMYFUNCTION("""COMPUTED_VALUE"""),98926)</f>
        <v>98926</v>
      </c>
      <c r="B2501" s="4">
        <f ca="1">IFERROR(__xludf.DUMMYFUNCTION("""COMPUTED_VALUE"""),44713)</f>
        <v>44713</v>
      </c>
      <c r="C2501" t="str">
        <f ca="1">IFERROR(__xludf.DUMMYFUNCTION("""COMPUTED_VALUE"""),"УДХБ БУ Г. ОМСКА 126-РДО от 01.01.2022")</f>
        <v>УДХБ БУ Г. ОМСКА 126-РДО от 01.01.2022</v>
      </c>
      <c r="D25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1" t="str">
        <f ca="1">IFERROR(__xludf.DUMMYFUNCTION("""COMPUTED_VALUE"""),"Новый")</f>
        <v>Новый</v>
      </c>
      <c r="G2501" s="68"/>
      <c r="K2501" s="68"/>
    </row>
    <row r="2502" spans="1:11" ht="12.75">
      <c r="A2502" s="69">
        <f ca="1">IFERROR(__xludf.DUMMYFUNCTION("""COMPUTED_VALUE"""),98927)</f>
        <v>98927</v>
      </c>
      <c r="B2502" s="4">
        <f ca="1">IFERROR(__xludf.DUMMYFUNCTION("""COMPUTED_VALUE"""),44713)</f>
        <v>44713</v>
      </c>
      <c r="C2502" t="str">
        <f ca="1">IFERROR(__xludf.DUMMYFUNCTION("""COMPUTED_VALUE"""),"УДХБ БУ Г. ОМСКА 126-РДО от 01.01.2022")</f>
        <v>УДХБ БУ Г. ОМСКА 126-РДО от 01.01.2022</v>
      </c>
      <c r="D25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2" t="str">
        <f ca="1">IFERROR(__xludf.DUMMYFUNCTION("""COMPUTED_VALUE"""),"Новый")</f>
        <v>Новый</v>
      </c>
      <c r="G2502" s="68"/>
      <c r="K2502" s="68"/>
    </row>
    <row r="2503" spans="1:11" ht="12.75">
      <c r="A2503" s="69">
        <f ca="1">IFERROR(__xludf.DUMMYFUNCTION("""COMPUTED_VALUE"""),98928)</f>
        <v>98928</v>
      </c>
      <c r="B2503" s="4">
        <f ca="1">IFERROR(__xludf.DUMMYFUNCTION("""COMPUTED_VALUE"""),44713)</f>
        <v>44713</v>
      </c>
      <c r="C2503" t="str">
        <f ca="1">IFERROR(__xludf.DUMMYFUNCTION("""COMPUTED_VALUE"""),"УДХБ БУ Г. ОМСКА 126-РДО от 01.01.2022")</f>
        <v>УДХБ БУ Г. ОМСКА 126-РДО от 01.01.2022</v>
      </c>
      <c r="D25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3" t="str">
        <f ca="1">IFERROR(__xludf.DUMMYFUNCTION("""COMPUTED_VALUE"""),"Новый")</f>
        <v>Новый</v>
      </c>
      <c r="G2503" s="68"/>
      <c r="K2503" s="68"/>
    </row>
    <row r="2504" spans="1:11" ht="12.75">
      <c r="A2504" s="69">
        <f ca="1">IFERROR(__xludf.DUMMYFUNCTION("""COMPUTED_VALUE"""),98929)</f>
        <v>98929</v>
      </c>
      <c r="B2504" s="4">
        <f ca="1">IFERROR(__xludf.DUMMYFUNCTION("""COMPUTED_VALUE"""),44713)</f>
        <v>44713</v>
      </c>
      <c r="C2504" t="str">
        <f ca="1">IFERROR(__xludf.DUMMYFUNCTION("""COMPUTED_VALUE"""),"УДХБ БУ Г. ОМСКА 126-РДО от 01.01.2022")</f>
        <v>УДХБ БУ Г. ОМСКА 126-РДО от 01.01.2022</v>
      </c>
      <c r="D25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4" t="str">
        <f ca="1">IFERROR(__xludf.DUMMYFUNCTION("""COMPUTED_VALUE"""),"Новый")</f>
        <v>Новый</v>
      </c>
      <c r="G2504" s="68"/>
      <c r="K2504" s="68"/>
    </row>
    <row r="2505" spans="1:11" ht="12.75">
      <c r="A2505" s="69">
        <f ca="1">IFERROR(__xludf.DUMMYFUNCTION("""COMPUTED_VALUE"""),98938)</f>
        <v>98938</v>
      </c>
      <c r="B2505" s="4">
        <f ca="1">IFERROR(__xludf.DUMMYFUNCTION("""COMPUTED_VALUE"""),44713)</f>
        <v>44713</v>
      </c>
      <c r="C2505" t="str">
        <f ca="1">IFERROR(__xludf.DUMMYFUNCTION("""COMPUTED_VALUE"""),"УДХБ БУ Г. ОМСКА 126-РДО от 01.01.2022")</f>
        <v>УДХБ БУ Г. ОМСКА 126-РДО от 01.01.2022</v>
      </c>
      <c r="D25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5" t="str">
        <f ca="1">IFERROR(__xludf.DUMMYFUNCTION("""COMPUTED_VALUE"""),"Новый")</f>
        <v>Новый</v>
      </c>
      <c r="G2505" s="68"/>
      <c r="K2505" s="68"/>
    </row>
    <row r="2506" spans="1:11" ht="12.75">
      <c r="A2506" s="69">
        <f ca="1">IFERROR(__xludf.DUMMYFUNCTION("""COMPUTED_VALUE"""),98979)</f>
        <v>98979</v>
      </c>
      <c r="B2506" s="4">
        <f ca="1">IFERROR(__xludf.DUMMYFUNCTION("""COMPUTED_VALUE"""),44713)</f>
        <v>44713</v>
      </c>
      <c r="C2506" t="str">
        <f ca="1">IFERROR(__xludf.DUMMYFUNCTION("""COMPUTED_VALUE"""),"УДХБ БУ Г. ОМСКА 114-СТР от 01.01.2022")</f>
        <v>УДХБ БУ Г. ОМСКА 114-СТР от 01.01.2022</v>
      </c>
      <c r="D25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06" t="str">
        <f ca="1">IFERROR(__xludf.DUMMYFUNCTION("""COMPUTED_VALUE"""),"Новый")</f>
        <v>Новый</v>
      </c>
      <c r="G2506" s="68"/>
      <c r="K2506" s="68"/>
    </row>
    <row r="2507" spans="1:11" ht="12.75">
      <c r="A2507" s="69">
        <f ca="1">IFERROR(__xludf.DUMMYFUNCTION("""COMPUTED_VALUE"""),99042)</f>
        <v>99042</v>
      </c>
      <c r="B2507" s="4">
        <f ca="1">IFERROR(__xludf.DUMMYFUNCTION("""COMPUTED_VALUE"""),44713)</f>
        <v>44713</v>
      </c>
      <c r="C2507" t="str">
        <f ca="1">IFERROR(__xludf.DUMMYFUNCTION("""COMPUTED_VALUE"""),"УДХБ БУ Г. ОМСКА 126-РДО от 01.01.2022")</f>
        <v>УДХБ БУ Г. ОМСКА 126-РДО от 01.01.2022</v>
      </c>
      <c r="D25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7" t="str">
        <f ca="1">IFERROR(__xludf.DUMMYFUNCTION("""COMPUTED_VALUE"""),"Новый")</f>
        <v>Новый</v>
      </c>
      <c r="G2507" s="68"/>
      <c r="K2507" s="68"/>
    </row>
    <row r="2508" spans="1:11" ht="12.75">
      <c r="A2508" s="69">
        <f ca="1">IFERROR(__xludf.DUMMYFUNCTION("""COMPUTED_VALUE"""),99064)</f>
        <v>99064</v>
      </c>
      <c r="B2508" s="4">
        <f ca="1">IFERROR(__xludf.DUMMYFUNCTION("""COMPUTED_VALUE"""),44713)</f>
        <v>44713</v>
      </c>
      <c r="C2508" t="str">
        <f ca="1">IFERROR(__xludf.DUMMYFUNCTION("""COMPUTED_VALUE"""),"ДЕТСКИЙ САД № 186 ОАО ""РЖД"" 188-РДО от 01.06.2022")</f>
        <v>ДЕТСКИЙ САД № 186 ОАО "РЖД" 188-РДО от 01.06.2022</v>
      </c>
      <c r="D25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8" t="str">
        <f ca="1">IFERROR(__xludf.DUMMYFUNCTION("""COMPUTED_VALUE"""),"Новый")</f>
        <v>Новый</v>
      </c>
      <c r="G2508" s="68"/>
      <c r="K2508" s="68"/>
    </row>
    <row r="2509" spans="1:11" ht="12.75">
      <c r="A2509" s="69">
        <f ca="1">IFERROR(__xludf.DUMMYFUNCTION("""COMPUTED_VALUE"""),99065)</f>
        <v>99065</v>
      </c>
      <c r="B2509" s="4">
        <f ca="1">IFERROR(__xludf.DUMMYFUNCTION("""COMPUTED_VALUE"""),44713)</f>
        <v>44713</v>
      </c>
      <c r="C2509" t="str">
        <f ca="1">IFERROR(__xludf.DUMMYFUNCTION("""COMPUTED_VALUE"""),"ДЕТСКИЙ САД № 186 ОАО ""РЖД"" 188-РДО от 01.06.2022")</f>
        <v>ДЕТСКИЙ САД № 186 ОАО "РЖД" 188-РДО от 01.06.2022</v>
      </c>
      <c r="D25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09" t="str">
        <f ca="1">IFERROR(__xludf.DUMMYFUNCTION("""COMPUTED_VALUE"""),"Новый")</f>
        <v>Новый</v>
      </c>
      <c r="G2509" s="68"/>
      <c r="K2509" s="68"/>
    </row>
    <row r="2510" spans="1:11" ht="12.75">
      <c r="A2510" s="69">
        <f ca="1">IFERROR(__xludf.DUMMYFUNCTION("""COMPUTED_VALUE"""),99066)</f>
        <v>99066</v>
      </c>
      <c r="B2510" s="4">
        <f ca="1">IFERROR(__xludf.DUMMYFUNCTION("""COMPUTED_VALUE"""),44713)</f>
        <v>44713</v>
      </c>
      <c r="C2510" t="str">
        <f ca="1">IFERROR(__xludf.DUMMYFUNCTION("""COMPUTED_VALUE"""),"ДЕТСКИЙ САД № 186 ОАО ""РЖД"" 188-РДО от 01.06.2022")</f>
        <v>ДЕТСКИЙ САД № 186 ОАО "РЖД" 188-РДО от 01.06.2022</v>
      </c>
      <c r="D25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0" t="str">
        <f ca="1">IFERROR(__xludf.DUMMYFUNCTION("""COMPUTED_VALUE"""),"Новый")</f>
        <v>Новый</v>
      </c>
      <c r="G2510" s="68"/>
      <c r="K2510" s="68"/>
    </row>
    <row r="2511" spans="1:11" ht="12.75">
      <c r="A2511" s="69">
        <f ca="1">IFERROR(__xludf.DUMMYFUNCTION("""COMPUTED_VALUE"""),99067)</f>
        <v>99067</v>
      </c>
      <c r="B2511" s="4">
        <f ca="1">IFERROR(__xludf.DUMMYFUNCTION("""COMPUTED_VALUE"""),44713)</f>
        <v>44713</v>
      </c>
      <c r="C2511" t="str">
        <f ca="1">IFERROR(__xludf.DUMMYFUNCTION("""COMPUTED_VALUE"""),"ДЕТСКИЙ САД № 186 ОАО ""РЖД"" 188-РДО от 01.06.2022")</f>
        <v>ДЕТСКИЙ САД № 186 ОАО "РЖД" 188-РДО от 01.06.2022</v>
      </c>
      <c r="D25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1" t="str">
        <f ca="1">IFERROR(__xludf.DUMMYFUNCTION("""COMPUTED_VALUE"""),"Новый")</f>
        <v>Новый</v>
      </c>
      <c r="G2511" s="68"/>
      <c r="K2511" s="68"/>
    </row>
    <row r="2512" spans="1:11" ht="12.75">
      <c r="A2512" s="69">
        <f ca="1">IFERROR(__xludf.DUMMYFUNCTION("""COMPUTED_VALUE"""),99068)</f>
        <v>99068</v>
      </c>
      <c r="B2512" s="4">
        <f ca="1">IFERROR(__xludf.DUMMYFUNCTION("""COMPUTED_VALUE"""),44713)</f>
        <v>44713</v>
      </c>
      <c r="C2512" t="str">
        <f ca="1">IFERROR(__xludf.DUMMYFUNCTION("""COMPUTED_VALUE"""),"ДЕТСКИЙ САД № 186 ОАО ""РЖД"" 188-РДО от 01.06.2022")</f>
        <v>ДЕТСКИЙ САД № 186 ОАО "РЖД" 188-РДО от 01.06.2022</v>
      </c>
      <c r="D25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2" t="str">
        <f ca="1">IFERROR(__xludf.DUMMYFUNCTION("""COMPUTED_VALUE"""),"Новый")</f>
        <v>Новый</v>
      </c>
      <c r="G2512" s="68"/>
      <c r="K2512" s="68"/>
    </row>
    <row r="2513" spans="1:11" ht="12.75">
      <c r="A2513" s="69">
        <f ca="1">IFERROR(__xludf.DUMMYFUNCTION("""COMPUTED_VALUE"""),99069)</f>
        <v>99069</v>
      </c>
      <c r="B2513" s="4">
        <f ca="1">IFERROR(__xludf.DUMMYFUNCTION("""COMPUTED_VALUE"""),44713)</f>
        <v>44713</v>
      </c>
      <c r="C2513" t="str">
        <f ca="1">IFERROR(__xludf.DUMMYFUNCTION("""COMPUTED_VALUE"""),"ДЕТСКИЙ САД № 186 ОАО ""РЖД"" 188-РДО от 01.06.2022")</f>
        <v>ДЕТСКИЙ САД № 186 ОАО "РЖД" 188-РДО от 01.06.2022</v>
      </c>
      <c r="D25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3" t="str">
        <f ca="1">IFERROR(__xludf.DUMMYFUNCTION("""COMPUTED_VALUE"""),"Новый")</f>
        <v>Новый</v>
      </c>
      <c r="G2513" s="68"/>
      <c r="K2513" s="68"/>
    </row>
    <row r="2514" spans="1:11" ht="12.75">
      <c r="A2514" s="69">
        <f ca="1">IFERROR(__xludf.DUMMYFUNCTION("""COMPUTED_VALUE"""),99070)</f>
        <v>99070</v>
      </c>
      <c r="B2514" s="4">
        <f ca="1">IFERROR(__xludf.DUMMYFUNCTION("""COMPUTED_VALUE"""),44713)</f>
        <v>44713</v>
      </c>
      <c r="C2514" t="str">
        <f ca="1">IFERROR(__xludf.DUMMYFUNCTION("""COMPUTED_VALUE"""),"ДЕТСКИЙ САД № 186 ОАО ""РЖД"" 188-РДО от 01.06.2022")</f>
        <v>ДЕТСКИЙ САД № 186 ОАО "РЖД" 188-РДО от 01.06.2022</v>
      </c>
      <c r="D25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4" t="str">
        <f ca="1">IFERROR(__xludf.DUMMYFUNCTION("""COMPUTED_VALUE"""),"Новый")</f>
        <v>Новый</v>
      </c>
      <c r="G2514" s="68"/>
      <c r="K2514" s="68"/>
    </row>
    <row r="2515" spans="1:11" ht="12.75">
      <c r="A2515" s="69">
        <f ca="1">IFERROR(__xludf.DUMMYFUNCTION("""COMPUTED_VALUE"""),99071)</f>
        <v>99071</v>
      </c>
      <c r="B2515" s="4">
        <f ca="1">IFERROR(__xludf.DUMMYFUNCTION("""COMPUTED_VALUE"""),44713)</f>
        <v>44713</v>
      </c>
      <c r="C2515" t="str">
        <f ca="1">IFERROR(__xludf.DUMMYFUNCTION("""COMPUTED_VALUE"""),"ДЕТСКИЙ САД № 186 ОАО ""РЖД"" 188-РДО от 01.06.2022")</f>
        <v>ДЕТСКИЙ САД № 186 ОАО "РЖД" 188-РДО от 01.06.2022</v>
      </c>
      <c r="D25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5" t="str">
        <f ca="1">IFERROR(__xludf.DUMMYFUNCTION("""COMPUTED_VALUE"""),"Новый")</f>
        <v>Новый</v>
      </c>
      <c r="G2515" s="68"/>
      <c r="K2515" s="68"/>
    </row>
    <row r="2516" spans="1:11" ht="12.75">
      <c r="A2516" s="69">
        <f ca="1">IFERROR(__xludf.DUMMYFUNCTION("""COMPUTED_VALUE"""),99072)</f>
        <v>99072</v>
      </c>
      <c r="B2516" s="4">
        <f ca="1">IFERROR(__xludf.DUMMYFUNCTION("""COMPUTED_VALUE"""),44713)</f>
        <v>44713</v>
      </c>
      <c r="C2516" t="str">
        <f ca="1">IFERROR(__xludf.DUMMYFUNCTION("""COMPUTED_VALUE"""),"ДЕТСКИЙ САД № 186 ОАО ""РЖД"" 188-РДО от 01.06.2022")</f>
        <v>ДЕТСКИЙ САД № 186 ОАО "РЖД" 188-РДО от 01.06.2022</v>
      </c>
      <c r="D25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6" t="str">
        <f ca="1">IFERROR(__xludf.DUMMYFUNCTION("""COMPUTED_VALUE"""),"Новый")</f>
        <v>Новый</v>
      </c>
      <c r="G2516" s="68"/>
      <c r="K2516" s="68"/>
    </row>
    <row r="2517" spans="1:11" ht="12.75">
      <c r="A2517" s="69">
        <f ca="1">IFERROR(__xludf.DUMMYFUNCTION("""COMPUTED_VALUE"""),99073)</f>
        <v>99073</v>
      </c>
      <c r="B2517" s="4">
        <f ca="1">IFERROR(__xludf.DUMMYFUNCTION("""COMPUTED_VALUE"""),44713)</f>
        <v>44713</v>
      </c>
      <c r="C2517" t="str">
        <f ca="1">IFERROR(__xludf.DUMMYFUNCTION("""COMPUTED_VALUE"""),"ДЕТСКИЙ САД № 186 ОАО ""РЖД"" 188-РДО от 01.06.2022")</f>
        <v>ДЕТСКИЙ САД № 186 ОАО "РЖД" 188-РДО от 01.06.2022</v>
      </c>
      <c r="D25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7" t="str">
        <f ca="1">IFERROR(__xludf.DUMMYFUNCTION("""COMPUTED_VALUE"""),"Новый")</f>
        <v>Новый</v>
      </c>
      <c r="G2517" s="68"/>
      <c r="K2517" s="68"/>
    </row>
    <row r="2518" spans="1:11" ht="12.75">
      <c r="A2518" s="69">
        <f ca="1">IFERROR(__xludf.DUMMYFUNCTION("""COMPUTED_VALUE"""),99074)</f>
        <v>99074</v>
      </c>
      <c r="B2518" s="4">
        <f ca="1">IFERROR(__xludf.DUMMYFUNCTION("""COMPUTED_VALUE"""),44713)</f>
        <v>44713</v>
      </c>
      <c r="C2518" t="str">
        <f ca="1">IFERROR(__xludf.DUMMYFUNCTION("""COMPUTED_VALUE"""),"ДЕТСКИЙ САД № 186 ОАО ""РЖД"" 188-РДО от 01.06.2022")</f>
        <v>ДЕТСКИЙ САД № 186 ОАО "РЖД" 188-РДО от 01.06.2022</v>
      </c>
      <c r="D25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8" t="str">
        <f ca="1">IFERROR(__xludf.DUMMYFUNCTION("""COMPUTED_VALUE"""),"Новый")</f>
        <v>Новый</v>
      </c>
      <c r="G2518" s="68"/>
      <c r="K2518" s="68"/>
    </row>
    <row r="2519" spans="1:11" ht="12.75">
      <c r="A2519" s="69">
        <f ca="1">IFERROR(__xludf.DUMMYFUNCTION("""COMPUTED_VALUE"""),99075)</f>
        <v>99075</v>
      </c>
      <c r="B2519" s="4">
        <f ca="1">IFERROR(__xludf.DUMMYFUNCTION("""COMPUTED_VALUE"""),44713)</f>
        <v>44713</v>
      </c>
      <c r="C2519" t="str">
        <f ca="1">IFERROR(__xludf.DUMMYFUNCTION("""COMPUTED_VALUE"""),"ДЕТСКИЙ САД № 186 ОАО ""РЖД"" 188-РДО от 01.06.2022")</f>
        <v>ДЕТСКИЙ САД № 186 ОАО "РЖД" 188-РДО от 01.06.2022</v>
      </c>
      <c r="D25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19" t="str">
        <f ca="1">IFERROR(__xludf.DUMMYFUNCTION("""COMPUTED_VALUE"""),"Новый")</f>
        <v>Новый</v>
      </c>
      <c r="G2519" s="68"/>
      <c r="K2519" s="68"/>
    </row>
    <row r="2520" spans="1:11" ht="12.75">
      <c r="A2520" s="69">
        <f ca="1">IFERROR(__xludf.DUMMYFUNCTION("""COMPUTED_VALUE"""),99076)</f>
        <v>99076</v>
      </c>
      <c r="B2520" s="4">
        <f ca="1">IFERROR(__xludf.DUMMYFUNCTION("""COMPUTED_VALUE"""),44713)</f>
        <v>44713</v>
      </c>
      <c r="C2520" t="str">
        <f ca="1">IFERROR(__xludf.DUMMYFUNCTION("""COMPUTED_VALUE"""),"ДЕТСКИЙ САД № 186 ОАО ""РЖД"" 188-РДО от 01.06.2022")</f>
        <v>ДЕТСКИЙ САД № 186 ОАО "РЖД" 188-РДО от 01.06.2022</v>
      </c>
      <c r="D25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0" t="str">
        <f ca="1">IFERROR(__xludf.DUMMYFUNCTION("""COMPUTED_VALUE"""),"Новый")</f>
        <v>Новый</v>
      </c>
      <c r="G2520" s="68"/>
      <c r="K2520" s="68"/>
    </row>
    <row r="2521" spans="1:11" ht="12.75">
      <c r="A2521" s="69">
        <f ca="1">IFERROR(__xludf.DUMMYFUNCTION("""COMPUTED_VALUE"""),99077)</f>
        <v>99077</v>
      </c>
      <c r="B2521" s="4">
        <f ca="1">IFERROR(__xludf.DUMMYFUNCTION("""COMPUTED_VALUE"""),44713)</f>
        <v>44713</v>
      </c>
      <c r="C2521" t="str">
        <f ca="1">IFERROR(__xludf.DUMMYFUNCTION("""COMPUTED_VALUE"""),"ДЕТСКИЙ САД № 186 ОАО ""РЖД"" 188-РДО от 01.06.2022")</f>
        <v>ДЕТСКИЙ САД № 186 ОАО "РЖД" 188-РДО от 01.06.2022</v>
      </c>
      <c r="D25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1" t="str">
        <f ca="1">IFERROR(__xludf.DUMMYFUNCTION("""COMPUTED_VALUE"""),"Новый")</f>
        <v>Новый</v>
      </c>
      <c r="G2521" s="68"/>
      <c r="K2521" s="68"/>
    </row>
    <row r="2522" spans="1:11" ht="12.75">
      <c r="A2522" s="69">
        <f ca="1">IFERROR(__xludf.DUMMYFUNCTION("""COMPUTED_VALUE"""),99078)</f>
        <v>99078</v>
      </c>
      <c r="B2522" s="4">
        <f ca="1">IFERROR(__xludf.DUMMYFUNCTION("""COMPUTED_VALUE"""),44713)</f>
        <v>44713</v>
      </c>
      <c r="C2522" t="str">
        <f ca="1">IFERROR(__xludf.DUMMYFUNCTION("""COMPUTED_VALUE"""),"ДЕТСКИЙ САД № 186 ОАО ""РЖД"" 188-РДО от 01.06.2022")</f>
        <v>ДЕТСКИЙ САД № 186 ОАО "РЖД" 188-РДО от 01.06.2022</v>
      </c>
      <c r="D25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2" t="str">
        <f ca="1">IFERROR(__xludf.DUMMYFUNCTION("""COMPUTED_VALUE"""),"Новый")</f>
        <v>Новый</v>
      </c>
      <c r="G2522" s="68"/>
      <c r="K2522" s="68"/>
    </row>
    <row r="2523" spans="1:11" ht="12.75">
      <c r="A2523" s="69">
        <f ca="1">IFERROR(__xludf.DUMMYFUNCTION("""COMPUTED_VALUE"""),99079)</f>
        <v>99079</v>
      </c>
      <c r="B2523" s="4">
        <f ca="1">IFERROR(__xludf.DUMMYFUNCTION("""COMPUTED_VALUE"""),44713)</f>
        <v>44713</v>
      </c>
      <c r="C2523" t="str">
        <f ca="1">IFERROR(__xludf.DUMMYFUNCTION("""COMPUTED_VALUE"""),"ДЕТСКИЙ САД № 186 ОАО ""РЖД"" 188-РДО от 01.06.2022")</f>
        <v>ДЕТСКИЙ САД № 186 ОАО "РЖД" 188-РДО от 01.06.2022</v>
      </c>
      <c r="D25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3" t="str">
        <f ca="1">IFERROR(__xludf.DUMMYFUNCTION("""COMPUTED_VALUE"""),"Новый")</f>
        <v>Новый</v>
      </c>
      <c r="G2523" s="68"/>
      <c r="K2523" s="68"/>
    </row>
    <row r="2524" spans="1:11" ht="12.75">
      <c r="A2524" s="69">
        <f ca="1">IFERROR(__xludf.DUMMYFUNCTION("""COMPUTED_VALUE"""),99082)</f>
        <v>99082</v>
      </c>
      <c r="B2524" s="4">
        <f ca="1">IFERROR(__xludf.DUMMYFUNCTION("""COMPUTED_VALUE"""),44713)</f>
        <v>44713</v>
      </c>
      <c r="C2524" t="str">
        <f ca="1">IFERROR(__xludf.DUMMYFUNCTION("""COMPUTED_VALUE"""),"ДЕТСКИЙ САД № 186 ОАО ""РЖД"" 188-РДО от 01.06.2022")</f>
        <v>ДЕТСКИЙ САД № 186 ОАО "РЖД" 188-РДО от 01.06.2022</v>
      </c>
      <c r="D25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4" t="str">
        <f ca="1">IFERROR(__xludf.DUMMYFUNCTION("""COMPUTED_VALUE"""),"Новый")</f>
        <v>Новый</v>
      </c>
      <c r="G2524" s="68"/>
      <c r="K2524" s="68"/>
    </row>
    <row r="2525" spans="1:11" ht="12.75">
      <c r="A2525" s="69">
        <f ca="1">IFERROR(__xludf.DUMMYFUNCTION("""COMPUTED_VALUE"""),99084)</f>
        <v>99084</v>
      </c>
      <c r="B2525" s="4">
        <f ca="1">IFERROR(__xludf.DUMMYFUNCTION("""COMPUTED_VALUE"""),44714)</f>
        <v>44714</v>
      </c>
      <c r="C2525" t="str">
        <f ca="1">IFERROR(__xludf.DUMMYFUNCTION("""COMPUTED_VALUE"""),"АО ""НПП""ЭТАЛОН"" 186-РДО от 27.05.2022")</f>
        <v>АО "НПП"ЭТАЛОН" 186-РДО от 27.05.2022</v>
      </c>
      <c r="D25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5" t="str">
        <f ca="1">IFERROR(__xludf.DUMMYFUNCTION("""COMPUTED_VALUE"""),"Новый")</f>
        <v>Новый</v>
      </c>
      <c r="G2525" s="68"/>
      <c r="K2525" s="68"/>
    </row>
    <row r="2526" spans="1:11" ht="12.75">
      <c r="A2526" s="69">
        <f ca="1">IFERROR(__xludf.DUMMYFUNCTION("""COMPUTED_VALUE"""),99085)</f>
        <v>99085</v>
      </c>
      <c r="B2526" s="4">
        <f ca="1">IFERROR(__xludf.DUMMYFUNCTION("""COMPUTED_VALUE"""),44714)</f>
        <v>44714</v>
      </c>
      <c r="C2526" t="str">
        <f ca="1">IFERROR(__xludf.DUMMYFUNCTION("""COMPUTED_VALUE"""),"АО ""НПП""ЭТАЛОН"" 186-РДО от 27.05.2022")</f>
        <v>АО "НПП"ЭТАЛОН" 186-РДО от 27.05.2022</v>
      </c>
      <c r="D25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6" t="str">
        <f ca="1">IFERROR(__xludf.DUMMYFUNCTION("""COMPUTED_VALUE"""),"Новый")</f>
        <v>Новый</v>
      </c>
      <c r="G2526" s="68"/>
      <c r="K2526" s="68"/>
    </row>
    <row r="2527" spans="1:11" ht="12.75">
      <c r="A2527" s="69">
        <f ca="1">IFERROR(__xludf.DUMMYFUNCTION("""COMPUTED_VALUE"""),99086)</f>
        <v>99086</v>
      </c>
      <c r="B2527" s="4">
        <f ca="1">IFERROR(__xludf.DUMMYFUNCTION("""COMPUTED_VALUE"""),44714)</f>
        <v>44714</v>
      </c>
      <c r="C2527" t="str">
        <f ca="1">IFERROR(__xludf.DUMMYFUNCTION("""COMPUTED_VALUE"""),"АО ""НПП""ЭТАЛОН"" 186-РДО от 27.05.2022")</f>
        <v>АО "НПП"ЭТАЛОН" 186-РДО от 27.05.2022</v>
      </c>
      <c r="D25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7" t="str">
        <f ca="1">IFERROR(__xludf.DUMMYFUNCTION("""COMPUTED_VALUE"""),"Новый")</f>
        <v>Новый</v>
      </c>
      <c r="G2527" s="68"/>
      <c r="K2527" s="68"/>
    </row>
    <row r="2528" spans="1:11" ht="12.75">
      <c r="A2528" s="69">
        <f ca="1">IFERROR(__xludf.DUMMYFUNCTION("""COMPUTED_VALUE"""),99087)</f>
        <v>99087</v>
      </c>
      <c r="B2528" s="4">
        <f ca="1">IFERROR(__xludf.DUMMYFUNCTION("""COMPUTED_VALUE"""),44714)</f>
        <v>44714</v>
      </c>
      <c r="C2528" t="str">
        <f ca="1">IFERROR(__xludf.DUMMYFUNCTION("""COMPUTED_VALUE"""),"АО ""НПП""ЭТАЛОН"" 186-РДО от 27.05.2022")</f>
        <v>АО "НПП"ЭТАЛОН" 186-РДО от 27.05.2022</v>
      </c>
      <c r="D25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8" t="str">
        <f ca="1">IFERROR(__xludf.DUMMYFUNCTION("""COMPUTED_VALUE"""),"Новый")</f>
        <v>Новый</v>
      </c>
      <c r="G2528" s="68"/>
      <c r="K2528" s="68"/>
    </row>
    <row r="2529" spans="1:11" ht="12.75">
      <c r="A2529" s="69">
        <f ca="1">IFERROR(__xludf.DUMMYFUNCTION("""COMPUTED_VALUE"""),99088)</f>
        <v>99088</v>
      </c>
      <c r="B2529" s="4">
        <f ca="1">IFERROR(__xludf.DUMMYFUNCTION("""COMPUTED_VALUE"""),44714)</f>
        <v>44714</v>
      </c>
      <c r="C2529" t="str">
        <f ca="1">IFERROR(__xludf.DUMMYFUNCTION("""COMPUTED_VALUE"""),"АО ""НПП""ЭТАЛОН"" 186-РДО от 27.05.2022")</f>
        <v>АО "НПП"ЭТАЛОН" 186-РДО от 27.05.2022</v>
      </c>
      <c r="D25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29" t="str">
        <f ca="1">IFERROR(__xludf.DUMMYFUNCTION("""COMPUTED_VALUE"""),"Новый")</f>
        <v>Новый</v>
      </c>
      <c r="G2529" s="68"/>
      <c r="K2529" s="68"/>
    </row>
    <row r="2530" spans="1:11" ht="12.75">
      <c r="A2530" s="69">
        <f ca="1">IFERROR(__xludf.DUMMYFUNCTION("""COMPUTED_VALUE"""),99089)</f>
        <v>99089</v>
      </c>
      <c r="B2530" s="4">
        <f ca="1">IFERROR(__xludf.DUMMYFUNCTION("""COMPUTED_VALUE"""),44714)</f>
        <v>44714</v>
      </c>
      <c r="C2530" t="str">
        <f ca="1">IFERROR(__xludf.DUMMYFUNCTION("""COMPUTED_VALUE"""),"АО ""НПП""ЭТАЛОН"" 186-РДО от 27.05.2022")</f>
        <v>АО "НПП"ЭТАЛОН" 186-РДО от 27.05.2022</v>
      </c>
      <c r="D25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0" t="str">
        <f ca="1">IFERROR(__xludf.DUMMYFUNCTION("""COMPUTED_VALUE"""),"Новый")</f>
        <v>Новый</v>
      </c>
      <c r="G2530" s="68"/>
      <c r="K2530" s="68"/>
    </row>
    <row r="2531" spans="1:11" ht="12.75">
      <c r="A2531" s="69">
        <f ca="1">IFERROR(__xludf.DUMMYFUNCTION("""COMPUTED_VALUE"""),99090)</f>
        <v>99090</v>
      </c>
      <c r="B2531" s="4">
        <f ca="1">IFERROR(__xludf.DUMMYFUNCTION("""COMPUTED_VALUE"""),44714)</f>
        <v>44714</v>
      </c>
      <c r="C2531" t="str">
        <f ca="1">IFERROR(__xludf.DUMMYFUNCTION("""COMPUTED_VALUE"""),"АО ""НПП""ЭТАЛОН"" 186-РДО от 27.05.2022")</f>
        <v>АО "НПП"ЭТАЛОН" 186-РДО от 27.05.2022</v>
      </c>
      <c r="D25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1" t="str">
        <f ca="1">IFERROR(__xludf.DUMMYFUNCTION("""COMPUTED_VALUE"""),"Новый")</f>
        <v>Новый</v>
      </c>
      <c r="G2531" s="68"/>
      <c r="K2531" s="68"/>
    </row>
    <row r="2532" spans="1:11" ht="12.75">
      <c r="A2532" s="69">
        <f ca="1">IFERROR(__xludf.DUMMYFUNCTION("""COMPUTED_VALUE"""),99091)</f>
        <v>99091</v>
      </c>
      <c r="B2532" s="4">
        <f ca="1">IFERROR(__xludf.DUMMYFUNCTION("""COMPUTED_VALUE"""),44714)</f>
        <v>44714</v>
      </c>
      <c r="C2532" t="str">
        <f ca="1">IFERROR(__xludf.DUMMYFUNCTION("""COMPUTED_VALUE"""),"АО ""НПП""ЭТАЛОН"" 186-РДО от 27.05.2022")</f>
        <v>АО "НПП"ЭТАЛОН" 186-РДО от 27.05.2022</v>
      </c>
      <c r="D25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2" t="str">
        <f ca="1">IFERROR(__xludf.DUMMYFUNCTION("""COMPUTED_VALUE"""),"Новый")</f>
        <v>Новый</v>
      </c>
      <c r="G2532" s="68"/>
      <c r="K2532" s="68"/>
    </row>
    <row r="2533" spans="1:11" ht="12.75">
      <c r="A2533" s="69">
        <f ca="1">IFERROR(__xludf.DUMMYFUNCTION("""COMPUTED_VALUE"""),99092)</f>
        <v>99092</v>
      </c>
      <c r="B2533" s="4">
        <f ca="1">IFERROR(__xludf.DUMMYFUNCTION("""COMPUTED_VALUE"""),44714)</f>
        <v>44714</v>
      </c>
      <c r="C2533" t="str">
        <f ca="1">IFERROR(__xludf.DUMMYFUNCTION("""COMPUTED_VALUE"""),"АО ""НПП""ЭТАЛОН"" 186-РДО от 27.05.2022")</f>
        <v>АО "НПП"ЭТАЛОН" 186-РДО от 27.05.2022</v>
      </c>
      <c r="D25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3" t="str">
        <f ca="1">IFERROR(__xludf.DUMMYFUNCTION("""COMPUTED_VALUE"""),"Новый")</f>
        <v>Новый</v>
      </c>
      <c r="G2533" s="68"/>
      <c r="K2533" s="68"/>
    </row>
    <row r="2534" spans="1:11" ht="12.75">
      <c r="A2534" s="69">
        <f ca="1">IFERROR(__xludf.DUMMYFUNCTION("""COMPUTED_VALUE"""),99093)</f>
        <v>99093</v>
      </c>
      <c r="B2534" s="4">
        <f ca="1">IFERROR(__xludf.DUMMYFUNCTION("""COMPUTED_VALUE"""),44714)</f>
        <v>44714</v>
      </c>
      <c r="C2534" t="str">
        <f ca="1">IFERROR(__xludf.DUMMYFUNCTION("""COMPUTED_VALUE"""),"АО ""НПП""ЭТАЛОН"" 186-РДО от 27.05.2022")</f>
        <v>АО "НПП"ЭТАЛОН" 186-РДО от 27.05.2022</v>
      </c>
      <c r="D25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4" t="str">
        <f ca="1">IFERROR(__xludf.DUMMYFUNCTION("""COMPUTED_VALUE"""),"Новый")</f>
        <v>Новый</v>
      </c>
      <c r="G2534" s="68"/>
      <c r="K2534" s="68"/>
    </row>
    <row r="2535" spans="1:11" ht="12.75">
      <c r="A2535" s="69">
        <f ca="1">IFERROR(__xludf.DUMMYFUNCTION("""COMPUTED_VALUE"""),99113)</f>
        <v>99113</v>
      </c>
      <c r="B2535" s="4">
        <f ca="1">IFERROR(__xludf.DUMMYFUNCTION("""COMPUTED_VALUE"""),44718)</f>
        <v>44718</v>
      </c>
      <c r="C2535" t="str">
        <f ca="1">IFERROR(__xludf.DUMMYFUNCTION("""COMPUTED_VALUE"""),"ООО ""КВАРЦ ГРУПП"" 183-РДО от 27.05.2022")</f>
        <v>ООО "КВАРЦ ГРУПП" 183-РДО от 27.05.2022</v>
      </c>
      <c r="D25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5" t="str">
        <f ca="1">IFERROR(__xludf.DUMMYFUNCTION("""COMPUTED_VALUE"""),"Новый")</f>
        <v>Новый</v>
      </c>
      <c r="G2535" s="68"/>
      <c r="K2535" s="68"/>
    </row>
    <row r="2536" spans="1:11" ht="12.75">
      <c r="A2536" s="69">
        <f ca="1">IFERROR(__xludf.DUMMYFUNCTION("""COMPUTED_VALUE"""),99114)</f>
        <v>99114</v>
      </c>
      <c r="B2536" s="4">
        <f ca="1">IFERROR(__xludf.DUMMYFUNCTION("""COMPUTED_VALUE"""),44718)</f>
        <v>44718</v>
      </c>
      <c r="C2536" t="str">
        <f ca="1">IFERROR(__xludf.DUMMYFUNCTION("""COMPUTED_VALUE"""),"ООО ""КВАРЦ ГРУПП"" 183-РДО от 27.05.2022")</f>
        <v>ООО "КВАРЦ ГРУПП" 183-РДО от 27.05.2022</v>
      </c>
      <c r="D25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6" t="str">
        <f ca="1">IFERROR(__xludf.DUMMYFUNCTION("""COMPUTED_VALUE"""),"Новый")</f>
        <v>Новый</v>
      </c>
      <c r="G2536" s="68"/>
      <c r="K2536" s="68"/>
    </row>
    <row r="2537" spans="1:11" ht="12.75">
      <c r="A2537" s="69">
        <f ca="1">IFERROR(__xludf.DUMMYFUNCTION("""COMPUTED_VALUE"""),99115)</f>
        <v>99115</v>
      </c>
      <c r="B2537" s="4">
        <f ca="1">IFERROR(__xludf.DUMMYFUNCTION("""COMPUTED_VALUE"""),44718)</f>
        <v>44718</v>
      </c>
      <c r="C2537" t="str">
        <f ca="1">IFERROR(__xludf.DUMMYFUNCTION("""COMPUTED_VALUE"""),"ООО ""КВАРЦ ГРУПП"" 183-РДО от 27.05.2022")</f>
        <v>ООО "КВАРЦ ГРУПП" 183-РДО от 27.05.2022</v>
      </c>
      <c r="D25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7" t="str">
        <f ca="1">IFERROR(__xludf.DUMMYFUNCTION("""COMPUTED_VALUE"""),"Новый")</f>
        <v>Новый</v>
      </c>
      <c r="G2537" s="68"/>
      <c r="K2537" s="68"/>
    </row>
    <row r="2538" spans="1:11" ht="12.75">
      <c r="A2538" s="69">
        <f ca="1">IFERROR(__xludf.DUMMYFUNCTION("""COMPUTED_VALUE"""),99116)</f>
        <v>99116</v>
      </c>
      <c r="B2538" s="4">
        <f ca="1">IFERROR(__xludf.DUMMYFUNCTION("""COMPUTED_VALUE"""),44718)</f>
        <v>44718</v>
      </c>
      <c r="C2538" t="str">
        <f ca="1">IFERROR(__xludf.DUMMYFUNCTION("""COMPUTED_VALUE"""),"ООО ""КВАРЦ ГРУПП"" 183-РДО от 27.05.2022")</f>
        <v>ООО "КВАРЦ ГРУПП" 183-РДО от 27.05.2022</v>
      </c>
      <c r="D25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8" t="str">
        <f ca="1">IFERROR(__xludf.DUMMYFUNCTION("""COMPUTED_VALUE"""),"Новый")</f>
        <v>Новый</v>
      </c>
      <c r="G2538" s="68"/>
      <c r="K2538" s="68"/>
    </row>
    <row r="2539" spans="1:11" ht="12.75">
      <c r="A2539" s="69">
        <f ca="1">IFERROR(__xludf.DUMMYFUNCTION("""COMPUTED_VALUE"""),99117)</f>
        <v>99117</v>
      </c>
      <c r="B2539" s="4">
        <f ca="1">IFERROR(__xludf.DUMMYFUNCTION("""COMPUTED_VALUE"""),44718)</f>
        <v>44718</v>
      </c>
      <c r="C2539" t="str">
        <f ca="1">IFERROR(__xludf.DUMMYFUNCTION("""COMPUTED_VALUE"""),"ООО ""КВАРЦ ГРУПП"" 183-РДО от 27.05.2022")</f>
        <v>ООО "КВАРЦ ГРУПП" 183-РДО от 27.05.2022</v>
      </c>
      <c r="D25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39" t="str">
        <f ca="1">IFERROR(__xludf.DUMMYFUNCTION("""COMPUTED_VALUE"""),"Новый")</f>
        <v>Новый</v>
      </c>
      <c r="G2539" s="68"/>
      <c r="K2539" s="68"/>
    </row>
    <row r="2540" spans="1:11" ht="12.75">
      <c r="A2540" s="69">
        <f ca="1">IFERROR(__xludf.DUMMYFUNCTION("""COMPUTED_VALUE"""),99118)</f>
        <v>99118</v>
      </c>
      <c r="B2540" s="4">
        <f ca="1">IFERROR(__xludf.DUMMYFUNCTION("""COMPUTED_VALUE"""),44718)</f>
        <v>44718</v>
      </c>
      <c r="C2540" t="str">
        <f ca="1">IFERROR(__xludf.DUMMYFUNCTION("""COMPUTED_VALUE"""),"ООО ""КВАРЦ ГРУПП"" 183-РДО от 27.05.2022")</f>
        <v>ООО "КВАРЦ ГРУПП" 183-РДО от 27.05.2022</v>
      </c>
      <c r="D25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0" t="str">
        <f ca="1">IFERROR(__xludf.DUMMYFUNCTION("""COMPUTED_VALUE"""),"Новый")</f>
        <v>Новый</v>
      </c>
      <c r="G2540" s="68"/>
      <c r="K2540" s="68"/>
    </row>
    <row r="2541" spans="1:11" ht="12.75">
      <c r="A2541" s="69">
        <f ca="1">IFERROR(__xludf.DUMMYFUNCTION("""COMPUTED_VALUE"""),99119)</f>
        <v>99119</v>
      </c>
      <c r="B2541" s="4">
        <f ca="1">IFERROR(__xludf.DUMMYFUNCTION("""COMPUTED_VALUE"""),44718)</f>
        <v>44718</v>
      </c>
      <c r="C2541" t="str">
        <f ca="1">IFERROR(__xludf.DUMMYFUNCTION("""COMPUTED_VALUE"""),"ООО ""КВАРЦ ГРУПП"" 183-РДО от 27.05.2022")</f>
        <v>ООО "КВАРЦ ГРУПП" 183-РДО от 27.05.2022</v>
      </c>
      <c r="D25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1" t="str">
        <f ca="1">IFERROR(__xludf.DUMMYFUNCTION("""COMPUTED_VALUE"""),"Новый")</f>
        <v>Новый</v>
      </c>
      <c r="G2541" s="68"/>
      <c r="K2541" s="68"/>
    </row>
    <row r="2542" spans="1:11" ht="12.75">
      <c r="A2542" s="69">
        <f ca="1">IFERROR(__xludf.DUMMYFUNCTION("""COMPUTED_VALUE"""),99120)</f>
        <v>99120</v>
      </c>
      <c r="B2542" s="4">
        <f ca="1">IFERROR(__xludf.DUMMYFUNCTION("""COMPUTED_VALUE"""),44718)</f>
        <v>44718</v>
      </c>
      <c r="C2542" t="str">
        <f ca="1">IFERROR(__xludf.DUMMYFUNCTION("""COMPUTED_VALUE"""),"ООО ""КВАРЦ ГРУПП"" 183-РДО от 27.05.2022")</f>
        <v>ООО "КВАРЦ ГРУПП" 183-РДО от 27.05.2022</v>
      </c>
      <c r="D25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2" t="str">
        <f ca="1">IFERROR(__xludf.DUMMYFUNCTION("""COMPUTED_VALUE"""),"Новый")</f>
        <v>Новый</v>
      </c>
      <c r="G2542" s="68"/>
      <c r="K2542" s="68"/>
    </row>
    <row r="2543" spans="1:11" ht="12.75">
      <c r="A2543" s="69">
        <f ca="1">IFERROR(__xludf.DUMMYFUNCTION("""COMPUTED_VALUE"""),99121)</f>
        <v>99121</v>
      </c>
      <c r="B2543" s="4">
        <f ca="1">IFERROR(__xludf.DUMMYFUNCTION("""COMPUTED_VALUE"""),44718)</f>
        <v>44718</v>
      </c>
      <c r="C2543" t="str">
        <f ca="1">IFERROR(__xludf.DUMMYFUNCTION("""COMPUTED_VALUE"""),"ООО ""КВАРЦ ГРУПП"" 183-РДО от 27.05.2022")</f>
        <v>ООО "КВАРЦ ГРУПП" 183-РДО от 27.05.2022</v>
      </c>
      <c r="D25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3" t="str">
        <f ca="1">IFERROR(__xludf.DUMMYFUNCTION("""COMPUTED_VALUE"""),"Новый")</f>
        <v>Новый</v>
      </c>
      <c r="G2543" s="68"/>
      <c r="K2543" s="68"/>
    </row>
    <row r="2544" spans="1:11" ht="12.75">
      <c r="A2544" s="69">
        <f ca="1">IFERROR(__xludf.DUMMYFUNCTION("""COMPUTED_VALUE"""),99122)</f>
        <v>99122</v>
      </c>
      <c r="B2544" s="4">
        <f ca="1">IFERROR(__xludf.DUMMYFUNCTION("""COMPUTED_VALUE"""),44718)</f>
        <v>44718</v>
      </c>
      <c r="C2544" t="str">
        <f ca="1">IFERROR(__xludf.DUMMYFUNCTION("""COMPUTED_VALUE"""),"ООО ""КВАРЦ ГРУПП"" 183-РДО от 27.05.2022")</f>
        <v>ООО "КВАРЦ ГРУПП" 183-РДО от 27.05.2022</v>
      </c>
      <c r="D25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4" t="str">
        <f ca="1">IFERROR(__xludf.DUMMYFUNCTION("""COMPUTED_VALUE"""),"Новый")</f>
        <v>Новый</v>
      </c>
      <c r="G2544" s="68"/>
      <c r="K2544" s="68"/>
    </row>
    <row r="2545" spans="1:11" ht="12.75">
      <c r="A2545" s="69">
        <f ca="1">IFERROR(__xludf.DUMMYFUNCTION("""COMPUTED_VALUE"""),99123)</f>
        <v>99123</v>
      </c>
      <c r="B2545" s="4">
        <f ca="1">IFERROR(__xludf.DUMMYFUNCTION("""COMPUTED_VALUE"""),44718)</f>
        <v>44718</v>
      </c>
      <c r="C2545" t="str">
        <f ca="1">IFERROR(__xludf.DUMMYFUNCTION("""COMPUTED_VALUE"""),"ООО ""КВАРЦ ГРУПП"" 183-РДО от 27.05.2022")</f>
        <v>ООО "КВАРЦ ГРУПП" 183-РДО от 27.05.2022</v>
      </c>
      <c r="D25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545" t="str">
        <f ca="1">IFERROR(__xludf.DUMMYFUNCTION("""COMPUTED_VALUE"""),"Новый")</f>
        <v>Новый</v>
      </c>
      <c r="G2545" s="68"/>
      <c r="K2545" s="68"/>
    </row>
    <row r="2546" spans="1:11" ht="12.75">
      <c r="A2546" s="69">
        <f ca="1">IFERROR(__xludf.DUMMYFUNCTION("""COMPUTED_VALUE"""),99124)</f>
        <v>99124</v>
      </c>
      <c r="B2546" s="4">
        <f ca="1">IFERROR(__xludf.DUMMYFUNCTION("""COMPUTED_VALUE"""),44718)</f>
        <v>44718</v>
      </c>
      <c r="C2546" t="str">
        <f ca="1">IFERROR(__xludf.DUMMYFUNCTION("""COMPUTED_VALUE"""),"УДХБ БУ Г. ОМСКА 114-СТР от 01.01.2022")</f>
        <v>УДХБ БУ Г. ОМСКА 114-СТР от 01.01.2022</v>
      </c>
      <c r="D25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46" t="str">
        <f ca="1">IFERROR(__xludf.DUMMYFUNCTION("""COMPUTED_VALUE"""),"Новый")</f>
        <v>Новый</v>
      </c>
      <c r="G2546" s="68"/>
      <c r="K2546" s="68"/>
    </row>
    <row r="2547" spans="1:11" ht="12.75">
      <c r="A2547" s="69">
        <f ca="1">IFERROR(__xludf.DUMMYFUNCTION("""COMPUTED_VALUE"""),99125)</f>
        <v>99125</v>
      </c>
      <c r="B2547" s="4">
        <f ca="1">IFERROR(__xludf.DUMMYFUNCTION("""COMPUTED_VALUE"""),44718)</f>
        <v>44718</v>
      </c>
      <c r="C2547" t="str">
        <f ca="1">IFERROR(__xludf.DUMMYFUNCTION("""COMPUTED_VALUE"""),"УДХБ БУ Г. ОМСКА 114-СТР от 01.01.2022")</f>
        <v>УДХБ БУ Г. ОМСКА 114-СТР от 01.01.2022</v>
      </c>
      <c r="D25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47" t="str">
        <f ca="1">IFERROR(__xludf.DUMMYFUNCTION("""COMPUTED_VALUE"""),"Новый")</f>
        <v>Новый</v>
      </c>
      <c r="G2547" s="68"/>
      <c r="K2547" s="68"/>
    </row>
    <row r="2548" spans="1:11" ht="12.75">
      <c r="A2548" s="69">
        <f ca="1">IFERROR(__xludf.DUMMYFUNCTION("""COMPUTED_VALUE"""),99126)</f>
        <v>99126</v>
      </c>
      <c r="B2548" s="4">
        <f ca="1">IFERROR(__xludf.DUMMYFUNCTION("""COMPUTED_VALUE"""),44718)</f>
        <v>44718</v>
      </c>
      <c r="C2548" t="str">
        <f ca="1">IFERROR(__xludf.DUMMYFUNCTION("""COMPUTED_VALUE"""),"УДХБ БУ Г. ОМСКА 114-СТР от 01.01.2022")</f>
        <v>УДХБ БУ Г. ОМСКА 114-СТР от 01.01.2022</v>
      </c>
      <c r="D25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48" t="str">
        <f ca="1">IFERROR(__xludf.DUMMYFUNCTION("""COMPUTED_VALUE"""),"Новый")</f>
        <v>Новый</v>
      </c>
      <c r="G2548" s="68"/>
      <c r="K2548" s="68"/>
    </row>
    <row r="2549" spans="1:11" ht="12.75">
      <c r="A2549" s="69">
        <f ca="1">IFERROR(__xludf.DUMMYFUNCTION("""COMPUTED_VALUE"""),99127)</f>
        <v>99127</v>
      </c>
      <c r="B2549" s="4">
        <f ca="1">IFERROR(__xludf.DUMMYFUNCTION("""COMPUTED_VALUE"""),44718)</f>
        <v>44718</v>
      </c>
      <c r="C2549" t="str">
        <f ca="1">IFERROR(__xludf.DUMMYFUNCTION("""COMPUTED_VALUE"""),"УДХБ БУ Г. ОМСКА 114-СТР от 01.01.2022")</f>
        <v>УДХБ БУ Г. ОМСКА 114-СТР от 01.01.2022</v>
      </c>
      <c r="D25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49" t="str">
        <f ca="1">IFERROR(__xludf.DUMMYFUNCTION("""COMPUTED_VALUE"""),"Новый")</f>
        <v>Новый</v>
      </c>
      <c r="G2549" s="68"/>
      <c r="K2549" s="68"/>
    </row>
    <row r="2550" spans="1:11" ht="12.75">
      <c r="A2550" s="69">
        <f ca="1">IFERROR(__xludf.DUMMYFUNCTION("""COMPUTED_VALUE"""),99128)</f>
        <v>99128</v>
      </c>
      <c r="B2550" s="4">
        <f ca="1">IFERROR(__xludf.DUMMYFUNCTION("""COMPUTED_VALUE"""),44718)</f>
        <v>44718</v>
      </c>
      <c r="C2550" t="str">
        <f ca="1">IFERROR(__xludf.DUMMYFUNCTION("""COMPUTED_VALUE"""),"УДХБ БУ Г. ОМСКА 114-СТР от 01.01.2022")</f>
        <v>УДХБ БУ Г. ОМСКА 114-СТР от 01.01.2022</v>
      </c>
      <c r="D25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0" t="str">
        <f ca="1">IFERROR(__xludf.DUMMYFUNCTION("""COMPUTED_VALUE"""),"Новый")</f>
        <v>Новый</v>
      </c>
      <c r="G2550" s="68"/>
      <c r="K2550" s="68"/>
    </row>
    <row r="2551" spans="1:11" ht="12.75">
      <c r="A2551" s="69">
        <f ca="1">IFERROR(__xludf.DUMMYFUNCTION("""COMPUTED_VALUE"""),99129)</f>
        <v>99129</v>
      </c>
      <c r="B2551" s="4">
        <f ca="1">IFERROR(__xludf.DUMMYFUNCTION("""COMPUTED_VALUE"""),44718)</f>
        <v>44718</v>
      </c>
      <c r="C2551" t="str">
        <f ca="1">IFERROR(__xludf.DUMMYFUNCTION("""COMPUTED_VALUE"""),"УДХБ БУ Г. ОМСКА 114-СТР от 01.01.2022")</f>
        <v>УДХБ БУ Г. ОМСКА 114-СТР от 01.01.2022</v>
      </c>
      <c r="D25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1" t="str">
        <f ca="1">IFERROR(__xludf.DUMMYFUNCTION("""COMPUTED_VALUE"""),"Новый")</f>
        <v>Новый</v>
      </c>
      <c r="G2551" s="68"/>
      <c r="K2551" s="68"/>
    </row>
    <row r="2552" spans="1:11" ht="12.75">
      <c r="A2552" s="69">
        <f ca="1">IFERROR(__xludf.DUMMYFUNCTION("""COMPUTED_VALUE"""),99130)</f>
        <v>99130</v>
      </c>
      <c r="B2552" s="4">
        <f ca="1">IFERROR(__xludf.DUMMYFUNCTION("""COMPUTED_VALUE"""),44718)</f>
        <v>44718</v>
      </c>
      <c r="C2552" t="str">
        <f ca="1">IFERROR(__xludf.DUMMYFUNCTION("""COMPUTED_VALUE"""),"УДХБ БУ Г. ОМСКА 114-СТР от 01.01.2022")</f>
        <v>УДХБ БУ Г. ОМСКА 114-СТР от 01.01.2022</v>
      </c>
      <c r="D25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2" t="str">
        <f ca="1">IFERROR(__xludf.DUMMYFUNCTION("""COMPUTED_VALUE"""),"Новый")</f>
        <v>Новый</v>
      </c>
      <c r="G2552" s="68"/>
      <c r="K2552" s="68"/>
    </row>
    <row r="2553" spans="1:11" ht="12.75">
      <c r="A2553" s="69">
        <f ca="1">IFERROR(__xludf.DUMMYFUNCTION("""COMPUTED_VALUE"""),99131)</f>
        <v>99131</v>
      </c>
      <c r="B2553" s="4">
        <f ca="1">IFERROR(__xludf.DUMMYFUNCTION("""COMPUTED_VALUE"""),44718)</f>
        <v>44718</v>
      </c>
      <c r="C2553" t="str">
        <f ca="1">IFERROR(__xludf.DUMMYFUNCTION("""COMPUTED_VALUE"""),"УДХБ БУ Г. ОМСКА 114-СТР от 01.01.2022")</f>
        <v>УДХБ БУ Г. ОМСКА 114-СТР от 01.01.2022</v>
      </c>
      <c r="D25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3" t="str">
        <f ca="1">IFERROR(__xludf.DUMMYFUNCTION("""COMPUTED_VALUE"""),"Новый")</f>
        <v>Новый</v>
      </c>
      <c r="G2553" s="68"/>
      <c r="K2553" s="68"/>
    </row>
    <row r="2554" spans="1:11" ht="12.75">
      <c r="A2554" s="69">
        <f ca="1">IFERROR(__xludf.DUMMYFUNCTION("""COMPUTED_VALUE"""),99132)</f>
        <v>99132</v>
      </c>
      <c r="B2554" s="4">
        <f ca="1">IFERROR(__xludf.DUMMYFUNCTION("""COMPUTED_VALUE"""),44718)</f>
        <v>44718</v>
      </c>
      <c r="C2554" t="str">
        <f ca="1">IFERROR(__xludf.DUMMYFUNCTION("""COMPUTED_VALUE"""),"УДХБ БУ Г. ОМСКА 114-СТР от 01.01.2022")</f>
        <v>УДХБ БУ Г. ОМСКА 114-СТР от 01.01.2022</v>
      </c>
      <c r="D25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4" t="str">
        <f ca="1">IFERROR(__xludf.DUMMYFUNCTION("""COMPUTED_VALUE"""),"Новый")</f>
        <v>Новый</v>
      </c>
      <c r="G2554" s="68"/>
      <c r="K2554" s="68"/>
    </row>
    <row r="2555" spans="1:11" ht="12.75">
      <c r="A2555" s="69">
        <f ca="1">IFERROR(__xludf.DUMMYFUNCTION("""COMPUTED_VALUE"""),99133)</f>
        <v>99133</v>
      </c>
      <c r="B2555" s="4">
        <f ca="1">IFERROR(__xludf.DUMMYFUNCTION("""COMPUTED_VALUE"""),44718)</f>
        <v>44718</v>
      </c>
      <c r="C2555" t="str">
        <f ca="1">IFERROR(__xludf.DUMMYFUNCTION("""COMPUTED_VALUE"""),"УДХБ БУ Г. ОМСКА 114-СТР от 01.01.2022")</f>
        <v>УДХБ БУ Г. ОМСКА 114-СТР от 01.01.2022</v>
      </c>
      <c r="D25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5" t="str">
        <f ca="1">IFERROR(__xludf.DUMMYFUNCTION("""COMPUTED_VALUE"""),"Новый")</f>
        <v>Новый</v>
      </c>
      <c r="G2555" s="68"/>
      <c r="K2555" s="68"/>
    </row>
    <row r="2556" spans="1:11" ht="12.75">
      <c r="A2556" s="69">
        <f ca="1">IFERROR(__xludf.DUMMYFUNCTION("""COMPUTED_VALUE"""),99134)</f>
        <v>99134</v>
      </c>
      <c r="B2556" s="4">
        <f ca="1">IFERROR(__xludf.DUMMYFUNCTION("""COMPUTED_VALUE"""),44718)</f>
        <v>44718</v>
      </c>
      <c r="C2556" t="str">
        <f ca="1">IFERROR(__xludf.DUMMYFUNCTION("""COMPUTED_VALUE"""),"УДХБ БУ Г. ОМСКА 114-СТР от 01.01.2022")</f>
        <v>УДХБ БУ Г. ОМСКА 114-СТР от 01.01.2022</v>
      </c>
      <c r="D25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6" t="str">
        <f ca="1">IFERROR(__xludf.DUMMYFUNCTION("""COMPUTED_VALUE"""),"Новый")</f>
        <v>Новый</v>
      </c>
      <c r="G2556" s="68"/>
      <c r="K2556" s="68"/>
    </row>
    <row r="2557" spans="1:11" ht="12.75">
      <c r="A2557" s="69">
        <f ca="1">IFERROR(__xludf.DUMMYFUNCTION("""COMPUTED_VALUE"""),99135)</f>
        <v>99135</v>
      </c>
      <c r="B2557" s="4">
        <f ca="1">IFERROR(__xludf.DUMMYFUNCTION("""COMPUTED_VALUE"""),44718)</f>
        <v>44718</v>
      </c>
      <c r="C2557" t="str">
        <f ca="1">IFERROR(__xludf.DUMMYFUNCTION("""COMPUTED_VALUE"""),"УДХБ БУ Г. ОМСКА 114-СТР от 01.01.2022")</f>
        <v>УДХБ БУ Г. ОМСКА 114-СТР от 01.01.2022</v>
      </c>
      <c r="D25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7" t="str">
        <f ca="1">IFERROR(__xludf.DUMMYFUNCTION("""COMPUTED_VALUE"""),"Новый")</f>
        <v>Новый</v>
      </c>
      <c r="G2557" s="68"/>
      <c r="K2557" s="68"/>
    </row>
    <row r="2558" spans="1:11" ht="12.75">
      <c r="A2558" s="69">
        <f ca="1">IFERROR(__xludf.DUMMYFUNCTION("""COMPUTED_VALUE"""),99136)</f>
        <v>99136</v>
      </c>
      <c r="B2558" s="4">
        <f ca="1">IFERROR(__xludf.DUMMYFUNCTION("""COMPUTED_VALUE"""),44718)</f>
        <v>44718</v>
      </c>
      <c r="C2558" t="str">
        <f ca="1">IFERROR(__xludf.DUMMYFUNCTION("""COMPUTED_VALUE"""),"УДХБ БУ Г. ОМСКА 114-СТР от 01.01.2022")</f>
        <v>УДХБ БУ Г. ОМСКА 114-СТР от 01.01.2022</v>
      </c>
      <c r="D25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8" t="str">
        <f ca="1">IFERROR(__xludf.DUMMYFUNCTION("""COMPUTED_VALUE"""),"Новый")</f>
        <v>Новый</v>
      </c>
      <c r="G2558" s="68"/>
      <c r="K2558" s="68"/>
    </row>
    <row r="2559" spans="1:11" ht="12.75">
      <c r="A2559" s="69">
        <f ca="1">IFERROR(__xludf.DUMMYFUNCTION("""COMPUTED_VALUE"""),99137)</f>
        <v>99137</v>
      </c>
      <c r="B2559" s="4">
        <f ca="1">IFERROR(__xludf.DUMMYFUNCTION("""COMPUTED_VALUE"""),44718)</f>
        <v>44718</v>
      </c>
      <c r="C2559" t="str">
        <f ca="1">IFERROR(__xludf.DUMMYFUNCTION("""COMPUTED_VALUE"""),"УДХБ БУ Г. ОМСКА 114-СТР от 01.01.2022")</f>
        <v>УДХБ БУ Г. ОМСКА 114-СТР от 01.01.2022</v>
      </c>
      <c r="D25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59" t="str">
        <f ca="1">IFERROR(__xludf.DUMMYFUNCTION("""COMPUTED_VALUE"""),"Новый")</f>
        <v>Новый</v>
      </c>
      <c r="G2559" s="68"/>
      <c r="K2559" s="68"/>
    </row>
    <row r="2560" spans="1:11" ht="12.75">
      <c r="A2560" s="69">
        <f ca="1">IFERROR(__xludf.DUMMYFUNCTION("""COMPUTED_VALUE"""),99138)</f>
        <v>99138</v>
      </c>
      <c r="B2560" s="4">
        <f ca="1">IFERROR(__xludf.DUMMYFUNCTION("""COMPUTED_VALUE"""),44718)</f>
        <v>44718</v>
      </c>
      <c r="C2560" t="str">
        <f ca="1">IFERROR(__xludf.DUMMYFUNCTION("""COMPUTED_VALUE"""),"УДХБ БУ Г. ОМСКА 114-СТР от 01.01.2022")</f>
        <v>УДХБ БУ Г. ОМСКА 114-СТР от 01.01.2022</v>
      </c>
      <c r="D25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0" t="str">
        <f ca="1">IFERROR(__xludf.DUMMYFUNCTION("""COMPUTED_VALUE"""),"Новый")</f>
        <v>Новый</v>
      </c>
      <c r="G2560" s="68"/>
      <c r="K2560" s="68"/>
    </row>
    <row r="2561" spans="1:11" ht="12.75">
      <c r="A2561" s="69">
        <f ca="1">IFERROR(__xludf.DUMMYFUNCTION("""COMPUTED_VALUE"""),99139)</f>
        <v>99139</v>
      </c>
      <c r="B2561" s="4">
        <f ca="1">IFERROR(__xludf.DUMMYFUNCTION("""COMPUTED_VALUE"""),44718)</f>
        <v>44718</v>
      </c>
      <c r="C2561" t="str">
        <f ca="1">IFERROR(__xludf.DUMMYFUNCTION("""COMPUTED_VALUE"""),"УДХБ БУ Г. ОМСКА 114-СТР от 01.01.2022")</f>
        <v>УДХБ БУ Г. ОМСКА 114-СТР от 01.01.2022</v>
      </c>
      <c r="D25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1" t="str">
        <f ca="1">IFERROR(__xludf.DUMMYFUNCTION("""COMPUTED_VALUE"""),"Новый")</f>
        <v>Новый</v>
      </c>
      <c r="G2561" s="68"/>
      <c r="K2561" s="68"/>
    </row>
    <row r="2562" spans="1:11" ht="12.75">
      <c r="A2562" s="69">
        <f ca="1">IFERROR(__xludf.DUMMYFUNCTION("""COMPUTED_VALUE"""),99140)</f>
        <v>99140</v>
      </c>
      <c r="B2562" s="4">
        <f ca="1">IFERROR(__xludf.DUMMYFUNCTION("""COMPUTED_VALUE"""),44718)</f>
        <v>44718</v>
      </c>
      <c r="C2562" t="str">
        <f ca="1">IFERROR(__xludf.DUMMYFUNCTION("""COMPUTED_VALUE"""),"УДХБ БУ Г. ОМСКА 114-СТР от 01.01.2022")</f>
        <v>УДХБ БУ Г. ОМСКА 114-СТР от 01.01.2022</v>
      </c>
      <c r="D25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2" t="str">
        <f ca="1">IFERROR(__xludf.DUMMYFUNCTION("""COMPUTED_VALUE"""),"Новый")</f>
        <v>Новый</v>
      </c>
      <c r="G2562" s="68"/>
      <c r="K2562" s="68"/>
    </row>
    <row r="2563" spans="1:11" ht="12.75">
      <c r="A2563" s="69">
        <f ca="1">IFERROR(__xludf.DUMMYFUNCTION("""COMPUTED_VALUE"""),99141)</f>
        <v>99141</v>
      </c>
      <c r="B2563" s="4">
        <f ca="1">IFERROR(__xludf.DUMMYFUNCTION("""COMPUTED_VALUE"""),44718)</f>
        <v>44718</v>
      </c>
      <c r="C2563" t="str">
        <f ca="1">IFERROR(__xludf.DUMMYFUNCTION("""COMPUTED_VALUE"""),"УДХБ БУ Г. ОМСКА 114-СТР от 01.01.2022")</f>
        <v>УДХБ БУ Г. ОМСКА 114-СТР от 01.01.2022</v>
      </c>
      <c r="D25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3" t="str">
        <f ca="1">IFERROR(__xludf.DUMMYFUNCTION("""COMPUTED_VALUE"""),"Новый")</f>
        <v>Новый</v>
      </c>
      <c r="G2563" s="68"/>
      <c r="K2563" s="68"/>
    </row>
    <row r="2564" spans="1:11" ht="12.75">
      <c r="A2564" s="69">
        <f ca="1">IFERROR(__xludf.DUMMYFUNCTION("""COMPUTED_VALUE"""),99142)</f>
        <v>99142</v>
      </c>
      <c r="B2564" s="4">
        <f ca="1">IFERROR(__xludf.DUMMYFUNCTION("""COMPUTED_VALUE"""),44718)</f>
        <v>44718</v>
      </c>
      <c r="C2564" t="str">
        <f ca="1">IFERROR(__xludf.DUMMYFUNCTION("""COMPUTED_VALUE"""),"УДХБ БУ Г. ОМСКА 114-СТР от 01.01.2022")</f>
        <v>УДХБ БУ Г. ОМСКА 114-СТР от 01.01.2022</v>
      </c>
      <c r="D25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4" t="str">
        <f ca="1">IFERROR(__xludf.DUMMYFUNCTION("""COMPUTED_VALUE"""),"Новый")</f>
        <v>Новый</v>
      </c>
      <c r="G2564" s="68"/>
      <c r="K2564" s="68"/>
    </row>
    <row r="2565" spans="1:11" ht="12.75">
      <c r="A2565" s="69">
        <f ca="1">IFERROR(__xludf.DUMMYFUNCTION("""COMPUTED_VALUE"""),99143)</f>
        <v>99143</v>
      </c>
      <c r="B2565" s="4">
        <f ca="1">IFERROR(__xludf.DUMMYFUNCTION("""COMPUTED_VALUE"""),44718)</f>
        <v>44718</v>
      </c>
      <c r="C2565" t="str">
        <f ca="1">IFERROR(__xludf.DUMMYFUNCTION("""COMPUTED_VALUE"""),"УДХБ БУ Г. ОМСКА 114-СТР от 01.01.2022")</f>
        <v>УДХБ БУ Г. ОМСКА 114-СТР от 01.01.2022</v>
      </c>
      <c r="D25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5" t="str">
        <f ca="1">IFERROR(__xludf.DUMMYFUNCTION("""COMPUTED_VALUE"""),"Новый")</f>
        <v>Новый</v>
      </c>
      <c r="G2565" s="68"/>
      <c r="K2565" s="68"/>
    </row>
    <row r="2566" spans="1:11" ht="12.75">
      <c r="A2566" s="69">
        <f ca="1">IFERROR(__xludf.DUMMYFUNCTION("""COMPUTED_VALUE"""),99144)</f>
        <v>99144</v>
      </c>
      <c r="B2566" s="4">
        <f ca="1">IFERROR(__xludf.DUMMYFUNCTION("""COMPUTED_VALUE"""),44718)</f>
        <v>44718</v>
      </c>
      <c r="C2566" t="str">
        <f ca="1">IFERROR(__xludf.DUMMYFUNCTION("""COMPUTED_VALUE"""),"УДХБ БУ Г. ОМСКА 114-СТР от 01.01.2022")</f>
        <v>УДХБ БУ Г. ОМСКА 114-СТР от 01.01.2022</v>
      </c>
      <c r="D25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6" t="str">
        <f ca="1">IFERROR(__xludf.DUMMYFUNCTION("""COMPUTED_VALUE"""),"Новый")</f>
        <v>Новый</v>
      </c>
      <c r="G2566" s="68"/>
      <c r="K2566" s="68"/>
    </row>
    <row r="2567" spans="1:11" ht="12.75">
      <c r="A2567" s="69">
        <f ca="1">IFERROR(__xludf.DUMMYFUNCTION("""COMPUTED_VALUE"""),99145)</f>
        <v>99145</v>
      </c>
      <c r="B2567" s="4">
        <f ca="1">IFERROR(__xludf.DUMMYFUNCTION("""COMPUTED_VALUE"""),44718)</f>
        <v>44718</v>
      </c>
      <c r="C2567" t="str">
        <f ca="1">IFERROR(__xludf.DUMMYFUNCTION("""COMPUTED_VALUE"""),"УДХБ БУ Г. ОМСКА 114-СТР от 01.01.2022")</f>
        <v>УДХБ БУ Г. ОМСКА 114-СТР от 01.01.2022</v>
      </c>
      <c r="D25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7" t="str">
        <f ca="1">IFERROR(__xludf.DUMMYFUNCTION("""COMPUTED_VALUE"""),"Новый")</f>
        <v>Новый</v>
      </c>
      <c r="G2567" s="68"/>
      <c r="K2567" s="68"/>
    </row>
    <row r="2568" spans="1:11" ht="12.75">
      <c r="A2568" s="69">
        <f ca="1">IFERROR(__xludf.DUMMYFUNCTION("""COMPUTED_VALUE"""),99146)</f>
        <v>99146</v>
      </c>
      <c r="B2568" s="4">
        <f ca="1">IFERROR(__xludf.DUMMYFUNCTION("""COMPUTED_VALUE"""),44718)</f>
        <v>44718</v>
      </c>
      <c r="C2568" t="str">
        <f ca="1">IFERROR(__xludf.DUMMYFUNCTION("""COMPUTED_VALUE"""),"УДХБ БУ Г. ОМСКА 114-СТР от 01.01.2022")</f>
        <v>УДХБ БУ Г. ОМСКА 114-СТР от 01.01.2022</v>
      </c>
      <c r="D25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8" t="str">
        <f ca="1">IFERROR(__xludf.DUMMYFUNCTION("""COMPUTED_VALUE"""),"Новый")</f>
        <v>Новый</v>
      </c>
      <c r="G2568" s="68"/>
      <c r="K2568" s="68"/>
    </row>
    <row r="2569" spans="1:11" ht="12.75">
      <c r="A2569" s="69">
        <f ca="1">IFERROR(__xludf.DUMMYFUNCTION("""COMPUTED_VALUE"""),99147)</f>
        <v>99147</v>
      </c>
      <c r="B2569" s="4">
        <f ca="1">IFERROR(__xludf.DUMMYFUNCTION("""COMPUTED_VALUE"""),44718)</f>
        <v>44718</v>
      </c>
      <c r="C2569" t="str">
        <f ca="1">IFERROR(__xludf.DUMMYFUNCTION("""COMPUTED_VALUE"""),"УДХБ БУ Г. ОМСКА 114-СТР от 01.01.2022")</f>
        <v>УДХБ БУ Г. ОМСКА 114-СТР от 01.01.2022</v>
      </c>
      <c r="D25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69" t="str">
        <f ca="1">IFERROR(__xludf.DUMMYFUNCTION("""COMPUTED_VALUE"""),"Новый")</f>
        <v>Новый</v>
      </c>
      <c r="G2569" s="68"/>
      <c r="K2569" s="68"/>
    </row>
    <row r="2570" spans="1:11" ht="12.75">
      <c r="A2570" s="69">
        <f ca="1">IFERROR(__xludf.DUMMYFUNCTION("""COMPUTED_VALUE"""),99148)</f>
        <v>99148</v>
      </c>
      <c r="B2570" s="4">
        <f ca="1">IFERROR(__xludf.DUMMYFUNCTION("""COMPUTED_VALUE"""),44718)</f>
        <v>44718</v>
      </c>
      <c r="C2570" t="str">
        <f ca="1">IFERROR(__xludf.DUMMYFUNCTION("""COMPUTED_VALUE"""),"УДХБ БУ Г. ОМСКА 114-СТР от 01.01.2022")</f>
        <v>УДХБ БУ Г. ОМСКА 114-СТР от 01.01.2022</v>
      </c>
      <c r="D25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0" t="str">
        <f ca="1">IFERROR(__xludf.DUMMYFUNCTION("""COMPUTED_VALUE"""),"Новый")</f>
        <v>Новый</v>
      </c>
      <c r="G2570" s="68"/>
      <c r="K2570" s="68"/>
    </row>
    <row r="2571" spans="1:11" ht="12.75">
      <c r="A2571" s="69">
        <f ca="1">IFERROR(__xludf.DUMMYFUNCTION("""COMPUTED_VALUE"""),99149)</f>
        <v>99149</v>
      </c>
      <c r="B2571" s="4">
        <f ca="1">IFERROR(__xludf.DUMMYFUNCTION("""COMPUTED_VALUE"""),44718)</f>
        <v>44718</v>
      </c>
      <c r="C2571" t="str">
        <f ca="1">IFERROR(__xludf.DUMMYFUNCTION("""COMPUTED_VALUE"""),"УДХБ БУ Г. ОМСКА 114-СТР от 01.01.2022")</f>
        <v>УДХБ БУ Г. ОМСКА 114-СТР от 01.01.2022</v>
      </c>
      <c r="D25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1" t="str">
        <f ca="1">IFERROR(__xludf.DUMMYFUNCTION("""COMPUTED_VALUE"""),"Новый")</f>
        <v>Новый</v>
      </c>
      <c r="G2571" s="68"/>
      <c r="K2571" s="68"/>
    </row>
    <row r="2572" spans="1:11" ht="12.75">
      <c r="A2572" s="69">
        <f ca="1">IFERROR(__xludf.DUMMYFUNCTION("""COMPUTED_VALUE"""),99150)</f>
        <v>99150</v>
      </c>
      <c r="B2572" s="4">
        <f ca="1">IFERROR(__xludf.DUMMYFUNCTION("""COMPUTED_VALUE"""),44718)</f>
        <v>44718</v>
      </c>
      <c r="C2572" t="str">
        <f ca="1">IFERROR(__xludf.DUMMYFUNCTION("""COMPUTED_VALUE"""),"УДХБ БУ Г. ОМСКА 114-СТР от 01.01.2022")</f>
        <v>УДХБ БУ Г. ОМСКА 114-СТР от 01.01.2022</v>
      </c>
      <c r="D25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2" t="str">
        <f ca="1">IFERROR(__xludf.DUMMYFUNCTION("""COMPUTED_VALUE"""),"Новый")</f>
        <v>Новый</v>
      </c>
      <c r="G2572" s="68"/>
      <c r="K2572" s="68"/>
    </row>
    <row r="2573" spans="1:11" ht="12.75">
      <c r="A2573" s="69">
        <f ca="1">IFERROR(__xludf.DUMMYFUNCTION("""COMPUTED_VALUE"""),99151)</f>
        <v>99151</v>
      </c>
      <c r="B2573" s="4">
        <f ca="1">IFERROR(__xludf.DUMMYFUNCTION("""COMPUTED_VALUE"""),44718)</f>
        <v>44718</v>
      </c>
      <c r="C2573" t="str">
        <f ca="1">IFERROR(__xludf.DUMMYFUNCTION("""COMPUTED_VALUE"""),"УДХБ БУ Г. ОМСКА 114-СТР от 01.01.2022")</f>
        <v>УДХБ БУ Г. ОМСКА 114-СТР от 01.01.2022</v>
      </c>
      <c r="D25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3" t="str">
        <f ca="1">IFERROR(__xludf.DUMMYFUNCTION("""COMPUTED_VALUE"""),"Новый")</f>
        <v>Новый</v>
      </c>
      <c r="G2573" s="68"/>
      <c r="K2573" s="68"/>
    </row>
    <row r="2574" spans="1:11" ht="12.75">
      <c r="A2574" s="69">
        <f ca="1">IFERROR(__xludf.DUMMYFUNCTION("""COMPUTED_VALUE"""),99152)</f>
        <v>99152</v>
      </c>
      <c r="B2574" s="4">
        <f ca="1">IFERROR(__xludf.DUMMYFUNCTION("""COMPUTED_VALUE"""),44718)</f>
        <v>44718</v>
      </c>
      <c r="C2574" t="str">
        <f ca="1">IFERROR(__xludf.DUMMYFUNCTION("""COMPUTED_VALUE"""),"УДХБ БУ Г. ОМСКА 114-СТР от 01.01.2022")</f>
        <v>УДХБ БУ Г. ОМСКА 114-СТР от 01.01.2022</v>
      </c>
      <c r="D25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4" t="str">
        <f ca="1">IFERROR(__xludf.DUMMYFUNCTION("""COMPUTED_VALUE"""),"Новый")</f>
        <v>Новый</v>
      </c>
      <c r="G2574" s="68"/>
      <c r="K2574" s="68"/>
    </row>
    <row r="2575" spans="1:11" ht="12.75">
      <c r="A2575" s="69">
        <f ca="1">IFERROR(__xludf.DUMMYFUNCTION("""COMPUTED_VALUE"""),99153)</f>
        <v>99153</v>
      </c>
      <c r="B2575" s="4">
        <f ca="1">IFERROR(__xludf.DUMMYFUNCTION("""COMPUTED_VALUE"""),44718)</f>
        <v>44718</v>
      </c>
      <c r="C2575" t="str">
        <f ca="1">IFERROR(__xludf.DUMMYFUNCTION("""COMPUTED_VALUE"""),"УДХБ БУ Г. ОМСКА 114-СТР от 01.01.2022")</f>
        <v>УДХБ БУ Г. ОМСКА 114-СТР от 01.01.2022</v>
      </c>
      <c r="D25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5" t="str">
        <f ca="1">IFERROR(__xludf.DUMMYFUNCTION("""COMPUTED_VALUE"""),"Новый")</f>
        <v>Новый</v>
      </c>
      <c r="G2575" s="68"/>
      <c r="K2575" s="68"/>
    </row>
    <row r="2576" spans="1:11" ht="12.75">
      <c r="A2576" s="69">
        <f ca="1">IFERROR(__xludf.DUMMYFUNCTION("""COMPUTED_VALUE"""),99155)</f>
        <v>99155</v>
      </c>
      <c r="B2576" s="4">
        <f ca="1">IFERROR(__xludf.DUMMYFUNCTION("""COMPUTED_VALUE"""),44718)</f>
        <v>44718</v>
      </c>
      <c r="C2576" t="str">
        <f ca="1">IFERROR(__xludf.DUMMYFUNCTION("""COMPUTED_VALUE"""),"УДХБ БУ Г. ОМСКА 114-СТР от 01.01.2022")</f>
        <v>УДХБ БУ Г. ОМСКА 114-СТР от 01.01.2022</v>
      </c>
      <c r="D25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6" t="str">
        <f ca="1">IFERROR(__xludf.DUMMYFUNCTION("""COMPUTED_VALUE"""),"Новый")</f>
        <v>Новый</v>
      </c>
      <c r="G2576" s="68"/>
      <c r="K2576" s="68"/>
    </row>
    <row r="2577" spans="1:11" ht="12.75">
      <c r="A2577" s="69">
        <f ca="1">IFERROR(__xludf.DUMMYFUNCTION("""COMPUTED_VALUE"""),99166)</f>
        <v>99166</v>
      </c>
      <c r="B2577" s="4">
        <f ca="1">IFERROR(__xludf.DUMMYFUNCTION("""COMPUTED_VALUE"""),44718)</f>
        <v>44718</v>
      </c>
      <c r="C2577" t="str">
        <f ca="1">IFERROR(__xludf.DUMMYFUNCTION("""COMPUTED_VALUE"""),"УДХБ БУ Г. ОМСКА 114-СТР от 01.01.2022")</f>
        <v>УДХБ БУ Г. ОМСКА 114-СТР от 01.01.2022</v>
      </c>
      <c r="D25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7" t="str">
        <f ca="1">IFERROR(__xludf.DUMMYFUNCTION("""COMPUTED_VALUE"""),"Новый")</f>
        <v>Новый</v>
      </c>
      <c r="G2577" s="68"/>
      <c r="K2577" s="68"/>
    </row>
    <row r="2578" spans="1:11" ht="12.75">
      <c r="A2578" s="69">
        <f ca="1">IFERROR(__xludf.DUMMYFUNCTION("""COMPUTED_VALUE"""),99167)</f>
        <v>99167</v>
      </c>
      <c r="B2578" s="4">
        <f ca="1">IFERROR(__xludf.DUMMYFUNCTION("""COMPUTED_VALUE"""),44718)</f>
        <v>44718</v>
      </c>
      <c r="C2578" t="str">
        <f ca="1">IFERROR(__xludf.DUMMYFUNCTION("""COMPUTED_VALUE"""),"УДХБ БУ Г. ОМСКА 114-СТР от 01.01.2022")</f>
        <v>УДХБ БУ Г. ОМСКА 114-СТР от 01.01.2022</v>
      </c>
      <c r="D25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8" t="str">
        <f ca="1">IFERROR(__xludf.DUMMYFUNCTION("""COMPUTED_VALUE"""),"Новый")</f>
        <v>Новый</v>
      </c>
      <c r="G2578" s="68"/>
      <c r="K2578" s="68"/>
    </row>
    <row r="2579" spans="1:11" ht="12.75">
      <c r="A2579" s="69">
        <f ca="1">IFERROR(__xludf.DUMMYFUNCTION("""COMPUTED_VALUE"""),99168)</f>
        <v>99168</v>
      </c>
      <c r="B2579" s="4">
        <f ca="1">IFERROR(__xludf.DUMMYFUNCTION("""COMPUTED_VALUE"""),44718)</f>
        <v>44718</v>
      </c>
      <c r="C2579" t="str">
        <f ca="1">IFERROR(__xludf.DUMMYFUNCTION("""COMPUTED_VALUE"""),"УДХБ БУ Г. ОМСКА 114-СТР от 01.01.2022")</f>
        <v>УДХБ БУ Г. ОМСКА 114-СТР от 01.01.2022</v>
      </c>
      <c r="D25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79" t="str">
        <f ca="1">IFERROR(__xludf.DUMMYFUNCTION("""COMPUTED_VALUE"""),"Новый")</f>
        <v>Новый</v>
      </c>
      <c r="G2579" s="68"/>
      <c r="K2579" s="68"/>
    </row>
    <row r="2580" spans="1:11" ht="12.75">
      <c r="A2580" s="69">
        <f ca="1">IFERROR(__xludf.DUMMYFUNCTION("""COMPUTED_VALUE"""),99169)</f>
        <v>99169</v>
      </c>
      <c r="B2580" s="4">
        <f ca="1">IFERROR(__xludf.DUMMYFUNCTION("""COMPUTED_VALUE"""),44718)</f>
        <v>44718</v>
      </c>
      <c r="C2580" t="str">
        <f ca="1">IFERROR(__xludf.DUMMYFUNCTION("""COMPUTED_VALUE"""),"УДХБ БУ Г. ОМСКА 114-СТР от 01.01.2022")</f>
        <v>УДХБ БУ Г. ОМСКА 114-СТР от 01.01.2022</v>
      </c>
      <c r="D25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0" t="str">
        <f ca="1">IFERROR(__xludf.DUMMYFUNCTION("""COMPUTED_VALUE"""),"Новый")</f>
        <v>Новый</v>
      </c>
      <c r="G2580" s="68"/>
      <c r="K2580" s="68"/>
    </row>
    <row r="2581" spans="1:11" ht="12.75">
      <c r="A2581" s="69">
        <f ca="1">IFERROR(__xludf.DUMMYFUNCTION("""COMPUTED_VALUE"""),99170)</f>
        <v>99170</v>
      </c>
      <c r="B2581" s="4">
        <f ca="1">IFERROR(__xludf.DUMMYFUNCTION("""COMPUTED_VALUE"""),44718)</f>
        <v>44718</v>
      </c>
      <c r="C2581" t="str">
        <f ca="1">IFERROR(__xludf.DUMMYFUNCTION("""COMPUTED_VALUE"""),"УДХБ БУ Г. ОМСКА 114-СТР от 01.01.2022")</f>
        <v>УДХБ БУ Г. ОМСКА 114-СТР от 01.01.2022</v>
      </c>
      <c r="D25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1" t="str">
        <f ca="1">IFERROR(__xludf.DUMMYFUNCTION("""COMPUTED_VALUE"""),"Новый")</f>
        <v>Новый</v>
      </c>
      <c r="G2581" s="68"/>
      <c r="K2581" s="68"/>
    </row>
    <row r="2582" spans="1:11" ht="12.75">
      <c r="A2582" s="69">
        <f ca="1">IFERROR(__xludf.DUMMYFUNCTION("""COMPUTED_VALUE"""),99171)</f>
        <v>99171</v>
      </c>
      <c r="B2582" s="4">
        <f ca="1">IFERROR(__xludf.DUMMYFUNCTION("""COMPUTED_VALUE"""),44718)</f>
        <v>44718</v>
      </c>
      <c r="C2582" t="str">
        <f ca="1">IFERROR(__xludf.DUMMYFUNCTION("""COMPUTED_VALUE"""),"УДХБ БУ Г. ОМСКА 114-СТР от 01.01.2022")</f>
        <v>УДХБ БУ Г. ОМСКА 114-СТР от 01.01.2022</v>
      </c>
      <c r="D25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2" t="str">
        <f ca="1">IFERROR(__xludf.DUMMYFUNCTION("""COMPUTED_VALUE"""),"Новый")</f>
        <v>Новый</v>
      </c>
      <c r="G2582" s="68"/>
      <c r="K2582" s="68"/>
    </row>
    <row r="2583" spans="1:11" ht="12.75">
      <c r="A2583" s="69">
        <f ca="1">IFERROR(__xludf.DUMMYFUNCTION("""COMPUTED_VALUE"""),99172)</f>
        <v>99172</v>
      </c>
      <c r="B2583" s="4">
        <f ca="1">IFERROR(__xludf.DUMMYFUNCTION("""COMPUTED_VALUE"""),44718)</f>
        <v>44718</v>
      </c>
      <c r="C2583" t="str">
        <f ca="1">IFERROR(__xludf.DUMMYFUNCTION("""COMPUTED_VALUE"""),"УДХБ БУ Г. ОМСКА 114-СТР от 01.01.2022")</f>
        <v>УДХБ БУ Г. ОМСКА 114-СТР от 01.01.2022</v>
      </c>
      <c r="D25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3" t="str">
        <f ca="1">IFERROR(__xludf.DUMMYFUNCTION("""COMPUTED_VALUE"""),"Новый")</f>
        <v>Новый</v>
      </c>
      <c r="G2583" s="68"/>
      <c r="K2583" s="68"/>
    </row>
    <row r="2584" spans="1:11" ht="12.75">
      <c r="A2584" s="69">
        <f ca="1">IFERROR(__xludf.DUMMYFUNCTION("""COMPUTED_VALUE"""),99173)</f>
        <v>99173</v>
      </c>
      <c r="B2584" s="4">
        <f ca="1">IFERROR(__xludf.DUMMYFUNCTION("""COMPUTED_VALUE"""),44718)</f>
        <v>44718</v>
      </c>
      <c r="C2584" t="str">
        <f ca="1">IFERROR(__xludf.DUMMYFUNCTION("""COMPUTED_VALUE"""),"УДХБ БУ Г. ОМСКА 114-СТР от 01.01.2022")</f>
        <v>УДХБ БУ Г. ОМСКА 114-СТР от 01.01.2022</v>
      </c>
      <c r="D25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4" t="str">
        <f ca="1">IFERROR(__xludf.DUMMYFUNCTION("""COMPUTED_VALUE"""),"Новый")</f>
        <v>Новый</v>
      </c>
      <c r="G2584" s="68"/>
      <c r="K2584" s="68"/>
    </row>
    <row r="2585" spans="1:11" ht="12.75">
      <c r="A2585" s="69">
        <f ca="1">IFERROR(__xludf.DUMMYFUNCTION("""COMPUTED_VALUE"""),99174)</f>
        <v>99174</v>
      </c>
      <c r="B2585" s="4">
        <f ca="1">IFERROR(__xludf.DUMMYFUNCTION("""COMPUTED_VALUE"""),44718)</f>
        <v>44718</v>
      </c>
      <c r="C2585" t="str">
        <f ca="1">IFERROR(__xludf.DUMMYFUNCTION("""COMPUTED_VALUE"""),"УДХБ БУ Г. ОМСКА 114-СТР от 01.01.2022")</f>
        <v>УДХБ БУ Г. ОМСКА 114-СТР от 01.01.2022</v>
      </c>
      <c r="D25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5" t="str">
        <f ca="1">IFERROR(__xludf.DUMMYFUNCTION("""COMPUTED_VALUE"""),"Новый")</f>
        <v>Новый</v>
      </c>
      <c r="G2585" s="68"/>
      <c r="K2585" s="68"/>
    </row>
    <row r="2586" spans="1:11" ht="12.75">
      <c r="A2586" s="69">
        <f ca="1">IFERROR(__xludf.DUMMYFUNCTION("""COMPUTED_VALUE"""),99175)</f>
        <v>99175</v>
      </c>
      <c r="B2586" s="4">
        <f ca="1">IFERROR(__xludf.DUMMYFUNCTION("""COMPUTED_VALUE"""),44718)</f>
        <v>44718</v>
      </c>
      <c r="C2586" t="str">
        <f ca="1">IFERROR(__xludf.DUMMYFUNCTION("""COMPUTED_VALUE"""),"УДХБ БУ Г. ОМСКА 114-СТР от 01.01.2022")</f>
        <v>УДХБ БУ Г. ОМСКА 114-СТР от 01.01.2022</v>
      </c>
      <c r="D25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6" t="str">
        <f ca="1">IFERROR(__xludf.DUMMYFUNCTION("""COMPUTED_VALUE"""),"Новый")</f>
        <v>Новый</v>
      </c>
      <c r="G2586" s="68"/>
      <c r="K2586" s="68"/>
    </row>
    <row r="2587" spans="1:11" ht="12.75">
      <c r="A2587" s="69">
        <f ca="1">IFERROR(__xludf.DUMMYFUNCTION("""COMPUTED_VALUE"""),99176)</f>
        <v>99176</v>
      </c>
      <c r="B2587" s="4">
        <f ca="1">IFERROR(__xludf.DUMMYFUNCTION("""COMPUTED_VALUE"""),44718)</f>
        <v>44718</v>
      </c>
      <c r="C2587" t="str">
        <f ca="1">IFERROR(__xludf.DUMMYFUNCTION("""COMPUTED_VALUE"""),"УДХБ БУ Г. ОМСКА 114-СТР от 01.01.2022")</f>
        <v>УДХБ БУ Г. ОМСКА 114-СТР от 01.01.2022</v>
      </c>
      <c r="D25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7" t="str">
        <f ca="1">IFERROR(__xludf.DUMMYFUNCTION("""COMPUTED_VALUE"""),"Новый")</f>
        <v>Новый</v>
      </c>
      <c r="G2587" s="68"/>
      <c r="K2587" s="68"/>
    </row>
    <row r="2588" spans="1:11" ht="12.75">
      <c r="A2588" s="69">
        <f ca="1">IFERROR(__xludf.DUMMYFUNCTION("""COMPUTED_VALUE"""),99177)</f>
        <v>99177</v>
      </c>
      <c r="B2588" s="4">
        <f ca="1">IFERROR(__xludf.DUMMYFUNCTION("""COMPUTED_VALUE"""),44718)</f>
        <v>44718</v>
      </c>
      <c r="C2588" t="str">
        <f ca="1">IFERROR(__xludf.DUMMYFUNCTION("""COMPUTED_VALUE"""),"УДХБ БУ Г. ОМСКА 114-СТР от 01.01.2022")</f>
        <v>УДХБ БУ Г. ОМСКА 114-СТР от 01.01.2022</v>
      </c>
      <c r="D25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8" t="str">
        <f ca="1">IFERROR(__xludf.DUMMYFUNCTION("""COMPUTED_VALUE"""),"Новый")</f>
        <v>Новый</v>
      </c>
      <c r="G2588" s="68"/>
      <c r="K2588" s="68"/>
    </row>
    <row r="2589" spans="1:11" ht="12.75">
      <c r="A2589" s="69">
        <f ca="1">IFERROR(__xludf.DUMMYFUNCTION("""COMPUTED_VALUE"""),99178)</f>
        <v>99178</v>
      </c>
      <c r="B2589" s="4">
        <f ca="1">IFERROR(__xludf.DUMMYFUNCTION("""COMPUTED_VALUE"""),44718)</f>
        <v>44718</v>
      </c>
      <c r="C2589" t="str">
        <f ca="1">IFERROR(__xludf.DUMMYFUNCTION("""COMPUTED_VALUE"""),"УДХБ БУ Г. ОМСКА 114-СТР от 01.01.2022")</f>
        <v>УДХБ БУ Г. ОМСКА 114-СТР от 01.01.2022</v>
      </c>
      <c r="D25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89" t="str">
        <f ca="1">IFERROR(__xludf.DUMMYFUNCTION("""COMPUTED_VALUE"""),"Новый")</f>
        <v>Новый</v>
      </c>
      <c r="G2589" s="68"/>
      <c r="K2589" s="68"/>
    </row>
    <row r="2590" spans="1:11" ht="12.75">
      <c r="A2590" s="69">
        <f ca="1">IFERROR(__xludf.DUMMYFUNCTION("""COMPUTED_VALUE"""),99179)</f>
        <v>99179</v>
      </c>
      <c r="B2590" s="4">
        <f ca="1">IFERROR(__xludf.DUMMYFUNCTION("""COMPUTED_VALUE"""),44718)</f>
        <v>44718</v>
      </c>
      <c r="C2590" t="str">
        <f ca="1">IFERROR(__xludf.DUMMYFUNCTION("""COMPUTED_VALUE"""),"УДХБ БУ Г. ОМСКА 114-СТР от 01.01.2022")</f>
        <v>УДХБ БУ Г. ОМСКА 114-СТР от 01.01.2022</v>
      </c>
      <c r="D25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0" t="str">
        <f ca="1">IFERROR(__xludf.DUMMYFUNCTION("""COMPUTED_VALUE"""),"Новый")</f>
        <v>Новый</v>
      </c>
      <c r="G2590" s="68"/>
      <c r="K2590" s="68"/>
    </row>
    <row r="2591" spans="1:11" ht="12.75">
      <c r="A2591" s="69">
        <f ca="1">IFERROR(__xludf.DUMMYFUNCTION("""COMPUTED_VALUE"""),99180)</f>
        <v>99180</v>
      </c>
      <c r="B2591" s="4">
        <f ca="1">IFERROR(__xludf.DUMMYFUNCTION("""COMPUTED_VALUE"""),44718)</f>
        <v>44718</v>
      </c>
      <c r="C2591" t="str">
        <f ca="1">IFERROR(__xludf.DUMMYFUNCTION("""COMPUTED_VALUE"""),"УДХБ БУ Г. ОМСКА 114-СТР от 01.01.2022")</f>
        <v>УДХБ БУ Г. ОМСКА 114-СТР от 01.01.2022</v>
      </c>
      <c r="D25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1" t="str">
        <f ca="1">IFERROR(__xludf.DUMMYFUNCTION("""COMPUTED_VALUE"""),"Новый")</f>
        <v>Новый</v>
      </c>
      <c r="G2591" s="68"/>
      <c r="K2591" s="68"/>
    </row>
    <row r="2592" spans="1:11" ht="12.75">
      <c r="A2592" s="69">
        <f ca="1">IFERROR(__xludf.DUMMYFUNCTION("""COMPUTED_VALUE"""),99181)</f>
        <v>99181</v>
      </c>
      <c r="B2592" s="4">
        <f ca="1">IFERROR(__xludf.DUMMYFUNCTION("""COMPUTED_VALUE"""),44718)</f>
        <v>44718</v>
      </c>
      <c r="C2592" t="str">
        <f ca="1">IFERROR(__xludf.DUMMYFUNCTION("""COMPUTED_VALUE"""),"УДХБ БУ Г. ОМСКА 114-СТР от 01.01.2022")</f>
        <v>УДХБ БУ Г. ОМСКА 114-СТР от 01.01.2022</v>
      </c>
      <c r="D25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2" t="str">
        <f ca="1">IFERROR(__xludf.DUMMYFUNCTION("""COMPUTED_VALUE"""),"Новый")</f>
        <v>Новый</v>
      </c>
      <c r="G2592" s="68"/>
      <c r="K2592" s="68"/>
    </row>
    <row r="2593" spans="1:11" ht="12.75">
      <c r="A2593" s="69">
        <f ca="1">IFERROR(__xludf.DUMMYFUNCTION("""COMPUTED_VALUE"""),99182)</f>
        <v>99182</v>
      </c>
      <c r="B2593" s="4">
        <f ca="1">IFERROR(__xludf.DUMMYFUNCTION("""COMPUTED_VALUE"""),44718)</f>
        <v>44718</v>
      </c>
      <c r="C2593" t="str">
        <f ca="1">IFERROR(__xludf.DUMMYFUNCTION("""COMPUTED_VALUE"""),"УДХБ БУ Г. ОМСКА 114-СТР от 01.01.2022")</f>
        <v>УДХБ БУ Г. ОМСКА 114-СТР от 01.01.2022</v>
      </c>
      <c r="D25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3" t="str">
        <f ca="1">IFERROR(__xludf.DUMMYFUNCTION("""COMPUTED_VALUE"""),"Новый")</f>
        <v>Новый</v>
      </c>
      <c r="G2593" s="68"/>
      <c r="K2593" s="68"/>
    </row>
    <row r="2594" spans="1:11" ht="12.75">
      <c r="A2594" s="69">
        <f ca="1">IFERROR(__xludf.DUMMYFUNCTION("""COMPUTED_VALUE"""),99183)</f>
        <v>99183</v>
      </c>
      <c r="B2594" s="4">
        <f ca="1">IFERROR(__xludf.DUMMYFUNCTION("""COMPUTED_VALUE"""),44718)</f>
        <v>44718</v>
      </c>
      <c r="C2594" t="str">
        <f ca="1">IFERROR(__xludf.DUMMYFUNCTION("""COMPUTED_VALUE"""),"УДХБ БУ Г. ОМСКА 114-СТР от 01.01.2022")</f>
        <v>УДХБ БУ Г. ОМСКА 114-СТР от 01.01.2022</v>
      </c>
      <c r="D25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4" t="str">
        <f ca="1">IFERROR(__xludf.DUMMYFUNCTION("""COMPUTED_VALUE"""),"Новый")</f>
        <v>Новый</v>
      </c>
      <c r="G2594" s="68"/>
      <c r="K2594" s="68"/>
    </row>
    <row r="2595" spans="1:11" ht="12.75">
      <c r="A2595" s="69">
        <f ca="1">IFERROR(__xludf.DUMMYFUNCTION("""COMPUTED_VALUE"""),99184)</f>
        <v>99184</v>
      </c>
      <c r="B2595" s="4">
        <f ca="1">IFERROR(__xludf.DUMMYFUNCTION("""COMPUTED_VALUE"""),44718)</f>
        <v>44718</v>
      </c>
      <c r="C2595" t="str">
        <f ca="1">IFERROR(__xludf.DUMMYFUNCTION("""COMPUTED_VALUE"""),"УДХБ БУ Г. ОМСКА 114-СТР от 01.01.2022")</f>
        <v>УДХБ БУ Г. ОМСКА 114-СТР от 01.01.2022</v>
      </c>
      <c r="D25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5" t="str">
        <f ca="1">IFERROR(__xludf.DUMMYFUNCTION("""COMPUTED_VALUE"""),"Новый")</f>
        <v>Новый</v>
      </c>
      <c r="G2595" s="68"/>
      <c r="K2595" s="68"/>
    </row>
    <row r="2596" spans="1:11" ht="12.75">
      <c r="A2596" s="69">
        <f ca="1">IFERROR(__xludf.DUMMYFUNCTION("""COMPUTED_VALUE"""),99185)</f>
        <v>99185</v>
      </c>
      <c r="B2596" s="4">
        <f ca="1">IFERROR(__xludf.DUMMYFUNCTION("""COMPUTED_VALUE"""),44718)</f>
        <v>44718</v>
      </c>
      <c r="C2596" t="str">
        <f ca="1">IFERROR(__xludf.DUMMYFUNCTION("""COMPUTED_VALUE"""),"УДХБ БУ Г. ОМСКА 114-СТР от 01.01.2022")</f>
        <v>УДХБ БУ Г. ОМСКА 114-СТР от 01.01.2022</v>
      </c>
      <c r="D25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6" t="str">
        <f ca="1">IFERROR(__xludf.DUMMYFUNCTION("""COMPUTED_VALUE"""),"Новый")</f>
        <v>Новый</v>
      </c>
      <c r="G2596" s="68"/>
      <c r="K2596" s="68"/>
    </row>
    <row r="2597" spans="1:11" ht="12.75">
      <c r="A2597" s="69">
        <f ca="1">IFERROR(__xludf.DUMMYFUNCTION("""COMPUTED_VALUE"""),99186)</f>
        <v>99186</v>
      </c>
      <c r="B2597" s="4">
        <f ca="1">IFERROR(__xludf.DUMMYFUNCTION("""COMPUTED_VALUE"""),44718)</f>
        <v>44718</v>
      </c>
      <c r="C2597" t="str">
        <f ca="1">IFERROR(__xludf.DUMMYFUNCTION("""COMPUTED_VALUE"""),"УДХБ БУ Г. ОМСКА 114-СТР от 01.01.2022")</f>
        <v>УДХБ БУ Г. ОМСКА 114-СТР от 01.01.2022</v>
      </c>
      <c r="D25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7" t="str">
        <f ca="1">IFERROR(__xludf.DUMMYFUNCTION("""COMPUTED_VALUE"""),"Новый")</f>
        <v>Новый</v>
      </c>
      <c r="G2597" s="68"/>
      <c r="K2597" s="68"/>
    </row>
    <row r="2598" spans="1:11" ht="12.75">
      <c r="A2598" s="69">
        <f ca="1">IFERROR(__xludf.DUMMYFUNCTION("""COMPUTED_VALUE"""),99187)</f>
        <v>99187</v>
      </c>
      <c r="B2598" s="4">
        <f ca="1">IFERROR(__xludf.DUMMYFUNCTION("""COMPUTED_VALUE"""),44718)</f>
        <v>44718</v>
      </c>
      <c r="C2598" t="str">
        <f ca="1">IFERROR(__xludf.DUMMYFUNCTION("""COMPUTED_VALUE"""),"УДХБ БУ Г. ОМСКА 114-СТР от 01.01.2022")</f>
        <v>УДХБ БУ Г. ОМСКА 114-СТР от 01.01.2022</v>
      </c>
      <c r="D25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8" t="str">
        <f ca="1">IFERROR(__xludf.DUMMYFUNCTION("""COMPUTED_VALUE"""),"Новый")</f>
        <v>Новый</v>
      </c>
      <c r="G2598" s="68"/>
      <c r="K2598" s="68"/>
    </row>
    <row r="2599" spans="1:11" ht="12.75">
      <c r="A2599" s="69">
        <f ca="1">IFERROR(__xludf.DUMMYFUNCTION("""COMPUTED_VALUE"""),99188)</f>
        <v>99188</v>
      </c>
      <c r="B2599" s="4">
        <f ca="1">IFERROR(__xludf.DUMMYFUNCTION("""COMPUTED_VALUE"""),44718)</f>
        <v>44718</v>
      </c>
      <c r="C2599" t="str">
        <f ca="1">IFERROR(__xludf.DUMMYFUNCTION("""COMPUTED_VALUE"""),"УДХБ БУ Г. ОМСКА 114-СТР от 01.01.2022")</f>
        <v>УДХБ БУ Г. ОМСКА 114-СТР от 01.01.2022</v>
      </c>
      <c r="D25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599" t="str">
        <f ca="1">IFERROR(__xludf.DUMMYFUNCTION("""COMPUTED_VALUE"""),"Новый")</f>
        <v>Новый</v>
      </c>
      <c r="G2599" s="68"/>
      <c r="K2599" s="68"/>
    </row>
    <row r="2600" spans="1:11" ht="12.75">
      <c r="A2600" s="69">
        <f ca="1">IFERROR(__xludf.DUMMYFUNCTION("""COMPUTED_VALUE"""),99189)</f>
        <v>99189</v>
      </c>
      <c r="B2600" s="4">
        <f ca="1">IFERROR(__xludf.DUMMYFUNCTION("""COMPUTED_VALUE"""),44718)</f>
        <v>44718</v>
      </c>
      <c r="C2600" t="str">
        <f ca="1">IFERROR(__xludf.DUMMYFUNCTION("""COMPUTED_VALUE"""),"УДХБ БУ Г. ОМСКА 114-СТР от 01.01.2022")</f>
        <v>УДХБ БУ Г. ОМСКА 114-СТР от 01.01.2022</v>
      </c>
      <c r="D26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0" t="str">
        <f ca="1">IFERROR(__xludf.DUMMYFUNCTION("""COMPUTED_VALUE"""),"Новый")</f>
        <v>Новый</v>
      </c>
      <c r="G2600" s="68"/>
      <c r="K2600" s="68"/>
    </row>
    <row r="2601" spans="1:11" ht="12.75">
      <c r="A2601" s="69">
        <f ca="1">IFERROR(__xludf.DUMMYFUNCTION("""COMPUTED_VALUE"""),99190)</f>
        <v>99190</v>
      </c>
      <c r="B2601" s="4">
        <f ca="1">IFERROR(__xludf.DUMMYFUNCTION("""COMPUTED_VALUE"""),44718)</f>
        <v>44718</v>
      </c>
      <c r="C2601" t="str">
        <f ca="1">IFERROR(__xludf.DUMMYFUNCTION("""COMPUTED_VALUE"""),"УДХБ БУ Г. ОМСКА 114-СТР от 01.01.2022")</f>
        <v>УДХБ БУ Г. ОМСКА 114-СТР от 01.01.2022</v>
      </c>
      <c r="D26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1" t="str">
        <f ca="1">IFERROR(__xludf.DUMMYFUNCTION("""COMPUTED_VALUE"""),"Новый")</f>
        <v>Новый</v>
      </c>
      <c r="G2601" s="68"/>
      <c r="K2601" s="68"/>
    </row>
    <row r="2602" spans="1:11" ht="12.75">
      <c r="A2602" s="69">
        <f ca="1">IFERROR(__xludf.DUMMYFUNCTION("""COMPUTED_VALUE"""),99191)</f>
        <v>99191</v>
      </c>
      <c r="B2602" s="4">
        <f ca="1">IFERROR(__xludf.DUMMYFUNCTION("""COMPUTED_VALUE"""),44718)</f>
        <v>44718</v>
      </c>
      <c r="C2602" t="str">
        <f ca="1">IFERROR(__xludf.DUMMYFUNCTION("""COMPUTED_VALUE"""),"УДХБ БУ Г. ОМСКА 114-СТР от 01.01.2022")</f>
        <v>УДХБ БУ Г. ОМСКА 114-СТР от 01.01.2022</v>
      </c>
      <c r="D26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2" t="str">
        <f ca="1">IFERROR(__xludf.DUMMYFUNCTION("""COMPUTED_VALUE"""),"Новый")</f>
        <v>Новый</v>
      </c>
      <c r="G2602" s="68"/>
      <c r="K2602" s="68"/>
    </row>
    <row r="2603" spans="1:11" ht="12.75">
      <c r="A2603" s="69">
        <f ca="1">IFERROR(__xludf.DUMMYFUNCTION("""COMPUTED_VALUE"""),99192)</f>
        <v>99192</v>
      </c>
      <c r="B2603" s="4">
        <f ca="1">IFERROR(__xludf.DUMMYFUNCTION("""COMPUTED_VALUE"""),44718)</f>
        <v>44718</v>
      </c>
      <c r="C2603" t="str">
        <f ca="1">IFERROR(__xludf.DUMMYFUNCTION("""COMPUTED_VALUE"""),"УДХБ БУ Г. ОМСКА 114-СТР от 01.01.2022")</f>
        <v>УДХБ БУ Г. ОМСКА 114-СТР от 01.01.2022</v>
      </c>
      <c r="D26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3" t="str">
        <f ca="1">IFERROR(__xludf.DUMMYFUNCTION("""COMPUTED_VALUE"""),"Новый")</f>
        <v>Новый</v>
      </c>
      <c r="G2603" s="68"/>
      <c r="K2603" s="68"/>
    </row>
    <row r="2604" spans="1:11" ht="12.75">
      <c r="A2604" s="69">
        <f ca="1">IFERROR(__xludf.DUMMYFUNCTION("""COMPUTED_VALUE"""),99193)</f>
        <v>99193</v>
      </c>
      <c r="B2604" s="4">
        <f ca="1">IFERROR(__xludf.DUMMYFUNCTION("""COMPUTED_VALUE"""),44718)</f>
        <v>44718</v>
      </c>
      <c r="C2604" t="str">
        <f ca="1">IFERROR(__xludf.DUMMYFUNCTION("""COMPUTED_VALUE"""),"УДХБ БУ Г. ОМСКА 114-СТР от 01.01.2022")</f>
        <v>УДХБ БУ Г. ОМСКА 114-СТР от 01.01.2022</v>
      </c>
      <c r="D26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4" t="str">
        <f ca="1">IFERROR(__xludf.DUMMYFUNCTION("""COMPUTED_VALUE"""),"Новый")</f>
        <v>Новый</v>
      </c>
      <c r="G2604" s="68"/>
      <c r="K2604" s="68"/>
    </row>
    <row r="2605" spans="1:11" ht="12.75">
      <c r="A2605" s="69">
        <f ca="1">IFERROR(__xludf.DUMMYFUNCTION("""COMPUTED_VALUE"""),99194)</f>
        <v>99194</v>
      </c>
      <c r="B2605" s="4">
        <f ca="1">IFERROR(__xludf.DUMMYFUNCTION("""COMPUTED_VALUE"""),44718)</f>
        <v>44718</v>
      </c>
      <c r="C2605" t="str">
        <f ca="1">IFERROR(__xludf.DUMMYFUNCTION("""COMPUTED_VALUE"""),"УДХБ БУ Г. ОМСКА 114-СТР от 01.01.2022")</f>
        <v>УДХБ БУ Г. ОМСКА 114-СТР от 01.01.2022</v>
      </c>
      <c r="D26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5" t="str">
        <f ca="1">IFERROR(__xludf.DUMMYFUNCTION("""COMPUTED_VALUE"""),"Новый")</f>
        <v>Новый</v>
      </c>
      <c r="G2605" s="68"/>
      <c r="K2605" s="68"/>
    </row>
    <row r="2606" spans="1:11" ht="12.75">
      <c r="A2606" s="69">
        <f ca="1">IFERROR(__xludf.DUMMYFUNCTION("""COMPUTED_VALUE"""),99195)</f>
        <v>99195</v>
      </c>
      <c r="B2606" s="4">
        <f ca="1">IFERROR(__xludf.DUMMYFUNCTION("""COMPUTED_VALUE"""),44718)</f>
        <v>44718</v>
      </c>
      <c r="C2606" t="str">
        <f ca="1">IFERROR(__xludf.DUMMYFUNCTION("""COMPUTED_VALUE"""),"УДХБ БУ Г. ОМСКА 114-СТР от 01.01.2022")</f>
        <v>УДХБ БУ Г. ОМСКА 114-СТР от 01.01.2022</v>
      </c>
      <c r="D26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6" t="str">
        <f ca="1">IFERROR(__xludf.DUMMYFUNCTION("""COMPUTED_VALUE"""),"Новый")</f>
        <v>Новый</v>
      </c>
      <c r="G2606" s="68"/>
      <c r="K2606" s="68"/>
    </row>
    <row r="2607" spans="1:11" ht="12.75">
      <c r="A2607" s="69">
        <f ca="1">IFERROR(__xludf.DUMMYFUNCTION("""COMPUTED_VALUE"""),99196)</f>
        <v>99196</v>
      </c>
      <c r="B2607" s="4">
        <f ca="1">IFERROR(__xludf.DUMMYFUNCTION("""COMPUTED_VALUE"""),44718)</f>
        <v>44718</v>
      </c>
      <c r="C2607" t="str">
        <f ca="1">IFERROR(__xludf.DUMMYFUNCTION("""COMPUTED_VALUE"""),"УДХБ БУ Г. ОМСКА 114-СТР от 01.01.2022")</f>
        <v>УДХБ БУ Г. ОМСКА 114-СТР от 01.01.2022</v>
      </c>
      <c r="D26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7" t="str">
        <f ca="1">IFERROR(__xludf.DUMMYFUNCTION("""COMPUTED_VALUE"""),"Новый")</f>
        <v>Новый</v>
      </c>
      <c r="G2607" s="68"/>
      <c r="K2607" s="68"/>
    </row>
    <row r="2608" spans="1:11" ht="12.75">
      <c r="A2608" s="69">
        <f ca="1">IFERROR(__xludf.DUMMYFUNCTION("""COMPUTED_VALUE"""),99197)</f>
        <v>99197</v>
      </c>
      <c r="B2608" s="4">
        <f ca="1">IFERROR(__xludf.DUMMYFUNCTION("""COMPUTED_VALUE"""),44718)</f>
        <v>44718</v>
      </c>
      <c r="C2608" t="str">
        <f ca="1">IFERROR(__xludf.DUMMYFUNCTION("""COMPUTED_VALUE"""),"УДХБ БУ Г. ОМСКА 114-СТР от 01.01.2022")</f>
        <v>УДХБ БУ Г. ОМСКА 114-СТР от 01.01.2022</v>
      </c>
      <c r="D26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8" t="str">
        <f ca="1">IFERROR(__xludf.DUMMYFUNCTION("""COMPUTED_VALUE"""),"Новый")</f>
        <v>Новый</v>
      </c>
      <c r="G2608" s="68"/>
      <c r="K2608" s="68"/>
    </row>
    <row r="2609" spans="1:11" ht="12.75">
      <c r="A2609" s="69">
        <f ca="1">IFERROR(__xludf.DUMMYFUNCTION("""COMPUTED_VALUE"""),99198)</f>
        <v>99198</v>
      </c>
      <c r="B2609" s="4">
        <f ca="1">IFERROR(__xludf.DUMMYFUNCTION("""COMPUTED_VALUE"""),44718)</f>
        <v>44718</v>
      </c>
      <c r="C2609" t="str">
        <f ca="1">IFERROR(__xludf.DUMMYFUNCTION("""COMPUTED_VALUE"""),"УДХБ БУ Г. ОМСКА 114-СТР от 01.01.2022")</f>
        <v>УДХБ БУ Г. ОМСКА 114-СТР от 01.01.2022</v>
      </c>
      <c r="D26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09" t="str">
        <f ca="1">IFERROR(__xludf.DUMMYFUNCTION("""COMPUTED_VALUE"""),"Новый")</f>
        <v>Новый</v>
      </c>
      <c r="G2609" s="68"/>
      <c r="K2609" s="68"/>
    </row>
    <row r="2610" spans="1:11" ht="12.75">
      <c r="A2610" s="69">
        <f ca="1">IFERROR(__xludf.DUMMYFUNCTION("""COMPUTED_VALUE"""),99199)</f>
        <v>99199</v>
      </c>
      <c r="B2610" s="4">
        <f ca="1">IFERROR(__xludf.DUMMYFUNCTION("""COMPUTED_VALUE"""),44718)</f>
        <v>44718</v>
      </c>
      <c r="C2610" t="str">
        <f ca="1">IFERROR(__xludf.DUMMYFUNCTION("""COMPUTED_VALUE"""),"УДХБ БУ Г. ОМСКА 114-СТР от 01.01.2022")</f>
        <v>УДХБ БУ Г. ОМСКА 114-СТР от 01.01.2022</v>
      </c>
      <c r="D26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0" t="str">
        <f ca="1">IFERROR(__xludf.DUMMYFUNCTION("""COMPUTED_VALUE"""),"Новый")</f>
        <v>Новый</v>
      </c>
      <c r="G2610" s="68"/>
      <c r="K2610" s="68"/>
    </row>
    <row r="2611" spans="1:11" ht="12.75">
      <c r="A2611" s="69">
        <f ca="1">IFERROR(__xludf.DUMMYFUNCTION("""COMPUTED_VALUE"""),99200)</f>
        <v>99200</v>
      </c>
      <c r="B2611" s="4">
        <f ca="1">IFERROR(__xludf.DUMMYFUNCTION("""COMPUTED_VALUE"""),44718)</f>
        <v>44718</v>
      </c>
      <c r="C2611" t="str">
        <f ca="1">IFERROR(__xludf.DUMMYFUNCTION("""COMPUTED_VALUE"""),"УДХБ БУ Г. ОМСКА 114-СТР от 01.01.2022")</f>
        <v>УДХБ БУ Г. ОМСКА 114-СТР от 01.01.2022</v>
      </c>
      <c r="D26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1" t="str">
        <f ca="1">IFERROR(__xludf.DUMMYFUNCTION("""COMPUTED_VALUE"""),"Новый")</f>
        <v>Новый</v>
      </c>
      <c r="G2611" s="68"/>
      <c r="K2611" s="68"/>
    </row>
    <row r="2612" spans="1:11" ht="12.75">
      <c r="A2612" s="69">
        <f ca="1">IFERROR(__xludf.DUMMYFUNCTION("""COMPUTED_VALUE"""),99202)</f>
        <v>99202</v>
      </c>
      <c r="B2612" s="4">
        <f ca="1">IFERROR(__xludf.DUMMYFUNCTION("""COMPUTED_VALUE"""),44718)</f>
        <v>44718</v>
      </c>
      <c r="C2612" t="str">
        <f ca="1">IFERROR(__xludf.DUMMYFUNCTION("""COMPUTED_VALUE"""),"УДХБ БУ Г. ОМСКА 114-СТР от 01.01.2022")</f>
        <v>УДХБ БУ Г. ОМСКА 114-СТР от 01.01.2022</v>
      </c>
      <c r="D26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2" t="str">
        <f ca="1">IFERROR(__xludf.DUMMYFUNCTION("""COMPUTED_VALUE"""),"Новый")</f>
        <v>Новый</v>
      </c>
      <c r="G2612" s="68"/>
      <c r="K2612" s="68"/>
    </row>
    <row r="2613" spans="1:11" ht="12.75">
      <c r="A2613" s="69">
        <f ca="1">IFERROR(__xludf.DUMMYFUNCTION("""COMPUTED_VALUE"""),99203)</f>
        <v>99203</v>
      </c>
      <c r="B2613" s="4">
        <f ca="1">IFERROR(__xludf.DUMMYFUNCTION("""COMPUTED_VALUE"""),44718)</f>
        <v>44718</v>
      </c>
      <c r="C2613" t="str">
        <f ca="1">IFERROR(__xludf.DUMMYFUNCTION("""COMPUTED_VALUE"""),"УДХБ БУ Г. ОМСКА 114-СТР от 01.01.2022")</f>
        <v>УДХБ БУ Г. ОМСКА 114-СТР от 01.01.2022</v>
      </c>
      <c r="D26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3" t="str">
        <f ca="1">IFERROR(__xludf.DUMMYFUNCTION("""COMPUTED_VALUE"""),"Новый")</f>
        <v>Новый</v>
      </c>
      <c r="G2613" s="68"/>
      <c r="K2613" s="68"/>
    </row>
    <row r="2614" spans="1:11" ht="12.75">
      <c r="A2614" s="69">
        <f ca="1">IFERROR(__xludf.DUMMYFUNCTION("""COMPUTED_VALUE"""),99204)</f>
        <v>99204</v>
      </c>
      <c r="B2614" s="4">
        <f ca="1">IFERROR(__xludf.DUMMYFUNCTION("""COMPUTED_VALUE"""),44718)</f>
        <v>44718</v>
      </c>
      <c r="C2614" t="str">
        <f ca="1">IFERROR(__xludf.DUMMYFUNCTION("""COMPUTED_VALUE"""),"УДХБ БУ Г. ОМСКА 114-СТР от 01.01.2022")</f>
        <v>УДХБ БУ Г. ОМСКА 114-СТР от 01.01.2022</v>
      </c>
      <c r="D26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4" t="str">
        <f ca="1">IFERROR(__xludf.DUMMYFUNCTION("""COMPUTED_VALUE"""),"Новый")</f>
        <v>Новый</v>
      </c>
      <c r="G2614" s="68"/>
      <c r="K2614" s="68"/>
    </row>
    <row r="2615" spans="1:11" ht="12.75">
      <c r="A2615" s="69">
        <f ca="1">IFERROR(__xludf.DUMMYFUNCTION("""COMPUTED_VALUE"""),99205)</f>
        <v>99205</v>
      </c>
      <c r="B2615" s="4">
        <f ca="1">IFERROR(__xludf.DUMMYFUNCTION("""COMPUTED_VALUE"""),44718)</f>
        <v>44718</v>
      </c>
      <c r="C2615" t="str">
        <f ca="1">IFERROR(__xludf.DUMMYFUNCTION("""COMPUTED_VALUE"""),"УДХБ БУ Г. ОМСКА 114-СТР от 01.01.2022")</f>
        <v>УДХБ БУ Г. ОМСКА 114-СТР от 01.01.2022</v>
      </c>
      <c r="D26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5" t="str">
        <f ca="1">IFERROR(__xludf.DUMMYFUNCTION("""COMPUTED_VALUE"""),"Новый")</f>
        <v>Новый</v>
      </c>
      <c r="G2615" s="68"/>
      <c r="K2615" s="68"/>
    </row>
    <row r="2616" spans="1:11" ht="12.75">
      <c r="A2616" s="69">
        <f ca="1">IFERROR(__xludf.DUMMYFUNCTION("""COMPUTED_VALUE"""),99206)</f>
        <v>99206</v>
      </c>
      <c r="B2616" s="4">
        <f ca="1">IFERROR(__xludf.DUMMYFUNCTION("""COMPUTED_VALUE"""),44718)</f>
        <v>44718</v>
      </c>
      <c r="C2616" t="str">
        <f ca="1">IFERROR(__xludf.DUMMYFUNCTION("""COMPUTED_VALUE"""),"УДХБ БУ Г. ОМСКА 114-СТР от 01.01.2022")</f>
        <v>УДХБ БУ Г. ОМСКА 114-СТР от 01.01.2022</v>
      </c>
      <c r="D26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6" t="str">
        <f ca="1">IFERROR(__xludf.DUMMYFUNCTION("""COMPUTED_VALUE"""),"Новый")</f>
        <v>Новый</v>
      </c>
      <c r="G2616" s="68"/>
      <c r="K2616" s="68"/>
    </row>
    <row r="2617" spans="1:11" ht="12.75">
      <c r="A2617" s="69">
        <f ca="1">IFERROR(__xludf.DUMMYFUNCTION("""COMPUTED_VALUE"""),99207)</f>
        <v>99207</v>
      </c>
      <c r="B2617" s="4">
        <f ca="1">IFERROR(__xludf.DUMMYFUNCTION("""COMPUTED_VALUE"""),44718)</f>
        <v>44718</v>
      </c>
      <c r="C2617" t="str">
        <f ca="1">IFERROR(__xludf.DUMMYFUNCTION("""COMPUTED_VALUE"""),"УДХБ БУ Г. ОМСКА 114-СТР от 01.01.2022")</f>
        <v>УДХБ БУ Г. ОМСКА 114-СТР от 01.01.2022</v>
      </c>
      <c r="D26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7" t="str">
        <f ca="1">IFERROR(__xludf.DUMMYFUNCTION("""COMPUTED_VALUE"""),"Новый")</f>
        <v>Новый</v>
      </c>
      <c r="G2617" s="68"/>
      <c r="K2617" s="68"/>
    </row>
    <row r="2618" spans="1:11" ht="12.75">
      <c r="A2618" s="69">
        <f ca="1">IFERROR(__xludf.DUMMYFUNCTION("""COMPUTED_VALUE"""),99208)</f>
        <v>99208</v>
      </c>
      <c r="B2618" s="4">
        <f ca="1">IFERROR(__xludf.DUMMYFUNCTION("""COMPUTED_VALUE"""),44718)</f>
        <v>44718</v>
      </c>
      <c r="C2618" t="str">
        <f ca="1">IFERROR(__xludf.DUMMYFUNCTION("""COMPUTED_VALUE"""),"УДХБ БУ Г. ОМСКА 114-СТР от 01.01.2022")</f>
        <v>УДХБ БУ Г. ОМСКА 114-СТР от 01.01.2022</v>
      </c>
      <c r="D26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8" t="str">
        <f ca="1">IFERROR(__xludf.DUMMYFUNCTION("""COMPUTED_VALUE"""),"Новый")</f>
        <v>Новый</v>
      </c>
      <c r="G2618" s="68"/>
      <c r="K2618" s="68"/>
    </row>
    <row r="2619" spans="1:11" ht="12.75">
      <c r="A2619" s="69">
        <f ca="1">IFERROR(__xludf.DUMMYFUNCTION("""COMPUTED_VALUE"""),99209)</f>
        <v>99209</v>
      </c>
      <c r="B2619" s="4">
        <f ca="1">IFERROR(__xludf.DUMMYFUNCTION("""COMPUTED_VALUE"""),44718)</f>
        <v>44718</v>
      </c>
      <c r="C2619" t="str">
        <f ca="1">IFERROR(__xludf.DUMMYFUNCTION("""COMPUTED_VALUE"""),"УДХБ БУ Г. ОМСКА 114-СТР от 01.01.2022")</f>
        <v>УДХБ БУ Г. ОМСКА 114-СТР от 01.01.2022</v>
      </c>
      <c r="D26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19" t="str">
        <f ca="1">IFERROR(__xludf.DUMMYFUNCTION("""COMPUTED_VALUE"""),"Новый")</f>
        <v>Новый</v>
      </c>
      <c r="G2619" s="68"/>
      <c r="K2619" s="68"/>
    </row>
    <row r="2620" spans="1:11" ht="12.75">
      <c r="A2620" s="69">
        <f ca="1">IFERROR(__xludf.DUMMYFUNCTION("""COMPUTED_VALUE"""),99214)</f>
        <v>99214</v>
      </c>
      <c r="B2620" s="4">
        <f ca="1">IFERROR(__xludf.DUMMYFUNCTION("""COMPUTED_VALUE"""),44718)</f>
        <v>44718</v>
      </c>
      <c r="C2620" t="str">
        <f ca="1">IFERROR(__xludf.DUMMYFUNCTION("""COMPUTED_VALUE"""),"УДХБ БУ Г. ОМСКА 114-СТР от 01.01.2022")</f>
        <v>УДХБ БУ Г. ОМСКА 114-СТР от 01.01.2022</v>
      </c>
      <c r="D26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0" t="str">
        <f ca="1">IFERROR(__xludf.DUMMYFUNCTION("""COMPUTED_VALUE"""),"Новый")</f>
        <v>Новый</v>
      </c>
      <c r="G2620" s="68"/>
      <c r="K2620" s="68"/>
    </row>
    <row r="2621" spans="1:11" ht="12.75">
      <c r="A2621" s="69">
        <f ca="1">IFERROR(__xludf.DUMMYFUNCTION("""COMPUTED_VALUE"""),99215)</f>
        <v>99215</v>
      </c>
      <c r="B2621" s="4">
        <f ca="1">IFERROR(__xludf.DUMMYFUNCTION("""COMPUTED_VALUE"""),44718)</f>
        <v>44718</v>
      </c>
      <c r="C2621" t="str">
        <f ca="1">IFERROR(__xludf.DUMMYFUNCTION("""COMPUTED_VALUE"""),"УДХБ БУ Г. ОМСКА 114-СТР от 01.01.2022")</f>
        <v>УДХБ БУ Г. ОМСКА 114-СТР от 01.01.2022</v>
      </c>
      <c r="D26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1" t="str">
        <f ca="1">IFERROR(__xludf.DUMMYFUNCTION("""COMPUTED_VALUE"""),"Новый")</f>
        <v>Новый</v>
      </c>
      <c r="G2621" s="68"/>
      <c r="K2621" s="68"/>
    </row>
    <row r="2622" spans="1:11" ht="12.75">
      <c r="A2622" s="69">
        <f ca="1">IFERROR(__xludf.DUMMYFUNCTION("""COMPUTED_VALUE"""),99216)</f>
        <v>99216</v>
      </c>
      <c r="B2622" s="4">
        <f ca="1">IFERROR(__xludf.DUMMYFUNCTION("""COMPUTED_VALUE"""),44718)</f>
        <v>44718</v>
      </c>
      <c r="C2622" t="str">
        <f ca="1">IFERROR(__xludf.DUMMYFUNCTION("""COMPUTED_VALUE"""),"УДХБ БУ Г. ОМСКА 114-СТР от 01.01.2022")</f>
        <v>УДХБ БУ Г. ОМСКА 114-СТР от 01.01.2022</v>
      </c>
      <c r="D26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2" t="str">
        <f ca="1">IFERROR(__xludf.DUMMYFUNCTION("""COMPUTED_VALUE"""),"Новый")</f>
        <v>Новый</v>
      </c>
      <c r="G2622" s="68"/>
      <c r="K2622" s="68"/>
    </row>
    <row r="2623" spans="1:11" ht="12.75">
      <c r="A2623" s="69">
        <f ca="1">IFERROR(__xludf.DUMMYFUNCTION("""COMPUTED_VALUE"""),99217)</f>
        <v>99217</v>
      </c>
      <c r="B2623" s="4">
        <f ca="1">IFERROR(__xludf.DUMMYFUNCTION("""COMPUTED_VALUE"""),44718)</f>
        <v>44718</v>
      </c>
      <c r="C2623" t="str">
        <f ca="1">IFERROR(__xludf.DUMMYFUNCTION("""COMPUTED_VALUE"""),"УДХБ БУ Г. ОМСКА 114-СТР от 01.01.2022")</f>
        <v>УДХБ БУ Г. ОМСКА 114-СТР от 01.01.2022</v>
      </c>
      <c r="D26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3" t="str">
        <f ca="1">IFERROR(__xludf.DUMMYFUNCTION("""COMPUTED_VALUE"""),"Новый")</f>
        <v>Новый</v>
      </c>
      <c r="G2623" s="68"/>
      <c r="K2623" s="68"/>
    </row>
    <row r="2624" spans="1:11" ht="12.75">
      <c r="A2624" s="69">
        <f ca="1">IFERROR(__xludf.DUMMYFUNCTION("""COMPUTED_VALUE"""),99218)</f>
        <v>99218</v>
      </c>
      <c r="B2624" s="4">
        <f ca="1">IFERROR(__xludf.DUMMYFUNCTION("""COMPUTED_VALUE"""),44718)</f>
        <v>44718</v>
      </c>
      <c r="C2624" t="str">
        <f ca="1">IFERROR(__xludf.DUMMYFUNCTION("""COMPUTED_VALUE"""),"УДХБ БУ Г. ОМСКА 114-СТР от 01.01.2022")</f>
        <v>УДХБ БУ Г. ОМСКА 114-СТР от 01.01.2022</v>
      </c>
      <c r="D26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4" t="str">
        <f ca="1">IFERROR(__xludf.DUMMYFUNCTION("""COMPUTED_VALUE"""),"Новый")</f>
        <v>Новый</v>
      </c>
      <c r="G2624" s="68"/>
      <c r="K2624" s="68"/>
    </row>
    <row r="2625" spans="1:11" ht="12.75">
      <c r="A2625" s="69">
        <f ca="1">IFERROR(__xludf.DUMMYFUNCTION("""COMPUTED_VALUE"""),99219)</f>
        <v>99219</v>
      </c>
      <c r="B2625" s="4">
        <f ca="1">IFERROR(__xludf.DUMMYFUNCTION("""COMPUTED_VALUE"""),44718)</f>
        <v>44718</v>
      </c>
      <c r="C2625" t="str">
        <f ca="1">IFERROR(__xludf.DUMMYFUNCTION("""COMPUTED_VALUE"""),"УДХБ БУ Г. ОМСКА 114-СТР от 01.01.2022")</f>
        <v>УДХБ БУ Г. ОМСКА 114-СТР от 01.01.2022</v>
      </c>
      <c r="D26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5" t="str">
        <f ca="1">IFERROR(__xludf.DUMMYFUNCTION("""COMPUTED_VALUE"""),"Новый")</f>
        <v>Новый</v>
      </c>
      <c r="G2625" s="68"/>
      <c r="K2625" s="68"/>
    </row>
    <row r="2626" spans="1:11" ht="12.75">
      <c r="A2626" s="69">
        <f ca="1">IFERROR(__xludf.DUMMYFUNCTION("""COMPUTED_VALUE"""),99220)</f>
        <v>99220</v>
      </c>
      <c r="B2626" s="4">
        <f ca="1">IFERROR(__xludf.DUMMYFUNCTION("""COMPUTED_VALUE"""),44718)</f>
        <v>44718</v>
      </c>
      <c r="C2626" t="str">
        <f ca="1">IFERROR(__xludf.DUMMYFUNCTION("""COMPUTED_VALUE"""),"УДХБ БУ Г. ОМСКА 114-СТР от 01.01.2022")</f>
        <v>УДХБ БУ Г. ОМСКА 114-СТР от 01.01.2022</v>
      </c>
      <c r="D26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6" t="str">
        <f ca="1">IFERROR(__xludf.DUMMYFUNCTION("""COMPUTED_VALUE"""),"Новый")</f>
        <v>Новый</v>
      </c>
      <c r="G2626" s="68"/>
      <c r="K2626" s="68"/>
    </row>
    <row r="2627" spans="1:11" ht="12.75">
      <c r="A2627" s="69">
        <f ca="1">IFERROR(__xludf.DUMMYFUNCTION("""COMPUTED_VALUE"""),99221)</f>
        <v>99221</v>
      </c>
      <c r="B2627" s="4">
        <f ca="1">IFERROR(__xludf.DUMMYFUNCTION("""COMPUTED_VALUE"""),44718)</f>
        <v>44718</v>
      </c>
      <c r="C2627" t="str">
        <f ca="1">IFERROR(__xludf.DUMMYFUNCTION("""COMPUTED_VALUE"""),"УДХБ БУ Г. ОМСКА 114-СТР от 01.01.2022")</f>
        <v>УДХБ БУ Г. ОМСКА 114-СТР от 01.01.2022</v>
      </c>
      <c r="D26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7" t="str">
        <f ca="1">IFERROR(__xludf.DUMMYFUNCTION("""COMPUTED_VALUE"""),"Новый")</f>
        <v>Новый</v>
      </c>
      <c r="G2627" s="68"/>
      <c r="K2627" s="68"/>
    </row>
    <row r="2628" spans="1:11" ht="12.75">
      <c r="A2628" s="69">
        <f ca="1">IFERROR(__xludf.DUMMYFUNCTION("""COMPUTED_VALUE"""),99222)</f>
        <v>99222</v>
      </c>
      <c r="B2628" s="4">
        <f ca="1">IFERROR(__xludf.DUMMYFUNCTION("""COMPUTED_VALUE"""),44718)</f>
        <v>44718</v>
      </c>
      <c r="C2628" t="str">
        <f ca="1">IFERROR(__xludf.DUMMYFUNCTION("""COMPUTED_VALUE"""),"УДХБ БУ Г. ОМСКА 114-СТР от 01.01.2022")</f>
        <v>УДХБ БУ Г. ОМСКА 114-СТР от 01.01.2022</v>
      </c>
      <c r="D26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8" t="str">
        <f ca="1">IFERROR(__xludf.DUMMYFUNCTION("""COMPUTED_VALUE"""),"Новый")</f>
        <v>Новый</v>
      </c>
      <c r="G2628" s="68"/>
      <c r="K2628" s="68"/>
    </row>
    <row r="2629" spans="1:11" ht="12.75">
      <c r="A2629" s="69">
        <f ca="1">IFERROR(__xludf.DUMMYFUNCTION("""COMPUTED_VALUE"""),99223)</f>
        <v>99223</v>
      </c>
      <c r="B2629" s="4">
        <f ca="1">IFERROR(__xludf.DUMMYFUNCTION("""COMPUTED_VALUE"""),44718)</f>
        <v>44718</v>
      </c>
      <c r="C2629" t="str">
        <f ca="1">IFERROR(__xludf.DUMMYFUNCTION("""COMPUTED_VALUE"""),"УДХБ БУ Г. ОМСКА 114-СТР от 01.01.2022")</f>
        <v>УДХБ БУ Г. ОМСКА 114-СТР от 01.01.2022</v>
      </c>
      <c r="D26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629" t="str">
        <f ca="1">IFERROR(__xludf.DUMMYFUNCTION("""COMPUTED_VALUE"""),"Новый")</f>
        <v>Новый</v>
      </c>
      <c r="G2629" s="68"/>
      <c r="K2629" s="68"/>
    </row>
    <row r="2630" spans="1:11" ht="12.75">
      <c r="A2630" s="69">
        <f ca="1">IFERROR(__xludf.DUMMYFUNCTION("""COMPUTED_VALUE"""),99234)</f>
        <v>99234</v>
      </c>
      <c r="B2630" s="4">
        <f ca="1">IFERROR(__xludf.DUMMYFUNCTION("""COMPUTED_VALUE"""),44720)</f>
        <v>44720</v>
      </c>
      <c r="C2630" t="str">
        <f ca="1">IFERROR(__xludf.DUMMYFUNCTION("""COMPUTED_VALUE"""),"БУ Г. ОМСКА ""УДХБ"" 190-РДО ")</f>
        <v xml:space="preserve">БУ Г. ОМСКА "УДХБ" 190-РДО </v>
      </c>
      <c r="D26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0" t="str">
        <f ca="1">IFERROR(__xludf.DUMMYFUNCTION("""COMPUTED_VALUE"""),"Новый")</f>
        <v>Новый</v>
      </c>
      <c r="G2630" s="68"/>
      <c r="K2630" s="68"/>
    </row>
    <row r="2631" spans="1:11" ht="12.75">
      <c r="A2631" s="69">
        <f ca="1">IFERROR(__xludf.DUMMYFUNCTION("""COMPUTED_VALUE"""),99235)</f>
        <v>99235</v>
      </c>
      <c r="B2631" s="4">
        <f ca="1">IFERROR(__xludf.DUMMYFUNCTION("""COMPUTED_VALUE"""),44720)</f>
        <v>44720</v>
      </c>
      <c r="C2631" t="str">
        <f ca="1">IFERROR(__xludf.DUMMYFUNCTION("""COMPUTED_VALUE"""),"БУ Г. ОМСКА ""УДХБ"" 190-РДО ")</f>
        <v xml:space="preserve">БУ Г. ОМСКА "УДХБ" 190-РДО </v>
      </c>
      <c r="D26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1" t="str">
        <f ca="1">IFERROR(__xludf.DUMMYFUNCTION("""COMPUTED_VALUE"""),"Новый")</f>
        <v>Новый</v>
      </c>
      <c r="G2631" s="68"/>
      <c r="K2631" s="68"/>
    </row>
    <row r="2632" spans="1:11" ht="12.75">
      <c r="A2632" s="69">
        <f ca="1">IFERROR(__xludf.DUMMYFUNCTION("""COMPUTED_VALUE"""),99239)</f>
        <v>99239</v>
      </c>
      <c r="B2632" s="4">
        <f ca="1">IFERROR(__xludf.DUMMYFUNCTION("""COMPUTED_VALUE"""),44720)</f>
        <v>44720</v>
      </c>
      <c r="C2632" t="str">
        <f ca="1">IFERROR(__xludf.DUMMYFUNCTION("""COMPUTED_VALUE"""),"БУ Г. ОМСКА ""УДХБ"" 190-РДО ")</f>
        <v xml:space="preserve">БУ Г. ОМСКА "УДХБ" 190-РДО </v>
      </c>
      <c r="D26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2" t="str">
        <f ca="1">IFERROR(__xludf.DUMMYFUNCTION("""COMPUTED_VALUE"""),"Новый")</f>
        <v>Новый</v>
      </c>
      <c r="G2632" s="68"/>
      <c r="K2632" s="68"/>
    </row>
    <row r="2633" spans="1:11" ht="12.75">
      <c r="A2633" s="69">
        <f ca="1">IFERROR(__xludf.DUMMYFUNCTION("""COMPUTED_VALUE"""),99328)</f>
        <v>99328</v>
      </c>
      <c r="B2633" s="4">
        <f ca="1">IFERROR(__xludf.DUMMYFUNCTION("""COMPUTED_VALUE"""),44720)</f>
        <v>44720</v>
      </c>
      <c r="C2633" t="str">
        <f ca="1">IFERROR(__xludf.DUMMYFUNCTION("""COMPUTED_VALUE"""),"БУ Г. ОМСКА ""УДХБ"" 190-РДО ")</f>
        <v xml:space="preserve">БУ Г. ОМСКА "УДХБ" 190-РДО </v>
      </c>
      <c r="D26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3" t="str">
        <f ca="1">IFERROR(__xludf.DUMMYFUNCTION("""COMPUTED_VALUE"""),"Новый")</f>
        <v>Новый</v>
      </c>
      <c r="G2633" s="68"/>
      <c r="K2633" s="68"/>
    </row>
    <row r="2634" spans="1:11" ht="12.75">
      <c r="A2634" s="69">
        <f ca="1">IFERROR(__xludf.DUMMYFUNCTION("""COMPUTED_VALUE"""),99329)</f>
        <v>99329</v>
      </c>
      <c r="B2634" s="4">
        <f ca="1">IFERROR(__xludf.DUMMYFUNCTION("""COMPUTED_VALUE"""),44720)</f>
        <v>44720</v>
      </c>
      <c r="C2634" t="str">
        <f ca="1">IFERROR(__xludf.DUMMYFUNCTION("""COMPUTED_VALUE"""),"БУ Г. ОМСКА ""УДХБ"" 190-РДО ")</f>
        <v xml:space="preserve">БУ Г. ОМСКА "УДХБ" 190-РДО </v>
      </c>
      <c r="D26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4" t="str">
        <f ca="1">IFERROR(__xludf.DUMMYFUNCTION("""COMPUTED_VALUE"""),"Новый")</f>
        <v>Новый</v>
      </c>
      <c r="G2634" s="68"/>
      <c r="K2634" s="68"/>
    </row>
    <row r="2635" spans="1:11" ht="12.75">
      <c r="A2635" s="69">
        <f ca="1">IFERROR(__xludf.DUMMYFUNCTION("""COMPUTED_VALUE"""),99330)</f>
        <v>99330</v>
      </c>
      <c r="B2635" s="4">
        <f ca="1">IFERROR(__xludf.DUMMYFUNCTION("""COMPUTED_VALUE"""),44720)</f>
        <v>44720</v>
      </c>
      <c r="C2635" t="str">
        <f ca="1">IFERROR(__xludf.DUMMYFUNCTION("""COMPUTED_VALUE"""),"БУ Г. ОМСКА ""УДХБ"" 190-РДО ")</f>
        <v xml:space="preserve">БУ Г. ОМСКА "УДХБ" 190-РДО </v>
      </c>
      <c r="D26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5" t="str">
        <f ca="1">IFERROR(__xludf.DUMMYFUNCTION("""COMPUTED_VALUE"""),"Новый")</f>
        <v>Новый</v>
      </c>
      <c r="G2635" s="68"/>
      <c r="K2635" s="68"/>
    </row>
    <row r="2636" spans="1:11" ht="12.75">
      <c r="A2636" s="69">
        <f ca="1">IFERROR(__xludf.DUMMYFUNCTION("""COMPUTED_VALUE"""),99364)</f>
        <v>99364</v>
      </c>
      <c r="B2636" s="4">
        <f ca="1">IFERROR(__xludf.DUMMYFUNCTION("""COMPUTED_VALUE"""),44720)</f>
        <v>44720</v>
      </c>
      <c r="C2636" t="str">
        <f ca="1">IFERROR(__xludf.DUMMYFUNCTION("""COMPUTED_VALUE"""),"БУ Г. ОМСКА ""УДХБ"" 190-РДО ")</f>
        <v xml:space="preserve">БУ Г. ОМСКА "УДХБ" 190-РДО </v>
      </c>
      <c r="D26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6" t="str">
        <f ca="1">IFERROR(__xludf.DUMMYFUNCTION("""COMPUTED_VALUE"""),"Новый")</f>
        <v>Новый</v>
      </c>
      <c r="G2636" s="68"/>
      <c r="K2636" s="68"/>
    </row>
    <row r="2637" spans="1:11" ht="12.75">
      <c r="A2637" s="69">
        <f ca="1">IFERROR(__xludf.DUMMYFUNCTION("""COMPUTED_VALUE"""),99365)</f>
        <v>99365</v>
      </c>
      <c r="B2637" s="4">
        <f ca="1">IFERROR(__xludf.DUMMYFUNCTION("""COMPUTED_VALUE"""),44720)</f>
        <v>44720</v>
      </c>
      <c r="C2637" t="str">
        <f ca="1">IFERROR(__xludf.DUMMYFUNCTION("""COMPUTED_VALUE"""),"БУ Г. ОМСКА ""УДХБ"" 190-РДО ")</f>
        <v xml:space="preserve">БУ Г. ОМСКА "УДХБ" 190-РДО </v>
      </c>
      <c r="D26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7" t="str">
        <f ca="1">IFERROR(__xludf.DUMMYFUNCTION("""COMPUTED_VALUE"""),"Новый")</f>
        <v>Новый</v>
      </c>
      <c r="G2637" s="68"/>
      <c r="K2637" s="68"/>
    </row>
    <row r="2638" spans="1:11" ht="12.75">
      <c r="A2638" s="69">
        <f ca="1">IFERROR(__xludf.DUMMYFUNCTION("""COMPUTED_VALUE"""),99366)</f>
        <v>99366</v>
      </c>
      <c r="B2638" s="4">
        <f ca="1">IFERROR(__xludf.DUMMYFUNCTION("""COMPUTED_VALUE"""),44720)</f>
        <v>44720</v>
      </c>
      <c r="C2638" t="str">
        <f ca="1">IFERROR(__xludf.DUMMYFUNCTION("""COMPUTED_VALUE"""),"БУ Г. ОМСКА ""УДХБ"" 190-РДО ")</f>
        <v xml:space="preserve">БУ Г. ОМСКА "УДХБ" 190-РДО </v>
      </c>
      <c r="D26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8" t="str">
        <f ca="1">IFERROR(__xludf.DUMMYFUNCTION("""COMPUTED_VALUE"""),"Новый")</f>
        <v>Новый</v>
      </c>
      <c r="G2638" s="68"/>
      <c r="K2638" s="68"/>
    </row>
    <row r="2639" spans="1:11" ht="12.75">
      <c r="A2639" s="69">
        <f ca="1">IFERROR(__xludf.DUMMYFUNCTION("""COMPUTED_VALUE"""),99367)</f>
        <v>99367</v>
      </c>
      <c r="B2639" s="4">
        <f ca="1">IFERROR(__xludf.DUMMYFUNCTION("""COMPUTED_VALUE"""),44720)</f>
        <v>44720</v>
      </c>
      <c r="C2639" t="str">
        <f ca="1">IFERROR(__xludf.DUMMYFUNCTION("""COMPUTED_VALUE"""),"БУ Г. ОМСКА ""УДХБ"" 190-РДО ")</f>
        <v xml:space="preserve">БУ Г. ОМСКА "УДХБ" 190-РДО </v>
      </c>
      <c r="D26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39" t="str">
        <f ca="1">IFERROR(__xludf.DUMMYFUNCTION("""COMPUTED_VALUE"""),"Новый")</f>
        <v>Новый</v>
      </c>
      <c r="G2639" s="68"/>
      <c r="K2639" s="68"/>
    </row>
    <row r="2640" spans="1:11" ht="12.75">
      <c r="A2640" s="69">
        <f ca="1">IFERROR(__xludf.DUMMYFUNCTION("""COMPUTED_VALUE"""),99368)</f>
        <v>99368</v>
      </c>
      <c r="B2640" s="4">
        <f ca="1">IFERROR(__xludf.DUMMYFUNCTION("""COMPUTED_VALUE"""),44720)</f>
        <v>44720</v>
      </c>
      <c r="C2640" t="str">
        <f ca="1">IFERROR(__xludf.DUMMYFUNCTION("""COMPUTED_VALUE"""),"БУ Г. ОМСКА ""УДХБ"" 190-РДО ")</f>
        <v xml:space="preserve">БУ Г. ОМСКА "УДХБ" 190-РДО </v>
      </c>
      <c r="D26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0" t="str">
        <f ca="1">IFERROR(__xludf.DUMMYFUNCTION("""COMPUTED_VALUE"""),"Новый")</f>
        <v>Новый</v>
      </c>
      <c r="G2640" s="68"/>
      <c r="K2640" s="68"/>
    </row>
    <row r="2641" spans="1:11" ht="12.75">
      <c r="A2641" s="69">
        <f ca="1">IFERROR(__xludf.DUMMYFUNCTION("""COMPUTED_VALUE"""),99369)</f>
        <v>99369</v>
      </c>
      <c r="B2641" s="4">
        <f ca="1">IFERROR(__xludf.DUMMYFUNCTION("""COMPUTED_VALUE"""),44720)</f>
        <v>44720</v>
      </c>
      <c r="C2641" t="str">
        <f ca="1">IFERROR(__xludf.DUMMYFUNCTION("""COMPUTED_VALUE"""),"БУ Г. ОМСКА ""УДХБ"" 190-РДО ")</f>
        <v xml:space="preserve">БУ Г. ОМСКА "УДХБ" 190-РДО </v>
      </c>
      <c r="D26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1" t="str">
        <f ca="1">IFERROR(__xludf.DUMMYFUNCTION("""COMPUTED_VALUE"""),"Новый")</f>
        <v>Новый</v>
      </c>
      <c r="G2641" s="68"/>
      <c r="K2641" s="68"/>
    </row>
    <row r="2642" spans="1:11" ht="12.75">
      <c r="A2642" s="69">
        <f ca="1">IFERROR(__xludf.DUMMYFUNCTION("""COMPUTED_VALUE"""),99370)</f>
        <v>99370</v>
      </c>
      <c r="B2642" s="4">
        <f ca="1">IFERROR(__xludf.DUMMYFUNCTION("""COMPUTED_VALUE"""),44720)</f>
        <v>44720</v>
      </c>
      <c r="C2642" t="str">
        <f ca="1">IFERROR(__xludf.DUMMYFUNCTION("""COMPUTED_VALUE"""),"БУ Г. ОМСКА ""УДХБ"" 190-РДО ")</f>
        <v xml:space="preserve">БУ Г. ОМСКА "УДХБ" 190-РДО </v>
      </c>
      <c r="D26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2" t="str">
        <f ca="1">IFERROR(__xludf.DUMMYFUNCTION("""COMPUTED_VALUE"""),"Новый")</f>
        <v>Новый</v>
      </c>
      <c r="G2642" s="68"/>
      <c r="K2642" s="68"/>
    </row>
    <row r="2643" spans="1:11" ht="12.75">
      <c r="A2643" s="69">
        <f ca="1">IFERROR(__xludf.DUMMYFUNCTION("""COMPUTED_VALUE"""),99371)</f>
        <v>99371</v>
      </c>
      <c r="B2643" s="4">
        <f ca="1">IFERROR(__xludf.DUMMYFUNCTION("""COMPUTED_VALUE"""),44720)</f>
        <v>44720</v>
      </c>
      <c r="C2643" t="str">
        <f ca="1">IFERROR(__xludf.DUMMYFUNCTION("""COMPUTED_VALUE"""),"БУ Г. ОМСКА ""УДХБ"" 190-РДО ")</f>
        <v xml:space="preserve">БУ Г. ОМСКА "УДХБ" 190-РДО </v>
      </c>
      <c r="D26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3" t="str">
        <f ca="1">IFERROR(__xludf.DUMMYFUNCTION("""COMPUTED_VALUE"""),"Новый")</f>
        <v>Новый</v>
      </c>
      <c r="G2643" s="68"/>
      <c r="K2643" s="68"/>
    </row>
    <row r="2644" spans="1:11" ht="12.75">
      <c r="A2644" s="69">
        <f ca="1">IFERROR(__xludf.DUMMYFUNCTION("""COMPUTED_VALUE"""),99372)</f>
        <v>99372</v>
      </c>
      <c r="B2644" s="4">
        <f ca="1">IFERROR(__xludf.DUMMYFUNCTION("""COMPUTED_VALUE"""),44720)</f>
        <v>44720</v>
      </c>
      <c r="C2644" t="str">
        <f ca="1">IFERROR(__xludf.DUMMYFUNCTION("""COMPUTED_VALUE"""),"БУ Г. ОМСКА ""УДХБ"" 190-РДО ")</f>
        <v xml:space="preserve">БУ Г. ОМСКА "УДХБ" 190-РДО </v>
      </c>
      <c r="D26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4" t="str">
        <f ca="1">IFERROR(__xludf.DUMMYFUNCTION("""COMPUTED_VALUE"""),"Новый")</f>
        <v>Новый</v>
      </c>
      <c r="G2644" s="68"/>
      <c r="K2644" s="68"/>
    </row>
    <row r="2645" spans="1:11" ht="12.75">
      <c r="A2645" s="69">
        <f ca="1">IFERROR(__xludf.DUMMYFUNCTION("""COMPUTED_VALUE"""),99373)</f>
        <v>99373</v>
      </c>
      <c r="B2645" s="4">
        <f ca="1">IFERROR(__xludf.DUMMYFUNCTION("""COMPUTED_VALUE"""),44720)</f>
        <v>44720</v>
      </c>
      <c r="C2645" t="str">
        <f ca="1">IFERROR(__xludf.DUMMYFUNCTION("""COMPUTED_VALUE"""),"БУ Г. ОМСКА ""УДХБ"" 190-РДО ")</f>
        <v xml:space="preserve">БУ Г. ОМСКА "УДХБ" 190-РДО </v>
      </c>
      <c r="D26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5" t="str">
        <f ca="1">IFERROR(__xludf.DUMMYFUNCTION("""COMPUTED_VALUE"""),"Новый")</f>
        <v>Новый</v>
      </c>
      <c r="G2645" s="68"/>
      <c r="K2645" s="68"/>
    </row>
    <row r="2646" spans="1:11" ht="12.75">
      <c r="A2646" s="69">
        <f ca="1">IFERROR(__xludf.DUMMYFUNCTION("""COMPUTED_VALUE"""),99374)</f>
        <v>99374</v>
      </c>
      <c r="B2646" s="4">
        <f ca="1">IFERROR(__xludf.DUMMYFUNCTION("""COMPUTED_VALUE"""),44720)</f>
        <v>44720</v>
      </c>
      <c r="C2646" t="str">
        <f ca="1">IFERROR(__xludf.DUMMYFUNCTION("""COMPUTED_VALUE"""),"БУ Г. ОМСКА ""УДХБ"" 190-РДО ")</f>
        <v xml:space="preserve">БУ Г. ОМСКА "УДХБ" 190-РДО </v>
      </c>
      <c r="D26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6" t="str">
        <f ca="1">IFERROR(__xludf.DUMMYFUNCTION("""COMPUTED_VALUE"""),"Новый")</f>
        <v>Новый</v>
      </c>
      <c r="G2646" s="68"/>
      <c r="K2646" s="68"/>
    </row>
    <row r="2647" spans="1:11" ht="12.75">
      <c r="A2647" s="69">
        <f ca="1">IFERROR(__xludf.DUMMYFUNCTION("""COMPUTED_VALUE"""),99375)</f>
        <v>99375</v>
      </c>
      <c r="B2647" s="4">
        <f ca="1">IFERROR(__xludf.DUMMYFUNCTION("""COMPUTED_VALUE"""),44720)</f>
        <v>44720</v>
      </c>
      <c r="C2647" t="str">
        <f ca="1">IFERROR(__xludf.DUMMYFUNCTION("""COMPUTED_VALUE"""),"БУ Г. ОМСКА ""УДХБ"" 190-РДО ")</f>
        <v xml:space="preserve">БУ Г. ОМСКА "УДХБ" 190-РДО </v>
      </c>
      <c r="D26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7" t="str">
        <f ca="1">IFERROR(__xludf.DUMMYFUNCTION("""COMPUTED_VALUE"""),"Новый")</f>
        <v>Новый</v>
      </c>
      <c r="G2647" s="68"/>
      <c r="K2647" s="68"/>
    </row>
    <row r="2648" spans="1:11" ht="12.75">
      <c r="A2648" s="69">
        <f ca="1">IFERROR(__xludf.DUMMYFUNCTION("""COMPUTED_VALUE"""),99376)</f>
        <v>99376</v>
      </c>
      <c r="B2648" s="4">
        <f ca="1">IFERROR(__xludf.DUMMYFUNCTION("""COMPUTED_VALUE"""),44720)</f>
        <v>44720</v>
      </c>
      <c r="C2648" t="str">
        <f ca="1">IFERROR(__xludf.DUMMYFUNCTION("""COMPUTED_VALUE"""),"БУ Г. ОМСКА ""УДХБ"" 190-РДО ")</f>
        <v xml:space="preserve">БУ Г. ОМСКА "УДХБ" 190-РДО </v>
      </c>
      <c r="D26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8" t="str">
        <f ca="1">IFERROR(__xludf.DUMMYFUNCTION("""COMPUTED_VALUE"""),"Новый")</f>
        <v>Новый</v>
      </c>
      <c r="G2648" s="68"/>
      <c r="K2648" s="68"/>
    </row>
    <row r="2649" spans="1:11" ht="12.75">
      <c r="A2649" s="69">
        <f ca="1">IFERROR(__xludf.DUMMYFUNCTION("""COMPUTED_VALUE"""),99377)</f>
        <v>99377</v>
      </c>
      <c r="B2649" s="4">
        <f ca="1">IFERROR(__xludf.DUMMYFUNCTION("""COMPUTED_VALUE"""),44720)</f>
        <v>44720</v>
      </c>
      <c r="C2649" t="str">
        <f ca="1">IFERROR(__xludf.DUMMYFUNCTION("""COMPUTED_VALUE"""),"БУ Г. ОМСКА ""УДХБ"" 190-РДО ")</f>
        <v xml:space="preserve">БУ Г. ОМСКА "УДХБ" 190-РДО </v>
      </c>
      <c r="D26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49" t="str">
        <f ca="1">IFERROR(__xludf.DUMMYFUNCTION("""COMPUTED_VALUE"""),"Новый")</f>
        <v>Новый</v>
      </c>
      <c r="G2649" s="68"/>
      <c r="K2649" s="68"/>
    </row>
    <row r="2650" spans="1:11" ht="12.75">
      <c r="A2650" s="69">
        <f ca="1">IFERROR(__xludf.DUMMYFUNCTION("""COMPUTED_VALUE"""),99378)</f>
        <v>99378</v>
      </c>
      <c r="B2650" s="4">
        <f ca="1">IFERROR(__xludf.DUMMYFUNCTION("""COMPUTED_VALUE"""),44720)</f>
        <v>44720</v>
      </c>
      <c r="C2650" t="str">
        <f ca="1">IFERROR(__xludf.DUMMYFUNCTION("""COMPUTED_VALUE"""),"БУ Г. ОМСКА ""УДХБ"" 190-РДО ")</f>
        <v xml:space="preserve">БУ Г. ОМСКА "УДХБ" 190-РДО </v>
      </c>
      <c r="D26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0" t="str">
        <f ca="1">IFERROR(__xludf.DUMMYFUNCTION("""COMPUTED_VALUE"""),"Новый")</f>
        <v>Новый</v>
      </c>
      <c r="G2650" s="68"/>
      <c r="K2650" s="68"/>
    </row>
    <row r="2651" spans="1:11" ht="12.75">
      <c r="A2651" s="69">
        <f ca="1">IFERROR(__xludf.DUMMYFUNCTION("""COMPUTED_VALUE"""),99379)</f>
        <v>99379</v>
      </c>
      <c r="B2651" s="4">
        <f ca="1">IFERROR(__xludf.DUMMYFUNCTION("""COMPUTED_VALUE"""),44720)</f>
        <v>44720</v>
      </c>
      <c r="C2651" t="str">
        <f ca="1">IFERROR(__xludf.DUMMYFUNCTION("""COMPUTED_VALUE"""),"БУ Г. ОМСКА ""УДХБ"" 190-РДО ")</f>
        <v xml:space="preserve">БУ Г. ОМСКА "УДХБ" 190-РДО </v>
      </c>
      <c r="D26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1" t="str">
        <f ca="1">IFERROR(__xludf.DUMMYFUNCTION("""COMPUTED_VALUE"""),"Новый")</f>
        <v>Новый</v>
      </c>
      <c r="G2651" s="68"/>
      <c r="K2651" s="68"/>
    </row>
    <row r="2652" spans="1:11" ht="12.75">
      <c r="A2652" s="69">
        <f ca="1">IFERROR(__xludf.DUMMYFUNCTION("""COMPUTED_VALUE"""),99380)</f>
        <v>99380</v>
      </c>
      <c r="B2652" s="4">
        <f ca="1">IFERROR(__xludf.DUMMYFUNCTION("""COMPUTED_VALUE"""),44720)</f>
        <v>44720</v>
      </c>
      <c r="C2652" t="str">
        <f ca="1">IFERROR(__xludf.DUMMYFUNCTION("""COMPUTED_VALUE"""),"БУ Г. ОМСКА ""УДХБ"" 190-РДО ")</f>
        <v xml:space="preserve">БУ Г. ОМСКА "УДХБ" 190-РДО </v>
      </c>
      <c r="D26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2" t="str">
        <f ca="1">IFERROR(__xludf.DUMMYFUNCTION("""COMPUTED_VALUE"""),"Новый")</f>
        <v>Новый</v>
      </c>
      <c r="G2652" s="68"/>
      <c r="K2652" s="68"/>
    </row>
    <row r="2653" spans="1:11" ht="12.75">
      <c r="A2653" s="69">
        <f ca="1">IFERROR(__xludf.DUMMYFUNCTION("""COMPUTED_VALUE"""),99381)</f>
        <v>99381</v>
      </c>
      <c r="B2653" s="4">
        <f ca="1">IFERROR(__xludf.DUMMYFUNCTION("""COMPUTED_VALUE"""),44720)</f>
        <v>44720</v>
      </c>
      <c r="C2653" t="str">
        <f ca="1">IFERROR(__xludf.DUMMYFUNCTION("""COMPUTED_VALUE"""),"БУ Г. ОМСКА ""УДХБ"" 190-РДО ")</f>
        <v xml:space="preserve">БУ Г. ОМСКА "УДХБ" 190-РДО </v>
      </c>
      <c r="D26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3" t="str">
        <f ca="1">IFERROR(__xludf.DUMMYFUNCTION("""COMPUTED_VALUE"""),"Новый")</f>
        <v>Новый</v>
      </c>
      <c r="G2653" s="68"/>
      <c r="K2653" s="68"/>
    </row>
    <row r="2654" spans="1:11" ht="12.75">
      <c r="A2654" s="69">
        <f ca="1">IFERROR(__xludf.DUMMYFUNCTION("""COMPUTED_VALUE"""),99382)</f>
        <v>99382</v>
      </c>
      <c r="B2654" s="4">
        <f ca="1">IFERROR(__xludf.DUMMYFUNCTION("""COMPUTED_VALUE"""),44720)</f>
        <v>44720</v>
      </c>
      <c r="C2654" t="str">
        <f ca="1">IFERROR(__xludf.DUMMYFUNCTION("""COMPUTED_VALUE"""),"БУ Г. ОМСКА ""УДХБ"" 190-РДО ")</f>
        <v xml:space="preserve">БУ Г. ОМСКА "УДХБ" 190-РДО </v>
      </c>
      <c r="D26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4" t="str">
        <f ca="1">IFERROR(__xludf.DUMMYFUNCTION("""COMPUTED_VALUE"""),"Новый")</f>
        <v>Новый</v>
      </c>
      <c r="G2654" s="68"/>
      <c r="K2654" s="68"/>
    </row>
    <row r="2655" spans="1:11" ht="12.75">
      <c r="A2655" s="69">
        <f ca="1">IFERROR(__xludf.DUMMYFUNCTION("""COMPUTED_VALUE"""),99383)</f>
        <v>99383</v>
      </c>
      <c r="B2655" s="4">
        <f ca="1">IFERROR(__xludf.DUMMYFUNCTION("""COMPUTED_VALUE"""),44720)</f>
        <v>44720</v>
      </c>
      <c r="C2655" t="str">
        <f ca="1">IFERROR(__xludf.DUMMYFUNCTION("""COMPUTED_VALUE"""),"БУ Г. ОМСКА ""УДХБ"" 190-РДО ")</f>
        <v xml:space="preserve">БУ Г. ОМСКА "УДХБ" 190-РДО </v>
      </c>
      <c r="D26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5" t="str">
        <f ca="1">IFERROR(__xludf.DUMMYFUNCTION("""COMPUTED_VALUE"""),"Новый")</f>
        <v>Новый</v>
      </c>
      <c r="G2655" s="68"/>
      <c r="K2655" s="68"/>
    </row>
    <row r="2656" spans="1:11" ht="12.75">
      <c r="A2656" s="69">
        <f ca="1">IFERROR(__xludf.DUMMYFUNCTION("""COMPUTED_VALUE"""),99384)</f>
        <v>99384</v>
      </c>
      <c r="B2656" s="4">
        <f ca="1">IFERROR(__xludf.DUMMYFUNCTION("""COMPUTED_VALUE"""),44720)</f>
        <v>44720</v>
      </c>
      <c r="C2656" t="str">
        <f ca="1">IFERROR(__xludf.DUMMYFUNCTION("""COMPUTED_VALUE"""),"БУ Г. ОМСКА ""УДХБ"" 190-РДО ")</f>
        <v xml:space="preserve">БУ Г. ОМСКА "УДХБ" 190-РДО </v>
      </c>
      <c r="D26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6" t="str">
        <f ca="1">IFERROR(__xludf.DUMMYFUNCTION("""COMPUTED_VALUE"""),"Новый")</f>
        <v>Новый</v>
      </c>
      <c r="G2656" s="68"/>
      <c r="K2656" s="68"/>
    </row>
    <row r="2657" spans="1:11" ht="12.75">
      <c r="A2657" s="69">
        <f ca="1">IFERROR(__xludf.DUMMYFUNCTION("""COMPUTED_VALUE"""),99385)</f>
        <v>99385</v>
      </c>
      <c r="B2657" s="4">
        <f ca="1">IFERROR(__xludf.DUMMYFUNCTION("""COMPUTED_VALUE"""),44720)</f>
        <v>44720</v>
      </c>
      <c r="C2657" t="str">
        <f ca="1">IFERROR(__xludf.DUMMYFUNCTION("""COMPUTED_VALUE"""),"БУ Г. ОМСКА ""УДХБ"" 190-РДО ")</f>
        <v xml:space="preserve">БУ Г. ОМСКА "УДХБ" 190-РДО </v>
      </c>
      <c r="D26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7" t="str">
        <f ca="1">IFERROR(__xludf.DUMMYFUNCTION("""COMPUTED_VALUE"""),"Новый")</f>
        <v>Новый</v>
      </c>
      <c r="G2657" s="68"/>
      <c r="K2657" s="68"/>
    </row>
    <row r="2658" spans="1:11" ht="12.75">
      <c r="A2658" s="69">
        <f ca="1">IFERROR(__xludf.DUMMYFUNCTION("""COMPUTED_VALUE"""),99386)</f>
        <v>99386</v>
      </c>
      <c r="B2658" s="4">
        <f ca="1">IFERROR(__xludf.DUMMYFUNCTION("""COMPUTED_VALUE"""),44720)</f>
        <v>44720</v>
      </c>
      <c r="C2658" t="str">
        <f ca="1">IFERROR(__xludf.DUMMYFUNCTION("""COMPUTED_VALUE"""),"БУ Г. ОМСКА ""УДХБ"" 190-РДО ")</f>
        <v xml:space="preserve">БУ Г. ОМСКА "УДХБ" 190-РДО </v>
      </c>
      <c r="D26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8" t="str">
        <f ca="1">IFERROR(__xludf.DUMMYFUNCTION("""COMPUTED_VALUE"""),"Новый")</f>
        <v>Новый</v>
      </c>
      <c r="G2658" s="68"/>
      <c r="K2658" s="68"/>
    </row>
    <row r="2659" spans="1:11" ht="12.75">
      <c r="A2659" s="69">
        <f ca="1">IFERROR(__xludf.DUMMYFUNCTION("""COMPUTED_VALUE"""),99387)</f>
        <v>99387</v>
      </c>
      <c r="B2659" s="4">
        <f ca="1">IFERROR(__xludf.DUMMYFUNCTION("""COMPUTED_VALUE"""),44720)</f>
        <v>44720</v>
      </c>
      <c r="C2659" t="str">
        <f ca="1">IFERROR(__xludf.DUMMYFUNCTION("""COMPUTED_VALUE"""),"БУ Г. ОМСКА ""УДХБ"" 190-РДО ")</f>
        <v xml:space="preserve">БУ Г. ОМСКА "УДХБ" 190-РДО </v>
      </c>
      <c r="D26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59" t="str">
        <f ca="1">IFERROR(__xludf.DUMMYFUNCTION("""COMPUTED_VALUE"""),"Новый")</f>
        <v>Новый</v>
      </c>
      <c r="G2659" s="68"/>
      <c r="K2659" s="68"/>
    </row>
    <row r="2660" spans="1:11" ht="12.75">
      <c r="A2660" s="69">
        <f ca="1">IFERROR(__xludf.DUMMYFUNCTION("""COMPUTED_VALUE"""),99388)</f>
        <v>99388</v>
      </c>
      <c r="B2660" s="4">
        <f ca="1">IFERROR(__xludf.DUMMYFUNCTION("""COMPUTED_VALUE"""),44720)</f>
        <v>44720</v>
      </c>
      <c r="C2660" t="str">
        <f ca="1">IFERROR(__xludf.DUMMYFUNCTION("""COMPUTED_VALUE"""),"БУ Г. ОМСКА ""УДХБ"" 190-РДО ")</f>
        <v xml:space="preserve">БУ Г. ОМСКА "УДХБ" 190-РДО </v>
      </c>
      <c r="D26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0" t="str">
        <f ca="1">IFERROR(__xludf.DUMMYFUNCTION("""COMPUTED_VALUE"""),"Новый")</f>
        <v>Новый</v>
      </c>
      <c r="G2660" s="68"/>
      <c r="K2660" s="68"/>
    </row>
    <row r="2661" spans="1:11" ht="12.75">
      <c r="A2661" s="69">
        <f ca="1">IFERROR(__xludf.DUMMYFUNCTION("""COMPUTED_VALUE"""),99389)</f>
        <v>99389</v>
      </c>
      <c r="B2661" s="4">
        <f ca="1">IFERROR(__xludf.DUMMYFUNCTION("""COMPUTED_VALUE"""),44720)</f>
        <v>44720</v>
      </c>
      <c r="C2661" t="str">
        <f ca="1">IFERROR(__xludf.DUMMYFUNCTION("""COMPUTED_VALUE"""),"БУ Г. ОМСКА ""УДХБ"" 190-РДО ")</f>
        <v xml:space="preserve">БУ Г. ОМСКА "УДХБ" 190-РДО </v>
      </c>
      <c r="D26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1" t="str">
        <f ca="1">IFERROR(__xludf.DUMMYFUNCTION("""COMPUTED_VALUE"""),"Новый")</f>
        <v>Новый</v>
      </c>
      <c r="G2661" s="68"/>
      <c r="K2661" s="68"/>
    </row>
    <row r="2662" spans="1:11" ht="12.75">
      <c r="A2662" s="69">
        <f ca="1">IFERROR(__xludf.DUMMYFUNCTION("""COMPUTED_VALUE"""),99390)</f>
        <v>99390</v>
      </c>
      <c r="B2662" s="4">
        <f ca="1">IFERROR(__xludf.DUMMYFUNCTION("""COMPUTED_VALUE"""),44720)</f>
        <v>44720</v>
      </c>
      <c r="C2662" t="str">
        <f ca="1">IFERROR(__xludf.DUMMYFUNCTION("""COMPUTED_VALUE"""),"БУ Г. ОМСКА ""УДХБ"" 190-РДО ")</f>
        <v xml:space="preserve">БУ Г. ОМСКА "УДХБ" 190-РДО </v>
      </c>
      <c r="D26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2" t="str">
        <f ca="1">IFERROR(__xludf.DUMMYFUNCTION("""COMPUTED_VALUE"""),"Новый")</f>
        <v>Новый</v>
      </c>
      <c r="G2662" s="68"/>
      <c r="K2662" s="68"/>
    </row>
    <row r="2663" spans="1:11" ht="12.75">
      <c r="A2663" s="69">
        <f ca="1">IFERROR(__xludf.DUMMYFUNCTION("""COMPUTED_VALUE"""),99391)</f>
        <v>99391</v>
      </c>
      <c r="B2663" s="4">
        <f ca="1">IFERROR(__xludf.DUMMYFUNCTION("""COMPUTED_VALUE"""),44720)</f>
        <v>44720</v>
      </c>
      <c r="C2663" t="str">
        <f ca="1">IFERROR(__xludf.DUMMYFUNCTION("""COMPUTED_VALUE"""),"БУ Г. ОМСКА ""УДХБ"" 190-РДО ")</f>
        <v xml:space="preserve">БУ Г. ОМСКА "УДХБ" 190-РДО </v>
      </c>
      <c r="D26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3" t="str">
        <f ca="1">IFERROR(__xludf.DUMMYFUNCTION("""COMPUTED_VALUE"""),"Новый")</f>
        <v>Новый</v>
      </c>
      <c r="G2663" s="68"/>
      <c r="K2663" s="68"/>
    </row>
    <row r="2664" spans="1:11" ht="12.75">
      <c r="A2664" s="69">
        <f ca="1">IFERROR(__xludf.DUMMYFUNCTION("""COMPUTED_VALUE"""),99392)</f>
        <v>99392</v>
      </c>
      <c r="B2664" s="4">
        <f ca="1">IFERROR(__xludf.DUMMYFUNCTION("""COMPUTED_VALUE"""),44720)</f>
        <v>44720</v>
      </c>
      <c r="C2664" t="str">
        <f ca="1">IFERROR(__xludf.DUMMYFUNCTION("""COMPUTED_VALUE"""),"БУ Г. ОМСКА ""УДХБ"" 190-РДО ")</f>
        <v xml:space="preserve">БУ Г. ОМСКА "УДХБ" 190-РДО </v>
      </c>
      <c r="D26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4" t="str">
        <f ca="1">IFERROR(__xludf.DUMMYFUNCTION("""COMPUTED_VALUE"""),"Новый")</f>
        <v>Новый</v>
      </c>
      <c r="G2664" s="68"/>
      <c r="K2664" s="68"/>
    </row>
    <row r="2665" spans="1:11" ht="12.75">
      <c r="A2665" s="69">
        <f ca="1">IFERROR(__xludf.DUMMYFUNCTION("""COMPUTED_VALUE"""),99393)</f>
        <v>99393</v>
      </c>
      <c r="B2665" s="4">
        <f ca="1">IFERROR(__xludf.DUMMYFUNCTION("""COMPUTED_VALUE"""),44720)</f>
        <v>44720</v>
      </c>
      <c r="C2665" t="str">
        <f ca="1">IFERROR(__xludf.DUMMYFUNCTION("""COMPUTED_VALUE"""),"БУ Г. ОМСКА ""УДХБ"" 190-РДО ")</f>
        <v xml:space="preserve">БУ Г. ОМСКА "УДХБ" 190-РДО </v>
      </c>
      <c r="D26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5" t="str">
        <f ca="1">IFERROR(__xludf.DUMMYFUNCTION("""COMPUTED_VALUE"""),"Новый")</f>
        <v>Новый</v>
      </c>
      <c r="G2665" s="68"/>
      <c r="K2665" s="68"/>
    </row>
    <row r="2666" spans="1:11" ht="12.75">
      <c r="A2666" s="69">
        <f ca="1">IFERROR(__xludf.DUMMYFUNCTION("""COMPUTED_VALUE"""),99394)</f>
        <v>99394</v>
      </c>
      <c r="B2666" s="4">
        <f ca="1">IFERROR(__xludf.DUMMYFUNCTION("""COMPUTED_VALUE"""),44720)</f>
        <v>44720</v>
      </c>
      <c r="C2666" t="str">
        <f ca="1">IFERROR(__xludf.DUMMYFUNCTION("""COMPUTED_VALUE"""),"БУ Г. ОМСКА ""УДХБ"" 190-РДО ")</f>
        <v xml:space="preserve">БУ Г. ОМСКА "УДХБ" 190-РДО </v>
      </c>
      <c r="D26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6" t="str">
        <f ca="1">IFERROR(__xludf.DUMMYFUNCTION("""COMPUTED_VALUE"""),"Новый")</f>
        <v>Новый</v>
      </c>
      <c r="G2666" s="68"/>
      <c r="K2666" s="68"/>
    </row>
    <row r="2667" spans="1:11" ht="12.75">
      <c r="A2667" s="69">
        <f ca="1">IFERROR(__xludf.DUMMYFUNCTION("""COMPUTED_VALUE"""),99395)</f>
        <v>99395</v>
      </c>
      <c r="B2667" s="4">
        <f ca="1">IFERROR(__xludf.DUMMYFUNCTION("""COMPUTED_VALUE"""),44720)</f>
        <v>44720</v>
      </c>
      <c r="C2667" t="str">
        <f ca="1">IFERROR(__xludf.DUMMYFUNCTION("""COMPUTED_VALUE"""),"БУ Г. ОМСКА ""УДХБ"" 190-РДО ")</f>
        <v xml:space="preserve">БУ Г. ОМСКА "УДХБ" 190-РДО </v>
      </c>
      <c r="D26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7" t="str">
        <f ca="1">IFERROR(__xludf.DUMMYFUNCTION("""COMPUTED_VALUE"""),"Новый")</f>
        <v>Новый</v>
      </c>
      <c r="G2667" s="68"/>
      <c r="K2667" s="68"/>
    </row>
    <row r="2668" spans="1:11" ht="12.75">
      <c r="A2668" s="69">
        <f ca="1">IFERROR(__xludf.DUMMYFUNCTION("""COMPUTED_VALUE"""),99396)</f>
        <v>99396</v>
      </c>
      <c r="B2668" s="4">
        <f ca="1">IFERROR(__xludf.DUMMYFUNCTION("""COMPUTED_VALUE"""),44720)</f>
        <v>44720</v>
      </c>
      <c r="C2668" t="str">
        <f ca="1">IFERROR(__xludf.DUMMYFUNCTION("""COMPUTED_VALUE"""),"БУ Г. ОМСКА ""УДХБ"" 190-РДО ")</f>
        <v xml:space="preserve">БУ Г. ОМСКА "УДХБ" 190-РДО </v>
      </c>
      <c r="D26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8" t="str">
        <f ca="1">IFERROR(__xludf.DUMMYFUNCTION("""COMPUTED_VALUE"""),"Новый")</f>
        <v>Новый</v>
      </c>
      <c r="G2668" s="68"/>
      <c r="K2668" s="68"/>
    </row>
    <row r="2669" spans="1:11" ht="12.75">
      <c r="A2669" s="69">
        <f ca="1">IFERROR(__xludf.DUMMYFUNCTION("""COMPUTED_VALUE"""),99397)</f>
        <v>99397</v>
      </c>
      <c r="B2669" s="4">
        <f ca="1">IFERROR(__xludf.DUMMYFUNCTION("""COMPUTED_VALUE"""),44720)</f>
        <v>44720</v>
      </c>
      <c r="C2669" t="str">
        <f ca="1">IFERROR(__xludf.DUMMYFUNCTION("""COMPUTED_VALUE"""),"БУ Г. ОМСКА ""УДХБ"" 190-РДО ")</f>
        <v xml:space="preserve">БУ Г. ОМСКА "УДХБ" 190-РДО </v>
      </c>
      <c r="D26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69" t="str">
        <f ca="1">IFERROR(__xludf.DUMMYFUNCTION("""COMPUTED_VALUE"""),"Новый")</f>
        <v>Новый</v>
      </c>
      <c r="G2669" s="68"/>
      <c r="K2669" s="68"/>
    </row>
    <row r="2670" spans="1:11" ht="12.75">
      <c r="A2670" s="69">
        <f ca="1">IFERROR(__xludf.DUMMYFUNCTION("""COMPUTED_VALUE"""),99398)</f>
        <v>99398</v>
      </c>
      <c r="B2670" s="4">
        <f ca="1">IFERROR(__xludf.DUMMYFUNCTION("""COMPUTED_VALUE"""),44720)</f>
        <v>44720</v>
      </c>
      <c r="C2670" t="str">
        <f ca="1">IFERROR(__xludf.DUMMYFUNCTION("""COMPUTED_VALUE"""),"БУ Г. ОМСКА ""УДХБ"" 190-РДО ")</f>
        <v xml:space="preserve">БУ Г. ОМСКА "УДХБ" 190-РДО </v>
      </c>
      <c r="D26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0" t="str">
        <f ca="1">IFERROR(__xludf.DUMMYFUNCTION("""COMPUTED_VALUE"""),"Новый")</f>
        <v>Новый</v>
      </c>
      <c r="G2670" s="68"/>
      <c r="K2670" s="68"/>
    </row>
    <row r="2671" spans="1:11" ht="12.75">
      <c r="A2671" s="69">
        <f ca="1">IFERROR(__xludf.DUMMYFUNCTION("""COMPUTED_VALUE"""),99399)</f>
        <v>99399</v>
      </c>
      <c r="B2671" s="4">
        <f ca="1">IFERROR(__xludf.DUMMYFUNCTION("""COMPUTED_VALUE"""),44720)</f>
        <v>44720</v>
      </c>
      <c r="C2671" t="str">
        <f ca="1">IFERROR(__xludf.DUMMYFUNCTION("""COMPUTED_VALUE"""),"БУ Г. ОМСКА ""УДХБ"" 190-РДО ")</f>
        <v xml:space="preserve">БУ Г. ОМСКА "УДХБ" 190-РДО </v>
      </c>
      <c r="D26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1" t="str">
        <f ca="1">IFERROR(__xludf.DUMMYFUNCTION("""COMPUTED_VALUE"""),"Новый")</f>
        <v>Новый</v>
      </c>
      <c r="G2671" s="68"/>
      <c r="K2671" s="68"/>
    </row>
    <row r="2672" spans="1:11" ht="12.75">
      <c r="A2672" s="69">
        <f ca="1">IFERROR(__xludf.DUMMYFUNCTION("""COMPUTED_VALUE"""),99400)</f>
        <v>99400</v>
      </c>
      <c r="B2672" s="4">
        <f ca="1">IFERROR(__xludf.DUMMYFUNCTION("""COMPUTED_VALUE"""),44720)</f>
        <v>44720</v>
      </c>
      <c r="C2672" t="str">
        <f ca="1">IFERROR(__xludf.DUMMYFUNCTION("""COMPUTED_VALUE"""),"БУ Г. ОМСКА ""УДХБ"" 190-РДО ")</f>
        <v xml:space="preserve">БУ Г. ОМСКА "УДХБ" 190-РДО </v>
      </c>
      <c r="D26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2" t="str">
        <f ca="1">IFERROR(__xludf.DUMMYFUNCTION("""COMPUTED_VALUE"""),"Новый")</f>
        <v>Новый</v>
      </c>
      <c r="G2672" s="68"/>
      <c r="K2672" s="68"/>
    </row>
    <row r="2673" spans="1:11" ht="12.75">
      <c r="A2673" s="69">
        <f ca="1">IFERROR(__xludf.DUMMYFUNCTION("""COMPUTED_VALUE"""),99401)</f>
        <v>99401</v>
      </c>
      <c r="B2673" s="4">
        <f ca="1">IFERROR(__xludf.DUMMYFUNCTION("""COMPUTED_VALUE"""),44720)</f>
        <v>44720</v>
      </c>
      <c r="C2673" t="str">
        <f ca="1">IFERROR(__xludf.DUMMYFUNCTION("""COMPUTED_VALUE"""),"БУ Г. ОМСКА ""УДХБ"" 190-РДО ")</f>
        <v xml:space="preserve">БУ Г. ОМСКА "УДХБ" 190-РДО </v>
      </c>
      <c r="D26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3" t="str">
        <f ca="1">IFERROR(__xludf.DUMMYFUNCTION("""COMPUTED_VALUE"""),"Новый")</f>
        <v>Новый</v>
      </c>
      <c r="G2673" s="68"/>
      <c r="K2673" s="68"/>
    </row>
    <row r="2674" spans="1:11" ht="12.75">
      <c r="A2674" s="69">
        <f ca="1">IFERROR(__xludf.DUMMYFUNCTION("""COMPUTED_VALUE"""),99402)</f>
        <v>99402</v>
      </c>
      <c r="B2674" s="4">
        <f ca="1">IFERROR(__xludf.DUMMYFUNCTION("""COMPUTED_VALUE"""),44720)</f>
        <v>44720</v>
      </c>
      <c r="C2674" t="str">
        <f ca="1">IFERROR(__xludf.DUMMYFUNCTION("""COMPUTED_VALUE"""),"БУ Г. ОМСКА ""УДХБ"" 190-РДО ")</f>
        <v xml:space="preserve">БУ Г. ОМСКА "УДХБ" 190-РДО </v>
      </c>
      <c r="D26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4" t="str">
        <f ca="1">IFERROR(__xludf.DUMMYFUNCTION("""COMPUTED_VALUE"""),"Новый")</f>
        <v>Новый</v>
      </c>
      <c r="G2674" s="68"/>
      <c r="K2674" s="68"/>
    </row>
    <row r="2675" spans="1:11" ht="12.75">
      <c r="A2675" s="69">
        <f ca="1">IFERROR(__xludf.DUMMYFUNCTION("""COMPUTED_VALUE"""),99403)</f>
        <v>99403</v>
      </c>
      <c r="B2675" s="4">
        <f ca="1">IFERROR(__xludf.DUMMYFUNCTION("""COMPUTED_VALUE"""),44720)</f>
        <v>44720</v>
      </c>
      <c r="C2675" t="str">
        <f ca="1">IFERROR(__xludf.DUMMYFUNCTION("""COMPUTED_VALUE"""),"БУ Г. ОМСКА ""УДХБ"" 190-РДО ")</f>
        <v xml:space="preserve">БУ Г. ОМСКА "УДХБ" 190-РДО </v>
      </c>
      <c r="D26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5" t="str">
        <f ca="1">IFERROR(__xludf.DUMMYFUNCTION("""COMPUTED_VALUE"""),"Новый")</f>
        <v>Новый</v>
      </c>
      <c r="G2675" s="68"/>
      <c r="K2675" s="68"/>
    </row>
    <row r="2676" spans="1:11" ht="12.75">
      <c r="A2676" s="69">
        <f ca="1">IFERROR(__xludf.DUMMYFUNCTION("""COMPUTED_VALUE"""),99457)</f>
        <v>99457</v>
      </c>
      <c r="B2676" s="4">
        <f ca="1">IFERROR(__xludf.DUMMYFUNCTION("""COMPUTED_VALUE"""),44720)</f>
        <v>44720</v>
      </c>
      <c r="C2676" t="str">
        <f ca="1">IFERROR(__xludf.DUMMYFUNCTION("""COMPUTED_VALUE"""),"БУ Г. ОМСКА ""УДХБ"" 190-РДО ")</f>
        <v xml:space="preserve">БУ Г. ОМСКА "УДХБ" 190-РДО </v>
      </c>
      <c r="D26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6" t="str">
        <f ca="1">IFERROR(__xludf.DUMMYFUNCTION("""COMPUTED_VALUE"""),"Новый")</f>
        <v>Новый</v>
      </c>
      <c r="G2676" s="68"/>
      <c r="K2676" s="68"/>
    </row>
    <row r="2677" spans="1:11" ht="12.75">
      <c r="A2677" s="69">
        <f ca="1">IFERROR(__xludf.DUMMYFUNCTION("""COMPUTED_VALUE"""),99484)</f>
        <v>99484</v>
      </c>
      <c r="B2677" s="4">
        <f ca="1">IFERROR(__xludf.DUMMYFUNCTION("""COMPUTED_VALUE"""),44720)</f>
        <v>44720</v>
      </c>
      <c r="C2677" t="str">
        <f ca="1">IFERROR(__xludf.DUMMYFUNCTION("""COMPUTED_VALUE"""),"БУ Г. ОМСКА ""УДХБ"" 190-РДО ")</f>
        <v xml:space="preserve">БУ Г. ОМСКА "УДХБ" 190-РДО </v>
      </c>
      <c r="D26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7" t="str">
        <f ca="1">IFERROR(__xludf.DUMMYFUNCTION("""COMPUTED_VALUE"""),"Новый")</f>
        <v>Новый</v>
      </c>
      <c r="G2677" s="68"/>
      <c r="K2677" s="68"/>
    </row>
    <row r="2678" spans="1:11" ht="12.75">
      <c r="A2678" s="69">
        <f ca="1">IFERROR(__xludf.DUMMYFUNCTION("""COMPUTED_VALUE"""),99485)</f>
        <v>99485</v>
      </c>
      <c r="B2678" s="4">
        <f ca="1">IFERROR(__xludf.DUMMYFUNCTION("""COMPUTED_VALUE"""),44720)</f>
        <v>44720</v>
      </c>
      <c r="C2678" t="str">
        <f ca="1">IFERROR(__xludf.DUMMYFUNCTION("""COMPUTED_VALUE"""),"БУ Г. ОМСКА ""УДХБ"" 190-РДО ")</f>
        <v xml:space="preserve">БУ Г. ОМСКА "УДХБ" 190-РДО </v>
      </c>
      <c r="D26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8" t="str">
        <f ca="1">IFERROR(__xludf.DUMMYFUNCTION("""COMPUTED_VALUE"""),"Новый")</f>
        <v>Новый</v>
      </c>
      <c r="G2678" s="68"/>
      <c r="K2678" s="68"/>
    </row>
    <row r="2679" spans="1:11" ht="12.75">
      <c r="A2679" s="69">
        <f ca="1">IFERROR(__xludf.DUMMYFUNCTION("""COMPUTED_VALUE"""),99486)</f>
        <v>99486</v>
      </c>
      <c r="B2679" s="4">
        <f ca="1">IFERROR(__xludf.DUMMYFUNCTION("""COMPUTED_VALUE"""),44720)</f>
        <v>44720</v>
      </c>
      <c r="C2679" t="str">
        <f ca="1">IFERROR(__xludf.DUMMYFUNCTION("""COMPUTED_VALUE"""),"БУ Г. ОМСКА ""УДХБ"" 190-РДО ")</f>
        <v xml:space="preserve">БУ Г. ОМСКА "УДХБ" 190-РДО </v>
      </c>
      <c r="D26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79" t="str">
        <f ca="1">IFERROR(__xludf.DUMMYFUNCTION("""COMPUTED_VALUE"""),"Новый")</f>
        <v>Новый</v>
      </c>
      <c r="G2679" s="68"/>
      <c r="K2679" s="68"/>
    </row>
    <row r="2680" spans="1:11" ht="12.75">
      <c r="A2680" s="69">
        <f ca="1">IFERROR(__xludf.DUMMYFUNCTION("""COMPUTED_VALUE"""),99487)</f>
        <v>99487</v>
      </c>
      <c r="B2680" s="4">
        <f ca="1">IFERROR(__xludf.DUMMYFUNCTION("""COMPUTED_VALUE"""),44720)</f>
        <v>44720</v>
      </c>
      <c r="C2680" t="str">
        <f ca="1">IFERROR(__xludf.DUMMYFUNCTION("""COMPUTED_VALUE"""),"БУ Г. ОМСКА ""УДХБ"" 190-РДО ")</f>
        <v xml:space="preserve">БУ Г. ОМСКА "УДХБ" 190-РДО </v>
      </c>
      <c r="D26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0" t="str">
        <f ca="1">IFERROR(__xludf.DUMMYFUNCTION("""COMPUTED_VALUE"""),"Новый")</f>
        <v>Новый</v>
      </c>
      <c r="G2680" s="68"/>
      <c r="K2680" s="68"/>
    </row>
    <row r="2681" spans="1:11" ht="12.75">
      <c r="A2681" s="69">
        <f ca="1">IFERROR(__xludf.DUMMYFUNCTION("""COMPUTED_VALUE"""),99488)</f>
        <v>99488</v>
      </c>
      <c r="B2681" s="4">
        <f ca="1">IFERROR(__xludf.DUMMYFUNCTION("""COMPUTED_VALUE"""),44720)</f>
        <v>44720</v>
      </c>
      <c r="C2681" t="str">
        <f ca="1">IFERROR(__xludf.DUMMYFUNCTION("""COMPUTED_VALUE"""),"БУ Г. ОМСКА ""УДХБ"" 190-РДО ")</f>
        <v xml:space="preserve">БУ Г. ОМСКА "УДХБ" 190-РДО </v>
      </c>
      <c r="D26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1" t="str">
        <f ca="1">IFERROR(__xludf.DUMMYFUNCTION("""COMPUTED_VALUE"""),"Новый")</f>
        <v>Новый</v>
      </c>
      <c r="G2681" s="68"/>
      <c r="K2681" s="68"/>
    </row>
    <row r="2682" spans="1:11" ht="12.75">
      <c r="A2682" s="69">
        <f ca="1">IFERROR(__xludf.DUMMYFUNCTION("""COMPUTED_VALUE"""),99489)</f>
        <v>99489</v>
      </c>
      <c r="B2682" s="4">
        <f ca="1">IFERROR(__xludf.DUMMYFUNCTION("""COMPUTED_VALUE"""),44720)</f>
        <v>44720</v>
      </c>
      <c r="C2682" t="str">
        <f ca="1">IFERROR(__xludf.DUMMYFUNCTION("""COMPUTED_VALUE"""),"БУ Г. ОМСКА ""УДХБ"" 190-РДО ")</f>
        <v xml:space="preserve">БУ Г. ОМСКА "УДХБ" 190-РДО </v>
      </c>
      <c r="D26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2" t="str">
        <f ca="1">IFERROR(__xludf.DUMMYFUNCTION("""COMPUTED_VALUE"""),"Новый")</f>
        <v>Новый</v>
      </c>
      <c r="G2682" s="68"/>
      <c r="K2682" s="68"/>
    </row>
    <row r="2683" spans="1:11" ht="12.75">
      <c r="A2683" s="69">
        <f ca="1">IFERROR(__xludf.DUMMYFUNCTION("""COMPUTED_VALUE"""),99490)</f>
        <v>99490</v>
      </c>
      <c r="B2683" s="4">
        <f ca="1">IFERROR(__xludf.DUMMYFUNCTION("""COMPUTED_VALUE"""),44720)</f>
        <v>44720</v>
      </c>
      <c r="C2683" t="str">
        <f ca="1">IFERROR(__xludf.DUMMYFUNCTION("""COMPUTED_VALUE"""),"БУ Г. ОМСКА ""УДХБ"" 190-РДО ")</f>
        <v xml:space="preserve">БУ Г. ОМСКА "УДХБ" 190-РДО </v>
      </c>
      <c r="D26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3" t="str">
        <f ca="1">IFERROR(__xludf.DUMMYFUNCTION("""COMPUTED_VALUE"""),"Новый")</f>
        <v>Новый</v>
      </c>
      <c r="G2683" s="68"/>
      <c r="K2683" s="68"/>
    </row>
    <row r="2684" spans="1:11" ht="12.75">
      <c r="A2684" s="69">
        <f ca="1">IFERROR(__xludf.DUMMYFUNCTION("""COMPUTED_VALUE"""),99491)</f>
        <v>99491</v>
      </c>
      <c r="B2684" s="4">
        <f ca="1">IFERROR(__xludf.DUMMYFUNCTION("""COMPUTED_VALUE"""),44720)</f>
        <v>44720</v>
      </c>
      <c r="C2684" t="str">
        <f ca="1">IFERROR(__xludf.DUMMYFUNCTION("""COMPUTED_VALUE"""),"БУ Г. ОМСКА ""УДХБ"" 190-РДО ")</f>
        <v xml:space="preserve">БУ Г. ОМСКА "УДХБ" 190-РДО </v>
      </c>
      <c r="D26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4" t="str">
        <f ca="1">IFERROR(__xludf.DUMMYFUNCTION("""COMPUTED_VALUE"""),"Новый")</f>
        <v>Новый</v>
      </c>
      <c r="G2684" s="68"/>
      <c r="K2684" s="68"/>
    </row>
    <row r="2685" spans="1:11" ht="12.75">
      <c r="A2685" s="69">
        <f ca="1">IFERROR(__xludf.DUMMYFUNCTION("""COMPUTED_VALUE"""),99492)</f>
        <v>99492</v>
      </c>
      <c r="B2685" s="4">
        <f ca="1">IFERROR(__xludf.DUMMYFUNCTION("""COMPUTED_VALUE"""),44720)</f>
        <v>44720</v>
      </c>
      <c r="C2685" t="str">
        <f ca="1">IFERROR(__xludf.DUMMYFUNCTION("""COMPUTED_VALUE"""),"БУ Г. ОМСКА ""УДХБ"" 190-РДО ")</f>
        <v xml:space="preserve">БУ Г. ОМСКА "УДХБ" 190-РДО </v>
      </c>
      <c r="D26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5" t="str">
        <f ca="1">IFERROR(__xludf.DUMMYFUNCTION("""COMPUTED_VALUE"""),"Новый")</f>
        <v>Новый</v>
      </c>
      <c r="G2685" s="68"/>
      <c r="K2685" s="68"/>
    </row>
    <row r="2686" spans="1:11" ht="12.75">
      <c r="A2686" s="69">
        <f ca="1">IFERROR(__xludf.DUMMYFUNCTION("""COMPUTED_VALUE"""),99493)</f>
        <v>99493</v>
      </c>
      <c r="B2686" s="4">
        <f ca="1">IFERROR(__xludf.DUMMYFUNCTION("""COMPUTED_VALUE"""),44720)</f>
        <v>44720</v>
      </c>
      <c r="C2686" t="str">
        <f ca="1">IFERROR(__xludf.DUMMYFUNCTION("""COMPUTED_VALUE"""),"БУ Г. ОМСКА ""УДХБ"" 190-РДО ")</f>
        <v xml:space="preserve">БУ Г. ОМСКА "УДХБ" 190-РДО </v>
      </c>
      <c r="D26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6" t="str">
        <f ca="1">IFERROR(__xludf.DUMMYFUNCTION("""COMPUTED_VALUE"""),"Новый")</f>
        <v>Новый</v>
      </c>
      <c r="G2686" s="68"/>
      <c r="K2686" s="68"/>
    </row>
    <row r="2687" spans="1:11" ht="12.75">
      <c r="A2687" s="69">
        <f ca="1">IFERROR(__xludf.DUMMYFUNCTION("""COMPUTED_VALUE"""),99494)</f>
        <v>99494</v>
      </c>
      <c r="B2687" s="4">
        <f ca="1">IFERROR(__xludf.DUMMYFUNCTION("""COMPUTED_VALUE"""),44720)</f>
        <v>44720</v>
      </c>
      <c r="C2687" t="str">
        <f ca="1">IFERROR(__xludf.DUMMYFUNCTION("""COMPUTED_VALUE"""),"БУ Г. ОМСКА ""УДХБ"" 190-РДО ")</f>
        <v xml:space="preserve">БУ Г. ОМСКА "УДХБ" 190-РДО </v>
      </c>
      <c r="D26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7" t="str">
        <f ca="1">IFERROR(__xludf.DUMMYFUNCTION("""COMPUTED_VALUE"""),"Новый")</f>
        <v>Новый</v>
      </c>
      <c r="G2687" s="68"/>
      <c r="K2687" s="68"/>
    </row>
    <row r="2688" spans="1:11" ht="12.75">
      <c r="A2688" s="69">
        <f ca="1">IFERROR(__xludf.DUMMYFUNCTION("""COMPUTED_VALUE"""),99495)</f>
        <v>99495</v>
      </c>
      <c r="B2688" s="4">
        <f ca="1">IFERROR(__xludf.DUMMYFUNCTION("""COMPUTED_VALUE"""),44720)</f>
        <v>44720</v>
      </c>
      <c r="C2688" t="str">
        <f ca="1">IFERROR(__xludf.DUMMYFUNCTION("""COMPUTED_VALUE"""),"БУ Г. ОМСКА ""УДХБ"" 190-РДО ")</f>
        <v xml:space="preserve">БУ Г. ОМСКА "УДХБ" 190-РДО </v>
      </c>
      <c r="D26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8" t="str">
        <f ca="1">IFERROR(__xludf.DUMMYFUNCTION("""COMPUTED_VALUE"""),"Новый")</f>
        <v>Новый</v>
      </c>
      <c r="G2688" s="68"/>
      <c r="K2688" s="68"/>
    </row>
    <row r="2689" spans="1:11" ht="12.75">
      <c r="A2689" s="69">
        <f ca="1">IFERROR(__xludf.DUMMYFUNCTION("""COMPUTED_VALUE"""),99496)</f>
        <v>99496</v>
      </c>
      <c r="B2689" s="4">
        <f ca="1">IFERROR(__xludf.DUMMYFUNCTION("""COMPUTED_VALUE"""),44720)</f>
        <v>44720</v>
      </c>
      <c r="C2689" t="str">
        <f ca="1">IFERROR(__xludf.DUMMYFUNCTION("""COMPUTED_VALUE"""),"БУ Г. ОМСКА ""УДХБ"" 190-РДО ")</f>
        <v xml:space="preserve">БУ Г. ОМСКА "УДХБ" 190-РДО </v>
      </c>
      <c r="D26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89" t="str">
        <f ca="1">IFERROR(__xludf.DUMMYFUNCTION("""COMPUTED_VALUE"""),"Новый")</f>
        <v>Новый</v>
      </c>
      <c r="G2689" s="68"/>
      <c r="K2689" s="68"/>
    </row>
    <row r="2690" spans="1:11" ht="12.75">
      <c r="A2690" s="69">
        <f ca="1">IFERROR(__xludf.DUMMYFUNCTION("""COMPUTED_VALUE"""),99497)</f>
        <v>99497</v>
      </c>
      <c r="B2690" s="4">
        <f ca="1">IFERROR(__xludf.DUMMYFUNCTION("""COMPUTED_VALUE"""),44720)</f>
        <v>44720</v>
      </c>
      <c r="C2690" t="str">
        <f ca="1">IFERROR(__xludf.DUMMYFUNCTION("""COMPUTED_VALUE"""),"БУ Г. ОМСКА ""УДХБ"" 190-РДО ")</f>
        <v xml:space="preserve">БУ Г. ОМСКА "УДХБ" 190-РДО </v>
      </c>
      <c r="D26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0" t="str">
        <f ca="1">IFERROR(__xludf.DUMMYFUNCTION("""COMPUTED_VALUE"""),"Новый")</f>
        <v>Новый</v>
      </c>
      <c r="G2690" s="68"/>
      <c r="K2690" s="68"/>
    </row>
    <row r="2691" spans="1:11" ht="12.75">
      <c r="A2691" s="69">
        <f ca="1">IFERROR(__xludf.DUMMYFUNCTION("""COMPUTED_VALUE"""),99498)</f>
        <v>99498</v>
      </c>
      <c r="B2691" s="4">
        <f ca="1">IFERROR(__xludf.DUMMYFUNCTION("""COMPUTED_VALUE"""),44720)</f>
        <v>44720</v>
      </c>
      <c r="C2691" t="str">
        <f ca="1">IFERROR(__xludf.DUMMYFUNCTION("""COMPUTED_VALUE"""),"БУ Г. ОМСКА ""УДХБ"" 190-РДО ")</f>
        <v xml:space="preserve">БУ Г. ОМСКА "УДХБ" 190-РДО </v>
      </c>
      <c r="D26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1" t="str">
        <f ca="1">IFERROR(__xludf.DUMMYFUNCTION("""COMPUTED_VALUE"""),"Новый")</f>
        <v>Новый</v>
      </c>
      <c r="G2691" s="68"/>
      <c r="K2691" s="68"/>
    </row>
    <row r="2692" spans="1:11" ht="12.75">
      <c r="A2692" s="69">
        <f ca="1">IFERROR(__xludf.DUMMYFUNCTION("""COMPUTED_VALUE"""),99499)</f>
        <v>99499</v>
      </c>
      <c r="B2692" s="4">
        <f ca="1">IFERROR(__xludf.DUMMYFUNCTION("""COMPUTED_VALUE"""),44720)</f>
        <v>44720</v>
      </c>
      <c r="C2692" t="str">
        <f ca="1">IFERROR(__xludf.DUMMYFUNCTION("""COMPUTED_VALUE"""),"БУ Г. ОМСКА ""УДХБ"" 190-РДО ")</f>
        <v xml:space="preserve">БУ Г. ОМСКА "УДХБ" 190-РДО </v>
      </c>
      <c r="D26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2" t="str">
        <f ca="1">IFERROR(__xludf.DUMMYFUNCTION("""COMPUTED_VALUE"""),"Новый")</f>
        <v>Новый</v>
      </c>
      <c r="G2692" s="68"/>
      <c r="K2692" s="68"/>
    </row>
    <row r="2693" spans="1:11" ht="12.75">
      <c r="A2693" s="69">
        <f ca="1">IFERROR(__xludf.DUMMYFUNCTION("""COMPUTED_VALUE"""),99500)</f>
        <v>99500</v>
      </c>
      <c r="B2693" s="4">
        <f ca="1">IFERROR(__xludf.DUMMYFUNCTION("""COMPUTED_VALUE"""),44720)</f>
        <v>44720</v>
      </c>
      <c r="C2693" t="str">
        <f ca="1">IFERROR(__xludf.DUMMYFUNCTION("""COMPUTED_VALUE"""),"БУ Г. ОМСКА ""УДХБ"" 190-РДО ")</f>
        <v xml:space="preserve">БУ Г. ОМСКА "УДХБ" 190-РДО </v>
      </c>
      <c r="D26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3" t="str">
        <f ca="1">IFERROR(__xludf.DUMMYFUNCTION("""COMPUTED_VALUE"""),"Новый")</f>
        <v>Новый</v>
      </c>
      <c r="G2693" s="68"/>
      <c r="K2693" s="68"/>
    </row>
    <row r="2694" spans="1:11" ht="12.75">
      <c r="A2694" s="69">
        <f ca="1">IFERROR(__xludf.DUMMYFUNCTION("""COMPUTED_VALUE"""),99501)</f>
        <v>99501</v>
      </c>
      <c r="B2694" s="4">
        <f ca="1">IFERROR(__xludf.DUMMYFUNCTION("""COMPUTED_VALUE"""),44720)</f>
        <v>44720</v>
      </c>
      <c r="C2694" t="str">
        <f ca="1">IFERROR(__xludf.DUMMYFUNCTION("""COMPUTED_VALUE"""),"БУ Г. ОМСКА ""УДХБ"" 190-РДО ")</f>
        <v xml:space="preserve">БУ Г. ОМСКА "УДХБ" 190-РДО </v>
      </c>
      <c r="D26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4" t="str">
        <f ca="1">IFERROR(__xludf.DUMMYFUNCTION("""COMPUTED_VALUE"""),"Новый")</f>
        <v>Новый</v>
      </c>
      <c r="G2694" s="68"/>
      <c r="K2694" s="68"/>
    </row>
    <row r="2695" spans="1:11" ht="12.75">
      <c r="A2695" s="69">
        <f ca="1">IFERROR(__xludf.DUMMYFUNCTION("""COMPUTED_VALUE"""),99502)</f>
        <v>99502</v>
      </c>
      <c r="B2695" s="4">
        <f ca="1">IFERROR(__xludf.DUMMYFUNCTION("""COMPUTED_VALUE"""),44720)</f>
        <v>44720</v>
      </c>
      <c r="C2695" t="str">
        <f ca="1">IFERROR(__xludf.DUMMYFUNCTION("""COMPUTED_VALUE"""),"БУ Г. ОМСКА ""УДХБ"" 190-РДО ")</f>
        <v xml:space="preserve">БУ Г. ОМСКА "УДХБ" 190-РДО </v>
      </c>
      <c r="D26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5" t="str">
        <f ca="1">IFERROR(__xludf.DUMMYFUNCTION("""COMPUTED_VALUE"""),"Новый")</f>
        <v>Новый</v>
      </c>
      <c r="G2695" s="68"/>
      <c r="K2695" s="68"/>
    </row>
    <row r="2696" spans="1:11" ht="12.75">
      <c r="A2696" s="69">
        <f ca="1">IFERROR(__xludf.DUMMYFUNCTION("""COMPUTED_VALUE"""),99503)</f>
        <v>99503</v>
      </c>
      <c r="B2696" s="4">
        <f ca="1">IFERROR(__xludf.DUMMYFUNCTION("""COMPUTED_VALUE"""),44720)</f>
        <v>44720</v>
      </c>
      <c r="C2696" t="str">
        <f ca="1">IFERROR(__xludf.DUMMYFUNCTION("""COMPUTED_VALUE"""),"БУ Г. ОМСКА ""УДХБ"" 190-РДО ")</f>
        <v xml:space="preserve">БУ Г. ОМСКА "УДХБ" 190-РДО </v>
      </c>
      <c r="D26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6" t="str">
        <f ca="1">IFERROR(__xludf.DUMMYFUNCTION("""COMPUTED_VALUE"""),"Новый")</f>
        <v>Новый</v>
      </c>
      <c r="G2696" s="68"/>
      <c r="K2696" s="68"/>
    </row>
    <row r="2697" spans="1:11" ht="12.75">
      <c r="A2697" s="69">
        <f ca="1">IFERROR(__xludf.DUMMYFUNCTION("""COMPUTED_VALUE"""),99504)</f>
        <v>99504</v>
      </c>
      <c r="B2697" s="4">
        <f ca="1">IFERROR(__xludf.DUMMYFUNCTION("""COMPUTED_VALUE"""),44720)</f>
        <v>44720</v>
      </c>
      <c r="C2697" t="str">
        <f ca="1">IFERROR(__xludf.DUMMYFUNCTION("""COMPUTED_VALUE"""),"БУ Г. ОМСКА ""УДХБ"" 190-РДО ")</f>
        <v xml:space="preserve">БУ Г. ОМСКА "УДХБ" 190-РДО </v>
      </c>
      <c r="D26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7" t="str">
        <f ca="1">IFERROR(__xludf.DUMMYFUNCTION("""COMPUTED_VALUE"""),"Новый")</f>
        <v>Новый</v>
      </c>
      <c r="G2697" s="68"/>
      <c r="K2697" s="68"/>
    </row>
    <row r="2698" spans="1:11" ht="12.75">
      <c r="A2698" s="69">
        <f ca="1">IFERROR(__xludf.DUMMYFUNCTION("""COMPUTED_VALUE"""),99505)</f>
        <v>99505</v>
      </c>
      <c r="B2698" s="4">
        <f ca="1">IFERROR(__xludf.DUMMYFUNCTION("""COMPUTED_VALUE"""),44720)</f>
        <v>44720</v>
      </c>
      <c r="C2698" t="str">
        <f ca="1">IFERROR(__xludf.DUMMYFUNCTION("""COMPUTED_VALUE"""),"БУ Г. ОМСКА ""УДХБ"" 190-РДО ")</f>
        <v xml:space="preserve">БУ Г. ОМСКА "УДХБ" 190-РДО </v>
      </c>
      <c r="D26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8" t="str">
        <f ca="1">IFERROR(__xludf.DUMMYFUNCTION("""COMPUTED_VALUE"""),"Новый")</f>
        <v>Новый</v>
      </c>
      <c r="G2698" s="68"/>
      <c r="K2698" s="68"/>
    </row>
    <row r="2699" spans="1:11" ht="12.75">
      <c r="A2699" s="69">
        <f ca="1">IFERROR(__xludf.DUMMYFUNCTION("""COMPUTED_VALUE"""),99506)</f>
        <v>99506</v>
      </c>
      <c r="B2699" s="4">
        <f ca="1">IFERROR(__xludf.DUMMYFUNCTION("""COMPUTED_VALUE"""),44720)</f>
        <v>44720</v>
      </c>
      <c r="C2699" t="str">
        <f ca="1">IFERROR(__xludf.DUMMYFUNCTION("""COMPUTED_VALUE"""),"БУ Г. ОМСКА ""УДХБ"" 190-РДО ")</f>
        <v xml:space="preserve">БУ Г. ОМСКА "УДХБ" 190-РДО </v>
      </c>
      <c r="D26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699" t="str">
        <f ca="1">IFERROR(__xludf.DUMMYFUNCTION("""COMPUTED_VALUE"""),"Новый")</f>
        <v>Новый</v>
      </c>
      <c r="G2699" s="68"/>
      <c r="K2699" s="68"/>
    </row>
    <row r="2700" spans="1:11" ht="12.75">
      <c r="A2700" s="69">
        <f ca="1">IFERROR(__xludf.DUMMYFUNCTION("""COMPUTED_VALUE"""),99507)</f>
        <v>99507</v>
      </c>
      <c r="B2700" s="4">
        <f ca="1">IFERROR(__xludf.DUMMYFUNCTION("""COMPUTED_VALUE"""),44720)</f>
        <v>44720</v>
      </c>
      <c r="C2700" t="str">
        <f ca="1">IFERROR(__xludf.DUMMYFUNCTION("""COMPUTED_VALUE"""),"БУ Г. ОМСКА ""УДХБ"" 190-РДО ")</f>
        <v xml:space="preserve">БУ Г. ОМСКА "УДХБ" 190-РДО </v>
      </c>
      <c r="D27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0" t="str">
        <f ca="1">IFERROR(__xludf.DUMMYFUNCTION("""COMPUTED_VALUE"""),"Новый")</f>
        <v>Новый</v>
      </c>
      <c r="G2700" s="68"/>
      <c r="K2700" s="68"/>
    </row>
    <row r="2701" spans="1:11" ht="12.75">
      <c r="A2701" s="69">
        <f ca="1">IFERROR(__xludf.DUMMYFUNCTION("""COMPUTED_VALUE"""),99508)</f>
        <v>99508</v>
      </c>
      <c r="B2701" s="4">
        <f ca="1">IFERROR(__xludf.DUMMYFUNCTION("""COMPUTED_VALUE"""),44720)</f>
        <v>44720</v>
      </c>
      <c r="C2701" t="str">
        <f ca="1">IFERROR(__xludf.DUMMYFUNCTION("""COMPUTED_VALUE"""),"БУ Г. ОМСКА ""УДХБ"" 190-РДО ")</f>
        <v xml:space="preserve">БУ Г. ОМСКА "УДХБ" 190-РДО </v>
      </c>
      <c r="D27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1" t="str">
        <f ca="1">IFERROR(__xludf.DUMMYFUNCTION("""COMPUTED_VALUE"""),"Новый")</f>
        <v>Новый</v>
      </c>
      <c r="G2701" s="68"/>
      <c r="K2701" s="68"/>
    </row>
    <row r="2702" spans="1:11" ht="12.75">
      <c r="A2702" s="69">
        <f ca="1">IFERROR(__xludf.DUMMYFUNCTION("""COMPUTED_VALUE"""),99509)</f>
        <v>99509</v>
      </c>
      <c r="B2702" s="4">
        <f ca="1">IFERROR(__xludf.DUMMYFUNCTION("""COMPUTED_VALUE"""),44720)</f>
        <v>44720</v>
      </c>
      <c r="C2702" t="str">
        <f ca="1">IFERROR(__xludf.DUMMYFUNCTION("""COMPUTED_VALUE"""),"БУ Г. ОМСКА ""УДХБ"" 190-РДО ")</f>
        <v xml:space="preserve">БУ Г. ОМСКА "УДХБ" 190-РДО </v>
      </c>
      <c r="D27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2" t="str">
        <f ca="1">IFERROR(__xludf.DUMMYFUNCTION("""COMPUTED_VALUE"""),"Новый")</f>
        <v>Новый</v>
      </c>
      <c r="G2702" s="68"/>
      <c r="K2702" s="68"/>
    </row>
    <row r="2703" spans="1:11" ht="12.75">
      <c r="A2703" s="69">
        <f ca="1">IFERROR(__xludf.DUMMYFUNCTION("""COMPUTED_VALUE"""),99510)</f>
        <v>99510</v>
      </c>
      <c r="B2703" s="4">
        <f ca="1">IFERROR(__xludf.DUMMYFUNCTION("""COMPUTED_VALUE"""),44720)</f>
        <v>44720</v>
      </c>
      <c r="C2703" t="str">
        <f ca="1">IFERROR(__xludf.DUMMYFUNCTION("""COMPUTED_VALUE"""),"БУ Г. ОМСКА ""УДХБ"" 190-РДО ")</f>
        <v xml:space="preserve">БУ Г. ОМСКА "УДХБ" 190-РДО </v>
      </c>
      <c r="D27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3" t="str">
        <f ca="1">IFERROR(__xludf.DUMMYFUNCTION("""COMPUTED_VALUE"""),"Новый")</f>
        <v>Новый</v>
      </c>
      <c r="G2703" s="68"/>
      <c r="K2703" s="68"/>
    </row>
    <row r="2704" spans="1:11" ht="12.75">
      <c r="A2704" s="69">
        <f ca="1">IFERROR(__xludf.DUMMYFUNCTION("""COMPUTED_VALUE"""),99511)</f>
        <v>99511</v>
      </c>
      <c r="B2704" s="4">
        <f ca="1">IFERROR(__xludf.DUMMYFUNCTION("""COMPUTED_VALUE"""),44720)</f>
        <v>44720</v>
      </c>
      <c r="C2704" t="str">
        <f ca="1">IFERROR(__xludf.DUMMYFUNCTION("""COMPUTED_VALUE"""),"БУ Г. ОМСКА ""УДХБ"" 190-РДО ")</f>
        <v xml:space="preserve">БУ Г. ОМСКА "УДХБ" 190-РДО </v>
      </c>
      <c r="D27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4" t="str">
        <f ca="1">IFERROR(__xludf.DUMMYFUNCTION("""COMPUTED_VALUE"""),"Новый")</f>
        <v>Новый</v>
      </c>
      <c r="G2704" s="68"/>
      <c r="K2704" s="68"/>
    </row>
    <row r="2705" spans="1:11" ht="12.75">
      <c r="A2705" s="69">
        <f ca="1">IFERROR(__xludf.DUMMYFUNCTION("""COMPUTED_VALUE"""),99512)</f>
        <v>99512</v>
      </c>
      <c r="B2705" s="4">
        <f ca="1">IFERROR(__xludf.DUMMYFUNCTION("""COMPUTED_VALUE"""),44720)</f>
        <v>44720</v>
      </c>
      <c r="C2705" t="str">
        <f ca="1">IFERROR(__xludf.DUMMYFUNCTION("""COMPUTED_VALUE"""),"БУ Г. ОМСКА ""УДХБ"" 190-РДО ")</f>
        <v xml:space="preserve">БУ Г. ОМСКА "УДХБ" 190-РДО </v>
      </c>
      <c r="D27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5" t="str">
        <f ca="1">IFERROR(__xludf.DUMMYFUNCTION("""COMPUTED_VALUE"""),"Новый")</f>
        <v>Новый</v>
      </c>
      <c r="G2705" s="68"/>
      <c r="K2705" s="68"/>
    </row>
    <row r="2706" spans="1:11" ht="12.75">
      <c r="A2706" s="69">
        <f ca="1">IFERROR(__xludf.DUMMYFUNCTION("""COMPUTED_VALUE"""),99513)</f>
        <v>99513</v>
      </c>
      <c r="B2706" s="4">
        <f ca="1">IFERROR(__xludf.DUMMYFUNCTION("""COMPUTED_VALUE"""),44720)</f>
        <v>44720</v>
      </c>
      <c r="C2706" t="str">
        <f ca="1">IFERROR(__xludf.DUMMYFUNCTION("""COMPUTED_VALUE"""),"БУ Г. ОМСКА ""УДХБ"" 190-РДО ")</f>
        <v xml:space="preserve">БУ Г. ОМСКА "УДХБ" 190-РДО </v>
      </c>
      <c r="D27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6" t="str">
        <f ca="1">IFERROR(__xludf.DUMMYFUNCTION("""COMPUTED_VALUE"""),"Новый")</f>
        <v>Новый</v>
      </c>
      <c r="G2706" s="68"/>
      <c r="K2706" s="68"/>
    </row>
    <row r="2707" spans="1:11" ht="12.75">
      <c r="A2707" s="69">
        <f ca="1">IFERROR(__xludf.DUMMYFUNCTION("""COMPUTED_VALUE"""),99514)</f>
        <v>99514</v>
      </c>
      <c r="B2707" s="4">
        <f ca="1">IFERROR(__xludf.DUMMYFUNCTION("""COMPUTED_VALUE"""),44720)</f>
        <v>44720</v>
      </c>
      <c r="C2707" t="str">
        <f ca="1">IFERROR(__xludf.DUMMYFUNCTION("""COMPUTED_VALUE"""),"БУ Г. ОМСКА ""УДХБ"" 190-РДО ")</f>
        <v xml:space="preserve">БУ Г. ОМСКА "УДХБ" 190-РДО </v>
      </c>
      <c r="D27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7" t="str">
        <f ca="1">IFERROR(__xludf.DUMMYFUNCTION("""COMPUTED_VALUE"""),"Новый")</f>
        <v>Новый</v>
      </c>
      <c r="G2707" s="68"/>
      <c r="K2707" s="68"/>
    </row>
    <row r="2708" spans="1:11" ht="12.75">
      <c r="A2708" s="69">
        <f ca="1">IFERROR(__xludf.DUMMYFUNCTION("""COMPUTED_VALUE"""),99515)</f>
        <v>99515</v>
      </c>
      <c r="B2708" s="4">
        <f ca="1">IFERROR(__xludf.DUMMYFUNCTION("""COMPUTED_VALUE"""),44720)</f>
        <v>44720</v>
      </c>
      <c r="C2708" t="str">
        <f ca="1">IFERROR(__xludf.DUMMYFUNCTION("""COMPUTED_VALUE"""),"БУ Г. ОМСКА ""УДХБ"" 190-РДО ")</f>
        <v xml:space="preserve">БУ Г. ОМСКА "УДХБ" 190-РДО </v>
      </c>
      <c r="D27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8" t="str">
        <f ca="1">IFERROR(__xludf.DUMMYFUNCTION("""COMPUTED_VALUE"""),"Новый")</f>
        <v>Новый</v>
      </c>
      <c r="G2708" s="68"/>
      <c r="K2708" s="68"/>
    </row>
    <row r="2709" spans="1:11" ht="12.75">
      <c r="A2709" s="69">
        <f ca="1">IFERROR(__xludf.DUMMYFUNCTION("""COMPUTED_VALUE"""),99516)</f>
        <v>99516</v>
      </c>
      <c r="B2709" s="4">
        <f ca="1">IFERROR(__xludf.DUMMYFUNCTION("""COMPUTED_VALUE"""),44720)</f>
        <v>44720</v>
      </c>
      <c r="C2709" t="str">
        <f ca="1">IFERROR(__xludf.DUMMYFUNCTION("""COMPUTED_VALUE"""),"БУ Г. ОМСКА ""УДХБ"" 190-РДО ")</f>
        <v xml:space="preserve">БУ Г. ОМСКА "УДХБ" 190-РДО </v>
      </c>
      <c r="D27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09" t="str">
        <f ca="1">IFERROR(__xludf.DUMMYFUNCTION("""COMPUTED_VALUE"""),"Новый")</f>
        <v>Новый</v>
      </c>
      <c r="G2709" s="68"/>
      <c r="K2709" s="68"/>
    </row>
    <row r="2710" spans="1:11" ht="12.75">
      <c r="A2710" s="69">
        <f ca="1">IFERROR(__xludf.DUMMYFUNCTION("""COMPUTED_VALUE"""),99517)</f>
        <v>99517</v>
      </c>
      <c r="B2710" s="4">
        <f ca="1">IFERROR(__xludf.DUMMYFUNCTION("""COMPUTED_VALUE"""),44720)</f>
        <v>44720</v>
      </c>
      <c r="C2710" t="str">
        <f ca="1">IFERROR(__xludf.DUMMYFUNCTION("""COMPUTED_VALUE"""),"БУ Г. ОМСКА ""УДХБ"" 190-РДО ")</f>
        <v xml:space="preserve">БУ Г. ОМСКА "УДХБ" 190-РДО </v>
      </c>
      <c r="D27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0" t="str">
        <f ca="1">IFERROR(__xludf.DUMMYFUNCTION("""COMPUTED_VALUE"""),"Новый")</f>
        <v>Новый</v>
      </c>
      <c r="G2710" s="68"/>
      <c r="K2710" s="68"/>
    </row>
    <row r="2711" spans="1:11" ht="12.75">
      <c r="A2711" s="69">
        <f ca="1">IFERROR(__xludf.DUMMYFUNCTION("""COMPUTED_VALUE"""),99518)</f>
        <v>99518</v>
      </c>
      <c r="B2711" s="4">
        <f ca="1">IFERROR(__xludf.DUMMYFUNCTION("""COMPUTED_VALUE"""),44720)</f>
        <v>44720</v>
      </c>
      <c r="C2711" t="str">
        <f ca="1">IFERROR(__xludf.DUMMYFUNCTION("""COMPUTED_VALUE"""),"БУ Г. ОМСКА ""УДХБ"" 190-РДО ")</f>
        <v xml:space="preserve">БУ Г. ОМСКА "УДХБ" 190-РДО </v>
      </c>
      <c r="D27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1" t="str">
        <f ca="1">IFERROR(__xludf.DUMMYFUNCTION("""COMPUTED_VALUE"""),"Новый")</f>
        <v>Новый</v>
      </c>
      <c r="G2711" s="68"/>
      <c r="K2711" s="68"/>
    </row>
    <row r="2712" spans="1:11" ht="12.75">
      <c r="A2712" s="69">
        <f ca="1">IFERROR(__xludf.DUMMYFUNCTION("""COMPUTED_VALUE"""),99519)</f>
        <v>99519</v>
      </c>
      <c r="B2712" s="4">
        <f ca="1">IFERROR(__xludf.DUMMYFUNCTION("""COMPUTED_VALUE"""),44720)</f>
        <v>44720</v>
      </c>
      <c r="C2712" t="str">
        <f ca="1">IFERROR(__xludf.DUMMYFUNCTION("""COMPUTED_VALUE"""),"БУ Г. ОМСКА ""УДХБ"" 190-РДО ")</f>
        <v xml:space="preserve">БУ Г. ОМСКА "УДХБ" 190-РДО </v>
      </c>
      <c r="D27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2" t="str">
        <f ca="1">IFERROR(__xludf.DUMMYFUNCTION("""COMPUTED_VALUE"""),"Новый")</f>
        <v>Новый</v>
      </c>
      <c r="G2712" s="68"/>
      <c r="K2712" s="68"/>
    </row>
    <row r="2713" spans="1:11" ht="12.75">
      <c r="A2713" s="69">
        <f ca="1">IFERROR(__xludf.DUMMYFUNCTION("""COMPUTED_VALUE"""),99520)</f>
        <v>99520</v>
      </c>
      <c r="B2713" s="4">
        <f ca="1">IFERROR(__xludf.DUMMYFUNCTION("""COMPUTED_VALUE"""),44720)</f>
        <v>44720</v>
      </c>
      <c r="C2713" t="str">
        <f ca="1">IFERROR(__xludf.DUMMYFUNCTION("""COMPUTED_VALUE"""),"БУ Г. ОМСКА ""УДХБ"" 190-РДО ")</f>
        <v xml:space="preserve">БУ Г. ОМСКА "УДХБ" 190-РДО </v>
      </c>
      <c r="D27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3" t="str">
        <f ca="1">IFERROR(__xludf.DUMMYFUNCTION("""COMPUTED_VALUE"""),"Новый")</f>
        <v>Новый</v>
      </c>
      <c r="G2713" s="68"/>
      <c r="K2713" s="68"/>
    </row>
    <row r="2714" spans="1:11" ht="12.75">
      <c r="A2714" s="69">
        <f ca="1">IFERROR(__xludf.DUMMYFUNCTION("""COMPUTED_VALUE"""),99521)</f>
        <v>99521</v>
      </c>
      <c r="B2714" s="4">
        <f ca="1">IFERROR(__xludf.DUMMYFUNCTION("""COMPUTED_VALUE"""),44720)</f>
        <v>44720</v>
      </c>
      <c r="C2714" t="str">
        <f ca="1">IFERROR(__xludf.DUMMYFUNCTION("""COMPUTED_VALUE"""),"БУ Г. ОМСКА ""УДХБ"" 190-РДО ")</f>
        <v xml:space="preserve">БУ Г. ОМСКА "УДХБ" 190-РДО </v>
      </c>
      <c r="D27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4" t="str">
        <f ca="1">IFERROR(__xludf.DUMMYFUNCTION("""COMPUTED_VALUE"""),"Новый")</f>
        <v>Новый</v>
      </c>
      <c r="G2714" s="68"/>
      <c r="K2714" s="68"/>
    </row>
    <row r="2715" spans="1:11" ht="12.75">
      <c r="A2715" s="69">
        <f ca="1">IFERROR(__xludf.DUMMYFUNCTION("""COMPUTED_VALUE"""),99522)</f>
        <v>99522</v>
      </c>
      <c r="B2715" s="4">
        <f ca="1">IFERROR(__xludf.DUMMYFUNCTION("""COMPUTED_VALUE"""),44720)</f>
        <v>44720</v>
      </c>
      <c r="C2715" t="str">
        <f ca="1">IFERROR(__xludf.DUMMYFUNCTION("""COMPUTED_VALUE"""),"БУ Г. ОМСКА ""УДХБ"" 190-РДО ")</f>
        <v xml:space="preserve">БУ Г. ОМСКА "УДХБ" 190-РДО </v>
      </c>
      <c r="D27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5" t="str">
        <f ca="1">IFERROR(__xludf.DUMMYFUNCTION("""COMPUTED_VALUE"""),"Новый")</f>
        <v>Новый</v>
      </c>
      <c r="G2715" s="68"/>
      <c r="K2715" s="68"/>
    </row>
    <row r="2716" spans="1:11" ht="12.75">
      <c r="A2716" s="69">
        <f ca="1">IFERROR(__xludf.DUMMYFUNCTION("""COMPUTED_VALUE"""),99523)</f>
        <v>99523</v>
      </c>
      <c r="B2716" s="4">
        <f ca="1">IFERROR(__xludf.DUMMYFUNCTION("""COMPUTED_VALUE"""),44720)</f>
        <v>44720</v>
      </c>
      <c r="C2716" t="str">
        <f ca="1">IFERROR(__xludf.DUMMYFUNCTION("""COMPUTED_VALUE"""),"БУ Г. ОМСКА ""УДХБ"" 190-РДО ")</f>
        <v xml:space="preserve">БУ Г. ОМСКА "УДХБ" 190-РДО </v>
      </c>
      <c r="D27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6" t="str">
        <f ca="1">IFERROR(__xludf.DUMMYFUNCTION("""COMPUTED_VALUE"""),"Новый")</f>
        <v>Новый</v>
      </c>
      <c r="G2716" s="68"/>
      <c r="K2716" s="68"/>
    </row>
    <row r="2717" spans="1:11" ht="12.75">
      <c r="A2717" s="69">
        <f ca="1">IFERROR(__xludf.DUMMYFUNCTION("""COMPUTED_VALUE"""),99524)</f>
        <v>99524</v>
      </c>
      <c r="B2717" s="4">
        <f ca="1">IFERROR(__xludf.DUMMYFUNCTION("""COMPUTED_VALUE"""),44720)</f>
        <v>44720</v>
      </c>
      <c r="C2717" t="str">
        <f ca="1">IFERROR(__xludf.DUMMYFUNCTION("""COMPUTED_VALUE"""),"БУ Г. ОМСКА ""УДХБ"" 190-РДО ")</f>
        <v xml:space="preserve">БУ Г. ОМСКА "УДХБ" 190-РДО </v>
      </c>
      <c r="D27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7" t="str">
        <f ca="1">IFERROR(__xludf.DUMMYFUNCTION("""COMPUTED_VALUE"""),"Новый")</f>
        <v>Новый</v>
      </c>
      <c r="G2717" s="68"/>
      <c r="K2717" s="68"/>
    </row>
    <row r="2718" spans="1:11" ht="12.75">
      <c r="A2718" s="69">
        <f ca="1">IFERROR(__xludf.DUMMYFUNCTION("""COMPUTED_VALUE"""),99525)</f>
        <v>99525</v>
      </c>
      <c r="B2718" s="4">
        <f ca="1">IFERROR(__xludf.DUMMYFUNCTION("""COMPUTED_VALUE"""),44720)</f>
        <v>44720</v>
      </c>
      <c r="C2718" t="str">
        <f ca="1">IFERROR(__xludf.DUMMYFUNCTION("""COMPUTED_VALUE"""),"БУ Г. ОМСКА ""УДХБ"" 190-РДО ")</f>
        <v xml:space="preserve">БУ Г. ОМСКА "УДХБ" 190-РДО </v>
      </c>
      <c r="D27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8" t="str">
        <f ca="1">IFERROR(__xludf.DUMMYFUNCTION("""COMPUTED_VALUE"""),"Новый")</f>
        <v>Новый</v>
      </c>
      <c r="G2718" s="68"/>
      <c r="K2718" s="68"/>
    </row>
    <row r="2719" spans="1:11" ht="12.75">
      <c r="A2719" s="69">
        <f ca="1">IFERROR(__xludf.DUMMYFUNCTION("""COMPUTED_VALUE"""),99526)</f>
        <v>99526</v>
      </c>
      <c r="B2719" s="4">
        <f ca="1">IFERROR(__xludf.DUMMYFUNCTION("""COMPUTED_VALUE"""),44720)</f>
        <v>44720</v>
      </c>
      <c r="C2719" t="str">
        <f ca="1">IFERROR(__xludf.DUMMYFUNCTION("""COMPUTED_VALUE"""),"БУ Г. ОМСКА ""УДХБ"" 190-РДО ")</f>
        <v xml:space="preserve">БУ Г. ОМСКА "УДХБ" 190-РДО </v>
      </c>
      <c r="D27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19" t="str">
        <f ca="1">IFERROR(__xludf.DUMMYFUNCTION("""COMPUTED_VALUE"""),"Новый")</f>
        <v>Новый</v>
      </c>
      <c r="G2719" s="68"/>
      <c r="K2719" s="68"/>
    </row>
    <row r="2720" spans="1:11" ht="12.75">
      <c r="A2720" s="69">
        <f ca="1">IFERROR(__xludf.DUMMYFUNCTION("""COMPUTED_VALUE"""),99527)</f>
        <v>99527</v>
      </c>
      <c r="B2720" s="4">
        <f ca="1">IFERROR(__xludf.DUMMYFUNCTION("""COMPUTED_VALUE"""),44720)</f>
        <v>44720</v>
      </c>
      <c r="C2720" t="str">
        <f ca="1">IFERROR(__xludf.DUMMYFUNCTION("""COMPUTED_VALUE"""),"БУ Г. ОМСКА ""УДХБ"" 190-РДО ")</f>
        <v xml:space="preserve">БУ Г. ОМСКА "УДХБ" 190-РДО </v>
      </c>
      <c r="D27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0" t="str">
        <f ca="1">IFERROR(__xludf.DUMMYFUNCTION("""COMPUTED_VALUE"""),"Новый")</f>
        <v>Новый</v>
      </c>
      <c r="G2720" s="68"/>
      <c r="K2720" s="68"/>
    </row>
    <row r="2721" spans="1:11" ht="12.75">
      <c r="A2721" s="69">
        <f ca="1">IFERROR(__xludf.DUMMYFUNCTION("""COMPUTED_VALUE"""),99528)</f>
        <v>99528</v>
      </c>
      <c r="B2721" s="4">
        <f ca="1">IFERROR(__xludf.DUMMYFUNCTION("""COMPUTED_VALUE"""),44720)</f>
        <v>44720</v>
      </c>
      <c r="C2721" t="str">
        <f ca="1">IFERROR(__xludf.DUMMYFUNCTION("""COMPUTED_VALUE"""),"БУ Г. ОМСКА ""УДХБ"" 190-РДО ")</f>
        <v xml:space="preserve">БУ Г. ОМСКА "УДХБ" 190-РДО </v>
      </c>
      <c r="D27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1" t="str">
        <f ca="1">IFERROR(__xludf.DUMMYFUNCTION("""COMPUTED_VALUE"""),"Новый")</f>
        <v>Новый</v>
      </c>
      <c r="G2721" s="68"/>
      <c r="K2721" s="68"/>
    </row>
    <row r="2722" spans="1:11" ht="12.75">
      <c r="A2722" s="69">
        <f ca="1">IFERROR(__xludf.DUMMYFUNCTION("""COMPUTED_VALUE"""),99529)</f>
        <v>99529</v>
      </c>
      <c r="B2722" s="4">
        <f ca="1">IFERROR(__xludf.DUMMYFUNCTION("""COMPUTED_VALUE"""),44720)</f>
        <v>44720</v>
      </c>
      <c r="C2722" t="str">
        <f ca="1">IFERROR(__xludf.DUMMYFUNCTION("""COMPUTED_VALUE"""),"БУ Г. ОМСКА ""УДХБ"" 190-РДО ")</f>
        <v xml:space="preserve">БУ Г. ОМСКА "УДХБ" 190-РДО </v>
      </c>
      <c r="D27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2" t="str">
        <f ca="1">IFERROR(__xludf.DUMMYFUNCTION("""COMPUTED_VALUE"""),"Новый")</f>
        <v>Новый</v>
      </c>
      <c r="G2722" s="68"/>
      <c r="K2722" s="68"/>
    </row>
    <row r="2723" spans="1:11" ht="12.75">
      <c r="A2723" s="69">
        <f ca="1">IFERROR(__xludf.DUMMYFUNCTION("""COMPUTED_VALUE"""),99530)</f>
        <v>99530</v>
      </c>
      <c r="B2723" s="4">
        <f ca="1">IFERROR(__xludf.DUMMYFUNCTION("""COMPUTED_VALUE"""),44720)</f>
        <v>44720</v>
      </c>
      <c r="C2723" t="str">
        <f ca="1">IFERROR(__xludf.DUMMYFUNCTION("""COMPUTED_VALUE"""),"БУ Г. ОМСКА ""УДХБ"" 190-РДО ")</f>
        <v xml:space="preserve">БУ Г. ОМСКА "УДХБ" 190-РДО </v>
      </c>
      <c r="D27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3" t="str">
        <f ca="1">IFERROR(__xludf.DUMMYFUNCTION("""COMPUTED_VALUE"""),"Новый")</f>
        <v>Новый</v>
      </c>
      <c r="G2723" s="68"/>
      <c r="K2723" s="68"/>
    </row>
    <row r="2724" spans="1:11" ht="12.75">
      <c r="A2724" s="69">
        <f ca="1">IFERROR(__xludf.DUMMYFUNCTION("""COMPUTED_VALUE"""),99531)</f>
        <v>99531</v>
      </c>
      <c r="B2724" s="4">
        <f ca="1">IFERROR(__xludf.DUMMYFUNCTION("""COMPUTED_VALUE"""),44720)</f>
        <v>44720</v>
      </c>
      <c r="C2724" t="str">
        <f ca="1">IFERROR(__xludf.DUMMYFUNCTION("""COMPUTED_VALUE"""),"БУ Г. ОМСКА ""УДХБ"" 190-РДО ")</f>
        <v xml:space="preserve">БУ Г. ОМСКА "УДХБ" 190-РДО </v>
      </c>
      <c r="D27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4" t="str">
        <f ca="1">IFERROR(__xludf.DUMMYFUNCTION("""COMPUTED_VALUE"""),"Новый")</f>
        <v>Новый</v>
      </c>
      <c r="G2724" s="68"/>
      <c r="K2724" s="68"/>
    </row>
    <row r="2725" spans="1:11" ht="12.75">
      <c r="A2725" s="69">
        <f ca="1">IFERROR(__xludf.DUMMYFUNCTION("""COMPUTED_VALUE"""),99532)</f>
        <v>99532</v>
      </c>
      <c r="B2725" s="4">
        <f ca="1">IFERROR(__xludf.DUMMYFUNCTION("""COMPUTED_VALUE"""),44720)</f>
        <v>44720</v>
      </c>
      <c r="C2725" t="str">
        <f ca="1">IFERROR(__xludf.DUMMYFUNCTION("""COMPUTED_VALUE"""),"БУ Г. ОМСКА ""УДХБ"" 190-РДО ")</f>
        <v xml:space="preserve">БУ Г. ОМСКА "УДХБ" 190-РДО </v>
      </c>
      <c r="D27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5" t="str">
        <f ca="1">IFERROR(__xludf.DUMMYFUNCTION("""COMPUTED_VALUE"""),"Новый")</f>
        <v>Новый</v>
      </c>
      <c r="G2725" s="68"/>
      <c r="K2725" s="68"/>
    </row>
    <row r="2726" spans="1:11" ht="12.75">
      <c r="A2726" s="69">
        <f ca="1">IFERROR(__xludf.DUMMYFUNCTION("""COMPUTED_VALUE"""),99533)</f>
        <v>99533</v>
      </c>
      <c r="B2726" s="4">
        <f ca="1">IFERROR(__xludf.DUMMYFUNCTION("""COMPUTED_VALUE"""),44720)</f>
        <v>44720</v>
      </c>
      <c r="C2726" t="str">
        <f ca="1">IFERROR(__xludf.DUMMYFUNCTION("""COMPUTED_VALUE"""),"БУ Г. ОМСКА ""УДХБ"" 190-РДО ")</f>
        <v xml:space="preserve">БУ Г. ОМСКА "УДХБ" 190-РДО </v>
      </c>
      <c r="D27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6" t="str">
        <f ca="1">IFERROR(__xludf.DUMMYFUNCTION("""COMPUTED_VALUE"""),"Новый")</f>
        <v>Новый</v>
      </c>
      <c r="G2726" s="68"/>
      <c r="K2726" s="68"/>
    </row>
    <row r="2727" spans="1:11" ht="12.75">
      <c r="A2727" s="69">
        <f ca="1">IFERROR(__xludf.DUMMYFUNCTION("""COMPUTED_VALUE"""),99534)</f>
        <v>99534</v>
      </c>
      <c r="B2727" s="4">
        <f ca="1">IFERROR(__xludf.DUMMYFUNCTION("""COMPUTED_VALUE"""),44720)</f>
        <v>44720</v>
      </c>
      <c r="C2727" t="str">
        <f ca="1">IFERROR(__xludf.DUMMYFUNCTION("""COMPUTED_VALUE"""),"БУ Г. ОМСКА ""УДХБ"" 190-РДО ")</f>
        <v xml:space="preserve">БУ Г. ОМСКА "УДХБ" 190-РДО </v>
      </c>
      <c r="D27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7" t="str">
        <f ca="1">IFERROR(__xludf.DUMMYFUNCTION("""COMPUTED_VALUE"""),"Новый")</f>
        <v>Новый</v>
      </c>
      <c r="G2727" s="68"/>
      <c r="K2727" s="68"/>
    </row>
    <row r="2728" spans="1:11" ht="12.75">
      <c r="A2728" s="69">
        <f ca="1">IFERROR(__xludf.DUMMYFUNCTION("""COMPUTED_VALUE"""),99535)</f>
        <v>99535</v>
      </c>
      <c r="B2728" s="4">
        <f ca="1">IFERROR(__xludf.DUMMYFUNCTION("""COMPUTED_VALUE"""),44720)</f>
        <v>44720</v>
      </c>
      <c r="C2728" t="str">
        <f ca="1">IFERROR(__xludf.DUMMYFUNCTION("""COMPUTED_VALUE"""),"БУ Г. ОМСКА ""УДХБ"" 190-РДО ")</f>
        <v xml:space="preserve">БУ Г. ОМСКА "УДХБ" 190-РДО </v>
      </c>
      <c r="D27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8" t="str">
        <f ca="1">IFERROR(__xludf.DUMMYFUNCTION("""COMPUTED_VALUE"""),"Новый")</f>
        <v>Новый</v>
      </c>
      <c r="G2728" s="68"/>
      <c r="K2728" s="68"/>
    </row>
    <row r="2729" spans="1:11" ht="12.75">
      <c r="A2729" s="69">
        <f ca="1">IFERROR(__xludf.DUMMYFUNCTION("""COMPUTED_VALUE"""),99536)</f>
        <v>99536</v>
      </c>
      <c r="B2729" s="4">
        <f ca="1">IFERROR(__xludf.DUMMYFUNCTION("""COMPUTED_VALUE"""),44720)</f>
        <v>44720</v>
      </c>
      <c r="C2729" t="str">
        <f ca="1">IFERROR(__xludf.DUMMYFUNCTION("""COMPUTED_VALUE"""),"БУ Г. ОМСКА ""УДХБ"" 190-РДО ")</f>
        <v xml:space="preserve">БУ Г. ОМСКА "УДХБ" 190-РДО </v>
      </c>
      <c r="D27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29" t="str">
        <f ca="1">IFERROR(__xludf.DUMMYFUNCTION("""COMPUTED_VALUE"""),"Новый")</f>
        <v>Новый</v>
      </c>
      <c r="G2729" s="68"/>
      <c r="K2729" s="68"/>
    </row>
    <row r="2730" spans="1:11" ht="12.75">
      <c r="A2730" s="69">
        <f ca="1">IFERROR(__xludf.DUMMYFUNCTION("""COMPUTED_VALUE"""),99537)</f>
        <v>99537</v>
      </c>
      <c r="B2730" s="4">
        <f ca="1">IFERROR(__xludf.DUMMYFUNCTION("""COMPUTED_VALUE"""),44720)</f>
        <v>44720</v>
      </c>
      <c r="C2730" t="str">
        <f ca="1">IFERROR(__xludf.DUMMYFUNCTION("""COMPUTED_VALUE"""),"БУ Г. ОМСКА ""УДХБ"" 190-РДО ")</f>
        <v xml:space="preserve">БУ Г. ОМСКА "УДХБ" 190-РДО </v>
      </c>
      <c r="D27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0" t="str">
        <f ca="1">IFERROR(__xludf.DUMMYFUNCTION("""COMPUTED_VALUE"""),"Новый")</f>
        <v>Новый</v>
      </c>
      <c r="G2730" s="68"/>
      <c r="K2730" s="68"/>
    </row>
    <row r="2731" spans="1:11" ht="12.75">
      <c r="A2731" s="69">
        <f ca="1">IFERROR(__xludf.DUMMYFUNCTION("""COMPUTED_VALUE"""),99538)</f>
        <v>99538</v>
      </c>
      <c r="B2731" s="4">
        <f ca="1">IFERROR(__xludf.DUMMYFUNCTION("""COMPUTED_VALUE"""),44720)</f>
        <v>44720</v>
      </c>
      <c r="C2731" t="str">
        <f ca="1">IFERROR(__xludf.DUMMYFUNCTION("""COMPUTED_VALUE"""),"БУ Г. ОМСКА ""УДХБ"" 190-РДО ")</f>
        <v xml:space="preserve">БУ Г. ОМСКА "УДХБ" 190-РДО </v>
      </c>
      <c r="D27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1" t="str">
        <f ca="1">IFERROR(__xludf.DUMMYFUNCTION("""COMPUTED_VALUE"""),"Новый")</f>
        <v>Новый</v>
      </c>
      <c r="G2731" s="68"/>
      <c r="K2731" s="68"/>
    </row>
    <row r="2732" spans="1:11" ht="12.75">
      <c r="A2732" s="69">
        <f ca="1">IFERROR(__xludf.DUMMYFUNCTION("""COMPUTED_VALUE"""),99539)</f>
        <v>99539</v>
      </c>
      <c r="B2732" s="4">
        <f ca="1">IFERROR(__xludf.DUMMYFUNCTION("""COMPUTED_VALUE"""),44720)</f>
        <v>44720</v>
      </c>
      <c r="C2732" t="str">
        <f ca="1">IFERROR(__xludf.DUMMYFUNCTION("""COMPUTED_VALUE"""),"БУ Г. ОМСКА ""УДХБ"" 190-РДО ")</f>
        <v xml:space="preserve">БУ Г. ОМСКА "УДХБ" 190-РДО </v>
      </c>
      <c r="D27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2" t="str">
        <f ca="1">IFERROR(__xludf.DUMMYFUNCTION("""COMPUTED_VALUE"""),"Новый")</f>
        <v>Новый</v>
      </c>
      <c r="G2732" s="68"/>
      <c r="K2732" s="68"/>
    </row>
    <row r="2733" spans="1:11" ht="12.75">
      <c r="A2733" s="69">
        <f ca="1">IFERROR(__xludf.DUMMYFUNCTION("""COMPUTED_VALUE"""),99540)</f>
        <v>99540</v>
      </c>
      <c r="B2733" s="4">
        <f ca="1">IFERROR(__xludf.DUMMYFUNCTION("""COMPUTED_VALUE"""),44720)</f>
        <v>44720</v>
      </c>
      <c r="C2733" t="str">
        <f ca="1">IFERROR(__xludf.DUMMYFUNCTION("""COMPUTED_VALUE"""),"БУ Г. ОМСКА ""УДХБ"" 190-РДО ")</f>
        <v xml:space="preserve">БУ Г. ОМСКА "УДХБ" 190-РДО </v>
      </c>
      <c r="D27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3" t="str">
        <f ca="1">IFERROR(__xludf.DUMMYFUNCTION("""COMPUTED_VALUE"""),"Новый")</f>
        <v>Новый</v>
      </c>
      <c r="G2733" s="68"/>
      <c r="K2733" s="68"/>
    </row>
    <row r="2734" spans="1:11" ht="12.75">
      <c r="A2734" s="69">
        <f ca="1">IFERROR(__xludf.DUMMYFUNCTION("""COMPUTED_VALUE"""),99541)</f>
        <v>99541</v>
      </c>
      <c r="B2734" s="4">
        <f ca="1">IFERROR(__xludf.DUMMYFUNCTION("""COMPUTED_VALUE"""),44720)</f>
        <v>44720</v>
      </c>
      <c r="C2734" t="str">
        <f ca="1">IFERROR(__xludf.DUMMYFUNCTION("""COMPUTED_VALUE"""),"БУ Г. ОМСКА ""УДХБ"" 190-РДО ")</f>
        <v xml:space="preserve">БУ Г. ОМСКА "УДХБ" 190-РДО </v>
      </c>
      <c r="D27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4" t="str">
        <f ca="1">IFERROR(__xludf.DUMMYFUNCTION("""COMPUTED_VALUE"""),"Новый")</f>
        <v>Новый</v>
      </c>
      <c r="G2734" s="68"/>
      <c r="K2734" s="68"/>
    </row>
    <row r="2735" spans="1:11" ht="12.75">
      <c r="A2735" s="69">
        <f ca="1">IFERROR(__xludf.DUMMYFUNCTION("""COMPUTED_VALUE"""),99542)</f>
        <v>99542</v>
      </c>
      <c r="B2735" s="4">
        <f ca="1">IFERROR(__xludf.DUMMYFUNCTION("""COMPUTED_VALUE"""),44720)</f>
        <v>44720</v>
      </c>
      <c r="C2735" t="str">
        <f ca="1">IFERROR(__xludf.DUMMYFUNCTION("""COMPUTED_VALUE"""),"БУ Г. ОМСКА ""УДХБ"" 190-РДО ")</f>
        <v xml:space="preserve">БУ Г. ОМСКА "УДХБ" 190-РДО </v>
      </c>
      <c r="D27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5" t="str">
        <f ca="1">IFERROR(__xludf.DUMMYFUNCTION("""COMPUTED_VALUE"""),"Новый")</f>
        <v>Новый</v>
      </c>
      <c r="G2735" s="68"/>
      <c r="K2735" s="68"/>
    </row>
    <row r="2736" spans="1:11" ht="12.75">
      <c r="A2736" s="69">
        <f ca="1">IFERROR(__xludf.DUMMYFUNCTION("""COMPUTED_VALUE"""),99543)</f>
        <v>99543</v>
      </c>
      <c r="B2736" s="4">
        <f ca="1">IFERROR(__xludf.DUMMYFUNCTION("""COMPUTED_VALUE"""),44720)</f>
        <v>44720</v>
      </c>
      <c r="C2736" t="str">
        <f ca="1">IFERROR(__xludf.DUMMYFUNCTION("""COMPUTED_VALUE"""),"БУ Г. ОМСКА ""УДХБ"" 190-РДО ")</f>
        <v xml:space="preserve">БУ Г. ОМСКА "УДХБ" 190-РДО </v>
      </c>
      <c r="D27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6" t="str">
        <f ca="1">IFERROR(__xludf.DUMMYFUNCTION("""COMPUTED_VALUE"""),"Новый")</f>
        <v>Новый</v>
      </c>
      <c r="G2736" s="68"/>
      <c r="K2736" s="68"/>
    </row>
    <row r="2737" spans="1:11" ht="12.75">
      <c r="A2737" s="69">
        <f ca="1">IFERROR(__xludf.DUMMYFUNCTION("""COMPUTED_VALUE"""),99544)</f>
        <v>99544</v>
      </c>
      <c r="B2737" s="4">
        <f ca="1">IFERROR(__xludf.DUMMYFUNCTION("""COMPUTED_VALUE"""),44720)</f>
        <v>44720</v>
      </c>
      <c r="C2737" t="str">
        <f ca="1">IFERROR(__xludf.DUMMYFUNCTION("""COMPUTED_VALUE"""),"БУ Г. ОМСКА ""УДХБ"" 190-РДО ")</f>
        <v xml:space="preserve">БУ Г. ОМСКА "УДХБ" 190-РДО </v>
      </c>
      <c r="D27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7" t="str">
        <f ca="1">IFERROR(__xludf.DUMMYFUNCTION("""COMPUTED_VALUE"""),"Новый")</f>
        <v>Новый</v>
      </c>
      <c r="G2737" s="68"/>
      <c r="K2737" s="68"/>
    </row>
    <row r="2738" spans="1:11" ht="12.75">
      <c r="A2738" s="69">
        <f ca="1">IFERROR(__xludf.DUMMYFUNCTION("""COMPUTED_VALUE"""),99545)</f>
        <v>99545</v>
      </c>
      <c r="B2738" s="4">
        <f ca="1">IFERROR(__xludf.DUMMYFUNCTION("""COMPUTED_VALUE"""),44720)</f>
        <v>44720</v>
      </c>
      <c r="C2738" t="str">
        <f ca="1">IFERROR(__xludf.DUMMYFUNCTION("""COMPUTED_VALUE"""),"БУ Г. ОМСКА ""УДХБ"" 190-РДО ")</f>
        <v xml:space="preserve">БУ Г. ОМСКА "УДХБ" 190-РДО </v>
      </c>
      <c r="D27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8" t="str">
        <f ca="1">IFERROR(__xludf.DUMMYFUNCTION("""COMPUTED_VALUE"""),"Новый")</f>
        <v>Новый</v>
      </c>
      <c r="G2738" s="68"/>
      <c r="K2738" s="68"/>
    </row>
    <row r="2739" spans="1:11" ht="12.75">
      <c r="A2739" s="69">
        <f ca="1">IFERROR(__xludf.DUMMYFUNCTION("""COMPUTED_VALUE"""),99546)</f>
        <v>99546</v>
      </c>
      <c r="B2739" s="4">
        <f ca="1">IFERROR(__xludf.DUMMYFUNCTION("""COMPUTED_VALUE"""),44720)</f>
        <v>44720</v>
      </c>
      <c r="C2739" t="str">
        <f ca="1">IFERROR(__xludf.DUMMYFUNCTION("""COMPUTED_VALUE"""),"БУ Г. ОМСКА ""УДХБ"" 190-РДО ")</f>
        <v xml:space="preserve">БУ Г. ОМСКА "УДХБ" 190-РДО </v>
      </c>
      <c r="D27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39" t="str">
        <f ca="1">IFERROR(__xludf.DUMMYFUNCTION("""COMPUTED_VALUE"""),"Новый")</f>
        <v>Новый</v>
      </c>
      <c r="G2739" s="68"/>
      <c r="K2739" s="68"/>
    </row>
    <row r="2740" spans="1:11" ht="12.75">
      <c r="A2740" s="69">
        <f ca="1">IFERROR(__xludf.DUMMYFUNCTION("""COMPUTED_VALUE"""),99547)</f>
        <v>99547</v>
      </c>
      <c r="B2740" s="4">
        <f ca="1">IFERROR(__xludf.DUMMYFUNCTION("""COMPUTED_VALUE"""),44720)</f>
        <v>44720</v>
      </c>
      <c r="C2740" t="str">
        <f ca="1">IFERROR(__xludf.DUMMYFUNCTION("""COMPUTED_VALUE"""),"БУ Г. ОМСКА ""УДХБ"" 190-РДО ")</f>
        <v xml:space="preserve">БУ Г. ОМСКА "УДХБ" 190-РДО </v>
      </c>
      <c r="D27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0" t="str">
        <f ca="1">IFERROR(__xludf.DUMMYFUNCTION("""COMPUTED_VALUE"""),"Новый")</f>
        <v>Новый</v>
      </c>
      <c r="G2740" s="68"/>
      <c r="K2740" s="68"/>
    </row>
    <row r="2741" spans="1:11" ht="12.75">
      <c r="A2741" s="69">
        <f ca="1">IFERROR(__xludf.DUMMYFUNCTION("""COMPUTED_VALUE"""),99548)</f>
        <v>99548</v>
      </c>
      <c r="B2741" s="4">
        <f ca="1">IFERROR(__xludf.DUMMYFUNCTION("""COMPUTED_VALUE"""),44720)</f>
        <v>44720</v>
      </c>
      <c r="C2741" t="str">
        <f ca="1">IFERROR(__xludf.DUMMYFUNCTION("""COMPUTED_VALUE"""),"БУ Г. ОМСКА ""УДХБ"" 190-РДО ")</f>
        <v xml:space="preserve">БУ Г. ОМСКА "УДХБ" 190-РДО </v>
      </c>
      <c r="D27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1" t="str">
        <f ca="1">IFERROR(__xludf.DUMMYFUNCTION("""COMPUTED_VALUE"""),"Новый")</f>
        <v>Новый</v>
      </c>
      <c r="G2741" s="68"/>
      <c r="K2741" s="68"/>
    </row>
    <row r="2742" spans="1:11" ht="12.75">
      <c r="A2742" s="69">
        <f ca="1">IFERROR(__xludf.DUMMYFUNCTION("""COMPUTED_VALUE"""),99549)</f>
        <v>99549</v>
      </c>
      <c r="B2742" s="4">
        <f ca="1">IFERROR(__xludf.DUMMYFUNCTION("""COMPUTED_VALUE"""),44720)</f>
        <v>44720</v>
      </c>
      <c r="C2742" t="str">
        <f ca="1">IFERROR(__xludf.DUMMYFUNCTION("""COMPUTED_VALUE"""),"БУ Г. ОМСКА ""УДХБ"" 190-РДО ")</f>
        <v xml:space="preserve">БУ Г. ОМСКА "УДХБ" 190-РДО </v>
      </c>
      <c r="D27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2" t="str">
        <f ca="1">IFERROR(__xludf.DUMMYFUNCTION("""COMPUTED_VALUE"""),"Новый")</f>
        <v>Новый</v>
      </c>
      <c r="G2742" s="68"/>
      <c r="K2742" s="68"/>
    </row>
    <row r="2743" spans="1:11" ht="12.75">
      <c r="A2743" s="69">
        <f ca="1">IFERROR(__xludf.DUMMYFUNCTION("""COMPUTED_VALUE"""),99550)</f>
        <v>99550</v>
      </c>
      <c r="B2743" s="4">
        <f ca="1">IFERROR(__xludf.DUMMYFUNCTION("""COMPUTED_VALUE"""),44720)</f>
        <v>44720</v>
      </c>
      <c r="C2743" t="str">
        <f ca="1">IFERROR(__xludf.DUMMYFUNCTION("""COMPUTED_VALUE"""),"БУ Г. ОМСКА ""УДХБ"" 190-РДО ")</f>
        <v xml:space="preserve">БУ Г. ОМСКА "УДХБ" 190-РДО </v>
      </c>
      <c r="D27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3" t="str">
        <f ca="1">IFERROR(__xludf.DUMMYFUNCTION("""COMPUTED_VALUE"""),"Новый")</f>
        <v>Новый</v>
      </c>
      <c r="G2743" s="68"/>
      <c r="K2743" s="68"/>
    </row>
    <row r="2744" spans="1:11" ht="12.75">
      <c r="A2744" s="69">
        <f ca="1">IFERROR(__xludf.DUMMYFUNCTION("""COMPUTED_VALUE"""),99551)</f>
        <v>99551</v>
      </c>
      <c r="B2744" s="4">
        <f ca="1">IFERROR(__xludf.DUMMYFUNCTION("""COMPUTED_VALUE"""),44720)</f>
        <v>44720</v>
      </c>
      <c r="C2744" t="str">
        <f ca="1">IFERROR(__xludf.DUMMYFUNCTION("""COMPUTED_VALUE"""),"БУ Г. ОМСКА ""УДХБ"" 190-РДО ")</f>
        <v xml:space="preserve">БУ Г. ОМСКА "УДХБ" 190-РДО </v>
      </c>
      <c r="D27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4" t="str">
        <f ca="1">IFERROR(__xludf.DUMMYFUNCTION("""COMPUTED_VALUE"""),"Новый")</f>
        <v>Новый</v>
      </c>
      <c r="G2744" s="68"/>
      <c r="K2744" s="68"/>
    </row>
    <row r="2745" spans="1:11" ht="12.75">
      <c r="A2745" s="69">
        <f ca="1">IFERROR(__xludf.DUMMYFUNCTION("""COMPUTED_VALUE"""),99552)</f>
        <v>99552</v>
      </c>
      <c r="B2745" s="4">
        <f ca="1">IFERROR(__xludf.DUMMYFUNCTION("""COMPUTED_VALUE"""),44720)</f>
        <v>44720</v>
      </c>
      <c r="C2745" t="str">
        <f ca="1">IFERROR(__xludf.DUMMYFUNCTION("""COMPUTED_VALUE"""),"БУ Г. ОМСКА ""УДХБ"" 190-РДО ")</f>
        <v xml:space="preserve">БУ Г. ОМСКА "УДХБ" 190-РДО </v>
      </c>
      <c r="D27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5" t="str">
        <f ca="1">IFERROR(__xludf.DUMMYFUNCTION("""COMPUTED_VALUE"""),"Новый")</f>
        <v>Новый</v>
      </c>
      <c r="G2745" s="68"/>
      <c r="K2745" s="68"/>
    </row>
    <row r="2746" spans="1:11" ht="12.75">
      <c r="A2746" s="69">
        <f ca="1">IFERROR(__xludf.DUMMYFUNCTION("""COMPUTED_VALUE"""),99553)</f>
        <v>99553</v>
      </c>
      <c r="B2746" s="4">
        <f ca="1">IFERROR(__xludf.DUMMYFUNCTION("""COMPUTED_VALUE"""),44720)</f>
        <v>44720</v>
      </c>
      <c r="C2746" t="str">
        <f ca="1">IFERROR(__xludf.DUMMYFUNCTION("""COMPUTED_VALUE"""),"БУ Г. ОМСКА ""УДХБ"" 190-РДО ")</f>
        <v xml:space="preserve">БУ Г. ОМСКА "УДХБ" 190-РДО </v>
      </c>
      <c r="D27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6" t="str">
        <f ca="1">IFERROR(__xludf.DUMMYFUNCTION("""COMPUTED_VALUE"""),"Новый")</f>
        <v>Новый</v>
      </c>
      <c r="G2746" s="68"/>
      <c r="K2746" s="68"/>
    </row>
    <row r="2747" spans="1:11" ht="12.75">
      <c r="A2747" s="69">
        <f ca="1">IFERROR(__xludf.DUMMYFUNCTION("""COMPUTED_VALUE"""),99554)</f>
        <v>99554</v>
      </c>
      <c r="B2747" s="4">
        <f ca="1">IFERROR(__xludf.DUMMYFUNCTION("""COMPUTED_VALUE"""),44720)</f>
        <v>44720</v>
      </c>
      <c r="C2747" t="str">
        <f ca="1">IFERROR(__xludf.DUMMYFUNCTION("""COMPUTED_VALUE"""),"БУ Г. ОМСКА ""УДХБ"" 190-РДО ")</f>
        <v xml:space="preserve">БУ Г. ОМСКА "УДХБ" 190-РДО </v>
      </c>
      <c r="D27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7" t="str">
        <f ca="1">IFERROR(__xludf.DUMMYFUNCTION("""COMPUTED_VALUE"""),"Новый")</f>
        <v>Новый</v>
      </c>
      <c r="G2747" s="68"/>
      <c r="K2747" s="68"/>
    </row>
    <row r="2748" spans="1:11" ht="12.75">
      <c r="A2748" s="69">
        <f ca="1">IFERROR(__xludf.DUMMYFUNCTION("""COMPUTED_VALUE"""),99555)</f>
        <v>99555</v>
      </c>
      <c r="B2748" s="4">
        <f ca="1">IFERROR(__xludf.DUMMYFUNCTION("""COMPUTED_VALUE"""),44720)</f>
        <v>44720</v>
      </c>
      <c r="C2748" t="str">
        <f ca="1">IFERROR(__xludf.DUMMYFUNCTION("""COMPUTED_VALUE"""),"БУ Г. ОМСКА ""УДХБ"" 190-РДО ")</f>
        <v xml:space="preserve">БУ Г. ОМСКА "УДХБ" 190-РДО </v>
      </c>
      <c r="D27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8" t="str">
        <f ca="1">IFERROR(__xludf.DUMMYFUNCTION("""COMPUTED_VALUE"""),"Новый")</f>
        <v>Новый</v>
      </c>
      <c r="G2748" s="68"/>
      <c r="K2748" s="68"/>
    </row>
    <row r="2749" spans="1:11" ht="12.75">
      <c r="A2749" s="69">
        <f ca="1">IFERROR(__xludf.DUMMYFUNCTION("""COMPUTED_VALUE"""),99556)</f>
        <v>99556</v>
      </c>
      <c r="B2749" s="4">
        <f ca="1">IFERROR(__xludf.DUMMYFUNCTION("""COMPUTED_VALUE"""),44720)</f>
        <v>44720</v>
      </c>
      <c r="C2749" t="str">
        <f ca="1">IFERROR(__xludf.DUMMYFUNCTION("""COMPUTED_VALUE"""),"БУ Г. ОМСКА ""УДХБ"" 190-РДО ")</f>
        <v xml:space="preserve">БУ Г. ОМСКА "УДХБ" 190-РДО </v>
      </c>
      <c r="D27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49" t="str">
        <f ca="1">IFERROR(__xludf.DUMMYFUNCTION("""COMPUTED_VALUE"""),"Новый")</f>
        <v>Новый</v>
      </c>
      <c r="G2749" s="68"/>
      <c r="K2749" s="68"/>
    </row>
    <row r="2750" spans="1:11" ht="12.75">
      <c r="A2750" s="69">
        <f ca="1">IFERROR(__xludf.DUMMYFUNCTION("""COMPUTED_VALUE"""),99557)</f>
        <v>99557</v>
      </c>
      <c r="B2750" s="4">
        <f ca="1">IFERROR(__xludf.DUMMYFUNCTION("""COMPUTED_VALUE"""),44720)</f>
        <v>44720</v>
      </c>
      <c r="C2750" t="str">
        <f ca="1">IFERROR(__xludf.DUMMYFUNCTION("""COMPUTED_VALUE"""),"БУ Г. ОМСКА ""УДХБ"" 190-РДО ")</f>
        <v xml:space="preserve">БУ Г. ОМСКА "УДХБ" 190-РДО </v>
      </c>
      <c r="D27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0" t="str">
        <f ca="1">IFERROR(__xludf.DUMMYFUNCTION("""COMPUTED_VALUE"""),"Новый")</f>
        <v>Новый</v>
      </c>
      <c r="G2750" s="68"/>
      <c r="K2750" s="68"/>
    </row>
    <row r="2751" spans="1:11" ht="12.75">
      <c r="A2751" s="69">
        <f ca="1">IFERROR(__xludf.DUMMYFUNCTION("""COMPUTED_VALUE"""),99558)</f>
        <v>99558</v>
      </c>
      <c r="B2751" s="4">
        <f ca="1">IFERROR(__xludf.DUMMYFUNCTION("""COMPUTED_VALUE"""),44720)</f>
        <v>44720</v>
      </c>
      <c r="C2751" t="str">
        <f ca="1">IFERROR(__xludf.DUMMYFUNCTION("""COMPUTED_VALUE"""),"БУ Г. ОМСКА ""УДХБ"" 190-РДО ")</f>
        <v xml:space="preserve">БУ Г. ОМСКА "УДХБ" 190-РДО </v>
      </c>
      <c r="D27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1" t="str">
        <f ca="1">IFERROR(__xludf.DUMMYFUNCTION("""COMPUTED_VALUE"""),"Новый")</f>
        <v>Новый</v>
      </c>
      <c r="G2751" s="68"/>
      <c r="K2751" s="68"/>
    </row>
    <row r="2752" spans="1:11" ht="12.75">
      <c r="A2752" s="69">
        <f ca="1">IFERROR(__xludf.DUMMYFUNCTION("""COMPUTED_VALUE"""),99559)</f>
        <v>99559</v>
      </c>
      <c r="B2752" s="4">
        <f ca="1">IFERROR(__xludf.DUMMYFUNCTION("""COMPUTED_VALUE"""),44720)</f>
        <v>44720</v>
      </c>
      <c r="C2752" t="str">
        <f ca="1">IFERROR(__xludf.DUMMYFUNCTION("""COMPUTED_VALUE"""),"БУ Г. ОМСКА ""УДХБ"" 190-РДО ")</f>
        <v xml:space="preserve">БУ Г. ОМСКА "УДХБ" 190-РДО </v>
      </c>
      <c r="D27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2" t="str">
        <f ca="1">IFERROR(__xludf.DUMMYFUNCTION("""COMPUTED_VALUE"""),"Новый")</f>
        <v>Новый</v>
      </c>
      <c r="G2752" s="68"/>
      <c r="K2752" s="68"/>
    </row>
    <row r="2753" spans="1:11" ht="12.75">
      <c r="A2753" s="69">
        <f ca="1">IFERROR(__xludf.DUMMYFUNCTION("""COMPUTED_VALUE"""),99560)</f>
        <v>99560</v>
      </c>
      <c r="B2753" s="4">
        <f ca="1">IFERROR(__xludf.DUMMYFUNCTION("""COMPUTED_VALUE"""),44720)</f>
        <v>44720</v>
      </c>
      <c r="C2753" t="str">
        <f ca="1">IFERROR(__xludf.DUMMYFUNCTION("""COMPUTED_VALUE"""),"БУ Г. ОМСКА ""УДХБ"" 190-РДО ")</f>
        <v xml:space="preserve">БУ Г. ОМСКА "УДХБ" 190-РДО </v>
      </c>
      <c r="D27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3" t="str">
        <f ca="1">IFERROR(__xludf.DUMMYFUNCTION("""COMPUTED_VALUE"""),"Новый")</f>
        <v>Новый</v>
      </c>
      <c r="G2753" s="68"/>
      <c r="K2753" s="68"/>
    </row>
    <row r="2754" spans="1:11" ht="12.75">
      <c r="A2754" s="69">
        <f ca="1">IFERROR(__xludf.DUMMYFUNCTION("""COMPUTED_VALUE"""),99561)</f>
        <v>99561</v>
      </c>
      <c r="B2754" s="4">
        <f ca="1">IFERROR(__xludf.DUMMYFUNCTION("""COMPUTED_VALUE"""),44720)</f>
        <v>44720</v>
      </c>
      <c r="C2754" t="str">
        <f ca="1">IFERROR(__xludf.DUMMYFUNCTION("""COMPUTED_VALUE"""),"БУ Г. ОМСКА ""УДХБ"" 190-РДО ")</f>
        <v xml:space="preserve">БУ Г. ОМСКА "УДХБ" 190-РДО </v>
      </c>
      <c r="D27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4" t="str">
        <f ca="1">IFERROR(__xludf.DUMMYFUNCTION("""COMPUTED_VALUE"""),"Новый")</f>
        <v>Новый</v>
      </c>
      <c r="G2754" s="68"/>
      <c r="K2754" s="68"/>
    </row>
    <row r="2755" spans="1:11" ht="12.75">
      <c r="A2755" s="69">
        <f ca="1">IFERROR(__xludf.DUMMYFUNCTION("""COMPUTED_VALUE"""),99562)</f>
        <v>99562</v>
      </c>
      <c r="B2755" s="4">
        <f ca="1">IFERROR(__xludf.DUMMYFUNCTION("""COMPUTED_VALUE"""),44720)</f>
        <v>44720</v>
      </c>
      <c r="C2755" t="str">
        <f ca="1">IFERROR(__xludf.DUMMYFUNCTION("""COMPUTED_VALUE"""),"БУ Г. ОМСКА ""УДХБ"" 190-РДО ")</f>
        <v xml:space="preserve">БУ Г. ОМСКА "УДХБ" 190-РДО </v>
      </c>
      <c r="D27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5" t="str">
        <f ca="1">IFERROR(__xludf.DUMMYFUNCTION("""COMPUTED_VALUE"""),"Новый")</f>
        <v>Новый</v>
      </c>
      <c r="G2755" s="68"/>
      <c r="K2755" s="68"/>
    </row>
    <row r="2756" spans="1:11" ht="12.75">
      <c r="A2756" s="69">
        <f ca="1">IFERROR(__xludf.DUMMYFUNCTION("""COMPUTED_VALUE"""),99563)</f>
        <v>99563</v>
      </c>
      <c r="B2756" s="4">
        <f ca="1">IFERROR(__xludf.DUMMYFUNCTION("""COMPUTED_VALUE"""),44720)</f>
        <v>44720</v>
      </c>
      <c r="C2756" t="str">
        <f ca="1">IFERROR(__xludf.DUMMYFUNCTION("""COMPUTED_VALUE"""),"БУ Г. ОМСКА ""УДХБ"" 190-РДО ")</f>
        <v xml:space="preserve">БУ Г. ОМСКА "УДХБ" 190-РДО </v>
      </c>
      <c r="D27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6" t="str">
        <f ca="1">IFERROR(__xludf.DUMMYFUNCTION("""COMPUTED_VALUE"""),"Новый")</f>
        <v>Новый</v>
      </c>
      <c r="G2756" s="68"/>
      <c r="K2756" s="68"/>
    </row>
    <row r="2757" spans="1:11" ht="12.75">
      <c r="A2757" s="69">
        <f ca="1">IFERROR(__xludf.DUMMYFUNCTION("""COMPUTED_VALUE"""),99564)</f>
        <v>99564</v>
      </c>
      <c r="B2757" s="4">
        <f ca="1">IFERROR(__xludf.DUMMYFUNCTION("""COMPUTED_VALUE"""),44720)</f>
        <v>44720</v>
      </c>
      <c r="C2757" t="str">
        <f ca="1">IFERROR(__xludf.DUMMYFUNCTION("""COMPUTED_VALUE"""),"БУ Г. ОМСКА ""УДХБ"" 190-РДО ")</f>
        <v xml:space="preserve">БУ Г. ОМСКА "УДХБ" 190-РДО </v>
      </c>
      <c r="D27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7" t="str">
        <f ca="1">IFERROR(__xludf.DUMMYFUNCTION("""COMPUTED_VALUE"""),"Новый")</f>
        <v>Новый</v>
      </c>
      <c r="G2757" s="68"/>
      <c r="K2757" s="68"/>
    </row>
    <row r="2758" spans="1:11" ht="12.75">
      <c r="A2758" s="69">
        <f ca="1">IFERROR(__xludf.DUMMYFUNCTION("""COMPUTED_VALUE"""),99565)</f>
        <v>99565</v>
      </c>
      <c r="B2758" s="4">
        <f ca="1">IFERROR(__xludf.DUMMYFUNCTION("""COMPUTED_VALUE"""),44720)</f>
        <v>44720</v>
      </c>
      <c r="C2758" t="str">
        <f ca="1">IFERROR(__xludf.DUMMYFUNCTION("""COMPUTED_VALUE"""),"БУ Г. ОМСКА ""УДХБ"" 190-РДО ")</f>
        <v xml:space="preserve">БУ Г. ОМСКА "УДХБ" 190-РДО </v>
      </c>
      <c r="D27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8" t="str">
        <f ca="1">IFERROR(__xludf.DUMMYFUNCTION("""COMPUTED_VALUE"""),"Новый")</f>
        <v>Новый</v>
      </c>
      <c r="G2758" s="68"/>
      <c r="K2758" s="68"/>
    </row>
    <row r="2759" spans="1:11" ht="12.75">
      <c r="A2759" s="69">
        <f ca="1">IFERROR(__xludf.DUMMYFUNCTION("""COMPUTED_VALUE"""),99566)</f>
        <v>99566</v>
      </c>
      <c r="B2759" s="4">
        <f ca="1">IFERROR(__xludf.DUMMYFUNCTION("""COMPUTED_VALUE"""),44720)</f>
        <v>44720</v>
      </c>
      <c r="C2759" t="str">
        <f ca="1">IFERROR(__xludf.DUMMYFUNCTION("""COMPUTED_VALUE"""),"БУ Г. ОМСКА ""УДХБ"" 190-РДО ")</f>
        <v xml:space="preserve">БУ Г. ОМСКА "УДХБ" 190-РДО </v>
      </c>
      <c r="D27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59" t="str">
        <f ca="1">IFERROR(__xludf.DUMMYFUNCTION("""COMPUTED_VALUE"""),"Новый")</f>
        <v>Новый</v>
      </c>
      <c r="G2759" s="68"/>
      <c r="K2759" s="68"/>
    </row>
    <row r="2760" spans="1:11" ht="12.75">
      <c r="A2760" s="69">
        <f ca="1">IFERROR(__xludf.DUMMYFUNCTION("""COMPUTED_VALUE"""),99567)</f>
        <v>99567</v>
      </c>
      <c r="B2760" s="4">
        <f ca="1">IFERROR(__xludf.DUMMYFUNCTION("""COMPUTED_VALUE"""),44720)</f>
        <v>44720</v>
      </c>
      <c r="C2760" t="str">
        <f ca="1">IFERROR(__xludf.DUMMYFUNCTION("""COMPUTED_VALUE"""),"БУ Г. ОМСКА ""УДХБ"" 190-РДО ")</f>
        <v xml:space="preserve">БУ Г. ОМСКА "УДХБ" 190-РДО </v>
      </c>
      <c r="D27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0" t="str">
        <f ca="1">IFERROR(__xludf.DUMMYFUNCTION("""COMPUTED_VALUE"""),"Новый")</f>
        <v>Новый</v>
      </c>
      <c r="G2760" s="68"/>
      <c r="K2760" s="68"/>
    </row>
    <row r="2761" spans="1:11" ht="12.75">
      <c r="A2761" s="69">
        <f ca="1">IFERROR(__xludf.DUMMYFUNCTION("""COMPUTED_VALUE"""),99568)</f>
        <v>99568</v>
      </c>
      <c r="B2761" s="4">
        <f ca="1">IFERROR(__xludf.DUMMYFUNCTION("""COMPUTED_VALUE"""),44720)</f>
        <v>44720</v>
      </c>
      <c r="C2761" t="str">
        <f ca="1">IFERROR(__xludf.DUMMYFUNCTION("""COMPUTED_VALUE"""),"БУ Г. ОМСКА ""УДХБ"" 190-РДО ")</f>
        <v xml:space="preserve">БУ Г. ОМСКА "УДХБ" 190-РДО </v>
      </c>
      <c r="D27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1" t="str">
        <f ca="1">IFERROR(__xludf.DUMMYFUNCTION("""COMPUTED_VALUE"""),"Новый")</f>
        <v>Новый</v>
      </c>
      <c r="G2761" s="68"/>
      <c r="K2761" s="68"/>
    </row>
    <row r="2762" spans="1:11" ht="12.75">
      <c r="A2762" s="69">
        <f ca="1">IFERROR(__xludf.DUMMYFUNCTION("""COMPUTED_VALUE"""),99569)</f>
        <v>99569</v>
      </c>
      <c r="B2762" s="4">
        <f ca="1">IFERROR(__xludf.DUMMYFUNCTION("""COMPUTED_VALUE"""),44720)</f>
        <v>44720</v>
      </c>
      <c r="C2762" t="str">
        <f ca="1">IFERROR(__xludf.DUMMYFUNCTION("""COMPUTED_VALUE"""),"БУ Г. ОМСКА ""УДХБ"" 190-РДО ")</f>
        <v xml:space="preserve">БУ Г. ОМСКА "УДХБ" 190-РДО </v>
      </c>
      <c r="D27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2" t="str">
        <f ca="1">IFERROR(__xludf.DUMMYFUNCTION("""COMPUTED_VALUE"""),"Новый")</f>
        <v>Новый</v>
      </c>
      <c r="G2762" s="68"/>
      <c r="K2762" s="68"/>
    </row>
    <row r="2763" spans="1:11" ht="12.75">
      <c r="A2763" s="69">
        <f ca="1">IFERROR(__xludf.DUMMYFUNCTION("""COMPUTED_VALUE"""),99570)</f>
        <v>99570</v>
      </c>
      <c r="B2763" s="4">
        <f ca="1">IFERROR(__xludf.DUMMYFUNCTION("""COMPUTED_VALUE"""),44720)</f>
        <v>44720</v>
      </c>
      <c r="C2763" t="str">
        <f ca="1">IFERROR(__xludf.DUMMYFUNCTION("""COMPUTED_VALUE"""),"БУ Г. ОМСКА ""УДХБ"" 190-РДО ")</f>
        <v xml:space="preserve">БУ Г. ОМСКА "УДХБ" 190-РДО </v>
      </c>
      <c r="D27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3" t="str">
        <f ca="1">IFERROR(__xludf.DUMMYFUNCTION("""COMPUTED_VALUE"""),"Новый")</f>
        <v>Новый</v>
      </c>
      <c r="G2763" s="68"/>
      <c r="K2763" s="68"/>
    </row>
    <row r="2764" spans="1:11" ht="12.75">
      <c r="A2764" s="69">
        <f ca="1">IFERROR(__xludf.DUMMYFUNCTION("""COMPUTED_VALUE"""),99571)</f>
        <v>99571</v>
      </c>
      <c r="B2764" s="4">
        <f ca="1">IFERROR(__xludf.DUMMYFUNCTION("""COMPUTED_VALUE"""),44720)</f>
        <v>44720</v>
      </c>
      <c r="C2764" t="str">
        <f ca="1">IFERROR(__xludf.DUMMYFUNCTION("""COMPUTED_VALUE"""),"БУ Г. ОМСКА ""УДХБ"" 190-РДО ")</f>
        <v xml:space="preserve">БУ Г. ОМСКА "УДХБ" 190-РДО </v>
      </c>
      <c r="D27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4" t="str">
        <f ca="1">IFERROR(__xludf.DUMMYFUNCTION("""COMPUTED_VALUE"""),"Новый")</f>
        <v>Новый</v>
      </c>
      <c r="G2764" s="68"/>
      <c r="K2764" s="68"/>
    </row>
    <row r="2765" spans="1:11" ht="12.75">
      <c r="A2765" s="69">
        <f ca="1">IFERROR(__xludf.DUMMYFUNCTION("""COMPUTED_VALUE"""),99572)</f>
        <v>99572</v>
      </c>
      <c r="B2765" s="4">
        <f ca="1">IFERROR(__xludf.DUMMYFUNCTION("""COMPUTED_VALUE"""),44720)</f>
        <v>44720</v>
      </c>
      <c r="C2765" t="str">
        <f ca="1">IFERROR(__xludf.DUMMYFUNCTION("""COMPUTED_VALUE"""),"БУ Г. ОМСКА ""УДХБ"" 190-РДО ")</f>
        <v xml:space="preserve">БУ Г. ОМСКА "УДХБ" 190-РДО </v>
      </c>
      <c r="D27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5" t="str">
        <f ca="1">IFERROR(__xludf.DUMMYFUNCTION("""COMPUTED_VALUE"""),"Новый")</f>
        <v>Новый</v>
      </c>
      <c r="G2765" s="68"/>
      <c r="K2765" s="68"/>
    </row>
    <row r="2766" spans="1:11" ht="12.75">
      <c r="A2766" s="69">
        <f ca="1">IFERROR(__xludf.DUMMYFUNCTION("""COMPUTED_VALUE"""),99573)</f>
        <v>99573</v>
      </c>
      <c r="B2766" s="4">
        <f ca="1">IFERROR(__xludf.DUMMYFUNCTION("""COMPUTED_VALUE"""),44720)</f>
        <v>44720</v>
      </c>
      <c r="C2766" t="str">
        <f ca="1">IFERROR(__xludf.DUMMYFUNCTION("""COMPUTED_VALUE"""),"БУ Г. ОМСКА ""УДХБ"" 190-РДО ")</f>
        <v xml:space="preserve">БУ Г. ОМСКА "УДХБ" 190-РДО </v>
      </c>
      <c r="D27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6" t="str">
        <f ca="1">IFERROR(__xludf.DUMMYFUNCTION("""COMPUTED_VALUE"""),"Новый")</f>
        <v>Новый</v>
      </c>
      <c r="G2766" s="68"/>
      <c r="K2766" s="68"/>
    </row>
    <row r="2767" spans="1:11" ht="12.75">
      <c r="A2767" s="69">
        <f ca="1">IFERROR(__xludf.DUMMYFUNCTION("""COMPUTED_VALUE"""),99574)</f>
        <v>99574</v>
      </c>
      <c r="B2767" s="4">
        <f ca="1">IFERROR(__xludf.DUMMYFUNCTION("""COMPUTED_VALUE"""),44720)</f>
        <v>44720</v>
      </c>
      <c r="C2767" t="str">
        <f ca="1">IFERROR(__xludf.DUMMYFUNCTION("""COMPUTED_VALUE"""),"БУ Г. ОМСКА ""УДХБ"" 190-РДО ")</f>
        <v xml:space="preserve">БУ Г. ОМСКА "УДХБ" 190-РДО </v>
      </c>
      <c r="D27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7" t="str">
        <f ca="1">IFERROR(__xludf.DUMMYFUNCTION("""COMPUTED_VALUE"""),"Новый")</f>
        <v>Новый</v>
      </c>
      <c r="G2767" s="68"/>
      <c r="K2767" s="68"/>
    </row>
    <row r="2768" spans="1:11" ht="12.75">
      <c r="A2768" s="69">
        <f ca="1">IFERROR(__xludf.DUMMYFUNCTION("""COMPUTED_VALUE"""),99575)</f>
        <v>99575</v>
      </c>
      <c r="B2768" s="4">
        <f ca="1">IFERROR(__xludf.DUMMYFUNCTION("""COMPUTED_VALUE"""),44720)</f>
        <v>44720</v>
      </c>
      <c r="C2768" t="str">
        <f ca="1">IFERROR(__xludf.DUMMYFUNCTION("""COMPUTED_VALUE"""),"БУ Г. ОМСКА ""УДХБ"" 190-РДО ")</f>
        <v xml:space="preserve">БУ Г. ОМСКА "УДХБ" 190-РДО </v>
      </c>
      <c r="D27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8" t="str">
        <f ca="1">IFERROR(__xludf.DUMMYFUNCTION("""COMPUTED_VALUE"""),"Новый")</f>
        <v>Новый</v>
      </c>
      <c r="G2768" s="68"/>
      <c r="K2768" s="68"/>
    </row>
    <row r="2769" spans="1:11" ht="12.75">
      <c r="A2769" s="69">
        <f ca="1">IFERROR(__xludf.DUMMYFUNCTION("""COMPUTED_VALUE"""),99576)</f>
        <v>99576</v>
      </c>
      <c r="B2769" s="4">
        <f ca="1">IFERROR(__xludf.DUMMYFUNCTION("""COMPUTED_VALUE"""),44720)</f>
        <v>44720</v>
      </c>
      <c r="C2769" t="str">
        <f ca="1">IFERROR(__xludf.DUMMYFUNCTION("""COMPUTED_VALUE"""),"БУ Г. ОМСКА ""УДХБ"" 190-РДО ")</f>
        <v xml:space="preserve">БУ Г. ОМСКА "УДХБ" 190-РДО </v>
      </c>
      <c r="D27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69" t="str">
        <f ca="1">IFERROR(__xludf.DUMMYFUNCTION("""COMPUTED_VALUE"""),"Новый")</f>
        <v>Новый</v>
      </c>
      <c r="G2769" s="68"/>
      <c r="K2769" s="68"/>
    </row>
    <row r="2770" spans="1:11" ht="12.75">
      <c r="A2770" s="69">
        <f ca="1">IFERROR(__xludf.DUMMYFUNCTION("""COMPUTED_VALUE"""),99577)</f>
        <v>99577</v>
      </c>
      <c r="B2770" s="4">
        <f ca="1">IFERROR(__xludf.DUMMYFUNCTION("""COMPUTED_VALUE"""),44720)</f>
        <v>44720</v>
      </c>
      <c r="C2770" t="str">
        <f ca="1">IFERROR(__xludf.DUMMYFUNCTION("""COMPUTED_VALUE"""),"БУ Г. ОМСКА ""УДХБ"" 190-РДО ")</f>
        <v xml:space="preserve">БУ Г. ОМСКА "УДХБ" 190-РДО </v>
      </c>
      <c r="D27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0" t="str">
        <f ca="1">IFERROR(__xludf.DUMMYFUNCTION("""COMPUTED_VALUE"""),"Новый")</f>
        <v>Новый</v>
      </c>
      <c r="G2770" s="68"/>
      <c r="K2770" s="68"/>
    </row>
    <row r="2771" spans="1:11" ht="12.75">
      <c r="A2771" s="69">
        <f ca="1">IFERROR(__xludf.DUMMYFUNCTION("""COMPUTED_VALUE"""),99578)</f>
        <v>99578</v>
      </c>
      <c r="B2771" s="4">
        <f ca="1">IFERROR(__xludf.DUMMYFUNCTION("""COMPUTED_VALUE"""),44720)</f>
        <v>44720</v>
      </c>
      <c r="C2771" t="str">
        <f ca="1">IFERROR(__xludf.DUMMYFUNCTION("""COMPUTED_VALUE"""),"БУ Г. ОМСКА ""УДХБ"" 190-РДО ")</f>
        <v xml:space="preserve">БУ Г. ОМСКА "УДХБ" 190-РДО </v>
      </c>
      <c r="D27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1" t="str">
        <f ca="1">IFERROR(__xludf.DUMMYFUNCTION("""COMPUTED_VALUE"""),"Новый")</f>
        <v>Новый</v>
      </c>
      <c r="G2771" s="68"/>
      <c r="K2771" s="68"/>
    </row>
    <row r="2772" spans="1:11" ht="12.75">
      <c r="A2772" s="69">
        <f ca="1">IFERROR(__xludf.DUMMYFUNCTION("""COMPUTED_VALUE"""),99579)</f>
        <v>99579</v>
      </c>
      <c r="B2772" s="4">
        <f ca="1">IFERROR(__xludf.DUMMYFUNCTION("""COMPUTED_VALUE"""),44720)</f>
        <v>44720</v>
      </c>
      <c r="C2772" t="str">
        <f ca="1">IFERROR(__xludf.DUMMYFUNCTION("""COMPUTED_VALUE"""),"БУ Г. ОМСКА ""УДХБ"" 190-РДО ")</f>
        <v xml:space="preserve">БУ Г. ОМСКА "УДХБ" 190-РДО </v>
      </c>
      <c r="D27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2" t="str">
        <f ca="1">IFERROR(__xludf.DUMMYFUNCTION("""COMPUTED_VALUE"""),"Новый")</f>
        <v>Новый</v>
      </c>
      <c r="G2772" s="68"/>
      <c r="K2772" s="68"/>
    </row>
    <row r="2773" spans="1:11" ht="12.75">
      <c r="A2773" s="69">
        <f ca="1">IFERROR(__xludf.DUMMYFUNCTION("""COMPUTED_VALUE"""),99580)</f>
        <v>99580</v>
      </c>
      <c r="B2773" s="4">
        <f ca="1">IFERROR(__xludf.DUMMYFUNCTION("""COMPUTED_VALUE"""),44720)</f>
        <v>44720</v>
      </c>
      <c r="C2773" t="str">
        <f ca="1">IFERROR(__xludf.DUMMYFUNCTION("""COMPUTED_VALUE"""),"БУ Г. ОМСКА ""УДХБ"" 190-РДО ")</f>
        <v xml:space="preserve">БУ Г. ОМСКА "УДХБ" 190-РДО </v>
      </c>
      <c r="D27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3" t="str">
        <f ca="1">IFERROR(__xludf.DUMMYFUNCTION("""COMPUTED_VALUE"""),"Новый")</f>
        <v>Новый</v>
      </c>
      <c r="G2773" s="68"/>
      <c r="K2773" s="68"/>
    </row>
    <row r="2774" spans="1:11" ht="12.75">
      <c r="A2774" s="69">
        <f ca="1">IFERROR(__xludf.DUMMYFUNCTION("""COMPUTED_VALUE"""),99581)</f>
        <v>99581</v>
      </c>
      <c r="B2774" s="4">
        <f ca="1">IFERROR(__xludf.DUMMYFUNCTION("""COMPUTED_VALUE"""),44720)</f>
        <v>44720</v>
      </c>
      <c r="C2774" t="str">
        <f ca="1">IFERROR(__xludf.DUMMYFUNCTION("""COMPUTED_VALUE"""),"БУ Г. ОМСКА ""УДХБ"" 190-РДО ")</f>
        <v xml:space="preserve">БУ Г. ОМСКА "УДХБ" 190-РДО </v>
      </c>
      <c r="D27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4" t="str">
        <f ca="1">IFERROR(__xludf.DUMMYFUNCTION("""COMPUTED_VALUE"""),"Новый")</f>
        <v>Новый</v>
      </c>
      <c r="G2774" s="68"/>
      <c r="K2774" s="68"/>
    </row>
    <row r="2775" spans="1:11" ht="12.75">
      <c r="A2775" s="69">
        <f ca="1">IFERROR(__xludf.DUMMYFUNCTION("""COMPUTED_VALUE"""),99582)</f>
        <v>99582</v>
      </c>
      <c r="B2775" s="4">
        <f ca="1">IFERROR(__xludf.DUMMYFUNCTION("""COMPUTED_VALUE"""),44720)</f>
        <v>44720</v>
      </c>
      <c r="C2775" t="str">
        <f ca="1">IFERROR(__xludf.DUMMYFUNCTION("""COMPUTED_VALUE"""),"БУ Г. ОМСКА ""УДХБ"" 190-РДО ")</f>
        <v xml:space="preserve">БУ Г. ОМСКА "УДХБ" 190-РДО </v>
      </c>
      <c r="D27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5" t="str">
        <f ca="1">IFERROR(__xludf.DUMMYFUNCTION("""COMPUTED_VALUE"""),"Новый")</f>
        <v>Новый</v>
      </c>
      <c r="G2775" s="68"/>
      <c r="K2775" s="68"/>
    </row>
    <row r="2776" spans="1:11" ht="12.75">
      <c r="A2776" s="69">
        <f ca="1">IFERROR(__xludf.DUMMYFUNCTION("""COMPUTED_VALUE"""),99583)</f>
        <v>99583</v>
      </c>
      <c r="B2776" s="4">
        <f ca="1">IFERROR(__xludf.DUMMYFUNCTION("""COMPUTED_VALUE"""),44720)</f>
        <v>44720</v>
      </c>
      <c r="C2776" t="str">
        <f ca="1">IFERROR(__xludf.DUMMYFUNCTION("""COMPUTED_VALUE"""),"БУ Г. ОМСКА ""УДХБ"" 190-РДО ")</f>
        <v xml:space="preserve">БУ Г. ОМСКА "УДХБ" 190-РДО </v>
      </c>
      <c r="D27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76" t="str">
        <f ca="1">IFERROR(__xludf.DUMMYFUNCTION("""COMPUTED_VALUE"""),"Новый")</f>
        <v>Новый</v>
      </c>
      <c r="G2776" s="68"/>
      <c r="K2776" s="68"/>
    </row>
    <row r="2777" spans="1:11" ht="12.75">
      <c r="A2777" s="69">
        <f ca="1">IFERROR(__xludf.DUMMYFUNCTION("""COMPUTED_VALUE"""),99586)</f>
        <v>99586</v>
      </c>
      <c r="B2777" s="4">
        <f ca="1">IFERROR(__xludf.DUMMYFUNCTION("""COMPUTED_VALUE"""),44721)</f>
        <v>44721</v>
      </c>
      <c r="C2777" t="str">
        <f ca="1">IFERROR(__xludf.DUMMYFUNCTION("""COMPUTED_VALUE"""),"ООО ""СТРОЙ РЕМОНТ"" 140-СТР от 08.06.2022")</f>
        <v>ООО "СТРОЙ РЕМОНТ" 140-СТР от 08.06.2022</v>
      </c>
      <c r="D27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77" t="str">
        <f ca="1">IFERROR(__xludf.DUMMYFUNCTION("""COMPUTED_VALUE"""),"Новый")</f>
        <v>Новый</v>
      </c>
      <c r="G2777" s="68"/>
      <c r="K2777" s="68"/>
    </row>
    <row r="2778" spans="1:11" ht="12.75">
      <c r="A2778" s="69">
        <f ca="1">IFERROR(__xludf.DUMMYFUNCTION("""COMPUTED_VALUE"""),99587)</f>
        <v>99587</v>
      </c>
      <c r="B2778" s="4">
        <f ca="1">IFERROR(__xludf.DUMMYFUNCTION("""COMPUTED_VALUE"""),44721)</f>
        <v>44721</v>
      </c>
      <c r="C2778" t="str">
        <f ca="1">IFERROR(__xludf.DUMMYFUNCTION("""COMPUTED_VALUE"""),"ООО ""СТРОЙ РЕМОНТ"" 140-СТР от 08.06.2022")</f>
        <v>ООО "СТРОЙ РЕМОНТ" 140-СТР от 08.06.2022</v>
      </c>
      <c r="D27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78" t="str">
        <f ca="1">IFERROR(__xludf.DUMMYFUNCTION("""COMPUTED_VALUE"""),"Новый")</f>
        <v>Новый</v>
      </c>
      <c r="G2778" s="68"/>
      <c r="K2778" s="68"/>
    </row>
    <row r="2779" spans="1:11" ht="12.75">
      <c r="A2779" s="69">
        <f ca="1">IFERROR(__xludf.DUMMYFUNCTION("""COMPUTED_VALUE"""),99592)</f>
        <v>99592</v>
      </c>
      <c r="B2779" s="4">
        <f ca="1">IFERROR(__xludf.DUMMYFUNCTION("""COMPUTED_VALUE"""),44721)</f>
        <v>44721</v>
      </c>
      <c r="C2779" t="str">
        <f ca="1">IFERROR(__xludf.DUMMYFUNCTION("""COMPUTED_VALUE"""),"ООО ""СТРОЙ РЕМОНТ"" 140-СТР от 08.06.2022")</f>
        <v>ООО "СТРОЙ РЕМОНТ" 140-СТР от 08.06.2022</v>
      </c>
      <c r="D27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79" t="str">
        <f ca="1">IFERROR(__xludf.DUMMYFUNCTION("""COMPUTED_VALUE"""),"Новый")</f>
        <v>Новый</v>
      </c>
      <c r="G2779" s="68"/>
      <c r="K2779" s="68"/>
    </row>
    <row r="2780" spans="1:11" ht="12.75">
      <c r="A2780" s="69">
        <f ca="1">IFERROR(__xludf.DUMMYFUNCTION("""COMPUTED_VALUE"""),99594)</f>
        <v>99594</v>
      </c>
      <c r="B2780" s="4">
        <f ca="1">IFERROR(__xludf.DUMMYFUNCTION("""COMPUTED_VALUE"""),44721)</f>
        <v>44721</v>
      </c>
      <c r="C2780" t="str">
        <f ca="1">IFERROR(__xludf.DUMMYFUNCTION("""COMPUTED_VALUE"""),"ООО ""СТРОЙ РЕМОНТ"" 140-СТР от 08.06.2022")</f>
        <v>ООО "СТРОЙ РЕМОНТ" 140-СТР от 08.06.2022</v>
      </c>
      <c r="D27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0" t="str">
        <f ca="1">IFERROR(__xludf.DUMMYFUNCTION("""COMPUTED_VALUE"""),"Новый")</f>
        <v>Новый</v>
      </c>
      <c r="G2780" s="68"/>
      <c r="K2780" s="68"/>
    </row>
    <row r="2781" spans="1:11" ht="12.75">
      <c r="A2781" s="69">
        <f ca="1">IFERROR(__xludf.DUMMYFUNCTION("""COMPUTED_VALUE"""),99595)</f>
        <v>99595</v>
      </c>
      <c r="B2781" s="4">
        <f ca="1">IFERROR(__xludf.DUMMYFUNCTION("""COMPUTED_VALUE"""),44721)</f>
        <v>44721</v>
      </c>
      <c r="C2781" t="str">
        <f ca="1">IFERROR(__xludf.DUMMYFUNCTION("""COMPUTED_VALUE"""),"ООО ""СТРОЙ РЕМОНТ"" 140-СТР от 08.06.2022")</f>
        <v>ООО "СТРОЙ РЕМОНТ" 140-СТР от 08.06.2022</v>
      </c>
      <c r="D27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1" t="str">
        <f ca="1">IFERROR(__xludf.DUMMYFUNCTION("""COMPUTED_VALUE"""),"Новый")</f>
        <v>Новый</v>
      </c>
      <c r="G2781" s="68"/>
      <c r="K2781" s="68"/>
    </row>
    <row r="2782" spans="1:11" ht="12.75">
      <c r="A2782" s="69">
        <f ca="1">IFERROR(__xludf.DUMMYFUNCTION("""COMPUTED_VALUE"""),99596)</f>
        <v>99596</v>
      </c>
      <c r="B2782" s="4">
        <f ca="1">IFERROR(__xludf.DUMMYFUNCTION("""COMPUTED_VALUE"""),44721)</f>
        <v>44721</v>
      </c>
      <c r="C2782" t="str">
        <f ca="1">IFERROR(__xludf.DUMMYFUNCTION("""COMPUTED_VALUE"""),"ООО ""СТРОЙ РЕМОНТ"" 140-СТР от 08.06.2022")</f>
        <v>ООО "СТРОЙ РЕМОНТ" 140-СТР от 08.06.2022</v>
      </c>
      <c r="D27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2" t="str">
        <f ca="1">IFERROR(__xludf.DUMMYFUNCTION("""COMPUTED_VALUE"""),"Новый")</f>
        <v>Новый</v>
      </c>
      <c r="G2782" s="68"/>
      <c r="K2782" s="68"/>
    </row>
    <row r="2783" spans="1:11" ht="12.75">
      <c r="A2783" s="69">
        <f ca="1">IFERROR(__xludf.DUMMYFUNCTION("""COMPUTED_VALUE"""),99597)</f>
        <v>99597</v>
      </c>
      <c r="B2783" s="4">
        <f ca="1">IFERROR(__xludf.DUMMYFUNCTION("""COMPUTED_VALUE"""),44721)</f>
        <v>44721</v>
      </c>
      <c r="C2783" t="str">
        <f ca="1">IFERROR(__xludf.DUMMYFUNCTION("""COMPUTED_VALUE"""),"ООО ""СТРОЙ РЕМОНТ"" 140-СТР от 08.06.2022")</f>
        <v>ООО "СТРОЙ РЕМОНТ" 140-СТР от 08.06.2022</v>
      </c>
      <c r="D27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3" t="str">
        <f ca="1">IFERROR(__xludf.DUMMYFUNCTION("""COMPUTED_VALUE"""),"Новый")</f>
        <v>Новый</v>
      </c>
      <c r="G2783" s="68"/>
      <c r="K2783" s="68"/>
    </row>
    <row r="2784" spans="1:11" ht="12.75">
      <c r="A2784" s="69">
        <f ca="1">IFERROR(__xludf.DUMMYFUNCTION("""COMPUTED_VALUE"""),99603)</f>
        <v>99603</v>
      </c>
      <c r="B2784" s="4">
        <f ca="1">IFERROR(__xludf.DUMMYFUNCTION("""COMPUTED_VALUE"""),44721)</f>
        <v>44721</v>
      </c>
      <c r="C2784" t="str">
        <f ca="1">IFERROR(__xludf.DUMMYFUNCTION("""COMPUTED_VALUE"""),"ООО ""СТРОЙ РЕМОНТ"" 140-СТР от 08.06.2022")</f>
        <v>ООО "СТРОЙ РЕМОНТ" 140-СТР от 08.06.2022</v>
      </c>
      <c r="D27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784" t="str">
        <f ca="1">IFERROR(__xludf.DUMMYFUNCTION("""COMPUTED_VALUE"""),"Новый")</f>
        <v>Новый</v>
      </c>
      <c r="G2784" s="68"/>
      <c r="K2784" s="68"/>
    </row>
    <row r="2785" spans="1:11" ht="12.75">
      <c r="A2785" s="69">
        <f ca="1">IFERROR(__xludf.DUMMYFUNCTION("""COMPUTED_VALUE"""),99609)</f>
        <v>99609</v>
      </c>
      <c r="B2785" s="4">
        <f ca="1">IFERROR(__xludf.DUMMYFUNCTION("""COMPUTED_VALUE"""),44721)</f>
        <v>44721</v>
      </c>
      <c r="C2785" t="str">
        <f ca="1">IFERROR(__xludf.DUMMYFUNCTION("""COMPUTED_VALUE"""),"БУ Г. ОМСКА ""УДХБ"" 190-РДО ")</f>
        <v xml:space="preserve">БУ Г. ОМСКА "УДХБ" 190-РДО </v>
      </c>
      <c r="D27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85" t="str">
        <f ca="1">IFERROR(__xludf.DUMMYFUNCTION("""COMPUTED_VALUE"""),"Новый")</f>
        <v>Новый</v>
      </c>
      <c r="G2785" s="68"/>
      <c r="K2785" s="68"/>
    </row>
    <row r="2786" spans="1:11" ht="12.75">
      <c r="A2786" s="69">
        <f ca="1">IFERROR(__xludf.DUMMYFUNCTION("""COMPUTED_VALUE"""),99632)</f>
        <v>99632</v>
      </c>
      <c r="B2786" s="4">
        <f ca="1">IFERROR(__xludf.DUMMYFUNCTION("""COMPUTED_VALUE"""),44721)</f>
        <v>44721</v>
      </c>
      <c r="C2786" t="str">
        <f ca="1">IFERROR(__xludf.DUMMYFUNCTION("""COMPUTED_VALUE"""),"БУ Г. ОМСКА ""УДХБ"" 190-РДО ")</f>
        <v xml:space="preserve">БУ Г. ОМСКА "УДХБ" 190-РДО </v>
      </c>
      <c r="D27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86" t="str">
        <f ca="1">IFERROR(__xludf.DUMMYFUNCTION("""COMPUTED_VALUE"""),"Новый")</f>
        <v>Новый</v>
      </c>
      <c r="G2786" s="68"/>
      <c r="K2786" s="68"/>
    </row>
    <row r="2787" spans="1:11" ht="12.75">
      <c r="A2787" s="69">
        <f ca="1">IFERROR(__xludf.DUMMYFUNCTION("""COMPUTED_VALUE"""),99652)</f>
        <v>99652</v>
      </c>
      <c r="B2787" s="4">
        <f ca="1">IFERROR(__xludf.DUMMYFUNCTION("""COMPUTED_VALUE"""),44721)</f>
        <v>44721</v>
      </c>
      <c r="C2787" t="str">
        <f ca="1">IFERROR(__xludf.DUMMYFUNCTION("""COMPUTED_VALUE"""),"БУ Г. ОМСКА ""УДХБ"" 190-РДО ")</f>
        <v xml:space="preserve">БУ Г. ОМСКА "УДХБ" 190-РДО </v>
      </c>
      <c r="D27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87" t="str">
        <f ca="1">IFERROR(__xludf.DUMMYFUNCTION("""COMPUTED_VALUE"""),"Новый")</f>
        <v>Новый</v>
      </c>
      <c r="G2787" s="68"/>
      <c r="K2787" s="68"/>
    </row>
    <row r="2788" spans="1:11" ht="12.75">
      <c r="A2788" s="69">
        <f ca="1">IFERROR(__xludf.DUMMYFUNCTION("""COMPUTED_VALUE"""),99654)</f>
        <v>99654</v>
      </c>
      <c r="B2788" s="4">
        <f ca="1">IFERROR(__xludf.DUMMYFUNCTION("""COMPUTED_VALUE"""),44721)</f>
        <v>44721</v>
      </c>
      <c r="C2788" t="str">
        <f ca="1">IFERROR(__xludf.DUMMYFUNCTION("""COMPUTED_VALUE"""),"БУ Г. ОМСКА ""УДХБ"" 190-РДО ")</f>
        <v xml:space="preserve">БУ Г. ОМСКА "УДХБ" 190-РДО </v>
      </c>
      <c r="D27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88" t="str">
        <f ca="1">IFERROR(__xludf.DUMMYFUNCTION("""COMPUTED_VALUE"""),"Новый")</f>
        <v>Новый</v>
      </c>
      <c r="G2788" s="68"/>
      <c r="K2788" s="68"/>
    </row>
    <row r="2789" spans="1:11" ht="12.75">
      <c r="A2789" s="69">
        <f ca="1">IFERROR(__xludf.DUMMYFUNCTION("""COMPUTED_VALUE"""),99655)</f>
        <v>99655</v>
      </c>
      <c r="B2789" s="4">
        <f ca="1">IFERROR(__xludf.DUMMYFUNCTION("""COMPUTED_VALUE"""),44721)</f>
        <v>44721</v>
      </c>
      <c r="C2789" t="str">
        <f ca="1">IFERROR(__xludf.DUMMYFUNCTION("""COMPUTED_VALUE"""),"БУ Г. ОМСКА ""УДХБ"" 190-РДО ")</f>
        <v xml:space="preserve">БУ Г. ОМСКА "УДХБ" 190-РДО </v>
      </c>
      <c r="D27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89" t="str">
        <f ca="1">IFERROR(__xludf.DUMMYFUNCTION("""COMPUTED_VALUE"""),"Новый")</f>
        <v>Новый</v>
      </c>
      <c r="G2789" s="68"/>
      <c r="K2789" s="68"/>
    </row>
    <row r="2790" spans="1:11" ht="12.75">
      <c r="A2790" s="69">
        <f ca="1">IFERROR(__xludf.DUMMYFUNCTION("""COMPUTED_VALUE"""),99673)</f>
        <v>99673</v>
      </c>
      <c r="B2790" s="4">
        <f ca="1">IFERROR(__xludf.DUMMYFUNCTION("""COMPUTED_VALUE"""),44721)</f>
        <v>44721</v>
      </c>
      <c r="C2790" t="str">
        <f ca="1">IFERROR(__xludf.DUMMYFUNCTION("""COMPUTED_VALUE"""),"БУ Г. ОМСКА ""УДХБ"" 190-РДО ")</f>
        <v xml:space="preserve">БУ Г. ОМСКА "УДХБ" 190-РДО </v>
      </c>
      <c r="D27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0" t="str">
        <f ca="1">IFERROR(__xludf.DUMMYFUNCTION("""COMPUTED_VALUE"""),"Новый")</f>
        <v>Новый</v>
      </c>
      <c r="G2790" s="68"/>
      <c r="K2790" s="68"/>
    </row>
    <row r="2791" spans="1:11" ht="12.75">
      <c r="A2791" s="69">
        <f ca="1">IFERROR(__xludf.DUMMYFUNCTION("""COMPUTED_VALUE"""),99674)</f>
        <v>99674</v>
      </c>
      <c r="B2791" s="4">
        <f ca="1">IFERROR(__xludf.DUMMYFUNCTION("""COMPUTED_VALUE"""),44721)</f>
        <v>44721</v>
      </c>
      <c r="C2791" t="str">
        <f ca="1">IFERROR(__xludf.DUMMYFUNCTION("""COMPUTED_VALUE"""),"БУ Г. ОМСКА ""УДХБ"" 190-РДО ")</f>
        <v xml:space="preserve">БУ Г. ОМСКА "УДХБ" 190-РДО </v>
      </c>
      <c r="D27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1" t="str">
        <f ca="1">IFERROR(__xludf.DUMMYFUNCTION("""COMPUTED_VALUE"""),"Новый")</f>
        <v>Новый</v>
      </c>
      <c r="G2791" s="68"/>
      <c r="K2791" s="68"/>
    </row>
    <row r="2792" spans="1:11" ht="12.75">
      <c r="A2792" s="69">
        <f ca="1">IFERROR(__xludf.DUMMYFUNCTION("""COMPUTED_VALUE"""),99675)</f>
        <v>99675</v>
      </c>
      <c r="B2792" s="4">
        <f ca="1">IFERROR(__xludf.DUMMYFUNCTION("""COMPUTED_VALUE"""),44721)</f>
        <v>44721</v>
      </c>
      <c r="C2792" t="str">
        <f ca="1">IFERROR(__xludf.DUMMYFUNCTION("""COMPUTED_VALUE"""),"БУ Г. ОМСКА ""УДХБ"" 190-РДО ")</f>
        <v xml:space="preserve">БУ Г. ОМСКА "УДХБ" 190-РДО </v>
      </c>
      <c r="D27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2" t="str">
        <f ca="1">IFERROR(__xludf.DUMMYFUNCTION("""COMPUTED_VALUE"""),"Новый")</f>
        <v>Новый</v>
      </c>
      <c r="G2792" s="68"/>
      <c r="K2792" s="68"/>
    </row>
    <row r="2793" spans="1:11" ht="12.75">
      <c r="A2793" s="69">
        <f ca="1">IFERROR(__xludf.DUMMYFUNCTION("""COMPUTED_VALUE"""),99676)</f>
        <v>99676</v>
      </c>
      <c r="B2793" s="4">
        <f ca="1">IFERROR(__xludf.DUMMYFUNCTION("""COMPUTED_VALUE"""),44721)</f>
        <v>44721</v>
      </c>
      <c r="C2793" t="str">
        <f ca="1">IFERROR(__xludf.DUMMYFUNCTION("""COMPUTED_VALUE"""),"БУ Г. ОМСКА ""УДХБ"" 190-РДО ")</f>
        <v xml:space="preserve">БУ Г. ОМСКА "УДХБ" 190-РДО </v>
      </c>
      <c r="D27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3" t="str">
        <f ca="1">IFERROR(__xludf.DUMMYFUNCTION("""COMPUTED_VALUE"""),"Новый")</f>
        <v>Новый</v>
      </c>
      <c r="G2793" s="68"/>
      <c r="K2793" s="68"/>
    </row>
    <row r="2794" spans="1:11" ht="12.75">
      <c r="A2794" s="69">
        <f ca="1">IFERROR(__xludf.DUMMYFUNCTION("""COMPUTED_VALUE"""),99677)</f>
        <v>99677</v>
      </c>
      <c r="B2794" s="4">
        <f ca="1">IFERROR(__xludf.DUMMYFUNCTION("""COMPUTED_VALUE"""),44721)</f>
        <v>44721</v>
      </c>
      <c r="C2794" t="str">
        <f ca="1">IFERROR(__xludf.DUMMYFUNCTION("""COMPUTED_VALUE"""),"БУ Г. ОМСКА ""УДХБ"" 190-РДО ")</f>
        <v xml:space="preserve">БУ Г. ОМСКА "УДХБ" 190-РДО </v>
      </c>
      <c r="D27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4" t="str">
        <f ca="1">IFERROR(__xludf.DUMMYFUNCTION("""COMPUTED_VALUE"""),"Новый")</f>
        <v>Новый</v>
      </c>
      <c r="G2794" s="68"/>
      <c r="K2794" s="68"/>
    </row>
    <row r="2795" spans="1:11" ht="12.75">
      <c r="A2795" s="69">
        <f ca="1">IFERROR(__xludf.DUMMYFUNCTION("""COMPUTED_VALUE"""),99678)</f>
        <v>99678</v>
      </c>
      <c r="B2795" s="4">
        <f ca="1">IFERROR(__xludf.DUMMYFUNCTION("""COMPUTED_VALUE"""),44721)</f>
        <v>44721</v>
      </c>
      <c r="C2795" t="str">
        <f ca="1">IFERROR(__xludf.DUMMYFUNCTION("""COMPUTED_VALUE"""),"БУ Г. ОМСКА ""УДХБ"" 190-РДО ")</f>
        <v xml:space="preserve">БУ Г. ОМСКА "УДХБ" 190-РДО </v>
      </c>
      <c r="D27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5" t="str">
        <f ca="1">IFERROR(__xludf.DUMMYFUNCTION("""COMPUTED_VALUE"""),"Новый")</f>
        <v>Новый</v>
      </c>
      <c r="G2795" s="68"/>
      <c r="K2795" s="68"/>
    </row>
    <row r="2796" spans="1:11" ht="12.75">
      <c r="A2796" s="69">
        <f ca="1">IFERROR(__xludf.DUMMYFUNCTION("""COMPUTED_VALUE"""),99692)</f>
        <v>99692</v>
      </c>
      <c r="B2796" s="4">
        <f ca="1">IFERROR(__xludf.DUMMYFUNCTION("""COMPUTED_VALUE"""),44721)</f>
        <v>44721</v>
      </c>
      <c r="C2796" t="str">
        <f ca="1">IFERROR(__xludf.DUMMYFUNCTION("""COMPUTED_VALUE"""),"БУ Г. ОМСКА ""УДХБ"" 190-РДО ")</f>
        <v xml:space="preserve">БУ Г. ОМСКА "УДХБ" 190-РДО </v>
      </c>
      <c r="D27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6" t="str">
        <f ca="1">IFERROR(__xludf.DUMMYFUNCTION("""COMPUTED_VALUE"""),"Новый")</f>
        <v>Новый</v>
      </c>
      <c r="G2796" s="68"/>
      <c r="K2796" s="68"/>
    </row>
    <row r="2797" spans="1:11" ht="12.75">
      <c r="A2797" s="69">
        <f ca="1">IFERROR(__xludf.DUMMYFUNCTION("""COMPUTED_VALUE"""),99693)</f>
        <v>99693</v>
      </c>
      <c r="B2797" s="4">
        <f ca="1">IFERROR(__xludf.DUMMYFUNCTION("""COMPUTED_VALUE"""),44721)</f>
        <v>44721</v>
      </c>
      <c r="C2797" t="str">
        <f ca="1">IFERROR(__xludf.DUMMYFUNCTION("""COMPUTED_VALUE"""),"БУ Г. ОМСКА ""УДХБ"" 190-РДО ")</f>
        <v xml:space="preserve">БУ Г. ОМСКА "УДХБ" 190-РДО </v>
      </c>
      <c r="D27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7" t="str">
        <f ca="1">IFERROR(__xludf.DUMMYFUNCTION("""COMPUTED_VALUE"""),"Новый")</f>
        <v>Новый</v>
      </c>
      <c r="G2797" s="68"/>
      <c r="K2797" s="68"/>
    </row>
    <row r="2798" spans="1:11" ht="12.75">
      <c r="A2798" s="69">
        <f ca="1">IFERROR(__xludf.DUMMYFUNCTION("""COMPUTED_VALUE"""),99694)</f>
        <v>99694</v>
      </c>
      <c r="B2798" s="4">
        <f ca="1">IFERROR(__xludf.DUMMYFUNCTION("""COMPUTED_VALUE"""),44721)</f>
        <v>44721</v>
      </c>
      <c r="C2798" t="str">
        <f ca="1">IFERROR(__xludf.DUMMYFUNCTION("""COMPUTED_VALUE"""),"БУ Г. ОМСКА ""УДХБ"" 190-РДО ")</f>
        <v xml:space="preserve">БУ Г. ОМСКА "УДХБ" 190-РДО </v>
      </c>
      <c r="D27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8" t="str">
        <f ca="1">IFERROR(__xludf.DUMMYFUNCTION("""COMPUTED_VALUE"""),"Новый")</f>
        <v>Новый</v>
      </c>
      <c r="G2798" s="68"/>
      <c r="K2798" s="68"/>
    </row>
    <row r="2799" spans="1:11" ht="12.75">
      <c r="A2799" s="69">
        <f ca="1">IFERROR(__xludf.DUMMYFUNCTION("""COMPUTED_VALUE"""),99695)</f>
        <v>99695</v>
      </c>
      <c r="B2799" s="4">
        <f ca="1">IFERROR(__xludf.DUMMYFUNCTION("""COMPUTED_VALUE"""),44721)</f>
        <v>44721</v>
      </c>
      <c r="C2799" t="str">
        <f ca="1">IFERROR(__xludf.DUMMYFUNCTION("""COMPUTED_VALUE"""),"БУ Г. ОМСКА ""УДХБ"" 190-РДО ")</f>
        <v xml:space="preserve">БУ Г. ОМСКА "УДХБ" 190-РДО </v>
      </c>
      <c r="D27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799" t="str">
        <f ca="1">IFERROR(__xludf.DUMMYFUNCTION("""COMPUTED_VALUE"""),"Новый")</f>
        <v>Новый</v>
      </c>
      <c r="G2799" s="68"/>
      <c r="K2799" s="68"/>
    </row>
    <row r="2800" spans="1:11" ht="12.75">
      <c r="A2800" s="69">
        <f ca="1">IFERROR(__xludf.DUMMYFUNCTION("""COMPUTED_VALUE"""),99696)</f>
        <v>99696</v>
      </c>
      <c r="B2800" s="4">
        <f ca="1">IFERROR(__xludf.DUMMYFUNCTION("""COMPUTED_VALUE"""),44721)</f>
        <v>44721</v>
      </c>
      <c r="C2800" t="str">
        <f ca="1">IFERROR(__xludf.DUMMYFUNCTION("""COMPUTED_VALUE"""),"БУ Г. ОМСКА ""УДХБ"" 190-РДО ")</f>
        <v xml:space="preserve">БУ Г. ОМСКА "УДХБ" 190-РДО </v>
      </c>
      <c r="D28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0" t="str">
        <f ca="1">IFERROR(__xludf.DUMMYFUNCTION("""COMPUTED_VALUE"""),"Новый")</f>
        <v>Новый</v>
      </c>
      <c r="G2800" s="68"/>
      <c r="K2800" s="68"/>
    </row>
    <row r="2801" spans="1:11" ht="12.75">
      <c r="A2801" s="69">
        <f ca="1">IFERROR(__xludf.DUMMYFUNCTION("""COMPUTED_VALUE"""),99697)</f>
        <v>99697</v>
      </c>
      <c r="B2801" s="4">
        <f ca="1">IFERROR(__xludf.DUMMYFUNCTION("""COMPUTED_VALUE"""),44721)</f>
        <v>44721</v>
      </c>
      <c r="C2801" t="str">
        <f ca="1">IFERROR(__xludf.DUMMYFUNCTION("""COMPUTED_VALUE"""),"БУ Г. ОМСКА ""УДХБ"" 190-РДО ")</f>
        <v xml:space="preserve">БУ Г. ОМСКА "УДХБ" 190-РДО </v>
      </c>
      <c r="D28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1" t="str">
        <f ca="1">IFERROR(__xludf.DUMMYFUNCTION("""COMPUTED_VALUE"""),"Новый")</f>
        <v>Новый</v>
      </c>
      <c r="G2801" s="68"/>
      <c r="K2801" s="68"/>
    </row>
    <row r="2802" spans="1:11" ht="12.75">
      <c r="A2802" s="69">
        <f ca="1">IFERROR(__xludf.DUMMYFUNCTION("""COMPUTED_VALUE"""),99698)</f>
        <v>99698</v>
      </c>
      <c r="B2802" s="4">
        <f ca="1">IFERROR(__xludf.DUMMYFUNCTION("""COMPUTED_VALUE"""),44721)</f>
        <v>44721</v>
      </c>
      <c r="C2802" t="str">
        <f ca="1">IFERROR(__xludf.DUMMYFUNCTION("""COMPUTED_VALUE"""),"БУ Г. ОМСКА ""УДХБ"" 190-РДО ")</f>
        <v xml:space="preserve">БУ Г. ОМСКА "УДХБ" 190-РДО </v>
      </c>
      <c r="D28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2" t="str">
        <f ca="1">IFERROR(__xludf.DUMMYFUNCTION("""COMPUTED_VALUE"""),"Новый")</f>
        <v>Новый</v>
      </c>
      <c r="G2802" s="68"/>
      <c r="K2802" s="68"/>
    </row>
    <row r="2803" spans="1:11" ht="12.75">
      <c r="A2803" s="69">
        <f ca="1">IFERROR(__xludf.DUMMYFUNCTION("""COMPUTED_VALUE"""),99699)</f>
        <v>99699</v>
      </c>
      <c r="B2803" s="4">
        <f ca="1">IFERROR(__xludf.DUMMYFUNCTION("""COMPUTED_VALUE"""),44721)</f>
        <v>44721</v>
      </c>
      <c r="C2803" t="str">
        <f ca="1">IFERROR(__xludf.DUMMYFUNCTION("""COMPUTED_VALUE"""),"БУ Г. ОМСКА ""УДХБ"" 190-РДО ")</f>
        <v xml:space="preserve">БУ Г. ОМСКА "УДХБ" 190-РДО </v>
      </c>
      <c r="D28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3" t="str">
        <f ca="1">IFERROR(__xludf.DUMMYFUNCTION("""COMPUTED_VALUE"""),"Новый")</f>
        <v>Новый</v>
      </c>
      <c r="G2803" s="68"/>
      <c r="K2803" s="68"/>
    </row>
    <row r="2804" spans="1:11" ht="12.75">
      <c r="A2804" s="69">
        <f ca="1">IFERROR(__xludf.DUMMYFUNCTION("""COMPUTED_VALUE"""),99700)</f>
        <v>99700</v>
      </c>
      <c r="B2804" s="4">
        <f ca="1">IFERROR(__xludf.DUMMYFUNCTION("""COMPUTED_VALUE"""),44721)</f>
        <v>44721</v>
      </c>
      <c r="C2804" t="str">
        <f ca="1">IFERROR(__xludf.DUMMYFUNCTION("""COMPUTED_VALUE"""),"БУ Г. ОМСКА ""УДХБ"" 190-РДО ")</f>
        <v xml:space="preserve">БУ Г. ОМСКА "УДХБ" 190-РДО </v>
      </c>
      <c r="D28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4" t="str">
        <f ca="1">IFERROR(__xludf.DUMMYFUNCTION("""COMPUTED_VALUE"""),"Новый")</f>
        <v>Новый</v>
      </c>
      <c r="G2804" s="68"/>
      <c r="K2804" s="68"/>
    </row>
    <row r="2805" spans="1:11" ht="12.75">
      <c r="A2805" s="69">
        <f ca="1">IFERROR(__xludf.DUMMYFUNCTION("""COMPUTED_VALUE"""),99701)</f>
        <v>99701</v>
      </c>
      <c r="B2805" s="4">
        <f ca="1">IFERROR(__xludf.DUMMYFUNCTION("""COMPUTED_VALUE"""),44721)</f>
        <v>44721</v>
      </c>
      <c r="C2805" t="str">
        <f ca="1">IFERROR(__xludf.DUMMYFUNCTION("""COMPUTED_VALUE"""),"БУ Г. ОМСКА ""УДХБ"" 190-РДО ")</f>
        <v xml:space="preserve">БУ Г. ОМСКА "УДХБ" 190-РДО </v>
      </c>
      <c r="D28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5" t="str">
        <f ca="1">IFERROR(__xludf.DUMMYFUNCTION("""COMPUTED_VALUE"""),"Новый")</f>
        <v>Новый</v>
      </c>
      <c r="G2805" s="68"/>
      <c r="K2805" s="68"/>
    </row>
    <row r="2806" spans="1:11" ht="12.75">
      <c r="A2806" s="69">
        <f ca="1">IFERROR(__xludf.DUMMYFUNCTION("""COMPUTED_VALUE"""),99702)</f>
        <v>99702</v>
      </c>
      <c r="B2806" s="4">
        <f ca="1">IFERROR(__xludf.DUMMYFUNCTION("""COMPUTED_VALUE"""),44721)</f>
        <v>44721</v>
      </c>
      <c r="C2806" t="str">
        <f ca="1">IFERROR(__xludf.DUMMYFUNCTION("""COMPUTED_VALUE"""),"БУ Г. ОМСКА ""УДХБ"" 190-РДО ")</f>
        <v xml:space="preserve">БУ Г. ОМСКА "УДХБ" 190-РДО </v>
      </c>
      <c r="D28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6" t="str">
        <f ca="1">IFERROR(__xludf.DUMMYFUNCTION("""COMPUTED_VALUE"""),"Новый")</f>
        <v>Новый</v>
      </c>
      <c r="G2806" s="68"/>
      <c r="K2806" s="68"/>
    </row>
    <row r="2807" spans="1:11" ht="12.75">
      <c r="A2807" s="69">
        <f ca="1">IFERROR(__xludf.DUMMYFUNCTION("""COMPUTED_VALUE"""),99703)</f>
        <v>99703</v>
      </c>
      <c r="B2807" s="4">
        <f ca="1">IFERROR(__xludf.DUMMYFUNCTION("""COMPUTED_VALUE"""),44721)</f>
        <v>44721</v>
      </c>
      <c r="C2807" t="str">
        <f ca="1">IFERROR(__xludf.DUMMYFUNCTION("""COMPUTED_VALUE"""),"БУ Г. ОМСКА ""УДХБ"" 190-РДО ")</f>
        <v xml:space="preserve">БУ Г. ОМСКА "УДХБ" 190-РДО </v>
      </c>
      <c r="D28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7" t="str">
        <f ca="1">IFERROR(__xludf.DUMMYFUNCTION("""COMPUTED_VALUE"""),"Новый")</f>
        <v>Новый</v>
      </c>
      <c r="G2807" s="68"/>
      <c r="K2807" s="68"/>
    </row>
    <row r="2808" spans="1:11" ht="12.75">
      <c r="A2808" s="69">
        <f ca="1">IFERROR(__xludf.DUMMYFUNCTION("""COMPUTED_VALUE"""),99704)</f>
        <v>99704</v>
      </c>
      <c r="B2808" s="4">
        <f ca="1">IFERROR(__xludf.DUMMYFUNCTION("""COMPUTED_VALUE"""),44721)</f>
        <v>44721</v>
      </c>
      <c r="C2808" t="str">
        <f ca="1">IFERROR(__xludf.DUMMYFUNCTION("""COMPUTED_VALUE"""),"БУ Г. ОМСКА ""УДХБ"" 190-РДО ")</f>
        <v xml:space="preserve">БУ Г. ОМСКА "УДХБ" 190-РДО </v>
      </c>
      <c r="D28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8" t="str">
        <f ca="1">IFERROR(__xludf.DUMMYFUNCTION("""COMPUTED_VALUE"""),"Новый")</f>
        <v>Новый</v>
      </c>
      <c r="G2808" s="68"/>
      <c r="K2808" s="68"/>
    </row>
    <row r="2809" spans="1:11" ht="12.75">
      <c r="A2809" s="69">
        <f ca="1">IFERROR(__xludf.DUMMYFUNCTION("""COMPUTED_VALUE"""),99705)</f>
        <v>99705</v>
      </c>
      <c r="B2809" s="4">
        <f ca="1">IFERROR(__xludf.DUMMYFUNCTION("""COMPUTED_VALUE"""),44721)</f>
        <v>44721</v>
      </c>
      <c r="C2809" t="str">
        <f ca="1">IFERROR(__xludf.DUMMYFUNCTION("""COMPUTED_VALUE"""),"БУ Г. ОМСКА ""УДХБ"" 190-РДО ")</f>
        <v xml:space="preserve">БУ Г. ОМСКА "УДХБ" 190-РДО </v>
      </c>
      <c r="D28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09" t="str">
        <f ca="1">IFERROR(__xludf.DUMMYFUNCTION("""COMPUTED_VALUE"""),"Новый")</f>
        <v>Новый</v>
      </c>
      <c r="G2809" s="68"/>
      <c r="K2809" s="68"/>
    </row>
    <row r="2810" spans="1:11" ht="12.75">
      <c r="A2810" s="69">
        <f ca="1">IFERROR(__xludf.DUMMYFUNCTION("""COMPUTED_VALUE"""),99710)</f>
        <v>99710</v>
      </c>
      <c r="B2810" s="4">
        <f ca="1">IFERROR(__xludf.DUMMYFUNCTION("""COMPUTED_VALUE"""),44721)</f>
        <v>44721</v>
      </c>
      <c r="C2810" t="str">
        <f ca="1">IFERROR(__xludf.DUMMYFUNCTION("""COMPUTED_VALUE"""),"БУ Г. ОМСКА ""УДХБ"" 190-РДО ")</f>
        <v xml:space="preserve">БУ Г. ОМСКА "УДХБ" 190-РДО </v>
      </c>
      <c r="D28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10" t="str">
        <f ca="1">IFERROR(__xludf.DUMMYFUNCTION("""COMPUTED_VALUE"""),"Новый")</f>
        <v>Новый</v>
      </c>
      <c r="G2810" s="68"/>
      <c r="K2810" s="68"/>
    </row>
    <row r="2811" spans="1:11" ht="12.75">
      <c r="A2811" s="69">
        <f ca="1">IFERROR(__xludf.DUMMYFUNCTION("""COMPUTED_VALUE"""),99711)</f>
        <v>99711</v>
      </c>
      <c r="B2811" s="4">
        <f ca="1">IFERROR(__xludf.DUMMYFUNCTION("""COMPUTED_VALUE"""),44721)</f>
        <v>44721</v>
      </c>
      <c r="C2811" t="str">
        <f ca="1">IFERROR(__xludf.DUMMYFUNCTION("""COMPUTED_VALUE"""),"БУ Г. ОМСКА ""УДХБ"" 190-РДО ")</f>
        <v xml:space="preserve">БУ Г. ОМСКА "УДХБ" 190-РДО </v>
      </c>
      <c r="D28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11" t="str">
        <f ca="1">IFERROR(__xludf.DUMMYFUNCTION("""COMPUTED_VALUE"""),"Новый")</f>
        <v>Новый</v>
      </c>
      <c r="G2811" s="68"/>
      <c r="K2811" s="68"/>
    </row>
    <row r="2812" spans="1:11" ht="12.75">
      <c r="A2812" s="69">
        <f ca="1">IFERROR(__xludf.DUMMYFUNCTION("""COMPUTED_VALUE"""),99767)</f>
        <v>99767</v>
      </c>
      <c r="B2812" s="4">
        <f ca="1">IFERROR(__xludf.DUMMYFUNCTION("""COMPUTED_VALUE"""),44721)</f>
        <v>44721</v>
      </c>
      <c r="C2812" t="str">
        <f ca="1">IFERROR(__xludf.DUMMYFUNCTION("""COMPUTED_VALUE"""),"БУ Г. ОМСКА ""УДХБ"" 190-РДО ")</f>
        <v xml:space="preserve">БУ Г. ОМСКА "УДХБ" 190-РДО </v>
      </c>
      <c r="D28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12" t="str">
        <f ca="1">IFERROR(__xludf.DUMMYFUNCTION("""COMPUTED_VALUE"""),"Новый")</f>
        <v>Новый</v>
      </c>
      <c r="G2812" s="68"/>
      <c r="K2812" s="68"/>
    </row>
    <row r="2813" spans="1:11" ht="12.75">
      <c r="A2813" s="69">
        <f ca="1">IFERROR(__xludf.DUMMYFUNCTION("""COMPUTED_VALUE"""),99811)</f>
        <v>99811</v>
      </c>
      <c r="B2813" s="4">
        <f ca="1">IFERROR(__xludf.DUMMYFUNCTION("""COMPUTED_VALUE"""),44721)</f>
        <v>44721</v>
      </c>
      <c r="C2813" t="str">
        <f ca="1">IFERROR(__xludf.DUMMYFUNCTION("""COMPUTED_VALUE"""),"БУ Г. ОМСКА ""УДХБ"" 190-РДО ")</f>
        <v xml:space="preserve">БУ Г. ОМСКА "УДХБ" 190-РДО </v>
      </c>
      <c r="D28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13" t="str">
        <f ca="1">IFERROR(__xludf.DUMMYFUNCTION("""COMPUTED_VALUE"""),"Новый")</f>
        <v>Новый</v>
      </c>
      <c r="G2813" s="68"/>
      <c r="K2813" s="68"/>
    </row>
    <row r="2814" spans="1:11" ht="12.75">
      <c r="A2814" s="69">
        <f ca="1">IFERROR(__xludf.DUMMYFUNCTION("""COMPUTED_VALUE"""),99818)</f>
        <v>99818</v>
      </c>
      <c r="B2814" s="4">
        <f ca="1">IFERROR(__xludf.DUMMYFUNCTION("""COMPUTED_VALUE"""),44721)</f>
        <v>44721</v>
      </c>
      <c r="C2814" t="str">
        <f ca="1">IFERROR(__xludf.DUMMYFUNCTION("""COMPUTED_VALUE"""),"БУ Г. ОМСКА ""УДХБ"" 190-РДО ")</f>
        <v xml:space="preserve">БУ Г. ОМСКА "УДХБ" 190-РДО </v>
      </c>
      <c r="D28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14" t="str">
        <f ca="1">IFERROR(__xludf.DUMMYFUNCTION("""COMPUTED_VALUE"""),"Новый")</f>
        <v>Новый</v>
      </c>
      <c r="G2814" s="68"/>
      <c r="K2814" s="68"/>
    </row>
    <row r="2815" spans="1:11" ht="12.75">
      <c r="A2815" s="69">
        <f ca="1">IFERROR(__xludf.DUMMYFUNCTION("""COMPUTED_VALUE"""),99844)</f>
        <v>99844</v>
      </c>
      <c r="B2815" s="4">
        <f ca="1">IFERROR(__xludf.DUMMYFUNCTION("""COMPUTED_VALUE"""),44721)</f>
        <v>44721</v>
      </c>
      <c r="C2815" t="str">
        <f ca="1">IFERROR(__xludf.DUMMYFUNCTION("""COMPUTED_VALUE"""),"ООО ""ТРЕСТСТРОЙ-2000"" 139-СТР от 08.06.2022")</f>
        <v>ООО "ТРЕСТСТРОЙ-2000" 139-СТР от 08.06.2022</v>
      </c>
      <c r="D28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5" t="str">
        <f ca="1">IFERROR(__xludf.DUMMYFUNCTION("""COMPUTED_VALUE"""),"Новый")</f>
        <v>Новый</v>
      </c>
      <c r="G2815" s="68"/>
      <c r="K2815" s="68"/>
    </row>
    <row r="2816" spans="1:11" ht="12.75">
      <c r="A2816" s="69">
        <f ca="1">IFERROR(__xludf.DUMMYFUNCTION("""COMPUTED_VALUE"""),99845)</f>
        <v>99845</v>
      </c>
      <c r="B2816" s="4">
        <f ca="1">IFERROR(__xludf.DUMMYFUNCTION("""COMPUTED_VALUE"""),44721)</f>
        <v>44721</v>
      </c>
      <c r="C2816" t="str">
        <f ca="1">IFERROR(__xludf.DUMMYFUNCTION("""COMPUTED_VALUE"""),"ООО ""ТРЕСТСТРОЙ-2000"" 139-СТР от 08.06.2022")</f>
        <v>ООО "ТРЕСТСТРОЙ-2000" 139-СТР от 08.06.2022</v>
      </c>
      <c r="D28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6" t="str">
        <f ca="1">IFERROR(__xludf.DUMMYFUNCTION("""COMPUTED_VALUE"""),"Новый")</f>
        <v>Новый</v>
      </c>
      <c r="G2816" s="68"/>
      <c r="K2816" s="68"/>
    </row>
    <row r="2817" spans="1:11" ht="12.75">
      <c r="A2817" s="69">
        <f ca="1">IFERROR(__xludf.DUMMYFUNCTION("""COMPUTED_VALUE"""),99846)</f>
        <v>99846</v>
      </c>
      <c r="B2817" s="4">
        <f ca="1">IFERROR(__xludf.DUMMYFUNCTION("""COMPUTED_VALUE"""),44721)</f>
        <v>44721</v>
      </c>
      <c r="C2817" t="str">
        <f ca="1">IFERROR(__xludf.DUMMYFUNCTION("""COMPUTED_VALUE"""),"ООО ""ТРЕСТСТРОЙ-2000"" 139-СТР от 08.06.2022")</f>
        <v>ООО "ТРЕСТСТРОЙ-2000" 139-СТР от 08.06.2022</v>
      </c>
      <c r="D28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7" t="str">
        <f ca="1">IFERROR(__xludf.DUMMYFUNCTION("""COMPUTED_VALUE"""),"Новый")</f>
        <v>Новый</v>
      </c>
      <c r="G2817" s="68"/>
      <c r="K2817" s="68"/>
    </row>
    <row r="2818" spans="1:11" ht="12.75">
      <c r="A2818" s="69">
        <f ca="1">IFERROR(__xludf.DUMMYFUNCTION("""COMPUTED_VALUE"""),99847)</f>
        <v>99847</v>
      </c>
      <c r="B2818" s="4">
        <f ca="1">IFERROR(__xludf.DUMMYFUNCTION("""COMPUTED_VALUE"""),44721)</f>
        <v>44721</v>
      </c>
      <c r="C2818" t="str">
        <f ca="1">IFERROR(__xludf.DUMMYFUNCTION("""COMPUTED_VALUE"""),"ООО ""ТРЕСТСТРОЙ-2000"" 139-СТР от 08.06.2022")</f>
        <v>ООО "ТРЕСТСТРОЙ-2000" 139-СТР от 08.06.2022</v>
      </c>
      <c r="D28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8" t="str">
        <f ca="1">IFERROR(__xludf.DUMMYFUNCTION("""COMPUTED_VALUE"""),"Новый")</f>
        <v>Новый</v>
      </c>
      <c r="G2818" s="68"/>
      <c r="K2818" s="68"/>
    </row>
    <row r="2819" spans="1:11" ht="12.75">
      <c r="A2819" s="69">
        <f ca="1">IFERROR(__xludf.DUMMYFUNCTION("""COMPUTED_VALUE"""),99848)</f>
        <v>99848</v>
      </c>
      <c r="B2819" s="4">
        <f ca="1">IFERROR(__xludf.DUMMYFUNCTION("""COMPUTED_VALUE"""),44721)</f>
        <v>44721</v>
      </c>
      <c r="C2819" t="str">
        <f ca="1">IFERROR(__xludf.DUMMYFUNCTION("""COMPUTED_VALUE"""),"ООО ""ТРЕСТСТРОЙ-2000"" 139-СТР от 08.06.2022")</f>
        <v>ООО "ТРЕСТСТРОЙ-2000" 139-СТР от 08.06.2022</v>
      </c>
      <c r="D28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19" t="str">
        <f ca="1">IFERROR(__xludf.DUMMYFUNCTION("""COMPUTED_VALUE"""),"Новый")</f>
        <v>Новый</v>
      </c>
      <c r="G2819" s="68"/>
      <c r="K2819" s="68"/>
    </row>
    <row r="2820" spans="1:11" ht="12.75">
      <c r="A2820" s="69">
        <f ca="1">IFERROR(__xludf.DUMMYFUNCTION("""COMPUTED_VALUE"""),99849)</f>
        <v>99849</v>
      </c>
      <c r="B2820" s="4">
        <f ca="1">IFERROR(__xludf.DUMMYFUNCTION("""COMPUTED_VALUE"""),44721)</f>
        <v>44721</v>
      </c>
      <c r="C2820" t="str">
        <f ca="1">IFERROR(__xludf.DUMMYFUNCTION("""COMPUTED_VALUE"""),"ООО ""ТРЕСТСТРОЙ-2000"" 139-СТР от 08.06.2022")</f>
        <v>ООО "ТРЕСТСТРОЙ-2000" 139-СТР от 08.06.2022</v>
      </c>
      <c r="D28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20" t="str">
        <f ca="1">IFERROR(__xludf.DUMMYFUNCTION("""COMPUTED_VALUE"""),"Новый")</f>
        <v>Новый</v>
      </c>
      <c r="G2820" s="68"/>
      <c r="K2820" s="68"/>
    </row>
    <row r="2821" spans="1:11" ht="12.75">
      <c r="A2821" s="69">
        <f ca="1">IFERROR(__xludf.DUMMYFUNCTION("""COMPUTED_VALUE"""),99850)</f>
        <v>99850</v>
      </c>
      <c r="B2821" s="4">
        <f ca="1">IFERROR(__xludf.DUMMYFUNCTION("""COMPUTED_VALUE"""),44721)</f>
        <v>44721</v>
      </c>
      <c r="C2821" t="str">
        <f ca="1">IFERROR(__xludf.DUMMYFUNCTION("""COMPUTED_VALUE"""),"ООО ""ТРЕСТСТРОЙ-2000"" 139-СТР от 08.06.2022")</f>
        <v>ООО "ТРЕСТСТРОЙ-2000" 139-СТР от 08.06.2022</v>
      </c>
      <c r="D28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21" t="str">
        <f ca="1">IFERROR(__xludf.DUMMYFUNCTION("""COMPUTED_VALUE"""),"Новый")</f>
        <v>Новый</v>
      </c>
      <c r="G2821" s="68"/>
      <c r="K2821" s="68"/>
    </row>
    <row r="2822" spans="1:11" ht="12.75">
      <c r="A2822" s="69">
        <f ca="1">IFERROR(__xludf.DUMMYFUNCTION("""COMPUTED_VALUE"""),99851)</f>
        <v>99851</v>
      </c>
      <c r="B2822" s="4">
        <f ca="1">IFERROR(__xludf.DUMMYFUNCTION("""COMPUTED_VALUE"""),44721)</f>
        <v>44721</v>
      </c>
      <c r="C2822" t="str">
        <f ca="1">IFERROR(__xludf.DUMMYFUNCTION("""COMPUTED_VALUE"""),"ООО ""ТРЕСТСТРОЙ-2000"" 139-СТР от 08.06.2022")</f>
        <v>ООО "ТРЕСТСТРОЙ-2000" 139-СТР от 08.06.2022</v>
      </c>
      <c r="D28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22" t="str">
        <f ca="1">IFERROR(__xludf.DUMMYFUNCTION("""COMPUTED_VALUE"""),"Новый")</f>
        <v>Новый</v>
      </c>
      <c r="G2822" s="68"/>
      <c r="K2822" s="68"/>
    </row>
    <row r="2823" spans="1:11" ht="12.75">
      <c r="A2823" s="69">
        <f ca="1">IFERROR(__xludf.DUMMYFUNCTION("""COMPUTED_VALUE"""),99854)</f>
        <v>99854</v>
      </c>
      <c r="B2823" s="4">
        <f ca="1">IFERROR(__xludf.DUMMYFUNCTION("""COMPUTED_VALUE"""),44722)</f>
        <v>44722</v>
      </c>
      <c r="C2823" t="str">
        <f ca="1">IFERROR(__xludf.DUMMYFUNCTION("""COMPUTED_VALUE"""),"Филиал РТРС ""Омский ОРТПЦ"" 182-РДО от 01.06.2022")</f>
        <v>Филиал РТРС "Омский ОРТПЦ" 182-РДО от 01.06.2022</v>
      </c>
      <c r="D28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3" t="str">
        <f ca="1">IFERROR(__xludf.DUMMYFUNCTION("""COMPUTED_VALUE"""),"Новый")</f>
        <v>Новый</v>
      </c>
      <c r="G2823" s="68"/>
      <c r="K2823" s="68"/>
    </row>
    <row r="2824" spans="1:11" ht="12.75">
      <c r="A2824" s="69">
        <f ca="1">IFERROR(__xludf.DUMMYFUNCTION("""COMPUTED_VALUE"""),99894)</f>
        <v>99894</v>
      </c>
      <c r="B2824" s="4">
        <f ca="1">IFERROR(__xludf.DUMMYFUNCTION("""COMPUTED_VALUE"""),44722)</f>
        <v>44722</v>
      </c>
      <c r="C2824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4" t="str">
        <f ca="1">IFERROR(__xludf.DUMMYFUNCTION("""COMPUTED_VALUE"""),"Новый")</f>
        <v>Новый</v>
      </c>
      <c r="G2824" s="68"/>
      <c r="K2824" s="68"/>
    </row>
    <row r="2825" spans="1:11" ht="12.75">
      <c r="A2825" s="69">
        <f ca="1">IFERROR(__xludf.DUMMYFUNCTION("""COMPUTED_VALUE"""),99896)</f>
        <v>99896</v>
      </c>
      <c r="B2825" s="4">
        <f ca="1">IFERROR(__xludf.DUMMYFUNCTION("""COMPUTED_VALUE"""),44722)</f>
        <v>44722</v>
      </c>
      <c r="C2825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5" t="str">
        <f ca="1">IFERROR(__xludf.DUMMYFUNCTION("""COMPUTED_VALUE"""),"Новый")</f>
        <v>Новый</v>
      </c>
      <c r="G2825" s="68"/>
      <c r="K2825" s="68"/>
    </row>
    <row r="2826" spans="1:11" ht="12.75">
      <c r="A2826" s="69">
        <f ca="1">IFERROR(__xludf.DUMMYFUNCTION("""COMPUTED_VALUE"""),99897)</f>
        <v>99897</v>
      </c>
      <c r="B2826" s="4">
        <f ca="1">IFERROR(__xludf.DUMMYFUNCTION("""COMPUTED_VALUE"""),44722)</f>
        <v>44722</v>
      </c>
      <c r="C2826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6" t="str">
        <f ca="1">IFERROR(__xludf.DUMMYFUNCTION("""COMPUTED_VALUE"""),"Новый")</f>
        <v>Новый</v>
      </c>
      <c r="G2826" s="68"/>
      <c r="K2826" s="68"/>
    </row>
    <row r="2827" spans="1:11" ht="12.75">
      <c r="A2827" s="69">
        <f ca="1">IFERROR(__xludf.DUMMYFUNCTION("""COMPUTED_VALUE"""),99898)</f>
        <v>99898</v>
      </c>
      <c r="B2827" s="4">
        <f ca="1">IFERROR(__xludf.DUMMYFUNCTION("""COMPUTED_VALUE"""),44722)</f>
        <v>44722</v>
      </c>
      <c r="C2827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7" t="str">
        <f ca="1">IFERROR(__xludf.DUMMYFUNCTION("""COMPUTED_VALUE"""),"Новый")</f>
        <v>Новый</v>
      </c>
      <c r="G2827" s="68"/>
      <c r="K2827" s="68"/>
    </row>
    <row r="2828" spans="1:11" ht="12.75">
      <c r="A2828" s="69">
        <f ca="1">IFERROR(__xludf.DUMMYFUNCTION("""COMPUTED_VALUE"""),99899)</f>
        <v>99899</v>
      </c>
      <c r="B2828" s="4">
        <f ca="1">IFERROR(__xludf.DUMMYFUNCTION("""COMPUTED_VALUE"""),44722)</f>
        <v>44722</v>
      </c>
      <c r="C2828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8" t="str">
        <f ca="1">IFERROR(__xludf.DUMMYFUNCTION("""COMPUTED_VALUE"""),"Новый")</f>
        <v>Новый</v>
      </c>
      <c r="G2828" s="68"/>
      <c r="K2828" s="68"/>
    </row>
    <row r="2829" spans="1:11" ht="12.75">
      <c r="A2829" s="69">
        <f ca="1">IFERROR(__xludf.DUMMYFUNCTION("""COMPUTED_VALUE"""),99900)</f>
        <v>99900</v>
      </c>
      <c r="B2829" s="4">
        <f ca="1">IFERROR(__xludf.DUMMYFUNCTION("""COMPUTED_VALUE"""),44722)</f>
        <v>44722</v>
      </c>
      <c r="C2829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29" t="str">
        <f ca="1">IFERROR(__xludf.DUMMYFUNCTION("""COMPUTED_VALUE"""),"Новый")</f>
        <v>Новый</v>
      </c>
      <c r="G2829" s="68"/>
      <c r="K2829" s="68"/>
    </row>
    <row r="2830" spans="1:11" ht="12.75">
      <c r="A2830" s="69">
        <f ca="1">IFERROR(__xludf.DUMMYFUNCTION("""COMPUTED_VALUE"""),99901)</f>
        <v>99901</v>
      </c>
      <c r="B2830" s="4">
        <f ca="1">IFERROR(__xludf.DUMMYFUNCTION("""COMPUTED_VALUE"""),44722)</f>
        <v>44722</v>
      </c>
      <c r="C2830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0" t="str">
        <f ca="1">IFERROR(__xludf.DUMMYFUNCTION("""COMPUTED_VALUE"""),"Новый")</f>
        <v>Новый</v>
      </c>
      <c r="G2830" s="68"/>
      <c r="K2830" s="68"/>
    </row>
    <row r="2831" spans="1:11" ht="12.75">
      <c r="A2831" s="69">
        <f ca="1">IFERROR(__xludf.DUMMYFUNCTION("""COMPUTED_VALUE"""),99902)</f>
        <v>99902</v>
      </c>
      <c r="B2831" s="4">
        <f ca="1">IFERROR(__xludf.DUMMYFUNCTION("""COMPUTED_VALUE"""),44722)</f>
        <v>44722</v>
      </c>
      <c r="C2831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1" t="str">
        <f ca="1">IFERROR(__xludf.DUMMYFUNCTION("""COMPUTED_VALUE"""),"Новый")</f>
        <v>Новый</v>
      </c>
      <c r="G2831" s="68"/>
      <c r="K2831" s="68"/>
    </row>
    <row r="2832" spans="1:11" ht="12.75">
      <c r="A2832" s="69">
        <f ca="1">IFERROR(__xludf.DUMMYFUNCTION("""COMPUTED_VALUE"""),99903)</f>
        <v>99903</v>
      </c>
      <c r="B2832" s="4">
        <f ca="1">IFERROR(__xludf.DUMMYFUNCTION("""COMPUTED_VALUE"""),44722)</f>
        <v>44722</v>
      </c>
      <c r="C2832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2" t="str">
        <f ca="1">IFERROR(__xludf.DUMMYFUNCTION("""COMPUTED_VALUE"""),"Новый")</f>
        <v>Новый</v>
      </c>
      <c r="G2832" s="68"/>
      <c r="K2832" s="68"/>
    </row>
    <row r="2833" spans="1:11" ht="12.75">
      <c r="A2833" s="69">
        <f ca="1">IFERROR(__xludf.DUMMYFUNCTION("""COMPUTED_VALUE"""),99906)</f>
        <v>99906</v>
      </c>
      <c r="B2833" s="4">
        <f ca="1">IFERROR(__xludf.DUMMYFUNCTION("""COMPUTED_VALUE"""),44722)</f>
        <v>44722</v>
      </c>
      <c r="C2833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3" t="str">
        <f ca="1">IFERROR(__xludf.DUMMYFUNCTION("""COMPUTED_VALUE"""),"Новый")</f>
        <v>Новый</v>
      </c>
      <c r="G2833" s="68"/>
      <c r="K2833" s="68"/>
    </row>
    <row r="2834" spans="1:11" ht="12.75">
      <c r="A2834" s="69">
        <f ca="1">IFERROR(__xludf.DUMMYFUNCTION("""COMPUTED_VALUE"""),99907)</f>
        <v>99907</v>
      </c>
      <c r="B2834" s="4">
        <f ca="1">IFERROR(__xludf.DUMMYFUNCTION("""COMPUTED_VALUE"""),44722)</f>
        <v>44722</v>
      </c>
      <c r="C2834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4" t="str">
        <f ca="1">IFERROR(__xludf.DUMMYFUNCTION("""COMPUTED_VALUE"""),"Новый")</f>
        <v>Новый</v>
      </c>
      <c r="G2834" s="68"/>
      <c r="K2834" s="68"/>
    </row>
    <row r="2835" spans="1:11" ht="12.75">
      <c r="A2835" s="69">
        <f ca="1">IFERROR(__xludf.DUMMYFUNCTION("""COMPUTED_VALUE"""),99908)</f>
        <v>99908</v>
      </c>
      <c r="B2835" s="4">
        <f ca="1">IFERROR(__xludf.DUMMYFUNCTION("""COMPUTED_VALUE"""),44722)</f>
        <v>44722</v>
      </c>
      <c r="C2835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5" t="str">
        <f ca="1">IFERROR(__xludf.DUMMYFUNCTION("""COMPUTED_VALUE"""),"Новый")</f>
        <v>Новый</v>
      </c>
      <c r="G2835" s="68"/>
      <c r="K2835" s="68"/>
    </row>
    <row r="2836" spans="1:11" ht="12.75">
      <c r="A2836" s="69">
        <f ca="1">IFERROR(__xludf.DUMMYFUNCTION("""COMPUTED_VALUE"""),99909)</f>
        <v>99909</v>
      </c>
      <c r="B2836" s="4">
        <f ca="1">IFERROR(__xludf.DUMMYFUNCTION("""COMPUTED_VALUE"""),44722)</f>
        <v>44722</v>
      </c>
      <c r="C2836" t="str">
        <f ca="1">IFERROR(__xludf.DUMMYFUNCTION("""COMPUTED_VALUE"""),"Акционерное общество "" Волгогаз"" 124-РДО от 08.12.2021")</f>
        <v>Акционерное общество " Волгогаз" 124-РДО от 08.12.2021</v>
      </c>
      <c r="D28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6" t="str">
        <f ca="1">IFERROR(__xludf.DUMMYFUNCTION("""COMPUTED_VALUE"""),"Новый")</f>
        <v>Новый</v>
      </c>
      <c r="G2836" s="68"/>
      <c r="K2836" s="68"/>
    </row>
    <row r="2837" spans="1:11" ht="12.75">
      <c r="A2837" s="69">
        <f ca="1">IFERROR(__xludf.DUMMYFUNCTION("""COMPUTED_VALUE"""),99916)</f>
        <v>99916</v>
      </c>
      <c r="B2837" s="4">
        <f ca="1">IFERROR(__xludf.DUMMYFUNCTION("""COMPUTED_VALUE"""),44726)</f>
        <v>44726</v>
      </c>
      <c r="C2837" t="str">
        <f ca="1">IFERROR(__xludf.DUMMYFUNCTION("""COMPUTED_VALUE"""),"АО ""Сибирский хлеб"" 192-РДО от 06.06.2022")</f>
        <v>АО "Сибирский хлеб" 192-РДО от 06.06.2022</v>
      </c>
      <c r="D28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7" t="str">
        <f ca="1">IFERROR(__xludf.DUMMYFUNCTION("""COMPUTED_VALUE"""),"Новый")</f>
        <v>Новый</v>
      </c>
      <c r="G2837" s="68"/>
      <c r="K2837" s="68"/>
    </row>
    <row r="2838" spans="1:11" ht="12.75">
      <c r="A2838" s="69">
        <f ca="1">IFERROR(__xludf.DUMMYFUNCTION("""COMPUTED_VALUE"""),99918)</f>
        <v>99918</v>
      </c>
      <c r="B2838" s="4">
        <f ca="1">IFERROR(__xludf.DUMMYFUNCTION("""COMPUTED_VALUE"""),44726)</f>
        <v>44726</v>
      </c>
      <c r="C2838" t="str">
        <f ca="1">IFERROR(__xludf.DUMMYFUNCTION("""COMPUTED_VALUE"""),"АО ""Сибирский хлеб"" 192-РДО от 06.06.2022")</f>
        <v>АО "Сибирский хлеб" 192-РДО от 06.06.2022</v>
      </c>
      <c r="D28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8" t="str">
        <f ca="1">IFERROR(__xludf.DUMMYFUNCTION("""COMPUTED_VALUE"""),"Новый")</f>
        <v>Новый</v>
      </c>
      <c r="G2838" s="68"/>
      <c r="K2838" s="68"/>
    </row>
    <row r="2839" spans="1:11" ht="12.75">
      <c r="A2839" s="69">
        <f ca="1">IFERROR(__xludf.DUMMYFUNCTION("""COMPUTED_VALUE"""),99932)</f>
        <v>99932</v>
      </c>
      <c r="B2839" s="4">
        <f ca="1">IFERROR(__xludf.DUMMYFUNCTION("""COMPUTED_VALUE"""),44726)</f>
        <v>44726</v>
      </c>
      <c r="C2839" t="str">
        <f ca="1">IFERROR(__xludf.DUMMYFUNCTION("""COMPUTED_VALUE"""),"ИП Зюлин Егор Геннадьевич 118-РДО от 24.08.2021")</f>
        <v>ИП Зюлин Егор Геннадьевич 118-РДО от 24.08.2021</v>
      </c>
      <c r="D28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39" t="str">
        <f ca="1">IFERROR(__xludf.DUMMYFUNCTION("""COMPUTED_VALUE"""),"Новый")</f>
        <v>Новый</v>
      </c>
      <c r="G2839" s="68"/>
      <c r="K2839" s="68"/>
    </row>
    <row r="2840" spans="1:11" ht="12.75">
      <c r="A2840" s="69">
        <f ca="1">IFERROR(__xludf.DUMMYFUNCTION("""COMPUTED_VALUE"""),99976)</f>
        <v>99976</v>
      </c>
      <c r="B2840" s="4">
        <f ca="1">IFERROR(__xludf.DUMMYFUNCTION("""COMPUTED_VALUE"""),44728)</f>
        <v>44728</v>
      </c>
      <c r="C2840" t="str">
        <f ca="1">IFERROR(__xludf.DUMMYFUNCTION("""COMPUTED_VALUE"""),"АО ""ОМСКЭЛЕКТРО"" 187-РДО от 01.06.2022")</f>
        <v>АО "ОМСКЭЛЕКТРО" 187-РДО от 01.06.2022</v>
      </c>
      <c r="D28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0" t="str">
        <f ca="1">IFERROR(__xludf.DUMMYFUNCTION("""COMPUTED_VALUE"""),"Новый")</f>
        <v>Новый</v>
      </c>
      <c r="G2840" s="68"/>
      <c r="K2840" s="68"/>
    </row>
    <row r="2841" spans="1:11" ht="12.75">
      <c r="A2841" s="69">
        <f ca="1">IFERROR(__xludf.DUMMYFUNCTION("""COMPUTED_VALUE"""),99977)</f>
        <v>99977</v>
      </c>
      <c r="B2841" s="4">
        <f ca="1">IFERROR(__xludf.DUMMYFUNCTION("""COMPUTED_VALUE"""),44728)</f>
        <v>44728</v>
      </c>
      <c r="C2841" t="str">
        <f ca="1">IFERROR(__xludf.DUMMYFUNCTION("""COMPUTED_VALUE"""),"АО ""ОМСКЭЛЕКТРО"" 187-РДО от 01.06.2022")</f>
        <v>АО "ОМСКЭЛЕКТРО" 187-РДО от 01.06.2022</v>
      </c>
      <c r="D28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1" t="str">
        <f ca="1">IFERROR(__xludf.DUMMYFUNCTION("""COMPUTED_VALUE"""),"Новый")</f>
        <v>Новый</v>
      </c>
      <c r="G2841" s="68"/>
      <c r="K2841" s="68"/>
    </row>
    <row r="2842" spans="1:11" ht="12.75">
      <c r="A2842" s="69">
        <f ca="1">IFERROR(__xludf.DUMMYFUNCTION("""COMPUTED_VALUE"""),100149)</f>
        <v>100149</v>
      </c>
      <c r="B2842" s="4">
        <f ca="1">IFERROR(__xludf.DUMMYFUNCTION("""COMPUTED_VALUE"""),44729)</f>
        <v>44729</v>
      </c>
      <c r="C2842" t="str">
        <f ca="1">IFERROR(__xludf.DUMMYFUNCTION("""COMPUTED_VALUE"""),"ЗАО ""ЭКОС"" 115-СТР от 01.01.2022")</f>
        <v>ЗАО "ЭКОС" 115-СТР от 01.01.2022</v>
      </c>
      <c r="D28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42" t="str">
        <f ca="1">IFERROR(__xludf.DUMMYFUNCTION("""COMPUTED_VALUE"""),"Новый")</f>
        <v>Новый</v>
      </c>
      <c r="G2842" s="68"/>
      <c r="K2842" s="68"/>
    </row>
    <row r="2843" spans="1:11" ht="12.75">
      <c r="A2843" s="69">
        <f ca="1">IFERROR(__xludf.DUMMYFUNCTION("""COMPUTED_VALUE"""),100162)</f>
        <v>100162</v>
      </c>
      <c r="B2843" s="4">
        <f ca="1">IFERROR(__xludf.DUMMYFUNCTION("""COMPUTED_VALUE"""),44729)</f>
        <v>44729</v>
      </c>
      <c r="C2843" t="str">
        <f ca="1">IFERROR(__xludf.DUMMYFUNCTION("""COMPUTED_VALUE"""),"ЗАО ""ЭКОС"" 115-СТР от 01.01.2022")</f>
        <v>ЗАО "ЭКОС" 115-СТР от 01.01.2022</v>
      </c>
      <c r="D28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843" t="str">
        <f ca="1">IFERROR(__xludf.DUMMYFUNCTION("""COMPUTED_VALUE"""),"Новый")</f>
        <v>Новый</v>
      </c>
      <c r="G2843" s="68"/>
      <c r="K2843" s="68"/>
    </row>
    <row r="2844" spans="1:11" ht="12.75">
      <c r="A2844" s="69">
        <f ca="1">IFERROR(__xludf.DUMMYFUNCTION("""COMPUTED_VALUE"""),100180)</f>
        <v>100180</v>
      </c>
      <c r="B2844" s="4">
        <f ca="1">IFERROR(__xludf.DUMMYFUNCTION("""COMPUTED_VALUE"""),44732)</f>
        <v>44732</v>
      </c>
      <c r="C2844" t="str">
        <f ca="1">IFERROR(__xludf.DUMMYFUNCTION("""COMPUTED_VALUE"""),"БУ Г. ОМСКА ""УДХБ"" 190-РДО ")</f>
        <v xml:space="preserve">БУ Г. ОМСКА "УДХБ" 190-РДО </v>
      </c>
      <c r="D28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4" t="str">
        <f ca="1">IFERROR(__xludf.DUMMYFUNCTION("""COMPUTED_VALUE"""),"Новый")</f>
        <v>Новый</v>
      </c>
      <c r="G2844" s="68"/>
      <c r="K2844" s="68"/>
    </row>
    <row r="2845" spans="1:11" ht="12.75">
      <c r="A2845" s="69">
        <f ca="1">IFERROR(__xludf.DUMMYFUNCTION("""COMPUTED_VALUE"""),100181)</f>
        <v>100181</v>
      </c>
      <c r="B2845" s="4">
        <f ca="1">IFERROR(__xludf.DUMMYFUNCTION("""COMPUTED_VALUE"""),44732)</f>
        <v>44732</v>
      </c>
      <c r="C2845" t="str">
        <f ca="1">IFERROR(__xludf.DUMMYFUNCTION("""COMPUTED_VALUE"""),"БУ Г. ОМСКА ""УДХБ"" 190-РДО ")</f>
        <v xml:space="preserve">БУ Г. ОМСКА "УДХБ" 190-РДО </v>
      </c>
      <c r="D28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5" t="str">
        <f ca="1">IFERROR(__xludf.DUMMYFUNCTION("""COMPUTED_VALUE"""),"Новый")</f>
        <v>Новый</v>
      </c>
      <c r="G2845" s="68"/>
      <c r="K2845" s="68"/>
    </row>
    <row r="2846" spans="1:11" ht="12.75">
      <c r="A2846" s="69">
        <f ca="1">IFERROR(__xludf.DUMMYFUNCTION("""COMPUTED_VALUE"""),100182)</f>
        <v>100182</v>
      </c>
      <c r="B2846" s="4">
        <f ca="1">IFERROR(__xludf.DUMMYFUNCTION("""COMPUTED_VALUE"""),44732)</f>
        <v>44732</v>
      </c>
      <c r="C2846" t="str">
        <f ca="1">IFERROR(__xludf.DUMMYFUNCTION("""COMPUTED_VALUE"""),"БУ Г. ОМСКА ""УДХБ"" 190-РДО ")</f>
        <v xml:space="preserve">БУ Г. ОМСКА "УДХБ" 190-РДО </v>
      </c>
      <c r="D28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6" t="str">
        <f ca="1">IFERROR(__xludf.DUMMYFUNCTION("""COMPUTED_VALUE"""),"Новый")</f>
        <v>Новый</v>
      </c>
      <c r="G2846" s="68"/>
      <c r="K2846" s="68"/>
    </row>
    <row r="2847" spans="1:11" ht="12.75">
      <c r="A2847" s="69">
        <f ca="1">IFERROR(__xludf.DUMMYFUNCTION("""COMPUTED_VALUE"""),100183)</f>
        <v>100183</v>
      </c>
      <c r="B2847" s="4">
        <f ca="1">IFERROR(__xludf.DUMMYFUNCTION("""COMPUTED_VALUE"""),44732)</f>
        <v>44732</v>
      </c>
      <c r="C2847" t="str">
        <f ca="1">IFERROR(__xludf.DUMMYFUNCTION("""COMPUTED_VALUE"""),"БУ Г. ОМСКА ""УДХБ"" 190-РДО ")</f>
        <v xml:space="preserve">БУ Г. ОМСКА "УДХБ" 190-РДО </v>
      </c>
      <c r="D28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7" t="str">
        <f ca="1">IFERROR(__xludf.DUMMYFUNCTION("""COMPUTED_VALUE"""),"Новый")</f>
        <v>Новый</v>
      </c>
      <c r="G2847" s="68"/>
      <c r="K2847" s="68"/>
    </row>
    <row r="2848" spans="1:11" ht="12.75">
      <c r="A2848" s="69">
        <f ca="1">IFERROR(__xludf.DUMMYFUNCTION("""COMPUTED_VALUE"""),100184)</f>
        <v>100184</v>
      </c>
      <c r="B2848" s="4">
        <f ca="1">IFERROR(__xludf.DUMMYFUNCTION("""COMPUTED_VALUE"""),44732)</f>
        <v>44732</v>
      </c>
      <c r="C2848" t="str">
        <f ca="1">IFERROR(__xludf.DUMMYFUNCTION("""COMPUTED_VALUE"""),"БУ Г. ОМСКА ""УДХБ"" 190-РДО ")</f>
        <v xml:space="preserve">БУ Г. ОМСКА "УДХБ" 190-РДО </v>
      </c>
      <c r="D28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8" t="str">
        <f ca="1">IFERROR(__xludf.DUMMYFUNCTION("""COMPUTED_VALUE"""),"Новый")</f>
        <v>Новый</v>
      </c>
      <c r="G2848" s="68"/>
      <c r="K2848" s="68"/>
    </row>
    <row r="2849" spans="1:11" ht="12.75">
      <c r="A2849" s="69">
        <f ca="1">IFERROR(__xludf.DUMMYFUNCTION("""COMPUTED_VALUE"""),100185)</f>
        <v>100185</v>
      </c>
      <c r="B2849" s="4">
        <f ca="1">IFERROR(__xludf.DUMMYFUNCTION("""COMPUTED_VALUE"""),44732)</f>
        <v>44732</v>
      </c>
      <c r="C2849" t="str">
        <f ca="1">IFERROR(__xludf.DUMMYFUNCTION("""COMPUTED_VALUE"""),"БУ Г. ОМСКА ""УДХБ"" 190-РДО ")</f>
        <v xml:space="preserve">БУ Г. ОМСКА "УДХБ" 190-РДО </v>
      </c>
      <c r="D28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49" t="str">
        <f ca="1">IFERROR(__xludf.DUMMYFUNCTION("""COMPUTED_VALUE"""),"Новый")</f>
        <v>Новый</v>
      </c>
      <c r="G2849" s="68"/>
      <c r="K2849" s="68"/>
    </row>
    <row r="2850" spans="1:11" ht="12.75">
      <c r="A2850" s="69">
        <f ca="1">IFERROR(__xludf.DUMMYFUNCTION("""COMPUTED_VALUE"""),100186)</f>
        <v>100186</v>
      </c>
      <c r="B2850" s="4">
        <f ca="1">IFERROR(__xludf.DUMMYFUNCTION("""COMPUTED_VALUE"""),44732)</f>
        <v>44732</v>
      </c>
      <c r="C2850" t="str">
        <f ca="1">IFERROR(__xludf.DUMMYFUNCTION("""COMPUTED_VALUE"""),"БУ Г. ОМСКА ""УДХБ"" 190-РДО ")</f>
        <v xml:space="preserve">БУ Г. ОМСКА "УДХБ" 190-РДО </v>
      </c>
      <c r="D28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0" t="str">
        <f ca="1">IFERROR(__xludf.DUMMYFUNCTION("""COMPUTED_VALUE"""),"Новый")</f>
        <v>Новый</v>
      </c>
      <c r="G2850" s="68"/>
      <c r="K2850" s="68"/>
    </row>
    <row r="2851" spans="1:11" ht="12.75">
      <c r="A2851" s="69">
        <f ca="1">IFERROR(__xludf.DUMMYFUNCTION("""COMPUTED_VALUE"""),100187)</f>
        <v>100187</v>
      </c>
      <c r="B2851" s="4">
        <f ca="1">IFERROR(__xludf.DUMMYFUNCTION("""COMPUTED_VALUE"""),44732)</f>
        <v>44732</v>
      </c>
      <c r="C2851" t="str">
        <f ca="1">IFERROR(__xludf.DUMMYFUNCTION("""COMPUTED_VALUE"""),"БУ Г. ОМСКА ""УДХБ"" 190-РДО ")</f>
        <v xml:space="preserve">БУ Г. ОМСКА "УДХБ" 190-РДО </v>
      </c>
      <c r="D28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1" t="str">
        <f ca="1">IFERROR(__xludf.DUMMYFUNCTION("""COMPUTED_VALUE"""),"Новый")</f>
        <v>Новый</v>
      </c>
      <c r="G2851" s="68"/>
      <c r="K2851" s="68"/>
    </row>
    <row r="2852" spans="1:11" ht="12.75">
      <c r="A2852" s="69">
        <f ca="1">IFERROR(__xludf.DUMMYFUNCTION("""COMPUTED_VALUE"""),100188)</f>
        <v>100188</v>
      </c>
      <c r="B2852" s="4">
        <f ca="1">IFERROR(__xludf.DUMMYFUNCTION("""COMPUTED_VALUE"""),44732)</f>
        <v>44732</v>
      </c>
      <c r="C2852" t="str">
        <f ca="1">IFERROR(__xludf.DUMMYFUNCTION("""COMPUTED_VALUE"""),"БУ Г. ОМСКА ""УДХБ"" 190-РДО ")</f>
        <v xml:space="preserve">БУ Г. ОМСКА "УДХБ" 190-РДО </v>
      </c>
      <c r="D28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2" t="str">
        <f ca="1">IFERROR(__xludf.DUMMYFUNCTION("""COMPUTED_VALUE"""),"Новый")</f>
        <v>Новый</v>
      </c>
      <c r="G2852" s="68"/>
      <c r="K2852" s="68"/>
    </row>
    <row r="2853" spans="1:11" ht="12.75">
      <c r="A2853" s="69">
        <f ca="1">IFERROR(__xludf.DUMMYFUNCTION("""COMPUTED_VALUE"""),100189)</f>
        <v>100189</v>
      </c>
      <c r="B2853" s="4">
        <f ca="1">IFERROR(__xludf.DUMMYFUNCTION("""COMPUTED_VALUE"""),44732)</f>
        <v>44732</v>
      </c>
      <c r="C2853" t="str">
        <f ca="1">IFERROR(__xludf.DUMMYFUNCTION("""COMPUTED_VALUE"""),"БУ Г. ОМСКА ""УДХБ"" 190-РДО ")</f>
        <v xml:space="preserve">БУ Г. ОМСКА "УДХБ" 190-РДО </v>
      </c>
      <c r="D28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3" t="str">
        <f ca="1">IFERROR(__xludf.DUMMYFUNCTION("""COMPUTED_VALUE"""),"Новый")</f>
        <v>Новый</v>
      </c>
      <c r="G2853" s="68"/>
      <c r="K2853" s="68"/>
    </row>
    <row r="2854" spans="1:11" ht="12.75">
      <c r="A2854" s="69">
        <f ca="1">IFERROR(__xludf.DUMMYFUNCTION("""COMPUTED_VALUE"""),100190)</f>
        <v>100190</v>
      </c>
      <c r="B2854" s="4">
        <f ca="1">IFERROR(__xludf.DUMMYFUNCTION("""COMPUTED_VALUE"""),44732)</f>
        <v>44732</v>
      </c>
      <c r="C2854" t="str">
        <f ca="1">IFERROR(__xludf.DUMMYFUNCTION("""COMPUTED_VALUE"""),"БУ Г. ОМСКА ""УДХБ"" 190-РДО ")</f>
        <v xml:space="preserve">БУ Г. ОМСКА "УДХБ" 190-РДО </v>
      </c>
      <c r="D28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4" t="str">
        <f ca="1">IFERROR(__xludf.DUMMYFUNCTION("""COMPUTED_VALUE"""),"Новый")</f>
        <v>Новый</v>
      </c>
      <c r="G2854" s="68"/>
      <c r="K2854" s="68"/>
    </row>
    <row r="2855" spans="1:11" ht="12.75">
      <c r="A2855" s="69">
        <f ca="1">IFERROR(__xludf.DUMMYFUNCTION("""COMPUTED_VALUE"""),100191)</f>
        <v>100191</v>
      </c>
      <c r="B2855" s="4">
        <f ca="1">IFERROR(__xludf.DUMMYFUNCTION("""COMPUTED_VALUE"""),44732)</f>
        <v>44732</v>
      </c>
      <c r="C2855" t="str">
        <f ca="1">IFERROR(__xludf.DUMMYFUNCTION("""COMPUTED_VALUE"""),"БУ Г. ОМСКА ""УДХБ"" 190-РДО ")</f>
        <v xml:space="preserve">БУ Г. ОМСКА "УДХБ" 190-РДО </v>
      </c>
      <c r="D28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5" t="str">
        <f ca="1">IFERROR(__xludf.DUMMYFUNCTION("""COMPUTED_VALUE"""),"Новый")</f>
        <v>Новый</v>
      </c>
      <c r="G2855" s="68"/>
      <c r="K2855" s="68"/>
    </row>
    <row r="2856" spans="1:11" ht="12.75">
      <c r="A2856" s="69">
        <f ca="1">IFERROR(__xludf.DUMMYFUNCTION("""COMPUTED_VALUE"""),100192)</f>
        <v>100192</v>
      </c>
      <c r="B2856" s="4">
        <f ca="1">IFERROR(__xludf.DUMMYFUNCTION("""COMPUTED_VALUE"""),44732)</f>
        <v>44732</v>
      </c>
      <c r="C2856" t="str">
        <f ca="1">IFERROR(__xludf.DUMMYFUNCTION("""COMPUTED_VALUE"""),"БУ Г. ОМСКА ""УДХБ"" 190-РДО ")</f>
        <v xml:space="preserve">БУ Г. ОМСКА "УДХБ" 190-РДО </v>
      </c>
      <c r="D28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6" t="str">
        <f ca="1">IFERROR(__xludf.DUMMYFUNCTION("""COMPUTED_VALUE"""),"Новый")</f>
        <v>Новый</v>
      </c>
      <c r="G2856" s="68"/>
      <c r="K2856" s="68"/>
    </row>
    <row r="2857" spans="1:11" ht="12.75">
      <c r="A2857" s="69">
        <f ca="1">IFERROR(__xludf.DUMMYFUNCTION("""COMPUTED_VALUE"""),100193)</f>
        <v>100193</v>
      </c>
      <c r="B2857" s="4">
        <f ca="1">IFERROR(__xludf.DUMMYFUNCTION("""COMPUTED_VALUE"""),44732)</f>
        <v>44732</v>
      </c>
      <c r="C2857" t="str">
        <f ca="1">IFERROR(__xludf.DUMMYFUNCTION("""COMPUTED_VALUE"""),"БУ Г. ОМСКА ""УДХБ"" 190-РДО ")</f>
        <v xml:space="preserve">БУ Г. ОМСКА "УДХБ" 190-РДО </v>
      </c>
      <c r="D28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7" t="str">
        <f ca="1">IFERROR(__xludf.DUMMYFUNCTION("""COMPUTED_VALUE"""),"Новый")</f>
        <v>Новый</v>
      </c>
      <c r="G2857" s="68"/>
      <c r="K2857" s="68"/>
    </row>
    <row r="2858" spans="1:11" ht="12.75">
      <c r="A2858" s="69">
        <f ca="1">IFERROR(__xludf.DUMMYFUNCTION("""COMPUTED_VALUE"""),100194)</f>
        <v>100194</v>
      </c>
      <c r="B2858" s="4">
        <f ca="1">IFERROR(__xludf.DUMMYFUNCTION("""COMPUTED_VALUE"""),44732)</f>
        <v>44732</v>
      </c>
      <c r="C2858" t="str">
        <f ca="1">IFERROR(__xludf.DUMMYFUNCTION("""COMPUTED_VALUE"""),"БУ Г. ОМСКА ""УДХБ"" 190-РДО ")</f>
        <v xml:space="preserve">БУ Г. ОМСКА "УДХБ" 190-РДО </v>
      </c>
      <c r="D28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8" t="str">
        <f ca="1">IFERROR(__xludf.DUMMYFUNCTION("""COMPUTED_VALUE"""),"Новый")</f>
        <v>Новый</v>
      </c>
      <c r="G2858" s="68"/>
      <c r="K2858" s="68"/>
    </row>
    <row r="2859" spans="1:11" ht="12.75">
      <c r="A2859" s="69">
        <f ca="1">IFERROR(__xludf.DUMMYFUNCTION("""COMPUTED_VALUE"""),100195)</f>
        <v>100195</v>
      </c>
      <c r="B2859" s="4">
        <f ca="1">IFERROR(__xludf.DUMMYFUNCTION("""COMPUTED_VALUE"""),44732)</f>
        <v>44732</v>
      </c>
      <c r="C2859" t="str">
        <f ca="1">IFERROR(__xludf.DUMMYFUNCTION("""COMPUTED_VALUE"""),"БУ Г. ОМСКА ""УДХБ"" 190-РДО ")</f>
        <v xml:space="preserve">БУ Г. ОМСКА "УДХБ" 190-РДО </v>
      </c>
      <c r="D28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59" t="str">
        <f ca="1">IFERROR(__xludf.DUMMYFUNCTION("""COMPUTED_VALUE"""),"Новый")</f>
        <v>Новый</v>
      </c>
      <c r="G2859" s="68"/>
      <c r="K2859" s="68"/>
    </row>
    <row r="2860" spans="1:11" ht="12.75">
      <c r="A2860" s="69">
        <f ca="1">IFERROR(__xludf.DUMMYFUNCTION("""COMPUTED_VALUE"""),100196)</f>
        <v>100196</v>
      </c>
      <c r="B2860" s="4">
        <f ca="1">IFERROR(__xludf.DUMMYFUNCTION("""COMPUTED_VALUE"""),44732)</f>
        <v>44732</v>
      </c>
      <c r="C2860" t="str">
        <f ca="1">IFERROR(__xludf.DUMMYFUNCTION("""COMPUTED_VALUE"""),"БУ Г. ОМСКА ""УДХБ"" 190-РДО ")</f>
        <v xml:space="preserve">БУ Г. ОМСКА "УДХБ" 190-РДО </v>
      </c>
      <c r="D28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0" t="str">
        <f ca="1">IFERROR(__xludf.DUMMYFUNCTION("""COMPUTED_VALUE"""),"Новый")</f>
        <v>Новый</v>
      </c>
      <c r="G2860" s="68"/>
      <c r="K2860" s="68"/>
    </row>
    <row r="2861" spans="1:11" ht="12.75">
      <c r="A2861" s="69">
        <f ca="1">IFERROR(__xludf.DUMMYFUNCTION("""COMPUTED_VALUE"""),100197)</f>
        <v>100197</v>
      </c>
      <c r="B2861" s="4">
        <f ca="1">IFERROR(__xludf.DUMMYFUNCTION("""COMPUTED_VALUE"""),44732)</f>
        <v>44732</v>
      </c>
      <c r="C2861" t="str">
        <f ca="1">IFERROR(__xludf.DUMMYFUNCTION("""COMPUTED_VALUE"""),"БУ Г. ОМСКА ""УДХБ"" 190-РДО ")</f>
        <v xml:space="preserve">БУ Г. ОМСКА "УДХБ" 190-РДО </v>
      </c>
      <c r="D28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1" t="str">
        <f ca="1">IFERROR(__xludf.DUMMYFUNCTION("""COMPUTED_VALUE"""),"Новый")</f>
        <v>Новый</v>
      </c>
      <c r="G2861" s="68"/>
      <c r="K2861" s="68"/>
    </row>
    <row r="2862" spans="1:11" ht="12.75">
      <c r="A2862" s="69">
        <f ca="1">IFERROR(__xludf.DUMMYFUNCTION("""COMPUTED_VALUE"""),100198)</f>
        <v>100198</v>
      </c>
      <c r="B2862" s="4">
        <f ca="1">IFERROR(__xludf.DUMMYFUNCTION("""COMPUTED_VALUE"""),44732)</f>
        <v>44732</v>
      </c>
      <c r="C2862" t="str">
        <f ca="1">IFERROR(__xludf.DUMMYFUNCTION("""COMPUTED_VALUE"""),"БУ Г. ОМСКА ""УДХБ"" 190-РДО ")</f>
        <v xml:space="preserve">БУ Г. ОМСКА "УДХБ" 190-РДО </v>
      </c>
      <c r="D28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2" t="str">
        <f ca="1">IFERROR(__xludf.DUMMYFUNCTION("""COMPUTED_VALUE"""),"Новый")</f>
        <v>Новый</v>
      </c>
      <c r="G2862" s="68"/>
      <c r="K2862" s="68"/>
    </row>
    <row r="2863" spans="1:11" ht="12.75">
      <c r="A2863" s="69">
        <f ca="1">IFERROR(__xludf.DUMMYFUNCTION("""COMPUTED_VALUE"""),100199)</f>
        <v>100199</v>
      </c>
      <c r="B2863" s="4">
        <f ca="1">IFERROR(__xludf.DUMMYFUNCTION("""COMPUTED_VALUE"""),44732)</f>
        <v>44732</v>
      </c>
      <c r="C2863" t="str">
        <f ca="1">IFERROR(__xludf.DUMMYFUNCTION("""COMPUTED_VALUE"""),"БУ Г. ОМСКА ""УДХБ"" 190-РДО ")</f>
        <v xml:space="preserve">БУ Г. ОМСКА "УДХБ" 190-РДО </v>
      </c>
      <c r="D28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3" t="str">
        <f ca="1">IFERROR(__xludf.DUMMYFUNCTION("""COMPUTED_VALUE"""),"Новый")</f>
        <v>Новый</v>
      </c>
      <c r="G2863" s="68"/>
      <c r="K2863" s="68"/>
    </row>
    <row r="2864" spans="1:11" ht="12.75">
      <c r="A2864" s="69">
        <f ca="1">IFERROR(__xludf.DUMMYFUNCTION("""COMPUTED_VALUE"""),100200)</f>
        <v>100200</v>
      </c>
      <c r="B2864" s="4">
        <f ca="1">IFERROR(__xludf.DUMMYFUNCTION("""COMPUTED_VALUE"""),44732)</f>
        <v>44732</v>
      </c>
      <c r="C2864" t="str">
        <f ca="1">IFERROR(__xludf.DUMMYFUNCTION("""COMPUTED_VALUE"""),"БУ Г. ОМСКА ""УДХБ"" 190-РДО ")</f>
        <v xml:space="preserve">БУ Г. ОМСКА "УДХБ" 190-РДО </v>
      </c>
      <c r="D28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4" t="str">
        <f ca="1">IFERROR(__xludf.DUMMYFUNCTION("""COMPUTED_VALUE"""),"Новый")</f>
        <v>Новый</v>
      </c>
      <c r="G2864" s="68"/>
      <c r="K2864" s="68"/>
    </row>
    <row r="2865" spans="1:11" ht="12.75">
      <c r="A2865" s="69">
        <f ca="1">IFERROR(__xludf.DUMMYFUNCTION("""COMPUTED_VALUE"""),100201)</f>
        <v>100201</v>
      </c>
      <c r="B2865" s="4">
        <f ca="1">IFERROR(__xludf.DUMMYFUNCTION("""COMPUTED_VALUE"""),44732)</f>
        <v>44732</v>
      </c>
      <c r="C2865" t="str">
        <f ca="1">IFERROR(__xludf.DUMMYFUNCTION("""COMPUTED_VALUE"""),"БУ Г. ОМСКА ""УДХБ"" 190-РДО ")</f>
        <v xml:space="preserve">БУ Г. ОМСКА "УДХБ" 190-РДО </v>
      </c>
      <c r="D28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5" t="str">
        <f ca="1">IFERROR(__xludf.DUMMYFUNCTION("""COMPUTED_VALUE"""),"Новый")</f>
        <v>Новый</v>
      </c>
      <c r="G2865" s="68"/>
      <c r="K2865" s="68"/>
    </row>
    <row r="2866" spans="1:11" ht="12.75">
      <c r="A2866" s="69">
        <f ca="1">IFERROR(__xludf.DUMMYFUNCTION("""COMPUTED_VALUE"""),100202)</f>
        <v>100202</v>
      </c>
      <c r="B2866" s="4">
        <f ca="1">IFERROR(__xludf.DUMMYFUNCTION("""COMPUTED_VALUE"""),44732)</f>
        <v>44732</v>
      </c>
      <c r="C2866" t="str">
        <f ca="1">IFERROR(__xludf.DUMMYFUNCTION("""COMPUTED_VALUE"""),"БУ Г. ОМСКА ""УДХБ"" 190-РДО ")</f>
        <v xml:space="preserve">БУ Г. ОМСКА "УДХБ" 190-РДО </v>
      </c>
      <c r="D28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6" t="str">
        <f ca="1">IFERROR(__xludf.DUMMYFUNCTION("""COMPUTED_VALUE"""),"Новый")</f>
        <v>Новый</v>
      </c>
      <c r="G2866" s="68"/>
      <c r="K2866" s="68"/>
    </row>
    <row r="2867" spans="1:11" ht="12.75">
      <c r="A2867" s="69">
        <f ca="1">IFERROR(__xludf.DUMMYFUNCTION("""COMPUTED_VALUE"""),100203)</f>
        <v>100203</v>
      </c>
      <c r="B2867" s="4">
        <f ca="1">IFERROR(__xludf.DUMMYFUNCTION("""COMPUTED_VALUE"""),44732)</f>
        <v>44732</v>
      </c>
      <c r="C2867" t="str">
        <f ca="1">IFERROR(__xludf.DUMMYFUNCTION("""COMPUTED_VALUE"""),"БУ Г. ОМСКА ""УДХБ"" 190-РДО ")</f>
        <v xml:space="preserve">БУ Г. ОМСКА "УДХБ" 190-РДО </v>
      </c>
      <c r="D28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7" t="str">
        <f ca="1">IFERROR(__xludf.DUMMYFUNCTION("""COMPUTED_VALUE"""),"Новый")</f>
        <v>Новый</v>
      </c>
      <c r="G2867" s="68"/>
      <c r="K2867" s="68"/>
    </row>
    <row r="2868" spans="1:11" ht="12.75">
      <c r="A2868" s="69">
        <f ca="1">IFERROR(__xludf.DUMMYFUNCTION("""COMPUTED_VALUE"""),100204)</f>
        <v>100204</v>
      </c>
      <c r="B2868" s="4">
        <f ca="1">IFERROR(__xludf.DUMMYFUNCTION("""COMPUTED_VALUE"""),44732)</f>
        <v>44732</v>
      </c>
      <c r="C2868" t="str">
        <f ca="1">IFERROR(__xludf.DUMMYFUNCTION("""COMPUTED_VALUE"""),"БУ Г. ОМСКА ""УДХБ"" 190-РДО ")</f>
        <v xml:space="preserve">БУ Г. ОМСКА "УДХБ" 190-РДО </v>
      </c>
      <c r="D28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8" t="str">
        <f ca="1">IFERROR(__xludf.DUMMYFUNCTION("""COMPUTED_VALUE"""),"Новый")</f>
        <v>Новый</v>
      </c>
      <c r="G2868" s="68"/>
      <c r="K2868" s="68"/>
    </row>
    <row r="2869" spans="1:11" ht="12.75">
      <c r="A2869" s="69">
        <f ca="1">IFERROR(__xludf.DUMMYFUNCTION("""COMPUTED_VALUE"""),100205)</f>
        <v>100205</v>
      </c>
      <c r="B2869" s="4">
        <f ca="1">IFERROR(__xludf.DUMMYFUNCTION("""COMPUTED_VALUE"""),44732)</f>
        <v>44732</v>
      </c>
      <c r="C2869" t="str">
        <f ca="1">IFERROR(__xludf.DUMMYFUNCTION("""COMPUTED_VALUE"""),"БУ Г. ОМСКА ""УДХБ"" 190-РДО ")</f>
        <v xml:space="preserve">БУ Г. ОМСКА "УДХБ" 190-РДО </v>
      </c>
      <c r="D28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69" t="str">
        <f ca="1">IFERROR(__xludf.DUMMYFUNCTION("""COMPUTED_VALUE"""),"Новый")</f>
        <v>Новый</v>
      </c>
      <c r="G2869" s="68"/>
      <c r="K2869" s="68"/>
    </row>
    <row r="2870" spans="1:11" ht="12.75">
      <c r="A2870" s="69">
        <f ca="1">IFERROR(__xludf.DUMMYFUNCTION("""COMPUTED_VALUE"""),100206)</f>
        <v>100206</v>
      </c>
      <c r="B2870" s="4">
        <f ca="1">IFERROR(__xludf.DUMMYFUNCTION("""COMPUTED_VALUE"""),44732)</f>
        <v>44732</v>
      </c>
      <c r="C2870" t="str">
        <f ca="1">IFERROR(__xludf.DUMMYFUNCTION("""COMPUTED_VALUE"""),"БУ Г. ОМСКА ""УДХБ"" 190-РДО ")</f>
        <v xml:space="preserve">БУ Г. ОМСКА "УДХБ" 190-РДО </v>
      </c>
      <c r="D28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0" t="str">
        <f ca="1">IFERROR(__xludf.DUMMYFUNCTION("""COMPUTED_VALUE"""),"Новый")</f>
        <v>Новый</v>
      </c>
      <c r="G2870" s="68"/>
      <c r="K2870" s="68"/>
    </row>
    <row r="2871" spans="1:11" ht="12.75">
      <c r="A2871" s="69">
        <f ca="1">IFERROR(__xludf.DUMMYFUNCTION("""COMPUTED_VALUE"""),100207)</f>
        <v>100207</v>
      </c>
      <c r="B2871" s="4">
        <f ca="1">IFERROR(__xludf.DUMMYFUNCTION("""COMPUTED_VALUE"""),44732)</f>
        <v>44732</v>
      </c>
      <c r="C2871" t="str">
        <f ca="1">IFERROR(__xludf.DUMMYFUNCTION("""COMPUTED_VALUE"""),"БУ Г. ОМСКА ""УДХБ"" 190-РДО ")</f>
        <v xml:space="preserve">БУ Г. ОМСКА "УДХБ" 190-РДО </v>
      </c>
      <c r="D28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1" t="str">
        <f ca="1">IFERROR(__xludf.DUMMYFUNCTION("""COMPUTED_VALUE"""),"Новый")</f>
        <v>Новый</v>
      </c>
      <c r="G2871" s="68"/>
      <c r="K2871" s="68"/>
    </row>
    <row r="2872" spans="1:11" ht="12.75">
      <c r="A2872" s="69">
        <f ca="1">IFERROR(__xludf.DUMMYFUNCTION("""COMPUTED_VALUE"""),100208)</f>
        <v>100208</v>
      </c>
      <c r="B2872" s="4">
        <f ca="1">IFERROR(__xludf.DUMMYFUNCTION("""COMPUTED_VALUE"""),44732)</f>
        <v>44732</v>
      </c>
      <c r="C2872" t="str">
        <f ca="1">IFERROR(__xludf.DUMMYFUNCTION("""COMPUTED_VALUE"""),"БУ Г. ОМСКА ""УДХБ"" 190-РДО ")</f>
        <v xml:space="preserve">БУ Г. ОМСКА "УДХБ" 190-РДО </v>
      </c>
      <c r="D28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2" t="str">
        <f ca="1">IFERROR(__xludf.DUMMYFUNCTION("""COMPUTED_VALUE"""),"Новый")</f>
        <v>Новый</v>
      </c>
      <c r="G2872" s="68"/>
      <c r="K2872" s="68"/>
    </row>
    <row r="2873" spans="1:11" ht="12.75">
      <c r="A2873" s="69">
        <f ca="1">IFERROR(__xludf.DUMMYFUNCTION("""COMPUTED_VALUE"""),100209)</f>
        <v>100209</v>
      </c>
      <c r="B2873" s="4">
        <f ca="1">IFERROR(__xludf.DUMMYFUNCTION("""COMPUTED_VALUE"""),44732)</f>
        <v>44732</v>
      </c>
      <c r="C2873" t="str">
        <f ca="1">IFERROR(__xludf.DUMMYFUNCTION("""COMPUTED_VALUE"""),"БУ Г. ОМСКА ""УДХБ"" 190-РДО ")</f>
        <v xml:space="preserve">БУ Г. ОМСКА "УДХБ" 190-РДО </v>
      </c>
      <c r="D28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3" t="str">
        <f ca="1">IFERROR(__xludf.DUMMYFUNCTION("""COMPUTED_VALUE"""),"Новый")</f>
        <v>Новый</v>
      </c>
      <c r="G2873" s="68"/>
      <c r="K2873" s="68"/>
    </row>
    <row r="2874" spans="1:11" ht="12.75">
      <c r="A2874" s="69">
        <f ca="1">IFERROR(__xludf.DUMMYFUNCTION("""COMPUTED_VALUE"""),100210)</f>
        <v>100210</v>
      </c>
      <c r="B2874" s="4">
        <f ca="1">IFERROR(__xludf.DUMMYFUNCTION("""COMPUTED_VALUE"""),44732)</f>
        <v>44732</v>
      </c>
      <c r="C2874" t="str">
        <f ca="1">IFERROR(__xludf.DUMMYFUNCTION("""COMPUTED_VALUE"""),"БУ Г. ОМСКА ""УДХБ"" 190-РДО ")</f>
        <v xml:space="preserve">БУ Г. ОМСКА "УДХБ" 190-РДО </v>
      </c>
      <c r="D28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4" t="str">
        <f ca="1">IFERROR(__xludf.DUMMYFUNCTION("""COMPUTED_VALUE"""),"Новый")</f>
        <v>Новый</v>
      </c>
      <c r="G2874" s="68"/>
      <c r="K2874" s="68"/>
    </row>
    <row r="2875" spans="1:11" ht="12.75">
      <c r="A2875" s="69">
        <f ca="1">IFERROR(__xludf.DUMMYFUNCTION("""COMPUTED_VALUE"""),100211)</f>
        <v>100211</v>
      </c>
      <c r="B2875" s="4">
        <f ca="1">IFERROR(__xludf.DUMMYFUNCTION("""COMPUTED_VALUE"""),44732)</f>
        <v>44732</v>
      </c>
      <c r="C2875" t="str">
        <f ca="1">IFERROR(__xludf.DUMMYFUNCTION("""COMPUTED_VALUE"""),"БУ Г. ОМСКА ""УДХБ"" 190-РДО ")</f>
        <v xml:space="preserve">БУ Г. ОМСКА "УДХБ" 190-РДО </v>
      </c>
      <c r="D28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5" t="str">
        <f ca="1">IFERROR(__xludf.DUMMYFUNCTION("""COMPUTED_VALUE"""),"Новый")</f>
        <v>Новый</v>
      </c>
      <c r="G2875" s="68"/>
      <c r="K2875" s="68"/>
    </row>
    <row r="2876" spans="1:11" ht="12.75">
      <c r="A2876" s="69">
        <f ca="1">IFERROR(__xludf.DUMMYFUNCTION("""COMPUTED_VALUE"""),100212)</f>
        <v>100212</v>
      </c>
      <c r="B2876" s="4">
        <f ca="1">IFERROR(__xludf.DUMMYFUNCTION("""COMPUTED_VALUE"""),44732)</f>
        <v>44732</v>
      </c>
      <c r="C2876" t="str">
        <f ca="1">IFERROR(__xludf.DUMMYFUNCTION("""COMPUTED_VALUE"""),"БУ Г. ОМСКА ""УДХБ"" 190-РДО ")</f>
        <v xml:space="preserve">БУ Г. ОМСКА "УДХБ" 190-РДО </v>
      </c>
      <c r="D28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6" t="str">
        <f ca="1">IFERROR(__xludf.DUMMYFUNCTION("""COMPUTED_VALUE"""),"Новый")</f>
        <v>Новый</v>
      </c>
      <c r="G2876" s="68"/>
      <c r="K2876" s="68"/>
    </row>
    <row r="2877" spans="1:11" ht="12.75">
      <c r="A2877" s="69">
        <f ca="1">IFERROR(__xludf.DUMMYFUNCTION("""COMPUTED_VALUE"""),100213)</f>
        <v>100213</v>
      </c>
      <c r="B2877" s="4">
        <f ca="1">IFERROR(__xludf.DUMMYFUNCTION("""COMPUTED_VALUE"""),44732)</f>
        <v>44732</v>
      </c>
      <c r="C2877" t="str">
        <f ca="1">IFERROR(__xludf.DUMMYFUNCTION("""COMPUTED_VALUE"""),"БУ Г. ОМСКА ""УДХБ"" 190-РДО ")</f>
        <v xml:space="preserve">БУ Г. ОМСКА "УДХБ" 190-РДО </v>
      </c>
      <c r="D28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7" t="str">
        <f ca="1">IFERROR(__xludf.DUMMYFUNCTION("""COMPUTED_VALUE"""),"Новый")</f>
        <v>Новый</v>
      </c>
      <c r="G2877" s="68"/>
      <c r="K2877" s="68"/>
    </row>
    <row r="2878" spans="1:11" ht="12.75">
      <c r="A2878" s="69">
        <f ca="1">IFERROR(__xludf.DUMMYFUNCTION("""COMPUTED_VALUE"""),100214)</f>
        <v>100214</v>
      </c>
      <c r="B2878" s="4">
        <f ca="1">IFERROR(__xludf.DUMMYFUNCTION("""COMPUTED_VALUE"""),44732)</f>
        <v>44732</v>
      </c>
      <c r="C2878" t="str">
        <f ca="1">IFERROR(__xludf.DUMMYFUNCTION("""COMPUTED_VALUE"""),"БУ Г. ОМСКА ""УДХБ"" 190-РДО ")</f>
        <v xml:space="preserve">БУ Г. ОМСКА "УДХБ" 190-РДО </v>
      </c>
      <c r="D28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8" t="str">
        <f ca="1">IFERROR(__xludf.DUMMYFUNCTION("""COMPUTED_VALUE"""),"Новый")</f>
        <v>Новый</v>
      </c>
      <c r="G2878" s="68"/>
      <c r="K2878" s="68"/>
    </row>
    <row r="2879" spans="1:11" ht="12.75">
      <c r="A2879" s="69">
        <f ca="1">IFERROR(__xludf.DUMMYFUNCTION("""COMPUTED_VALUE"""),100215)</f>
        <v>100215</v>
      </c>
      <c r="B2879" s="4">
        <f ca="1">IFERROR(__xludf.DUMMYFUNCTION("""COMPUTED_VALUE"""),44732)</f>
        <v>44732</v>
      </c>
      <c r="C2879" t="str">
        <f ca="1">IFERROR(__xludf.DUMMYFUNCTION("""COMPUTED_VALUE"""),"БУ Г. ОМСКА ""УДХБ"" 190-РДО ")</f>
        <v xml:space="preserve">БУ Г. ОМСКА "УДХБ" 190-РДО </v>
      </c>
      <c r="D28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79" t="str">
        <f ca="1">IFERROR(__xludf.DUMMYFUNCTION("""COMPUTED_VALUE"""),"Новый")</f>
        <v>Новый</v>
      </c>
      <c r="G2879" s="68"/>
      <c r="K2879" s="68"/>
    </row>
    <row r="2880" spans="1:11" ht="12.75">
      <c r="A2880" s="69">
        <f ca="1">IFERROR(__xludf.DUMMYFUNCTION("""COMPUTED_VALUE"""),100216)</f>
        <v>100216</v>
      </c>
      <c r="B2880" s="4">
        <f ca="1">IFERROR(__xludf.DUMMYFUNCTION("""COMPUTED_VALUE"""),44732)</f>
        <v>44732</v>
      </c>
      <c r="C2880" t="str">
        <f ca="1">IFERROR(__xludf.DUMMYFUNCTION("""COMPUTED_VALUE"""),"БУ Г. ОМСКА ""УДХБ"" 190-РДО ")</f>
        <v xml:space="preserve">БУ Г. ОМСКА "УДХБ" 190-РДО </v>
      </c>
      <c r="D28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0" t="str">
        <f ca="1">IFERROR(__xludf.DUMMYFUNCTION("""COMPUTED_VALUE"""),"Новый")</f>
        <v>Новый</v>
      </c>
      <c r="G2880" s="68"/>
      <c r="K2880" s="68"/>
    </row>
    <row r="2881" spans="1:11" ht="12.75">
      <c r="A2881" s="69">
        <f ca="1">IFERROR(__xludf.DUMMYFUNCTION("""COMPUTED_VALUE"""),100217)</f>
        <v>100217</v>
      </c>
      <c r="B2881" s="4">
        <f ca="1">IFERROR(__xludf.DUMMYFUNCTION("""COMPUTED_VALUE"""),44732)</f>
        <v>44732</v>
      </c>
      <c r="C2881" t="str">
        <f ca="1">IFERROR(__xludf.DUMMYFUNCTION("""COMPUTED_VALUE"""),"БУ Г. ОМСКА ""УДХБ"" 190-РДО ")</f>
        <v xml:space="preserve">БУ Г. ОМСКА "УДХБ" 190-РДО </v>
      </c>
      <c r="D28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1" t="str">
        <f ca="1">IFERROR(__xludf.DUMMYFUNCTION("""COMPUTED_VALUE"""),"Новый")</f>
        <v>Новый</v>
      </c>
      <c r="G2881" s="68"/>
      <c r="K2881" s="68"/>
    </row>
    <row r="2882" spans="1:11" ht="12.75">
      <c r="A2882" s="69">
        <f ca="1">IFERROR(__xludf.DUMMYFUNCTION("""COMPUTED_VALUE"""),100218)</f>
        <v>100218</v>
      </c>
      <c r="B2882" s="4">
        <f ca="1">IFERROR(__xludf.DUMMYFUNCTION("""COMPUTED_VALUE"""),44732)</f>
        <v>44732</v>
      </c>
      <c r="C2882" t="str">
        <f ca="1">IFERROR(__xludf.DUMMYFUNCTION("""COMPUTED_VALUE"""),"БУ Г. ОМСКА ""УДХБ"" 190-РДО ")</f>
        <v xml:space="preserve">БУ Г. ОМСКА "УДХБ" 190-РДО </v>
      </c>
      <c r="D28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2" t="str">
        <f ca="1">IFERROR(__xludf.DUMMYFUNCTION("""COMPUTED_VALUE"""),"Новый")</f>
        <v>Новый</v>
      </c>
      <c r="G2882" s="68"/>
      <c r="K2882" s="68"/>
    </row>
    <row r="2883" spans="1:11" ht="12.75">
      <c r="A2883" s="69">
        <f ca="1">IFERROR(__xludf.DUMMYFUNCTION("""COMPUTED_VALUE"""),100219)</f>
        <v>100219</v>
      </c>
      <c r="B2883" s="4">
        <f ca="1">IFERROR(__xludf.DUMMYFUNCTION("""COMPUTED_VALUE"""),44732)</f>
        <v>44732</v>
      </c>
      <c r="C2883" t="str">
        <f ca="1">IFERROR(__xludf.DUMMYFUNCTION("""COMPUTED_VALUE"""),"БУ Г. ОМСКА ""УДХБ"" 190-РДО ")</f>
        <v xml:space="preserve">БУ Г. ОМСКА "УДХБ" 190-РДО </v>
      </c>
      <c r="D28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3" t="str">
        <f ca="1">IFERROR(__xludf.DUMMYFUNCTION("""COMPUTED_VALUE"""),"Новый")</f>
        <v>Новый</v>
      </c>
      <c r="G2883" s="68"/>
      <c r="K2883" s="68"/>
    </row>
    <row r="2884" spans="1:11" ht="12.75">
      <c r="A2884" s="69">
        <f ca="1">IFERROR(__xludf.DUMMYFUNCTION("""COMPUTED_VALUE"""),100220)</f>
        <v>100220</v>
      </c>
      <c r="B2884" s="4">
        <f ca="1">IFERROR(__xludf.DUMMYFUNCTION("""COMPUTED_VALUE"""),44732)</f>
        <v>44732</v>
      </c>
      <c r="C2884" t="str">
        <f ca="1">IFERROR(__xludf.DUMMYFUNCTION("""COMPUTED_VALUE"""),"БУ Г. ОМСКА ""УДХБ"" 190-РДО ")</f>
        <v xml:space="preserve">БУ Г. ОМСКА "УДХБ" 190-РДО </v>
      </c>
      <c r="D28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4" t="str">
        <f ca="1">IFERROR(__xludf.DUMMYFUNCTION("""COMPUTED_VALUE"""),"Новый")</f>
        <v>Новый</v>
      </c>
      <c r="G2884" s="68"/>
      <c r="K2884" s="68"/>
    </row>
    <row r="2885" spans="1:11" ht="12.75">
      <c r="A2885" s="69">
        <f ca="1">IFERROR(__xludf.DUMMYFUNCTION("""COMPUTED_VALUE"""),100221)</f>
        <v>100221</v>
      </c>
      <c r="B2885" s="4">
        <f ca="1">IFERROR(__xludf.DUMMYFUNCTION("""COMPUTED_VALUE"""),44732)</f>
        <v>44732</v>
      </c>
      <c r="C2885" t="str">
        <f ca="1">IFERROR(__xludf.DUMMYFUNCTION("""COMPUTED_VALUE"""),"БУ Г. ОМСКА ""УДХБ"" 190-РДО ")</f>
        <v xml:space="preserve">БУ Г. ОМСКА "УДХБ" 190-РДО </v>
      </c>
      <c r="D28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5" t="str">
        <f ca="1">IFERROR(__xludf.DUMMYFUNCTION("""COMPUTED_VALUE"""),"Новый")</f>
        <v>Новый</v>
      </c>
      <c r="G2885" s="68"/>
      <c r="K2885" s="68"/>
    </row>
    <row r="2886" spans="1:11" ht="12.75">
      <c r="A2886" s="69">
        <f ca="1">IFERROR(__xludf.DUMMYFUNCTION("""COMPUTED_VALUE"""),100222)</f>
        <v>100222</v>
      </c>
      <c r="B2886" s="4">
        <f ca="1">IFERROR(__xludf.DUMMYFUNCTION("""COMPUTED_VALUE"""),44732)</f>
        <v>44732</v>
      </c>
      <c r="C2886" t="str">
        <f ca="1">IFERROR(__xludf.DUMMYFUNCTION("""COMPUTED_VALUE"""),"БУ Г. ОМСКА ""УДХБ"" 190-РДО ")</f>
        <v xml:space="preserve">БУ Г. ОМСКА "УДХБ" 190-РДО </v>
      </c>
      <c r="D28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6" t="str">
        <f ca="1">IFERROR(__xludf.DUMMYFUNCTION("""COMPUTED_VALUE"""),"Новый")</f>
        <v>Новый</v>
      </c>
      <c r="G2886" s="68"/>
      <c r="K2886" s="68"/>
    </row>
    <row r="2887" spans="1:11" ht="12.75">
      <c r="A2887" s="69">
        <f ca="1">IFERROR(__xludf.DUMMYFUNCTION("""COMPUTED_VALUE"""),100223)</f>
        <v>100223</v>
      </c>
      <c r="B2887" s="4">
        <f ca="1">IFERROR(__xludf.DUMMYFUNCTION("""COMPUTED_VALUE"""),44732)</f>
        <v>44732</v>
      </c>
      <c r="C2887" t="str">
        <f ca="1">IFERROR(__xludf.DUMMYFUNCTION("""COMPUTED_VALUE"""),"БУ Г. ОМСКА ""УДХБ"" 190-РДО ")</f>
        <v xml:space="preserve">БУ Г. ОМСКА "УДХБ" 190-РДО </v>
      </c>
      <c r="D28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7" t="str">
        <f ca="1">IFERROR(__xludf.DUMMYFUNCTION("""COMPUTED_VALUE"""),"Новый")</f>
        <v>Новый</v>
      </c>
      <c r="G2887" s="68"/>
      <c r="K2887" s="68"/>
    </row>
    <row r="2888" spans="1:11" ht="12.75">
      <c r="A2888" s="69">
        <f ca="1">IFERROR(__xludf.DUMMYFUNCTION("""COMPUTED_VALUE"""),100224)</f>
        <v>100224</v>
      </c>
      <c r="B2888" s="4">
        <f ca="1">IFERROR(__xludf.DUMMYFUNCTION("""COMPUTED_VALUE"""),44732)</f>
        <v>44732</v>
      </c>
      <c r="C2888" t="str">
        <f ca="1">IFERROR(__xludf.DUMMYFUNCTION("""COMPUTED_VALUE"""),"БУ Г. ОМСКА ""УДХБ"" 190-РДО ")</f>
        <v xml:space="preserve">БУ Г. ОМСКА "УДХБ" 190-РДО </v>
      </c>
      <c r="D28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8" t="str">
        <f ca="1">IFERROR(__xludf.DUMMYFUNCTION("""COMPUTED_VALUE"""),"Новый")</f>
        <v>Новый</v>
      </c>
      <c r="G2888" s="68"/>
      <c r="K2888" s="68"/>
    </row>
    <row r="2889" spans="1:11" ht="12.75">
      <c r="A2889" s="69">
        <f ca="1">IFERROR(__xludf.DUMMYFUNCTION("""COMPUTED_VALUE"""),100225)</f>
        <v>100225</v>
      </c>
      <c r="B2889" s="4">
        <f ca="1">IFERROR(__xludf.DUMMYFUNCTION("""COMPUTED_VALUE"""),44732)</f>
        <v>44732</v>
      </c>
      <c r="C2889" t="str">
        <f ca="1">IFERROR(__xludf.DUMMYFUNCTION("""COMPUTED_VALUE"""),"БУ Г. ОМСКА ""УДХБ"" 190-РДО ")</f>
        <v xml:space="preserve">БУ Г. ОМСКА "УДХБ" 190-РДО </v>
      </c>
      <c r="D28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89" t="str">
        <f ca="1">IFERROR(__xludf.DUMMYFUNCTION("""COMPUTED_VALUE"""),"Новый")</f>
        <v>Новый</v>
      </c>
      <c r="G2889" s="68"/>
      <c r="K2889" s="68"/>
    </row>
    <row r="2890" spans="1:11" ht="12.75">
      <c r="A2890" s="69">
        <f ca="1">IFERROR(__xludf.DUMMYFUNCTION("""COMPUTED_VALUE"""),100226)</f>
        <v>100226</v>
      </c>
      <c r="B2890" s="4">
        <f ca="1">IFERROR(__xludf.DUMMYFUNCTION("""COMPUTED_VALUE"""),44732)</f>
        <v>44732</v>
      </c>
      <c r="C2890" t="str">
        <f ca="1">IFERROR(__xludf.DUMMYFUNCTION("""COMPUTED_VALUE"""),"БУ Г. ОМСКА ""УДХБ"" 190-РДО ")</f>
        <v xml:space="preserve">БУ Г. ОМСКА "УДХБ" 190-РДО </v>
      </c>
      <c r="D28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0" t="str">
        <f ca="1">IFERROR(__xludf.DUMMYFUNCTION("""COMPUTED_VALUE"""),"Новый")</f>
        <v>Новый</v>
      </c>
      <c r="G2890" s="68"/>
      <c r="K2890" s="68"/>
    </row>
    <row r="2891" spans="1:11" ht="12.75">
      <c r="A2891" s="69">
        <f ca="1">IFERROR(__xludf.DUMMYFUNCTION("""COMPUTED_VALUE"""),100227)</f>
        <v>100227</v>
      </c>
      <c r="B2891" s="4">
        <f ca="1">IFERROR(__xludf.DUMMYFUNCTION("""COMPUTED_VALUE"""),44732)</f>
        <v>44732</v>
      </c>
      <c r="C2891" t="str">
        <f ca="1">IFERROR(__xludf.DUMMYFUNCTION("""COMPUTED_VALUE"""),"БУ Г. ОМСКА ""УДХБ"" 190-РДО ")</f>
        <v xml:space="preserve">БУ Г. ОМСКА "УДХБ" 190-РДО </v>
      </c>
      <c r="D28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1" t="str">
        <f ca="1">IFERROR(__xludf.DUMMYFUNCTION("""COMPUTED_VALUE"""),"Новый")</f>
        <v>Новый</v>
      </c>
      <c r="G2891" s="68"/>
      <c r="K2891" s="68"/>
    </row>
    <row r="2892" spans="1:11" ht="12.75">
      <c r="A2892" s="69">
        <f ca="1">IFERROR(__xludf.DUMMYFUNCTION("""COMPUTED_VALUE"""),100228)</f>
        <v>100228</v>
      </c>
      <c r="B2892" s="4">
        <f ca="1">IFERROR(__xludf.DUMMYFUNCTION("""COMPUTED_VALUE"""),44732)</f>
        <v>44732</v>
      </c>
      <c r="C2892" t="str">
        <f ca="1">IFERROR(__xludf.DUMMYFUNCTION("""COMPUTED_VALUE"""),"БУ Г. ОМСКА ""УДХБ"" 190-РДО ")</f>
        <v xml:space="preserve">БУ Г. ОМСКА "УДХБ" 190-РДО </v>
      </c>
      <c r="D28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2" t="str">
        <f ca="1">IFERROR(__xludf.DUMMYFUNCTION("""COMPUTED_VALUE"""),"Новый")</f>
        <v>Новый</v>
      </c>
      <c r="G2892" s="68"/>
      <c r="K2892" s="68"/>
    </row>
    <row r="2893" spans="1:11" ht="12.75">
      <c r="A2893" s="69">
        <f ca="1">IFERROR(__xludf.DUMMYFUNCTION("""COMPUTED_VALUE"""),100229)</f>
        <v>100229</v>
      </c>
      <c r="B2893" s="4">
        <f ca="1">IFERROR(__xludf.DUMMYFUNCTION("""COMPUTED_VALUE"""),44732)</f>
        <v>44732</v>
      </c>
      <c r="C2893" t="str">
        <f ca="1">IFERROR(__xludf.DUMMYFUNCTION("""COMPUTED_VALUE"""),"БУ Г. ОМСКА ""УДХБ"" 190-РДО ")</f>
        <v xml:space="preserve">БУ Г. ОМСКА "УДХБ" 190-РДО </v>
      </c>
      <c r="D28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3" t="str">
        <f ca="1">IFERROR(__xludf.DUMMYFUNCTION("""COMPUTED_VALUE"""),"Новый")</f>
        <v>Новый</v>
      </c>
      <c r="G2893" s="68"/>
      <c r="K2893" s="68"/>
    </row>
    <row r="2894" spans="1:11" ht="12.75">
      <c r="A2894" s="69">
        <f ca="1">IFERROR(__xludf.DUMMYFUNCTION("""COMPUTED_VALUE"""),100230)</f>
        <v>100230</v>
      </c>
      <c r="B2894" s="4">
        <f ca="1">IFERROR(__xludf.DUMMYFUNCTION("""COMPUTED_VALUE"""),44732)</f>
        <v>44732</v>
      </c>
      <c r="C2894" t="str">
        <f ca="1">IFERROR(__xludf.DUMMYFUNCTION("""COMPUTED_VALUE"""),"БУ Г. ОМСКА ""УДХБ"" 190-РДО ")</f>
        <v xml:space="preserve">БУ Г. ОМСКА "УДХБ" 190-РДО </v>
      </c>
      <c r="D28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4" t="str">
        <f ca="1">IFERROR(__xludf.DUMMYFUNCTION("""COMPUTED_VALUE"""),"Новый")</f>
        <v>Новый</v>
      </c>
      <c r="G2894" s="68"/>
      <c r="K2894" s="68"/>
    </row>
    <row r="2895" spans="1:11" ht="12.75">
      <c r="A2895" s="69">
        <f ca="1">IFERROR(__xludf.DUMMYFUNCTION("""COMPUTED_VALUE"""),100231)</f>
        <v>100231</v>
      </c>
      <c r="B2895" s="4">
        <f ca="1">IFERROR(__xludf.DUMMYFUNCTION("""COMPUTED_VALUE"""),44732)</f>
        <v>44732</v>
      </c>
      <c r="C2895" t="str">
        <f ca="1">IFERROR(__xludf.DUMMYFUNCTION("""COMPUTED_VALUE"""),"БУ Г. ОМСКА ""УДХБ"" 190-РДО ")</f>
        <v xml:space="preserve">БУ Г. ОМСКА "УДХБ" 190-РДО </v>
      </c>
      <c r="D28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5" t="str">
        <f ca="1">IFERROR(__xludf.DUMMYFUNCTION("""COMPUTED_VALUE"""),"Новый")</f>
        <v>Новый</v>
      </c>
      <c r="G2895" s="68"/>
      <c r="K2895" s="68"/>
    </row>
    <row r="2896" spans="1:11" ht="12.75">
      <c r="A2896" s="69">
        <f ca="1">IFERROR(__xludf.DUMMYFUNCTION("""COMPUTED_VALUE"""),100232)</f>
        <v>100232</v>
      </c>
      <c r="B2896" s="4">
        <f ca="1">IFERROR(__xludf.DUMMYFUNCTION("""COMPUTED_VALUE"""),44732)</f>
        <v>44732</v>
      </c>
      <c r="C2896" t="str">
        <f ca="1">IFERROR(__xludf.DUMMYFUNCTION("""COMPUTED_VALUE"""),"БУ Г. ОМСКА ""УДХБ"" 190-РДО ")</f>
        <v xml:space="preserve">БУ Г. ОМСКА "УДХБ" 190-РДО </v>
      </c>
      <c r="D28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6" t="str">
        <f ca="1">IFERROR(__xludf.DUMMYFUNCTION("""COMPUTED_VALUE"""),"Новый")</f>
        <v>Новый</v>
      </c>
      <c r="G2896" s="68"/>
      <c r="K2896" s="68"/>
    </row>
    <row r="2897" spans="1:11" ht="12.75">
      <c r="A2897" s="69">
        <f ca="1">IFERROR(__xludf.DUMMYFUNCTION("""COMPUTED_VALUE"""),100233)</f>
        <v>100233</v>
      </c>
      <c r="B2897" s="4">
        <f ca="1">IFERROR(__xludf.DUMMYFUNCTION("""COMPUTED_VALUE"""),44732)</f>
        <v>44732</v>
      </c>
      <c r="C2897" t="str">
        <f ca="1">IFERROR(__xludf.DUMMYFUNCTION("""COMPUTED_VALUE"""),"БУ Г. ОМСКА ""УДХБ"" 190-РДО ")</f>
        <v xml:space="preserve">БУ Г. ОМСКА "УДХБ" 190-РДО </v>
      </c>
      <c r="D28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7" t="str">
        <f ca="1">IFERROR(__xludf.DUMMYFUNCTION("""COMPUTED_VALUE"""),"Новый")</f>
        <v>Новый</v>
      </c>
      <c r="G2897" s="68"/>
      <c r="K2897" s="68"/>
    </row>
    <row r="2898" spans="1:11" ht="12.75">
      <c r="A2898" s="69">
        <f ca="1">IFERROR(__xludf.DUMMYFUNCTION("""COMPUTED_VALUE"""),100234)</f>
        <v>100234</v>
      </c>
      <c r="B2898" s="4">
        <f ca="1">IFERROR(__xludf.DUMMYFUNCTION("""COMPUTED_VALUE"""),44732)</f>
        <v>44732</v>
      </c>
      <c r="C2898" t="str">
        <f ca="1">IFERROR(__xludf.DUMMYFUNCTION("""COMPUTED_VALUE"""),"БУ Г. ОМСКА ""УДХБ"" 190-РДО ")</f>
        <v xml:space="preserve">БУ Г. ОМСКА "УДХБ" 190-РДО </v>
      </c>
      <c r="D28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8" t="str">
        <f ca="1">IFERROR(__xludf.DUMMYFUNCTION("""COMPUTED_VALUE"""),"Новый")</f>
        <v>Новый</v>
      </c>
      <c r="G2898" s="68"/>
      <c r="K2898" s="68"/>
    </row>
    <row r="2899" spans="1:11" ht="12.75">
      <c r="A2899" s="69">
        <f ca="1">IFERROR(__xludf.DUMMYFUNCTION("""COMPUTED_VALUE"""),100235)</f>
        <v>100235</v>
      </c>
      <c r="B2899" s="4">
        <f ca="1">IFERROR(__xludf.DUMMYFUNCTION("""COMPUTED_VALUE"""),44732)</f>
        <v>44732</v>
      </c>
      <c r="C2899" t="str">
        <f ca="1">IFERROR(__xludf.DUMMYFUNCTION("""COMPUTED_VALUE"""),"БУ Г. ОМСКА ""УДХБ"" 190-РДО ")</f>
        <v xml:space="preserve">БУ Г. ОМСКА "УДХБ" 190-РДО </v>
      </c>
      <c r="D28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899" t="str">
        <f ca="1">IFERROR(__xludf.DUMMYFUNCTION("""COMPUTED_VALUE"""),"Новый")</f>
        <v>Новый</v>
      </c>
      <c r="G2899" s="68"/>
      <c r="K2899" s="68"/>
    </row>
    <row r="2900" spans="1:11" ht="12.75">
      <c r="A2900" s="69">
        <f ca="1">IFERROR(__xludf.DUMMYFUNCTION("""COMPUTED_VALUE"""),100236)</f>
        <v>100236</v>
      </c>
      <c r="B2900" s="4">
        <f ca="1">IFERROR(__xludf.DUMMYFUNCTION("""COMPUTED_VALUE"""),44732)</f>
        <v>44732</v>
      </c>
      <c r="C2900" t="str">
        <f ca="1">IFERROR(__xludf.DUMMYFUNCTION("""COMPUTED_VALUE"""),"БУ Г. ОМСКА ""УДХБ"" 190-РДО ")</f>
        <v xml:space="preserve">БУ Г. ОМСКА "УДХБ" 190-РДО </v>
      </c>
      <c r="D29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0" t="str">
        <f ca="1">IFERROR(__xludf.DUMMYFUNCTION("""COMPUTED_VALUE"""),"Новый")</f>
        <v>Новый</v>
      </c>
      <c r="G2900" s="68"/>
      <c r="K2900" s="68"/>
    </row>
    <row r="2901" spans="1:11" ht="12.75">
      <c r="A2901" s="69">
        <f ca="1">IFERROR(__xludf.DUMMYFUNCTION("""COMPUTED_VALUE"""),100237)</f>
        <v>100237</v>
      </c>
      <c r="B2901" s="4">
        <f ca="1">IFERROR(__xludf.DUMMYFUNCTION("""COMPUTED_VALUE"""),44732)</f>
        <v>44732</v>
      </c>
      <c r="C2901" t="str">
        <f ca="1">IFERROR(__xludf.DUMMYFUNCTION("""COMPUTED_VALUE"""),"БУ Г. ОМСКА ""УДХБ"" 190-РДО ")</f>
        <v xml:space="preserve">БУ Г. ОМСКА "УДХБ" 190-РДО </v>
      </c>
      <c r="D29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1" t="str">
        <f ca="1">IFERROR(__xludf.DUMMYFUNCTION("""COMPUTED_VALUE"""),"Новый")</f>
        <v>Новый</v>
      </c>
      <c r="G2901" s="68"/>
      <c r="K2901" s="68"/>
    </row>
    <row r="2902" spans="1:11" ht="12.75">
      <c r="A2902" s="69">
        <f ca="1">IFERROR(__xludf.DUMMYFUNCTION("""COMPUTED_VALUE"""),100238)</f>
        <v>100238</v>
      </c>
      <c r="B2902" s="4">
        <f ca="1">IFERROR(__xludf.DUMMYFUNCTION("""COMPUTED_VALUE"""),44732)</f>
        <v>44732</v>
      </c>
      <c r="C2902" t="str">
        <f ca="1">IFERROR(__xludf.DUMMYFUNCTION("""COMPUTED_VALUE"""),"БУ Г. ОМСКА ""УДХБ"" 190-РДО ")</f>
        <v xml:space="preserve">БУ Г. ОМСКА "УДХБ" 190-РДО </v>
      </c>
      <c r="D29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2" t="str">
        <f ca="1">IFERROR(__xludf.DUMMYFUNCTION("""COMPUTED_VALUE"""),"Новый")</f>
        <v>Новый</v>
      </c>
      <c r="G2902" s="68"/>
      <c r="K2902" s="68"/>
    </row>
    <row r="2903" spans="1:11" ht="12.75">
      <c r="A2903" s="69">
        <f ca="1">IFERROR(__xludf.DUMMYFUNCTION("""COMPUTED_VALUE"""),100239)</f>
        <v>100239</v>
      </c>
      <c r="B2903" s="4">
        <f ca="1">IFERROR(__xludf.DUMMYFUNCTION("""COMPUTED_VALUE"""),44732)</f>
        <v>44732</v>
      </c>
      <c r="C2903" t="str">
        <f ca="1">IFERROR(__xludf.DUMMYFUNCTION("""COMPUTED_VALUE"""),"БУ Г. ОМСКА ""УДХБ"" 190-РДО ")</f>
        <v xml:space="preserve">БУ Г. ОМСКА "УДХБ" 190-РДО </v>
      </c>
      <c r="D29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3" t="str">
        <f ca="1">IFERROR(__xludf.DUMMYFUNCTION("""COMPUTED_VALUE"""),"Новый")</f>
        <v>Новый</v>
      </c>
      <c r="G2903" s="68"/>
      <c r="K2903" s="68"/>
    </row>
    <row r="2904" spans="1:11" ht="12.75">
      <c r="A2904" s="69">
        <f ca="1">IFERROR(__xludf.DUMMYFUNCTION("""COMPUTED_VALUE"""),100240)</f>
        <v>100240</v>
      </c>
      <c r="B2904" s="4">
        <f ca="1">IFERROR(__xludf.DUMMYFUNCTION("""COMPUTED_VALUE"""),44732)</f>
        <v>44732</v>
      </c>
      <c r="C2904" t="str">
        <f ca="1">IFERROR(__xludf.DUMMYFUNCTION("""COMPUTED_VALUE"""),"БУ Г. ОМСКА ""УДХБ"" 190-РДО ")</f>
        <v xml:space="preserve">БУ Г. ОМСКА "УДХБ" 190-РДО </v>
      </c>
      <c r="D29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4" t="str">
        <f ca="1">IFERROR(__xludf.DUMMYFUNCTION("""COMPUTED_VALUE"""),"Новый")</f>
        <v>Новый</v>
      </c>
      <c r="G2904" s="68"/>
      <c r="K2904" s="68"/>
    </row>
    <row r="2905" spans="1:11" ht="12.75">
      <c r="A2905" s="69">
        <f ca="1">IFERROR(__xludf.DUMMYFUNCTION("""COMPUTED_VALUE"""),100241)</f>
        <v>100241</v>
      </c>
      <c r="B2905" s="4">
        <f ca="1">IFERROR(__xludf.DUMMYFUNCTION("""COMPUTED_VALUE"""),44732)</f>
        <v>44732</v>
      </c>
      <c r="C2905" t="str">
        <f ca="1">IFERROR(__xludf.DUMMYFUNCTION("""COMPUTED_VALUE"""),"БУ Г. ОМСКА ""УДХБ"" 190-РДО ")</f>
        <v xml:space="preserve">БУ Г. ОМСКА "УДХБ" 190-РДО </v>
      </c>
      <c r="D29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5" t="str">
        <f ca="1">IFERROR(__xludf.DUMMYFUNCTION("""COMPUTED_VALUE"""),"Новый")</f>
        <v>Новый</v>
      </c>
      <c r="G2905" s="68"/>
      <c r="K2905" s="68"/>
    </row>
    <row r="2906" spans="1:11" ht="12.75">
      <c r="A2906" s="69">
        <f ca="1">IFERROR(__xludf.DUMMYFUNCTION("""COMPUTED_VALUE"""),100242)</f>
        <v>100242</v>
      </c>
      <c r="B2906" s="4">
        <f ca="1">IFERROR(__xludf.DUMMYFUNCTION("""COMPUTED_VALUE"""),44732)</f>
        <v>44732</v>
      </c>
      <c r="C2906" t="str">
        <f ca="1">IFERROR(__xludf.DUMMYFUNCTION("""COMPUTED_VALUE"""),"БУ Г. ОМСКА ""УДХБ"" 190-РДО ")</f>
        <v xml:space="preserve">БУ Г. ОМСКА "УДХБ" 190-РДО </v>
      </c>
      <c r="D29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6" t="str">
        <f ca="1">IFERROR(__xludf.DUMMYFUNCTION("""COMPUTED_VALUE"""),"Новый")</f>
        <v>Новый</v>
      </c>
      <c r="G2906" s="68"/>
      <c r="K2906" s="68"/>
    </row>
    <row r="2907" spans="1:11" ht="12.75">
      <c r="A2907" s="69">
        <f ca="1">IFERROR(__xludf.DUMMYFUNCTION("""COMPUTED_VALUE"""),100243)</f>
        <v>100243</v>
      </c>
      <c r="B2907" s="4">
        <f ca="1">IFERROR(__xludf.DUMMYFUNCTION("""COMPUTED_VALUE"""),44732)</f>
        <v>44732</v>
      </c>
      <c r="C2907" t="str">
        <f ca="1">IFERROR(__xludf.DUMMYFUNCTION("""COMPUTED_VALUE"""),"БУ Г. ОМСКА ""УДХБ"" 190-РДО ")</f>
        <v xml:space="preserve">БУ Г. ОМСКА "УДХБ" 190-РДО </v>
      </c>
      <c r="D29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7" t="str">
        <f ca="1">IFERROR(__xludf.DUMMYFUNCTION("""COMPUTED_VALUE"""),"Новый")</f>
        <v>Новый</v>
      </c>
      <c r="G2907" s="68"/>
      <c r="K2907" s="68"/>
    </row>
    <row r="2908" spans="1:11" ht="12.75">
      <c r="A2908" s="69">
        <f ca="1">IFERROR(__xludf.DUMMYFUNCTION("""COMPUTED_VALUE"""),100244)</f>
        <v>100244</v>
      </c>
      <c r="B2908" s="4">
        <f ca="1">IFERROR(__xludf.DUMMYFUNCTION("""COMPUTED_VALUE"""),44732)</f>
        <v>44732</v>
      </c>
      <c r="C2908" t="str">
        <f ca="1">IFERROR(__xludf.DUMMYFUNCTION("""COMPUTED_VALUE"""),"БУ Г. ОМСКА ""УДХБ"" 190-РДО ")</f>
        <v xml:space="preserve">БУ Г. ОМСКА "УДХБ" 190-РДО </v>
      </c>
      <c r="D29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8" t="str">
        <f ca="1">IFERROR(__xludf.DUMMYFUNCTION("""COMPUTED_VALUE"""),"Новый")</f>
        <v>Новый</v>
      </c>
      <c r="G2908" s="68"/>
      <c r="K2908" s="68"/>
    </row>
    <row r="2909" spans="1:11" ht="12.75">
      <c r="A2909" s="69">
        <f ca="1">IFERROR(__xludf.DUMMYFUNCTION("""COMPUTED_VALUE"""),100245)</f>
        <v>100245</v>
      </c>
      <c r="B2909" s="4">
        <f ca="1">IFERROR(__xludf.DUMMYFUNCTION("""COMPUTED_VALUE"""),44732)</f>
        <v>44732</v>
      </c>
      <c r="C2909" t="str">
        <f ca="1">IFERROR(__xludf.DUMMYFUNCTION("""COMPUTED_VALUE"""),"БУ Г. ОМСКА ""УДХБ"" 190-РДО ")</f>
        <v xml:space="preserve">БУ Г. ОМСКА "УДХБ" 190-РДО </v>
      </c>
      <c r="D29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09" t="str">
        <f ca="1">IFERROR(__xludf.DUMMYFUNCTION("""COMPUTED_VALUE"""),"Новый")</f>
        <v>Новый</v>
      </c>
      <c r="G2909" s="68"/>
      <c r="K2909" s="68"/>
    </row>
    <row r="2910" spans="1:11" ht="12.75">
      <c r="A2910" s="69">
        <f ca="1">IFERROR(__xludf.DUMMYFUNCTION("""COMPUTED_VALUE"""),100246)</f>
        <v>100246</v>
      </c>
      <c r="B2910" s="4">
        <f ca="1">IFERROR(__xludf.DUMMYFUNCTION("""COMPUTED_VALUE"""),44732)</f>
        <v>44732</v>
      </c>
      <c r="C2910" t="str">
        <f ca="1">IFERROR(__xludf.DUMMYFUNCTION("""COMPUTED_VALUE"""),"БУ Г. ОМСКА ""УДХБ"" 190-РДО ")</f>
        <v xml:space="preserve">БУ Г. ОМСКА "УДХБ" 190-РДО </v>
      </c>
      <c r="D29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0" t="str">
        <f ca="1">IFERROR(__xludf.DUMMYFUNCTION("""COMPUTED_VALUE"""),"Новый")</f>
        <v>Новый</v>
      </c>
      <c r="G2910" s="68"/>
      <c r="K2910" s="68"/>
    </row>
    <row r="2911" spans="1:11" ht="12.75">
      <c r="A2911" s="69">
        <f ca="1">IFERROR(__xludf.DUMMYFUNCTION("""COMPUTED_VALUE"""),100247)</f>
        <v>100247</v>
      </c>
      <c r="B2911" s="4">
        <f ca="1">IFERROR(__xludf.DUMMYFUNCTION("""COMPUTED_VALUE"""),44732)</f>
        <v>44732</v>
      </c>
      <c r="C2911" t="str">
        <f ca="1">IFERROR(__xludf.DUMMYFUNCTION("""COMPUTED_VALUE"""),"БУ Г. ОМСКА ""УДХБ"" 190-РДО ")</f>
        <v xml:space="preserve">БУ Г. ОМСКА "УДХБ" 190-РДО </v>
      </c>
      <c r="D29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1" t="str">
        <f ca="1">IFERROR(__xludf.DUMMYFUNCTION("""COMPUTED_VALUE"""),"Новый")</f>
        <v>Новый</v>
      </c>
      <c r="G2911" s="68"/>
      <c r="K2911" s="68"/>
    </row>
    <row r="2912" spans="1:11" ht="12.75">
      <c r="A2912" s="69">
        <f ca="1">IFERROR(__xludf.DUMMYFUNCTION("""COMPUTED_VALUE"""),100248)</f>
        <v>100248</v>
      </c>
      <c r="B2912" s="4">
        <f ca="1">IFERROR(__xludf.DUMMYFUNCTION("""COMPUTED_VALUE"""),44732)</f>
        <v>44732</v>
      </c>
      <c r="C2912" t="str">
        <f ca="1">IFERROR(__xludf.DUMMYFUNCTION("""COMPUTED_VALUE"""),"БУ Г. ОМСКА ""УДХБ"" 190-РДО ")</f>
        <v xml:space="preserve">БУ Г. ОМСКА "УДХБ" 190-РДО </v>
      </c>
      <c r="D29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2" t="str">
        <f ca="1">IFERROR(__xludf.DUMMYFUNCTION("""COMPUTED_VALUE"""),"Новый")</f>
        <v>Новый</v>
      </c>
      <c r="G2912" s="68"/>
      <c r="K2912" s="68"/>
    </row>
    <row r="2913" spans="1:11" ht="12.75">
      <c r="A2913" s="69">
        <f ca="1">IFERROR(__xludf.DUMMYFUNCTION("""COMPUTED_VALUE"""),100249)</f>
        <v>100249</v>
      </c>
      <c r="B2913" s="4">
        <f ca="1">IFERROR(__xludf.DUMMYFUNCTION("""COMPUTED_VALUE"""),44732)</f>
        <v>44732</v>
      </c>
      <c r="C2913" t="str">
        <f ca="1">IFERROR(__xludf.DUMMYFUNCTION("""COMPUTED_VALUE"""),"БУ Г. ОМСКА ""УДХБ"" 190-РДО ")</f>
        <v xml:space="preserve">БУ Г. ОМСКА "УДХБ" 190-РДО </v>
      </c>
      <c r="D29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3" t="str">
        <f ca="1">IFERROR(__xludf.DUMMYFUNCTION("""COMPUTED_VALUE"""),"Новый")</f>
        <v>Новый</v>
      </c>
      <c r="G2913" s="68"/>
      <c r="K2913" s="68"/>
    </row>
    <row r="2914" spans="1:11" ht="12.75">
      <c r="A2914" s="69">
        <f ca="1">IFERROR(__xludf.DUMMYFUNCTION("""COMPUTED_VALUE"""),100250)</f>
        <v>100250</v>
      </c>
      <c r="B2914" s="4">
        <f ca="1">IFERROR(__xludf.DUMMYFUNCTION("""COMPUTED_VALUE"""),44732)</f>
        <v>44732</v>
      </c>
      <c r="C2914" t="str">
        <f ca="1">IFERROR(__xludf.DUMMYFUNCTION("""COMPUTED_VALUE"""),"БУ Г. ОМСКА ""УДХБ"" 190-РДО ")</f>
        <v xml:space="preserve">БУ Г. ОМСКА "УДХБ" 190-РДО </v>
      </c>
      <c r="D29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4" t="str">
        <f ca="1">IFERROR(__xludf.DUMMYFUNCTION("""COMPUTED_VALUE"""),"Новый")</f>
        <v>Новый</v>
      </c>
      <c r="G2914" s="68"/>
      <c r="K2914" s="68"/>
    </row>
    <row r="2915" spans="1:11" ht="12.75">
      <c r="A2915" s="69">
        <f ca="1">IFERROR(__xludf.DUMMYFUNCTION("""COMPUTED_VALUE"""),100251)</f>
        <v>100251</v>
      </c>
      <c r="B2915" s="4">
        <f ca="1">IFERROR(__xludf.DUMMYFUNCTION("""COMPUTED_VALUE"""),44732)</f>
        <v>44732</v>
      </c>
      <c r="C2915" t="str">
        <f ca="1">IFERROR(__xludf.DUMMYFUNCTION("""COMPUTED_VALUE"""),"БУ Г. ОМСКА ""УДХБ"" 190-РДО ")</f>
        <v xml:space="preserve">БУ Г. ОМСКА "УДХБ" 190-РДО </v>
      </c>
      <c r="D29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5" t="str">
        <f ca="1">IFERROR(__xludf.DUMMYFUNCTION("""COMPUTED_VALUE"""),"Новый")</f>
        <v>Новый</v>
      </c>
      <c r="G2915" s="68"/>
      <c r="K2915" s="68"/>
    </row>
    <row r="2916" spans="1:11" ht="12.75">
      <c r="A2916" s="69">
        <f ca="1">IFERROR(__xludf.DUMMYFUNCTION("""COMPUTED_VALUE"""),100252)</f>
        <v>100252</v>
      </c>
      <c r="B2916" s="4">
        <f ca="1">IFERROR(__xludf.DUMMYFUNCTION("""COMPUTED_VALUE"""),44732)</f>
        <v>44732</v>
      </c>
      <c r="C2916" t="str">
        <f ca="1">IFERROR(__xludf.DUMMYFUNCTION("""COMPUTED_VALUE"""),"БУ Г. ОМСКА ""УДХБ"" 190-РДО ")</f>
        <v xml:space="preserve">БУ Г. ОМСКА "УДХБ" 190-РДО </v>
      </c>
      <c r="D29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6" t="str">
        <f ca="1">IFERROR(__xludf.DUMMYFUNCTION("""COMPUTED_VALUE"""),"Новый")</f>
        <v>Новый</v>
      </c>
      <c r="G2916" s="68"/>
      <c r="K2916" s="68"/>
    </row>
    <row r="2917" spans="1:11" ht="12.75">
      <c r="A2917" s="69">
        <f ca="1">IFERROR(__xludf.DUMMYFUNCTION("""COMPUTED_VALUE"""),100253)</f>
        <v>100253</v>
      </c>
      <c r="B2917" s="4">
        <f ca="1">IFERROR(__xludf.DUMMYFUNCTION("""COMPUTED_VALUE"""),44732)</f>
        <v>44732</v>
      </c>
      <c r="C2917" t="str">
        <f ca="1">IFERROR(__xludf.DUMMYFUNCTION("""COMPUTED_VALUE"""),"БУ Г. ОМСКА ""УДХБ"" 190-РДО ")</f>
        <v xml:space="preserve">БУ Г. ОМСКА "УДХБ" 190-РДО </v>
      </c>
      <c r="D29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7" t="str">
        <f ca="1">IFERROR(__xludf.DUMMYFUNCTION("""COMPUTED_VALUE"""),"Новый")</f>
        <v>Новый</v>
      </c>
      <c r="G2917" s="68"/>
      <c r="K2917" s="68"/>
    </row>
    <row r="2918" spans="1:11" ht="12.75">
      <c r="A2918" s="69">
        <f ca="1">IFERROR(__xludf.DUMMYFUNCTION("""COMPUTED_VALUE"""),100254)</f>
        <v>100254</v>
      </c>
      <c r="B2918" s="4">
        <f ca="1">IFERROR(__xludf.DUMMYFUNCTION("""COMPUTED_VALUE"""),44732)</f>
        <v>44732</v>
      </c>
      <c r="C2918" t="str">
        <f ca="1">IFERROR(__xludf.DUMMYFUNCTION("""COMPUTED_VALUE"""),"БУ Г. ОМСКА ""УДХБ"" 190-РДО ")</f>
        <v xml:space="preserve">БУ Г. ОМСКА "УДХБ" 190-РДО </v>
      </c>
      <c r="D29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8" t="str">
        <f ca="1">IFERROR(__xludf.DUMMYFUNCTION("""COMPUTED_VALUE"""),"Новый")</f>
        <v>Новый</v>
      </c>
      <c r="G2918" s="68"/>
      <c r="K2918" s="68"/>
    </row>
    <row r="2919" spans="1:11" ht="12.75">
      <c r="A2919" s="69">
        <f ca="1">IFERROR(__xludf.DUMMYFUNCTION("""COMPUTED_VALUE"""),100255)</f>
        <v>100255</v>
      </c>
      <c r="B2919" s="4">
        <f ca="1">IFERROR(__xludf.DUMMYFUNCTION("""COMPUTED_VALUE"""),44732)</f>
        <v>44732</v>
      </c>
      <c r="C2919" t="str">
        <f ca="1">IFERROR(__xludf.DUMMYFUNCTION("""COMPUTED_VALUE"""),"БУ Г. ОМСКА ""УДХБ"" 190-РДО ")</f>
        <v xml:space="preserve">БУ Г. ОМСКА "УДХБ" 190-РДО </v>
      </c>
      <c r="D29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19" t="str">
        <f ca="1">IFERROR(__xludf.DUMMYFUNCTION("""COMPUTED_VALUE"""),"Новый")</f>
        <v>Новый</v>
      </c>
      <c r="G2919" s="68"/>
      <c r="K2919" s="68"/>
    </row>
    <row r="2920" spans="1:11" ht="12.75">
      <c r="A2920" s="69">
        <f ca="1">IFERROR(__xludf.DUMMYFUNCTION("""COMPUTED_VALUE"""),100256)</f>
        <v>100256</v>
      </c>
      <c r="B2920" s="4">
        <f ca="1">IFERROR(__xludf.DUMMYFUNCTION("""COMPUTED_VALUE"""),44732)</f>
        <v>44732</v>
      </c>
      <c r="C2920" t="str">
        <f ca="1">IFERROR(__xludf.DUMMYFUNCTION("""COMPUTED_VALUE"""),"БУ Г. ОМСКА ""УДХБ"" 190-РДО ")</f>
        <v xml:space="preserve">БУ Г. ОМСКА "УДХБ" 190-РДО </v>
      </c>
      <c r="D29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0" t="str">
        <f ca="1">IFERROR(__xludf.DUMMYFUNCTION("""COMPUTED_VALUE"""),"Новый")</f>
        <v>Новый</v>
      </c>
      <c r="G2920" s="68"/>
      <c r="K2920" s="68"/>
    </row>
    <row r="2921" spans="1:11" ht="12.75">
      <c r="A2921" s="69">
        <f ca="1">IFERROR(__xludf.DUMMYFUNCTION("""COMPUTED_VALUE"""),100257)</f>
        <v>100257</v>
      </c>
      <c r="B2921" s="4">
        <f ca="1">IFERROR(__xludf.DUMMYFUNCTION("""COMPUTED_VALUE"""),44732)</f>
        <v>44732</v>
      </c>
      <c r="C2921" t="str">
        <f ca="1">IFERROR(__xludf.DUMMYFUNCTION("""COMPUTED_VALUE"""),"БУ Г. ОМСКА ""УДХБ"" 190-РДО ")</f>
        <v xml:space="preserve">БУ Г. ОМСКА "УДХБ" 190-РДО </v>
      </c>
      <c r="D29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1" t="str">
        <f ca="1">IFERROR(__xludf.DUMMYFUNCTION("""COMPUTED_VALUE"""),"Новый")</f>
        <v>Новый</v>
      </c>
      <c r="G2921" s="68"/>
      <c r="K2921" s="68"/>
    </row>
    <row r="2922" spans="1:11" ht="12.75">
      <c r="A2922" s="69">
        <f ca="1">IFERROR(__xludf.DUMMYFUNCTION("""COMPUTED_VALUE"""),100258)</f>
        <v>100258</v>
      </c>
      <c r="B2922" s="4">
        <f ca="1">IFERROR(__xludf.DUMMYFUNCTION("""COMPUTED_VALUE"""),44732)</f>
        <v>44732</v>
      </c>
      <c r="C2922" t="str">
        <f ca="1">IFERROR(__xludf.DUMMYFUNCTION("""COMPUTED_VALUE"""),"БУ Г. ОМСКА ""УДХБ"" 190-РДО ")</f>
        <v xml:space="preserve">БУ Г. ОМСКА "УДХБ" 190-РДО </v>
      </c>
      <c r="D29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2" t="str">
        <f ca="1">IFERROR(__xludf.DUMMYFUNCTION("""COMPUTED_VALUE"""),"Новый")</f>
        <v>Новый</v>
      </c>
      <c r="G2922" s="68"/>
      <c r="K2922" s="68"/>
    </row>
    <row r="2923" spans="1:11" ht="12.75">
      <c r="A2923" s="69">
        <f ca="1">IFERROR(__xludf.DUMMYFUNCTION("""COMPUTED_VALUE"""),100259)</f>
        <v>100259</v>
      </c>
      <c r="B2923" s="4">
        <f ca="1">IFERROR(__xludf.DUMMYFUNCTION("""COMPUTED_VALUE"""),44732)</f>
        <v>44732</v>
      </c>
      <c r="C2923" t="str">
        <f ca="1">IFERROR(__xludf.DUMMYFUNCTION("""COMPUTED_VALUE"""),"БУ Г. ОМСКА ""УДХБ"" 190-РДО ")</f>
        <v xml:space="preserve">БУ Г. ОМСКА "УДХБ" 190-РДО </v>
      </c>
      <c r="D29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3" t="str">
        <f ca="1">IFERROR(__xludf.DUMMYFUNCTION("""COMPUTED_VALUE"""),"Новый")</f>
        <v>Новый</v>
      </c>
      <c r="G2923" s="68"/>
      <c r="K2923" s="68"/>
    </row>
    <row r="2924" spans="1:11" ht="12.75">
      <c r="A2924" s="69">
        <f ca="1">IFERROR(__xludf.DUMMYFUNCTION("""COMPUTED_VALUE"""),100264)</f>
        <v>100264</v>
      </c>
      <c r="B2924" s="4">
        <f ca="1">IFERROR(__xludf.DUMMYFUNCTION("""COMPUTED_VALUE"""),44732)</f>
        <v>44732</v>
      </c>
      <c r="C2924" t="str">
        <f ca="1">IFERROR(__xludf.DUMMYFUNCTION("""COMPUTED_VALUE"""),"БУ Г. ОМСКА ""УДХБ"" 190-РДО ")</f>
        <v xml:space="preserve">БУ Г. ОМСКА "УДХБ" 190-РДО </v>
      </c>
      <c r="D29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4" t="str">
        <f ca="1">IFERROR(__xludf.DUMMYFUNCTION("""COMPUTED_VALUE"""),"Новый")</f>
        <v>Новый</v>
      </c>
      <c r="G2924" s="68"/>
      <c r="K2924" s="68"/>
    </row>
    <row r="2925" spans="1:11" ht="12.75">
      <c r="A2925" s="69">
        <f ca="1">IFERROR(__xludf.DUMMYFUNCTION("""COMPUTED_VALUE"""),100265)</f>
        <v>100265</v>
      </c>
      <c r="B2925" s="4">
        <f ca="1">IFERROR(__xludf.DUMMYFUNCTION("""COMPUTED_VALUE"""),44732)</f>
        <v>44732</v>
      </c>
      <c r="C2925" t="str">
        <f ca="1">IFERROR(__xludf.DUMMYFUNCTION("""COMPUTED_VALUE"""),"БУ Г. ОМСКА ""УДХБ"" 190-РДО ")</f>
        <v xml:space="preserve">БУ Г. ОМСКА "УДХБ" 190-РДО </v>
      </c>
      <c r="D29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5" t="str">
        <f ca="1">IFERROR(__xludf.DUMMYFUNCTION("""COMPUTED_VALUE"""),"Новый")</f>
        <v>Новый</v>
      </c>
      <c r="G2925" s="68"/>
      <c r="K2925" s="68"/>
    </row>
    <row r="2926" spans="1:11" ht="12.75">
      <c r="A2926" s="69">
        <f ca="1">IFERROR(__xludf.DUMMYFUNCTION("""COMPUTED_VALUE"""),100266)</f>
        <v>100266</v>
      </c>
      <c r="B2926" s="4">
        <f ca="1">IFERROR(__xludf.DUMMYFUNCTION("""COMPUTED_VALUE"""),44732)</f>
        <v>44732</v>
      </c>
      <c r="C2926" t="str">
        <f ca="1">IFERROR(__xludf.DUMMYFUNCTION("""COMPUTED_VALUE"""),"БУ Г. ОМСКА ""УДХБ"" 190-РДО ")</f>
        <v xml:space="preserve">БУ Г. ОМСКА "УДХБ" 190-РДО </v>
      </c>
      <c r="D29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6" t="str">
        <f ca="1">IFERROR(__xludf.DUMMYFUNCTION("""COMPUTED_VALUE"""),"Новый")</f>
        <v>Новый</v>
      </c>
      <c r="G2926" s="68"/>
      <c r="K2926" s="68"/>
    </row>
    <row r="2927" spans="1:11" ht="12.75">
      <c r="A2927" s="69">
        <f ca="1">IFERROR(__xludf.DUMMYFUNCTION("""COMPUTED_VALUE"""),100267)</f>
        <v>100267</v>
      </c>
      <c r="B2927" s="4">
        <f ca="1">IFERROR(__xludf.DUMMYFUNCTION("""COMPUTED_VALUE"""),44732)</f>
        <v>44732</v>
      </c>
      <c r="C2927" t="str">
        <f ca="1">IFERROR(__xludf.DUMMYFUNCTION("""COMPUTED_VALUE"""),"БУ Г. ОМСКА ""УДХБ"" 190-РДО ")</f>
        <v xml:space="preserve">БУ Г. ОМСКА "УДХБ" 190-РДО </v>
      </c>
      <c r="D29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7" t="str">
        <f ca="1">IFERROR(__xludf.DUMMYFUNCTION("""COMPUTED_VALUE"""),"Новый")</f>
        <v>Новый</v>
      </c>
      <c r="G2927" s="68"/>
      <c r="K2927" s="68"/>
    </row>
    <row r="2928" spans="1:11" ht="12.75">
      <c r="A2928" s="69">
        <f ca="1">IFERROR(__xludf.DUMMYFUNCTION("""COMPUTED_VALUE"""),100284)</f>
        <v>100284</v>
      </c>
      <c r="B2928" s="4">
        <f ca="1">IFERROR(__xludf.DUMMYFUNCTION("""COMPUTED_VALUE"""),44732)</f>
        <v>44732</v>
      </c>
      <c r="C2928" t="str">
        <f ca="1">IFERROR(__xludf.DUMMYFUNCTION("""COMPUTED_VALUE"""),"БУ Г. ОМСКА ""УДХБ"" 190-РДО ")</f>
        <v xml:space="preserve">БУ Г. ОМСКА "УДХБ" 190-РДО </v>
      </c>
      <c r="D29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8" t="str">
        <f ca="1">IFERROR(__xludf.DUMMYFUNCTION("""COMPUTED_VALUE"""),"Новый")</f>
        <v>Новый</v>
      </c>
      <c r="G2928" s="68"/>
      <c r="K2928" s="68"/>
    </row>
    <row r="2929" spans="1:11" ht="12.75">
      <c r="A2929" s="69">
        <f ca="1">IFERROR(__xludf.DUMMYFUNCTION("""COMPUTED_VALUE"""),100292)</f>
        <v>100292</v>
      </c>
      <c r="B2929" s="4">
        <f ca="1">IFERROR(__xludf.DUMMYFUNCTION("""COMPUTED_VALUE"""),44732)</f>
        <v>44732</v>
      </c>
      <c r="C2929" t="str">
        <f ca="1">IFERROR(__xludf.DUMMYFUNCTION("""COMPUTED_VALUE"""),"БУ Г. ОМСКА ""УДХБ"" 190-РДО ")</f>
        <v xml:space="preserve">БУ Г. ОМСКА "УДХБ" 190-РДО </v>
      </c>
      <c r="D29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29" t="str">
        <f ca="1">IFERROR(__xludf.DUMMYFUNCTION("""COMPUTED_VALUE"""),"Новый")</f>
        <v>Новый</v>
      </c>
      <c r="G2929" s="68"/>
      <c r="K2929" s="68"/>
    </row>
    <row r="2930" spans="1:11" ht="12.75">
      <c r="A2930" s="69">
        <f ca="1">IFERROR(__xludf.DUMMYFUNCTION("""COMPUTED_VALUE"""),100293)</f>
        <v>100293</v>
      </c>
      <c r="B2930" s="4">
        <f ca="1">IFERROR(__xludf.DUMMYFUNCTION("""COMPUTED_VALUE"""),44732)</f>
        <v>44732</v>
      </c>
      <c r="C2930" t="str">
        <f ca="1">IFERROR(__xludf.DUMMYFUNCTION("""COMPUTED_VALUE"""),"БУ Г. ОМСКА ""УДХБ"" 190-РДО ")</f>
        <v xml:space="preserve">БУ Г. ОМСКА "УДХБ" 190-РДО </v>
      </c>
      <c r="D29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30" t="str">
        <f ca="1">IFERROR(__xludf.DUMMYFUNCTION("""COMPUTED_VALUE"""),"Новый")</f>
        <v>Новый</v>
      </c>
      <c r="G2930" s="68"/>
      <c r="K2930" s="68"/>
    </row>
    <row r="2931" spans="1:11" ht="12.75">
      <c r="A2931" s="69">
        <f ca="1">IFERROR(__xludf.DUMMYFUNCTION("""COMPUTED_VALUE"""),100294)</f>
        <v>100294</v>
      </c>
      <c r="B2931" s="4">
        <f ca="1">IFERROR(__xludf.DUMMYFUNCTION("""COMPUTED_VALUE"""),44732)</f>
        <v>44732</v>
      </c>
      <c r="C2931" t="str">
        <f ca="1">IFERROR(__xludf.DUMMYFUNCTION("""COMPUTED_VALUE"""),"БУ Г. ОМСКА ""УДХБ"" 190-РДО ")</f>
        <v xml:space="preserve">БУ Г. ОМСКА "УДХБ" 190-РДО </v>
      </c>
      <c r="D29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31" t="str">
        <f ca="1">IFERROR(__xludf.DUMMYFUNCTION("""COMPUTED_VALUE"""),"Новый")</f>
        <v>Новый</v>
      </c>
      <c r="G2931" s="68"/>
      <c r="K2931" s="68"/>
    </row>
    <row r="2932" spans="1:11" ht="12.75">
      <c r="A2932" s="69">
        <f ca="1">IFERROR(__xludf.DUMMYFUNCTION("""COMPUTED_VALUE"""),100295)</f>
        <v>100295</v>
      </c>
      <c r="B2932" s="4">
        <f ca="1">IFERROR(__xludf.DUMMYFUNCTION("""COMPUTED_VALUE"""),44732)</f>
        <v>44732</v>
      </c>
      <c r="C2932" t="str">
        <f ca="1">IFERROR(__xludf.DUMMYFUNCTION("""COMPUTED_VALUE"""),"БУ Г. ОМСКА ""УДХБ"" 190-РДО ")</f>
        <v xml:space="preserve">БУ Г. ОМСКА "УДХБ" 190-РДО </v>
      </c>
      <c r="D29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32" t="str">
        <f ca="1">IFERROR(__xludf.DUMMYFUNCTION("""COMPUTED_VALUE"""),"Новый")</f>
        <v>Новый</v>
      </c>
      <c r="G2932" s="68"/>
      <c r="K2932" s="68"/>
    </row>
    <row r="2933" spans="1:11" ht="12.75">
      <c r="A2933" s="69">
        <f ca="1">IFERROR(__xludf.DUMMYFUNCTION("""COMPUTED_VALUE"""),100296)</f>
        <v>100296</v>
      </c>
      <c r="B2933" s="4">
        <f ca="1">IFERROR(__xludf.DUMMYFUNCTION("""COMPUTED_VALUE"""),44732)</f>
        <v>44732</v>
      </c>
      <c r="C2933" t="str">
        <f ca="1">IFERROR(__xludf.DUMMYFUNCTION("""COMPUTED_VALUE"""),"БУ Г. ОМСКА ""УДХБ"" 190-РДО ")</f>
        <v xml:space="preserve">БУ Г. ОМСКА "УДХБ" 190-РДО </v>
      </c>
      <c r="D29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33" t="str">
        <f ca="1">IFERROR(__xludf.DUMMYFUNCTION("""COMPUTED_VALUE"""),"Новый")</f>
        <v>Новый</v>
      </c>
      <c r="G2933" s="68"/>
      <c r="K2933" s="68"/>
    </row>
    <row r="2934" spans="1:11" ht="12.75">
      <c r="A2934" s="69">
        <f ca="1">IFERROR(__xludf.DUMMYFUNCTION("""COMPUTED_VALUE"""),100364)</f>
        <v>100364</v>
      </c>
      <c r="B2934" s="4">
        <f ca="1">IFERROR(__xludf.DUMMYFUNCTION("""COMPUTED_VALUE"""),44732)</f>
        <v>44732</v>
      </c>
      <c r="C2934" t="str">
        <f ca="1">IFERROR(__xludf.DUMMYFUNCTION("""COMPUTED_VALUE"""),"ООО ""ОМСТРОЙ"" 118-СТР от 15.03.2022")</f>
        <v>ООО "ОМСТРОЙ" 118-СТР от 15.03.2022</v>
      </c>
      <c r="D29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4" t="str">
        <f ca="1">IFERROR(__xludf.DUMMYFUNCTION("""COMPUTED_VALUE"""),"Новый")</f>
        <v>Новый</v>
      </c>
      <c r="G2934" s="68"/>
      <c r="K2934" s="68"/>
    </row>
    <row r="2935" spans="1:11" ht="12.75">
      <c r="A2935" s="69">
        <f ca="1">IFERROR(__xludf.DUMMYFUNCTION("""COMPUTED_VALUE"""),100365)</f>
        <v>100365</v>
      </c>
      <c r="B2935" s="4">
        <f ca="1">IFERROR(__xludf.DUMMYFUNCTION("""COMPUTED_VALUE"""),44732)</f>
        <v>44732</v>
      </c>
      <c r="C2935" t="str">
        <f ca="1">IFERROR(__xludf.DUMMYFUNCTION("""COMPUTED_VALUE"""),"ООО ""ОМСТРОЙ"" 118-СТР от 15.03.2022")</f>
        <v>ООО "ОМСТРОЙ" 118-СТР от 15.03.2022</v>
      </c>
      <c r="D29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5" t="str">
        <f ca="1">IFERROR(__xludf.DUMMYFUNCTION("""COMPUTED_VALUE"""),"Новый")</f>
        <v>Новый</v>
      </c>
      <c r="G2935" s="68"/>
      <c r="K2935" s="68"/>
    </row>
    <row r="2936" spans="1:11" ht="12.75">
      <c r="A2936" s="69">
        <f ca="1">IFERROR(__xludf.DUMMYFUNCTION("""COMPUTED_VALUE"""),100366)</f>
        <v>100366</v>
      </c>
      <c r="B2936" s="4">
        <f ca="1">IFERROR(__xludf.DUMMYFUNCTION("""COMPUTED_VALUE"""),44732)</f>
        <v>44732</v>
      </c>
      <c r="C2936" t="str">
        <f ca="1">IFERROR(__xludf.DUMMYFUNCTION("""COMPUTED_VALUE"""),"ООО ""ОМСТРОЙ"" 118-СТР от 15.03.2022")</f>
        <v>ООО "ОМСТРОЙ" 118-СТР от 15.03.2022</v>
      </c>
      <c r="D29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6" t="str">
        <f ca="1">IFERROR(__xludf.DUMMYFUNCTION("""COMPUTED_VALUE"""),"Новый")</f>
        <v>Новый</v>
      </c>
      <c r="G2936" s="68"/>
      <c r="K2936" s="68"/>
    </row>
    <row r="2937" spans="1:11" ht="12.75">
      <c r="A2937" s="69">
        <f ca="1">IFERROR(__xludf.DUMMYFUNCTION("""COMPUTED_VALUE"""),100367)</f>
        <v>100367</v>
      </c>
      <c r="B2937" s="4">
        <f ca="1">IFERROR(__xludf.DUMMYFUNCTION("""COMPUTED_VALUE"""),44732)</f>
        <v>44732</v>
      </c>
      <c r="C2937" t="str">
        <f ca="1">IFERROR(__xludf.DUMMYFUNCTION("""COMPUTED_VALUE"""),"ООО ""ОМСТРОЙ"" 118-СТР от 15.03.2022")</f>
        <v>ООО "ОМСТРОЙ" 118-СТР от 15.03.2022</v>
      </c>
      <c r="D29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7" t="str">
        <f ca="1">IFERROR(__xludf.DUMMYFUNCTION("""COMPUTED_VALUE"""),"Новый")</f>
        <v>Новый</v>
      </c>
      <c r="G2937" s="68"/>
      <c r="K2937" s="68"/>
    </row>
    <row r="2938" spans="1:11" ht="12.75">
      <c r="A2938" s="69">
        <f ca="1">IFERROR(__xludf.DUMMYFUNCTION("""COMPUTED_VALUE"""),100368)</f>
        <v>100368</v>
      </c>
      <c r="B2938" s="4">
        <f ca="1">IFERROR(__xludf.DUMMYFUNCTION("""COMPUTED_VALUE"""),44732)</f>
        <v>44732</v>
      </c>
      <c r="C2938" t="str">
        <f ca="1">IFERROR(__xludf.DUMMYFUNCTION("""COMPUTED_VALUE"""),"ООО ""ОМСТРОЙ"" 118-СТР от 15.03.2022")</f>
        <v>ООО "ОМСТРОЙ" 118-СТР от 15.03.2022</v>
      </c>
      <c r="D29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8" t="str">
        <f ca="1">IFERROR(__xludf.DUMMYFUNCTION("""COMPUTED_VALUE"""),"Новый")</f>
        <v>Новый</v>
      </c>
      <c r="G2938" s="68"/>
      <c r="K2938" s="68"/>
    </row>
    <row r="2939" spans="1:11" ht="12.75">
      <c r="A2939" s="69">
        <f ca="1">IFERROR(__xludf.DUMMYFUNCTION("""COMPUTED_VALUE"""),100369)</f>
        <v>100369</v>
      </c>
      <c r="B2939" s="4">
        <f ca="1">IFERROR(__xludf.DUMMYFUNCTION("""COMPUTED_VALUE"""),44732)</f>
        <v>44732</v>
      </c>
      <c r="C2939" t="str">
        <f ca="1">IFERROR(__xludf.DUMMYFUNCTION("""COMPUTED_VALUE"""),"ООО ""ОМСТРОЙ"" 118-СТР от 15.03.2022")</f>
        <v>ООО "ОМСТРОЙ" 118-СТР от 15.03.2022</v>
      </c>
      <c r="D29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39" t="str">
        <f ca="1">IFERROR(__xludf.DUMMYFUNCTION("""COMPUTED_VALUE"""),"Новый")</f>
        <v>Новый</v>
      </c>
      <c r="G2939" s="68"/>
      <c r="K2939" s="68"/>
    </row>
    <row r="2940" spans="1:11" ht="12.75">
      <c r="A2940" s="69">
        <f ca="1">IFERROR(__xludf.DUMMYFUNCTION("""COMPUTED_VALUE"""),100370)</f>
        <v>100370</v>
      </c>
      <c r="B2940" s="4">
        <f ca="1">IFERROR(__xludf.DUMMYFUNCTION("""COMPUTED_VALUE"""),44732)</f>
        <v>44732</v>
      </c>
      <c r="C2940" t="str">
        <f ca="1">IFERROR(__xludf.DUMMYFUNCTION("""COMPUTED_VALUE"""),"ООО ""ОМСТРОЙ"" 118-СТР от 15.03.2022")</f>
        <v>ООО "ОМСТРОЙ" 118-СТР от 15.03.2022</v>
      </c>
      <c r="D29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0" t="str">
        <f ca="1">IFERROR(__xludf.DUMMYFUNCTION("""COMPUTED_VALUE"""),"Новый")</f>
        <v>Новый</v>
      </c>
      <c r="G2940" s="68"/>
      <c r="K2940" s="68"/>
    </row>
    <row r="2941" spans="1:11" ht="12.75">
      <c r="A2941" s="69">
        <f ca="1">IFERROR(__xludf.DUMMYFUNCTION("""COMPUTED_VALUE"""),100371)</f>
        <v>100371</v>
      </c>
      <c r="B2941" s="4">
        <f ca="1">IFERROR(__xludf.DUMMYFUNCTION("""COMPUTED_VALUE"""),44732)</f>
        <v>44732</v>
      </c>
      <c r="C2941" t="str">
        <f ca="1">IFERROR(__xludf.DUMMYFUNCTION("""COMPUTED_VALUE"""),"ООО ""ОМСТРОЙ"" 118-СТР от 15.03.2022")</f>
        <v>ООО "ОМСТРОЙ" 118-СТР от 15.03.2022</v>
      </c>
      <c r="D29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1" t="str">
        <f ca="1">IFERROR(__xludf.DUMMYFUNCTION("""COMPUTED_VALUE"""),"Новый")</f>
        <v>Новый</v>
      </c>
      <c r="G2941" s="68"/>
      <c r="K2941" s="68"/>
    </row>
    <row r="2942" spans="1:11" ht="12.75">
      <c r="A2942" s="69">
        <f ca="1">IFERROR(__xludf.DUMMYFUNCTION("""COMPUTED_VALUE"""),100372)</f>
        <v>100372</v>
      </c>
      <c r="B2942" s="4">
        <f ca="1">IFERROR(__xludf.DUMMYFUNCTION("""COMPUTED_VALUE"""),44732)</f>
        <v>44732</v>
      </c>
      <c r="C2942" t="str">
        <f ca="1">IFERROR(__xludf.DUMMYFUNCTION("""COMPUTED_VALUE"""),"ООО ""ОМСТРОЙ"" 118-СТР от 15.03.2022")</f>
        <v>ООО "ОМСТРОЙ" 118-СТР от 15.03.2022</v>
      </c>
      <c r="D29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2" t="str">
        <f ca="1">IFERROR(__xludf.DUMMYFUNCTION("""COMPUTED_VALUE"""),"Новый")</f>
        <v>Новый</v>
      </c>
      <c r="G2942" s="68"/>
      <c r="K2942" s="68"/>
    </row>
    <row r="2943" spans="1:11" ht="12.75">
      <c r="A2943" s="69">
        <f ca="1">IFERROR(__xludf.DUMMYFUNCTION("""COMPUTED_VALUE"""),100373)</f>
        <v>100373</v>
      </c>
      <c r="B2943" s="4">
        <f ca="1">IFERROR(__xludf.DUMMYFUNCTION("""COMPUTED_VALUE"""),44732)</f>
        <v>44732</v>
      </c>
      <c r="C2943" t="str">
        <f ca="1">IFERROR(__xludf.DUMMYFUNCTION("""COMPUTED_VALUE"""),"ООО ""ОМСТРОЙ"" 118-СТР от 15.03.2022")</f>
        <v>ООО "ОМСТРОЙ" 118-СТР от 15.03.2022</v>
      </c>
      <c r="D29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3" t="str">
        <f ca="1">IFERROR(__xludf.DUMMYFUNCTION("""COMPUTED_VALUE"""),"Новый")</f>
        <v>Новый</v>
      </c>
      <c r="G2943" s="68"/>
      <c r="K2943" s="68"/>
    </row>
    <row r="2944" spans="1:11" ht="12.75">
      <c r="A2944" s="69">
        <f ca="1">IFERROR(__xludf.DUMMYFUNCTION("""COMPUTED_VALUE"""),100374)</f>
        <v>100374</v>
      </c>
      <c r="B2944" s="4">
        <f ca="1">IFERROR(__xludf.DUMMYFUNCTION("""COMPUTED_VALUE"""),44732)</f>
        <v>44732</v>
      </c>
      <c r="C2944" t="str">
        <f ca="1">IFERROR(__xludf.DUMMYFUNCTION("""COMPUTED_VALUE"""),"ООО ""ОМСТРОЙ"" 118-СТР от 15.03.2022")</f>
        <v>ООО "ОМСТРОЙ" 118-СТР от 15.03.2022</v>
      </c>
      <c r="D29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4" t="str">
        <f ca="1">IFERROR(__xludf.DUMMYFUNCTION("""COMPUTED_VALUE"""),"Новый")</f>
        <v>Новый</v>
      </c>
      <c r="G2944" s="68"/>
      <c r="K2944" s="68"/>
    </row>
    <row r="2945" spans="1:11" ht="12.75">
      <c r="A2945" s="69">
        <f ca="1">IFERROR(__xludf.DUMMYFUNCTION("""COMPUTED_VALUE"""),100375)</f>
        <v>100375</v>
      </c>
      <c r="B2945" s="4">
        <f ca="1">IFERROR(__xludf.DUMMYFUNCTION("""COMPUTED_VALUE"""),44732)</f>
        <v>44732</v>
      </c>
      <c r="C2945" t="str">
        <f ca="1">IFERROR(__xludf.DUMMYFUNCTION("""COMPUTED_VALUE"""),"ООО ""ОМСТРОЙ"" 118-СТР от 15.03.2022")</f>
        <v>ООО "ОМСТРОЙ" 118-СТР от 15.03.2022</v>
      </c>
      <c r="D29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5" t="str">
        <f ca="1">IFERROR(__xludf.DUMMYFUNCTION("""COMPUTED_VALUE"""),"Новый")</f>
        <v>Новый</v>
      </c>
      <c r="G2945" s="68"/>
      <c r="K2945" s="68"/>
    </row>
    <row r="2946" spans="1:11" ht="12.75">
      <c r="A2946" s="69">
        <f ca="1">IFERROR(__xludf.DUMMYFUNCTION("""COMPUTED_VALUE"""),100376)</f>
        <v>100376</v>
      </c>
      <c r="B2946" s="4">
        <f ca="1">IFERROR(__xludf.DUMMYFUNCTION("""COMPUTED_VALUE"""),44732)</f>
        <v>44732</v>
      </c>
      <c r="C2946" t="str">
        <f ca="1">IFERROR(__xludf.DUMMYFUNCTION("""COMPUTED_VALUE"""),"ООО ""ОМСТРОЙ"" 118-СТР от 15.03.2022")</f>
        <v>ООО "ОМСТРОЙ" 118-СТР от 15.03.2022</v>
      </c>
      <c r="D29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6" t="str">
        <f ca="1">IFERROR(__xludf.DUMMYFUNCTION("""COMPUTED_VALUE"""),"Новый")</f>
        <v>Новый</v>
      </c>
      <c r="G2946" s="68"/>
      <c r="K2946" s="68"/>
    </row>
    <row r="2947" spans="1:11" ht="12.75">
      <c r="A2947" s="69">
        <f ca="1">IFERROR(__xludf.DUMMYFUNCTION("""COMPUTED_VALUE"""),100377)</f>
        <v>100377</v>
      </c>
      <c r="B2947" s="4">
        <f ca="1">IFERROR(__xludf.DUMMYFUNCTION("""COMPUTED_VALUE"""),44732)</f>
        <v>44732</v>
      </c>
      <c r="C2947" t="str">
        <f ca="1">IFERROR(__xludf.DUMMYFUNCTION("""COMPUTED_VALUE"""),"ООО ""ОМСТРОЙ"" 118-СТР от 15.03.2022")</f>
        <v>ООО "ОМСТРОЙ" 118-СТР от 15.03.2022</v>
      </c>
      <c r="D29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7" t="str">
        <f ca="1">IFERROR(__xludf.DUMMYFUNCTION("""COMPUTED_VALUE"""),"Новый")</f>
        <v>Новый</v>
      </c>
      <c r="G2947" s="68"/>
      <c r="K2947" s="68"/>
    </row>
    <row r="2948" spans="1:11" ht="12.75">
      <c r="A2948" s="69">
        <f ca="1">IFERROR(__xludf.DUMMYFUNCTION("""COMPUTED_VALUE"""),100378)</f>
        <v>100378</v>
      </c>
      <c r="B2948" s="4">
        <f ca="1">IFERROR(__xludf.DUMMYFUNCTION("""COMPUTED_VALUE"""),44732)</f>
        <v>44732</v>
      </c>
      <c r="C2948" t="str">
        <f ca="1">IFERROR(__xludf.DUMMYFUNCTION("""COMPUTED_VALUE"""),"ООО ""ОМСТРОЙ"" 118-СТР от 15.03.2022")</f>
        <v>ООО "ОМСТРОЙ" 118-СТР от 15.03.2022</v>
      </c>
      <c r="D29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8" t="str">
        <f ca="1">IFERROR(__xludf.DUMMYFUNCTION("""COMPUTED_VALUE"""),"Новый")</f>
        <v>Новый</v>
      </c>
      <c r="G2948" s="68"/>
      <c r="K2948" s="68"/>
    </row>
    <row r="2949" spans="1:11" ht="12.75">
      <c r="A2949" s="69">
        <f ca="1">IFERROR(__xludf.DUMMYFUNCTION("""COMPUTED_VALUE"""),100379)</f>
        <v>100379</v>
      </c>
      <c r="B2949" s="4">
        <f ca="1">IFERROR(__xludf.DUMMYFUNCTION("""COMPUTED_VALUE"""),44732)</f>
        <v>44732</v>
      </c>
      <c r="C2949" t="str">
        <f ca="1">IFERROR(__xludf.DUMMYFUNCTION("""COMPUTED_VALUE"""),"ООО ""ОМСТРОЙ"" 118-СТР от 15.03.2022")</f>
        <v>ООО "ОМСТРОЙ" 118-СТР от 15.03.2022</v>
      </c>
      <c r="D29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49" t="str">
        <f ca="1">IFERROR(__xludf.DUMMYFUNCTION("""COMPUTED_VALUE"""),"Новый")</f>
        <v>Новый</v>
      </c>
      <c r="G2949" s="68"/>
      <c r="K2949" s="68"/>
    </row>
    <row r="2950" spans="1:11" ht="12.75">
      <c r="A2950" s="69">
        <f ca="1">IFERROR(__xludf.DUMMYFUNCTION("""COMPUTED_VALUE"""),100380)</f>
        <v>100380</v>
      </c>
      <c r="B2950" s="4">
        <f ca="1">IFERROR(__xludf.DUMMYFUNCTION("""COMPUTED_VALUE"""),44733)</f>
        <v>44733</v>
      </c>
      <c r="C2950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0" t="str">
        <f ca="1">IFERROR(__xludf.DUMMYFUNCTION("""COMPUTED_VALUE"""),"Новый")</f>
        <v>Новый</v>
      </c>
      <c r="G2950" s="68"/>
      <c r="K2950" s="68"/>
    </row>
    <row r="2951" spans="1:11" ht="12.75">
      <c r="A2951" s="69">
        <f ca="1">IFERROR(__xludf.DUMMYFUNCTION("""COMPUTED_VALUE"""),100381)</f>
        <v>100381</v>
      </c>
      <c r="B2951" s="4">
        <f ca="1">IFERROR(__xludf.DUMMYFUNCTION("""COMPUTED_VALUE"""),44733)</f>
        <v>44733</v>
      </c>
      <c r="C2951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1" t="str">
        <f ca="1">IFERROR(__xludf.DUMMYFUNCTION("""COMPUTED_VALUE"""),"Новый")</f>
        <v>Новый</v>
      </c>
      <c r="G2951" s="68"/>
      <c r="K2951" s="68"/>
    </row>
    <row r="2952" spans="1:11" ht="12.75">
      <c r="A2952" s="69">
        <f ca="1">IFERROR(__xludf.DUMMYFUNCTION("""COMPUTED_VALUE"""),100382)</f>
        <v>100382</v>
      </c>
      <c r="B2952" s="4">
        <f ca="1">IFERROR(__xludf.DUMMYFUNCTION("""COMPUTED_VALUE"""),44733)</f>
        <v>44733</v>
      </c>
      <c r="C2952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2" t="str">
        <f ca="1">IFERROR(__xludf.DUMMYFUNCTION("""COMPUTED_VALUE"""),"Новый")</f>
        <v>Новый</v>
      </c>
      <c r="G2952" s="68"/>
      <c r="K2952" s="68"/>
    </row>
    <row r="2953" spans="1:11" ht="12.75">
      <c r="A2953" s="69">
        <f ca="1">IFERROR(__xludf.DUMMYFUNCTION("""COMPUTED_VALUE"""),100383)</f>
        <v>100383</v>
      </c>
      <c r="B2953" s="4">
        <f ca="1">IFERROR(__xludf.DUMMYFUNCTION("""COMPUTED_VALUE"""),44733)</f>
        <v>44733</v>
      </c>
      <c r="C2953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3" t="str">
        <f ca="1">IFERROR(__xludf.DUMMYFUNCTION("""COMPUTED_VALUE"""),"Новый")</f>
        <v>Новый</v>
      </c>
      <c r="G2953" s="68"/>
      <c r="K2953" s="68"/>
    </row>
    <row r="2954" spans="1:11" ht="12.75">
      <c r="A2954" s="69">
        <f ca="1">IFERROR(__xludf.DUMMYFUNCTION("""COMPUTED_VALUE"""),100384)</f>
        <v>100384</v>
      </c>
      <c r="B2954" s="4">
        <f ca="1">IFERROR(__xludf.DUMMYFUNCTION("""COMPUTED_VALUE"""),44733)</f>
        <v>44733</v>
      </c>
      <c r="C2954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4" t="str">
        <f ca="1">IFERROR(__xludf.DUMMYFUNCTION("""COMPUTED_VALUE"""),"Новый")</f>
        <v>Новый</v>
      </c>
      <c r="G2954" s="68"/>
      <c r="K2954" s="68"/>
    </row>
    <row r="2955" spans="1:11" ht="12.75">
      <c r="A2955" s="69">
        <f ca="1">IFERROR(__xludf.DUMMYFUNCTION("""COMPUTED_VALUE"""),100385)</f>
        <v>100385</v>
      </c>
      <c r="B2955" s="4">
        <f ca="1">IFERROR(__xludf.DUMMYFUNCTION("""COMPUTED_VALUE"""),44733)</f>
        <v>44733</v>
      </c>
      <c r="C2955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5" t="str">
        <f ca="1">IFERROR(__xludf.DUMMYFUNCTION("""COMPUTED_VALUE"""),"Новый")</f>
        <v>Новый</v>
      </c>
      <c r="G2955" s="68"/>
      <c r="K2955" s="68"/>
    </row>
    <row r="2956" spans="1:11" ht="12.75">
      <c r="A2956" s="69">
        <f ca="1">IFERROR(__xludf.DUMMYFUNCTION("""COMPUTED_VALUE"""),100386)</f>
        <v>100386</v>
      </c>
      <c r="B2956" s="4">
        <f ca="1">IFERROR(__xludf.DUMMYFUNCTION("""COMPUTED_VALUE"""),44733)</f>
        <v>44733</v>
      </c>
      <c r="C2956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6" t="str">
        <f ca="1">IFERROR(__xludf.DUMMYFUNCTION("""COMPUTED_VALUE"""),"Новый")</f>
        <v>Новый</v>
      </c>
      <c r="G2956" s="68"/>
      <c r="K2956" s="68"/>
    </row>
    <row r="2957" spans="1:11" ht="12.75">
      <c r="A2957" s="69">
        <f ca="1">IFERROR(__xludf.DUMMYFUNCTION("""COMPUTED_VALUE"""),100387)</f>
        <v>100387</v>
      </c>
      <c r="B2957" s="4">
        <f ca="1">IFERROR(__xludf.DUMMYFUNCTION("""COMPUTED_VALUE"""),44733)</f>
        <v>44733</v>
      </c>
      <c r="C2957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7" t="str">
        <f ca="1">IFERROR(__xludf.DUMMYFUNCTION("""COMPUTED_VALUE"""),"Новый")</f>
        <v>Новый</v>
      </c>
      <c r="G2957" s="68"/>
      <c r="K2957" s="68"/>
    </row>
    <row r="2958" spans="1:11" ht="12.75">
      <c r="A2958" s="69">
        <f ca="1">IFERROR(__xludf.DUMMYFUNCTION("""COMPUTED_VALUE"""),100388)</f>
        <v>100388</v>
      </c>
      <c r="B2958" s="4">
        <f ca="1">IFERROR(__xludf.DUMMYFUNCTION("""COMPUTED_VALUE"""),44733)</f>
        <v>44733</v>
      </c>
      <c r="C2958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8" t="str">
        <f ca="1">IFERROR(__xludf.DUMMYFUNCTION("""COMPUTED_VALUE"""),"Новый")</f>
        <v>Новый</v>
      </c>
      <c r="G2958" s="68"/>
      <c r="K2958" s="68"/>
    </row>
    <row r="2959" spans="1:11" ht="12.75">
      <c r="A2959" s="69">
        <f ca="1">IFERROR(__xludf.DUMMYFUNCTION("""COMPUTED_VALUE"""),100389)</f>
        <v>100389</v>
      </c>
      <c r="B2959" s="4">
        <f ca="1">IFERROR(__xludf.DUMMYFUNCTION("""COMPUTED_VALUE"""),44733)</f>
        <v>44733</v>
      </c>
      <c r="C2959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59" t="str">
        <f ca="1">IFERROR(__xludf.DUMMYFUNCTION("""COMPUTED_VALUE"""),"Новый")</f>
        <v>Новый</v>
      </c>
      <c r="G2959" s="68"/>
      <c r="K2959" s="68"/>
    </row>
    <row r="2960" spans="1:11" ht="12.75">
      <c r="A2960" s="69">
        <f ca="1">IFERROR(__xludf.DUMMYFUNCTION("""COMPUTED_VALUE"""),100393)</f>
        <v>100393</v>
      </c>
      <c r="B2960" s="4">
        <f ca="1">IFERROR(__xludf.DUMMYFUNCTION("""COMPUTED_VALUE"""),44733)</f>
        <v>44733</v>
      </c>
      <c r="C2960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0" t="str">
        <f ca="1">IFERROR(__xludf.DUMMYFUNCTION("""COMPUTED_VALUE"""),"Новый")</f>
        <v>Новый</v>
      </c>
      <c r="G2960" s="68"/>
      <c r="K2960" s="68"/>
    </row>
    <row r="2961" spans="1:11" ht="12.75">
      <c r="A2961" s="69">
        <f ca="1">IFERROR(__xludf.DUMMYFUNCTION("""COMPUTED_VALUE"""),100394)</f>
        <v>100394</v>
      </c>
      <c r="B2961" s="4">
        <f ca="1">IFERROR(__xludf.DUMMYFUNCTION("""COMPUTED_VALUE"""),44733)</f>
        <v>44733</v>
      </c>
      <c r="C2961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1" t="str">
        <f ca="1">IFERROR(__xludf.DUMMYFUNCTION("""COMPUTED_VALUE"""),"Новый")</f>
        <v>Новый</v>
      </c>
      <c r="G2961" s="68"/>
      <c r="K2961" s="68"/>
    </row>
    <row r="2962" spans="1:11" ht="12.75">
      <c r="A2962" s="69">
        <f ca="1">IFERROR(__xludf.DUMMYFUNCTION("""COMPUTED_VALUE"""),100395)</f>
        <v>100395</v>
      </c>
      <c r="B2962" s="4">
        <f ca="1">IFERROR(__xludf.DUMMYFUNCTION("""COMPUTED_VALUE"""),44733)</f>
        <v>44733</v>
      </c>
      <c r="C2962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2" t="str">
        <f ca="1">IFERROR(__xludf.DUMMYFUNCTION("""COMPUTED_VALUE"""),"Новый")</f>
        <v>Новый</v>
      </c>
      <c r="G2962" s="68"/>
      <c r="K2962" s="68"/>
    </row>
    <row r="2963" spans="1:11" ht="12.75">
      <c r="A2963" s="69">
        <f ca="1">IFERROR(__xludf.DUMMYFUNCTION("""COMPUTED_VALUE"""),100396)</f>
        <v>100396</v>
      </c>
      <c r="B2963" s="4">
        <f ca="1">IFERROR(__xludf.DUMMYFUNCTION("""COMPUTED_VALUE"""),44733)</f>
        <v>44733</v>
      </c>
      <c r="C2963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3" t="str">
        <f ca="1">IFERROR(__xludf.DUMMYFUNCTION("""COMPUTED_VALUE"""),"Новый")</f>
        <v>Новый</v>
      </c>
      <c r="G2963" s="68"/>
      <c r="K2963" s="68"/>
    </row>
    <row r="2964" spans="1:11" ht="12.75">
      <c r="A2964" s="69">
        <f ca="1">IFERROR(__xludf.DUMMYFUNCTION("""COMPUTED_VALUE"""),100397)</f>
        <v>100397</v>
      </c>
      <c r="B2964" s="4">
        <f ca="1">IFERROR(__xludf.DUMMYFUNCTION("""COMPUTED_VALUE"""),44733)</f>
        <v>44733</v>
      </c>
      <c r="C2964" t="str">
        <f ca="1">IFERROR(__xludf.DUMMYFUNCTION("""COMPUTED_VALUE"""),"ИП Паталаха Андрей Анатольевич 141-СТР от 15.06.2022")</f>
        <v>ИП Паталаха Андрей Анатольевич 141-СТР от 15.06.2022</v>
      </c>
      <c r="D29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2964" t="str">
        <f ca="1">IFERROR(__xludf.DUMMYFUNCTION("""COMPUTED_VALUE"""),"Новый")</f>
        <v>Новый</v>
      </c>
      <c r="G2964" s="68"/>
      <c r="K2964" s="68"/>
    </row>
    <row r="2965" spans="1:11" ht="12.75">
      <c r="A2965" s="69">
        <f ca="1">IFERROR(__xludf.DUMMYFUNCTION("""COMPUTED_VALUE"""),100410)</f>
        <v>100410</v>
      </c>
      <c r="B2965" s="4">
        <f ca="1">IFERROR(__xludf.DUMMYFUNCTION("""COMPUTED_VALUE"""),44733)</f>
        <v>44733</v>
      </c>
      <c r="C2965" t="str">
        <f ca="1">IFERROR(__xludf.DUMMYFUNCTION("""COMPUTED_VALUE"""),"МП Г.ОМСКА ""ЭТ""")</f>
        <v>МП Г.ОМСКА "ЭТ"</v>
      </c>
      <c r="D29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65" t="str">
        <f ca="1">IFERROR(__xludf.DUMMYFUNCTION("""COMPUTED_VALUE"""),"Новый")</f>
        <v>Новый</v>
      </c>
      <c r="G2965" s="68"/>
      <c r="K2965" s="68"/>
    </row>
    <row r="2966" spans="1:11" ht="12.75">
      <c r="A2966" s="69">
        <f ca="1">IFERROR(__xludf.DUMMYFUNCTION("""COMPUTED_VALUE"""),100411)</f>
        <v>100411</v>
      </c>
      <c r="B2966" s="4">
        <f ca="1">IFERROR(__xludf.DUMMYFUNCTION("""COMPUTED_VALUE"""),44733)</f>
        <v>44733</v>
      </c>
      <c r="C2966" t="str">
        <f ca="1">IFERROR(__xludf.DUMMYFUNCTION("""COMPUTED_VALUE"""),"МП Г.ОМСКА ""ЭТ""")</f>
        <v>МП Г.ОМСКА "ЭТ"</v>
      </c>
      <c r="D29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66" t="str">
        <f ca="1">IFERROR(__xludf.DUMMYFUNCTION("""COMPUTED_VALUE"""),"Новый")</f>
        <v>Новый</v>
      </c>
      <c r="G2966" s="68"/>
      <c r="K2966" s="68"/>
    </row>
    <row r="2967" spans="1:11" ht="12.75">
      <c r="A2967" s="69">
        <f ca="1">IFERROR(__xludf.DUMMYFUNCTION("""COMPUTED_VALUE"""),100412)</f>
        <v>100412</v>
      </c>
      <c r="B2967" s="4">
        <f ca="1">IFERROR(__xludf.DUMMYFUNCTION("""COMPUTED_VALUE"""),44733)</f>
        <v>44733</v>
      </c>
      <c r="C2967" t="str">
        <f ca="1">IFERROR(__xludf.DUMMYFUNCTION("""COMPUTED_VALUE"""),"МП Г.ОМСКА ""ЭТ""")</f>
        <v>МП Г.ОМСКА "ЭТ"</v>
      </c>
      <c r="D29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67" t="str">
        <f ca="1">IFERROR(__xludf.DUMMYFUNCTION("""COMPUTED_VALUE"""),"Новый")</f>
        <v>Новый</v>
      </c>
      <c r="G2967" s="68"/>
      <c r="K2967" s="68"/>
    </row>
    <row r="2968" spans="1:11" ht="12.75">
      <c r="A2968" s="69">
        <f ca="1">IFERROR(__xludf.DUMMYFUNCTION("""COMPUTED_VALUE"""),100413)</f>
        <v>100413</v>
      </c>
      <c r="B2968" s="4">
        <f ca="1">IFERROR(__xludf.DUMMYFUNCTION("""COMPUTED_VALUE"""),44733)</f>
        <v>44733</v>
      </c>
      <c r="C2968" t="str">
        <f ca="1">IFERROR(__xludf.DUMMYFUNCTION("""COMPUTED_VALUE"""),"МП Г.ОМСКА ""ЭТ""")</f>
        <v>МП Г.ОМСКА "ЭТ"</v>
      </c>
      <c r="D29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68" t="str">
        <f ca="1">IFERROR(__xludf.DUMMYFUNCTION("""COMPUTED_VALUE"""),"Новый")</f>
        <v>Новый</v>
      </c>
      <c r="G2968" s="68"/>
      <c r="K2968" s="68"/>
    </row>
    <row r="2969" spans="1:11" ht="12.75">
      <c r="A2969" s="69">
        <f ca="1">IFERROR(__xludf.DUMMYFUNCTION("""COMPUTED_VALUE"""),100417)</f>
        <v>100417</v>
      </c>
      <c r="B2969" s="4">
        <f ca="1">IFERROR(__xludf.DUMMYFUNCTION("""COMPUTED_VALUE"""),44733)</f>
        <v>44733</v>
      </c>
      <c r="C2969" t="str">
        <f ca="1">IFERROR(__xludf.DUMMYFUNCTION("""COMPUTED_VALUE"""),"МП Г.ОМСКА ""ЭТ""")</f>
        <v>МП Г.ОМСКА "ЭТ"</v>
      </c>
      <c r="D29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69" t="str">
        <f ca="1">IFERROR(__xludf.DUMMYFUNCTION("""COMPUTED_VALUE"""),"Новый")</f>
        <v>Новый</v>
      </c>
      <c r="G2969" s="68"/>
      <c r="K2969" s="68"/>
    </row>
    <row r="2970" spans="1:11" ht="12.75">
      <c r="A2970" s="69">
        <f ca="1">IFERROR(__xludf.DUMMYFUNCTION("""COMPUTED_VALUE"""),100427)</f>
        <v>100427</v>
      </c>
      <c r="B2970" s="4">
        <f ca="1">IFERROR(__xludf.DUMMYFUNCTION("""COMPUTED_VALUE"""),44733)</f>
        <v>44733</v>
      </c>
      <c r="C2970" t="str">
        <f ca="1">IFERROR(__xludf.DUMMYFUNCTION("""COMPUTED_VALUE"""),"МП Г.ОМСКА ""ЭТ""")</f>
        <v>МП Г.ОМСКА "ЭТ"</v>
      </c>
      <c r="D29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0" t="str">
        <f ca="1">IFERROR(__xludf.DUMMYFUNCTION("""COMPUTED_VALUE"""),"Новый")</f>
        <v>Новый</v>
      </c>
      <c r="G2970" s="68"/>
      <c r="K2970" s="68"/>
    </row>
    <row r="2971" spans="1:11" ht="12.75">
      <c r="A2971" s="69">
        <f ca="1">IFERROR(__xludf.DUMMYFUNCTION("""COMPUTED_VALUE"""),100428)</f>
        <v>100428</v>
      </c>
      <c r="B2971" s="4">
        <f ca="1">IFERROR(__xludf.DUMMYFUNCTION("""COMPUTED_VALUE"""),44733)</f>
        <v>44733</v>
      </c>
      <c r="C2971" t="str">
        <f ca="1">IFERROR(__xludf.DUMMYFUNCTION("""COMPUTED_VALUE"""),"МП Г.ОМСКА ""ЭТ""")</f>
        <v>МП Г.ОМСКА "ЭТ"</v>
      </c>
      <c r="D29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1" t="str">
        <f ca="1">IFERROR(__xludf.DUMMYFUNCTION("""COMPUTED_VALUE"""),"Новый")</f>
        <v>Новый</v>
      </c>
      <c r="G2971" s="68"/>
      <c r="K2971" s="68"/>
    </row>
    <row r="2972" spans="1:11" ht="12.75">
      <c r="A2972" s="69">
        <f ca="1">IFERROR(__xludf.DUMMYFUNCTION("""COMPUTED_VALUE"""),100440)</f>
        <v>100440</v>
      </c>
      <c r="B2972" s="4">
        <f ca="1">IFERROR(__xludf.DUMMYFUNCTION("""COMPUTED_VALUE"""),44734)</f>
        <v>44734</v>
      </c>
      <c r="C297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2" t="str">
        <f ca="1">IFERROR(__xludf.DUMMYFUNCTION("""COMPUTED_VALUE"""),"Новый")</f>
        <v>Новый</v>
      </c>
      <c r="G2972" s="68"/>
      <c r="K2972" s="68"/>
    </row>
    <row r="2973" spans="1:11" ht="12.75">
      <c r="A2973" s="69">
        <f ca="1">IFERROR(__xludf.DUMMYFUNCTION("""COMPUTED_VALUE"""),100441)</f>
        <v>100441</v>
      </c>
      <c r="B2973" s="4">
        <f ca="1">IFERROR(__xludf.DUMMYFUNCTION("""COMPUTED_VALUE"""),44734)</f>
        <v>44734</v>
      </c>
      <c r="C297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3" t="str">
        <f ca="1">IFERROR(__xludf.DUMMYFUNCTION("""COMPUTED_VALUE"""),"Новый")</f>
        <v>Новый</v>
      </c>
      <c r="G2973" s="68"/>
      <c r="K2973" s="68"/>
    </row>
    <row r="2974" spans="1:11" ht="12.75">
      <c r="A2974" s="69">
        <f ca="1">IFERROR(__xludf.DUMMYFUNCTION("""COMPUTED_VALUE"""),100442)</f>
        <v>100442</v>
      </c>
      <c r="B2974" s="4">
        <f ca="1">IFERROR(__xludf.DUMMYFUNCTION("""COMPUTED_VALUE"""),44734)</f>
        <v>44734</v>
      </c>
      <c r="C297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4" t="str">
        <f ca="1">IFERROR(__xludf.DUMMYFUNCTION("""COMPUTED_VALUE"""),"Новый")</f>
        <v>Новый</v>
      </c>
      <c r="G2974" s="68"/>
      <c r="K2974" s="68"/>
    </row>
    <row r="2975" spans="1:11" ht="12.75">
      <c r="A2975" s="69">
        <f ca="1">IFERROR(__xludf.DUMMYFUNCTION("""COMPUTED_VALUE"""),100443)</f>
        <v>100443</v>
      </c>
      <c r="B2975" s="4">
        <f ca="1">IFERROR(__xludf.DUMMYFUNCTION("""COMPUTED_VALUE"""),44734)</f>
        <v>44734</v>
      </c>
      <c r="C297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5" t="str">
        <f ca="1">IFERROR(__xludf.DUMMYFUNCTION("""COMPUTED_VALUE"""),"Новый")</f>
        <v>Новый</v>
      </c>
      <c r="G2975" s="68"/>
      <c r="K2975" s="68"/>
    </row>
    <row r="2976" spans="1:11" ht="12.75">
      <c r="A2976" s="69">
        <f ca="1">IFERROR(__xludf.DUMMYFUNCTION("""COMPUTED_VALUE"""),100444)</f>
        <v>100444</v>
      </c>
      <c r="B2976" s="4">
        <f ca="1">IFERROR(__xludf.DUMMYFUNCTION("""COMPUTED_VALUE"""),44734)</f>
        <v>44734</v>
      </c>
      <c r="C297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6" t="str">
        <f ca="1">IFERROR(__xludf.DUMMYFUNCTION("""COMPUTED_VALUE"""),"Новый")</f>
        <v>Новый</v>
      </c>
      <c r="G2976" s="68"/>
      <c r="K2976" s="68"/>
    </row>
    <row r="2977" spans="1:11" ht="12.75">
      <c r="A2977" s="69">
        <f ca="1">IFERROR(__xludf.DUMMYFUNCTION("""COMPUTED_VALUE"""),100445)</f>
        <v>100445</v>
      </c>
      <c r="B2977" s="4">
        <f ca="1">IFERROR(__xludf.DUMMYFUNCTION("""COMPUTED_VALUE"""),44734)</f>
        <v>44734</v>
      </c>
      <c r="C297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7" t="str">
        <f ca="1">IFERROR(__xludf.DUMMYFUNCTION("""COMPUTED_VALUE"""),"Новый")</f>
        <v>Новый</v>
      </c>
      <c r="G2977" s="68"/>
      <c r="K2977" s="68"/>
    </row>
    <row r="2978" spans="1:11" ht="12.75">
      <c r="A2978" s="69">
        <f ca="1">IFERROR(__xludf.DUMMYFUNCTION("""COMPUTED_VALUE"""),100446)</f>
        <v>100446</v>
      </c>
      <c r="B2978" s="4">
        <f ca="1">IFERROR(__xludf.DUMMYFUNCTION("""COMPUTED_VALUE"""),44734)</f>
        <v>44734</v>
      </c>
      <c r="C297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8" t="str">
        <f ca="1">IFERROR(__xludf.DUMMYFUNCTION("""COMPUTED_VALUE"""),"Новый")</f>
        <v>Новый</v>
      </c>
      <c r="G2978" s="68"/>
      <c r="K2978" s="68"/>
    </row>
    <row r="2979" spans="1:11" ht="12.75">
      <c r="A2979" s="69">
        <f ca="1">IFERROR(__xludf.DUMMYFUNCTION("""COMPUTED_VALUE"""),100447)</f>
        <v>100447</v>
      </c>
      <c r="B2979" s="4">
        <f ca="1">IFERROR(__xludf.DUMMYFUNCTION("""COMPUTED_VALUE"""),44734)</f>
        <v>44734</v>
      </c>
      <c r="C297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79" t="str">
        <f ca="1">IFERROR(__xludf.DUMMYFUNCTION("""COMPUTED_VALUE"""),"Новый")</f>
        <v>Новый</v>
      </c>
      <c r="G2979" s="68"/>
      <c r="K2979" s="68"/>
    </row>
    <row r="2980" spans="1:11" ht="12.75">
      <c r="A2980" s="69">
        <f ca="1">IFERROR(__xludf.DUMMYFUNCTION("""COMPUTED_VALUE"""),100448)</f>
        <v>100448</v>
      </c>
      <c r="B2980" s="4">
        <f ca="1">IFERROR(__xludf.DUMMYFUNCTION("""COMPUTED_VALUE"""),44734)</f>
        <v>44734</v>
      </c>
      <c r="C298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0" t="str">
        <f ca="1">IFERROR(__xludf.DUMMYFUNCTION("""COMPUTED_VALUE"""),"Новый")</f>
        <v>Новый</v>
      </c>
      <c r="G2980" s="68"/>
      <c r="K2980" s="68"/>
    </row>
    <row r="2981" spans="1:11" ht="12.75">
      <c r="A2981" s="69">
        <f ca="1">IFERROR(__xludf.DUMMYFUNCTION("""COMPUTED_VALUE"""),100449)</f>
        <v>100449</v>
      </c>
      <c r="B2981" s="4">
        <f ca="1">IFERROR(__xludf.DUMMYFUNCTION("""COMPUTED_VALUE"""),44734)</f>
        <v>44734</v>
      </c>
      <c r="C298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1" t="str">
        <f ca="1">IFERROR(__xludf.DUMMYFUNCTION("""COMPUTED_VALUE"""),"Новый")</f>
        <v>Новый</v>
      </c>
      <c r="G2981" s="68"/>
      <c r="K2981" s="68"/>
    </row>
    <row r="2982" spans="1:11" ht="12.75">
      <c r="A2982" s="69">
        <f ca="1">IFERROR(__xludf.DUMMYFUNCTION("""COMPUTED_VALUE"""),100450)</f>
        <v>100450</v>
      </c>
      <c r="B2982" s="4">
        <f ca="1">IFERROR(__xludf.DUMMYFUNCTION("""COMPUTED_VALUE"""),44734)</f>
        <v>44734</v>
      </c>
      <c r="C298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2" t="str">
        <f ca="1">IFERROR(__xludf.DUMMYFUNCTION("""COMPUTED_VALUE"""),"Новый")</f>
        <v>Новый</v>
      </c>
      <c r="G2982" s="68"/>
      <c r="K2982" s="68"/>
    </row>
    <row r="2983" spans="1:11" ht="12.75">
      <c r="A2983" s="69">
        <f ca="1">IFERROR(__xludf.DUMMYFUNCTION("""COMPUTED_VALUE"""),100451)</f>
        <v>100451</v>
      </c>
      <c r="B2983" s="4">
        <f ca="1">IFERROR(__xludf.DUMMYFUNCTION("""COMPUTED_VALUE"""),44734)</f>
        <v>44734</v>
      </c>
      <c r="C298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3" t="str">
        <f ca="1">IFERROR(__xludf.DUMMYFUNCTION("""COMPUTED_VALUE"""),"Новый")</f>
        <v>Новый</v>
      </c>
      <c r="G2983" s="68"/>
      <c r="K2983" s="68"/>
    </row>
    <row r="2984" spans="1:11" ht="12.75">
      <c r="A2984" s="69">
        <f ca="1">IFERROR(__xludf.DUMMYFUNCTION("""COMPUTED_VALUE"""),100452)</f>
        <v>100452</v>
      </c>
      <c r="B2984" s="4">
        <f ca="1">IFERROR(__xludf.DUMMYFUNCTION("""COMPUTED_VALUE"""),44734)</f>
        <v>44734</v>
      </c>
      <c r="C298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4" t="str">
        <f ca="1">IFERROR(__xludf.DUMMYFUNCTION("""COMPUTED_VALUE"""),"Новый")</f>
        <v>Новый</v>
      </c>
      <c r="G2984" s="68"/>
      <c r="K2984" s="68"/>
    </row>
    <row r="2985" spans="1:11" ht="12.75">
      <c r="A2985" s="69">
        <f ca="1">IFERROR(__xludf.DUMMYFUNCTION("""COMPUTED_VALUE"""),100453)</f>
        <v>100453</v>
      </c>
      <c r="B2985" s="4">
        <f ca="1">IFERROR(__xludf.DUMMYFUNCTION("""COMPUTED_VALUE"""),44734)</f>
        <v>44734</v>
      </c>
      <c r="C298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5" t="str">
        <f ca="1">IFERROR(__xludf.DUMMYFUNCTION("""COMPUTED_VALUE"""),"Новый")</f>
        <v>Новый</v>
      </c>
      <c r="G2985" s="68"/>
      <c r="K2985" s="68"/>
    </row>
    <row r="2986" spans="1:11" ht="12.75">
      <c r="A2986" s="69">
        <f ca="1">IFERROR(__xludf.DUMMYFUNCTION("""COMPUTED_VALUE"""),100454)</f>
        <v>100454</v>
      </c>
      <c r="B2986" s="4">
        <f ca="1">IFERROR(__xludf.DUMMYFUNCTION("""COMPUTED_VALUE"""),44734)</f>
        <v>44734</v>
      </c>
      <c r="C298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6" t="str">
        <f ca="1">IFERROR(__xludf.DUMMYFUNCTION("""COMPUTED_VALUE"""),"Новый")</f>
        <v>Новый</v>
      </c>
      <c r="G2986" s="68"/>
      <c r="K2986" s="68"/>
    </row>
    <row r="2987" spans="1:11" ht="12.75">
      <c r="A2987" s="69">
        <f ca="1">IFERROR(__xludf.DUMMYFUNCTION("""COMPUTED_VALUE"""),100455)</f>
        <v>100455</v>
      </c>
      <c r="B2987" s="4">
        <f ca="1">IFERROR(__xludf.DUMMYFUNCTION("""COMPUTED_VALUE"""),44734)</f>
        <v>44734</v>
      </c>
      <c r="C298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7" t="str">
        <f ca="1">IFERROR(__xludf.DUMMYFUNCTION("""COMPUTED_VALUE"""),"Новый")</f>
        <v>Новый</v>
      </c>
      <c r="G2987" s="68"/>
      <c r="K2987" s="68"/>
    </row>
    <row r="2988" spans="1:11" ht="12.75">
      <c r="A2988" s="69">
        <f ca="1">IFERROR(__xludf.DUMMYFUNCTION("""COMPUTED_VALUE"""),100456)</f>
        <v>100456</v>
      </c>
      <c r="B2988" s="4">
        <f ca="1">IFERROR(__xludf.DUMMYFUNCTION("""COMPUTED_VALUE"""),44734)</f>
        <v>44734</v>
      </c>
      <c r="C298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8" t="str">
        <f ca="1">IFERROR(__xludf.DUMMYFUNCTION("""COMPUTED_VALUE"""),"Новый")</f>
        <v>Новый</v>
      </c>
      <c r="G2988" s="68"/>
      <c r="K2988" s="68"/>
    </row>
    <row r="2989" spans="1:11" ht="12.75">
      <c r="A2989" s="69">
        <f ca="1">IFERROR(__xludf.DUMMYFUNCTION("""COMPUTED_VALUE"""),100457)</f>
        <v>100457</v>
      </c>
      <c r="B2989" s="4">
        <f ca="1">IFERROR(__xludf.DUMMYFUNCTION("""COMPUTED_VALUE"""),44734)</f>
        <v>44734</v>
      </c>
      <c r="C298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89" t="str">
        <f ca="1">IFERROR(__xludf.DUMMYFUNCTION("""COMPUTED_VALUE"""),"Новый")</f>
        <v>Новый</v>
      </c>
      <c r="G2989" s="68"/>
      <c r="K2989" s="68"/>
    </row>
    <row r="2990" spans="1:11" ht="12.75">
      <c r="A2990" s="69">
        <f ca="1">IFERROR(__xludf.DUMMYFUNCTION("""COMPUTED_VALUE"""),100458)</f>
        <v>100458</v>
      </c>
      <c r="B2990" s="4">
        <f ca="1">IFERROR(__xludf.DUMMYFUNCTION("""COMPUTED_VALUE"""),44734)</f>
        <v>44734</v>
      </c>
      <c r="C299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0" t="str">
        <f ca="1">IFERROR(__xludf.DUMMYFUNCTION("""COMPUTED_VALUE"""),"Новый")</f>
        <v>Новый</v>
      </c>
      <c r="G2990" s="68"/>
      <c r="K2990" s="68"/>
    </row>
    <row r="2991" spans="1:11" ht="12.75">
      <c r="A2991" s="69">
        <f ca="1">IFERROR(__xludf.DUMMYFUNCTION("""COMPUTED_VALUE"""),100459)</f>
        <v>100459</v>
      </c>
      <c r="B2991" s="4">
        <f ca="1">IFERROR(__xludf.DUMMYFUNCTION("""COMPUTED_VALUE"""),44734)</f>
        <v>44734</v>
      </c>
      <c r="C299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1" t="str">
        <f ca="1">IFERROR(__xludf.DUMMYFUNCTION("""COMPUTED_VALUE"""),"Новый")</f>
        <v>Новый</v>
      </c>
      <c r="G2991" s="68"/>
      <c r="K2991" s="68"/>
    </row>
    <row r="2992" spans="1:11" ht="12.75">
      <c r="A2992" s="69">
        <f ca="1">IFERROR(__xludf.DUMMYFUNCTION("""COMPUTED_VALUE"""),100460)</f>
        <v>100460</v>
      </c>
      <c r="B2992" s="4">
        <f ca="1">IFERROR(__xludf.DUMMYFUNCTION("""COMPUTED_VALUE"""),44734)</f>
        <v>44734</v>
      </c>
      <c r="C299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2" t="str">
        <f ca="1">IFERROR(__xludf.DUMMYFUNCTION("""COMPUTED_VALUE"""),"Новый")</f>
        <v>Новый</v>
      </c>
      <c r="G2992" s="68"/>
      <c r="K2992" s="68"/>
    </row>
    <row r="2993" spans="1:11" ht="12.75">
      <c r="A2993" s="69">
        <f ca="1">IFERROR(__xludf.DUMMYFUNCTION("""COMPUTED_VALUE"""),100461)</f>
        <v>100461</v>
      </c>
      <c r="B2993" s="4">
        <f ca="1">IFERROR(__xludf.DUMMYFUNCTION("""COMPUTED_VALUE"""),44734)</f>
        <v>44734</v>
      </c>
      <c r="C299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3" t="str">
        <f ca="1">IFERROR(__xludf.DUMMYFUNCTION("""COMPUTED_VALUE"""),"Новый")</f>
        <v>Новый</v>
      </c>
      <c r="G2993" s="68"/>
      <c r="K2993" s="68"/>
    </row>
    <row r="2994" spans="1:11" ht="12.75">
      <c r="A2994" s="69">
        <f ca="1">IFERROR(__xludf.DUMMYFUNCTION("""COMPUTED_VALUE"""),100462)</f>
        <v>100462</v>
      </c>
      <c r="B2994" s="4">
        <f ca="1">IFERROR(__xludf.DUMMYFUNCTION("""COMPUTED_VALUE"""),44734)</f>
        <v>44734</v>
      </c>
      <c r="C299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4" t="str">
        <f ca="1">IFERROR(__xludf.DUMMYFUNCTION("""COMPUTED_VALUE"""),"Новый")</f>
        <v>Новый</v>
      </c>
      <c r="G2994" s="68"/>
      <c r="K2994" s="68"/>
    </row>
    <row r="2995" spans="1:11" ht="12.75">
      <c r="A2995" s="69">
        <f ca="1">IFERROR(__xludf.DUMMYFUNCTION("""COMPUTED_VALUE"""),100463)</f>
        <v>100463</v>
      </c>
      <c r="B2995" s="4">
        <f ca="1">IFERROR(__xludf.DUMMYFUNCTION("""COMPUTED_VALUE"""),44734)</f>
        <v>44734</v>
      </c>
      <c r="C299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5" t="str">
        <f ca="1">IFERROR(__xludf.DUMMYFUNCTION("""COMPUTED_VALUE"""),"Новый")</f>
        <v>Новый</v>
      </c>
      <c r="G2995" s="68"/>
      <c r="K2995" s="68"/>
    </row>
    <row r="2996" spans="1:11" ht="12.75">
      <c r="A2996" s="69">
        <f ca="1">IFERROR(__xludf.DUMMYFUNCTION("""COMPUTED_VALUE"""),100464)</f>
        <v>100464</v>
      </c>
      <c r="B2996" s="4">
        <f ca="1">IFERROR(__xludf.DUMMYFUNCTION("""COMPUTED_VALUE"""),44734)</f>
        <v>44734</v>
      </c>
      <c r="C299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6" t="str">
        <f ca="1">IFERROR(__xludf.DUMMYFUNCTION("""COMPUTED_VALUE"""),"Новый")</f>
        <v>Новый</v>
      </c>
      <c r="G2996" s="68"/>
      <c r="K2996" s="68"/>
    </row>
    <row r="2997" spans="1:11" ht="12.75">
      <c r="A2997" s="69">
        <f ca="1">IFERROR(__xludf.DUMMYFUNCTION("""COMPUTED_VALUE"""),100465)</f>
        <v>100465</v>
      </c>
      <c r="B2997" s="4">
        <f ca="1">IFERROR(__xludf.DUMMYFUNCTION("""COMPUTED_VALUE"""),44734)</f>
        <v>44734</v>
      </c>
      <c r="C299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7" t="str">
        <f ca="1">IFERROR(__xludf.DUMMYFUNCTION("""COMPUTED_VALUE"""),"Новый")</f>
        <v>Новый</v>
      </c>
      <c r="G2997" s="68"/>
      <c r="K2997" s="68"/>
    </row>
    <row r="2998" spans="1:11" ht="12.75">
      <c r="A2998" s="69">
        <f ca="1">IFERROR(__xludf.DUMMYFUNCTION("""COMPUTED_VALUE"""),100466)</f>
        <v>100466</v>
      </c>
      <c r="B2998" s="4">
        <f ca="1">IFERROR(__xludf.DUMMYFUNCTION("""COMPUTED_VALUE"""),44734)</f>
        <v>44734</v>
      </c>
      <c r="C299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8" t="str">
        <f ca="1">IFERROR(__xludf.DUMMYFUNCTION("""COMPUTED_VALUE"""),"Новый")</f>
        <v>Новый</v>
      </c>
      <c r="G2998" s="68"/>
      <c r="K2998" s="68"/>
    </row>
    <row r="2999" spans="1:11" ht="12.75">
      <c r="A2999" s="69">
        <f ca="1">IFERROR(__xludf.DUMMYFUNCTION("""COMPUTED_VALUE"""),100467)</f>
        <v>100467</v>
      </c>
      <c r="B2999" s="4">
        <f ca="1">IFERROR(__xludf.DUMMYFUNCTION("""COMPUTED_VALUE"""),44734)</f>
        <v>44734</v>
      </c>
      <c r="C299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29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2999" t="str">
        <f ca="1">IFERROR(__xludf.DUMMYFUNCTION("""COMPUTED_VALUE"""),"Новый")</f>
        <v>Новый</v>
      </c>
      <c r="G2999" s="68"/>
      <c r="K2999" s="68"/>
    </row>
    <row r="3000" spans="1:11" ht="12.75">
      <c r="A3000" s="69">
        <f ca="1">IFERROR(__xludf.DUMMYFUNCTION("""COMPUTED_VALUE"""),100468)</f>
        <v>100468</v>
      </c>
      <c r="B3000" s="4">
        <f ca="1">IFERROR(__xludf.DUMMYFUNCTION("""COMPUTED_VALUE"""),44734)</f>
        <v>44734</v>
      </c>
      <c r="C300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0" t="str">
        <f ca="1">IFERROR(__xludf.DUMMYFUNCTION("""COMPUTED_VALUE"""),"Новый")</f>
        <v>Новый</v>
      </c>
      <c r="G3000" s="68"/>
      <c r="K3000" s="68"/>
    </row>
    <row r="3001" spans="1:11" ht="12.75">
      <c r="A3001" s="69">
        <f ca="1">IFERROR(__xludf.DUMMYFUNCTION("""COMPUTED_VALUE"""),100469)</f>
        <v>100469</v>
      </c>
      <c r="B3001" s="4">
        <f ca="1">IFERROR(__xludf.DUMMYFUNCTION("""COMPUTED_VALUE"""),44734)</f>
        <v>44734</v>
      </c>
      <c r="C300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1" t="str">
        <f ca="1">IFERROR(__xludf.DUMMYFUNCTION("""COMPUTED_VALUE"""),"Новый")</f>
        <v>Новый</v>
      </c>
      <c r="G3001" s="68"/>
      <c r="K3001" s="68"/>
    </row>
    <row r="3002" spans="1:11" ht="12.75">
      <c r="A3002" s="69">
        <f ca="1">IFERROR(__xludf.DUMMYFUNCTION("""COMPUTED_VALUE"""),100470)</f>
        <v>100470</v>
      </c>
      <c r="B3002" s="4">
        <f ca="1">IFERROR(__xludf.DUMMYFUNCTION("""COMPUTED_VALUE"""),44734)</f>
        <v>44734</v>
      </c>
      <c r="C300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2" t="str">
        <f ca="1">IFERROR(__xludf.DUMMYFUNCTION("""COMPUTED_VALUE"""),"Новый")</f>
        <v>Новый</v>
      </c>
      <c r="G3002" s="68"/>
      <c r="K3002" s="68"/>
    </row>
    <row r="3003" spans="1:11" ht="12.75">
      <c r="A3003" s="69">
        <f ca="1">IFERROR(__xludf.DUMMYFUNCTION("""COMPUTED_VALUE"""),100471)</f>
        <v>100471</v>
      </c>
      <c r="B3003" s="4">
        <f ca="1">IFERROR(__xludf.DUMMYFUNCTION("""COMPUTED_VALUE"""),44734)</f>
        <v>44734</v>
      </c>
      <c r="C300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3" t="str">
        <f ca="1">IFERROR(__xludf.DUMMYFUNCTION("""COMPUTED_VALUE"""),"Новый")</f>
        <v>Новый</v>
      </c>
      <c r="G3003" s="68"/>
      <c r="K3003" s="68"/>
    </row>
    <row r="3004" spans="1:11" ht="12.75">
      <c r="A3004" s="69">
        <f ca="1">IFERROR(__xludf.DUMMYFUNCTION("""COMPUTED_VALUE"""),100472)</f>
        <v>100472</v>
      </c>
      <c r="B3004" s="4">
        <f ca="1">IFERROR(__xludf.DUMMYFUNCTION("""COMPUTED_VALUE"""),44734)</f>
        <v>44734</v>
      </c>
      <c r="C300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4" t="str">
        <f ca="1">IFERROR(__xludf.DUMMYFUNCTION("""COMPUTED_VALUE"""),"Новый")</f>
        <v>Новый</v>
      </c>
      <c r="G3004" s="68"/>
      <c r="K3004" s="68"/>
    </row>
    <row r="3005" spans="1:11" ht="12.75">
      <c r="A3005" s="69">
        <f ca="1">IFERROR(__xludf.DUMMYFUNCTION("""COMPUTED_VALUE"""),100473)</f>
        <v>100473</v>
      </c>
      <c r="B3005" s="4">
        <f ca="1">IFERROR(__xludf.DUMMYFUNCTION("""COMPUTED_VALUE"""),44734)</f>
        <v>44734</v>
      </c>
      <c r="C300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5" t="str">
        <f ca="1">IFERROR(__xludf.DUMMYFUNCTION("""COMPUTED_VALUE"""),"Новый")</f>
        <v>Новый</v>
      </c>
      <c r="G3005" s="68"/>
      <c r="K3005" s="68"/>
    </row>
    <row r="3006" spans="1:11" ht="12.75">
      <c r="A3006" s="69">
        <f ca="1">IFERROR(__xludf.DUMMYFUNCTION("""COMPUTED_VALUE"""),100474)</f>
        <v>100474</v>
      </c>
      <c r="B3006" s="4">
        <f ca="1">IFERROR(__xludf.DUMMYFUNCTION("""COMPUTED_VALUE"""),44734)</f>
        <v>44734</v>
      </c>
      <c r="C300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6" t="str">
        <f ca="1">IFERROR(__xludf.DUMMYFUNCTION("""COMPUTED_VALUE"""),"Новый")</f>
        <v>Новый</v>
      </c>
      <c r="G3006" s="68"/>
      <c r="K3006" s="68"/>
    </row>
    <row r="3007" spans="1:11" ht="12.75">
      <c r="A3007" s="69">
        <f ca="1">IFERROR(__xludf.DUMMYFUNCTION("""COMPUTED_VALUE"""),100475)</f>
        <v>100475</v>
      </c>
      <c r="B3007" s="4">
        <f ca="1">IFERROR(__xludf.DUMMYFUNCTION("""COMPUTED_VALUE"""),44734)</f>
        <v>44734</v>
      </c>
      <c r="C300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7" t="str">
        <f ca="1">IFERROR(__xludf.DUMMYFUNCTION("""COMPUTED_VALUE"""),"Новый")</f>
        <v>Новый</v>
      </c>
      <c r="G3007" s="68"/>
      <c r="K3007" s="68"/>
    </row>
    <row r="3008" spans="1:11" ht="12.75">
      <c r="A3008" s="69">
        <f ca="1">IFERROR(__xludf.DUMMYFUNCTION("""COMPUTED_VALUE"""),100476)</f>
        <v>100476</v>
      </c>
      <c r="B3008" s="4">
        <f ca="1">IFERROR(__xludf.DUMMYFUNCTION("""COMPUTED_VALUE"""),44734)</f>
        <v>44734</v>
      </c>
      <c r="C300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8" t="str">
        <f ca="1">IFERROR(__xludf.DUMMYFUNCTION("""COMPUTED_VALUE"""),"Новый")</f>
        <v>Новый</v>
      </c>
      <c r="G3008" s="68"/>
      <c r="K3008" s="68"/>
    </row>
    <row r="3009" spans="1:11" ht="12.75">
      <c r="A3009" s="69">
        <f ca="1">IFERROR(__xludf.DUMMYFUNCTION("""COMPUTED_VALUE"""),100477)</f>
        <v>100477</v>
      </c>
      <c r="B3009" s="4">
        <f ca="1">IFERROR(__xludf.DUMMYFUNCTION("""COMPUTED_VALUE"""),44734)</f>
        <v>44734</v>
      </c>
      <c r="C300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09" t="str">
        <f ca="1">IFERROR(__xludf.DUMMYFUNCTION("""COMPUTED_VALUE"""),"Новый")</f>
        <v>Новый</v>
      </c>
      <c r="G3009" s="68"/>
      <c r="K3009" s="68"/>
    </row>
    <row r="3010" spans="1:11" ht="12.75">
      <c r="A3010" s="69">
        <f ca="1">IFERROR(__xludf.DUMMYFUNCTION("""COMPUTED_VALUE"""),100478)</f>
        <v>100478</v>
      </c>
      <c r="B3010" s="4">
        <f ca="1">IFERROR(__xludf.DUMMYFUNCTION("""COMPUTED_VALUE"""),44734)</f>
        <v>44734</v>
      </c>
      <c r="C301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0" t="str">
        <f ca="1">IFERROR(__xludf.DUMMYFUNCTION("""COMPUTED_VALUE"""),"Новый")</f>
        <v>Новый</v>
      </c>
      <c r="G3010" s="68"/>
      <c r="K3010" s="68"/>
    </row>
    <row r="3011" spans="1:11" ht="12.75">
      <c r="A3011" s="69">
        <f ca="1">IFERROR(__xludf.DUMMYFUNCTION("""COMPUTED_VALUE"""),100479)</f>
        <v>100479</v>
      </c>
      <c r="B3011" s="4">
        <f ca="1">IFERROR(__xludf.DUMMYFUNCTION("""COMPUTED_VALUE"""),44734)</f>
        <v>44734</v>
      </c>
      <c r="C301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1" t="str">
        <f ca="1">IFERROR(__xludf.DUMMYFUNCTION("""COMPUTED_VALUE"""),"Новый")</f>
        <v>Новый</v>
      </c>
      <c r="G3011" s="68"/>
      <c r="K3011" s="68"/>
    </row>
    <row r="3012" spans="1:11" ht="12.75">
      <c r="A3012" s="69">
        <f ca="1">IFERROR(__xludf.DUMMYFUNCTION("""COMPUTED_VALUE"""),100489)</f>
        <v>100489</v>
      </c>
      <c r="B3012" s="4">
        <f ca="1">IFERROR(__xludf.DUMMYFUNCTION("""COMPUTED_VALUE"""),44734)</f>
        <v>44734</v>
      </c>
      <c r="C301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2" t="str">
        <f ca="1">IFERROR(__xludf.DUMMYFUNCTION("""COMPUTED_VALUE"""),"Новый")</f>
        <v>Новый</v>
      </c>
      <c r="G3012" s="68"/>
      <c r="K3012" s="68"/>
    </row>
    <row r="3013" spans="1:11" ht="12.75">
      <c r="A3013" s="69">
        <f ca="1">IFERROR(__xludf.DUMMYFUNCTION("""COMPUTED_VALUE"""),100490)</f>
        <v>100490</v>
      </c>
      <c r="B3013" s="4">
        <f ca="1">IFERROR(__xludf.DUMMYFUNCTION("""COMPUTED_VALUE"""),44734)</f>
        <v>44734</v>
      </c>
      <c r="C301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3" t="str">
        <f ca="1">IFERROR(__xludf.DUMMYFUNCTION("""COMPUTED_VALUE"""),"Новый")</f>
        <v>Новый</v>
      </c>
      <c r="G3013" s="68"/>
      <c r="K3013" s="68"/>
    </row>
    <row r="3014" spans="1:11" ht="12.75">
      <c r="A3014" s="69">
        <f ca="1">IFERROR(__xludf.DUMMYFUNCTION("""COMPUTED_VALUE"""),100496)</f>
        <v>100496</v>
      </c>
      <c r="B3014" s="4">
        <f ca="1">IFERROR(__xludf.DUMMYFUNCTION("""COMPUTED_VALUE"""),44734)</f>
        <v>44734</v>
      </c>
      <c r="C301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4" t="str">
        <f ca="1">IFERROR(__xludf.DUMMYFUNCTION("""COMPUTED_VALUE"""),"Новый")</f>
        <v>Новый</v>
      </c>
      <c r="G3014" s="68"/>
      <c r="K3014" s="68"/>
    </row>
    <row r="3015" spans="1:11" ht="12.75">
      <c r="A3015" s="69">
        <f ca="1">IFERROR(__xludf.DUMMYFUNCTION("""COMPUTED_VALUE"""),100497)</f>
        <v>100497</v>
      </c>
      <c r="B3015" s="4">
        <f ca="1">IFERROR(__xludf.DUMMYFUNCTION("""COMPUTED_VALUE"""),44734)</f>
        <v>44734</v>
      </c>
      <c r="C301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5" t="str">
        <f ca="1">IFERROR(__xludf.DUMMYFUNCTION("""COMPUTED_VALUE"""),"Новый")</f>
        <v>Новый</v>
      </c>
      <c r="G3015" s="68"/>
      <c r="K3015" s="68"/>
    </row>
    <row r="3016" spans="1:11" ht="12.75">
      <c r="A3016" s="69">
        <f ca="1">IFERROR(__xludf.DUMMYFUNCTION("""COMPUTED_VALUE"""),100498)</f>
        <v>100498</v>
      </c>
      <c r="B3016" s="4">
        <f ca="1">IFERROR(__xludf.DUMMYFUNCTION("""COMPUTED_VALUE"""),44734)</f>
        <v>44734</v>
      </c>
      <c r="C301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30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6" t="str">
        <f ca="1">IFERROR(__xludf.DUMMYFUNCTION("""COMPUTED_VALUE"""),"Новый")</f>
        <v>Новый</v>
      </c>
      <c r="G3016" s="68"/>
      <c r="K3016" s="68"/>
    </row>
    <row r="3017" spans="1:11" ht="12.75">
      <c r="A3017" s="69">
        <f ca="1">IFERROR(__xludf.DUMMYFUNCTION("""COMPUTED_VALUE"""),100520)</f>
        <v>100520</v>
      </c>
      <c r="B3017" s="4">
        <f ca="1">IFERROR(__xludf.DUMMYFUNCTION("""COMPUTED_VALUE"""),44739)</f>
        <v>44739</v>
      </c>
      <c r="C3017" t="str">
        <f ca="1">IFERROR(__xludf.DUMMYFUNCTION("""COMPUTED_VALUE"""),"БУ Г. ОМСКА ""УДХБ"" 190-РДО ")</f>
        <v xml:space="preserve">БУ Г. ОМСКА "УДХБ" 190-РДО </v>
      </c>
      <c r="D30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7" t="str">
        <f ca="1">IFERROR(__xludf.DUMMYFUNCTION("""COMPUTED_VALUE"""),"Новый")</f>
        <v>Новый</v>
      </c>
      <c r="G3017" s="68"/>
      <c r="K3017" s="68"/>
    </row>
    <row r="3018" spans="1:11" ht="12.75">
      <c r="A3018" s="69">
        <f ca="1">IFERROR(__xludf.DUMMYFUNCTION("""COMPUTED_VALUE"""),100521)</f>
        <v>100521</v>
      </c>
      <c r="B3018" s="4">
        <f ca="1">IFERROR(__xludf.DUMMYFUNCTION("""COMPUTED_VALUE"""),44739)</f>
        <v>44739</v>
      </c>
      <c r="C3018" t="str">
        <f ca="1">IFERROR(__xludf.DUMMYFUNCTION("""COMPUTED_VALUE"""),"БУ Г. ОМСКА ""УДХБ"" 190-РДО ")</f>
        <v xml:space="preserve">БУ Г. ОМСКА "УДХБ" 190-РДО </v>
      </c>
      <c r="D30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8" t="str">
        <f ca="1">IFERROR(__xludf.DUMMYFUNCTION("""COMPUTED_VALUE"""),"Новый")</f>
        <v>Новый</v>
      </c>
      <c r="G3018" s="68"/>
      <c r="K3018" s="68"/>
    </row>
    <row r="3019" spans="1:11" ht="12.75">
      <c r="A3019" s="69">
        <f ca="1">IFERROR(__xludf.DUMMYFUNCTION("""COMPUTED_VALUE"""),100522)</f>
        <v>100522</v>
      </c>
      <c r="B3019" s="4">
        <f ca="1">IFERROR(__xludf.DUMMYFUNCTION("""COMPUTED_VALUE"""),44739)</f>
        <v>44739</v>
      </c>
      <c r="C3019" t="str">
        <f ca="1">IFERROR(__xludf.DUMMYFUNCTION("""COMPUTED_VALUE"""),"БУ Г. ОМСКА ""УДХБ"" 190-РДО ")</f>
        <v xml:space="preserve">БУ Г. ОМСКА "УДХБ" 190-РДО </v>
      </c>
      <c r="D30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19" t="str">
        <f ca="1">IFERROR(__xludf.DUMMYFUNCTION("""COMPUTED_VALUE"""),"Новый")</f>
        <v>Новый</v>
      </c>
      <c r="G3019" s="68"/>
      <c r="K3019" s="68"/>
    </row>
    <row r="3020" spans="1:11" ht="12.75">
      <c r="A3020" s="69">
        <f ca="1">IFERROR(__xludf.DUMMYFUNCTION("""COMPUTED_VALUE"""),100523)</f>
        <v>100523</v>
      </c>
      <c r="B3020" s="4">
        <f ca="1">IFERROR(__xludf.DUMMYFUNCTION("""COMPUTED_VALUE"""),44739)</f>
        <v>44739</v>
      </c>
      <c r="C3020" t="str">
        <f ca="1">IFERROR(__xludf.DUMMYFUNCTION("""COMPUTED_VALUE"""),"БУ Г. ОМСКА ""УДХБ"" 190-РДО ")</f>
        <v xml:space="preserve">БУ Г. ОМСКА "УДХБ" 190-РДО </v>
      </c>
      <c r="D30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0" t="str">
        <f ca="1">IFERROR(__xludf.DUMMYFUNCTION("""COMPUTED_VALUE"""),"Новый")</f>
        <v>Новый</v>
      </c>
      <c r="G3020" s="68"/>
      <c r="K3020" s="68"/>
    </row>
    <row r="3021" spans="1:11" ht="12.75">
      <c r="A3021" s="69">
        <f ca="1">IFERROR(__xludf.DUMMYFUNCTION("""COMPUTED_VALUE"""),100524)</f>
        <v>100524</v>
      </c>
      <c r="B3021" s="4">
        <f ca="1">IFERROR(__xludf.DUMMYFUNCTION("""COMPUTED_VALUE"""),44739)</f>
        <v>44739</v>
      </c>
      <c r="C3021" t="str">
        <f ca="1">IFERROR(__xludf.DUMMYFUNCTION("""COMPUTED_VALUE"""),"БУ Г. ОМСКА ""УДХБ"" 190-РДО ")</f>
        <v xml:space="preserve">БУ Г. ОМСКА "УДХБ" 190-РДО </v>
      </c>
      <c r="D30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1" t="str">
        <f ca="1">IFERROR(__xludf.DUMMYFUNCTION("""COMPUTED_VALUE"""),"Новый")</f>
        <v>Новый</v>
      </c>
      <c r="G3021" s="68"/>
      <c r="K3021" s="68"/>
    </row>
    <row r="3022" spans="1:11" ht="12.75">
      <c r="A3022" s="69">
        <f ca="1">IFERROR(__xludf.DUMMYFUNCTION("""COMPUTED_VALUE"""),100525)</f>
        <v>100525</v>
      </c>
      <c r="B3022" s="4">
        <f ca="1">IFERROR(__xludf.DUMMYFUNCTION("""COMPUTED_VALUE"""),44739)</f>
        <v>44739</v>
      </c>
      <c r="C3022" t="str">
        <f ca="1">IFERROR(__xludf.DUMMYFUNCTION("""COMPUTED_VALUE"""),"БУ Г. ОМСКА ""УДХБ"" 190-РДО ")</f>
        <v xml:space="preserve">БУ Г. ОМСКА "УДХБ" 190-РДО </v>
      </c>
      <c r="D30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2" t="str">
        <f ca="1">IFERROR(__xludf.DUMMYFUNCTION("""COMPUTED_VALUE"""),"Новый")</f>
        <v>Новый</v>
      </c>
      <c r="G3022" s="68"/>
      <c r="K3022" s="68"/>
    </row>
    <row r="3023" spans="1:11" ht="12.75">
      <c r="A3023" s="69">
        <f ca="1">IFERROR(__xludf.DUMMYFUNCTION("""COMPUTED_VALUE"""),100526)</f>
        <v>100526</v>
      </c>
      <c r="B3023" s="4">
        <f ca="1">IFERROR(__xludf.DUMMYFUNCTION("""COMPUTED_VALUE"""),44739)</f>
        <v>44739</v>
      </c>
      <c r="C3023" t="str">
        <f ca="1">IFERROR(__xludf.DUMMYFUNCTION("""COMPUTED_VALUE"""),"БУ Г. ОМСКА ""УДХБ"" 190-РДО ")</f>
        <v xml:space="preserve">БУ Г. ОМСКА "УДХБ" 190-РДО </v>
      </c>
      <c r="D30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3" t="str">
        <f ca="1">IFERROR(__xludf.DUMMYFUNCTION("""COMPUTED_VALUE"""),"Новый")</f>
        <v>Новый</v>
      </c>
      <c r="G3023" s="68"/>
      <c r="K3023" s="68"/>
    </row>
    <row r="3024" spans="1:11" ht="12.75">
      <c r="A3024" s="69">
        <f ca="1">IFERROR(__xludf.DUMMYFUNCTION("""COMPUTED_VALUE"""),100527)</f>
        <v>100527</v>
      </c>
      <c r="B3024" s="4">
        <f ca="1">IFERROR(__xludf.DUMMYFUNCTION("""COMPUTED_VALUE"""),44739)</f>
        <v>44739</v>
      </c>
      <c r="C3024" t="str">
        <f ca="1">IFERROR(__xludf.DUMMYFUNCTION("""COMPUTED_VALUE"""),"БУ Г. ОМСКА ""УДХБ"" 190-РДО ")</f>
        <v xml:space="preserve">БУ Г. ОМСКА "УДХБ" 190-РДО </v>
      </c>
      <c r="D30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4" t="str">
        <f ca="1">IFERROR(__xludf.DUMMYFUNCTION("""COMPUTED_VALUE"""),"Новый")</f>
        <v>Новый</v>
      </c>
      <c r="G3024" s="68"/>
      <c r="K3024" s="68"/>
    </row>
    <row r="3025" spans="1:17" ht="12.75">
      <c r="A3025" s="69">
        <f ca="1">IFERROR(__xludf.DUMMYFUNCTION("""COMPUTED_VALUE"""),100528)</f>
        <v>100528</v>
      </c>
      <c r="B3025" s="4">
        <f ca="1">IFERROR(__xludf.DUMMYFUNCTION("""COMPUTED_VALUE"""),44739)</f>
        <v>44739</v>
      </c>
      <c r="C3025" t="str">
        <f ca="1">IFERROR(__xludf.DUMMYFUNCTION("""COMPUTED_VALUE"""),"БУ Г. ОМСКА ""УДХБ"" 190-РДО ")</f>
        <v xml:space="preserve">БУ Г. ОМСКА "УДХБ" 190-РДО </v>
      </c>
      <c r="D30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5" t="str">
        <f ca="1">IFERROR(__xludf.DUMMYFUNCTION("""COMPUTED_VALUE"""),"Новый")</f>
        <v>Новый</v>
      </c>
      <c r="G3025" s="68"/>
      <c r="K3025" s="68"/>
    </row>
    <row r="3026" spans="1:17" ht="12.75">
      <c r="A3026" s="69">
        <f ca="1">IFERROR(__xludf.DUMMYFUNCTION("""COMPUTED_VALUE"""),100529)</f>
        <v>100529</v>
      </c>
      <c r="B3026" s="4">
        <f ca="1">IFERROR(__xludf.DUMMYFUNCTION("""COMPUTED_VALUE"""),44739)</f>
        <v>44739</v>
      </c>
      <c r="C3026" t="str">
        <f ca="1">IFERROR(__xludf.DUMMYFUNCTION("""COMPUTED_VALUE"""),"БУ Г. ОМСКА ""УДХБ"" 190-РДО ")</f>
        <v xml:space="preserve">БУ Г. ОМСКА "УДХБ" 190-РДО </v>
      </c>
      <c r="D30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6" t="str">
        <f ca="1">IFERROR(__xludf.DUMMYFUNCTION("""COMPUTED_VALUE"""),"Новый")</f>
        <v>Новый</v>
      </c>
      <c r="G3026" s="68"/>
      <c r="K3026" s="68"/>
    </row>
    <row r="3027" spans="1:17" ht="12.75">
      <c r="A3027" s="69">
        <f ca="1">IFERROR(__xludf.DUMMYFUNCTION("""COMPUTED_VALUE"""),100530)</f>
        <v>100530</v>
      </c>
      <c r="B3027" s="4">
        <f ca="1">IFERROR(__xludf.DUMMYFUNCTION("""COMPUTED_VALUE"""),44739)</f>
        <v>44739</v>
      </c>
      <c r="C3027" t="str">
        <f ca="1">IFERROR(__xludf.DUMMYFUNCTION("""COMPUTED_VALUE"""),"БУ Г. ОМСКА ""УДХБ"" 190-РДО ")</f>
        <v xml:space="preserve">БУ Г. ОМСКА "УДХБ" 190-РДО </v>
      </c>
      <c r="D30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7" t="str">
        <f ca="1">IFERROR(__xludf.DUMMYFUNCTION("""COMPUTED_VALUE"""),"Новый")</f>
        <v>Новый</v>
      </c>
      <c r="G3027" s="68"/>
      <c r="K3027" s="68"/>
    </row>
    <row r="3028" spans="1:17" ht="12.75">
      <c r="A3028" s="69">
        <f ca="1">IFERROR(__xludf.DUMMYFUNCTION("""COMPUTED_VALUE"""),100531)</f>
        <v>100531</v>
      </c>
      <c r="B3028" s="4">
        <f ca="1">IFERROR(__xludf.DUMMYFUNCTION("""COMPUTED_VALUE"""),44739)</f>
        <v>44739</v>
      </c>
      <c r="C3028" t="str">
        <f ca="1">IFERROR(__xludf.DUMMYFUNCTION("""COMPUTED_VALUE"""),"БУ Г. ОМСКА ""УДХБ"" 190-РДО ")</f>
        <v xml:space="preserve">БУ Г. ОМСКА "УДХБ" 190-РДО </v>
      </c>
      <c r="D30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8" t="str">
        <f ca="1">IFERROR(__xludf.DUMMYFUNCTION("""COMPUTED_VALUE"""),"Новый")</f>
        <v>Новый</v>
      </c>
      <c r="G3028" s="68"/>
      <c r="K3028" s="68"/>
    </row>
    <row r="3029" spans="1:17" ht="12.75">
      <c r="A3029" s="69">
        <f ca="1">IFERROR(__xludf.DUMMYFUNCTION("""COMPUTED_VALUE"""),100532)</f>
        <v>100532</v>
      </c>
      <c r="B3029" s="4">
        <f ca="1">IFERROR(__xludf.DUMMYFUNCTION("""COMPUTED_VALUE"""),44739)</f>
        <v>44739</v>
      </c>
      <c r="C3029" t="str">
        <f ca="1">IFERROR(__xludf.DUMMYFUNCTION("""COMPUTED_VALUE"""),"БУ Г. ОМСКА ""УДХБ"" 190-РДО ")</f>
        <v xml:space="preserve">БУ Г. ОМСКА "УДХБ" 190-РДО </v>
      </c>
      <c r="D30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29" t="str">
        <f ca="1">IFERROR(__xludf.DUMMYFUNCTION("""COMPUTED_VALUE"""),"Новый")</f>
        <v>Новый</v>
      </c>
      <c r="G3029" s="68"/>
      <c r="K3029" s="68"/>
    </row>
    <row r="3030" spans="1:17" ht="12.75">
      <c r="A3030" s="69">
        <f ca="1">IFERROR(__xludf.DUMMYFUNCTION("""COMPUTED_VALUE"""),100533)</f>
        <v>100533</v>
      </c>
      <c r="B3030" s="4">
        <f ca="1">IFERROR(__xludf.DUMMYFUNCTION("""COMPUTED_VALUE"""),44739)</f>
        <v>44739</v>
      </c>
      <c r="C3030" t="str">
        <f ca="1">IFERROR(__xludf.DUMMYFUNCTION("""COMPUTED_VALUE"""),"БУ Г. ОМСКА ""УДХБ"" 190-РДО ")</f>
        <v xml:space="preserve">БУ Г. ОМСКА "УДХБ" 190-РДО </v>
      </c>
      <c r="D30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0" t="str">
        <f ca="1">IFERROR(__xludf.DUMMYFUNCTION("""COMPUTED_VALUE"""),"Новый")</f>
        <v>Новый</v>
      </c>
      <c r="G3030" s="68"/>
      <c r="K3030" s="68"/>
    </row>
    <row r="3031" spans="1:17" ht="12.75">
      <c r="A3031" s="69">
        <f ca="1">IFERROR(__xludf.DUMMYFUNCTION("""COMPUTED_VALUE"""),100534)</f>
        <v>100534</v>
      </c>
      <c r="B3031" s="4">
        <f ca="1">IFERROR(__xludf.DUMMYFUNCTION("""COMPUTED_VALUE"""),44739)</f>
        <v>44739</v>
      </c>
      <c r="C3031" t="str">
        <f ca="1">IFERROR(__xludf.DUMMYFUNCTION("""COMPUTED_VALUE"""),"БУ Г. ОМСКА ""УДХБ"" 190-РДО ")</f>
        <v xml:space="preserve">БУ Г. ОМСКА "УДХБ" 190-РДО </v>
      </c>
      <c r="D30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1" t="str">
        <f ca="1">IFERROR(__xludf.DUMMYFUNCTION("""COMPUTED_VALUE"""),"Новый")</f>
        <v>Новый</v>
      </c>
      <c r="G3031" s="68"/>
      <c r="K3031" s="68"/>
    </row>
    <row r="3032" spans="1:17" ht="12.75">
      <c r="A3032" s="69">
        <f ca="1">IFERROR(__xludf.DUMMYFUNCTION("""COMPUTED_VALUE"""),100535)</f>
        <v>100535</v>
      </c>
      <c r="B3032" s="4">
        <f ca="1">IFERROR(__xludf.DUMMYFUNCTION("""COMPUTED_VALUE"""),44739)</f>
        <v>44739</v>
      </c>
      <c r="C3032" t="str">
        <f ca="1">IFERROR(__xludf.DUMMYFUNCTION("""COMPUTED_VALUE"""),"БУ Г. ОМСКА ""УДХБ"" 190-РДО ")</f>
        <v xml:space="preserve">БУ Г. ОМСКА "УДХБ" 190-РДО </v>
      </c>
      <c r="D30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2" t="str">
        <f ca="1">IFERROR(__xludf.DUMMYFUNCTION("""COMPUTED_VALUE"""),"Новый")</f>
        <v>Новый</v>
      </c>
      <c r="G3032" s="68"/>
      <c r="K3032" s="68"/>
    </row>
    <row r="3033" spans="1:17" ht="12.75">
      <c r="A3033" s="69">
        <f ca="1">IFERROR(__xludf.DUMMYFUNCTION("""COMPUTED_VALUE"""),100536)</f>
        <v>100536</v>
      </c>
      <c r="B3033" s="4">
        <f ca="1">IFERROR(__xludf.DUMMYFUNCTION("""COMPUTED_VALUE"""),44739)</f>
        <v>44739</v>
      </c>
      <c r="C3033" t="str">
        <f ca="1">IFERROR(__xludf.DUMMYFUNCTION("""COMPUTED_VALUE"""),"БУ Г. ОМСКА ""УДХБ"" 190-РДО ")</f>
        <v xml:space="preserve">БУ Г. ОМСКА "УДХБ" 190-РДО </v>
      </c>
      <c r="D30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3" t="str">
        <f ca="1">IFERROR(__xludf.DUMMYFUNCTION("""COMPUTED_VALUE"""),"Новый")</f>
        <v>Новый</v>
      </c>
      <c r="G3033" s="68"/>
      <c r="K3033" s="68"/>
    </row>
    <row r="3034" spans="1:17" ht="12.75">
      <c r="A3034" s="69">
        <f ca="1">IFERROR(__xludf.DUMMYFUNCTION("""COMPUTED_VALUE"""),100538)</f>
        <v>100538</v>
      </c>
      <c r="B3034" s="4">
        <f ca="1">IFERROR(__xludf.DUMMYFUNCTION("""COMPUTED_VALUE"""),44739)</f>
        <v>44739</v>
      </c>
      <c r="C3034" t="str">
        <f ca="1">IFERROR(__xludf.DUMMYFUNCTION("""COMPUTED_VALUE"""),"БУ Г. ОМСКА ""УДХБ"" 190-РДО ")</f>
        <v xml:space="preserve">БУ Г. ОМСКА "УДХБ" 190-РДО </v>
      </c>
      <c r="D30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4" t="str">
        <f ca="1">IFERROR(__xludf.DUMMYFUNCTION("""COMPUTED_VALUE"""),"Новый")</f>
        <v>Новый</v>
      </c>
      <c r="G3034" s="68"/>
      <c r="K3034" s="68"/>
    </row>
    <row r="3035" spans="1:17" ht="12.75">
      <c r="A3035" s="69">
        <f ca="1">IFERROR(__xludf.DUMMYFUNCTION("""COMPUTED_VALUE"""),100539)</f>
        <v>100539</v>
      </c>
      <c r="B3035" s="4">
        <f ca="1">IFERROR(__xludf.DUMMYFUNCTION("""COMPUTED_VALUE"""),44739)</f>
        <v>44739</v>
      </c>
      <c r="C3035" t="str">
        <f ca="1">IFERROR(__xludf.DUMMYFUNCTION("""COMPUTED_VALUE"""),"БУ Г. ОМСКА ""УДХБ"" 190-РДО ")</f>
        <v xml:space="preserve">БУ Г. ОМСКА "УДХБ" 190-РДО </v>
      </c>
      <c r="D30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5" t="str">
        <f ca="1">IFERROR(__xludf.DUMMYFUNCTION("""COMPUTED_VALUE"""),"Новый")</f>
        <v>Новый</v>
      </c>
      <c r="G3035" s="68"/>
      <c r="K3035" s="68"/>
    </row>
    <row r="3036" spans="1:17" ht="12.75">
      <c r="A3036" s="69">
        <f ca="1">IFERROR(__xludf.DUMMYFUNCTION("""COMPUTED_VALUE"""),100573)</f>
        <v>100573</v>
      </c>
      <c r="B3036" s="4">
        <f ca="1">IFERROR(__xludf.DUMMYFUNCTION("""COMPUTED_VALUE"""),44740)</f>
        <v>44740</v>
      </c>
      <c r="C3036" t="str">
        <f ca="1">IFERROR(__xludf.DUMMYFUNCTION("""COMPUTED_VALUE"""),"БУ Г. ОМСКА ""УДХБ"" 190-РДО ")</f>
        <v xml:space="preserve">БУ Г. ОМСКА "УДХБ" 190-РДО </v>
      </c>
      <c r="D30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6" t="str">
        <f ca="1">IFERROR(__xludf.DUMMYFUNCTION("""COMPUTED_VALUE"""),"Открыт")</f>
        <v>Открыт</v>
      </c>
      <c r="F3036" t="str">
        <f ca="1">IFERROR(__xludf.DUMMYFUNCTION("""COMPUTED_VALUE"""),"Ленинский полигон")</f>
        <v>Ленинский полигон</v>
      </c>
      <c r="G3036" s="68">
        <f ca="1">IFERROR(__xludf.DUMMYFUNCTION("""COMPUTED_VALUE"""),44782.651903287)</f>
        <v>44782.651903286998</v>
      </c>
      <c r="H3036" t="str">
        <f ca="1">IFERROR(__xludf.DUMMYFUNCTION("""COMPUTED_VALUE"""),"т156нс")</f>
        <v>т156нс</v>
      </c>
      <c r="I3036">
        <f ca="1">IFERROR(__xludf.DUMMYFUNCTION("""COMPUTED_VALUE"""),14240)</f>
        <v>14240</v>
      </c>
      <c r="K3036" s="68"/>
      <c r="N3036">
        <f ca="1">IFERROR(__xludf.DUMMYFUNCTION("""COMPUTED_VALUE"""),0)</f>
        <v>0</v>
      </c>
      <c r="Q3036" t="str">
        <f ca="1">IFERROR(__xludf.DUMMYFUNCTION("""COMPUTED_VALUE"""),"Другое")</f>
        <v>Другое</v>
      </c>
    </row>
    <row r="3037" spans="1:17" ht="12.75">
      <c r="A3037" s="69">
        <f ca="1">IFERROR(__xludf.DUMMYFUNCTION("""COMPUTED_VALUE"""),100586)</f>
        <v>100586</v>
      </c>
      <c r="B3037" s="4">
        <f ca="1">IFERROR(__xludf.DUMMYFUNCTION("""COMPUTED_VALUE"""),44740)</f>
        <v>44740</v>
      </c>
      <c r="C3037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7" t="str">
        <f ca="1">IFERROR(__xludf.DUMMYFUNCTION("""COMPUTED_VALUE"""),"Новый")</f>
        <v>Новый</v>
      </c>
      <c r="G3037" s="68"/>
      <c r="K3037" s="68"/>
    </row>
    <row r="3038" spans="1:17" ht="12.75">
      <c r="A3038" s="69">
        <f ca="1">IFERROR(__xludf.DUMMYFUNCTION("""COMPUTED_VALUE"""),100587)</f>
        <v>100587</v>
      </c>
      <c r="B3038" s="4">
        <f ca="1">IFERROR(__xludf.DUMMYFUNCTION("""COMPUTED_VALUE"""),44740)</f>
        <v>44740</v>
      </c>
      <c r="C3038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8" t="str">
        <f ca="1">IFERROR(__xludf.DUMMYFUNCTION("""COMPUTED_VALUE"""),"Новый")</f>
        <v>Новый</v>
      </c>
      <c r="G3038" s="68"/>
      <c r="K3038" s="68"/>
    </row>
    <row r="3039" spans="1:17" ht="12.75">
      <c r="A3039" s="69">
        <f ca="1">IFERROR(__xludf.DUMMYFUNCTION("""COMPUTED_VALUE"""),100588)</f>
        <v>100588</v>
      </c>
      <c r="B3039" s="4">
        <f ca="1">IFERROR(__xludf.DUMMYFUNCTION("""COMPUTED_VALUE"""),44740)</f>
        <v>44740</v>
      </c>
      <c r="C3039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39" t="str">
        <f ca="1">IFERROR(__xludf.DUMMYFUNCTION("""COMPUTED_VALUE"""),"Новый")</f>
        <v>Новый</v>
      </c>
      <c r="G3039" s="68"/>
      <c r="K3039" s="68"/>
    </row>
    <row r="3040" spans="1:17" ht="12.75">
      <c r="A3040" s="69">
        <f ca="1">IFERROR(__xludf.DUMMYFUNCTION("""COMPUTED_VALUE"""),100589)</f>
        <v>100589</v>
      </c>
      <c r="B3040" s="4">
        <f ca="1">IFERROR(__xludf.DUMMYFUNCTION("""COMPUTED_VALUE"""),44740)</f>
        <v>44740</v>
      </c>
      <c r="C3040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0" t="str">
        <f ca="1">IFERROR(__xludf.DUMMYFUNCTION("""COMPUTED_VALUE"""),"Новый")</f>
        <v>Новый</v>
      </c>
      <c r="G3040" s="68"/>
      <c r="K3040" s="68"/>
    </row>
    <row r="3041" spans="1:11" ht="12.75">
      <c r="A3041" s="69">
        <f ca="1">IFERROR(__xludf.DUMMYFUNCTION("""COMPUTED_VALUE"""),100590)</f>
        <v>100590</v>
      </c>
      <c r="B3041" s="4">
        <f ca="1">IFERROR(__xludf.DUMMYFUNCTION("""COMPUTED_VALUE"""),44740)</f>
        <v>44740</v>
      </c>
      <c r="C3041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1" t="str">
        <f ca="1">IFERROR(__xludf.DUMMYFUNCTION("""COMPUTED_VALUE"""),"Новый")</f>
        <v>Новый</v>
      </c>
      <c r="G3041" s="68"/>
      <c r="K3041" s="68"/>
    </row>
    <row r="3042" spans="1:11" ht="12.75">
      <c r="A3042" s="69">
        <f ca="1">IFERROR(__xludf.DUMMYFUNCTION("""COMPUTED_VALUE"""),100591)</f>
        <v>100591</v>
      </c>
      <c r="B3042" s="4">
        <f ca="1">IFERROR(__xludf.DUMMYFUNCTION("""COMPUTED_VALUE"""),44740)</f>
        <v>44740</v>
      </c>
      <c r="C3042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2" t="str">
        <f ca="1">IFERROR(__xludf.DUMMYFUNCTION("""COMPUTED_VALUE"""),"Новый")</f>
        <v>Новый</v>
      </c>
      <c r="G3042" s="68"/>
      <c r="K3042" s="68"/>
    </row>
    <row r="3043" spans="1:11" ht="12.75">
      <c r="A3043" s="69">
        <f ca="1">IFERROR(__xludf.DUMMYFUNCTION("""COMPUTED_VALUE"""),100592)</f>
        <v>100592</v>
      </c>
      <c r="B3043" s="4">
        <f ca="1">IFERROR(__xludf.DUMMYFUNCTION("""COMPUTED_VALUE"""),44740)</f>
        <v>44740</v>
      </c>
      <c r="C3043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3" t="str">
        <f ca="1">IFERROR(__xludf.DUMMYFUNCTION("""COMPUTED_VALUE"""),"Новый")</f>
        <v>Новый</v>
      </c>
      <c r="G3043" s="68"/>
      <c r="K3043" s="68"/>
    </row>
    <row r="3044" spans="1:11" ht="12.75">
      <c r="A3044" s="69">
        <f ca="1">IFERROR(__xludf.DUMMYFUNCTION("""COMPUTED_VALUE"""),100593)</f>
        <v>100593</v>
      </c>
      <c r="B3044" s="4">
        <f ca="1">IFERROR(__xludf.DUMMYFUNCTION("""COMPUTED_VALUE"""),44740)</f>
        <v>44740</v>
      </c>
      <c r="C3044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4" t="str">
        <f ca="1">IFERROR(__xludf.DUMMYFUNCTION("""COMPUTED_VALUE"""),"Новый")</f>
        <v>Новый</v>
      </c>
      <c r="G3044" s="68"/>
      <c r="K3044" s="68"/>
    </row>
    <row r="3045" spans="1:11" ht="12.75">
      <c r="A3045" s="69">
        <f ca="1">IFERROR(__xludf.DUMMYFUNCTION("""COMPUTED_VALUE"""),100594)</f>
        <v>100594</v>
      </c>
      <c r="B3045" s="4">
        <f ca="1">IFERROR(__xludf.DUMMYFUNCTION("""COMPUTED_VALUE"""),44740)</f>
        <v>44740</v>
      </c>
      <c r="C3045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5" t="str">
        <f ca="1">IFERROR(__xludf.DUMMYFUNCTION("""COMPUTED_VALUE"""),"Новый")</f>
        <v>Новый</v>
      </c>
      <c r="G3045" s="68"/>
      <c r="K3045" s="68"/>
    </row>
    <row r="3046" spans="1:11" ht="12.75">
      <c r="A3046" s="69">
        <f ca="1">IFERROR(__xludf.DUMMYFUNCTION("""COMPUTED_VALUE"""),100595)</f>
        <v>100595</v>
      </c>
      <c r="B3046" s="4">
        <f ca="1">IFERROR(__xludf.DUMMYFUNCTION("""COMPUTED_VALUE"""),44740)</f>
        <v>44740</v>
      </c>
      <c r="C3046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6" t="str">
        <f ca="1">IFERROR(__xludf.DUMMYFUNCTION("""COMPUTED_VALUE"""),"Новый")</f>
        <v>Новый</v>
      </c>
      <c r="G3046" s="68"/>
      <c r="K3046" s="68"/>
    </row>
    <row r="3047" spans="1:11" ht="12.75">
      <c r="A3047" s="69">
        <f ca="1">IFERROR(__xludf.DUMMYFUNCTION("""COMPUTED_VALUE"""),100596)</f>
        <v>100596</v>
      </c>
      <c r="B3047" s="4">
        <f ca="1">IFERROR(__xludf.DUMMYFUNCTION("""COMPUTED_VALUE"""),44740)</f>
        <v>44740</v>
      </c>
      <c r="C3047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7" t="str">
        <f ca="1">IFERROR(__xludf.DUMMYFUNCTION("""COMPUTED_VALUE"""),"Новый")</f>
        <v>Новый</v>
      </c>
      <c r="G3047" s="68"/>
      <c r="K3047" s="68"/>
    </row>
    <row r="3048" spans="1:11" ht="12.75">
      <c r="A3048" s="69">
        <f ca="1">IFERROR(__xludf.DUMMYFUNCTION("""COMPUTED_VALUE"""),100597)</f>
        <v>100597</v>
      </c>
      <c r="B3048" s="4">
        <f ca="1">IFERROR(__xludf.DUMMYFUNCTION("""COMPUTED_VALUE"""),44740)</f>
        <v>44740</v>
      </c>
      <c r="C3048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8" t="str">
        <f ca="1">IFERROR(__xludf.DUMMYFUNCTION("""COMPUTED_VALUE"""),"Новый")</f>
        <v>Новый</v>
      </c>
      <c r="G3048" s="68"/>
      <c r="K3048" s="68"/>
    </row>
    <row r="3049" spans="1:11" ht="12.75">
      <c r="A3049" s="69">
        <f ca="1">IFERROR(__xludf.DUMMYFUNCTION("""COMPUTED_VALUE"""),100598)</f>
        <v>100598</v>
      </c>
      <c r="B3049" s="4">
        <f ca="1">IFERROR(__xludf.DUMMYFUNCTION("""COMPUTED_VALUE"""),44740)</f>
        <v>44740</v>
      </c>
      <c r="C3049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49" t="str">
        <f ca="1">IFERROR(__xludf.DUMMYFUNCTION("""COMPUTED_VALUE"""),"Новый")</f>
        <v>Новый</v>
      </c>
      <c r="G3049" s="68"/>
      <c r="K3049" s="68"/>
    </row>
    <row r="3050" spans="1:11" ht="12.75">
      <c r="A3050" s="69">
        <f ca="1">IFERROR(__xludf.DUMMYFUNCTION("""COMPUTED_VALUE"""),100599)</f>
        <v>100599</v>
      </c>
      <c r="B3050" s="4">
        <f ca="1">IFERROR(__xludf.DUMMYFUNCTION("""COMPUTED_VALUE"""),44740)</f>
        <v>44740</v>
      </c>
      <c r="C3050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0" t="str">
        <f ca="1">IFERROR(__xludf.DUMMYFUNCTION("""COMPUTED_VALUE"""),"Новый")</f>
        <v>Новый</v>
      </c>
      <c r="G3050" s="68"/>
      <c r="K3050" s="68"/>
    </row>
    <row r="3051" spans="1:11" ht="12.75">
      <c r="A3051" s="69">
        <f ca="1">IFERROR(__xludf.DUMMYFUNCTION("""COMPUTED_VALUE"""),100600)</f>
        <v>100600</v>
      </c>
      <c r="B3051" s="4">
        <f ca="1">IFERROR(__xludf.DUMMYFUNCTION("""COMPUTED_VALUE"""),44740)</f>
        <v>44740</v>
      </c>
      <c r="C3051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1" t="str">
        <f ca="1">IFERROR(__xludf.DUMMYFUNCTION("""COMPUTED_VALUE"""),"Новый")</f>
        <v>Новый</v>
      </c>
      <c r="G3051" s="68"/>
      <c r="K3051" s="68"/>
    </row>
    <row r="3052" spans="1:11" ht="12.75">
      <c r="A3052" s="69">
        <f ca="1">IFERROR(__xludf.DUMMYFUNCTION("""COMPUTED_VALUE"""),100601)</f>
        <v>100601</v>
      </c>
      <c r="B3052" s="4">
        <f ca="1">IFERROR(__xludf.DUMMYFUNCTION("""COMPUTED_VALUE"""),44740)</f>
        <v>44740</v>
      </c>
      <c r="C3052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2" t="str">
        <f ca="1">IFERROR(__xludf.DUMMYFUNCTION("""COMPUTED_VALUE"""),"Новый")</f>
        <v>Новый</v>
      </c>
      <c r="G3052" s="68"/>
      <c r="K3052" s="68"/>
    </row>
    <row r="3053" spans="1:11" ht="12.75">
      <c r="A3053" s="69">
        <f ca="1">IFERROR(__xludf.DUMMYFUNCTION("""COMPUTED_VALUE"""),100602)</f>
        <v>100602</v>
      </c>
      <c r="B3053" s="4">
        <f ca="1">IFERROR(__xludf.DUMMYFUNCTION("""COMPUTED_VALUE"""),44740)</f>
        <v>44740</v>
      </c>
      <c r="C3053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3" t="str">
        <f ca="1">IFERROR(__xludf.DUMMYFUNCTION("""COMPUTED_VALUE"""),"Новый")</f>
        <v>Новый</v>
      </c>
      <c r="G3053" s="68"/>
      <c r="K3053" s="68"/>
    </row>
    <row r="3054" spans="1:11" ht="12.75">
      <c r="A3054" s="69">
        <f ca="1">IFERROR(__xludf.DUMMYFUNCTION("""COMPUTED_VALUE"""),100603)</f>
        <v>100603</v>
      </c>
      <c r="B3054" s="4">
        <f ca="1">IFERROR(__xludf.DUMMYFUNCTION("""COMPUTED_VALUE"""),44740)</f>
        <v>44740</v>
      </c>
      <c r="C3054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4" t="str">
        <f ca="1">IFERROR(__xludf.DUMMYFUNCTION("""COMPUTED_VALUE"""),"Новый")</f>
        <v>Новый</v>
      </c>
      <c r="G3054" s="68"/>
      <c r="K3054" s="68"/>
    </row>
    <row r="3055" spans="1:11" ht="12.75">
      <c r="A3055" s="69">
        <f ca="1">IFERROR(__xludf.DUMMYFUNCTION("""COMPUTED_VALUE"""),100604)</f>
        <v>100604</v>
      </c>
      <c r="B3055" s="4">
        <f ca="1">IFERROR(__xludf.DUMMYFUNCTION("""COMPUTED_VALUE"""),44740)</f>
        <v>44740</v>
      </c>
      <c r="C3055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5" t="str">
        <f ca="1">IFERROR(__xludf.DUMMYFUNCTION("""COMPUTED_VALUE"""),"Новый")</f>
        <v>Новый</v>
      </c>
      <c r="G3055" s="68"/>
      <c r="K3055" s="68"/>
    </row>
    <row r="3056" spans="1:11" ht="12.75">
      <c r="A3056" s="69">
        <f ca="1">IFERROR(__xludf.DUMMYFUNCTION("""COMPUTED_VALUE"""),100605)</f>
        <v>100605</v>
      </c>
      <c r="B3056" s="4">
        <f ca="1">IFERROR(__xludf.DUMMYFUNCTION("""COMPUTED_VALUE"""),44740)</f>
        <v>44740</v>
      </c>
      <c r="C3056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6" t="str">
        <f ca="1">IFERROR(__xludf.DUMMYFUNCTION("""COMPUTED_VALUE"""),"Новый")</f>
        <v>Новый</v>
      </c>
      <c r="G3056" s="68"/>
      <c r="K3056" s="68"/>
    </row>
    <row r="3057" spans="1:11" ht="12.75">
      <c r="A3057" s="69">
        <f ca="1">IFERROR(__xludf.DUMMYFUNCTION("""COMPUTED_VALUE"""),100606)</f>
        <v>100606</v>
      </c>
      <c r="B3057" s="4">
        <f ca="1">IFERROR(__xludf.DUMMYFUNCTION("""COMPUTED_VALUE"""),44740)</f>
        <v>44740</v>
      </c>
      <c r="C3057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7" t="str">
        <f ca="1">IFERROR(__xludf.DUMMYFUNCTION("""COMPUTED_VALUE"""),"Новый")</f>
        <v>Новый</v>
      </c>
      <c r="G3057" s="68"/>
      <c r="K3057" s="68"/>
    </row>
    <row r="3058" spans="1:11" ht="12.75">
      <c r="A3058" s="69">
        <f ca="1">IFERROR(__xludf.DUMMYFUNCTION("""COMPUTED_VALUE"""),100607)</f>
        <v>100607</v>
      </c>
      <c r="B3058" s="4">
        <f ca="1">IFERROR(__xludf.DUMMYFUNCTION("""COMPUTED_VALUE"""),44740)</f>
        <v>44740</v>
      </c>
      <c r="C3058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8" t="str">
        <f ca="1">IFERROR(__xludf.DUMMYFUNCTION("""COMPUTED_VALUE"""),"Новый")</f>
        <v>Новый</v>
      </c>
      <c r="G3058" s="68"/>
      <c r="K3058" s="68"/>
    </row>
    <row r="3059" spans="1:11" ht="12.75">
      <c r="A3059" s="69">
        <f ca="1">IFERROR(__xludf.DUMMYFUNCTION("""COMPUTED_VALUE"""),100608)</f>
        <v>100608</v>
      </c>
      <c r="B3059" s="4">
        <f ca="1">IFERROR(__xludf.DUMMYFUNCTION("""COMPUTED_VALUE"""),44740)</f>
        <v>44740</v>
      </c>
      <c r="C3059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59" t="str">
        <f ca="1">IFERROR(__xludf.DUMMYFUNCTION("""COMPUTED_VALUE"""),"Новый")</f>
        <v>Новый</v>
      </c>
      <c r="G3059" s="68"/>
      <c r="K3059" s="68"/>
    </row>
    <row r="3060" spans="1:11" ht="12.75">
      <c r="A3060" s="69">
        <f ca="1">IFERROR(__xludf.DUMMYFUNCTION("""COMPUTED_VALUE"""),100609)</f>
        <v>100609</v>
      </c>
      <c r="B3060" s="4">
        <f ca="1">IFERROR(__xludf.DUMMYFUNCTION("""COMPUTED_VALUE"""),44740)</f>
        <v>44740</v>
      </c>
      <c r="C3060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0" t="str">
        <f ca="1">IFERROR(__xludf.DUMMYFUNCTION("""COMPUTED_VALUE"""),"Новый")</f>
        <v>Новый</v>
      </c>
      <c r="G3060" s="68"/>
      <c r="K3060" s="68"/>
    </row>
    <row r="3061" spans="1:11" ht="12.75">
      <c r="A3061" s="69">
        <f ca="1">IFERROR(__xludf.DUMMYFUNCTION("""COMPUTED_VALUE"""),100610)</f>
        <v>100610</v>
      </c>
      <c r="B3061" s="4">
        <f ca="1">IFERROR(__xludf.DUMMYFUNCTION("""COMPUTED_VALUE"""),44740)</f>
        <v>44740</v>
      </c>
      <c r="C3061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1" t="str">
        <f ca="1">IFERROR(__xludf.DUMMYFUNCTION("""COMPUTED_VALUE"""),"Новый")</f>
        <v>Новый</v>
      </c>
      <c r="G3061" s="68"/>
      <c r="K3061" s="68"/>
    </row>
    <row r="3062" spans="1:11" ht="12.75">
      <c r="A3062" s="69">
        <f ca="1">IFERROR(__xludf.DUMMYFUNCTION("""COMPUTED_VALUE"""),100611)</f>
        <v>100611</v>
      </c>
      <c r="B3062" s="4">
        <f ca="1">IFERROR(__xludf.DUMMYFUNCTION("""COMPUTED_VALUE"""),44740)</f>
        <v>44740</v>
      </c>
      <c r="C3062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2" t="str">
        <f ca="1">IFERROR(__xludf.DUMMYFUNCTION("""COMPUTED_VALUE"""),"Новый")</f>
        <v>Новый</v>
      </c>
      <c r="G3062" s="68"/>
      <c r="K3062" s="68"/>
    </row>
    <row r="3063" spans="1:11" ht="12.75">
      <c r="A3063" s="69">
        <f ca="1">IFERROR(__xludf.DUMMYFUNCTION("""COMPUTED_VALUE"""),100612)</f>
        <v>100612</v>
      </c>
      <c r="B3063" s="4">
        <f ca="1">IFERROR(__xludf.DUMMYFUNCTION("""COMPUTED_VALUE"""),44740)</f>
        <v>44740</v>
      </c>
      <c r="C3063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3" t="str">
        <f ca="1">IFERROR(__xludf.DUMMYFUNCTION("""COMPUTED_VALUE"""),"Новый")</f>
        <v>Новый</v>
      </c>
      <c r="G3063" s="68"/>
      <c r="K3063" s="68"/>
    </row>
    <row r="3064" spans="1:11" ht="12.75">
      <c r="A3064" s="69">
        <f ca="1">IFERROR(__xludf.DUMMYFUNCTION("""COMPUTED_VALUE"""),100613)</f>
        <v>100613</v>
      </c>
      <c r="B3064" s="4">
        <f ca="1">IFERROR(__xludf.DUMMYFUNCTION("""COMPUTED_VALUE"""),44740)</f>
        <v>44740</v>
      </c>
      <c r="C3064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4" t="str">
        <f ca="1">IFERROR(__xludf.DUMMYFUNCTION("""COMPUTED_VALUE"""),"Новый")</f>
        <v>Новый</v>
      </c>
      <c r="G3064" s="68"/>
      <c r="K3064" s="68"/>
    </row>
    <row r="3065" spans="1:11" ht="12.75">
      <c r="A3065" s="69">
        <f ca="1">IFERROR(__xludf.DUMMYFUNCTION("""COMPUTED_VALUE"""),100614)</f>
        <v>100614</v>
      </c>
      <c r="B3065" s="4">
        <f ca="1">IFERROR(__xludf.DUMMYFUNCTION("""COMPUTED_VALUE"""),44740)</f>
        <v>44740</v>
      </c>
      <c r="C3065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5" t="str">
        <f ca="1">IFERROR(__xludf.DUMMYFUNCTION("""COMPUTED_VALUE"""),"Новый")</f>
        <v>Новый</v>
      </c>
      <c r="G3065" s="68"/>
      <c r="K3065" s="68"/>
    </row>
    <row r="3066" spans="1:11" ht="12.75">
      <c r="A3066" s="69">
        <f ca="1">IFERROR(__xludf.DUMMYFUNCTION("""COMPUTED_VALUE"""),100615)</f>
        <v>100615</v>
      </c>
      <c r="B3066" s="4">
        <f ca="1">IFERROR(__xludf.DUMMYFUNCTION("""COMPUTED_VALUE"""),44740)</f>
        <v>44740</v>
      </c>
      <c r="C3066" t="str">
        <f ca="1">IFERROR(__xludf.DUMMYFUNCTION("""COMPUTED_VALUE"""),"ИП Игнатченко Оксана Александровна 196-РДО от 28.06.2022")</f>
        <v>ИП Игнатченко Оксана Александровна 196-РДО от 28.06.2022</v>
      </c>
      <c r="D30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066" t="str">
        <f ca="1">IFERROR(__xludf.DUMMYFUNCTION("""COMPUTED_VALUE"""),"Новый")</f>
        <v>Новый</v>
      </c>
      <c r="G3066" s="68"/>
      <c r="K3066" s="68"/>
    </row>
    <row r="3067" spans="1:11" ht="12.75">
      <c r="A3067" s="69">
        <f ca="1">IFERROR(__xludf.DUMMYFUNCTION("""COMPUTED_VALUE"""),100616)</f>
        <v>100616</v>
      </c>
      <c r="B3067" s="4">
        <f ca="1">IFERROR(__xludf.DUMMYFUNCTION("""COMPUTED_VALUE"""),44740)</f>
        <v>44740</v>
      </c>
      <c r="C3067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67" t="str">
        <f ca="1">IFERROR(__xludf.DUMMYFUNCTION("""COMPUTED_VALUE"""),"Новый")</f>
        <v>Новый</v>
      </c>
      <c r="G3067" s="68"/>
      <c r="K3067" s="68"/>
    </row>
    <row r="3068" spans="1:11" ht="12.75">
      <c r="A3068" s="69">
        <f ca="1">IFERROR(__xludf.DUMMYFUNCTION("""COMPUTED_VALUE"""),100617)</f>
        <v>100617</v>
      </c>
      <c r="B3068" s="4">
        <f ca="1">IFERROR(__xludf.DUMMYFUNCTION("""COMPUTED_VALUE"""),44740)</f>
        <v>44740</v>
      </c>
      <c r="C3068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68" t="str">
        <f ca="1">IFERROR(__xludf.DUMMYFUNCTION("""COMPUTED_VALUE"""),"Новый")</f>
        <v>Новый</v>
      </c>
      <c r="G3068" s="68"/>
      <c r="K3068" s="68"/>
    </row>
    <row r="3069" spans="1:11" ht="12.75">
      <c r="A3069" s="69">
        <f ca="1">IFERROR(__xludf.DUMMYFUNCTION("""COMPUTED_VALUE"""),100618)</f>
        <v>100618</v>
      </c>
      <c r="B3069" s="4">
        <f ca="1">IFERROR(__xludf.DUMMYFUNCTION("""COMPUTED_VALUE"""),44740)</f>
        <v>44740</v>
      </c>
      <c r="C3069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69" t="str">
        <f ca="1">IFERROR(__xludf.DUMMYFUNCTION("""COMPUTED_VALUE"""),"Новый")</f>
        <v>Новый</v>
      </c>
      <c r="G3069" s="68"/>
      <c r="K3069" s="68"/>
    </row>
    <row r="3070" spans="1:11" ht="12.75">
      <c r="A3070" s="69">
        <f ca="1">IFERROR(__xludf.DUMMYFUNCTION("""COMPUTED_VALUE"""),100619)</f>
        <v>100619</v>
      </c>
      <c r="B3070" s="4">
        <f ca="1">IFERROR(__xludf.DUMMYFUNCTION("""COMPUTED_VALUE"""),44740)</f>
        <v>44740</v>
      </c>
      <c r="C3070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0" t="str">
        <f ca="1">IFERROR(__xludf.DUMMYFUNCTION("""COMPUTED_VALUE"""),"Новый")</f>
        <v>Новый</v>
      </c>
      <c r="G3070" s="68"/>
      <c r="K3070" s="68"/>
    </row>
    <row r="3071" spans="1:11" ht="12.75">
      <c r="A3071" s="69">
        <f ca="1">IFERROR(__xludf.DUMMYFUNCTION("""COMPUTED_VALUE"""),100620)</f>
        <v>100620</v>
      </c>
      <c r="B3071" s="4">
        <f ca="1">IFERROR(__xludf.DUMMYFUNCTION("""COMPUTED_VALUE"""),44740)</f>
        <v>44740</v>
      </c>
      <c r="C3071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1" t="str">
        <f ca="1">IFERROR(__xludf.DUMMYFUNCTION("""COMPUTED_VALUE"""),"Новый")</f>
        <v>Новый</v>
      </c>
      <c r="G3071" s="68"/>
      <c r="K3071" s="68"/>
    </row>
    <row r="3072" spans="1:11" ht="12.75">
      <c r="A3072" s="69">
        <f ca="1">IFERROR(__xludf.DUMMYFUNCTION("""COMPUTED_VALUE"""),100621)</f>
        <v>100621</v>
      </c>
      <c r="B3072" s="4">
        <f ca="1">IFERROR(__xludf.DUMMYFUNCTION("""COMPUTED_VALUE"""),44740)</f>
        <v>44740</v>
      </c>
      <c r="C3072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2" t="str">
        <f ca="1">IFERROR(__xludf.DUMMYFUNCTION("""COMPUTED_VALUE"""),"Новый")</f>
        <v>Новый</v>
      </c>
      <c r="G3072" s="68"/>
      <c r="K3072" s="68"/>
    </row>
    <row r="3073" spans="1:11" ht="12.75">
      <c r="A3073" s="69">
        <f ca="1">IFERROR(__xludf.DUMMYFUNCTION("""COMPUTED_VALUE"""),100622)</f>
        <v>100622</v>
      </c>
      <c r="B3073" s="4">
        <f ca="1">IFERROR(__xludf.DUMMYFUNCTION("""COMPUTED_VALUE"""),44740)</f>
        <v>44740</v>
      </c>
      <c r="C3073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3" t="str">
        <f ca="1">IFERROR(__xludf.DUMMYFUNCTION("""COMPUTED_VALUE"""),"Новый")</f>
        <v>Новый</v>
      </c>
      <c r="G3073" s="68"/>
      <c r="K3073" s="68"/>
    </row>
    <row r="3074" spans="1:11" ht="12.75">
      <c r="A3074" s="69">
        <f ca="1">IFERROR(__xludf.DUMMYFUNCTION("""COMPUTED_VALUE"""),100623)</f>
        <v>100623</v>
      </c>
      <c r="B3074" s="4">
        <f ca="1">IFERROR(__xludf.DUMMYFUNCTION("""COMPUTED_VALUE"""),44740)</f>
        <v>44740</v>
      </c>
      <c r="C3074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4" t="str">
        <f ca="1">IFERROR(__xludf.DUMMYFUNCTION("""COMPUTED_VALUE"""),"Новый")</f>
        <v>Новый</v>
      </c>
      <c r="G3074" s="68"/>
      <c r="K3074" s="68"/>
    </row>
    <row r="3075" spans="1:11" ht="12.75">
      <c r="A3075" s="69">
        <f ca="1">IFERROR(__xludf.DUMMYFUNCTION("""COMPUTED_VALUE"""),100624)</f>
        <v>100624</v>
      </c>
      <c r="B3075" s="4">
        <f ca="1">IFERROR(__xludf.DUMMYFUNCTION("""COMPUTED_VALUE"""),44740)</f>
        <v>44740</v>
      </c>
      <c r="C3075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5" t="str">
        <f ca="1">IFERROR(__xludf.DUMMYFUNCTION("""COMPUTED_VALUE"""),"Новый")</f>
        <v>Новый</v>
      </c>
      <c r="G3075" s="68"/>
      <c r="K3075" s="68"/>
    </row>
    <row r="3076" spans="1:11" ht="12.75">
      <c r="A3076" s="69">
        <f ca="1">IFERROR(__xludf.DUMMYFUNCTION("""COMPUTED_VALUE"""),100625)</f>
        <v>100625</v>
      </c>
      <c r="B3076" s="4">
        <f ca="1">IFERROR(__xludf.DUMMYFUNCTION("""COMPUTED_VALUE"""),44740)</f>
        <v>44740</v>
      </c>
      <c r="C3076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6" t="str">
        <f ca="1">IFERROR(__xludf.DUMMYFUNCTION("""COMPUTED_VALUE"""),"Новый")</f>
        <v>Новый</v>
      </c>
      <c r="G3076" s="68"/>
      <c r="K3076" s="68"/>
    </row>
    <row r="3077" spans="1:11" ht="12.75">
      <c r="A3077" s="69">
        <f ca="1">IFERROR(__xludf.DUMMYFUNCTION("""COMPUTED_VALUE"""),100626)</f>
        <v>100626</v>
      </c>
      <c r="B3077" s="4">
        <f ca="1">IFERROR(__xludf.DUMMYFUNCTION("""COMPUTED_VALUE"""),44740)</f>
        <v>44740</v>
      </c>
      <c r="C3077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7" t="str">
        <f ca="1">IFERROR(__xludf.DUMMYFUNCTION("""COMPUTED_VALUE"""),"Новый")</f>
        <v>Новый</v>
      </c>
      <c r="G3077" s="68"/>
      <c r="K3077" s="68"/>
    </row>
    <row r="3078" spans="1:11" ht="12.75">
      <c r="A3078" s="69">
        <f ca="1">IFERROR(__xludf.DUMMYFUNCTION("""COMPUTED_VALUE"""),100627)</f>
        <v>100627</v>
      </c>
      <c r="B3078" s="4">
        <f ca="1">IFERROR(__xludf.DUMMYFUNCTION("""COMPUTED_VALUE"""),44740)</f>
        <v>44740</v>
      </c>
      <c r="C3078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8" t="str">
        <f ca="1">IFERROR(__xludf.DUMMYFUNCTION("""COMPUTED_VALUE"""),"Новый")</f>
        <v>Новый</v>
      </c>
      <c r="G3078" s="68"/>
      <c r="K3078" s="68"/>
    </row>
    <row r="3079" spans="1:11" ht="12.75">
      <c r="A3079" s="69">
        <f ca="1">IFERROR(__xludf.DUMMYFUNCTION("""COMPUTED_VALUE"""),100628)</f>
        <v>100628</v>
      </c>
      <c r="B3079" s="4">
        <f ca="1">IFERROR(__xludf.DUMMYFUNCTION("""COMPUTED_VALUE"""),44740)</f>
        <v>44740</v>
      </c>
      <c r="C3079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79" t="str">
        <f ca="1">IFERROR(__xludf.DUMMYFUNCTION("""COMPUTED_VALUE"""),"Новый")</f>
        <v>Новый</v>
      </c>
      <c r="G3079" s="68"/>
      <c r="K3079" s="68"/>
    </row>
    <row r="3080" spans="1:11" ht="12.75">
      <c r="A3080" s="69">
        <f ca="1">IFERROR(__xludf.DUMMYFUNCTION("""COMPUTED_VALUE"""),100629)</f>
        <v>100629</v>
      </c>
      <c r="B3080" s="4">
        <f ca="1">IFERROR(__xludf.DUMMYFUNCTION("""COMPUTED_VALUE"""),44740)</f>
        <v>44740</v>
      </c>
      <c r="C3080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0" t="str">
        <f ca="1">IFERROR(__xludf.DUMMYFUNCTION("""COMPUTED_VALUE"""),"Новый")</f>
        <v>Новый</v>
      </c>
      <c r="G3080" s="68"/>
      <c r="K3080" s="68"/>
    </row>
    <row r="3081" spans="1:11" ht="12.75">
      <c r="A3081" s="69">
        <f ca="1">IFERROR(__xludf.DUMMYFUNCTION("""COMPUTED_VALUE"""),100630)</f>
        <v>100630</v>
      </c>
      <c r="B3081" s="4">
        <f ca="1">IFERROR(__xludf.DUMMYFUNCTION("""COMPUTED_VALUE"""),44740)</f>
        <v>44740</v>
      </c>
      <c r="C3081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1" t="str">
        <f ca="1">IFERROR(__xludf.DUMMYFUNCTION("""COMPUTED_VALUE"""),"Новый")</f>
        <v>Новый</v>
      </c>
      <c r="G3081" s="68"/>
      <c r="K3081" s="68"/>
    </row>
    <row r="3082" spans="1:11" ht="12.75">
      <c r="A3082" s="69">
        <f ca="1">IFERROR(__xludf.DUMMYFUNCTION("""COMPUTED_VALUE"""),100631)</f>
        <v>100631</v>
      </c>
      <c r="B3082" s="4">
        <f ca="1">IFERROR(__xludf.DUMMYFUNCTION("""COMPUTED_VALUE"""),44740)</f>
        <v>44740</v>
      </c>
      <c r="C3082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2" t="str">
        <f ca="1">IFERROR(__xludf.DUMMYFUNCTION("""COMPUTED_VALUE"""),"Новый")</f>
        <v>Новый</v>
      </c>
      <c r="G3082" s="68"/>
      <c r="K3082" s="68"/>
    </row>
    <row r="3083" spans="1:11" ht="12.75">
      <c r="A3083" s="69">
        <f ca="1">IFERROR(__xludf.DUMMYFUNCTION("""COMPUTED_VALUE"""),100632)</f>
        <v>100632</v>
      </c>
      <c r="B3083" s="4">
        <f ca="1">IFERROR(__xludf.DUMMYFUNCTION("""COMPUTED_VALUE"""),44740)</f>
        <v>44740</v>
      </c>
      <c r="C3083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3" t="str">
        <f ca="1">IFERROR(__xludf.DUMMYFUNCTION("""COMPUTED_VALUE"""),"Новый")</f>
        <v>Новый</v>
      </c>
      <c r="G3083" s="68"/>
      <c r="K3083" s="68"/>
    </row>
    <row r="3084" spans="1:11" ht="12.75">
      <c r="A3084" s="69">
        <f ca="1">IFERROR(__xludf.DUMMYFUNCTION("""COMPUTED_VALUE"""),100633)</f>
        <v>100633</v>
      </c>
      <c r="B3084" s="4">
        <f ca="1">IFERROR(__xludf.DUMMYFUNCTION("""COMPUTED_VALUE"""),44740)</f>
        <v>44740</v>
      </c>
      <c r="C3084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4" t="str">
        <f ca="1">IFERROR(__xludf.DUMMYFUNCTION("""COMPUTED_VALUE"""),"Новый")</f>
        <v>Новый</v>
      </c>
      <c r="G3084" s="68"/>
      <c r="K3084" s="68"/>
    </row>
    <row r="3085" spans="1:11" ht="12.75">
      <c r="A3085" s="69">
        <f ca="1">IFERROR(__xludf.DUMMYFUNCTION("""COMPUTED_VALUE"""),100634)</f>
        <v>100634</v>
      </c>
      <c r="B3085" s="4">
        <f ca="1">IFERROR(__xludf.DUMMYFUNCTION("""COMPUTED_VALUE"""),44740)</f>
        <v>44740</v>
      </c>
      <c r="C3085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5" t="str">
        <f ca="1">IFERROR(__xludf.DUMMYFUNCTION("""COMPUTED_VALUE"""),"Новый")</f>
        <v>Новый</v>
      </c>
      <c r="G3085" s="68"/>
      <c r="K3085" s="68"/>
    </row>
    <row r="3086" spans="1:11" ht="12.75">
      <c r="A3086" s="69">
        <f ca="1">IFERROR(__xludf.DUMMYFUNCTION("""COMPUTED_VALUE"""),100635)</f>
        <v>100635</v>
      </c>
      <c r="B3086" s="4">
        <f ca="1">IFERROR(__xludf.DUMMYFUNCTION("""COMPUTED_VALUE"""),44740)</f>
        <v>44740</v>
      </c>
      <c r="C3086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6" t="str">
        <f ca="1">IFERROR(__xludf.DUMMYFUNCTION("""COMPUTED_VALUE"""),"Новый")</f>
        <v>Новый</v>
      </c>
      <c r="G3086" s="68"/>
      <c r="K3086" s="68"/>
    </row>
    <row r="3087" spans="1:11" ht="12.75">
      <c r="A3087" s="69">
        <f ca="1">IFERROR(__xludf.DUMMYFUNCTION("""COMPUTED_VALUE"""),100636)</f>
        <v>100636</v>
      </c>
      <c r="B3087" s="4">
        <f ca="1">IFERROR(__xludf.DUMMYFUNCTION("""COMPUTED_VALUE"""),44740)</f>
        <v>44740</v>
      </c>
      <c r="C3087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7" t="str">
        <f ca="1">IFERROR(__xludf.DUMMYFUNCTION("""COMPUTED_VALUE"""),"Новый")</f>
        <v>Новый</v>
      </c>
      <c r="G3087" s="68"/>
      <c r="K3087" s="68"/>
    </row>
    <row r="3088" spans="1:11" ht="12.75">
      <c r="A3088" s="69">
        <f ca="1">IFERROR(__xludf.DUMMYFUNCTION("""COMPUTED_VALUE"""),100637)</f>
        <v>100637</v>
      </c>
      <c r="B3088" s="4">
        <f ca="1">IFERROR(__xludf.DUMMYFUNCTION("""COMPUTED_VALUE"""),44740)</f>
        <v>44740</v>
      </c>
      <c r="C3088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8" t="str">
        <f ca="1">IFERROR(__xludf.DUMMYFUNCTION("""COMPUTED_VALUE"""),"Новый")</f>
        <v>Новый</v>
      </c>
      <c r="G3088" s="68"/>
      <c r="K3088" s="68"/>
    </row>
    <row r="3089" spans="1:11" ht="12.75">
      <c r="A3089" s="69">
        <f ca="1">IFERROR(__xludf.DUMMYFUNCTION("""COMPUTED_VALUE"""),100638)</f>
        <v>100638</v>
      </c>
      <c r="B3089" s="4">
        <f ca="1">IFERROR(__xludf.DUMMYFUNCTION("""COMPUTED_VALUE"""),44740)</f>
        <v>44740</v>
      </c>
      <c r="C3089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89" t="str">
        <f ca="1">IFERROR(__xludf.DUMMYFUNCTION("""COMPUTED_VALUE"""),"Новый")</f>
        <v>Новый</v>
      </c>
      <c r="G3089" s="68"/>
      <c r="K3089" s="68"/>
    </row>
    <row r="3090" spans="1:11" ht="12.75">
      <c r="A3090" s="69">
        <f ca="1">IFERROR(__xludf.DUMMYFUNCTION("""COMPUTED_VALUE"""),100639)</f>
        <v>100639</v>
      </c>
      <c r="B3090" s="4">
        <f ca="1">IFERROR(__xludf.DUMMYFUNCTION("""COMPUTED_VALUE"""),44740)</f>
        <v>44740</v>
      </c>
      <c r="C3090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0" t="str">
        <f ca="1">IFERROR(__xludf.DUMMYFUNCTION("""COMPUTED_VALUE"""),"Новый")</f>
        <v>Новый</v>
      </c>
      <c r="G3090" s="68"/>
      <c r="K3090" s="68"/>
    </row>
    <row r="3091" spans="1:11" ht="12.75">
      <c r="A3091" s="69">
        <f ca="1">IFERROR(__xludf.DUMMYFUNCTION("""COMPUTED_VALUE"""),100640)</f>
        <v>100640</v>
      </c>
      <c r="B3091" s="4">
        <f ca="1">IFERROR(__xludf.DUMMYFUNCTION("""COMPUTED_VALUE"""),44740)</f>
        <v>44740</v>
      </c>
      <c r="C3091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1" t="str">
        <f ca="1">IFERROR(__xludf.DUMMYFUNCTION("""COMPUTED_VALUE"""),"Новый")</f>
        <v>Новый</v>
      </c>
      <c r="G3091" s="68"/>
      <c r="K3091" s="68"/>
    </row>
    <row r="3092" spans="1:11" ht="12.75">
      <c r="A3092" s="69">
        <f ca="1">IFERROR(__xludf.DUMMYFUNCTION("""COMPUTED_VALUE"""),100641)</f>
        <v>100641</v>
      </c>
      <c r="B3092" s="4">
        <f ca="1">IFERROR(__xludf.DUMMYFUNCTION("""COMPUTED_VALUE"""),44740)</f>
        <v>44740</v>
      </c>
      <c r="C3092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2" t="str">
        <f ca="1">IFERROR(__xludf.DUMMYFUNCTION("""COMPUTED_VALUE"""),"Новый")</f>
        <v>Новый</v>
      </c>
      <c r="G3092" s="68"/>
      <c r="K3092" s="68"/>
    </row>
    <row r="3093" spans="1:11" ht="12.75">
      <c r="A3093" s="69">
        <f ca="1">IFERROR(__xludf.DUMMYFUNCTION("""COMPUTED_VALUE"""),100642)</f>
        <v>100642</v>
      </c>
      <c r="B3093" s="4">
        <f ca="1">IFERROR(__xludf.DUMMYFUNCTION("""COMPUTED_VALUE"""),44740)</f>
        <v>44740</v>
      </c>
      <c r="C3093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3" t="str">
        <f ca="1">IFERROR(__xludf.DUMMYFUNCTION("""COMPUTED_VALUE"""),"Новый")</f>
        <v>Новый</v>
      </c>
      <c r="G3093" s="68"/>
      <c r="K3093" s="68"/>
    </row>
    <row r="3094" spans="1:11" ht="12.75">
      <c r="A3094" s="69">
        <f ca="1">IFERROR(__xludf.DUMMYFUNCTION("""COMPUTED_VALUE"""),100643)</f>
        <v>100643</v>
      </c>
      <c r="B3094" s="4">
        <f ca="1">IFERROR(__xludf.DUMMYFUNCTION("""COMPUTED_VALUE"""),44740)</f>
        <v>44740</v>
      </c>
      <c r="C3094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4" t="str">
        <f ca="1">IFERROR(__xludf.DUMMYFUNCTION("""COMPUTED_VALUE"""),"Новый")</f>
        <v>Новый</v>
      </c>
      <c r="G3094" s="68"/>
      <c r="K3094" s="68"/>
    </row>
    <row r="3095" spans="1:11" ht="12.75">
      <c r="A3095" s="69">
        <f ca="1">IFERROR(__xludf.DUMMYFUNCTION("""COMPUTED_VALUE"""),100644)</f>
        <v>100644</v>
      </c>
      <c r="B3095" s="4">
        <f ca="1">IFERROR(__xludf.DUMMYFUNCTION("""COMPUTED_VALUE"""),44740)</f>
        <v>44740</v>
      </c>
      <c r="C3095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5" t="str">
        <f ca="1">IFERROR(__xludf.DUMMYFUNCTION("""COMPUTED_VALUE"""),"Новый")</f>
        <v>Новый</v>
      </c>
      <c r="G3095" s="68"/>
      <c r="K3095" s="68"/>
    </row>
    <row r="3096" spans="1:11" ht="12.75">
      <c r="A3096" s="69">
        <f ca="1">IFERROR(__xludf.DUMMYFUNCTION("""COMPUTED_VALUE"""),100645)</f>
        <v>100645</v>
      </c>
      <c r="B3096" s="4">
        <f ca="1">IFERROR(__xludf.DUMMYFUNCTION("""COMPUTED_VALUE"""),44740)</f>
        <v>44740</v>
      </c>
      <c r="C3096" t="str">
        <f ca="1">IFERROR(__xludf.DUMMYFUNCTION("""COMPUTED_VALUE"""),"ИП Игнатченко Оксана Александровна 143-СТР от 28.06.2022")</f>
        <v>ИП Игнатченко Оксана Александровна 143-СТР от 28.06.2022</v>
      </c>
      <c r="D30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6" t="str">
        <f ca="1">IFERROR(__xludf.DUMMYFUNCTION("""COMPUTED_VALUE"""),"Новый")</f>
        <v>Новый</v>
      </c>
      <c r="G3096" s="68"/>
      <c r="K3096" s="68"/>
    </row>
    <row r="3097" spans="1:11" ht="12.75">
      <c r="A3097" s="69">
        <f ca="1">IFERROR(__xludf.DUMMYFUNCTION("""COMPUTED_VALUE"""),100646)</f>
        <v>100646</v>
      </c>
      <c r="B3097" s="4">
        <f ca="1">IFERROR(__xludf.DUMMYFUNCTION("""COMPUTED_VALUE"""),44740)</f>
        <v>44740</v>
      </c>
      <c r="C3097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0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7" t="str">
        <f ca="1">IFERROR(__xludf.DUMMYFUNCTION("""COMPUTED_VALUE"""),"Новый")</f>
        <v>Новый</v>
      </c>
      <c r="G3097" s="68"/>
      <c r="K3097" s="68"/>
    </row>
    <row r="3098" spans="1:11" ht="12.75">
      <c r="A3098" s="69">
        <f ca="1">IFERROR(__xludf.DUMMYFUNCTION("""COMPUTED_VALUE"""),100647)</f>
        <v>100647</v>
      </c>
      <c r="B3098" s="4">
        <f ca="1">IFERROR(__xludf.DUMMYFUNCTION("""COMPUTED_VALUE"""),44740)</f>
        <v>44740</v>
      </c>
      <c r="C3098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0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8" t="str">
        <f ca="1">IFERROR(__xludf.DUMMYFUNCTION("""COMPUTED_VALUE"""),"Новый")</f>
        <v>Новый</v>
      </c>
      <c r="G3098" s="68"/>
      <c r="K3098" s="68"/>
    </row>
    <row r="3099" spans="1:11" ht="12.75">
      <c r="A3099" s="69">
        <f ca="1">IFERROR(__xludf.DUMMYFUNCTION("""COMPUTED_VALUE"""),100648)</f>
        <v>100648</v>
      </c>
      <c r="B3099" s="4">
        <f ca="1">IFERROR(__xludf.DUMMYFUNCTION("""COMPUTED_VALUE"""),44740)</f>
        <v>44740</v>
      </c>
      <c r="C3099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0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099" t="str">
        <f ca="1">IFERROR(__xludf.DUMMYFUNCTION("""COMPUTED_VALUE"""),"Новый")</f>
        <v>Новый</v>
      </c>
      <c r="G3099" s="68"/>
      <c r="K3099" s="68"/>
    </row>
    <row r="3100" spans="1:11" ht="12.75">
      <c r="A3100" s="69">
        <f ca="1">IFERROR(__xludf.DUMMYFUNCTION("""COMPUTED_VALUE"""),100649)</f>
        <v>100649</v>
      </c>
      <c r="B3100" s="4">
        <f ca="1">IFERROR(__xludf.DUMMYFUNCTION("""COMPUTED_VALUE"""),44740)</f>
        <v>44740</v>
      </c>
      <c r="C3100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0" t="str">
        <f ca="1">IFERROR(__xludf.DUMMYFUNCTION("""COMPUTED_VALUE"""),"Новый")</f>
        <v>Новый</v>
      </c>
      <c r="G3100" s="68"/>
      <c r="K3100" s="68"/>
    </row>
    <row r="3101" spans="1:11" ht="12.75">
      <c r="A3101" s="69">
        <f ca="1">IFERROR(__xludf.DUMMYFUNCTION("""COMPUTED_VALUE"""),100650)</f>
        <v>100650</v>
      </c>
      <c r="B3101" s="4">
        <f ca="1">IFERROR(__xludf.DUMMYFUNCTION("""COMPUTED_VALUE"""),44740)</f>
        <v>44740</v>
      </c>
      <c r="C3101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1" t="str">
        <f ca="1">IFERROR(__xludf.DUMMYFUNCTION("""COMPUTED_VALUE"""),"Новый")</f>
        <v>Новый</v>
      </c>
      <c r="G3101" s="68"/>
      <c r="K3101" s="68"/>
    </row>
    <row r="3102" spans="1:11" ht="12.75">
      <c r="A3102" s="69">
        <f ca="1">IFERROR(__xludf.DUMMYFUNCTION("""COMPUTED_VALUE"""),100651)</f>
        <v>100651</v>
      </c>
      <c r="B3102" s="4">
        <f ca="1">IFERROR(__xludf.DUMMYFUNCTION("""COMPUTED_VALUE"""),44740)</f>
        <v>44740</v>
      </c>
      <c r="C3102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2" t="str">
        <f ca="1">IFERROR(__xludf.DUMMYFUNCTION("""COMPUTED_VALUE"""),"Новый")</f>
        <v>Новый</v>
      </c>
      <c r="G3102" s="68"/>
      <c r="K3102" s="68"/>
    </row>
    <row r="3103" spans="1:11" ht="12.75">
      <c r="A3103" s="69">
        <f ca="1">IFERROR(__xludf.DUMMYFUNCTION("""COMPUTED_VALUE"""),100652)</f>
        <v>100652</v>
      </c>
      <c r="B3103" s="4">
        <f ca="1">IFERROR(__xludf.DUMMYFUNCTION("""COMPUTED_VALUE"""),44740)</f>
        <v>44740</v>
      </c>
      <c r="C3103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3" t="str">
        <f ca="1">IFERROR(__xludf.DUMMYFUNCTION("""COMPUTED_VALUE"""),"Новый")</f>
        <v>Новый</v>
      </c>
      <c r="G3103" s="68"/>
      <c r="K3103" s="68"/>
    </row>
    <row r="3104" spans="1:11" ht="12.75">
      <c r="A3104" s="69">
        <f ca="1">IFERROR(__xludf.DUMMYFUNCTION("""COMPUTED_VALUE"""),100653)</f>
        <v>100653</v>
      </c>
      <c r="B3104" s="4">
        <f ca="1">IFERROR(__xludf.DUMMYFUNCTION("""COMPUTED_VALUE"""),44740)</f>
        <v>44740</v>
      </c>
      <c r="C3104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4" t="str">
        <f ca="1">IFERROR(__xludf.DUMMYFUNCTION("""COMPUTED_VALUE"""),"Новый")</f>
        <v>Новый</v>
      </c>
      <c r="G3104" s="68"/>
      <c r="K3104" s="68"/>
    </row>
    <row r="3105" spans="1:11" ht="12.75">
      <c r="A3105" s="69">
        <f ca="1">IFERROR(__xludf.DUMMYFUNCTION("""COMPUTED_VALUE"""),100654)</f>
        <v>100654</v>
      </c>
      <c r="B3105" s="4">
        <f ca="1">IFERROR(__xludf.DUMMYFUNCTION("""COMPUTED_VALUE"""),44740)</f>
        <v>44740</v>
      </c>
      <c r="C3105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5" t="str">
        <f ca="1">IFERROR(__xludf.DUMMYFUNCTION("""COMPUTED_VALUE"""),"Новый")</f>
        <v>Новый</v>
      </c>
      <c r="G3105" s="68"/>
      <c r="K3105" s="68"/>
    </row>
    <row r="3106" spans="1:11" ht="12.75">
      <c r="A3106" s="69">
        <f ca="1">IFERROR(__xludf.DUMMYFUNCTION("""COMPUTED_VALUE"""),100655)</f>
        <v>100655</v>
      </c>
      <c r="B3106" s="4">
        <f ca="1">IFERROR(__xludf.DUMMYFUNCTION("""COMPUTED_VALUE"""),44740)</f>
        <v>44740</v>
      </c>
      <c r="C3106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6" t="str">
        <f ca="1">IFERROR(__xludf.DUMMYFUNCTION("""COMPUTED_VALUE"""),"Новый")</f>
        <v>Новый</v>
      </c>
      <c r="G3106" s="68"/>
      <c r="K3106" s="68"/>
    </row>
    <row r="3107" spans="1:11" ht="12.75">
      <c r="A3107" s="69">
        <f ca="1">IFERROR(__xludf.DUMMYFUNCTION("""COMPUTED_VALUE"""),100656)</f>
        <v>100656</v>
      </c>
      <c r="B3107" s="4">
        <f ca="1">IFERROR(__xludf.DUMMYFUNCTION("""COMPUTED_VALUE"""),44740)</f>
        <v>44740</v>
      </c>
      <c r="C3107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7" t="str">
        <f ca="1">IFERROR(__xludf.DUMMYFUNCTION("""COMPUTED_VALUE"""),"Новый")</f>
        <v>Новый</v>
      </c>
      <c r="G3107" s="68"/>
      <c r="K3107" s="68"/>
    </row>
    <row r="3108" spans="1:11" ht="12.75">
      <c r="A3108" s="69">
        <f ca="1">IFERROR(__xludf.DUMMYFUNCTION("""COMPUTED_VALUE"""),100657)</f>
        <v>100657</v>
      </c>
      <c r="B3108" s="4">
        <f ca="1">IFERROR(__xludf.DUMMYFUNCTION("""COMPUTED_VALUE"""),44740)</f>
        <v>44740</v>
      </c>
      <c r="C3108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8" t="str">
        <f ca="1">IFERROR(__xludf.DUMMYFUNCTION("""COMPUTED_VALUE"""),"Новый")</f>
        <v>Новый</v>
      </c>
      <c r="G3108" s="68"/>
      <c r="K3108" s="68"/>
    </row>
    <row r="3109" spans="1:11" ht="12.75">
      <c r="A3109" s="69">
        <f ca="1">IFERROR(__xludf.DUMMYFUNCTION("""COMPUTED_VALUE"""),100658)</f>
        <v>100658</v>
      </c>
      <c r="B3109" s="4">
        <f ca="1">IFERROR(__xludf.DUMMYFUNCTION("""COMPUTED_VALUE"""),44740)</f>
        <v>44740</v>
      </c>
      <c r="C3109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09" t="str">
        <f ca="1">IFERROR(__xludf.DUMMYFUNCTION("""COMPUTED_VALUE"""),"Новый")</f>
        <v>Новый</v>
      </c>
      <c r="G3109" s="68"/>
      <c r="K3109" s="68"/>
    </row>
    <row r="3110" spans="1:11" ht="12.75">
      <c r="A3110" s="69">
        <f ca="1">IFERROR(__xludf.DUMMYFUNCTION("""COMPUTED_VALUE"""),100659)</f>
        <v>100659</v>
      </c>
      <c r="B3110" s="4">
        <f ca="1">IFERROR(__xludf.DUMMYFUNCTION("""COMPUTED_VALUE"""),44740)</f>
        <v>44740</v>
      </c>
      <c r="C3110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0" t="str">
        <f ca="1">IFERROR(__xludf.DUMMYFUNCTION("""COMPUTED_VALUE"""),"Новый")</f>
        <v>Новый</v>
      </c>
      <c r="G3110" s="68"/>
      <c r="K3110" s="68"/>
    </row>
    <row r="3111" spans="1:11" ht="12.75">
      <c r="A3111" s="69">
        <f ca="1">IFERROR(__xludf.DUMMYFUNCTION("""COMPUTED_VALUE"""),100660)</f>
        <v>100660</v>
      </c>
      <c r="B3111" s="4">
        <f ca="1">IFERROR(__xludf.DUMMYFUNCTION("""COMPUTED_VALUE"""),44740)</f>
        <v>44740</v>
      </c>
      <c r="C3111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1" t="str">
        <f ca="1">IFERROR(__xludf.DUMMYFUNCTION("""COMPUTED_VALUE"""),"Новый")</f>
        <v>Новый</v>
      </c>
      <c r="G3111" s="68"/>
      <c r="K3111" s="68"/>
    </row>
    <row r="3112" spans="1:11" ht="12.75">
      <c r="A3112" s="69">
        <f ca="1">IFERROR(__xludf.DUMMYFUNCTION("""COMPUTED_VALUE"""),100661)</f>
        <v>100661</v>
      </c>
      <c r="B3112" s="4">
        <f ca="1">IFERROR(__xludf.DUMMYFUNCTION("""COMPUTED_VALUE"""),44740)</f>
        <v>44740</v>
      </c>
      <c r="C3112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2" t="str">
        <f ca="1">IFERROR(__xludf.DUMMYFUNCTION("""COMPUTED_VALUE"""),"Новый")</f>
        <v>Новый</v>
      </c>
      <c r="G3112" s="68"/>
      <c r="K3112" s="68"/>
    </row>
    <row r="3113" spans="1:11" ht="12.75">
      <c r="A3113" s="69">
        <f ca="1">IFERROR(__xludf.DUMMYFUNCTION("""COMPUTED_VALUE"""),100662)</f>
        <v>100662</v>
      </c>
      <c r="B3113" s="4">
        <f ca="1">IFERROR(__xludf.DUMMYFUNCTION("""COMPUTED_VALUE"""),44740)</f>
        <v>44740</v>
      </c>
      <c r="C3113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3" t="str">
        <f ca="1">IFERROR(__xludf.DUMMYFUNCTION("""COMPUTED_VALUE"""),"Новый")</f>
        <v>Новый</v>
      </c>
      <c r="G3113" s="68"/>
      <c r="K3113" s="68"/>
    </row>
    <row r="3114" spans="1:11" ht="12.75">
      <c r="A3114" s="69">
        <f ca="1">IFERROR(__xludf.DUMMYFUNCTION("""COMPUTED_VALUE"""),100663)</f>
        <v>100663</v>
      </c>
      <c r="B3114" s="4">
        <f ca="1">IFERROR(__xludf.DUMMYFUNCTION("""COMPUTED_VALUE"""),44740)</f>
        <v>44740</v>
      </c>
      <c r="C3114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4" t="str">
        <f ca="1">IFERROR(__xludf.DUMMYFUNCTION("""COMPUTED_VALUE"""),"Новый")</f>
        <v>Новый</v>
      </c>
      <c r="G3114" s="68"/>
      <c r="K3114" s="68"/>
    </row>
    <row r="3115" spans="1:11" ht="12.75">
      <c r="A3115" s="69">
        <f ca="1">IFERROR(__xludf.DUMMYFUNCTION("""COMPUTED_VALUE"""),100664)</f>
        <v>100664</v>
      </c>
      <c r="B3115" s="4">
        <f ca="1">IFERROR(__xludf.DUMMYFUNCTION("""COMPUTED_VALUE"""),44740)</f>
        <v>44740</v>
      </c>
      <c r="C3115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5" t="str">
        <f ca="1">IFERROR(__xludf.DUMMYFUNCTION("""COMPUTED_VALUE"""),"Новый")</f>
        <v>Новый</v>
      </c>
      <c r="G3115" s="68"/>
      <c r="K3115" s="68"/>
    </row>
    <row r="3116" spans="1:11" ht="12.75">
      <c r="A3116" s="69">
        <f ca="1">IFERROR(__xludf.DUMMYFUNCTION("""COMPUTED_VALUE"""),100665)</f>
        <v>100665</v>
      </c>
      <c r="B3116" s="4">
        <f ca="1">IFERROR(__xludf.DUMMYFUNCTION("""COMPUTED_VALUE"""),44740)</f>
        <v>44740</v>
      </c>
      <c r="C3116" t="str">
        <f ca="1">IFERROR(__xludf.DUMMYFUNCTION("""COMPUTED_VALUE"""),"ИП Ильин Александр Игоревич 132-СТР от 15.06.2022")</f>
        <v>ИП Ильин Александр Игоревич 132-СТР от 15.06.2022</v>
      </c>
      <c r="D31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16" t="str">
        <f ca="1">IFERROR(__xludf.DUMMYFUNCTION("""COMPUTED_VALUE"""),"Новый")</f>
        <v>Новый</v>
      </c>
      <c r="G3116" s="68"/>
      <c r="K3116" s="68"/>
    </row>
    <row r="3117" spans="1:11" ht="12.75">
      <c r="A3117" s="69">
        <f ca="1">IFERROR(__xludf.DUMMYFUNCTION("""COMPUTED_VALUE"""),100666)</f>
        <v>100666</v>
      </c>
      <c r="B3117" s="4">
        <f ca="1">IFERROR(__xludf.DUMMYFUNCTION("""COMPUTED_VALUE"""),44740)</f>
        <v>44740</v>
      </c>
      <c r="C3117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17" t="str">
        <f ca="1">IFERROR(__xludf.DUMMYFUNCTION("""COMPUTED_VALUE"""),"Новый")</f>
        <v>Новый</v>
      </c>
      <c r="G3117" s="68"/>
      <c r="K3117" s="68"/>
    </row>
    <row r="3118" spans="1:11" ht="12.75">
      <c r="A3118" s="69">
        <f ca="1">IFERROR(__xludf.DUMMYFUNCTION("""COMPUTED_VALUE"""),100667)</f>
        <v>100667</v>
      </c>
      <c r="B3118" s="4">
        <f ca="1">IFERROR(__xludf.DUMMYFUNCTION("""COMPUTED_VALUE"""),44740)</f>
        <v>44740</v>
      </c>
      <c r="C3118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18" t="str">
        <f ca="1">IFERROR(__xludf.DUMMYFUNCTION("""COMPUTED_VALUE"""),"Новый")</f>
        <v>Новый</v>
      </c>
      <c r="G3118" s="68"/>
      <c r="K3118" s="68"/>
    </row>
    <row r="3119" spans="1:11" ht="12.75">
      <c r="A3119" s="69">
        <f ca="1">IFERROR(__xludf.DUMMYFUNCTION("""COMPUTED_VALUE"""),100668)</f>
        <v>100668</v>
      </c>
      <c r="B3119" s="4">
        <f ca="1">IFERROR(__xludf.DUMMYFUNCTION("""COMPUTED_VALUE"""),44740)</f>
        <v>44740</v>
      </c>
      <c r="C3119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19" t="str">
        <f ca="1">IFERROR(__xludf.DUMMYFUNCTION("""COMPUTED_VALUE"""),"Новый")</f>
        <v>Новый</v>
      </c>
      <c r="G3119" s="68"/>
      <c r="K3119" s="68"/>
    </row>
    <row r="3120" spans="1:11" ht="12.75">
      <c r="A3120" s="69">
        <f ca="1">IFERROR(__xludf.DUMMYFUNCTION("""COMPUTED_VALUE"""),100669)</f>
        <v>100669</v>
      </c>
      <c r="B3120" s="4">
        <f ca="1">IFERROR(__xludf.DUMMYFUNCTION("""COMPUTED_VALUE"""),44740)</f>
        <v>44740</v>
      </c>
      <c r="C3120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0" t="str">
        <f ca="1">IFERROR(__xludf.DUMMYFUNCTION("""COMPUTED_VALUE"""),"Новый")</f>
        <v>Новый</v>
      </c>
      <c r="G3120" s="68"/>
      <c r="K3120" s="68"/>
    </row>
    <row r="3121" spans="1:11" ht="12.75">
      <c r="A3121" s="69">
        <f ca="1">IFERROR(__xludf.DUMMYFUNCTION("""COMPUTED_VALUE"""),100670)</f>
        <v>100670</v>
      </c>
      <c r="B3121" s="4">
        <f ca="1">IFERROR(__xludf.DUMMYFUNCTION("""COMPUTED_VALUE"""),44740)</f>
        <v>44740</v>
      </c>
      <c r="C3121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1" t="str">
        <f ca="1">IFERROR(__xludf.DUMMYFUNCTION("""COMPUTED_VALUE"""),"Новый")</f>
        <v>Новый</v>
      </c>
      <c r="G3121" s="68"/>
      <c r="K3121" s="68"/>
    </row>
    <row r="3122" spans="1:11" ht="12.75">
      <c r="A3122" s="69">
        <f ca="1">IFERROR(__xludf.DUMMYFUNCTION("""COMPUTED_VALUE"""),100671)</f>
        <v>100671</v>
      </c>
      <c r="B3122" s="4">
        <f ca="1">IFERROR(__xludf.DUMMYFUNCTION("""COMPUTED_VALUE"""),44740)</f>
        <v>44740</v>
      </c>
      <c r="C3122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2" t="str">
        <f ca="1">IFERROR(__xludf.DUMMYFUNCTION("""COMPUTED_VALUE"""),"Новый")</f>
        <v>Новый</v>
      </c>
      <c r="G3122" s="68"/>
      <c r="K3122" s="68"/>
    </row>
    <row r="3123" spans="1:11" ht="12.75">
      <c r="A3123" s="69">
        <f ca="1">IFERROR(__xludf.DUMMYFUNCTION("""COMPUTED_VALUE"""),100672)</f>
        <v>100672</v>
      </c>
      <c r="B3123" s="4">
        <f ca="1">IFERROR(__xludf.DUMMYFUNCTION("""COMPUTED_VALUE"""),44740)</f>
        <v>44740</v>
      </c>
      <c r="C3123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3" t="str">
        <f ca="1">IFERROR(__xludf.DUMMYFUNCTION("""COMPUTED_VALUE"""),"Новый")</f>
        <v>Новый</v>
      </c>
      <c r="G3123" s="68"/>
      <c r="K3123" s="68"/>
    </row>
    <row r="3124" spans="1:11" ht="12.75">
      <c r="A3124" s="69">
        <f ca="1">IFERROR(__xludf.DUMMYFUNCTION("""COMPUTED_VALUE"""),100673)</f>
        <v>100673</v>
      </c>
      <c r="B3124" s="4">
        <f ca="1">IFERROR(__xludf.DUMMYFUNCTION("""COMPUTED_VALUE"""),44740)</f>
        <v>44740</v>
      </c>
      <c r="C3124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4" t="str">
        <f ca="1">IFERROR(__xludf.DUMMYFUNCTION("""COMPUTED_VALUE"""),"Новый")</f>
        <v>Новый</v>
      </c>
      <c r="G3124" s="68"/>
      <c r="K3124" s="68"/>
    </row>
    <row r="3125" spans="1:11" ht="12.75">
      <c r="A3125" s="69">
        <f ca="1">IFERROR(__xludf.DUMMYFUNCTION("""COMPUTED_VALUE"""),100674)</f>
        <v>100674</v>
      </c>
      <c r="B3125" s="4">
        <f ca="1">IFERROR(__xludf.DUMMYFUNCTION("""COMPUTED_VALUE"""),44740)</f>
        <v>44740</v>
      </c>
      <c r="C3125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5" t="str">
        <f ca="1">IFERROR(__xludf.DUMMYFUNCTION("""COMPUTED_VALUE"""),"Новый")</f>
        <v>Новый</v>
      </c>
      <c r="G3125" s="68"/>
      <c r="K3125" s="68"/>
    </row>
    <row r="3126" spans="1:11" ht="12.75">
      <c r="A3126" s="69">
        <f ca="1">IFERROR(__xludf.DUMMYFUNCTION("""COMPUTED_VALUE"""),100675)</f>
        <v>100675</v>
      </c>
      <c r="B3126" s="4">
        <f ca="1">IFERROR(__xludf.DUMMYFUNCTION("""COMPUTED_VALUE"""),44740)</f>
        <v>44740</v>
      </c>
      <c r="C3126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6" t="str">
        <f ca="1">IFERROR(__xludf.DUMMYFUNCTION("""COMPUTED_VALUE"""),"Новый")</f>
        <v>Новый</v>
      </c>
      <c r="G3126" s="68"/>
      <c r="K3126" s="68"/>
    </row>
    <row r="3127" spans="1:11" ht="12.75">
      <c r="A3127" s="69">
        <f ca="1">IFERROR(__xludf.DUMMYFUNCTION("""COMPUTED_VALUE"""),100676)</f>
        <v>100676</v>
      </c>
      <c r="B3127" s="4">
        <f ca="1">IFERROR(__xludf.DUMMYFUNCTION("""COMPUTED_VALUE"""),44740)</f>
        <v>44740</v>
      </c>
      <c r="C3127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7" t="str">
        <f ca="1">IFERROR(__xludf.DUMMYFUNCTION("""COMPUTED_VALUE"""),"Новый")</f>
        <v>Новый</v>
      </c>
      <c r="G3127" s="68"/>
      <c r="K3127" s="68"/>
    </row>
    <row r="3128" spans="1:11" ht="12.75">
      <c r="A3128" s="69">
        <f ca="1">IFERROR(__xludf.DUMMYFUNCTION("""COMPUTED_VALUE"""),100677)</f>
        <v>100677</v>
      </c>
      <c r="B3128" s="4">
        <f ca="1">IFERROR(__xludf.DUMMYFUNCTION("""COMPUTED_VALUE"""),44740)</f>
        <v>44740</v>
      </c>
      <c r="C3128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8" t="str">
        <f ca="1">IFERROR(__xludf.DUMMYFUNCTION("""COMPUTED_VALUE"""),"Новый")</f>
        <v>Новый</v>
      </c>
      <c r="G3128" s="68"/>
      <c r="K3128" s="68"/>
    </row>
    <row r="3129" spans="1:11" ht="12.75">
      <c r="A3129" s="69">
        <f ca="1">IFERROR(__xludf.DUMMYFUNCTION("""COMPUTED_VALUE"""),100678)</f>
        <v>100678</v>
      </c>
      <c r="B3129" s="4">
        <f ca="1">IFERROR(__xludf.DUMMYFUNCTION("""COMPUTED_VALUE"""),44740)</f>
        <v>44740</v>
      </c>
      <c r="C3129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29" t="str">
        <f ca="1">IFERROR(__xludf.DUMMYFUNCTION("""COMPUTED_VALUE"""),"Новый")</f>
        <v>Новый</v>
      </c>
      <c r="G3129" s="68"/>
      <c r="K3129" s="68"/>
    </row>
    <row r="3130" spans="1:11" ht="12.75">
      <c r="A3130" s="69">
        <f ca="1">IFERROR(__xludf.DUMMYFUNCTION("""COMPUTED_VALUE"""),100679)</f>
        <v>100679</v>
      </c>
      <c r="B3130" s="4">
        <f ca="1">IFERROR(__xludf.DUMMYFUNCTION("""COMPUTED_VALUE"""),44740)</f>
        <v>44740</v>
      </c>
      <c r="C3130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0" t="str">
        <f ca="1">IFERROR(__xludf.DUMMYFUNCTION("""COMPUTED_VALUE"""),"Новый")</f>
        <v>Новый</v>
      </c>
      <c r="G3130" s="68"/>
      <c r="K3130" s="68"/>
    </row>
    <row r="3131" spans="1:11" ht="12.75">
      <c r="A3131" s="69">
        <f ca="1">IFERROR(__xludf.DUMMYFUNCTION("""COMPUTED_VALUE"""),100680)</f>
        <v>100680</v>
      </c>
      <c r="B3131" s="4">
        <f ca="1">IFERROR(__xludf.DUMMYFUNCTION("""COMPUTED_VALUE"""),44740)</f>
        <v>44740</v>
      </c>
      <c r="C3131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1" t="str">
        <f ca="1">IFERROR(__xludf.DUMMYFUNCTION("""COMPUTED_VALUE"""),"Новый")</f>
        <v>Новый</v>
      </c>
      <c r="G3131" s="68"/>
      <c r="K3131" s="68"/>
    </row>
    <row r="3132" spans="1:11" ht="12.75">
      <c r="A3132" s="69">
        <f ca="1">IFERROR(__xludf.DUMMYFUNCTION("""COMPUTED_VALUE"""),100681)</f>
        <v>100681</v>
      </c>
      <c r="B3132" s="4">
        <f ca="1">IFERROR(__xludf.DUMMYFUNCTION("""COMPUTED_VALUE"""),44740)</f>
        <v>44740</v>
      </c>
      <c r="C3132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2" t="str">
        <f ca="1">IFERROR(__xludf.DUMMYFUNCTION("""COMPUTED_VALUE"""),"Новый")</f>
        <v>Новый</v>
      </c>
      <c r="G3132" s="68"/>
      <c r="K3132" s="68"/>
    </row>
    <row r="3133" spans="1:11" ht="12.75">
      <c r="A3133" s="69">
        <f ca="1">IFERROR(__xludf.DUMMYFUNCTION("""COMPUTED_VALUE"""),100682)</f>
        <v>100682</v>
      </c>
      <c r="B3133" s="4">
        <f ca="1">IFERROR(__xludf.DUMMYFUNCTION("""COMPUTED_VALUE"""),44740)</f>
        <v>44740</v>
      </c>
      <c r="C3133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3" t="str">
        <f ca="1">IFERROR(__xludf.DUMMYFUNCTION("""COMPUTED_VALUE"""),"Новый")</f>
        <v>Новый</v>
      </c>
      <c r="G3133" s="68"/>
      <c r="K3133" s="68"/>
    </row>
    <row r="3134" spans="1:11" ht="12.75">
      <c r="A3134" s="69">
        <f ca="1">IFERROR(__xludf.DUMMYFUNCTION("""COMPUTED_VALUE"""),100683)</f>
        <v>100683</v>
      </c>
      <c r="B3134" s="4">
        <f ca="1">IFERROR(__xludf.DUMMYFUNCTION("""COMPUTED_VALUE"""),44740)</f>
        <v>44740</v>
      </c>
      <c r="C3134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4" t="str">
        <f ca="1">IFERROR(__xludf.DUMMYFUNCTION("""COMPUTED_VALUE"""),"Новый")</f>
        <v>Новый</v>
      </c>
      <c r="G3134" s="68"/>
      <c r="K3134" s="68"/>
    </row>
    <row r="3135" spans="1:11" ht="12.75">
      <c r="A3135" s="69">
        <f ca="1">IFERROR(__xludf.DUMMYFUNCTION("""COMPUTED_VALUE"""),100684)</f>
        <v>100684</v>
      </c>
      <c r="B3135" s="4">
        <f ca="1">IFERROR(__xludf.DUMMYFUNCTION("""COMPUTED_VALUE"""),44740)</f>
        <v>44740</v>
      </c>
      <c r="C3135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5" t="str">
        <f ca="1">IFERROR(__xludf.DUMMYFUNCTION("""COMPUTED_VALUE"""),"Новый")</f>
        <v>Новый</v>
      </c>
      <c r="G3135" s="68"/>
      <c r="K3135" s="68"/>
    </row>
    <row r="3136" spans="1:11" ht="12.75">
      <c r="A3136" s="69">
        <f ca="1">IFERROR(__xludf.DUMMYFUNCTION("""COMPUTED_VALUE"""),100685)</f>
        <v>100685</v>
      </c>
      <c r="B3136" s="4">
        <f ca="1">IFERROR(__xludf.DUMMYFUNCTION("""COMPUTED_VALUE"""),44740)</f>
        <v>44740</v>
      </c>
      <c r="C3136" t="str">
        <f ca="1">IFERROR(__xludf.DUMMYFUNCTION("""COMPUTED_VALUE"""),"ИП Ильин Александр Игоревич 166-РДО от 15.06.2022")</f>
        <v>ИП Ильин Александр Игоревич 166-РДО от 15.06.2022</v>
      </c>
      <c r="D31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6" t="str">
        <f ca="1">IFERROR(__xludf.DUMMYFUNCTION("""COMPUTED_VALUE"""),"Новый")</f>
        <v>Новый</v>
      </c>
      <c r="G3136" s="68"/>
      <c r="K3136" s="68"/>
    </row>
    <row r="3137" spans="1:11" ht="12.75">
      <c r="A3137" s="69">
        <f ca="1">IFERROR(__xludf.DUMMYFUNCTION("""COMPUTED_VALUE"""),100696)</f>
        <v>100696</v>
      </c>
      <c r="B3137" s="4">
        <f ca="1">IFERROR(__xludf.DUMMYFUNCTION("""COMPUTED_VALUE"""),44740)</f>
        <v>44740</v>
      </c>
      <c r="C3137" t="str">
        <f ca="1">IFERROR(__xludf.DUMMYFUNCTION("""COMPUTED_VALUE"""),"ООО ""УК НА ВОЛОЧАЕВСКОЙ"" 167-РДО от 26.04.2022")</f>
        <v>ООО "УК НА ВОЛОЧАЕВСКОЙ" 167-РДО от 26.04.2022</v>
      </c>
      <c r="D31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7" t="str">
        <f ca="1">IFERROR(__xludf.DUMMYFUNCTION("""COMPUTED_VALUE"""),"Новый")</f>
        <v>Новый</v>
      </c>
      <c r="G3137" s="68"/>
      <c r="K3137" s="68"/>
    </row>
    <row r="3138" spans="1:11" ht="12.75">
      <c r="A3138" s="69">
        <f ca="1">IFERROR(__xludf.DUMMYFUNCTION("""COMPUTED_VALUE"""),100700)</f>
        <v>100700</v>
      </c>
      <c r="B3138" s="4">
        <f ca="1">IFERROR(__xludf.DUMMYFUNCTION("""COMPUTED_VALUE"""),44740)</f>
        <v>44740</v>
      </c>
      <c r="C3138" t="str">
        <f ca="1">IFERROR(__xludf.DUMMYFUNCTION("""COMPUTED_VALUE"""),"ООО ""УК НА ВОЛОЧАЕВСКОЙ"" 167-РДО от 26.04.2022")</f>
        <v>ООО "УК НА ВОЛОЧАЕВСКОЙ" 167-РДО от 26.04.2022</v>
      </c>
      <c r="D31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8" t="str">
        <f ca="1">IFERROR(__xludf.DUMMYFUNCTION("""COMPUTED_VALUE"""),"Новый")</f>
        <v>Новый</v>
      </c>
      <c r="G3138" s="68"/>
      <c r="K3138" s="68"/>
    </row>
    <row r="3139" spans="1:11" ht="12.75">
      <c r="A3139" s="69">
        <f ca="1">IFERROR(__xludf.DUMMYFUNCTION("""COMPUTED_VALUE"""),100701)</f>
        <v>100701</v>
      </c>
      <c r="B3139" s="4">
        <f ca="1">IFERROR(__xludf.DUMMYFUNCTION("""COMPUTED_VALUE"""),44740)</f>
        <v>44740</v>
      </c>
      <c r="C3139" t="str">
        <f ca="1">IFERROR(__xludf.DUMMYFUNCTION("""COMPUTED_VALUE"""),"ООО ""УК НА ВОЛОЧАЕВСКОЙ"" 167-РДО от 26.04.2022")</f>
        <v>ООО "УК НА ВОЛОЧАЕВСКОЙ" 167-РДО от 26.04.2022</v>
      </c>
      <c r="D31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39" t="str">
        <f ca="1">IFERROR(__xludf.DUMMYFUNCTION("""COMPUTED_VALUE"""),"Новый")</f>
        <v>Новый</v>
      </c>
      <c r="G3139" s="68"/>
      <c r="K3139" s="68"/>
    </row>
    <row r="3140" spans="1:11" ht="12.75">
      <c r="A3140" s="69">
        <f ca="1">IFERROR(__xludf.DUMMYFUNCTION("""COMPUTED_VALUE"""),100702)</f>
        <v>100702</v>
      </c>
      <c r="B3140" s="4">
        <f ca="1">IFERROR(__xludf.DUMMYFUNCTION("""COMPUTED_VALUE"""),44740)</f>
        <v>44740</v>
      </c>
      <c r="C3140" t="str">
        <f ca="1">IFERROR(__xludf.DUMMYFUNCTION("""COMPUTED_VALUE"""),"ООО ""УК НА ВОЛОЧАЕВСКОЙ"" 167-РДО от 26.04.2022")</f>
        <v>ООО "УК НА ВОЛОЧАЕВСКОЙ" 167-РДО от 26.04.2022</v>
      </c>
      <c r="D31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0" t="str">
        <f ca="1">IFERROR(__xludf.DUMMYFUNCTION("""COMPUTED_VALUE"""),"Новый")</f>
        <v>Новый</v>
      </c>
      <c r="G3140" s="68"/>
      <c r="K3140" s="68"/>
    </row>
    <row r="3141" spans="1:11" ht="12.75">
      <c r="A3141" s="69">
        <f ca="1">IFERROR(__xludf.DUMMYFUNCTION("""COMPUTED_VALUE"""),100703)</f>
        <v>100703</v>
      </c>
      <c r="B3141" s="4">
        <f ca="1">IFERROR(__xludf.DUMMYFUNCTION("""COMPUTED_VALUE"""),44740)</f>
        <v>44740</v>
      </c>
      <c r="C3141" t="str">
        <f ca="1">IFERROR(__xludf.DUMMYFUNCTION("""COMPUTED_VALUE"""),"ООО ""УК НА ВОЛОЧАЕВСКОЙ"" 167-РДО от 26.04.2022")</f>
        <v>ООО "УК НА ВОЛОЧАЕВСКОЙ" 167-РДО от 26.04.2022</v>
      </c>
      <c r="D31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1" t="str">
        <f ca="1">IFERROR(__xludf.DUMMYFUNCTION("""COMPUTED_VALUE"""),"Новый")</f>
        <v>Новый</v>
      </c>
      <c r="G3141" s="68"/>
      <c r="K3141" s="68"/>
    </row>
    <row r="3142" spans="1:11" ht="12.75">
      <c r="A3142" s="69">
        <f ca="1">IFERROR(__xludf.DUMMYFUNCTION("""COMPUTED_VALUE"""),100704)</f>
        <v>100704</v>
      </c>
      <c r="B3142" s="4">
        <f ca="1">IFERROR(__xludf.DUMMYFUNCTION("""COMPUTED_VALUE"""),44740)</f>
        <v>44740</v>
      </c>
      <c r="C3142" t="str">
        <f ca="1">IFERROR(__xludf.DUMMYFUNCTION("""COMPUTED_VALUE"""),"ООО ""УК НА ВОЛОЧАЕВСКОЙ"" 167-РДО от 26.04.2022")</f>
        <v>ООО "УК НА ВОЛОЧАЕВСКОЙ" 167-РДО от 26.04.2022</v>
      </c>
      <c r="D31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2" t="str">
        <f ca="1">IFERROR(__xludf.DUMMYFUNCTION("""COMPUTED_VALUE"""),"Новый")</f>
        <v>Новый</v>
      </c>
      <c r="G3142" s="68"/>
      <c r="K3142" s="68"/>
    </row>
    <row r="3143" spans="1:11" ht="12.75">
      <c r="A3143" s="69">
        <f ca="1">IFERROR(__xludf.DUMMYFUNCTION("""COMPUTED_VALUE"""),100705)</f>
        <v>100705</v>
      </c>
      <c r="B3143" s="4">
        <f ca="1">IFERROR(__xludf.DUMMYFUNCTION("""COMPUTED_VALUE"""),44740)</f>
        <v>44740</v>
      </c>
      <c r="C3143" t="str">
        <f ca="1">IFERROR(__xludf.DUMMYFUNCTION("""COMPUTED_VALUE"""),"ООО ""УК НА ВОЛОЧАЕВСКОЙ"" 167-РДО от 26.04.2022")</f>
        <v>ООО "УК НА ВОЛОЧАЕВСКОЙ" 167-РДО от 26.04.2022</v>
      </c>
      <c r="D31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3" t="str">
        <f ca="1">IFERROR(__xludf.DUMMYFUNCTION("""COMPUTED_VALUE"""),"Новый")</f>
        <v>Новый</v>
      </c>
      <c r="G3143" s="68"/>
      <c r="K3143" s="68"/>
    </row>
    <row r="3144" spans="1:11" ht="12.75">
      <c r="A3144" s="69">
        <f ca="1">IFERROR(__xludf.DUMMYFUNCTION("""COMPUTED_VALUE"""),100708)</f>
        <v>100708</v>
      </c>
      <c r="B3144" s="4">
        <f ca="1">IFERROR(__xludf.DUMMYFUNCTION("""COMPUTED_VALUE"""),44740)</f>
        <v>44740</v>
      </c>
      <c r="C3144" t="str">
        <f ca="1">IFERROR(__xludf.DUMMYFUNCTION("""COMPUTED_VALUE"""),"ООО ""РЕГИОН 55"" 113-РДО от 01.07.2021")</f>
        <v>ООО "РЕГИОН 55" 113-РДО от 01.07.2021</v>
      </c>
      <c r="D31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4" t="str">
        <f ca="1">IFERROR(__xludf.DUMMYFUNCTION("""COMPUTED_VALUE"""),"Новый")</f>
        <v>Новый</v>
      </c>
      <c r="G3144" s="68"/>
      <c r="K3144" s="68"/>
    </row>
    <row r="3145" spans="1:11" ht="12.75">
      <c r="A3145" s="69">
        <f ca="1">IFERROR(__xludf.DUMMYFUNCTION("""COMPUTED_VALUE"""),100709)</f>
        <v>100709</v>
      </c>
      <c r="B3145" s="4">
        <f ca="1">IFERROR(__xludf.DUMMYFUNCTION("""COMPUTED_VALUE"""),44740)</f>
        <v>44740</v>
      </c>
      <c r="C3145" t="str">
        <f ca="1">IFERROR(__xludf.DUMMYFUNCTION("""COMPUTED_VALUE"""),"ООО ""РЕГИОН 55"" 113-РДО от 01.07.2021")</f>
        <v>ООО "РЕГИОН 55" 113-РДО от 01.07.2021</v>
      </c>
      <c r="D31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5" t="str">
        <f ca="1">IFERROR(__xludf.DUMMYFUNCTION("""COMPUTED_VALUE"""),"Новый")</f>
        <v>Новый</v>
      </c>
      <c r="G3145" s="68"/>
      <c r="K3145" s="68"/>
    </row>
    <row r="3146" spans="1:11" ht="12.75">
      <c r="A3146" s="69">
        <f ca="1">IFERROR(__xludf.DUMMYFUNCTION("""COMPUTED_VALUE"""),100710)</f>
        <v>100710</v>
      </c>
      <c r="B3146" s="4">
        <f ca="1">IFERROR(__xludf.DUMMYFUNCTION("""COMPUTED_VALUE"""),44740)</f>
        <v>44740</v>
      </c>
      <c r="C3146" t="str">
        <f ca="1">IFERROR(__xludf.DUMMYFUNCTION("""COMPUTED_VALUE"""),"ООО ""РЕГИОН 55"" 113-РДО от 01.07.2021")</f>
        <v>ООО "РЕГИОН 55" 113-РДО от 01.07.2021</v>
      </c>
      <c r="D31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6" t="str">
        <f ca="1">IFERROR(__xludf.DUMMYFUNCTION("""COMPUTED_VALUE"""),"Новый")</f>
        <v>Новый</v>
      </c>
      <c r="G3146" s="68"/>
      <c r="K3146" s="68"/>
    </row>
    <row r="3147" spans="1:11" ht="12.75">
      <c r="A3147" s="69">
        <f ca="1">IFERROR(__xludf.DUMMYFUNCTION("""COMPUTED_VALUE"""),100711)</f>
        <v>100711</v>
      </c>
      <c r="B3147" s="4">
        <f ca="1">IFERROR(__xludf.DUMMYFUNCTION("""COMPUTED_VALUE"""),44740)</f>
        <v>44740</v>
      </c>
      <c r="C3147" t="str">
        <f ca="1">IFERROR(__xludf.DUMMYFUNCTION("""COMPUTED_VALUE"""),"ООО ""РЕГИОН 55"" 113-РДО от 01.07.2021")</f>
        <v>ООО "РЕГИОН 55" 113-РДО от 01.07.2021</v>
      </c>
      <c r="D31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7" t="str">
        <f ca="1">IFERROR(__xludf.DUMMYFUNCTION("""COMPUTED_VALUE"""),"Новый")</f>
        <v>Новый</v>
      </c>
      <c r="G3147" s="68"/>
      <c r="K3147" s="68"/>
    </row>
    <row r="3148" spans="1:11" ht="12.75">
      <c r="A3148" s="69">
        <f ca="1">IFERROR(__xludf.DUMMYFUNCTION("""COMPUTED_VALUE"""),100712)</f>
        <v>100712</v>
      </c>
      <c r="B3148" s="4">
        <f ca="1">IFERROR(__xludf.DUMMYFUNCTION("""COMPUTED_VALUE"""),44740)</f>
        <v>44740</v>
      </c>
      <c r="C3148" t="str">
        <f ca="1">IFERROR(__xludf.DUMMYFUNCTION("""COMPUTED_VALUE"""),"ООО ""РЕГИОН 55"" 113-РДО от 01.07.2021")</f>
        <v>ООО "РЕГИОН 55" 113-РДО от 01.07.2021</v>
      </c>
      <c r="D31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8" t="str">
        <f ca="1">IFERROR(__xludf.DUMMYFUNCTION("""COMPUTED_VALUE"""),"Новый")</f>
        <v>Новый</v>
      </c>
      <c r="G3148" s="68"/>
      <c r="K3148" s="68"/>
    </row>
    <row r="3149" spans="1:11" ht="12.75">
      <c r="A3149" s="69">
        <f ca="1">IFERROR(__xludf.DUMMYFUNCTION("""COMPUTED_VALUE"""),100713)</f>
        <v>100713</v>
      </c>
      <c r="B3149" s="4">
        <f ca="1">IFERROR(__xludf.DUMMYFUNCTION("""COMPUTED_VALUE"""),44740)</f>
        <v>44740</v>
      </c>
      <c r="C3149" t="str">
        <f ca="1">IFERROR(__xludf.DUMMYFUNCTION("""COMPUTED_VALUE"""),"ООО ""РЕГИОН 55"" 113-РДО от 01.07.2021")</f>
        <v>ООО "РЕГИОН 55" 113-РДО от 01.07.2021</v>
      </c>
      <c r="D31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49" t="str">
        <f ca="1">IFERROR(__xludf.DUMMYFUNCTION("""COMPUTED_VALUE"""),"Новый")</f>
        <v>Новый</v>
      </c>
      <c r="G3149" s="68"/>
      <c r="K3149" s="68"/>
    </row>
    <row r="3150" spans="1:11" ht="12.75">
      <c r="A3150" s="69">
        <f ca="1">IFERROR(__xludf.DUMMYFUNCTION("""COMPUTED_VALUE"""),100714)</f>
        <v>100714</v>
      </c>
      <c r="B3150" s="4">
        <f ca="1">IFERROR(__xludf.DUMMYFUNCTION("""COMPUTED_VALUE"""),44740)</f>
        <v>44740</v>
      </c>
      <c r="C3150" t="str">
        <f ca="1">IFERROR(__xludf.DUMMYFUNCTION("""COMPUTED_VALUE"""),"ООО ""РЕГИОН 55"" 113-РДО от 01.07.2021")</f>
        <v>ООО "РЕГИОН 55" 113-РДО от 01.07.2021</v>
      </c>
      <c r="D31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0" t="str">
        <f ca="1">IFERROR(__xludf.DUMMYFUNCTION("""COMPUTED_VALUE"""),"Новый")</f>
        <v>Новый</v>
      </c>
      <c r="G3150" s="68"/>
      <c r="K3150" s="68"/>
    </row>
    <row r="3151" spans="1:11" ht="12.75">
      <c r="A3151" s="69">
        <f ca="1">IFERROR(__xludf.DUMMYFUNCTION("""COMPUTED_VALUE"""),100715)</f>
        <v>100715</v>
      </c>
      <c r="B3151" s="4">
        <f ca="1">IFERROR(__xludf.DUMMYFUNCTION("""COMPUTED_VALUE"""),44740)</f>
        <v>44740</v>
      </c>
      <c r="C3151" t="str">
        <f ca="1">IFERROR(__xludf.DUMMYFUNCTION("""COMPUTED_VALUE"""),"ООО ""РЕГИОН 55"" 113-РДО от 01.07.2021")</f>
        <v>ООО "РЕГИОН 55" 113-РДО от 01.07.2021</v>
      </c>
      <c r="D31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1" t="str">
        <f ca="1">IFERROR(__xludf.DUMMYFUNCTION("""COMPUTED_VALUE"""),"Новый")</f>
        <v>Новый</v>
      </c>
      <c r="G3151" s="68"/>
      <c r="K3151" s="68"/>
    </row>
    <row r="3152" spans="1:11" ht="12.75">
      <c r="A3152" s="69">
        <f ca="1">IFERROR(__xludf.DUMMYFUNCTION("""COMPUTED_VALUE"""),100716)</f>
        <v>100716</v>
      </c>
      <c r="B3152" s="4">
        <f ca="1">IFERROR(__xludf.DUMMYFUNCTION("""COMPUTED_VALUE"""),44740)</f>
        <v>44740</v>
      </c>
      <c r="C3152" t="str">
        <f ca="1">IFERROR(__xludf.DUMMYFUNCTION("""COMPUTED_VALUE"""),"ООО ""РЕГИОН 55"" 113-РДО от 01.07.2021")</f>
        <v>ООО "РЕГИОН 55" 113-РДО от 01.07.2021</v>
      </c>
      <c r="D31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2" t="str">
        <f ca="1">IFERROR(__xludf.DUMMYFUNCTION("""COMPUTED_VALUE"""),"Новый")</f>
        <v>Новый</v>
      </c>
      <c r="G3152" s="68"/>
      <c r="K3152" s="68"/>
    </row>
    <row r="3153" spans="1:11" ht="12.75">
      <c r="A3153" s="69">
        <f ca="1">IFERROR(__xludf.DUMMYFUNCTION("""COMPUTED_VALUE"""),100717)</f>
        <v>100717</v>
      </c>
      <c r="B3153" s="4">
        <f ca="1">IFERROR(__xludf.DUMMYFUNCTION("""COMPUTED_VALUE"""),44740)</f>
        <v>44740</v>
      </c>
      <c r="C3153" t="str">
        <f ca="1">IFERROR(__xludf.DUMMYFUNCTION("""COMPUTED_VALUE"""),"ООО ""РЕГИОН 55"" 113-РДО от 01.07.2021")</f>
        <v>ООО "РЕГИОН 55" 113-РДО от 01.07.2021</v>
      </c>
      <c r="D31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3" t="str">
        <f ca="1">IFERROR(__xludf.DUMMYFUNCTION("""COMPUTED_VALUE"""),"Новый")</f>
        <v>Новый</v>
      </c>
      <c r="G3153" s="68"/>
      <c r="K3153" s="68"/>
    </row>
    <row r="3154" spans="1:11" ht="12.75">
      <c r="A3154" s="69">
        <f ca="1">IFERROR(__xludf.DUMMYFUNCTION("""COMPUTED_VALUE"""),100718)</f>
        <v>100718</v>
      </c>
      <c r="B3154" s="4">
        <f ca="1">IFERROR(__xludf.DUMMYFUNCTION("""COMPUTED_VALUE"""),44740)</f>
        <v>44740</v>
      </c>
      <c r="C3154" t="str">
        <f ca="1">IFERROR(__xludf.DUMMYFUNCTION("""COMPUTED_VALUE"""),"ООО ""РЕГИОН 55"" 113-РДО от 01.07.2021")</f>
        <v>ООО "РЕГИОН 55" 113-РДО от 01.07.2021</v>
      </c>
      <c r="D31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4" t="str">
        <f ca="1">IFERROR(__xludf.DUMMYFUNCTION("""COMPUTED_VALUE"""),"Новый")</f>
        <v>Новый</v>
      </c>
      <c r="G3154" s="68"/>
      <c r="K3154" s="68"/>
    </row>
    <row r="3155" spans="1:11" ht="12.75">
      <c r="A3155" s="69">
        <f ca="1">IFERROR(__xludf.DUMMYFUNCTION("""COMPUTED_VALUE"""),100719)</f>
        <v>100719</v>
      </c>
      <c r="B3155" s="4">
        <f ca="1">IFERROR(__xludf.DUMMYFUNCTION("""COMPUTED_VALUE"""),44740)</f>
        <v>44740</v>
      </c>
      <c r="C3155" t="str">
        <f ca="1">IFERROR(__xludf.DUMMYFUNCTION("""COMPUTED_VALUE"""),"ООО ""РЕГИОН 55"" 113-РДО от 01.07.2021")</f>
        <v>ООО "РЕГИОН 55" 113-РДО от 01.07.2021</v>
      </c>
      <c r="D31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5" t="str">
        <f ca="1">IFERROR(__xludf.DUMMYFUNCTION("""COMPUTED_VALUE"""),"Новый")</f>
        <v>Новый</v>
      </c>
      <c r="G3155" s="68"/>
      <c r="K3155" s="68"/>
    </row>
    <row r="3156" spans="1:11" ht="12.75">
      <c r="A3156" s="69">
        <f ca="1">IFERROR(__xludf.DUMMYFUNCTION("""COMPUTED_VALUE"""),100720)</f>
        <v>100720</v>
      </c>
      <c r="B3156" s="4">
        <f ca="1">IFERROR(__xludf.DUMMYFUNCTION("""COMPUTED_VALUE"""),44740)</f>
        <v>44740</v>
      </c>
      <c r="C3156" t="str">
        <f ca="1">IFERROR(__xludf.DUMMYFUNCTION("""COMPUTED_VALUE"""),"ООО ""РЕГИОН 55"" 113-РДО от 01.07.2021")</f>
        <v>ООО "РЕГИОН 55" 113-РДО от 01.07.2021</v>
      </c>
      <c r="D31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6" t="str">
        <f ca="1">IFERROR(__xludf.DUMMYFUNCTION("""COMPUTED_VALUE"""),"Новый")</f>
        <v>Новый</v>
      </c>
      <c r="G3156" s="68"/>
      <c r="K3156" s="68"/>
    </row>
    <row r="3157" spans="1:11" ht="12.75">
      <c r="A3157" s="69">
        <f ca="1">IFERROR(__xludf.DUMMYFUNCTION("""COMPUTED_VALUE"""),100721)</f>
        <v>100721</v>
      </c>
      <c r="B3157" s="4">
        <f ca="1">IFERROR(__xludf.DUMMYFUNCTION("""COMPUTED_VALUE"""),44740)</f>
        <v>44740</v>
      </c>
      <c r="C3157" t="str">
        <f ca="1">IFERROR(__xludf.DUMMYFUNCTION("""COMPUTED_VALUE"""),"ООО ""РЕГИОН 55"" 113-РДО от 01.07.2021")</f>
        <v>ООО "РЕГИОН 55" 113-РДО от 01.07.2021</v>
      </c>
      <c r="D31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7" t="str">
        <f ca="1">IFERROR(__xludf.DUMMYFUNCTION("""COMPUTED_VALUE"""),"Новый")</f>
        <v>Новый</v>
      </c>
      <c r="G3157" s="68"/>
      <c r="K3157" s="68"/>
    </row>
    <row r="3158" spans="1:11" ht="12.75">
      <c r="A3158" s="69">
        <f ca="1">IFERROR(__xludf.DUMMYFUNCTION("""COMPUTED_VALUE"""),100722)</f>
        <v>100722</v>
      </c>
      <c r="B3158" s="4">
        <f ca="1">IFERROR(__xludf.DUMMYFUNCTION("""COMPUTED_VALUE"""),44740)</f>
        <v>44740</v>
      </c>
      <c r="C3158" t="str">
        <f ca="1">IFERROR(__xludf.DUMMYFUNCTION("""COMPUTED_VALUE"""),"ООО ""РЕГИОН 55"" 113-РДО от 01.07.2021")</f>
        <v>ООО "РЕГИОН 55" 113-РДО от 01.07.2021</v>
      </c>
      <c r="D31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8" t="str">
        <f ca="1">IFERROR(__xludf.DUMMYFUNCTION("""COMPUTED_VALUE"""),"Новый")</f>
        <v>Новый</v>
      </c>
      <c r="G3158" s="68"/>
      <c r="K3158" s="68"/>
    </row>
    <row r="3159" spans="1:11" ht="12.75">
      <c r="A3159" s="69">
        <f ca="1">IFERROR(__xludf.DUMMYFUNCTION("""COMPUTED_VALUE"""),100723)</f>
        <v>100723</v>
      </c>
      <c r="B3159" s="4">
        <f ca="1">IFERROR(__xludf.DUMMYFUNCTION("""COMPUTED_VALUE"""),44740)</f>
        <v>44740</v>
      </c>
      <c r="C3159" t="str">
        <f ca="1">IFERROR(__xludf.DUMMYFUNCTION("""COMPUTED_VALUE"""),"ООО ""РЕГИОН 55"" 113-РДО от 01.07.2021")</f>
        <v>ООО "РЕГИОН 55" 113-РДО от 01.07.2021</v>
      </c>
      <c r="D31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59" t="str">
        <f ca="1">IFERROR(__xludf.DUMMYFUNCTION("""COMPUTED_VALUE"""),"Новый")</f>
        <v>Новый</v>
      </c>
      <c r="G3159" s="68"/>
      <c r="K3159" s="68"/>
    </row>
    <row r="3160" spans="1:11" ht="12.75">
      <c r="A3160" s="69">
        <f ca="1">IFERROR(__xludf.DUMMYFUNCTION("""COMPUTED_VALUE"""),100724)</f>
        <v>100724</v>
      </c>
      <c r="B3160" s="4">
        <f ca="1">IFERROR(__xludf.DUMMYFUNCTION("""COMPUTED_VALUE"""),44740)</f>
        <v>44740</v>
      </c>
      <c r="C3160" t="str">
        <f ca="1">IFERROR(__xludf.DUMMYFUNCTION("""COMPUTED_VALUE"""),"ООО ""РЕГИОН 55"" 113-РДО от 01.07.2021")</f>
        <v>ООО "РЕГИОН 55" 113-РДО от 01.07.2021</v>
      </c>
      <c r="D31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60" t="str">
        <f ca="1">IFERROR(__xludf.DUMMYFUNCTION("""COMPUTED_VALUE"""),"Новый")</f>
        <v>Новый</v>
      </c>
      <c r="G3160" s="68"/>
      <c r="K3160" s="68"/>
    </row>
    <row r="3161" spans="1:11" ht="12.75">
      <c r="A3161" s="69">
        <f ca="1">IFERROR(__xludf.DUMMYFUNCTION("""COMPUTED_VALUE"""),100725)</f>
        <v>100725</v>
      </c>
      <c r="B3161" s="4">
        <f ca="1">IFERROR(__xludf.DUMMYFUNCTION("""COMPUTED_VALUE"""),44740)</f>
        <v>44740</v>
      </c>
      <c r="C3161" t="str">
        <f ca="1">IFERROR(__xludf.DUMMYFUNCTION("""COMPUTED_VALUE"""),"ООО ""РЕГИОН 55"" 113-РДО от 01.07.2021")</f>
        <v>ООО "РЕГИОН 55" 113-РДО от 01.07.2021</v>
      </c>
      <c r="D31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61" t="str">
        <f ca="1">IFERROR(__xludf.DUMMYFUNCTION("""COMPUTED_VALUE"""),"Новый")</f>
        <v>Новый</v>
      </c>
      <c r="G3161" s="68"/>
      <c r="K3161" s="68"/>
    </row>
    <row r="3162" spans="1:11" ht="12.75">
      <c r="A3162" s="69">
        <f ca="1">IFERROR(__xludf.DUMMYFUNCTION("""COMPUTED_VALUE"""),100726)</f>
        <v>100726</v>
      </c>
      <c r="B3162" s="4">
        <f ca="1">IFERROR(__xludf.DUMMYFUNCTION("""COMPUTED_VALUE"""),44741)</f>
        <v>44741</v>
      </c>
      <c r="C3162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2" t="str">
        <f ca="1">IFERROR(__xludf.DUMMYFUNCTION("""COMPUTED_VALUE"""),"Новый")</f>
        <v>Новый</v>
      </c>
      <c r="G3162" s="68"/>
      <c r="K3162" s="68"/>
    </row>
    <row r="3163" spans="1:11" ht="12.75">
      <c r="A3163" s="69">
        <f ca="1">IFERROR(__xludf.DUMMYFUNCTION("""COMPUTED_VALUE"""),100727)</f>
        <v>100727</v>
      </c>
      <c r="B3163" s="4">
        <f ca="1">IFERROR(__xludf.DUMMYFUNCTION("""COMPUTED_VALUE"""),44741)</f>
        <v>44741</v>
      </c>
      <c r="C3163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3" t="str">
        <f ca="1">IFERROR(__xludf.DUMMYFUNCTION("""COMPUTED_VALUE"""),"Новый")</f>
        <v>Новый</v>
      </c>
      <c r="G3163" s="68"/>
      <c r="K3163" s="68"/>
    </row>
    <row r="3164" spans="1:11" ht="12.75">
      <c r="A3164" s="69">
        <f ca="1">IFERROR(__xludf.DUMMYFUNCTION("""COMPUTED_VALUE"""),100728)</f>
        <v>100728</v>
      </c>
      <c r="B3164" s="4">
        <f ca="1">IFERROR(__xludf.DUMMYFUNCTION("""COMPUTED_VALUE"""),44741)</f>
        <v>44741</v>
      </c>
      <c r="C3164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4" t="str">
        <f ca="1">IFERROR(__xludf.DUMMYFUNCTION("""COMPUTED_VALUE"""),"Новый")</f>
        <v>Новый</v>
      </c>
      <c r="G3164" s="68"/>
      <c r="K3164" s="68"/>
    </row>
    <row r="3165" spans="1:11" ht="12.75">
      <c r="A3165" s="69">
        <f ca="1">IFERROR(__xludf.DUMMYFUNCTION("""COMPUTED_VALUE"""),100729)</f>
        <v>100729</v>
      </c>
      <c r="B3165" s="4">
        <f ca="1">IFERROR(__xludf.DUMMYFUNCTION("""COMPUTED_VALUE"""),44741)</f>
        <v>44741</v>
      </c>
      <c r="C3165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5" t="str">
        <f ca="1">IFERROR(__xludf.DUMMYFUNCTION("""COMPUTED_VALUE"""),"Новый")</f>
        <v>Новый</v>
      </c>
      <c r="G3165" s="68"/>
      <c r="K3165" s="68"/>
    </row>
    <row r="3166" spans="1:11" ht="12.75">
      <c r="A3166" s="69">
        <f ca="1">IFERROR(__xludf.DUMMYFUNCTION("""COMPUTED_VALUE"""),100730)</f>
        <v>100730</v>
      </c>
      <c r="B3166" s="4">
        <f ca="1">IFERROR(__xludf.DUMMYFUNCTION("""COMPUTED_VALUE"""),44741)</f>
        <v>44741</v>
      </c>
      <c r="C3166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6" t="str">
        <f ca="1">IFERROR(__xludf.DUMMYFUNCTION("""COMPUTED_VALUE"""),"Новый")</f>
        <v>Новый</v>
      </c>
      <c r="G3166" s="68"/>
      <c r="K3166" s="68"/>
    </row>
    <row r="3167" spans="1:11" ht="12.75">
      <c r="A3167" s="69">
        <f ca="1">IFERROR(__xludf.DUMMYFUNCTION("""COMPUTED_VALUE"""),100731)</f>
        <v>100731</v>
      </c>
      <c r="B3167" s="4">
        <f ca="1">IFERROR(__xludf.DUMMYFUNCTION("""COMPUTED_VALUE"""),44741)</f>
        <v>44741</v>
      </c>
      <c r="C3167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7" t="str">
        <f ca="1">IFERROR(__xludf.DUMMYFUNCTION("""COMPUTED_VALUE"""),"Новый")</f>
        <v>Новый</v>
      </c>
      <c r="G3167" s="68"/>
      <c r="K3167" s="68"/>
    </row>
    <row r="3168" spans="1:11" ht="12.75">
      <c r="A3168" s="69">
        <f ca="1">IFERROR(__xludf.DUMMYFUNCTION("""COMPUTED_VALUE"""),100733)</f>
        <v>100733</v>
      </c>
      <c r="B3168" s="4">
        <f ca="1">IFERROR(__xludf.DUMMYFUNCTION("""COMPUTED_VALUE"""),44741)</f>
        <v>44741</v>
      </c>
      <c r="C3168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31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168" t="str">
        <f ca="1">IFERROR(__xludf.DUMMYFUNCTION("""COMPUTED_VALUE"""),"Новый")</f>
        <v>Новый</v>
      </c>
      <c r="G3168" s="68"/>
      <c r="K3168" s="68"/>
    </row>
    <row r="3169" spans="1:11" ht="12.75">
      <c r="A3169" s="69">
        <f ca="1">IFERROR(__xludf.DUMMYFUNCTION("""COMPUTED_VALUE"""),100746)</f>
        <v>100746</v>
      </c>
      <c r="B3169" s="4">
        <f ca="1">IFERROR(__xludf.DUMMYFUNCTION("""COMPUTED_VALUE"""),44742)</f>
        <v>44742</v>
      </c>
      <c r="C3169" t="str">
        <f ca="1">IFERROR(__xludf.DUMMYFUNCTION("""COMPUTED_VALUE"""),"БУЗОО ""ДС № 1"" 184-РДО от 26.05.2022")</f>
        <v>БУЗОО "ДС № 1" 184-РДО от 26.05.2022</v>
      </c>
      <c r="D31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69" t="str">
        <f ca="1">IFERROR(__xludf.DUMMYFUNCTION("""COMPUTED_VALUE"""),"Новый")</f>
        <v>Новый</v>
      </c>
      <c r="G3169" s="68"/>
      <c r="K3169" s="68"/>
    </row>
    <row r="3170" spans="1:11" ht="12.75">
      <c r="A3170" s="69">
        <f ca="1">IFERROR(__xludf.DUMMYFUNCTION("""COMPUTED_VALUE"""),100747)</f>
        <v>100747</v>
      </c>
      <c r="B3170" s="4">
        <f ca="1">IFERROR(__xludf.DUMMYFUNCTION("""COMPUTED_VALUE"""),44742)</f>
        <v>44742</v>
      </c>
      <c r="C3170" t="str">
        <f ca="1">IFERROR(__xludf.DUMMYFUNCTION("""COMPUTED_VALUE"""),"БУЗОО ""ДС № 1"" 184-РДО от 26.05.2022")</f>
        <v>БУЗОО "ДС № 1" 184-РДО от 26.05.2022</v>
      </c>
      <c r="D31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0" t="str">
        <f ca="1">IFERROR(__xludf.DUMMYFUNCTION("""COMPUTED_VALUE"""),"Новый")</f>
        <v>Новый</v>
      </c>
      <c r="G3170" s="68"/>
      <c r="K3170" s="68"/>
    </row>
    <row r="3171" spans="1:11" ht="12.75">
      <c r="A3171" s="69">
        <f ca="1">IFERROR(__xludf.DUMMYFUNCTION("""COMPUTED_VALUE"""),100748)</f>
        <v>100748</v>
      </c>
      <c r="B3171" s="4">
        <f ca="1">IFERROR(__xludf.DUMMYFUNCTION("""COMPUTED_VALUE"""),44742)</f>
        <v>44742</v>
      </c>
      <c r="C3171" t="str">
        <f ca="1">IFERROR(__xludf.DUMMYFUNCTION("""COMPUTED_VALUE"""),"БУЗОО ""ДС № 1"" 184-РДО от 26.05.2022")</f>
        <v>БУЗОО "ДС № 1" 184-РДО от 26.05.2022</v>
      </c>
      <c r="D31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1" t="str">
        <f ca="1">IFERROR(__xludf.DUMMYFUNCTION("""COMPUTED_VALUE"""),"Новый")</f>
        <v>Новый</v>
      </c>
      <c r="G3171" s="68"/>
      <c r="K3171" s="68"/>
    </row>
    <row r="3172" spans="1:11" ht="12.75">
      <c r="A3172" s="69">
        <f ca="1">IFERROR(__xludf.DUMMYFUNCTION("""COMPUTED_VALUE"""),100749)</f>
        <v>100749</v>
      </c>
      <c r="B3172" s="4">
        <f ca="1">IFERROR(__xludf.DUMMYFUNCTION("""COMPUTED_VALUE"""),44742)</f>
        <v>44742</v>
      </c>
      <c r="C3172" t="str">
        <f ca="1">IFERROR(__xludf.DUMMYFUNCTION("""COMPUTED_VALUE"""),"БУЗОО ""ДС № 1"" 184-РДО от 26.05.2022")</f>
        <v>БУЗОО "ДС № 1" 184-РДО от 26.05.2022</v>
      </c>
      <c r="D31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2" t="str">
        <f ca="1">IFERROR(__xludf.DUMMYFUNCTION("""COMPUTED_VALUE"""),"Новый")</f>
        <v>Новый</v>
      </c>
      <c r="G3172" s="68"/>
      <c r="K3172" s="68"/>
    </row>
    <row r="3173" spans="1:11" ht="12.75">
      <c r="A3173" s="69">
        <f ca="1">IFERROR(__xludf.DUMMYFUNCTION("""COMPUTED_VALUE"""),100750)</f>
        <v>100750</v>
      </c>
      <c r="B3173" s="4">
        <f ca="1">IFERROR(__xludf.DUMMYFUNCTION("""COMPUTED_VALUE"""),44742)</f>
        <v>44742</v>
      </c>
      <c r="C3173" t="str">
        <f ca="1">IFERROR(__xludf.DUMMYFUNCTION("""COMPUTED_VALUE"""),"БУЗОО ""ДС № 1"" 184-РДО от 26.05.2022")</f>
        <v>БУЗОО "ДС № 1" 184-РДО от 26.05.2022</v>
      </c>
      <c r="D31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3" t="str">
        <f ca="1">IFERROR(__xludf.DUMMYFUNCTION("""COMPUTED_VALUE"""),"Новый")</f>
        <v>Новый</v>
      </c>
      <c r="G3173" s="68"/>
      <c r="K3173" s="68"/>
    </row>
    <row r="3174" spans="1:11" ht="12.75">
      <c r="A3174" s="69">
        <f ca="1">IFERROR(__xludf.DUMMYFUNCTION("""COMPUTED_VALUE"""),100751)</f>
        <v>100751</v>
      </c>
      <c r="B3174" s="4">
        <f ca="1">IFERROR(__xludf.DUMMYFUNCTION("""COMPUTED_VALUE"""),44742)</f>
        <v>44742</v>
      </c>
      <c r="C3174" t="str">
        <f ca="1">IFERROR(__xludf.DUMMYFUNCTION("""COMPUTED_VALUE"""),"БУЗОО ""ДС № 1"" 184-РДО от 26.05.2022")</f>
        <v>БУЗОО "ДС № 1" 184-РДО от 26.05.2022</v>
      </c>
      <c r="D31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4" t="str">
        <f ca="1">IFERROR(__xludf.DUMMYFUNCTION("""COMPUTED_VALUE"""),"Новый")</f>
        <v>Новый</v>
      </c>
      <c r="G3174" s="68"/>
      <c r="K3174" s="68"/>
    </row>
    <row r="3175" spans="1:11" ht="12.75">
      <c r="A3175" s="69">
        <f ca="1">IFERROR(__xludf.DUMMYFUNCTION("""COMPUTED_VALUE"""),100752)</f>
        <v>100752</v>
      </c>
      <c r="B3175" s="4">
        <f ca="1">IFERROR(__xludf.DUMMYFUNCTION("""COMPUTED_VALUE"""),44742)</f>
        <v>44742</v>
      </c>
      <c r="C3175" t="str">
        <f ca="1">IFERROR(__xludf.DUMMYFUNCTION("""COMPUTED_VALUE"""),"БУЗОО ""ДС № 1"" 184-РДО от 26.05.2022")</f>
        <v>БУЗОО "ДС № 1" 184-РДО от 26.05.2022</v>
      </c>
      <c r="D31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5" t="str">
        <f ca="1">IFERROR(__xludf.DUMMYFUNCTION("""COMPUTED_VALUE"""),"Новый")</f>
        <v>Новый</v>
      </c>
      <c r="G3175" s="68"/>
      <c r="K3175" s="68"/>
    </row>
    <row r="3176" spans="1:11" ht="12.75">
      <c r="A3176" s="69">
        <f ca="1">IFERROR(__xludf.DUMMYFUNCTION("""COMPUTED_VALUE"""),100754)</f>
        <v>100754</v>
      </c>
      <c r="B3176" s="4">
        <f ca="1">IFERROR(__xludf.DUMMYFUNCTION("""COMPUTED_VALUE"""),44742)</f>
        <v>44742</v>
      </c>
      <c r="C3176" t="str">
        <f ca="1">IFERROR(__xludf.DUMMYFUNCTION("""COMPUTED_VALUE"""),"БУЗОО ""ДС № 1"" 184-РДО от 26.05.2022")</f>
        <v>БУЗОО "ДС № 1" 184-РДО от 26.05.2022</v>
      </c>
      <c r="D31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6" t="str">
        <f ca="1">IFERROR(__xludf.DUMMYFUNCTION("""COMPUTED_VALUE"""),"Новый")</f>
        <v>Новый</v>
      </c>
      <c r="G3176" s="68"/>
      <c r="K3176" s="68"/>
    </row>
    <row r="3177" spans="1:11" ht="12.75">
      <c r="A3177" s="69">
        <f ca="1">IFERROR(__xludf.DUMMYFUNCTION("""COMPUTED_VALUE"""),100755)</f>
        <v>100755</v>
      </c>
      <c r="B3177" s="4">
        <f ca="1">IFERROR(__xludf.DUMMYFUNCTION("""COMPUTED_VALUE"""),44742)</f>
        <v>44742</v>
      </c>
      <c r="C3177" t="str">
        <f ca="1">IFERROR(__xludf.DUMMYFUNCTION("""COMPUTED_VALUE"""),"БУЗОО ""ДС № 1"" 184-РДО от 26.05.2022")</f>
        <v>БУЗОО "ДС № 1" 184-РДО от 26.05.2022</v>
      </c>
      <c r="D31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7" t="str">
        <f ca="1">IFERROR(__xludf.DUMMYFUNCTION("""COMPUTED_VALUE"""),"Новый")</f>
        <v>Новый</v>
      </c>
      <c r="G3177" s="68"/>
      <c r="K3177" s="68"/>
    </row>
    <row r="3178" spans="1:11" ht="12.75">
      <c r="A3178" s="69">
        <f ca="1">IFERROR(__xludf.DUMMYFUNCTION("""COMPUTED_VALUE"""),100796)</f>
        <v>100796</v>
      </c>
      <c r="B3178" s="4">
        <f ca="1">IFERROR(__xludf.DUMMYFUNCTION("""COMPUTED_VALUE"""),44743)</f>
        <v>44743</v>
      </c>
      <c r="C3178" t="str">
        <f ca="1">IFERROR(__xludf.DUMMYFUNCTION("""COMPUTED_VALUE"""),"БУ Г. ОМСКА ""УДХБ"" 190-РДО ")</f>
        <v xml:space="preserve">БУ Г. ОМСКА "УДХБ" 190-РДО </v>
      </c>
      <c r="D31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8" t="str">
        <f ca="1">IFERROR(__xludf.DUMMYFUNCTION("""COMPUTED_VALUE"""),"Новый")</f>
        <v>Новый</v>
      </c>
      <c r="G3178" s="68"/>
      <c r="K3178" s="68"/>
    </row>
    <row r="3179" spans="1:11" ht="12.75">
      <c r="A3179" s="69">
        <f ca="1">IFERROR(__xludf.DUMMYFUNCTION("""COMPUTED_VALUE"""),100797)</f>
        <v>100797</v>
      </c>
      <c r="B3179" s="4">
        <f ca="1">IFERROR(__xludf.DUMMYFUNCTION("""COMPUTED_VALUE"""),44743)</f>
        <v>44743</v>
      </c>
      <c r="C3179" t="str">
        <f ca="1">IFERROR(__xludf.DUMMYFUNCTION("""COMPUTED_VALUE"""),"БУ Г. ОМСКА ""УДХБ"" 190-РДО ")</f>
        <v xml:space="preserve">БУ Г. ОМСКА "УДХБ" 190-РДО </v>
      </c>
      <c r="D31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79" t="str">
        <f ca="1">IFERROR(__xludf.DUMMYFUNCTION("""COMPUTED_VALUE"""),"Новый")</f>
        <v>Новый</v>
      </c>
      <c r="G3179" s="68"/>
      <c r="K3179" s="68"/>
    </row>
    <row r="3180" spans="1:11" ht="12.75">
      <c r="A3180" s="69">
        <f ca="1">IFERROR(__xludf.DUMMYFUNCTION("""COMPUTED_VALUE"""),100814)</f>
        <v>100814</v>
      </c>
      <c r="B3180" s="4">
        <f ca="1">IFERROR(__xludf.DUMMYFUNCTION("""COMPUTED_VALUE"""),44743)</f>
        <v>44743</v>
      </c>
      <c r="C3180" t="str">
        <f ca="1">IFERROR(__xludf.DUMMYFUNCTION("""COMPUTED_VALUE"""),"БУ Г. ОМСКА ""УДХБ"" 190-РДО ")</f>
        <v xml:space="preserve">БУ Г. ОМСКА "УДХБ" 190-РДО </v>
      </c>
      <c r="D31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0" t="str">
        <f ca="1">IFERROR(__xludf.DUMMYFUNCTION("""COMPUTED_VALUE"""),"Новый")</f>
        <v>Новый</v>
      </c>
      <c r="G3180" s="68"/>
      <c r="K3180" s="68"/>
    </row>
    <row r="3181" spans="1:11" ht="12.75">
      <c r="A3181" s="69">
        <f ca="1">IFERROR(__xludf.DUMMYFUNCTION("""COMPUTED_VALUE"""),100856)</f>
        <v>100856</v>
      </c>
      <c r="B3181" s="4">
        <f ca="1">IFERROR(__xludf.DUMMYFUNCTION("""COMPUTED_VALUE"""),44746)</f>
        <v>44746</v>
      </c>
      <c r="C3181" t="str">
        <f ca="1">IFERROR(__xludf.DUMMYFUNCTION("""COMPUTED_VALUE"""),"БУ Г. ОМСКА ""УДХБ"" 190-РДО ")</f>
        <v xml:space="preserve">БУ Г. ОМСКА "УДХБ" 190-РДО </v>
      </c>
      <c r="D31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1" t="str">
        <f ca="1">IFERROR(__xludf.DUMMYFUNCTION("""COMPUTED_VALUE"""),"Новый")</f>
        <v>Новый</v>
      </c>
      <c r="G3181" s="68"/>
      <c r="K3181" s="68"/>
    </row>
    <row r="3182" spans="1:11" ht="12.75">
      <c r="A3182" s="69">
        <f ca="1">IFERROR(__xludf.DUMMYFUNCTION("""COMPUTED_VALUE"""),100857)</f>
        <v>100857</v>
      </c>
      <c r="B3182" s="4">
        <f ca="1">IFERROR(__xludf.DUMMYFUNCTION("""COMPUTED_VALUE"""),44746)</f>
        <v>44746</v>
      </c>
      <c r="C3182" t="str">
        <f ca="1">IFERROR(__xludf.DUMMYFUNCTION("""COMPUTED_VALUE"""),"БУ Г. ОМСКА ""УДХБ"" 190-РДО ")</f>
        <v xml:space="preserve">БУ Г. ОМСКА "УДХБ" 190-РДО </v>
      </c>
      <c r="D31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2" t="str">
        <f ca="1">IFERROR(__xludf.DUMMYFUNCTION("""COMPUTED_VALUE"""),"Новый")</f>
        <v>Новый</v>
      </c>
      <c r="G3182" s="68"/>
      <c r="K3182" s="68"/>
    </row>
    <row r="3183" spans="1:11" ht="12.75">
      <c r="A3183" s="69">
        <f ca="1">IFERROR(__xludf.DUMMYFUNCTION("""COMPUTED_VALUE"""),100858)</f>
        <v>100858</v>
      </c>
      <c r="B3183" s="4">
        <f ca="1">IFERROR(__xludf.DUMMYFUNCTION("""COMPUTED_VALUE"""),44746)</f>
        <v>44746</v>
      </c>
      <c r="C3183" t="str">
        <f ca="1">IFERROR(__xludf.DUMMYFUNCTION("""COMPUTED_VALUE"""),"БУ Г. ОМСКА ""УДХБ"" 190-РДО ")</f>
        <v xml:space="preserve">БУ Г. ОМСКА "УДХБ" 190-РДО </v>
      </c>
      <c r="D31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3" t="str">
        <f ca="1">IFERROR(__xludf.DUMMYFUNCTION("""COMPUTED_VALUE"""),"Новый")</f>
        <v>Новый</v>
      </c>
      <c r="G3183" s="68"/>
      <c r="K3183" s="68"/>
    </row>
    <row r="3184" spans="1:11" ht="12.75">
      <c r="A3184" s="69">
        <f ca="1">IFERROR(__xludf.DUMMYFUNCTION("""COMPUTED_VALUE"""),100859)</f>
        <v>100859</v>
      </c>
      <c r="B3184" s="4">
        <f ca="1">IFERROR(__xludf.DUMMYFUNCTION("""COMPUTED_VALUE"""),44746)</f>
        <v>44746</v>
      </c>
      <c r="C3184" t="str">
        <f ca="1">IFERROR(__xludf.DUMMYFUNCTION("""COMPUTED_VALUE"""),"БУ Г. ОМСКА ""УДХБ"" 190-РДО ")</f>
        <v xml:space="preserve">БУ Г. ОМСКА "УДХБ" 190-РДО </v>
      </c>
      <c r="D31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4" t="str">
        <f ca="1">IFERROR(__xludf.DUMMYFUNCTION("""COMPUTED_VALUE"""),"Новый")</f>
        <v>Новый</v>
      </c>
      <c r="G3184" s="68"/>
      <c r="K3184" s="68"/>
    </row>
    <row r="3185" spans="1:11" ht="12.75">
      <c r="A3185" s="69">
        <f ca="1">IFERROR(__xludf.DUMMYFUNCTION("""COMPUTED_VALUE"""),100860)</f>
        <v>100860</v>
      </c>
      <c r="B3185" s="4">
        <f ca="1">IFERROR(__xludf.DUMMYFUNCTION("""COMPUTED_VALUE"""),44746)</f>
        <v>44746</v>
      </c>
      <c r="C3185" t="str">
        <f ca="1">IFERROR(__xludf.DUMMYFUNCTION("""COMPUTED_VALUE"""),"БУ Г. ОМСКА ""УДХБ"" 190-РДО ")</f>
        <v xml:space="preserve">БУ Г. ОМСКА "УДХБ" 190-РДО </v>
      </c>
      <c r="D31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5" t="str">
        <f ca="1">IFERROR(__xludf.DUMMYFUNCTION("""COMPUTED_VALUE"""),"Новый")</f>
        <v>Новый</v>
      </c>
      <c r="G3185" s="68"/>
      <c r="K3185" s="68"/>
    </row>
    <row r="3186" spans="1:11" ht="12.75">
      <c r="A3186" s="69">
        <f ca="1">IFERROR(__xludf.DUMMYFUNCTION("""COMPUTED_VALUE"""),100861)</f>
        <v>100861</v>
      </c>
      <c r="B3186" s="4">
        <f ca="1">IFERROR(__xludf.DUMMYFUNCTION("""COMPUTED_VALUE"""),44746)</f>
        <v>44746</v>
      </c>
      <c r="C3186" t="str">
        <f ca="1">IFERROR(__xludf.DUMMYFUNCTION("""COMPUTED_VALUE"""),"БУ Г. ОМСКА ""УДХБ"" 190-РДО ")</f>
        <v xml:space="preserve">БУ Г. ОМСКА "УДХБ" 190-РДО </v>
      </c>
      <c r="D31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6" t="str">
        <f ca="1">IFERROR(__xludf.DUMMYFUNCTION("""COMPUTED_VALUE"""),"Новый")</f>
        <v>Новый</v>
      </c>
      <c r="G3186" s="68"/>
      <c r="K3186" s="68"/>
    </row>
    <row r="3187" spans="1:11" ht="12.75">
      <c r="A3187" s="69">
        <f ca="1">IFERROR(__xludf.DUMMYFUNCTION("""COMPUTED_VALUE"""),100862)</f>
        <v>100862</v>
      </c>
      <c r="B3187" s="4">
        <f ca="1">IFERROR(__xludf.DUMMYFUNCTION("""COMPUTED_VALUE"""),44746)</f>
        <v>44746</v>
      </c>
      <c r="C3187" t="str">
        <f ca="1">IFERROR(__xludf.DUMMYFUNCTION("""COMPUTED_VALUE"""),"БУ Г. ОМСКА ""УДХБ"" 190-РДО ")</f>
        <v xml:space="preserve">БУ Г. ОМСКА "УДХБ" 190-РДО </v>
      </c>
      <c r="D31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7" t="str">
        <f ca="1">IFERROR(__xludf.DUMMYFUNCTION("""COMPUTED_VALUE"""),"Новый")</f>
        <v>Новый</v>
      </c>
      <c r="G3187" s="68"/>
      <c r="K3187" s="68"/>
    </row>
    <row r="3188" spans="1:11" ht="12.75">
      <c r="A3188" s="69">
        <f ca="1">IFERROR(__xludf.DUMMYFUNCTION("""COMPUTED_VALUE"""),100863)</f>
        <v>100863</v>
      </c>
      <c r="B3188" s="4">
        <f ca="1">IFERROR(__xludf.DUMMYFUNCTION("""COMPUTED_VALUE"""),44746)</f>
        <v>44746</v>
      </c>
      <c r="C3188" t="str">
        <f ca="1">IFERROR(__xludf.DUMMYFUNCTION("""COMPUTED_VALUE"""),"БУ Г. ОМСКА ""УДХБ"" 190-РДО ")</f>
        <v xml:space="preserve">БУ Г. ОМСКА "УДХБ" 190-РДО </v>
      </c>
      <c r="D31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8" t="str">
        <f ca="1">IFERROR(__xludf.DUMMYFUNCTION("""COMPUTED_VALUE"""),"Новый")</f>
        <v>Новый</v>
      </c>
      <c r="G3188" s="68"/>
      <c r="K3188" s="68"/>
    </row>
    <row r="3189" spans="1:11" ht="12.75">
      <c r="A3189" s="69">
        <f ca="1">IFERROR(__xludf.DUMMYFUNCTION("""COMPUTED_VALUE"""),100864)</f>
        <v>100864</v>
      </c>
      <c r="B3189" s="4">
        <f ca="1">IFERROR(__xludf.DUMMYFUNCTION("""COMPUTED_VALUE"""),44746)</f>
        <v>44746</v>
      </c>
      <c r="C3189" t="str">
        <f ca="1">IFERROR(__xludf.DUMMYFUNCTION("""COMPUTED_VALUE"""),"БУ Г. ОМСКА ""УДХБ"" 190-РДО ")</f>
        <v xml:space="preserve">БУ Г. ОМСКА "УДХБ" 190-РДО </v>
      </c>
      <c r="D31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89" t="str">
        <f ca="1">IFERROR(__xludf.DUMMYFUNCTION("""COMPUTED_VALUE"""),"Новый")</f>
        <v>Новый</v>
      </c>
      <c r="G3189" s="68"/>
      <c r="K3189" s="68"/>
    </row>
    <row r="3190" spans="1:11" ht="12.75">
      <c r="A3190" s="69">
        <f ca="1">IFERROR(__xludf.DUMMYFUNCTION("""COMPUTED_VALUE"""),100865)</f>
        <v>100865</v>
      </c>
      <c r="B3190" s="4">
        <f ca="1">IFERROR(__xludf.DUMMYFUNCTION("""COMPUTED_VALUE"""),44746)</f>
        <v>44746</v>
      </c>
      <c r="C3190" t="str">
        <f ca="1">IFERROR(__xludf.DUMMYFUNCTION("""COMPUTED_VALUE"""),"БУ Г. ОМСКА ""УДХБ"" 190-РДО ")</f>
        <v xml:space="preserve">БУ Г. ОМСКА "УДХБ" 190-РДО </v>
      </c>
      <c r="D31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0" t="str">
        <f ca="1">IFERROR(__xludf.DUMMYFUNCTION("""COMPUTED_VALUE"""),"Новый")</f>
        <v>Новый</v>
      </c>
      <c r="G3190" s="68"/>
      <c r="K3190" s="68"/>
    </row>
    <row r="3191" spans="1:11" ht="12.75">
      <c r="A3191" s="69">
        <f ca="1">IFERROR(__xludf.DUMMYFUNCTION("""COMPUTED_VALUE"""),100866)</f>
        <v>100866</v>
      </c>
      <c r="B3191" s="4">
        <f ca="1">IFERROR(__xludf.DUMMYFUNCTION("""COMPUTED_VALUE"""),44746)</f>
        <v>44746</v>
      </c>
      <c r="C3191" t="str">
        <f ca="1">IFERROR(__xludf.DUMMYFUNCTION("""COMPUTED_VALUE"""),"БУ Г. ОМСКА ""УДХБ"" 190-РДО ")</f>
        <v xml:space="preserve">БУ Г. ОМСКА "УДХБ" 190-РДО </v>
      </c>
      <c r="D31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1" t="str">
        <f ca="1">IFERROR(__xludf.DUMMYFUNCTION("""COMPUTED_VALUE"""),"Новый")</f>
        <v>Новый</v>
      </c>
      <c r="G3191" s="68"/>
      <c r="K3191" s="68"/>
    </row>
    <row r="3192" spans="1:11" ht="12.75">
      <c r="A3192" s="69">
        <f ca="1">IFERROR(__xludf.DUMMYFUNCTION("""COMPUTED_VALUE"""),100867)</f>
        <v>100867</v>
      </c>
      <c r="B3192" s="4">
        <f ca="1">IFERROR(__xludf.DUMMYFUNCTION("""COMPUTED_VALUE"""),44746)</f>
        <v>44746</v>
      </c>
      <c r="C3192" t="str">
        <f ca="1">IFERROR(__xludf.DUMMYFUNCTION("""COMPUTED_VALUE"""),"БУ Г. ОМСКА ""УДХБ"" 190-РДО ")</f>
        <v xml:space="preserve">БУ Г. ОМСКА "УДХБ" 190-РДО </v>
      </c>
      <c r="D31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2" t="str">
        <f ca="1">IFERROR(__xludf.DUMMYFUNCTION("""COMPUTED_VALUE"""),"Новый")</f>
        <v>Новый</v>
      </c>
      <c r="G3192" s="68"/>
      <c r="K3192" s="68"/>
    </row>
    <row r="3193" spans="1:11" ht="12.75">
      <c r="A3193" s="69">
        <f ca="1">IFERROR(__xludf.DUMMYFUNCTION("""COMPUTED_VALUE"""),100868)</f>
        <v>100868</v>
      </c>
      <c r="B3193" s="4">
        <f ca="1">IFERROR(__xludf.DUMMYFUNCTION("""COMPUTED_VALUE"""),44746)</f>
        <v>44746</v>
      </c>
      <c r="C3193" t="str">
        <f ca="1">IFERROR(__xludf.DUMMYFUNCTION("""COMPUTED_VALUE"""),"БУ Г. ОМСКА ""УДХБ"" 190-РДО ")</f>
        <v xml:space="preserve">БУ Г. ОМСКА "УДХБ" 190-РДО </v>
      </c>
      <c r="D31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3" t="str">
        <f ca="1">IFERROR(__xludf.DUMMYFUNCTION("""COMPUTED_VALUE"""),"Новый")</f>
        <v>Новый</v>
      </c>
      <c r="G3193" s="68"/>
      <c r="K3193" s="68"/>
    </row>
    <row r="3194" spans="1:11" ht="12.75">
      <c r="A3194" s="69">
        <f ca="1">IFERROR(__xludf.DUMMYFUNCTION("""COMPUTED_VALUE"""),100869)</f>
        <v>100869</v>
      </c>
      <c r="B3194" s="4">
        <f ca="1">IFERROR(__xludf.DUMMYFUNCTION("""COMPUTED_VALUE"""),44746)</f>
        <v>44746</v>
      </c>
      <c r="C3194" t="str">
        <f ca="1">IFERROR(__xludf.DUMMYFUNCTION("""COMPUTED_VALUE"""),"БУ Г. ОМСКА ""УДХБ"" 190-РДО ")</f>
        <v xml:space="preserve">БУ Г. ОМСКА "УДХБ" 190-РДО </v>
      </c>
      <c r="D31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4" t="str">
        <f ca="1">IFERROR(__xludf.DUMMYFUNCTION("""COMPUTED_VALUE"""),"Новый")</f>
        <v>Новый</v>
      </c>
      <c r="G3194" s="68"/>
      <c r="K3194" s="68"/>
    </row>
    <row r="3195" spans="1:11" ht="12.75">
      <c r="A3195" s="69">
        <f ca="1">IFERROR(__xludf.DUMMYFUNCTION("""COMPUTED_VALUE"""),100870)</f>
        <v>100870</v>
      </c>
      <c r="B3195" s="4">
        <f ca="1">IFERROR(__xludf.DUMMYFUNCTION("""COMPUTED_VALUE"""),44746)</f>
        <v>44746</v>
      </c>
      <c r="C3195" t="str">
        <f ca="1">IFERROR(__xludf.DUMMYFUNCTION("""COMPUTED_VALUE"""),"БУ Г. ОМСКА ""УДХБ"" 190-РДО ")</f>
        <v xml:space="preserve">БУ Г. ОМСКА "УДХБ" 190-РДО </v>
      </c>
      <c r="D31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5" t="str">
        <f ca="1">IFERROR(__xludf.DUMMYFUNCTION("""COMPUTED_VALUE"""),"Новый")</f>
        <v>Новый</v>
      </c>
      <c r="G3195" s="68"/>
      <c r="K3195" s="68"/>
    </row>
    <row r="3196" spans="1:11" ht="12.75">
      <c r="A3196" s="69">
        <f ca="1">IFERROR(__xludf.DUMMYFUNCTION("""COMPUTED_VALUE"""),100871)</f>
        <v>100871</v>
      </c>
      <c r="B3196" s="4">
        <f ca="1">IFERROR(__xludf.DUMMYFUNCTION("""COMPUTED_VALUE"""),44746)</f>
        <v>44746</v>
      </c>
      <c r="C3196" t="str">
        <f ca="1">IFERROR(__xludf.DUMMYFUNCTION("""COMPUTED_VALUE"""),"БУ Г. ОМСКА ""УДХБ"" 190-РДО ")</f>
        <v xml:space="preserve">БУ Г. ОМСКА "УДХБ" 190-РДО </v>
      </c>
      <c r="D31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6" t="str">
        <f ca="1">IFERROR(__xludf.DUMMYFUNCTION("""COMPUTED_VALUE"""),"Новый")</f>
        <v>Новый</v>
      </c>
      <c r="G3196" s="68"/>
      <c r="K3196" s="68"/>
    </row>
    <row r="3197" spans="1:11" ht="12.75">
      <c r="A3197" s="69">
        <f ca="1">IFERROR(__xludf.DUMMYFUNCTION("""COMPUTED_VALUE"""),100872)</f>
        <v>100872</v>
      </c>
      <c r="B3197" s="4">
        <f ca="1">IFERROR(__xludf.DUMMYFUNCTION("""COMPUTED_VALUE"""),44746)</f>
        <v>44746</v>
      </c>
      <c r="C3197" t="str">
        <f ca="1">IFERROR(__xludf.DUMMYFUNCTION("""COMPUTED_VALUE"""),"БУ Г. ОМСКА ""УДХБ"" 190-РДО ")</f>
        <v xml:space="preserve">БУ Г. ОМСКА "УДХБ" 190-РДО </v>
      </c>
      <c r="D31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7" t="str">
        <f ca="1">IFERROR(__xludf.DUMMYFUNCTION("""COMPUTED_VALUE"""),"Новый")</f>
        <v>Новый</v>
      </c>
      <c r="G3197" s="68"/>
      <c r="K3197" s="68"/>
    </row>
    <row r="3198" spans="1:11" ht="12.75">
      <c r="A3198" s="69">
        <f ca="1">IFERROR(__xludf.DUMMYFUNCTION("""COMPUTED_VALUE"""),100873)</f>
        <v>100873</v>
      </c>
      <c r="B3198" s="4">
        <f ca="1">IFERROR(__xludf.DUMMYFUNCTION("""COMPUTED_VALUE"""),44746)</f>
        <v>44746</v>
      </c>
      <c r="C3198" t="str">
        <f ca="1">IFERROR(__xludf.DUMMYFUNCTION("""COMPUTED_VALUE"""),"БУ Г. ОМСКА ""УДХБ"" 190-РДО ")</f>
        <v xml:space="preserve">БУ Г. ОМСКА "УДХБ" 190-РДО </v>
      </c>
      <c r="D31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8" t="str">
        <f ca="1">IFERROR(__xludf.DUMMYFUNCTION("""COMPUTED_VALUE"""),"Новый")</f>
        <v>Новый</v>
      </c>
      <c r="G3198" s="68"/>
      <c r="K3198" s="68"/>
    </row>
    <row r="3199" spans="1:11" ht="12.75">
      <c r="A3199" s="69">
        <f ca="1">IFERROR(__xludf.DUMMYFUNCTION("""COMPUTED_VALUE"""),100874)</f>
        <v>100874</v>
      </c>
      <c r="B3199" s="4">
        <f ca="1">IFERROR(__xludf.DUMMYFUNCTION("""COMPUTED_VALUE"""),44746)</f>
        <v>44746</v>
      </c>
      <c r="C3199" t="str">
        <f ca="1">IFERROR(__xludf.DUMMYFUNCTION("""COMPUTED_VALUE"""),"БУ Г. ОМСКА ""УДХБ"" 190-РДО ")</f>
        <v xml:space="preserve">БУ Г. ОМСКА "УДХБ" 190-РДО </v>
      </c>
      <c r="D31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199" t="str">
        <f ca="1">IFERROR(__xludf.DUMMYFUNCTION("""COMPUTED_VALUE"""),"Новый")</f>
        <v>Новый</v>
      </c>
      <c r="G3199" s="68"/>
      <c r="K3199" s="68"/>
    </row>
    <row r="3200" spans="1:11" ht="12.75">
      <c r="A3200" s="69">
        <f ca="1">IFERROR(__xludf.DUMMYFUNCTION("""COMPUTED_VALUE"""),100875)</f>
        <v>100875</v>
      </c>
      <c r="B3200" s="4">
        <f ca="1">IFERROR(__xludf.DUMMYFUNCTION("""COMPUTED_VALUE"""),44746)</f>
        <v>44746</v>
      </c>
      <c r="C3200" t="str">
        <f ca="1">IFERROR(__xludf.DUMMYFUNCTION("""COMPUTED_VALUE"""),"БУ Г. ОМСКА ""УДХБ"" 190-РДО ")</f>
        <v xml:space="preserve">БУ Г. ОМСКА "УДХБ" 190-РДО </v>
      </c>
      <c r="D32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0" t="str">
        <f ca="1">IFERROR(__xludf.DUMMYFUNCTION("""COMPUTED_VALUE"""),"Новый")</f>
        <v>Новый</v>
      </c>
      <c r="G3200" s="68"/>
      <c r="K3200" s="68"/>
    </row>
    <row r="3201" spans="1:11" ht="12.75">
      <c r="A3201" s="69">
        <f ca="1">IFERROR(__xludf.DUMMYFUNCTION("""COMPUTED_VALUE"""),100876)</f>
        <v>100876</v>
      </c>
      <c r="B3201" s="4">
        <f ca="1">IFERROR(__xludf.DUMMYFUNCTION("""COMPUTED_VALUE"""),44746)</f>
        <v>44746</v>
      </c>
      <c r="C3201" t="str">
        <f ca="1">IFERROR(__xludf.DUMMYFUNCTION("""COMPUTED_VALUE"""),"БУ Г. ОМСКА ""УДХБ"" 190-РДО ")</f>
        <v xml:space="preserve">БУ Г. ОМСКА "УДХБ" 190-РДО </v>
      </c>
      <c r="D32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1" t="str">
        <f ca="1">IFERROR(__xludf.DUMMYFUNCTION("""COMPUTED_VALUE"""),"Новый")</f>
        <v>Новый</v>
      </c>
      <c r="G3201" s="68"/>
      <c r="K3201" s="68"/>
    </row>
    <row r="3202" spans="1:11" ht="12.75">
      <c r="A3202" s="69">
        <f ca="1">IFERROR(__xludf.DUMMYFUNCTION("""COMPUTED_VALUE"""),100877)</f>
        <v>100877</v>
      </c>
      <c r="B3202" s="4">
        <f ca="1">IFERROR(__xludf.DUMMYFUNCTION("""COMPUTED_VALUE"""),44746)</f>
        <v>44746</v>
      </c>
      <c r="C3202" t="str">
        <f ca="1">IFERROR(__xludf.DUMMYFUNCTION("""COMPUTED_VALUE"""),"БУ Г. ОМСКА ""УДХБ"" 190-РДО ")</f>
        <v xml:space="preserve">БУ Г. ОМСКА "УДХБ" 190-РДО </v>
      </c>
      <c r="D32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2" t="str">
        <f ca="1">IFERROR(__xludf.DUMMYFUNCTION("""COMPUTED_VALUE"""),"Новый")</f>
        <v>Новый</v>
      </c>
      <c r="G3202" s="68"/>
      <c r="K3202" s="68"/>
    </row>
    <row r="3203" spans="1:11" ht="12.75">
      <c r="A3203" s="69">
        <f ca="1">IFERROR(__xludf.DUMMYFUNCTION("""COMPUTED_VALUE"""),100878)</f>
        <v>100878</v>
      </c>
      <c r="B3203" s="4">
        <f ca="1">IFERROR(__xludf.DUMMYFUNCTION("""COMPUTED_VALUE"""),44746)</f>
        <v>44746</v>
      </c>
      <c r="C3203" t="str">
        <f ca="1">IFERROR(__xludf.DUMMYFUNCTION("""COMPUTED_VALUE"""),"БУ Г. ОМСКА ""УДХБ"" 190-РДО ")</f>
        <v xml:space="preserve">БУ Г. ОМСКА "УДХБ" 190-РДО </v>
      </c>
      <c r="D32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3" t="str">
        <f ca="1">IFERROR(__xludf.DUMMYFUNCTION("""COMPUTED_VALUE"""),"Новый")</f>
        <v>Новый</v>
      </c>
      <c r="G3203" s="68"/>
      <c r="K3203" s="68"/>
    </row>
    <row r="3204" spans="1:11" ht="12.75">
      <c r="A3204" s="69">
        <f ca="1">IFERROR(__xludf.DUMMYFUNCTION("""COMPUTED_VALUE"""),100879)</f>
        <v>100879</v>
      </c>
      <c r="B3204" s="4">
        <f ca="1">IFERROR(__xludf.DUMMYFUNCTION("""COMPUTED_VALUE"""),44746)</f>
        <v>44746</v>
      </c>
      <c r="C3204" t="str">
        <f ca="1">IFERROR(__xludf.DUMMYFUNCTION("""COMPUTED_VALUE"""),"БУ Г. ОМСКА ""УДХБ"" 190-РДО ")</f>
        <v xml:space="preserve">БУ Г. ОМСКА "УДХБ" 190-РДО </v>
      </c>
      <c r="D32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4" t="str">
        <f ca="1">IFERROR(__xludf.DUMMYFUNCTION("""COMPUTED_VALUE"""),"Новый")</f>
        <v>Новый</v>
      </c>
      <c r="G3204" s="68"/>
      <c r="K3204" s="68"/>
    </row>
    <row r="3205" spans="1:11" ht="12.75">
      <c r="A3205" s="69">
        <f ca="1">IFERROR(__xludf.DUMMYFUNCTION("""COMPUTED_VALUE"""),100880)</f>
        <v>100880</v>
      </c>
      <c r="B3205" s="4">
        <f ca="1">IFERROR(__xludf.DUMMYFUNCTION("""COMPUTED_VALUE"""),44746)</f>
        <v>44746</v>
      </c>
      <c r="C3205" t="str">
        <f ca="1">IFERROR(__xludf.DUMMYFUNCTION("""COMPUTED_VALUE"""),"БУ Г. ОМСКА ""УДХБ"" 190-РДО ")</f>
        <v xml:space="preserve">БУ Г. ОМСКА "УДХБ" 190-РДО </v>
      </c>
      <c r="D32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5" t="str">
        <f ca="1">IFERROR(__xludf.DUMMYFUNCTION("""COMPUTED_VALUE"""),"Новый")</f>
        <v>Новый</v>
      </c>
      <c r="G3205" s="68"/>
      <c r="K3205" s="68"/>
    </row>
    <row r="3206" spans="1:11" ht="12.75">
      <c r="A3206" s="69">
        <f ca="1">IFERROR(__xludf.DUMMYFUNCTION("""COMPUTED_VALUE"""),100881)</f>
        <v>100881</v>
      </c>
      <c r="B3206" s="4">
        <f ca="1">IFERROR(__xludf.DUMMYFUNCTION("""COMPUTED_VALUE"""),44746)</f>
        <v>44746</v>
      </c>
      <c r="C3206" t="str">
        <f ca="1">IFERROR(__xludf.DUMMYFUNCTION("""COMPUTED_VALUE"""),"БУ Г. ОМСКА ""УДХБ"" 190-РДО ")</f>
        <v xml:space="preserve">БУ Г. ОМСКА "УДХБ" 190-РДО </v>
      </c>
      <c r="D32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6" t="str">
        <f ca="1">IFERROR(__xludf.DUMMYFUNCTION("""COMPUTED_VALUE"""),"Новый")</f>
        <v>Новый</v>
      </c>
      <c r="G3206" s="68"/>
      <c r="K3206" s="68"/>
    </row>
    <row r="3207" spans="1:11" ht="12.75">
      <c r="A3207" s="69">
        <f ca="1">IFERROR(__xludf.DUMMYFUNCTION("""COMPUTED_VALUE"""),100882)</f>
        <v>100882</v>
      </c>
      <c r="B3207" s="4">
        <f ca="1">IFERROR(__xludf.DUMMYFUNCTION("""COMPUTED_VALUE"""),44746)</f>
        <v>44746</v>
      </c>
      <c r="C3207" t="str">
        <f ca="1">IFERROR(__xludf.DUMMYFUNCTION("""COMPUTED_VALUE"""),"БУ Г. ОМСКА ""УДХБ"" 190-РДО ")</f>
        <v xml:space="preserve">БУ Г. ОМСКА "УДХБ" 190-РДО </v>
      </c>
      <c r="D32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7" t="str">
        <f ca="1">IFERROR(__xludf.DUMMYFUNCTION("""COMPUTED_VALUE"""),"Новый")</f>
        <v>Новый</v>
      </c>
      <c r="G3207" s="68"/>
      <c r="K3207" s="68"/>
    </row>
    <row r="3208" spans="1:11" ht="12.75">
      <c r="A3208" s="69">
        <f ca="1">IFERROR(__xludf.DUMMYFUNCTION("""COMPUTED_VALUE"""),100883)</f>
        <v>100883</v>
      </c>
      <c r="B3208" s="4">
        <f ca="1">IFERROR(__xludf.DUMMYFUNCTION("""COMPUTED_VALUE"""),44746)</f>
        <v>44746</v>
      </c>
      <c r="C3208" t="str">
        <f ca="1">IFERROR(__xludf.DUMMYFUNCTION("""COMPUTED_VALUE"""),"БУ Г. ОМСКА ""УДХБ"" 190-РДО ")</f>
        <v xml:space="preserve">БУ Г. ОМСКА "УДХБ" 190-РДО </v>
      </c>
      <c r="D32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8" t="str">
        <f ca="1">IFERROR(__xludf.DUMMYFUNCTION("""COMPUTED_VALUE"""),"Новый")</f>
        <v>Новый</v>
      </c>
      <c r="G3208" s="68"/>
      <c r="K3208" s="68"/>
    </row>
    <row r="3209" spans="1:11" ht="12.75">
      <c r="A3209" s="69">
        <f ca="1">IFERROR(__xludf.DUMMYFUNCTION("""COMPUTED_VALUE"""),100884)</f>
        <v>100884</v>
      </c>
      <c r="B3209" s="4">
        <f ca="1">IFERROR(__xludf.DUMMYFUNCTION("""COMPUTED_VALUE"""),44746)</f>
        <v>44746</v>
      </c>
      <c r="C3209" t="str">
        <f ca="1">IFERROR(__xludf.DUMMYFUNCTION("""COMPUTED_VALUE"""),"БУ Г. ОМСКА ""УДХБ"" 190-РДО ")</f>
        <v xml:space="preserve">БУ Г. ОМСКА "УДХБ" 190-РДО </v>
      </c>
      <c r="D32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09" t="str">
        <f ca="1">IFERROR(__xludf.DUMMYFUNCTION("""COMPUTED_VALUE"""),"Новый")</f>
        <v>Новый</v>
      </c>
      <c r="G3209" s="68"/>
      <c r="K3209" s="68"/>
    </row>
    <row r="3210" spans="1:11" ht="12.75">
      <c r="A3210" s="69">
        <f ca="1">IFERROR(__xludf.DUMMYFUNCTION("""COMPUTED_VALUE"""),100885)</f>
        <v>100885</v>
      </c>
      <c r="B3210" s="4">
        <f ca="1">IFERROR(__xludf.DUMMYFUNCTION("""COMPUTED_VALUE"""),44746)</f>
        <v>44746</v>
      </c>
      <c r="C3210" t="str">
        <f ca="1">IFERROR(__xludf.DUMMYFUNCTION("""COMPUTED_VALUE"""),"БУ Г. ОМСКА ""УДХБ"" 190-РДО ")</f>
        <v xml:space="preserve">БУ Г. ОМСКА "УДХБ" 190-РДО </v>
      </c>
      <c r="D32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0" t="str">
        <f ca="1">IFERROR(__xludf.DUMMYFUNCTION("""COMPUTED_VALUE"""),"Новый")</f>
        <v>Новый</v>
      </c>
      <c r="G3210" s="68"/>
      <c r="K3210" s="68"/>
    </row>
    <row r="3211" spans="1:11" ht="12.75">
      <c r="A3211" s="69">
        <f ca="1">IFERROR(__xludf.DUMMYFUNCTION("""COMPUTED_VALUE"""),100886)</f>
        <v>100886</v>
      </c>
      <c r="B3211" s="4">
        <f ca="1">IFERROR(__xludf.DUMMYFUNCTION("""COMPUTED_VALUE"""),44746)</f>
        <v>44746</v>
      </c>
      <c r="C3211" t="str">
        <f ca="1">IFERROR(__xludf.DUMMYFUNCTION("""COMPUTED_VALUE"""),"БУ Г. ОМСКА ""УДХБ"" 190-РДО ")</f>
        <v xml:space="preserve">БУ Г. ОМСКА "УДХБ" 190-РДО </v>
      </c>
      <c r="D32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1" t="str">
        <f ca="1">IFERROR(__xludf.DUMMYFUNCTION("""COMPUTED_VALUE"""),"Новый")</f>
        <v>Новый</v>
      </c>
      <c r="G3211" s="68"/>
      <c r="K3211" s="68"/>
    </row>
    <row r="3212" spans="1:11" ht="12.75">
      <c r="A3212" s="69">
        <f ca="1">IFERROR(__xludf.DUMMYFUNCTION("""COMPUTED_VALUE"""),100887)</f>
        <v>100887</v>
      </c>
      <c r="B3212" s="4">
        <f ca="1">IFERROR(__xludf.DUMMYFUNCTION("""COMPUTED_VALUE"""),44746)</f>
        <v>44746</v>
      </c>
      <c r="C3212" t="str">
        <f ca="1">IFERROR(__xludf.DUMMYFUNCTION("""COMPUTED_VALUE"""),"БУ Г. ОМСКА ""УДХБ"" 190-РДО ")</f>
        <v xml:space="preserve">БУ Г. ОМСКА "УДХБ" 190-РДО </v>
      </c>
      <c r="D32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2" t="str">
        <f ca="1">IFERROR(__xludf.DUMMYFUNCTION("""COMPUTED_VALUE"""),"Новый")</f>
        <v>Новый</v>
      </c>
      <c r="G3212" s="68"/>
      <c r="K3212" s="68"/>
    </row>
    <row r="3213" spans="1:11" ht="12.75">
      <c r="A3213" s="69">
        <f ca="1">IFERROR(__xludf.DUMMYFUNCTION("""COMPUTED_VALUE"""),100888)</f>
        <v>100888</v>
      </c>
      <c r="B3213" s="4">
        <f ca="1">IFERROR(__xludf.DUMMYFUNCTION("""COMPUTED_VALUE"""),44746)</f>
        <v>44746</v>
      </c>
      <c r="C3213" t="str">
        <f ca="1">IFERROR(__xludf.DUMMYFUNCTION("""COMPUTED_VALUE"""),"БУ Г. ОМСКА ""УДХБ"" 190-РДО ")</f>
        <v xml:space="preserve">БУ Г. ОМСКА "УДХБ" 190-РДО </v>
      </c>
      <c r="D32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3" t="str">
        <f ca="1">IFERROR(__xludf.DUMMYFUNCTION("""COMPUTED_VALUE"""),"Новый")</f>
        <v>Новый</v>
      </c>
      <c r="G3213" s="68"/>
      <c r="K3213" s="68"/>
    </row>
    <row r="3214" spans="1:11" ht="12.75">
      <c r="A3214" s="69">
        <f ca="1">IFERROR(__xludf.DUMMYFUNCTION("""COMPUTED_VALUE"""),100889)</f>
        <v>100889</v>
      </c>
      <c r="B3214" s="4">
        <f ca="1">IFERROR(__xludf.DUMMYFUNCTION("""COMPUTED_VALUE"""),44746)</f>
        <v>44746</v>
      </c>
      <c r="C3214" t="str">
        <f ca="1">IFERROR(__xludf.DUMMYFUNCTION("""COMPUTED_VALUE"""),"БУ Г. ОМСКА ""УДХБ"" 190-РДО ")</f>
        <v xml:space="preserve">БУ Г. ОМСКА "УДХБ" 190-РДО </v>
      </c>
      <c r="D32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4" t="str">
        <f ca="1">IFERROR(__xludf.DUMMYFUNCTION("""COMPUTED_VALUE"""),"Новый")</f>
        <v>Новый</v>
      </c>
      <c r="G3214" s="68"/>
      <c r="K3214" s="68"/>
    </row>
    <row r="3215" spans="1:11" ht="12.75">
      <c r="A3215" s="69">
        <f ca="1">IFERROR(__xludf.DUMMYFUNCTION("""COMPUTED_VALUE"""),100890)</f>
        <v>100890</v>
      </c>
      <c r="B3215" s="4">
        <f ca="1">IFERROR(__xludf.DUMMYFUNCTION("""COMPUTED_VALUE"""),44746)</f>
        <v>44746</v>
      </c>
      <c r="C3215" t="str">
        <f ca="1">IFERROR(__xludf.DUMMYFUNCTION("""COMPUTED_VALUE"""),"БУ Г. ОМСКА ""УДХБ"" 190-РДО ")</f>
        <v xml:space="preserve">БУ Г. ОМСКА "УДХБ" 190-РДО </v>
      </c>
      <c r="D32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5" t="str">
        <f ca="1">IFERROR(__xludf.DUMMYFUNCTION("""COMPUTED_VALUE"""),"Новый")</f>
        <v>Новый</v>
      </c>
      <c r="G3215" s="68"/>
      <c r="K3215" s="68"/>
    </row>
    <row r="3216" spans="1:11" ht="12.75">
      <c r="A3216" s="69">
        <f ca="1">IFERROR(__xludf.DUMMYFUNCTION("""COMPUTED_VALUE"""),100891)</f>
        <v>100891</v>
      </c>
      <c r="B3216" s="4">
        <f ca="1">IFERROR(__xludf.DUMMYFUNCTION("""COMPUTED_VALUE"""),44746)</f>
        <v>44746</v>
      </c>
      <c r="C3216" t="str">
        <f ca="1">IFERROR(__xludf.DUMMYFUNCTION("""COMPUTED_VALUE"""),"БУ Г. ОМСКА ""УДХБ"" 190-РДО ")</f>
        <v xml:space="preserve">БУ Г. ОМСКА "УДХБ" 190-РДО </v>
      </c>
      <c r="D32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6" t="str">
        <f ca="1">IFERROR(__xludf.DUMMYFUNCTION("""COMPUTED_VALUE"""),"Новый")</f>
        <v>Новый</v>
      </c>
      <c r="G3216" s="68"/>
      <c r="K3216" s="68"/>
    </row>
    <row r="3217" spans="1:11" ht="12.75">
      <c r="A3217" s="69">
        <f ca="1">IFERROR(__xludf.DUMMYFUNCTION("""COMPUTED_VALUE"""),100892)</f>
        <v>100892</v>
      </c>
      <c r="B3217" s="4">
        <f ca="1">IFERROR(__xludf.DUMMYFUNCTION("""COMPUTED_VALUE"""),44746)</f>
        <v>44746</v>
      </c>
      <c r="C3217" t="str">
        <f ca="1">IFERROR(__xludf.DUMMYFUNCTION("""COMPUTED_VALUE"""),"БУ Г. ОМСКА ""УДХБ"" 190-РДО ")</f>
        <v xml:space="preserve">БУ Г. ОМСКА "УДХБ" 190-РДО </v>
      </c>
      <c r="D32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7" t="str">
        <f ca="1">IFERROR(__xludf.DUMMYFUNCTION("""COMPUTED_VALUE"""),"Новый")</f>
        <v>Новый</v>
      </c>
      <c r="G3217" s="68"/>
      <c r="K3217" s="68"/>
    </row>
    <row r="3218" spans="1:11" ht="12.75">
      <c r="A3218" s="69">
        <f ca="1">IFERROR(__xludf.DUMMYFUNCTION("""COMPUTED_VALUE"""),100893)</f>
        <v>100893</v>
      </c>
      <c r="B3218" s="4">
        <f ca="1">IFERROR(__xludf.DUMMYFUNCTION("""COMPUTED_VALUE"""),44746)</f>
        <v>44746</v>
      </c>
      <c r="C3218" t="str">
        <f ca="1">IFERROR(__xludf.DUMMYFUNCTION("""COMPUTED_VALUE"""),"БУ Г. ОМСКА ""УДХБ"" 190-РДО ")</f>
        <v xml:space="preserve">БУ Г. ОМСКА "УДХБ" 190-РДО </v>
      </c>
      <c r="D32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8" t="str">
        <f ca="1">IFERROR(__xludf.DUMMYFUNCTION("""COMPUTED_VALUE"""),"Новый")</f>
        <v>Новый</v>
      </c>
      <c r="G3218" s="68"/>
      <c r="K3218" s="68"/>
    </row>
    <row r="3219" spans="1:11" ht="12.75">
      <c r="A3219" s="69">
        <f ca="1">IFERROR(__xludf.DUMMYFUNCTION("""COMPUTED_VALUE"""),100894)</f>
        <v>100894</v>
      </c>
      <c r="B3219" s="4">
        <f ca="1">IFERROR(__xludf.DUMMYFUNCTION("""COMPUTED_VALUE"""),44746)</f>
        <v>44746</v>
      </c>
      <c r="C3219" t="str">
        <f ca="1">IFERROR(__xludf.DUMMYFUNCTION("""COMPUTED_VALUE"""),"БУ Г. ОМСКА ""УДХБ"" 190-РДО ")</f>
        <v xml:space="preserve">БУ Г. ОМСКА "УДХБ" 190-РДО </v>
      </c>
      <c r="D32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19" t="str">
        <f ca="1">IFERROR(__xludf.DUMMYFUNCTION("""COMPUTED_VALUE"""),"Новый")</f>
        <v>Новый</v>
      </c>
      <c r="G3219" s="68"/>
      <c r="K3219" s="68"/>
    </row>
    <row r="3220" spans="1:11" ht="12.75">
      <c r="A3220" s="69">
        <f ca="1">IFERROR(__xludf.DUMMYFUNCTION("""COMPUTED_VALUE"""),100895)</f>
        <v>100895</v>
      </c>
      <c r="B3220" s="4">
        <f ca="1">IFERROR(__xludf.DUMMYFUNCTION("""COMPUTED_VALUE"""),44746)</f>
        <v>44746</v>
      </c>
      <c r="C3220" t="str">
        <f ca="1">IFERROR(__xludf.DUMMYFUNCTION("""COMPUTED_VALUE"""),"БУ Г. ОМСКА ""УДХБ"" 190-РДО ")</f>
        <v xml:space="preserve">БУ Г. ОМСКА "УДХБ" 190-РДО </v>
      </c>
      <c r="D32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0" t="str">
        <f ca="1">IFERROR(__xludf.DUMMYFUNCTION("""COMPUTED_VALUE"""),"Новый")</f>
        <v>Новый</v>
      </c>
      <c r="G3220" s="68"/>
      <c r="K3220" s="68"/>
    </row>
    <row r="3221" spans="1:11" ht="12.75">
      <c r="A3221" s="69">
        <f ca="1">IFERROR(__xludf.DUMMYFUNCTION("""COMPUTED_VALUE"""),100896)</f>
        <v>100896</v>
      </c>
      <c r="B3221" s="4">
        <f ca="1">IFERROR(__xludf.DUMMYFUNCTION("""COMPUTED_VALUE"""),44746)</f>
        <v>44746</v>
      </c>
      <c r="C3221" t="str">
        <f ca="1">IFERROR(__xludf.DUMMYFUNCTION("""COMPUTED_VALUE"""),"БУ Г. ОМСКА ""УДХБ"" 190-РДО ")</f>
        <v xml:space="preserve">БУ Г. ОМСКА "УДХБ" 190-РДО </v>
      </c>
      <c r="D32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1" t="str">
        <f ca="1">IFERROR(__xludf.DUMMYFUNCTION("""COMPUTED_VALUE"""),"Новый")</f>
        <v>Новый</v>
      </c>
      <c r="G3221" s="68"/>
      <c r="K3221" s="68"/>
    </row>
    <row r="3222" spans="1:11" ht="12.75">
      <c r="A3222" s="69">
        <f ca="1">IFERROR(__xludf.DUMMYFUNCTION("""COMPUTED_VALUE"""),100897)</f>
        <v>100897</v>
      </c>
      <c r="B3222" s="4">
        <f ca="1">IFERROR(__xludf.DUMMYFUNCTION("""COMPUTED_VALUE"""),44746)</f>
        <v>44746</v>
      </c>
      <c r="C3222" t="str">
        <f ca="1">IFERROR(__xludf.DUMMYFUNCTION("""COMPUTED_VALUE"""),"БУ Г. ОМСКА ""УДХБ"" 190-РДО ")</f>
        <v xml:space="preserve">БУ Г. ОМСКА "УДХБ" 190-РДО </v>
      </c>
      <c r="D32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2" t="str">
        <f ca="1">IFERROR(__xludf.DUMMYFUNCTION("""COMPUTED_VALUE"""),"Новый")</f>
        <v>Новый</v>
      </c>
      <c r="G3222" s="68"/>
      <c r="K3222" s="68"/>
    </row>
    <row r="3223" spans="1:11" ht="12.75">
      <c r="A3223" s="69">
        <f ca="1">IFERROR(__xludf.DUMMYFUNCTION("""COMPUTED_VALUE"""),100898)</f>
        <v>100898</v>
      </c>
      <c r="B3223" s="4">
        <f ca="1">IFERROR(__xludf.DUMMYFUNCTION("""COMPUTED_VALUE"""),44746)</f>
        <v>44746</v>
      </c>
      <c r="C3223" t="str">
        <f ca="1">IFERROR(__xludf.DUMMYFUNCTION("""COMPUTED_VALUE"""),"БУ Г. ОМСКА ""УДХБ"" 190-РДО ")</f>
        <v xml:space="preserve">БУ Г. ОМСКА "УДХБ" 190-РДО </v>
      </c>
      <c r="D32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3" t="str">
        <f ca="1">IFERROR(__xludf.DUMMYFUNCTION("""COMPUTED_VALUE"""),"Новый")</f>
        <v>Новый</v>
      </c>
      <c r="G3223" s="68"/>
      <c r="K3223" s="68"/>
    </row>
    <row r="3224" spans="1:11" ht="12.75">
      <c r="A3224" s="69">
        <f ca="1">IFERROR(__xludf.DUMMYFUNCTION("""COMPUTED_VALUE"""),100899)</f>
        <v>100899</v>
      </c>
      <c r="B3224" s="4">
        <f ca="1">IFERROR(__xludf.DUMMYFUNCTION("""COMPUTED_VALUE"""),44746)</f>
        <v>44746</v>
      </c>
      <c r="C3224" t="str">
        <f ca="1">IFERROR(__xludf.DUMMYFUNCTION("""COMPUTED_VALUE"""),"БУ Г. ОМСКА ""УДХБ"" 190-РДО ")</f>
        <v xml:space="preserve">БУ Г. ОМСКА "УДХБ" 190-РДО </v>
      </c>
      <c r="D32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4" t="str">
        <f ca="1">IFERROR(__xludf.DUMMYFUNCTION("""COMPUTED_VALUE"""),"Новый")</f>
        <v>Новый</v>
      </c>
      <c r="G3224" s="68"/>
      <c r="K3224" s="68"/>
    </row>
    <row r="3225" spans="1:11" ht="12.75">
      <c r="A3225" s="69">
        <f ca="1">IFERROR(__xludf.DUMMYFUNCTION("""COMPUTED_VALUE"""),100900)</f>
        <v>100900</v>
      </c>
      <c r="B3225" s="4">
        <f ca="1">IFERROR(__xludf.DUMMYFUNCTION("""COMPUTED_VALUE"""),44746)</f>
        <v>44746</v>
      </c>
      <c r="C3225" t="str">
        <f ca="1">IFERROR(__xludf.DUMMYFUNCTION("""COMPUTED_VALUE"""),"БУ Г. ОМСКА ""УДХБ"" 190-РДО ")</f>
        <v xml:space="preserve">БУ Г. ОМСКА "УДХБ" 190-РДО </v>
      </c>
      <c r="D32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5" t="str">
        <f ca="1">IFERROR(__xludf.DUMMYFUNCTION("""COMPUTED_VALUE"""),"Новый")</f>
        <v>Новый</v>
      </c>
      <c r="G3225" s="68"/>
      <c r="K3225" s="68"/>
    </row>
    <row r="3226" spans="1:11" ht="12.75">
      <c r="A3226" s="69">
        <f ca="1">IFERROR(__xludf.DUMMYFUNCTION("""COMPUTED_VALUE"""),100901)</f>
        <v>100901</v>
      </c>
      <c r="B3226" s="4">
        <f ca="1">IFERROR(__xludf.DUMMYFUNCTION("""COMPUTED_VALUE"""),44746)</f>
        <v>44746</v>
      </c>
      <c r="C3226" t="str">
        <f ca="1">IFERROR(__xludf.DUMMYFUNCTION("""COMPUTED_VALUE"""),"БУ Г. ОМСКА ""УДХБ"" 190-РДО ")</f>
        <v xml:space="preserve">БУ Г. ОМСКА "УДХБ" 190-РДО </v>
      </c>
      <c r="D32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6" t="str">
        <f ca="1">IFERROR(__xludf.DUMMYFUNCTION("""COMPUTED_VALUE"""),"Новый")</f>
        <v>Новый</v>
      </c>
      <c r="G3226" s="68"/>
      <c r="K3226" s="68"/>
    </row>
    <row r="3227" spans="1:11" ht="12.75">
      <c r="A3227" s="69">
        <f ca="1">IFERROR(__xludf.DUMMYFUNCTION("""COMPUTED_VALUE"""),100902)</f>
        <v>100902</v>
      </c>
      <c r="B3227" s="4">
        <f ca="1">IFERROR(__xludf.DUMMYFUNCTION("""COMPUTED_VALUE"""),44746)</f>
        <v>44746</v>
      </c>
      <c r="C3227" t="str">
        <f ca="1">IFERROR(__xludf.DUMMYFUNCTION("""COMPUTED_VALUE"""),"БУ Г. ОМСКА ""УДХБ"" 190-РДО ")</f>
        <v xml:space="preserve">БУ Г. ОМСКА "УДХБ" 190-РДО </v>
      </c>
      <c r="D32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7" t="str">
        <f ca="1">IFERROR(__xludf.DUMMYFUNCTION("""COMPUTED_VALUE"""),"Новый")</f>
        <v>Новый</v>
      </c>
      <c r="G3227" s="68"/>
      <c r="K3227" s="68"/>
    </row>
    <row r="3228" spans="1:11" ht="12.75">
      <c r="A3228" s="69">
        <f ca="1">IFERROR(__xludf.DUMMYFUNCTION("""COMPUTED_VALUE"""),100903)</f>
        <v>100903</v>
      </c>
      <c r="B3228" s="4">
        <f ca="1">IFERROR(__xludf.DUMMYFUNCTION("""COMPUTED_VALUE"""),44746)</f>
        <v>44746</v>
      </c>
      <c r="C3228" t="str">
        <f ca="1">IFERROR(__xludf.DUMMYFUNCTION("""COMPUTED_VALUE"""),"БУ Г. ОМСКА ""УДХБ"" 190-РДО ")</f>
        <v xml:space="preserve">БУ Г. ОМСКА "УДХБ" 190-РДО </v>
      </c>
      <c r="D32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8" t="str">
        <f ca="1">IFERROR(__xludf.DUMMYFUNCTION("""COMPUTED_VALUE"""),"Новый")</f>
        <v>Новый</v>
      </c>
      <c r="G3228" s="68"/>
      <c r="K3228" s="68"/>
    </row>
    <row r="3229" spans="1:11" ht="12.75">
      <c r="A3229" s="69">
        <f ca="1">IFERROR(__xludf.DUMMYFUNCTION("""COMPUTED_VALUE"""),100904)</f>
        <v>100904</v>
      </c>
      <c r="B3229" s="4">
        <f ca="1">IFERROR(__xludf.DUMMYFUNCTION("""COMPUTED_VALUE"""),44746)</f>
        <v>44746</v>
      </c>
      <c r="C3229" t="str">
        <f ca="1">IFERROR(__xludf.DUMMYFUNCTION("""COMPUTED_VALUE"""),"БУ Г. ОМСКА ""УДХБ"" 190-РДО ")</f>
        <v xml:space="preserve">БУ Г. ОМСКА "УДХБ" 190-РДО </v>
      </c>
      <c r="D32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29" t="str">
        <f ca="1">IFERROR(__xludf.DUMMYFUNCTION("""COMPUTED_VALUE"""),"Новый")</f>
        <v>Новый</v>
      </c>
      <c r="G3229" s="68"/>
      <c r="K3229" s="68"/>
    </row>
    <row r="3230" spans="1:11" ht="12.75">
      <c r="A3230" s="69">
        <f ca="1">IFERROR(__xludf.DUMMYFUNCTION("""COMPUTED_VALUE"""),100905)</f>
        <v>100905</v>
      </c>
      <c r="B3230" s="4">
        <f ca="1">IFERROR(__xludf.DUMMYFUNCTION("""COMPUTED_VALUE"""),44746)</f>
        <v>44746</v>
      </c>
      <c r="C3230" t="str">
        <f ca="1">IFERROR(__xludf.DUMMYFUNCTION("""COMPUTED_VALUE"""),"БУ Г. ОМСКА ""УДХБ"" 190-РДО ")</f>
        <v xml:space="preserve">БУ Г. ОМСКА "УДХБ" 190-РДО </v>
      </c>
      <c r="D32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0" t="str">
        <f ca="1">IFERROR(__xludf.DUMMYFUNCTION("""COMPUTED_VALUE"""),"Новый")</f>
        <v>Новый</v>
      </c>
      <c r="G3230" s="68"/>
      <c r="K3230" s="68"/>
    </row>
    <row r="3231" spans="1:11" ht="12.75">
      <c r="A3231" s="69">
        <f ca="1">IFERROR(__xludf.DUMMYFUNCTION("""COMPUTED_VALUE"""),100906)</f>
        <v>100906</v>
      </c>
      <c r="B3231" s="4">
        <f ca="1">IFERROR(__xludf.DUMMYFUNCTION("""COMPUTED_VALUE"""),44746)</f>
        <v>44746</v>
      </c>
      <c r="C3231" t="str">
        <f ca="1">IFERROR(__xludf.DUMMYFUNCTION("""COMPUTED_VALUE"""),"БУ Г. ОМСКА ""УДХБ"" 190-РДО ")</f>
        <v xml:space="preserve">БУ Г. ОМСКА "УДХБ" 190-РДО </v>
      </c>
      <c r="D32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1" t="str">
        <f ca="1">IFERROR(__xludf.DUMMYFUNCTION("""COMPUTED_VALUE"""),"Новый")</f>
        <v>Новый</v>
      </c>
      <c r="G3231" s="68"/>
      <c r="K3231" s="68"/>
    </row>
    <row r="3232" spans="1:11" ht="12.75">
      <c r="A3232" s="69">
        <f ca="1">IFERROR(__xludf.DUMMYFUNCTION("""COMPUTED_VALUE"""),100907)</f>
        <v>100907</v>
      </c>
      <c r="B3232" s="4">
        <f ca="1">IFERROR(__xludf.DUMMYFUNCTION("""COMPUTED_VALUE"""),44746)</f>
        <v>44746</v>
      </c>
      <c r="C3232" t="str">
        <f ca="1">IFERROR(__xludf.DUMMYFUNCTION("""COMPUTED_VALUE"""),"БУ Г. ОМСКА ""УДХБ"" 190-РДО ")</f>
        <v xml:space="preserve">БУ Г. ОМСКА "УДХБ" 190-РДО </v>
      </c>
      <c r="D32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2" t="str">
        <f ca="1">IFERROR(__xludf.DUMMYFUNCTION("""COMPUTED_VALUE"""),"Новый")</f>
        <v>Новый</v>
      </c>
      <c r="G3232" s="68"/>
      <c r="K3232" s="68"/>
    </row>
    <row r="3233" spans="1:11" ht="12.75">
      <c r="A3233" s="69">
        <f ca="1">IFERROR(__xludf.DUMMYFUNCTION("""COMPUTED_VALUE"""),100908)</f>
        <v>100908</v>
      </c>
      <c r="B3233" s="4">
        <f ca="1">IFERROR(__xludf.DUMMYFUNCTION("""COMPUTED_VALUE"""),44746)</f>
        <v>44746</v>
      </c>
      <c r="C3233" t="str">
        <f ca="1">IFERROR(__xludf.DUMMYFUNCTION("""COMPUTED_VALUE"""),"БУ Г. ОМСКА ""УДХБ"" 190-РДО ")</f>
        <v xml:space="preserve">БУ Г. ОМСКА "УДХБ" 190-РДО </v>
      </c>
      <c r="D32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3" t="str">
        <f ca="1">IFERROR(__xludf.DUMMYFUNCTION("""COMPUTED_VALUE"""),"Новый")</f>
        <v>Новый</v>
      </c>
      <c r="G3233" s="68"/>
      <c r="K3233" s="68"/>
    </row>
    <row r="3234" spans="1:11" ht="12.75">
      <c r="A3234" s="69">
        <f ca="1">IFERROR(__xludf.DUMMYFUNCTION("""COMPUTED_VALUE"""),100909)</f>
        <v>100909</v>
      </c>
      <c r="B3234" s="4">
        <f ca="1">IFERROR(__xludf.DUMMYFUNCTION("""COMPUTED_VALUE"""),44746)</f>
        <v>44746</v>
      </c>
      <c r="C3234" t="str">
        <f ca="1">IFERROR(__xludf.DUMMYFUNCTION("""COMPUTED_VALUE"""),"БУ Г. ОМСКА ""УДХБ"" 190-РДО ")</f>
        <v xml:space="preserve">БУ Г. ОМСКА "УДХБ" 190-РДО </v>
      </c>
      <c r="D32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4" t="str">
        <f ca="1">IFERROR(__xludf.DUMMYFUNCTION("""COMPUTED_VALUE"""),"Новый")</f>
        <v>Новый</v>
      </c>
      <c r="G3234" s="68"/>
      <c r="K3234" s="68"/>
    </row>
    <row r="3235" spans="1:11" ht="12.75">
      <c r="A3235" s="69">
        <f ca="1">IFERROR(__xludf.DUMMYFUNCTION("""COMPUTED_VALUE"""),100910)</f>
        <v>100910</v>
      </c>
      <c r="B3235" s="4">
        <f ca="1">IFERROR(__xludf.DUMMYFUNCTION("""COMPUTED_VALUE"""),44746)</f>
        <v>44746</v>
      </c>
      <c r="C3235" t="str">
        <f ca="1">IFERROR(__xludf.DUMMYFUNCTION("""COMPUTED_VALUE"""),"БУ Г. ОМСКА ""УДХБ"" 190-РДО ")</f>
        <v xml:space="preserve">БУ Г. ОМСКА "УДХБ" 190-РДО </v>
      </c>
      <c r="D32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5" t="str">
        <f ca="1">IFERROR(__xludf.DUMMYFUNCTION("""COMPUTED_VALUE"""),"Новый")</f>
        <v>Новый</v>
      </c>
      <c r="G3235" s="68"/>
      <c r="K3235" s="68"/>
    </row>
    <row r="3236" spans="1:11" ht="12.75">
      <c r="A3236" s="69">
        <f ca="1">IFERROR(__xludf.DUMMYFUNCTION("""COMPUTED_VALUE"""),100911)</f>
        <v>100911</v>
      </c>
      <c r="B3236" s="4">
        <f ca="1">IFERROR(__xludf.DUMMYFUNCTION("""COMPUTED_VALUE"""),44746)</f>
        <v>44746</v>
      </c>
      <c r="C3236" t="str">
        <f ca="1">IFERROR(__xludf.DUMMYFUNCTION("""COMPUTED_VALUE"""),"БУ Г. ОМСКА ""УДХБ"" 190-РДО ")</f>
        <v xml:space="preserve">БУ Г. ОМСКА "УДХБ" 190-РДО </v>
      </c>
      <c r="D32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6" t="str">
        <f ca="1">IFERROR(__xludf.DUMMYFUNCTION("""COMPUTED_VALUE"""),"Новый")</f>
        <v>Новый</v>
      </c>
      <c r="G3236" s="68"/>
      <c r="K3236" s="68"/>
    </row>
    <row r="3237" spans="1:11" ht="12.75">
      <c r="A3237" s="69">
        <f ca="1">IFERROR(__xludf.DUMMYFUNCTION("""COMPUTED_VALUE"""),100912)</f>
        <v>100912</v>
      </c>
      <c r="B3237" s="4">
        <f ca="1">IFERROR(__xludf.DUMMYFUNCTION("""COMPUTED_VALUE"""),44746)</f>
        <v>44746</v>
      </c>
      <c r="C3237" t="str">
        <f ca="1">IFERROR(__xludf.DUMMYFUNCTION("""COMPUTED_VALUE"""),"БУ Г. ОМСКА ""УДХБ"" 190-РДО ")</f>
        <v xml:space="preserve">БУ Г. ОМСКА "УДХБ" 190-РДО </v>
      </c>
      <c r="D32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7" t="str">
        <f ca="1">IFERROR(__xludf.DUMMYFUNCTION("""COMPUTED_VALUE"""),"Новый")</f>
        <v>Новый</v>
      </c>
      <c r="G3237" s="68"/>
      <c r="K3237" s="68"/>
    </row>
    <row r="3238" spans="1:11" ht="12.75">
      <c r="A3238" s="69">
        <f ca="1">IFERROR(__xludf.DUMMYFUNCTION("""COMPUTED_VALUE"""),100913)</f>
        <v>100913</v>
      </c>
      <c r="B3238" s="4">
        <f ca="1">IFERROR(__xludf.DUMMYFUNCTION("""COMPUTED_VALUE"""),44746)</f>
        <v>44746</v>
      </c>
      <c r="C3238" t="str">
        <f ca="1">IFERROR(__xludf.DUMMYFUNCTION("""COMPUTED_VALUE"""),"БУ Г. ОМСКА ""УДХБ"" 190-РДО ")</f>
        <v xml:space="preserve">БУ Г. ОМСКА "УДХБ" 190-РДО </v>
      </c>
      <c r="D32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8" t="str">
        <f ca="1">IFERROR(__xludf.DUMMYFUNCTION("""COMPUTED_VALUE"""),"Новый")</f>
        <v>Новый</v>
      </c>
      <c r="G3238" s="68"/>
      <c r="K3238" s="68"/>
    </row>
    <row r="3239" spans="1:11" ht="12.75">
      <c r="A3239" s="69">
        <f ca="1">IFERROR(__xludf.DUMMYFUNCTION("""COMPUTED_VALUE"""),100914)</f>
        <v>100914</v>
      </c>
      <c r="B3239" s="4">
        <f ca="1">IFERROR(__xludf.DUMMYFUNCTION("""COMPUTED_VALUE"""),44746)</f>
        <v>44746</v>
      </c>
      <c r="C3239" t="str">
        <f ca="1">IFERROR(__xludf.DUMMYFUNCTION("""COMPUTED_VALUE"""),"БУ Г. ОМСКА ""УДХБ"" 190-РДО ")</f>
        <v xml:space="preserve">БУ Г. ОМСКА "УДХБ" 190-РДО </v>
      </c>
      <c r="D32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39" t="str">
        <f ca="1">IFERROR(__xludf.DUMMYFUNCTION("""COMPUTED_VALUE"""),"Новый")</f>
        <v>Новый</v>
      </c>
      <c r="G3239" s="68"/>
      <c r="K3239" s="68"/>
    </row>
    <row r="3240" spans="1:11" ht="12.75">
      <c r="A3240" s="69">
        <f ca="1">IFERROR(__xludf.DUMMYFUNCTION("""COMPUTED_VALUE"""),100915)</f>
        <v>100915</v>
      </c>
      <c r="B3240" s="4">
        <f ca="1">IFERROR(__xludf.DUMMYFUNCTION("""COMPUTED_VALUE"""),44746)</f>
        <v>44746</v>
      </c>
      <c r="C3240" t="str">
        <f ca="1">IFERROR(__xludf.DUMMYFUNCTION("""COMPUTED_VALUE"""),"БУ Г. ОМСКА ""УДХБ"" 190-РДО ")</f>
        <v xml:space="preserve">БУ Г. ОМСКА "УДХБ" 190-РДО </v>
      </c>
      <c r="D32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0" t="str">
        <f ca="1">IFERROR(__xludf.DUMMYFUNCTION("""COMPUTED_VALUE"""),"Новый")</f>
        <v>Новый</v>
      </c>
      <c r="G3240" s="68"/>
      <c r="K3240" s="68"/>
    </row>
    <row r="3241" spans="1:11" ht="12.75">
      <c r="A3241" s="69">
        <f ca="1">IFERROR(__xludf.DUMMYFUNCTION("""COMPUTED_VALUE"""),100951)</f>
        <v>100951</v>
      </c>
      <c r="B3241" s="4">
        <f ca="1">IFERROR(__xludf.DUMMYFUNCTION("""COMPUTED_VALUE"""),44746)</f>
        <v>44746</v>
      </c>
      <c r="C3241" t="str">
        <f ca="1">IFERROR(__xludf.DUMMYFUNCTION("""COMPUTED_VALUE"""),"БУ Г. ОМСКА ""УДХБ"" 190-РДО ")</f>
        <v xml:space="preserve">БУ Г. ОМСКА "УДХБ" 190-РДО </v>
      </c>
      <c r="D32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1" t="str">
        <f ca="1">IFERROR(__xludf.DUMMYFUNCTION("""COMPUTED_VALUE"""),"Новый")</f>
        <v>Новый</v>
      </c>
      <c r="G3241" s="68"/>
      <c r="K3241" s="68"/>
    </row>
    <row r="3242" spans="1:11" ht="12.75">
      <c r="A3242" s="69">
        <f ca="1">IFERROR(__xludf.DUMMYFUNCTION("""COMPUTED_VALUE"""),100961)</f>
        <v>100961</v>
      </c>
      <c r="B3242" s="4">
        <f ca="1">IFERROR(__xludf.DUMMYFUNCTION("""COMPUTED_VALUE"""),44746)</f>
        <v>44746</v>
      </c>
      <c r="C3242" t="str">
        <f ca="1">IFERROR(__xludf.DUMMYFUNCTION("""COMPUTED_VALUE"""),"БУ Г. ОМСКА ""УДХБ"" 190-РДО ")</f>
        <v xml:space="preserve">БУ Г. ОМСКА "УДХБ" 190-РДО </v>
      </c>
      <c r="D32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2" t="str">
        <f ca="1">IFERROR(__xludf.DUMMYFUNCTION("""COMPUTED_VALUE"""),"Новый")</f>
        <v>Новый</v>
      </c>
      <c r="G3242" s="68"/>
      <c r="K3242" s="68"/>
    </row>
    <row r="3243" spans="1:11" ht="12.75">
      <c r="A3243" s="69">
        <f ca="1">IFERROR(__xludf.DUMMYFUNCTION("""COMPUTED_VALUE"""),100962)</f>
        <v>100962</v>
      </c>
      <c r="B3243" s="4">
        <f ca="1">IFERROR(__xludf.DUMMYFUNCTION("""COMPUTED_VALUE"""),44746)</f>
        <v>44746</v>
      </c>
      <c r="C3243" t="str">
        <f ca="1">IFERROR(__xludf.DUMMYFUNCTION("""COMPUTED_VALUE"""),"БУ Г. ОМСКА ""УДХБ"" 190-РДО ")</f>
        <v xml:space="preserve">БУ Г. ОМСКА "УДХБ" 190-РДО </v>
      </c>
      <c r="D32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3" t="str">
        <f ca="1">IFERROR(__xludf.DUMMYFUNCTION("""COMPUTED_VALUE"""),"Новый")</f>
        <v>Новый</v>
      </c>
      <c r="G3243" s="68"/>
      <c r="K3243" s="68"/>
    </row>
    <row r="3244" spans="1:11" ht="12.75">
      <c r="A3244" s="69">
        <f ca="1">IFERROR(__xludf.DUMMYFUNCTION("""COMPUTED_VALUE"""),100964)</f>
        <v>100964</v>
      </c>
      <c r="B3244" s="4">
        <f ca="1">IFERROR(__xludf.DUMMYFUNCTION("""COMPUTED_VALUE"""),44746)</f>
        <v>44746</v>
      </c>
      <c r="C3244" t="str">
        <f ca="1">IFERROR(__xludf.DUMMYFUNCTION("""COMPUTED_VALUE"""),"БУ Г. ОМСКА ""УДХБ"" 190-РДО ")</f>
        <v xml:space="preserve">БУ Г. ОМСКА "УДХБ" 190-РДО </v>
      </c>
      <c r="D32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4" t="str">
        <f ca="1">IFERROR(__xludf.DUMMYFUNCTION("""COMPUTED_VALUE"""),"Новый")</f>
        <v>Новый</v>
      </c>
      <c r="G3244" s="68"/>
      <c r="K3244" s="68"/>
    </row>
    <row r="3245" spans="1:11" ht="12.75">
      <c r="A3245" s="69">
        <f ca="1">IFERROR(__xludf.DUMMYFUNCTION("""COMPUTED_VALUE"""),100965)</f>
        <v>100965</v>
      </c>
      <c r="B3245" s="4">
        <f ca="1">IFERROR(__xludf.DUMMYFUNCTION("""COMPUTED_VALUE"""),44746)</f>
        <v>44746</v>
      </c>
      <c r="C3245" t="str">
        <f ca="1">IFERROR(__xludf.DUMMYFUNCTION("""COMPUTED_VALUE"""),"БУ Г. ОМСКА ""УДХБ"" 190-РДО ")</f>
        <v xml:space="preserve">БУ Г. ОМСКА "УДХБ" 190-РДО </v>
      </c>
      <c r="D32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5" t="str">
        <f ca="1">IFERROR(__xludf.DUMMYFUNCTION("""COMPUTED_VALUE"""),"Новый")</f>
        <v>Новый</v>
      </c>
      <c r="G3245" s="68"/>
      <c r="K3245" s="68"/>
    </row>
    <row r="3246" spans="1:11" ht="12.75">
      <c r="A3246" s="69">
        <f ca="1">IFERROR(__xludf.DUMMYFUNCTION("""COMPUTED_VALUE"""),100966)</f>
        <v>100966</v>
      </c>
      <c r="B3246" s="4">
        <f ca="1">IFERROR(__xludf.DUMMYFUNCTION("""COMPUTED_VALUE"""),44746)</f>
        <v>44746</v>
      </c>
      <c r="C3246" t="str">
        <f ca="1">IFERROR(__xludf.DUMMYFUNCTION("""COMPUTED_VALUE"""),"БУ Г. ОМСКА ""УДХБ"" 190-РДО ")</f>
        <v xml:space="preserve">БУ Г. ОМСКА "УДХБ" 190-РДО </v>
      </c>
      <c r="D32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6" t="str">
        <f ca="1">IFERROR(__xludf.DUMMYFUNCTION("""COMPUTED_VALUE"""),"Новый")</f>
        <v>Новый</v>
      </c>
      <c r="G3246" s="68"/>
      <c r="K3246" s="68"/>
    </row>
    <row r="3247" spans="1:11" ht="12.75">
      <c r="A3247" s="69">
        <f ca="1">IFERROR(__xludf.DUMMYFUNCTION("""COMPUTED_VALUE"""),100967)</f>
        <v>100967</v>
      </c>
      <c r="B3247" s="4">
        <f ca="1">IFERROR(__xludf.DUMMYFUNCTION("""COMPUTED_VALUE"""),44746)</f>
        <v>44746</v>
      </c>
      <c r="C3247" t="str">
        <f ca="1">IFERROR(__xludf.DUMMYFUNCTION("""COMPUTED_VALUE"""),"БУ Г. ОМСКА ""УДХБ"" 190-РДО ")</f>
        <v xml:space="preserve">БУ Г. ОМСКА "УДХБ" 190-РДО </v>
      </c>
      <c r="D32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7" t="str">
        <f ca="1">IFERROR(__xludf.DUMMYFUNCTION("""COMPUTED_VALUE"""),"Новый")</f>
        <v>Новый</v>
      </c>
      <c r="G3247" s="68"/>
      <c r="K3247" s="68"/>
    </row>
    <row r="3248" spans="1:11" ht="12.75">
      <c r="A3248" s="69">
        <f ca="1">IFERROR(__xludf.DUMMYFUNCTION("""COMPUTED_VALUE"""),100973)</f>
        <v>100973</v>
      </c>
      <c r="B3248" s="4">
        <f ca="1">IFERROR(__xludf.DUMMYFUNCTION("""COMPUTED_VALUE"""),44746)</f>
        <v>44746</v>
      </c>
      <c r="C3248" t="str">
        <f ca="1">IFERROR(__xludf.DUMMYFUNCTION("""COMPUTED_VALUE"""),"БУ Г. ОМСКА ""УДХБ"" 190-РДО ")</f>
        <v xml:space="preserve">БУ Г. ОМСКА "УДХБ" 190-РДО </v>
      </c>
      <c r="D32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8" t="str">
        <f ca="1">IFERROR(__xludf.DUMMYFUNCTION("""COMPUTED_VALUE"""),"Новый")</f>
        <v>Новый</v>
      </c>
      <c r="G3248" s="68"/>
      <c r="K3248" s="68"/>
    </row>
    <row r="3249" spans="1:11" ht="12.75">
      <c r="A3249" s="69">
        <f ca="1">IFERROR(__xludf.DUMMYFUNCTION("""COMPUTED_VALUE"""),100982)</f>
        <v>100982</v>
      </c>
      <c r="B3249" s="4">
        <f ca="1">IFERROR(__xludf.DUMMYFUNCTION("""COMPUTED_VALUE"""),44747)</f>
        <v>44747</v>
      </c>
      <c r="C3249" t="str">
        <f ca="1">IFERROR(__xludf.DUMMYFUNCTION("""COMPUTED_VALUE"""),"БУ Г. ОМСКА ""УДХБ"" 197-РДО от 01.07.2022")</f>
        <v>БУ Г. ОМСКА "УДХБ" 197-РДО от 01.07.2022</v>
      </c>
      <c r="D32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49" t="str">
        <f ca="1">IFERROR(__xludf.DUMMYFUNCTION("""COMPUTED_VALUE"""),"Новый")</f>
        <v>Новый</v>
      </c>
      <c r="G3249" s="68"/>
      <c r="K3249" s="68"/>
    </row>
    <row r="3250" spans="1:11" ht="12.75">
      <c r="A3250" s="69">
        <f ca="1">IFERROR(__xludf.DUMMYFUNCTION("""COMPUTED_VALUE"""),100991)</f>
        <v>100991</v>
      </c>
      <c r="B3250" s="4">
        <f ca="1">IFERROR(__xludf.DUMMYFUNCTION("""COMPUTED_VALUE"""),44747)</f>
        <v>44747</v>
      </c>
      <c r="C3250" t="str">
        <f ca="1">IFERROR(__xludf.DUMMYFUNCTION("""COMPUTED_VALUE"""),"БУ Г. ОМСКА ""УДХБ"" 197-РДО от 01.07.2022")</f>
        <v>БУ Г. ОМСКА "УДХБ" 197-РДО от 01.07.2022</v>
      </c>
      <c r="D32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0" t="str">
        <f ca="1">IFERROR(__xludf.DUMMYFUNCTION("""COMPUTED_VALUE"""),"Новый")</f>
        <v>Новый</v>
      </c>
      <c r="G3250" s="68"/>
      <c r="K3250" s="68"/>
    </row>
    <row r="3251" spans="1:11" ht="12.75">
      <c r="A3251" s="69">
        <f ca="1">IFERROR(__xludf.DUMMYFUNCTION("""COMPUTED_VALUE"""),100993)</f>
        <v>100993</v>
      </c>
      <c r="B3251" s="4">
        <f ca="1">IFERROR(__xludf.DUMMYFUNCTION("""COMPUTED_VALUE"""),44747)</f>
        <v>44747</v>
      </c>
      <c r="C3251" t="str">
        <f ca="1">IFERROR(__xludf.DUMMYFUNCTION("""COMPUTED_VALUE"""),"БУ Г. ОМСКА ""УДХБ"" 197-РДО от 01.07.2022")</f>
        <v>БУ Г. ОМСКА "УДХБ" 197-РДО от 01.07.2022</v>
      </c>
      <c r="D32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1" t="str">
        <f ca="1">IFERROR(__xludf.DUMMYFUNCTION("""COMPUTED_VALUE"""),"Новый")</f>
        <v>Новый</v>
      </c>
      <c r="G3251" s="68"/>
      <c r="K3251" s="68"/>
    </row>
    <row r="3252" spans="1:11" ht="12.75">
      <c r="A3252" s="69">
        <f ca="1">IFERROR(__xludf.DUMMYFUNCTION("""COMPUTED_VALUE"""),101022)</f>
        <v>101022</v>
      </c>
      <c r="B3252" s="4">
        <f ca="1">IFERROR(__xludf.DUMMYFUNCTION("""COMPUTED_VALUE"""),44747)</f>
        <v>44747</v>
      </c>
      <c r="C3252" t="str">
        <f ca="1">IFERROR(__xludf.DUMMYFUNCTION("""COMPUTED_VALUE"""),"БУ Г. ОМСКА ""УДХБ"" 197-РДО от 01.07.2022")</f>
        <v>БУ Г. ОМСКА "УДХБ" 197-РДО от 01.07.2022</v>
      </c>
      <c r="D32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2" t="str">
        <f ca="1">IFERROR(__xludf.DUMMYFUNCTION("""COMPUTED_VALUE"""),"Новый")</f>
        <v>Новый</v>
      </c>
      <c r="G3252" s="68"/>
      <c r="K3252" s="68"/>
    </row>
    <row r="3253" spans="1:11" ht="12.75">
      <c r="A3253" s="69">
        <f ca="1">IFERROR(__xludf.DUMMYFUNCTION("""COMPUTED_VALUE"""),101024)</f>
        <v>101024</v>
      </c>
      <c r="B3253" s="4">
        <f ca="1">IFERROR(__xludf.DUMMYFUNCTION("""COMPUTED_VALUE"""),44747)</f>
        <v>44747</v>
      </c>
      <c r="C3253" t="str">
        <f ca="1">IFERROR(__xludf.DUMMYFUNCTION("""COMPUTED_VALUE"""),"БУ Г. ОМСКА ""УДХБ"" 197-РДО от 01.07.2022")</f>
        <v>БУ Г. ОМСКА "УДХБ" 197-РДО от 01.07.2022</v>
      </c>
      <c r="D32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3" t="str">
        <f ca="1">IFERROR(__xludf.DUMMYFUNCTION("""COMPUTED_VALUE"""),"Новый")</f>
        <v>Новый</v>
      </c>
      <c r="G3253" s="68"/>
      <c r="K3253" s="68"/>
    </row>
    <row r="3254" spans="1:11" ht="12.75">
      <c r="A3254" s="69">
        <f ca="1">IFERROR(__xludf.DUMMYFUNCTION("""COMPUTED_VALUE"""),101025)</f>
        <v>101025</v>
      </c>
      <c r="B3254" s="4">
        <f ca="1">IFERROR(__xludf.DUMMYFUNCTION("""COMPUTED_VALUE"""),44747)</f>
        <v>44747</v>
      </c>
      <c r="C3254" t="str">
        <f ca="1">IFERROR(__xludf.DUMMYFUNCTION("""COMPUTED_VALUE"""),"БУ Г. ОМСКА ""УДХБ"" 197-РДО от 01.07.2022")</f>
        <v>БУ Г. ОМСКА "УДХБ" 197-РДО от 01.07.2022</v>
      </c>
      <c r="D32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4" t="str">
        <f ca="1">IFERROR(__xludf.DUMMYFUNCTION("""COMPUTED_VALUE"""),"Новый")</f>
        <v>Новый</v>
      </c>
      <c r="G3254" s="68"/>
      <c r="K3254" s="68"/>
    </row>
    <row r="3255" spans="1:11" ht="12.75">
      <c r="A3255" s="69">
        <f ca="1">IFERROR(__xludf.DUMMYFUNCTION("""COMPUTED_VALUE"""),101027)</f>
        <v>101027</v>
      </c>
      <c r="B3255" s="4">
        <f ca="1">IFERROR(__xludf.DUMMYFUNCTION("""COMPUTED_VALUE"""),44747)</f>
        <v>44747</v>
      </c>
      <c r="C3255" t="str">
        <f ca="1">IFERROR(__xludf.DUMMYFUNCTION("""COMPUTED_VALUE"""),"БУ Г. ОМСКА ""УДХБ"" 197-РДО от 01.07.2022")</f>
        <v>БУ Г. ОМСКА "УДХБ" 197-РДО от 01.07.2022</v>
      </c>
      <c r="D32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5" t="str">
        <f ca="1">IFERROR(__xludf.DUMMYFUNCTION("""COMPUTED_VALUE"""),"Новый")</f>
        <v>Новый</v>
      </c>
      <c r="G3255" s="68"/>
      <c r="K3255" s="68"/>
    </row>
    <row r="3256" spans="1:11" ht="12.75">
      <c r="A3256" s="69">
        <f ca="1">IFERROR(__xludf.DUMMYFUNCTION("""COMPUTED_VALUE"""),101028)</f>
        <v>101028</v>
      </c>
      <c r="B3256" s="4">
        <f ca="1">IFERROR(__xludf.DUMMYFUNCTION("""COMPUTED_VALUE"""),44747)</f>
        <v>44747</v>
      </c>
      <c r="C3256" t="str">
        <f ca="1">IFERROR(__xludf.DUMMYFUNCTION("""COMPUTED_VALUE"""),"БУ Г. ОМСКА ""УДХБ"" 197-РДО от 01.07.2022")</f>
        <v>БУ Г. ОМСКА "УДХБ" 197-РДО от 01.07.2022</v>
      </c>
      <c r="D32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6" t="str">
        <f ca="1">IFERROR(__xludf.DUMMYFUNCTION("""COMPUTED_VALUE"""),"Новый")</f>
        <v>Новый</v>
      </c>
      <c r="G3256" s="68"/>
      <c r="K3256" s="68"/>
    </row>
    <row r="3257" spans="1:11" ht="12.75">
      <c r="A3257" s="69">
        <f ca="1">IFERROR(__xludf.DUMMYFUNCTION("""COMPUTED_VALUE"""),101029)</f>
        <v>101029</v>
      </c>
      <c r="B3257" s="4">
        <f ca="1">IFERROR(__xludf.DUMMYFUNCTION("""COMPUTED_VALUE"""),44747)</f>
        <v>44747</v>
      </c>
      <c r="C3257" t="str">
        <f ca="1">IFERROR(__xludf.DUMMYFUNCTION("""COMPUTED_VALUE"""),"БУ Г. ОМСКА ""УДХБ"" 197-РДО от 01.07.2022")</f>
        <v>БУ Г. ОМСКА "УДХБ" 197-РДО от 01.07.2022</v>
      </c>
      <c r="D32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7" t="str">
        <f ca="1">IFERROR(__xludf.DUMMYFUNCTION("""COMPUTED_VALUE"""),"Новый")</f>
        <v>Новый</v>
      </c>
      <c r="G3257" s="68"/>
      <c r="K3257" s="68"/>
    </row>
    <row r="3258" spans="1:11" ht="12.75">
      <c r="A3258" s="69">
        <f ca="1">IFERROR(__xludf.DUMMYFUNCTION("""COMPUTED_VALUE"""),101030)</f>
        <v>101030</v>
      </c>
      <c r="B3258" s="4">
        <f ca="1">IFERROR(__xludf.DUMMYFUNCTION("""COMPUTED_VALUE"""),44747)</f>
        <v>44747</v>
      </c>
      <c r="C3258" t="str">
        <f ca="1">IFERROR(__xludf.DUMMYFUNCTION("""COMPUTED_VALUE"""),"БУ Г. ОМСКА ""УДХБ"" 197-РДО от 01.07.2022")</f>
        <v>БУ Г. ОМСКА "УДХБ" 197-РДО от 01.07.2022</v>
      </c>
      <c r="D32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8" t="str">
        <f ca="1">IFERROR(__xludf.DUMMYFUNCTION("""COMPUTED_VALUE"""),"Новый")</f>
        <v>Новый</v>
      </c>
      <c r="G3258" s="68"/>
      <c r="K3258" s="68"/>
    </row>
    <row r="3259" spans="1:11" ht="12.75">
      <c r="A3259" s="69">
        <f ca="1">IFERROR(__xludf.DUMMYFUNCTION("""COMPUTED_VALUE"""),101033)</f>
        <v>101033</v>
      </c>
      <c r="B3259" s="4">
        <f ca="1">IFERROR(__xludf.DUMMYFUNCTION("""COMPUTED_VALUE"""),44747)</f>
        <v>44747</v>
      </c>
      <c r="C3259" t="str">
        <f ca="1">IFERROR(__xludf.DUMMYFUNCTION("""COMPUTED_VALUE"""),"БУ Г. ОМСКА ""УДХБ"" 197-РДО от 01.07.2022")</f>
        <v>БУ Г. ОМСКА "УДХБ" 197-РДО от 01.07.2022</v>
      </c>
      <c r="D32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259" t="str">
        <f ca="1">IFERROR(__xludf.DUMMYFUNCTION("""COMPUTED_VALUE"""),"Новый")</f>
        <v>Новый</v>
      </c>
      <c r="G3259" s="68"/>
      <c r="K3259" s="68"/>
    </row>
    <row r="3260" spans="1:11" ht="12.75">
      <c r="A3260" s="69">
        <f ca="1">IFERROR(__xludf.DUMMYFUNCTION("""COMPUTED_VALUE"""),101086)</f>
        <v>101086</v>
      </c>
      <c r="B3260" s="4">
        <f ca="1">IFERROR(__xludf.DUMMYFUNCTION("""COMPUTED_VALUE"""),44747)</f>
        <v>44747</v>
      </c>
      <c r="C3260" t="str">
        <f ca="1">IFERROR(__xludf.DUMMYFUNCTION("""COMPUTED_VALUE"""),"БУ Г. ОМСКА ""УДХБ"" 144-СТР от 01.07.2022")</f>
        <v>БУ Г. ОМСКА "УДХБ" 144-СТР от 01.07.2022</v>
      </c>
      <c r="D32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0" t="str">
        <f ca="1">IFERROR(__xludf.DUMMYFUNCTION("""COMPUTED_VALUE"""),"Новый")</f>
        <v>Новый</v>
      </c>
      <c r="G3260" s="68"/>
      <c r="K3260" s="68"/>
    </row>
    <row r="3261" spans="1:11" ht="12.75">
      <c r="A3261" s="69">
        <f ca="1">IFERROR(__xludf.DUMMYFUNCTION("""COMPUTED_VALUE"""),101091)</f>
        <v>101091</v>
      </c>
      <c r="B3261" s="4">
        <f ca="1">IFERROR(__xludf.DUMMYFUNCTION("""COMPUTED_VALUE"""),44747)</f>
        <v>44747</v>
      </c>
      <c r="C3261" t="str">
        <f ca="1">IFERROR(__xludf.DUMMYFUNCTION("""COMPUTED_VALUE"""),"БУ Г. ОМСКА ""УДХБ"" 144-СТР от 01.07.2022")</f>
        <v>БУ Г. ОМСКА "УДХБ" 144-СТР от 01.07.2022</v>
      </c>
      <c r="D32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1" t="str">
        <f ca="1">IFERROR(__xludf.DUMMYFUNCTION("""COMPUTED_VALUE"""),"Новый")</f>
        <v>Новый</v>
      </c>
      <c r="G3261" s="68"/>
      <c r="K3261" s="68"/>
    </row>
    <row r="3262" spans="1:11" ht="12.75">
      <c r="A3262" s="69">
        <f ca="1">IFERROR(__xludf.DUMMYFUNCTION("""COMPUTED_VALUE"""),101092)</f>
        <v>101092</v>
      </c>
      <c r="B3262" s="4">
        <f ca="1">IFERROR(__xludf.DUMMYFUNCTION("""COMPUTED_VALUE"""),44747)</f>
        <v>44747</v>
      </c>
      <c r="C3262" t="str">
        <f ca="1">IFERROR(__xludf.DUMMYFUNCTION("""COMPUTED_VALUE"""),"БУ Г. ОМСКА ""УДХБ"" 144-СТР от 01.07.2022")</f>
        <v>БУ Г. ОМСКА "УДХБ" 144-СТР от 01.07.2022</v>
      </c>
      <c r="D32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2" t="str">
        <f ca="1">IFERROR(__xludf.DUMMYFUNCTION("""COMPUTED_VALUE"""),"Новый")</f>
        <v>Новый</v>
      </c>
      <c r="G3262" s="68"/>
      <c r="K3262" s="68"/>
    </row>
    <row r="3263" spans="1:11" ht="12.75">
      <c r="A3263" s="69">
        <f ca="1">IFERROR(__xludf.DUMMYFUNCTION("""COMPUTED_VALUE"""),101093)</f>
        <v>101093</v>
      </c>
      <c r="B3263" s="4">
        <f ca="1">IFERROR(__xludf.DUMMYFUNCTION("""COMPUTED_VALUE"""),44747)</f>
        <v>44747</v>
      </c>
      <c r="C3263" t="str">
        <f ca="1">IFERROR(__xludf.DUMMYFUNCTION("""COMPUTED_VALUE"""),"БУ Г. ОМСКА ""УДХБ"" 144-СТР от 01.07.2022")</f>
        <v>БУ Г. ОМСКА "УДХБ" 144-СТР от 01.07.2022</v>
      </c>
      <c r="D32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3" t="str">
        <f ca="1">IFERROR(__xludf.DUMMYFUNCTION("""COMPUTED_VALUE"""),"Новый")</f>
        <v>Новый</v>
      </c>
      <c r="G3263" s="68"/>
      <c r="K3263" s="68"/>
    </row>
    <row r="3264" spans="1:11" ht="12.75">
      <c r="A3264" s="69">
        <f ca="1">IFERROR(__xludf.DUMMYFUNCTION("""COMPUTED_VALUE"""),101094)</f>
        <v>101094</v>
      </c>
      <c r="B3264" s="4">
        <f ca="1">IFERROR(__xludf.DUMMYFUNCTION("""COMPUTED_VALUE"""),44747)</f>
        <v>44747</v>
      </c>
      <c r="C3264" t="str">
        <f ca="1">IFERROR(__xludf.DUMMYFUNCTION("""COMPUTED_VALUE"""),"БУ Г. ОМСКА ""УДХБ"" 144-СТР от 01.07.2022")</f>
        <v>БУ Г. ОМСКА "УДХБ" 144-СТР от 01.07.2022</v>
      </c>
      <c r="D32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4" t="str">
        <f ca="1">IFERROR(__xludf.DUMMYFUNCTION("""COMPUTED_VALUE"""),"Новый")</f>
        <v>Новый</v>
      </c>
      <c r="G3264" s="68"/>
      <c r="K3264" s="68"/>
    </row>
    <row r="3265" spans="1:11" ht="12.75">
      <c r="A3265" s="69">
        <f ca="1">IFERROR(__xludf.DUMMYFUNCTION("""COMPUTED_VALUE"""),101095)</f>
        <v>101095</v>
      </c>
      <c r="B3265" s="4">
        <f ca="1">IFERROR(__xludf.DUMMYFUNCTION("""COMPUTED_VALUE"""),44747)</f>
        <v>44747</v>
      </c>
      <c r="C3265" t="str">
        <f ca="1">IFERROR(__xludf.DUMMYFUNCTION("""COMPUTED_VALUE"""),"БУ Г. ОМСКА ""УДХБ"" 144-СТР от 01.07.2022")</f>
        <v>БУ Г. ОМСКА "УДХБ" 144-СТР от 01.07.2022</v>
      </c>
      <c r="D32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5" t="str">
        <f ca="1">IFERROR(__xludf.DUMMYFUNCTION("""COMPUTED_VALUE"""),"Новый")</f>
        <v>Новый</v>
      </c>
      <c r="G3265" s="68"/>
      <c r="K3265" s="68"/>
    </row>
    <row r="3266" spans="1:11" ht="12.75">
      <c r="A3266" s="69">
        <f ca="1">IFERROR(__xludf.DUMMYFUNCTION("""COMPUTED_VALUE"""),101097)</f>
        <v>101097</v>
      </c>
      <c r="B3266" s="4">
        <f ca="1">IFERROR(__xludf.DUMMYFUNCTION("""COMPUTED_VALUE"""),44747)</f>
        <v>44747</v>
      </c>
      <c r="C3266" t="str">
        <f ca="1">IFERROR(__xludf.DUMMYFUNCTION("""COMPUTED_VALUE"""),"БУ Г. ОМСКА ""УДХБ"" 144-СТР от 01.07.2022")</f>
        <v>БУ Г. ОМСКА "УДХБ" 144-СТР от 01.07.2022</v>
      </c>
      <c r="D32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6" t="str">
        <f ca="1">IFERROR(__xludf.DUMMYFUNCTION("""COMPUTED_VALUE"""),"Новый")</f>
        <v>Новый</v>
      </c>
      <c r="G3266" s="68"/>
      <c r="K3266" s="68"/>
    </row>
    <row r="3267" spans="1:11" ht="12.75">
      <c r="A3267" s="69">
        <f ca="1">IFERROR(__xludf.DUMMYFUNCTION("""COMPUTED_VALUE"""),101113)</f>
        <v>101113</v>
      </c>
      <c r="B3267" s="4">
        <f ca="1">IFERROR(__xludf.DUMMYFUNCTION("""COMPUTED_VALUE"""),44747)</f>
        <v>44747</v>
      </c>
      <c r="C3267" t="str">
        <f ca="1">IFERROR(__xludf.DUMMYFUNCTION("""COMPUTED_VALUE"""),"БУ Г. ОМСКА ""УДХБ"" 144-СТР от 01.07.2022")</f>
        <v>БУ Г. ОМСКА "УДХБ" 144-СТР от 01.07.2022</v>
      </c>
      <c r="D32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7" t="str">
        <f ca="1">IFERROR(__xludf.DUMMYFUNCTION("""COMPUTED_VALUE"""),"Новый")</f>
        <v>Новый</v>
      </c>
      <c r="G3267" s="68"/>
      <c r="K3267" s="68"/>
    </row>
    <row r="3268" spans="1:11" ht="12.75">
      <c r="A3268" s="69">
        <f ca="1">IFERROR(__xludf.DUMMYFUNCTION("""COMPUTED_VALUE"""),101118)</f>
        <v>101118</v>
      </c>
      <c r="B3268" s="4">
        <f ca="1">IFERROR(__xludf.DUMMYFUNCTION("""COMPUTED_VALUE"""),44747)</f>
        <v>44747</v>
      </c>
      <c r="C3268" t="str">
        <f ca="1">IFERROR(__xludf.DUMMYFUNCTION("""COMPUTED_VALUE"""),"БУ Г. ОМСКА ""УДХБ"" 144-СТР от 01.07.2022")</f>
        <v>БУ Г. ОМСКА "УДХБ" 144-СТР от 01.07.2022</v>
      </c>
      <c r="D32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8" t="str">
        <f ca="1">IFERROR(__xludf.DUMMYFUNCTION("""COMPUTED_VALUE"""),"Новый")</f>
        <v>Новый</v>
      </c>
      <c r="G3268" s="68"/>
      <c r="K3268" s="68"/>
    </row>
    <row r="3269" spans="1:11" ht="12.75">
      <c r="A3269" s="69">
        <f ca="1">IFERROR(__xludf.DUMMYFUNCTION("""COMPUTED_VALUE"""),101119)</f>
        <v>101119</v>
      </c>
      <c r="B3269" s="4">
        <f ca="1">IFERROR(__xludf.DUMMYFUNCTION("""COMPUTED_VALUE"""),44747)</f>
        <v>44747</v>
      </c>
      <c r="C3269" t="str">
        <f ca="1">IFERROR(__xludf.DUMMYFUNCTION("""COMPUTED_VALUE"""),"БУ Г. ОМСКА ""УДХБ"" 144-СТР от 01.07.2022")</f>
        <v>БУ Г. ОМСКА "УДХБ" 144-СТР от 01.07.2022</v>
      </c>
      <c r="D32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69" t="str">
        <f ca="1">IFERROR(__xludf.DUMMYFUNCTION("""COMPUTED_VALUE"""),"Новый")</f>
        <v>Новый</v>
      </c>
      <c r="G3269" s="68"/>
      <c r="K3269" s="68"/>
    </row>
    <row r="3270" spans="1:11" ht="12.75">
      <c r="A3270" s="69">
        <f ca="1">IFERROR(__xludf.DUMMYFUNCTION("""COMPUTED_VALUE"""),101120)</f>
        <v>101120</v>
      </c>
      <c r="B3270" s="4">
        <f ca="1">IFERROR(__xludf.DUMMYFUNCTION("""COMPUTED_VALUE"""),44747)</f>
        <v>44747</v>
      </c>
      <c r="C3270" t="str">
        <f ca="1">IFERROR(__xludf.DUMMYFUNCTION("""COMPUTED_VALUE"""),"БУ Г. ОМСКА ""УДХБ"" 144-СТР от 01.07.2022")</f>
        <v>БУ Г. ОМСКА "УДХБ" 144-СТР от 01.07.2022</v>
      </c>
      <c r="D32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0" t="str">
        <f ca="1">IFERROR(__xludf.DUMMYFUNCTION("""COMPUTED_VALUE"""),"Новый")</f>
        <v>Новый</v>
      </c>
      <c r="G3270" s="68"/>
      <c r="K3270" s="68"/>
    </row>
    <row r="3271" spans="1:11" ht="12.75">
      <c r="A3271" s="69">
        <f ca="1">IFERROR(__xludf.DUMMYFUNCTION("""COMPUTED_VALUE"""),101121)</f>
        <v>101121</v>
      </c>
      <c r="B3271" s="4">
        <f ca="1">IFERROR(__xludf.DUMMYFUNCTION("""COMPUTED_VALUE"""),44747)</f>
        <v>44747</v>
      </c>
      <c r="C3271" t="str">
        <f ca="1">IFERROR(__xludf.DUMMYFUNCTION("""COMPUTED_VALUE"""),"БУ Г. ОМСКА ""УДХБ"" 144-СТР от 01.07.2022")</f>
        <v>БУ Г. ОМСКА "УДХБ" 144-СТР от 01.07.2022</v>
      </c>
      <c r="D32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1" t="str">
        <f ca="1">IFERROR(__xludf.DUMMYFUNCTION("""COMPUTED_VALUE"""),"Новый")</f>
        <v>Новый</v>
      </c>
      <c r="G3271" s="68"/>
      <c r="K3271" s="68"/>
    </row>
    <row r="3272" spans="1:11" ht="12.75">
      <c r="A3272" s="69">
        <f ca="1">IFERROR(__xludf.DUMMYFUNCTION("""COMPUTED_VALUE"""),101122)</f>
        <v>101122</v>
      </c>
      <c r="B3272" s="4">
        <f ca="1">IFERROR(__xludf.DUMMYFUNCTION("""COMPUTED_VALUE"""),44747)</f>
        <v>44747</v>
      </c>
      <c r="C3272" t="str">
        <f ca="1">IFERROR(__xludf.DUMMYFUNCTION("""COMPUTED_VALUE"""),"БУ Г. ОМСКА ""УДХБ"" 144-СТР от 01.07.2022")</f>
        <v>БУ Г. ОМСКА "УДХБ" 144-СТР от 01.07.2022</v>
      </c>
      <c r="D32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2" t="str">
        <f ca="1">IFERROR(__xludf.DUMMYFUNCTION("""COMPUTED_VALUE"""),"Новый")</f>
        <v>Новый</v>
      </c>
      <c r="G3272" s="68"/>
      <c r="K3272" s="68"/>
    </row>
    <row r="3273" spans="1:11" ht="12.75">
      <c r="A3273" s="69">
        <f ca="1">IFERROR(__xludf.DUMMYFUNCTION("""COMPUTED_VALUE"""),101123)</f>
        <v>101123</v>
      </c>
      <c r="B3273" s="4">
        <f ca="1">IFERROR(__xludf.DUMMYFUNCTION("""COMPUTED_VALUE"""),44747)</f>
        <v>44747</v>
      </c>
      <c r="C3273" t="str">
        <f ca="1">IFERROR(__xludf.DUMMYFUNCTION("""COMPUTED_VALUE"""),"БУ Г. ОМСКА ""УДХБ"" 144-СТР от 01.07.2022")</f>
        <v>БУ Г. ОМСКА "УДХБ" 144-СТР от 01.07.2022</v>
      </c>
      <c r="D32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3" t="str">
        <f ca="1">IFERROR(__xludf.DUMMYFUNCTION("""COMPUTED_VALUE"""),"Новый")</f>
        <v>Новый</v>
      </c>
      <c r="G3273" s="68"/>
      <c r="K3273" s="68"/>
    </row>
    <row r="3274" spans="1:11" ht="12.75">
      <c r="A3274" s="69">
        <f ca="1">IFERROR(__xludf.DUMMYFUNCTION("""COMPUTED_VALUE"""),101124)</f>
        <v>101124</v>
      </c>
      <c r="B3274" s="4">
        <f ca="1">IFERROR(__xludf.DUMMYFUNCTION("""COMPUTED_VALUE"""),44747)</f>
        <v>44747</v>
      </c>
      <c r="C3274" t="str">
        <f ca="1">IFERROR(__xludf.DUMMYFUNCTION("""COMPUTED_VALUE"""),"БУ Г. ОМСКА ""УДХБ"" 144-СТР от 01.07.2022")</f>
        <v>БУ Г. ОМСКА "УДХБ" 144-СТР от 01.07.2022</v>
      </c>
      <c r="D32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4" t="str">
        <f ca="1">IFERROR(__xludf.DUMMYFUNCTION("""COMPUTED_VALUE"""),"Новый")</f>
        <v>Новый</v>
      </c>
      <c r="G3274" s="68"/>
      <c r="K3274" s="68"/>
    </row>
    <row r="3275" spans="1:11" ht="12.75">
      <c r="A3275" s="69">
        <f ca="1">IFERROR(__xludf.DUMMYFUNCTION("""COMPUTED_VALUE"""),101125)</f>
        <v>101125</v>
      </c>
      <c r="B3275" s="4">
        <f ca="1">IFERROR(__xludf.DUMMYFUNCTION("""COMPUTED_VALUE"""),44747)</f>
        <v>44747</v>
      </c>
      <c r="C3275" t="str">
        <f ca="1">IFERROR(__xludf.DUMMYFUNCTION("""COMPUTED_VALUE"""),"БУ Г. ОМСКА ""УДХБ"" 144-СТР от 01.07.2022")</f>
        <v>БУ Г. ОМСКА "УДХБ" 144-СТР от 01.07.2022</v>
      </c>
      <c r="D32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5" t="str">
        <f ca="1">IFERROR(__xludf.DUMMYFUNCTION("""COMPUTED_VALUE"""),"Новый")</f>
        <v>Новый</v>
      </c>
      <c r="G3275" s="68"/>
      <c r="K3275" s="68"/>
    </row>
    <row r="3276" spans="1:11" ht="12.75">
      <c r="A3276" s="69">
        <f ca="1">IFERROR(__xludf.DUMMYFUNCTION("""COMPUTED_VALUE"""),101126)</f>
        <v>101126</v>
      </c>
      <c r="B3276" s="4">
        <f ca="1">IFERROR(__xludf.DUMMYFUNCTION("""COMPUTED_VALUE"""),44747)</f>
        <v>44747</v>
      </c>
      <c r="C3276" t="str">
        <f ca="1">IFERROR(__xludf.DUMMYFUNCTION("""COMPUTED_VALUE"""),"БУ Г. ОМСКА ""УДХБ"" 144-СТР от 01.07.2022")</f>
        <v>БУ Г. ОМСКА "УДХБ" 144-СТР от 01.07.2022</v>
      </c>
      <c r="D32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6" t="str">
        <f ca="1">IFERROR(__xludf.DUMMYFUNCTION("""COMPUTED_VALUE"""),"Новый")</f>
        <v>Новый</v>
      </c>
      <c r="G3276" s="68"/>
      <c r="K3276" s="68"/>
    </row>
    <row r="3277" spans="1:11" ht="12.75">
      <c r="A3277" s="69">
        <f ca="1">IFERROR(__xludf.DUMMYFUNCTION("""COMPUTED_VALUE"""),101127)</f>
        <v>101127</v>
      </c>
      <c r="B3277" s="4">
        <f ca="1">IFERROR(__xludf.DUMMYFUNCTION("""COMPUTED_VALUE"""),44747)</f>
        <v>44747</v>
      </c>
      <c r="C3277" t="str">
        <f ca="1">IFERROR(__xludf.DUMMYFUNCTION("""COMPUTED_VALUE"""),"БУ Г. ОМСКА ""УДХБ"" 144-СТР от 01.07.2022")</f>
        <v>БУ Г. ОМСКА "УДХБ" 144-СТР от 01.07.2022</v>
      </c>
      <c r="D32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7" t="str">
        <f ca="1">IFERROR(__xludf.DUMMYFUNCTION("""COMPUTED_VALUE"""),"Новый")</f>
        <v>Новый</v>
      </c>
      <c r="G3277" s="68"/>
      <c r="K3277" s="68"/>
    </row>
    <row r="3278" spans="1:11" ht="12.75">
      <c r="A3278" s="69">
        <f ca="1">IFERROR(__xludf.DUMMYFUNCTION("""COMPUTED_VALUE"""),101130)</f>
        <v>101130</v>
      </c>
      <c r="B3278" s="4">
        <f ca="1">IFERROR(__xludf.DUMMYFUNCTION("""COMPUTED_VALUE"""),44747)</f>
        <v>44747</v>
      </c>
      <c r="C3278" t="str">
        <f ca="1">IFERROR(__xludf.DUMMYFUNCTION("""COMPUTED_VALUE"""),"БУ Г. ОМСКА ""УДХБ"" 144-СТР от 01.07.2022")</f>
        <v>БУ Г. ОМСКА "УДХБ" 144-СТР от 01.07.2022</v>
      </c>
      <c r="D32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8" t="str">
        <f ca="1">IFERROR(__xludf.DUMMYFUNCTION("""COMPUTED_VALUE"""),"Новый")</f>
        <v>Новый</v>
      </c>
      <c r="G3278" s="68"/>
      <c r="K3278" s="68"/>
    </row>
    <row r="3279" spans="1:11" ht="12.75">
      <c r="A3279" s="69">
        <f ca="1">IFERROR(__xludf.DUMMYFUNCTION("""COMPUTED_VALUE"""),101131)</f>
        <v>101131</v>
      </c>
      <c r="B3279" s="4">
        <f ca="1">IFERROR(__xludf.DUMMYFUNCTION("""COMPUTED_VALUE"""),44747)</f>
        <v>44747</v>
      </c>
      <c r="C3279" t="str">
        <f ca="1">IFERROR(__xludf.DUMMYFUNCTION("""COMPUTED_VALUE"""),"БУ Г. ОМСКА ""УДХБ"" 144-СТР от 01.07.2022")</f>
        <v>БУ Г. ОМСКА "УДХБ" 144-СТР от 01.07.2022</v>
      </c>
      <c r="D32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79" t="str">
        <f ca="1">IFERROR(__xludf.DUMMYFUNCTION("""COMPUTED_VALUE"""),"Новый")</f>
        <v>Новый</v>
      </c>
      <c r="G3279" s="68"/>
      <c r="K3279" s="68"/>
    </row>
    <row r="3280" spans="1:11" ht="12.75">
      <c r="A3280" s="69">
        <f ca="1">IFERROR(__xludf.DUMMYFUNCTION("""COMPUTED_VALUE"""),101132)</f>
        <v>101132</v>
      </c>
      <c r="B3280" s="4">
        <f ca="1">IFERROR(__xludf.DUMMYFUNCTION("""COMPUTED_VALUE"""),44747)</f>
        <v>44747</v>
      </c>
      <c r="C3280" t="str">
        <f ca="1">IFERROR(__xludf.DUMMYFUNCTION("""COMPUTED_VALUE"""),"БУ Г. ОМСКА ""УДХБ"" 144-СТР от 01.07.2022")</f>
        <v>БУ Г. ОМСКА "УДХБ" 144-СТР от 01.07.2022</v>
      </c>
      <c r="D32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0" t="str">
        <f ca="1">IFERROR(__xludf.DUMMYFUNCTION("""COMPUTED_VALUE"""),"Новый")</f>
        <v>Новый</v>
      </c>
      <c r="G3280" s="68"/>
      <c r="K3280" s="68"/>
    </row>
    <row r="3281" spans="1:11" ht="12.75">
      <c r="A3281" s="69">
        <f ca="1">IFERROR(__xludf.DUMMYFUNCTION("""COMPUTED_VALUE"""),101133)</f>
        <v>101133</v>
      </c>
      <c r="B3281" s="4">
        <f ca="1">IFERROR(__xludf.DUMMYFUNCTION("""COMPUTED_VALUE"""),44747)</f>
        <v>44747</v>
      </c>
      <c r="C3281" t="str">
        <f ca="1">IFERROR(__xludf.DUMMYFUNCTION("""COMPUTED_VALUE"""),"БУ Г. ОМСКА ""УДХБ"" 144-СТР от 01.07.2022")</f>
        <v>БУ Г. ОМСКА "УДХБ" 144-СТР от 01.07.2022</v>
      </c>
      <c r="D32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1" t="str">
        <f ca="1">IFERROR(__xludf.DUMMYFUNCTION("""COMPUTED_VALUE"""),"Новый")</f>
        <v>Новый</v>
      </c>
      <c r="G3281" s="68"/>
      <c r="K3281" s="68"/>
    </row>
    <row r="3282" spans="1:11" ht="12.75">
      <c r="A3282" s="69">
        <f ca="1">IFERROR(__xludf.DUMMYFUNCTION("""COMPUTED_VALUE"""),101134)</f>
        <v>101134</v>
      </c>
      <c r="B3282" s="4">
        <f ca="1">IFERROR(__xludf.DUMMYFUNCTION("""COMPUTED_VALUE"""),44747)</f>
        <v>44747</v>
      </c>
      <c r="C3282" t="str">
        <f ca="1">IFERROR(__xludf.DUMMYFUNCTION("""COMPUTED_VALUE"""),"БУ Г. ОМСКА ""УДХБ"" 144-СТР от 01.07.2022")</f>
        <v>БУ Г. ОМСКА "УДХБ" 144-СТР от 01.07.2022</v>
      </c>
      <c r="D32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2" t="str">
        <f ca="1">IFERROR(__xludf.DUMMYFUNCTION("""COMPUTED_VALUE"""),"Новый")</f>
        <v>Новый</v>
      </c>
      <c r="G3282" s="68"/>
      <c r="K3282" s="68"/>
    </row>
    <row r="3283" spans="1:11" ht="12.75">
      <c r="A3283" s="69">
        <f ca="1">IFERROR(__xludf.DUMMYFUNCTION("""COMPUTED_VALUE"""),101135)</f>
        <v>101135</v>
      </c>
      <c r="B3283" s="4">
        <f ca="1">IFERROR(__xludf.DUMMYFUNCTION("""COMPUTED_VALUE"""),44747)</f>
        <v>44747</v>
      </c>
      <c r="C3283" t="str">
        <f ca="1">IFERROR(__xludf.DUMMYFUNCTION("""COMPUTED_VALUE"""),"БУ Г. ОМСКА ""УДХБ"" 144-СТР от 01.07.2022")</f>
        <v>БУ Г. ОМСКА "УДХБ" 144-СТР от 01.07.2022</v>
      </c>
      <c r="D32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3" t="str">
        <f ca="1">IFERROR(__xludf.DUMMYFUNCTION("""COMPUTED_VALUE"""),"Новый")</f>
        <v>Новый</v>
      </c>
      <c r="G3283" s="68"/>
      <c r="K3283" s="68"/>
    </row>
    <row r="3284" spans="1:11" ht="12.75">
      <c r="A3284" s="69">
        <f ca="1">IFERROR(__xludf.DUMMYFUNCTION("""COMPUTED_VALUE"""),101136)</f>
        <v>101136</v>
      </c>
      <c r="B3284" s="4">
        <f ca="1">IFERROR(__xludf.DUMMYFUNCTION("""COMPUTED_VALUE"""),44747)</f>
        <v>44747</v>
      </c>
      <c r="C3284" t="str">
        <f ca="1">IFERROR(__xludf.DUMMYFUNCTION("""COMPUTED_VALUE"""),"БУ Г. ОМСКА ""УДХБ"" 144-СТР от 01.07.2022")</f>
        <v>БУ Г. ОМСКА "УДХБ" 144-СТР от 01.07.2022</v>
      </c>
      <c r="D32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4" t="str">
        <f ca="1">IFERROR(__xludf.DUMMYFUNCTION("""COMPUTED_VALUE"""),"Новый")</f>
        <v>Новый</v>
      </c>
      <c r="G3284" s="68"/>
      <c r="K3284" s="68"/>
    </row>
    <row r="3285" spans="1:11" ht="12.75">
      <c r="A3285" s="69">
        <f ca="1">IFERROR(__xludf.DUMMYFUNCTION("""COMPUTED_VALUE"""),101137)</f>
        <v>101137</v>
      </c>
      <c r="B3285" s="4">
        <f ca="1">IFERROR(__xludf.DUMMYFUNCTION("""COMPUTED_VALUE"""),44747)</f>
        <v>44747</v>
      </c>
      <c r="C3285" t="str">
        <f ca="1">IFERROR(__xludf.DUMMYFUNCTION("""COMPUTED_VALUE"""),"БУ Г. ОМСКА ""УДХБ"" 144-СТР от 01.07.2022")</f>
        <v>БУ Г. ОМСКА "УДХБ" 144-СТР от 01.07.2022</v>
      </c>
      <c r="D32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5" t="str">
        <f ca="1">IFERROR(__xludf.DUMMYFUNCTION("""COMPUTED_VALUE"""),"Новый")</f>
        <v>Новый</v>
      </c>
      <c r="G3285" s="68"/>
      <c r="K3285" s="68"/>
    </row>
    <row r="3286" spans="1:11" ht="12.75">
      <c r="A3286" s="69">
        <f ca="1">IFERROR(__xludf.DUMMYFUNCTION("""COMPUTED_VALUE"""),101138)</f>
        <v>101138</v>
      </c>
      <c r="B3286" s="4">
        <f ca="1">IFERROR(__xludf.DUMMYFUNCTION("""COMPUTED_VALUE"""),44747)</f>
        <v>44747</v>
      </c>
      <c r="C3286" t="str">
        <f ca="1">IFERROR(__xludf.DUMMYFUNCTION("""COMPUTED_VALUE"""),"БУ Г. ОМСКА ""УДХБ"" 144-СТР от 01.07.2022")</f>
        <v>БУ Г. ОМСКА "УДХБ" 144-СТР от 01.07.2022</v>
      </c>
      <c r="D32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6" t="str">
        <f ca="1">IFERROR(__xludf.DUMMYFUNCTION("""COMPUTED_VALUE"""),"Новый")</f>
        <v>Новый</v>
      </c>
      <c r="G3286" s="68"/>
      <c r="K3286" s="68"/>
    </row>
    <row r="3287" spans="1:11" ht="12.75">
      <c r="A3287" s="69">
        <f ca="1">IFERROR(__xludf.DUMMYFUNCTION("""COMPUTED_VALUE"""),101139)</f>
        <v>101139</v>
      </c>
      <c r="B3287" s="4">
        <f ca="1">IFERROR(__xludf.DUMMYFUNCTION("""COMPUTED_VALUE"""),44747)</f>
        <v>44747</v>
      </c>
      <c r="C3287" t="str">
        <f ca="1">IFERROR(__xludf.DUMMYFUNCTION("""COMPUTED_VALUE"""),"БУ Г. ОМСКА ""УДХБ"" 144-СТР от 01.07.2022")</f>
        <v>БУ Г. ОМСКА "УДХБ" 144-СТР от 01.07.2022</v>
      </c>
      <c r="D32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7" t="str">
        <f ca="1">IFERROR(__xludf.DUMMYFUNCTION("""COMPUTED_VALUE"""),"Новый")</f>
        <v>Новый</v>
      </c>
      <c r="G3287" s="68"/>
      <c r="K3287" s="68"/>
    </row>
    <row r="3288" spans="1:11" ht="12.75">
      <c r="A3288" s="69">
        <f ca="1">IFERROR(__xludf.DUMMYFUNCTION("""COMPUTED_VALUE"""),101156)</f>
        <v>101156</v>
      </c>
      <c r="B3288" s="4">
        <f ca="1">IFERROR(__xludf.DUMMYFUNCTION("""COMPUTED_VALUE"""),44747)</f>
        <v>44747</v>
      </c>
      <c r="C3288" t="str">
        <f ca="1">IFERROR(__xludf.DUMMYFUNCTION("""COMPUTED_VALUE"""),"БУ Г. ОМСКА ""УДХБ"" 144-СТР от 01.07.2022")</f>
        <v>БУ Г. ОМСКА "УДХБ" 144-СТР от 01.07.2022</v>
      </c>
      <c r="D32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8" t="str">
        <f ca="1">IFERROR(__xludf.DUMMYFUNCTION("""COMPUTED_VALUE"""),"Новый")</f>
        <v>Новый</v>
      </c>
      <c r="G3288" s="68"/>
      <c r="K3288" s="68"/>
    </row>
    <row r="3289" spans="1:11" ht="12.75">
      <c r="A3289" s="69">
        <f ca="1">IFERROR(__xludf.DUMMYFUNCTION("""COMPUTED_VALUE"""),101157)</f>
        <v>101157</v>
      </c>
      <c r="B3289" s="4">
        <f ca="1">IFERROR(__xludf.DUMMYFUNCTION("""COMPUTED_VALUE"""),44747)</f>
        <v>44747</v>
      </c>
      <c r="C3289" t="str">
        <f ca="1">IFERROR(__xludf.DUMMYFUNCTION("""COMPUTED_VALUE"""),"БУ Г. ОМСКА ""УДХБ"" 144-СТР от 01.07.2022")</f>
        <v>БУ Г. ОМСКА "УДХБ" 144-СТР от 01.07.2022</v>
      </c>
      <c r="D32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89" t="str">
        <f ca="1">IFERROR(__xludf.DUMMYFUNCTION("""COMPUTED_VALUE"""),"Новый")</f>
        <v>Новый</v>
      </c>
      <c r="G3289" s="68"/>
      <c r="K3289" s="68"/>
    </row>
    <row r="3290" spans="1:11" ht="12.75">
      <c r="A3290" s="69">
        <f ca="1">IFERROR(__xludf.DUMMYFUNCTION("""COMPUTED_VALUE"""),101158)</f>
        <v>101158</v>
      </c>
      <c r="B3290" s="4">
        <f ca="1">IFERROR(__xludf.DUMMYFUNCTION("""COMPUTED_VALUE"""),44747)</f>
        <v>44747</v>
      </c>
      <c r="C3290" t="str">
        <f ca="1">IFERROR(__xludf.DUMMYFUNCTION("""COMPUTED_VALUE"""),"БУ Г. ОМСКА ""УДХБ"" 144-СТР от 01.07.2022")</f>
        <v>БУ Г. ОМСКА "УДХБ" 144-СТР от 01.07.2022</v>
      </c>
      <c r="D32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0" t="str">
        <f ca="1">IFERROR(__xludf.DUMMYFUNCTION("""COMPUTED_VALUE"""),"Новый")</f>
        <v>Новый</v>
      </c>
      <c r="G3290" s="68"/>
      <c r="K3290" s="68"/>
    </row>
    <row r="3291" spans="1:11" ht="12.75">
      <c r="A3291" s="69">
        <f ca="1">IFERROR(__xludf.DUMMYFUNCTION("""COMPUTED_VALUE"""),101159)</f>
        <v>101159</v>
      </c>
      <c r="B3291" s="4">
        <f ca="1">IFERROR(__xludf.DUMMYFUNCTION("""COMPUTED_VALUE"""),44747)</f>
        <v>44747</v>
      </c>
      <c r="C3291" t="str">
        <f ca="1">IFERROR(__xludf.DUMMYFUNCTION("""COMPUTED_VALUE"""),"БУ Г. ОМСКА ""УДХБ"" 144-СТР от 01.07.2022")</f>
        <v>БУ Г. ОМСКА "УДХБ" 144-СТР от 01.07.2022</v>
      </c>
      <c r="D32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1" t="str">
        <f ca="1">IFERROR(__xludf.DUMMYFUNCTION("""COMPUTED_VALUE"""),"Новый")</f>
        <v>Новый</v>
      </c>
      <c r="G3291" s="68"/>
      <c r="K3291" s="68"/>
    </row>
    <row r="3292" spans="1:11" ht="12.75">
      <c r="A3292" s="69">
        <f ca="1">IFERROR(__xludf.DUMMYFUNCTION("""COMPUTED_VALUE"""),101160)</f>
        <v>101160</v>
      </c>
      <c r="B3292" s="4">
        <f ca="1">IFERROR(__xludf.DUMMYFUNCTION("""COMPUTED_VALUE"""),44747)</f>
        <v>44747</v>
      </c>
      <c r="C3292" t="str">
        <f ca="1">IFERROR(__xludf.DUMMYFUNCTION("""COMPUTED_VALUE"""),"БУ Г. ОМСКА ""УДХБ"" 144-СТР от 01.07.2022")</f>
        <v>БУ Г. ОМСКА "УДХБ" 144-СТР от 01.07.2022</v>
      </c>
      <c r="D32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2" t="str">
        <f ca="1">IFERROR(__xludf.DUMMYFUNCTION("""COMPUTED_VALUE"""),"Новый")</f>
        <v>Новый</v>
      </c>
      <c r="G3292" s="68"/>
      <c r="K3292" s="68"/>
    </row>
    <row r="3293" spans="1:11" ht="12.75">
      <c r="A3293" s="69">
        <f ca="1">IFERROR(__xludf.DUMMYFUNCTION("""COMPUTED_VALUE"""),101161)</f>
        <v>101161</v>
      </c>
      <c r="B3293" s="4">
        <f ca="1">IFERROR(__xludf.DUMMYFUNCTION("""COMPUTED_VALUE"""),44747)</f>
        <v>44747</v>
      </c>
      <c r="C3293" t="str">
        <f ca="1">IFERROR(__xludf.DUMMYFUNCTION("""COMPUTED_VALUE"""),"БУ Г. ОМСКА ""УДХБ"" 144-СТР от 01.07.2022")</f>
        <v>БУ Г. ОМСКА "УДХБ" 144-СТР от 01.07.2022</v>
      </c>
      <c r="D32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3" t="str">
        <f ca="1">IFERROR(__xludf.DUMMYFUNCTION("""COMPUTED_VALUE"""),"Новый")</f>
        <v>Новый</v>
      </c>
      <c r="G3293" s="68"/>
      <c r="K3293" s="68"/>
    </row>
    <row r="3294" spans="1:11" ht="12.75">
      <c r="A3294" s="69">
        <f ca="1">IFERROR(__xludf.DUMMYFUNCTION("""COMPUTED_VALUE"""),101162)</f>
        <v>101162</v>
      </c>
      <c r="B3294" s="4">
        <f ca="1">IFERROR(__xludf.DUMMYFUNCTION("""COMPUTED_VALUE"""),44747)</f>
        <v>44747</v>
      </c>
      <c r="C3294" t="str">
        <f ca="1">IFERROR(__xludf.DUMMYFUNCTION("""COMPUTED_VALUE"""),"БУ Г. ОМСКА ""УДХБ"" 144-СТР от 01.07.2022")</f>
        <v>БУ Г. ОМСКА "УДХБ" 144-СТР от 01.07.2022</v>
      </c>
      <c r="D32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4" t="str">
        <f ca="1">IFERROR(__xludf.DUMMYFUNCTION("""COMPUTED_VALUE"""),"Новый")</f>
        <v>Новый</v>
      </c>
      <c r="G3294" s="68"/>
      <c r="K3294" s="68"/>
    </row>
    <row r="3295" spans="1:11" ht="12.75">
      <c r="A3295" s="69">
        <f ca="1">IFERROR(__xludf.DUMMYFUNCTION("""COMPUTED_VALUE"""),101163)</f>
        <v>101163</v>
      </c>
      <c r="B3295" s="4">
        <f ca="1">IFERROR(__xludf.DUMMYFUNCTION("""COMPUTED_VALUE"""),44747)</f>
        <v>44747</v>
      </c>
      <c r="C3295" t="str">
        <f ca="1">IFERROR(__xludf.DUMMYFUNCTION("""COMPUTED_VALUE"""),"БУ Г. ОМСКА ""УДХБ"" 144-СТР от 01.07.2022")</f>
        <v>БУ Г. ОМСКА "УДХБ" 144-СТР от 01.07.2022</v>
      </c>
      <c r="D32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5" t="str">
        <f ca="1">IFERROR(__xludf.DUMMYFUNCTION("""COMPUTED_VALUE"""),"Новый")</f>
        <v>Новый</v>
      </c>
      <c r="G3295" s="68"/>
      <c r="K3295" s="68"/>
    </row>
    <row r="3296" spans="1:11" ht="12.75">
      <c r="A3296" s="69">
        <f ca="1">IFERROR(__xludf.DUMMYFUNCTION("""COMPUTED_VALUE"""),101164)</f>
        <v>101164</v>
      </c>
      <c r="B3296" s="4">
        <f ca="1">IFERROR(__xludf.DUMMYFUNCTION("""COMPUTED_VALUE"""),44747)</f>
        <v>44747</v>
      </c>
      <c r="C3296" t="str">
        <f ca="1">IFERROR(__xludf.DUMMYFUNCTION("""COMPUTED_VALUE"""),"БУ Г. ОМСКА ""УДХБ"" 144-СТР от 01.07.2022")</f>
        <v>БУ Г. ОМСКА "УДХБ" 144-СТР от 01.07.2022</v>
      </c>
      <c r="D32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6" t="str">
        <f ca="1">IFERROR(__xludf.DUMMYFUNCTION("""COMPUTED_VALUE"""),"Новый")</f>
        <v>Новый</v>
      </c>
      <c r="G3296" s="68"/>
      <c r="K3296" s="68"/>
    </row>
    <row r="3297" spans="1:11" ht="12.75">
      <c r="A3297" s="69">
        <f ca="1">IFERROR(__xludf.DUMMYFUNCTION("""COMPUTED_VALUE"""),101165)</f>
        <v>101165</v>
      </c>
      <c r="B3297" s="4">
        <f ca="1">IFERROR(__xludf.DUMMYFUNCTION("""COMPUTED_VALUE"""),44747)</f>
        <v>44747</v>
      </c>
      <c r="C3297" t="str">
        <f ca="1">IFERROR(__xludf.DUMMYFUNCTION("""COMPUTED_VALUE"""),"БУ Г. ОМСКА ""УДХБ"" 144-СТР от 01.07.2022")</f>
        <v>БУ Г. ОМСКА "УДХБ" 144-СТР от 01.07.2022</v>
      </c>
      <c r="D32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7" t="str">
        <f ca="1">IFERROR(__xludf.DUMMYFUNCTION("""COMPUTED_VALUE"""),"Новый")</f>
        <v>Новый</v>
      </c>
      <c r="G3297" s="68"/>
      <c r="K3297" s="68"/>
    </row>
    <row r="3298" spans="1:11" ht="12.75">
      <c r="A3298" s="69">
        <f ca="1">IFERROR(__xludf.DUMMYFUNCTION("""COMPUTED_VALUE"""),101166)</f>
        <v>101166</v>
      </c>
      <c r="B3298" s="4">
        <f ca="1">IFERROR(__xludf.DUMMYFUNCTION("""COMPUTED_VALUE"""),44747)</f>
        <v>44747</v>
      </c>
      <c r="C3298" t="str">
        <f ca="1">IFERROR(__xludf.DUMMYFUNCTION("""COMPUTED_VALUE"""),"БУ Г. ОМСКА ""УДХБ"" 144-СТР от 01.07.2022")</f>
        <v>БУ Г. ОМСКА "УДХБ" 144-СТР от 01.07.2022</v>
      </c>
      <c r="D32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8" t="str">
        <f ca="1">IFERROR(__xludf.DUMMYFUNCTION("""COMPUTED_VALUE"""),"Новый")</f>
        <v>Новый</v>
      </c>
      <c r="G3298" s="68"/>
      <c r="K3298" s="68"/>
    </row>
    <row r="3299" spans="1:11" ht="12.75">
      <c r="A3299" s="69">
        <f ca="1">IFERROR(__xludf.DUMMYFUNCTION("""COMPUTED_VALUE"""),101167)</f>
        <v>101167</v>
      </c>
      <c r="B3299" s="4">
        <f ca="1">IFERROR(__xludf.DUMMYFUNCTION("""COMPUTED_VALUE"""),44747)</f>
        <v>44747</v>
      </c>
      <c r="C3299" t="str">
        <f ca="1">IFERROR(__xludf.DUMMYFUNCTION("""COMPUTED_VALUE"""),"БУ Г. ОМСКА ""УДХБ"" 144-СТР от 01.07.2022")</f>
        <v>БУ Г. ОМСКА "УДХБ" 144-СТР от 01.07.2022</v>
      </c>
      <c r="D32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299" t="str">
        <f ca="1">IFERROR(__xludf.DUMMYFUNCTION("""COMPUTED_VALUE"""),"Новый")</f>
        <v>Новый</v>
      </c>
      <c r="G3299" s="68"/>
      <c r="K3299" s="68"/>
    </row>
    <row r="3300" spans="1:11" ht="12.75">
      <c r="A3300" s="69">
        <f ca="1">IFERROR(__xludf.DUMMYFUNCTION("""COMPUTED_VALUE"""),101168)</f>
        <v>101168</v>
      </c>
      <c r="B3300" s="4">
        <f ca="1">IFERROR(__xludf.DUMMYFUNCTION("""COMPUTED_VALUE"""),44747)</f>
        <v>44747</v>
      </c>
      <c r="C3300" t="str">
        <f ca="1">IFERROR(__xludf.DUMMYFUNCTION("""COMPUTED_VALUE"""),"БУ Г. ОМСКА ""УДХБ"" 144-СТР от 01.07.2022")</f>
        <v>БУ Г. ОМСКА "УДХБ" 144-СТР от 01.07.2022</v>
      </c>
      <c r="D33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0" t="str">
        <f ca="1">IFERROR(__xludf.DUMMYFUNCTION("""COMPUTED_VALUE"""),"Новый")</f>
        <v>Новый</v>
      </c>
      <c r="G3300" s="68"/>
      <c r="K3300" s="68"/>
    </row>
    <row r="3301" spans="1:11" ht="12.75">
      <c r="A3301" s="69">
        <f ca="1">IFERROR(__xludf.DUMMYFUNCTION("""COMPUTED_VALUE"""),101169)</f>
        <v>101169</v>
      </c>
      <c r="B3301" s="4">
        <f ca="1">IFERROR(__xludf.DUMMYFUNCTION("""COMPUTED_VALUE"""),44747)</f>
        <v>44747</v>
      </c>
      <c r="C3301" t="str">
        <f ca="1">IFERROR(__xludf.DUMMYFUNCTION("""COMPUTED_VALUE"""),"БУ Г. ОМСКА ""УДХБ"" 144-СТР от 01.07.2022")</f>
        <v>БУ Г. ОМСКА "УДХБ" 144-СТР от 01.07.2022</v>
      </c>
      <c r="D33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1" t="str">
        <f ca="1">IFERROR(__xludf.DUMMYFUNCTION("""COMPUTED_VALUE"""),"Новый")</f>
        <v>Новый</v>
      </c>
      <c r="G3301" s="68"/>
      <c r="K3301" s="68"/>
    </row>
    <row r="3302" spans="1:11" ht="12.75">
      <c r="A3302" s="69">
        <f ca="1">IFERROR(__xludf.DUMMYFUNCTION("""COMPUTED_VALUE"""),101170)</f>
        <v>101170</v>
      </c>
      <c r="B3302" s="4">
        <f ca="1">IFERROR(__xludf.DUMMYFUNCTION("""COMPUTED_VALUE"""),44747)</f>
        <v>44747</v>
      </c>
      <c r="C3302" t="str">
        <f ca="1">IFERROR(__xludf.DUMMYFUNCTION("""COMPUTED_VALUE"""),"БУ Г. ОМСКА ""УДХБ"" 144-СТР от 01.07.2022")</f>
        <v>БУ Г. ОМСКА "УДХБ" 144-СТР от 01.07.2022</v>
      </c>
      <c r="D33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2" t="str">
        <f ca="1">IFERROR(__xludf.DUMMYFUNCTION("""COMPUTED_VALUE"""),"Новый")</f>
        <v>Новый</v>
      </c>
      <c r="G3302" s="68"/>
      <c r="K3302" s="68"/>
    </row>
    <row r="3303" spans="1:11" ht="12.75">
      <c r="A3303" s="69">
        <f ca="1">IFERROR(__xludf.DUMMYFUNCTION("""COMPUTED_VALUE"""),101171)</f>
        <v>101171</v>
      </c>
      <c r="B3303" s="4">
        <f ca="1">IFERROR(__xludf.DUMMYFUNCTION("""COMPUTED_VALUE"""),44747)</f>
        <v>44747</v>
      </c>
      <c r="C3303" t="str">
        <f ca="1">IFERROR(__xludf.DUMMYFUNCTION("""COMPUTED_VALUE"""),"БУ Г. ОМСКА ""УДХБ"" 144-СТР от 01.07.2022")</f>
        <v>БУ Г. ОМСКА "УДХБ" 144-СТР от 01.07.2022</v>
      </c>
      <c r="D33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3" t="str">
        <f ca="1">IFERROR(__xludf.DUMMYFUNCTION("""COMPUTED_VALUE"""),"Новый")</f>
        <v>Новый</v>
      </c>
      <c r="G3303" s="68"/>
      <c r="K3303" s="68"/>
    </row>
    <row r="3304" spans="1:11" ht="12.75">
      <c r="A3304" s="69">
        <f ca="1">IFERROR(__xludf.DUMMYFUNCTION("""COMPUTED_VALUE"""),101172)</f>
        <v>101172</v>
      </c>
      <c r="B3304" s="4">
        <f ca="1">IFERROR(__xludf.DUMMYFUNCTION("""COMPUTED_VALUE"""),44747)</f>
        <v>44747</v>
      </c>
      <c r="C3304" t="str">
        <f ca="1">IFERROR(__xludf.DUMMYFUNCTION("""COMPUTED_VALUE"""),"БУ Г. ОМСКА ""УДХБ"" 144-СТР от 01.07.2022")</f>
        <v>БУ Г. ОМСКА "УДХБ" 144-СТР от 01.07.2022</v>
      </c>
      <c r="D33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4" t="str">
        <f ca="1">IFERROR(__xludf.DUMMYFUNCTION("""COMPUTED_VALUE"""),"Новый")</f>
        <v>Новый</v>
      </c>
      <c r="G3304" s="68"/>
      <c r="K3304" s="68"/>
    </row>
    <row r="3305" spans="1:11" ht="12.75">
      <c r="A3305" s="69">
        <f ca="1">IFERROR(__xludf.DUMMYFUNCTION("""COMPUTED_VALUE"""),101173)</f>
        <v>101173</v>
      </c>
      <c r="B3305" s="4">
        <f ca="1">IFERROR(__xludf.DUMMYFUNCTION("""COMPUTED_VALUE"""),44747)</f>
        <v>44747</v>
      </c>
      <c r="C3305" t="str">
        <f ca="1">IFERROR(__xludf.DUMMYFUNCTION("""COMPUTED_VALUE"""),"БУ Г. ОМСКА ""УДХБ"" 144-СТР от 01.07.2022")</f>
        <v>БУ Г. ОМСКА "УДХБ" 144-СТР от 01.07.2022</v>
      </c>
      <c r="D33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5" t="str">
        <f ca="1">IFERROR(__xludf.DUMMYFUNCTION("""COMPUTED_VALUE"""),"Новый")</f>
        <v>Новый</v>
      </c>
      <c r="G3305" s="68"/>
      <c r="K3305" s="68"/>
    </row>
    <row r="3306" spans="1:11" ht="12.75">
      <c r="A3306" s="69">
        <f ca="1">IFERROR(__xludf.DUMMYFUNCTION("""COMPUTED_VALUE"""),101174)</f>
        <v>101174</v>
      </c>
      <c r="B3306" s="4">
        <f ca="1">IFERROR(__xludf.DUMMYFUNCTION("""COMPUTED_VALUE"""),44747)</f>
        <v>44747</v>
      </c>
      <c r="C3306" t="str">
        <f ca="1">IFERROR(__xludf.DUMMYFUNCTION("""COMPUTED_VALUE"""),"БУ Г. ОМСКА ""УДХБ"" 144-СТР от 01.07.2022")</f>
        <v>БУ Г. ОМСКА "УДХБ" 144-СТР от 01.07.2022</v>
      </c>
      <c r="D33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6" t="str">
        <f ca="1">IFERROR(__xludf.DUMMYFUNCTION("""COMPUTED_VALUE"""),"Новый")</f>
        <v>Новый</v>
      </c>
      <c r="G3306" s="68"/>
      <c r="K3306" s="68"/>
    </row>
    <row r="3307" spans="1:11" ht="12.75">
      <c r="A3307" s="69">
        <f ca="1">IFERROR(__xludf.DUMMYFUNCTION("""COMPUTED_VALUE"""),101175)</f>
        <v>101175</v>
      </c>
      <c r="B3307" s="4">
        <f ca="1">IFERROR(__xludf.DUMMYFUNCTION("""COMPUTED_VALUE"""),44747)</f>
        <v>44747</v>
      </c>
      <c r="C3307" t="str">
        <f ca="1">IFERROR(__xludf.DUMMYFUNCTION("""COMPUTED_VALUE"""),"БУ Г. ОМСКА ""УДХБ"" 144-СТР от 01.07.2022")</f>
        <v>БУ Г. ОМСКА "УДХБ" 144-СТР от 01.07.2022</v>
      </c>
      <c r="D33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7" t="str">
        <f ca="1">IFERROR(__xludf.DUMMYFUNCTION("""COMPUTED_VALUE"""),"Новый")</f>
        <v>Новый</v>
      </c>
      <c r="G3307" s="68"/>
      <c r="K3307" s="68"/>
    </row>
    <row r="3308" spans="1:11" ht="12.75">
      <c r="A3308" s="69">
        <f ca="1">IFERROR(__xludf.DUMMYFUNCTION("""COMPUTED_VALUE"""),101181)</f>
        <v>101181</v>
      </c>
      <c r="B3308" s="4">
        <f ca="1">IFERROR(__xludf.DUMMYFUNCTION("""COMPUTED_VALUE"""),44747)</f>
        <v>44747</v>
      </c>
      <c r="C3308" t="str">
        <f ca="1">IFERROR(__xludf.DUMMYFUNCTION("""COMPUTED_VALUE"""),"БУ Г. ОМСКА ""УДХБ"" 144-СТР от 01.07.2022")</f>
        <v>БУ Г. ОМСКА "УДХБ" 144-СТР от 01.07.2022</v>
      </c>
      <c r="D33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8" t="str">
        <f ca="1">IFERROR(__xludf.DUMMYFUNCTION("""COMPUTED_VALUE"""),"Новый")</f>
        <v>Новый</v>
      </c>
      <c r="G3308" s="68"/>
      <c r="K3308" s="68"/>
    </row>
    <row r="3309" spans="1:11" ht="12.75">
      <c r="A3309" s="69">
        <f ca="1">IFERROR(__xludf.DUMMYFUNCTION("""COMPUTED_VALUE"""),101183)</f>
        <v>101183</v>
      </c>
      <c r="B3309" s="4">
        <f ca="1">IFERROR(__xludf.DUMMYFUNCTION("""COMPUTED_VALUE"""),44747)</f>
        <v>44747</v>
      </c>
      <c r="C3309" t="str">
        <f ca="1">IFERROR(__xludf.DUMMYFUNCTION("""COMPUTED_VALUE"""),"БУ Г. ОМСКА ""УДХБ"" 144-СТР от 01.07.2022")</f>
        <v>БУ Г. ОМСКА "УДХБ" 144-СТР от 01.07.2022</v>
      </c>
      <c r="D33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09" t="str">
        <f ca="1">IFERROR(__xludf.DUMMYFUNCTION("""COMPUTED_VALUE"""),"Новый")</f>
        <v>Новый</v>
      </c>
      <c r="G3309" s="68"/>
      <c r="K3309" s="68"/>
    </row>
    <row r="3310" spans="1:11" ht="12.75">
      <c r="A3310" s="69">
        <f ca="1">IFERROR(__xludf.DUMMYFUNCTION("""COMPUTED_VALUE"""),101190)</f>
        <v>101190</v>
      </c>
      <c r="B3310" s="4">
        <f ca="1">IFERROR(__xludf.DUMMYFUNCTION("""COMPUTED_VALUE"""),44747)</f>
        <v>44747</v>
      </c>
      <c r="C3310" t="str">
        <f ca="1">IFERROR(__xludf.DUMMYFUNCTION("""COMPUTED_VALUE"""),"БУ Г. ОМСКА ""УДХБ"" 144-СТР от 01.07.2022")</f>
        <v>БУ Г. ОМСКА "УДХБ" 144-СТР от 01.07.2022</v>
      </c>
      <c r="D33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0" t="str">
        <f ca="1">IFERROR(__xludf.DUMMYFUNCTION("""COMPUTED_VALUE"""),"Новый")</f>
        <v>Новый</v>
      </c>
      <c r="G3310" s="68"/>
      <c r="K3310" s="68"/>
    </row>
    <row r="3311" spans="1:11" ht="12.75">
      <c r="A3311" s="69">
        <f ca="1">IFERROR(__xludf.DUMMYFUNCTION("""COMPUTED_VALUE"""),101192)</f>
        <v>101192</v>
      </c>
      <c r="B3311" s="4">
        <f ca="1">IFERROR(__xludf.DUMMYFUNCTION("""COMPUTED_VALUE"""),44747)</f>
        <v>44747</v>
      </c>
      <c r="C3311" t="str">
        <f ca="1">IFERROR(__xludf.DUMMYFUNCTION("""COMPUTED_VALUE"""),"БУ Г. ОМСКА ""УДХБ"" 144-СТР от 01.07.2022")</f>
        <v>БУ Г. ОМСКА "УДХБ" 144-СТР от 01.07.2022</v>
      </c>
      <c r="D33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1" t="str">
        <f ca="1">IFERROR(__xludf.DUMMYFUNCTION("""COMPUTED_VALUE"""),"Новый")</f>
        <v>Новый</v>
      </c>
      <c r="G3311" s="68"/>
      <c r="K3311" s="68"/>
    </row>
    <row r="3312" spans="1:11" ht="12.75">
      <c r="A3312" s="69">
        <f ca="1">IFERROR(__xludf.DUMMYFUNCTION("""COMPUTED_VALUE"""),101193)</f>
        <v>101193</v>
      </c>
      <c r="B3312" s="4">
        <f ca="1">IFERROR(__xludf.DUMMYFUNCTION("""COMPUTED_VALUE"""),44747)</f>
        <v>44747</v>
      </c>
      <c r="C3312" t="str">
        <f ca="1">IFERROR(__xludf.DUMMYFUNCTION("""COMPUTED_VALUE"""),"БУ Г. ОМСКА ""УДХБ"" 144-СТР от 01.07.2022")</f>
        <v>БУ Г. ОМСКА "УДХБ" 144-СТР от 01.07.2022</v>
      </c>
      <c r="D33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2" t="str">
        <f ca="1">IFERROR(__xludf.DUMMYFUNCTION("""COMPUTED_VALUE"""),"Новый")</f>
        <v>Новый</v>
      </c>
      <c r="G3312" s="68"/>
      <c r="K3312" s="68"/>
    </row>
    <row r="3313" spans="1:11" ht="12.75">
      <c r="A3313" s="69">
        <f ca="1">IFERROR(__xludf.DUMMYFUNCTION("""COMPUTED_VALUE"""),101194)</f>
        <v>101194</v>
      </c>
      <c r="B3313" s="4">
        <f ca="1">IFERROR(__xludf.DUMMYFUNCTION("""COMPUTED_VALUE"""),44747)</f>
        <v>44747</v>
      </c>
      <c r="C3313" t="str">
        <f ca="1">IFERROR(__xludf.DUMMYFUNCTION("""COMPUTED_VALUE"""),"БУ Г. ОМСКА ""УДХБ"" 144-СТР от 01.07.2022")</f>
        <v>БУ Г. ОМСКА "УДХБ" 144-СТР от 01.07.2022</v>
      </c>
      <c r="D33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3" t="str">
        <f ca="1">IFERROR(__xludf.DUMMYFUNCTION("""COMPUTED_VALUE"""),"Новый")</f>
        <v>Новый</v>
      </c>
      <c r="G3313" s="68"/>
      <c r="K3313" s="68"/>
    </row>
    <row r="3314" spans="1:11" ht="12.75">
      <c r="A3314" s="69">
        <f ca="1">IFERROR(__xludf.DUMMYFUNCTION("""COMPUTED_VALUE"""),101195)</f>
        <v>101195</v>
      </c>
      <c r="B3314" s="4">
        <f ca="1">IFERROR(__xludf.DUMMYFUNCTION("""COMPUTED_VALUE"""),44747)</f>
        <v>44747</v>
      </c>
      <c r="C3314" t="str">
        <f ca="1">IFERROR(__xludf.DUMMYFUNCTION("""COMPUTED_VALUE"""),"БУ Г. ОМСКА ""УДХБ"" 144-СТР от 01.07.2022")</f>
        <v>БУ Г. ОМСКА "УДХБ" 144-СТР от 01.07.2022</v>
      </c>
      <c r="D33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314" t="str">
        <f ca="1">IFERROR(__xludf.DUMMYFUNCTION("""COMPUTED_VALUE"""),"Новый")</f>
        <v>Новый</v>
      </c>
      <c r="G3314" s="68"/>
      <c r="K3314" s="68"/>
    </row>
    <row r="3315" spans="1:11" ht="12.75">
      <c r="A3315" s="69">
        <f ca="1">IFERROR(__xludf.DUMMYFUNCTION("""COMPUTED_VALUE"""),101196)</f>
        <v>101196</v>
      </c>
      <c r="B3315" s="4">
        <f ca="1">IFERROR(__xludf.DUMMYFUNCTION("""COMPUTED_VALUE"""),44747)</f>
        <v>44747</v>
      </c>
      <c r="C3315" t="str">
        <f ca="1">IFERROR(__xludf.DUMMYFUNCTION("""COMPUTED_VALUE"""),"АО ""Сибирский хлеб"" 192-РДО от 06.06.2022")</f>
        <v>АО "Сибирский хлеб" 192-РДО от 06.06.2022</v>
      </c>
      <c r="D33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15" t="str">
        <f ca="1">IFERROR(__xludf.DUMMYFUNCTION("""COMPUTED_VALUE"""),"Новый")</f>
        <v>Новый</v>
      </c>
      <c r="G3315" s="68"/>
      <c r="K3315" s="68"/>
    </row>
    <row r="3316" spans="1:11" ht="12.75">
      <c r="A3316" s="69">
        <f ca="1">IFERROR(__xludf.DUMMYFUNCTION("""COMPUTED_VALUE"""),101197)</f>
        <v>101197</v>
      </c>
      <c r="B3316" s="4">
        <f ca="1">IFERROR(__xludf.DUMMYFUNCTION("""COMPUTED_VALUE"""),44747)</f>
        <v>44747</v>
      </c>
      <c r="C3316" t="str">
        <f ca="1">IFERROR(__xludf.DUMMYFUNCTION("""COMPUTED_VALUE"""),"АО ""Сибирский хлеб"" 192-РДО от 06.06.2022")</f>
        <v>АО "Сибирский хлеб" 192-РДО от 06.06.2022</v>
      </c>
      <c r="D33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16" t="str">
        <f ca="1">IFERROR(__xludf.DUMMYFUNCTION("""COMPUTED_VALUE"""),"Новый")</f>
        <v>Новый</v>
      </c>
      <c r="G3316" s="68"/>
      <c r="K3316" s="68"/>
    </row>
    <row r="3317" spans="1:11" ht="12.75">
      <c r="A3317" s="69">
        <f ca="1">IFERROR(__xludf.DUMMYFUNCTION("""COMPUTED_VALUE"""),101198)</f>
        <v>101198</v>
      </c>
      <c r="B3317" s="4">
        <f ca="1">IFERROR(__xludf.DUMMYFUNCTION("""COMPUTED_VALUE"""),44747)</f>
        <v>44747</v>
      </c>
      <c r="C3317" t="str">
        <f ca="1">IFERROR(__xludf.DUMMYFUNCTION("""COMPUTED_VALUE"""),"АО ""Сибирский хлеб"" 192-РДО от 06.06.2022")</f>
        <v>АО "Сибирский хлеб" 192-РДО от 06.06.2022</v>
      </c>
      <c r="D33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17" t="str">
        <f ca="1">IFERROR(__xludf.DUMMYFUNCTION("""COMPUTED_VALUE"""),"Новый")</f>
        <v>Новый</v>
      </c>
      <c r="G3317" s="68"/>
      <c r="K3317" s="68"/>
    </row>
    <row r="3318" spans="1:11" ht="12.75">
      <c r="A3318" s="69">
        <f ca="1">IFERROR(__xludf.DUMMYFUNCTION("""COMPUTED_VALUE"""),101199)</f>
        <v>101199</v>
      </c>
      <c r="B3318" s="4">
        <f ca="1">IFERROR(__xludf.DUMMYFUNCTION("""COMPUTED_VALUE"""),44747)</f>
        <v>44747</v>
      </c>
      <c r="C3318" t="str">
        <f ca="1">IFERROR(__xludf.DUMMYFUNCTION("""COMPUTED_VALUE"""),"АО ""Сибирский хлеб"" 192-РДО от 06.06.2022")</f>
        <v>АО "Сибирский хлеб" 192-РДО от 06.06.2022</v>
      </c>
      <c r="D33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18" t="str">
        <f ca="1">IFERROR(__xludf.DUMMYFUNCTION("""COMPUTED_VALUE"""),"Новый")</f>
        <v>Новый</v>
      </c>
      <c r="G3318" s="68"/>
      <c r="K3318" s="68"/>
    </row>
    <row r="3319" spans="1:11" ht="12.75">
      <c r="A3319" s="69">
        <f ca="1">IFERROR(__xludf.DUMMYFUNCTION("""COMPUTED_VALUE"""),101200)</f>
        <v>101200</v>
      </c>
      <c r="B3319" s="4">
        <f ca="1">IFERROR(__xludf.DUMMYFUNCTION("""COMPUTED_VALUE"""),44747)</f>
        <v>44747</v>
      </c>
      <c r="C3319" t="str">
        <f ca="1">IFERROR(__xludf.DUMMYFUNCTION("""COMPUTED_VALUE"""),"АО ""Сибирский хлеб"" 192-РДО от 06.06.2022")</f>
        <v>АО "Сибирский хлеб" 192-РДО от 06.06.2022</v>
      </c>
      <c r="D33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19" t="str">
        <f ca="1">IFERROR(__xludf.DUMMYFUNCTION("""COMPUTED_VALUE"""),"Новый")</f>
        <v>Новый</v>
      </c>
      <c r="G3319" s="68"/>
      <c r="K3319" s="68"/>
    </row>
    <row r="3320" spans="1:11" ht="12.75">
      <c r="A3320" s="69">
        <f ca="1">IFERROR(__xludf.DUMMYFUNCTION("""COMPUTED_VALUE"""),101201)</f>
        <v>101201</v>
      </c>
      <c r="B3320" s="4">
        <f ca="1">IFERROR(__xludf.DUMMYFUNCTION("""COMPUTED_VALUE"""),44747)</f>
        <v>44747</v>
      </c>
      <c r="C3320" t="str">
        <f ca="1">IFERROR(__xludf.DUMMYFUNCTION("""COMPUTED_VALUE"""),"АО ""Сибирский хлеб"" 192-РДО от 06.06.2022")</f>
        <v>АО "Сибирский хлеб" 192-РДО от 06.06.2022</v>
      </c>
      <c r="D33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20" t="str">
        <f ca="1">IFERROR(__xludf.DUMMYFUNCTION("""COMPUTED_VALUE"""),"Новый")</f>
        <v>Новый</v>
      </c>
      <c r="G3320" s="68"/>
      <c r="K3320" s="68"/>
    </row>
    <row r="3321" spans="1:11" ht="12.75">
      <c r="A3321" s="69">
        <f ca="1">IFERROR(__xludf.DUMMYFUNCTION("""COMPUTED_VALUE"""),101202)</f>
        <v>101202</v>
      </c>
      <c r="B3321" s="4">
        <f ca="1">IFERROR(__xludf.DUMMYFUNCTION("""COMPUTED_VALUE"""),44747)</f>
        <v>44747</v>
      </c>
      <c r="C3321" t="str">
        <f ca="1">IFERROR(__xludf.DUMMYFUNCTION("""COMPUTED_VALUE"""),"АО ""Сибирский хлеб"" 192-РДО от 06.06.2022")</f>
        <v>АО "Сибирский хлеб" 192-РДО от 06.06.2022</v>
      </c>
      <c r="D33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21" t="str">
        <f ca="1">IFERROR(__xludf.DUMMYFUNCTION("""COMPUTED_VALUE"""),"Новый")</f>
        <v>Новый</v>
      </c>
      <c r="G3321" s="68"/>
      <c r="K3321" s="68"/>
    </row>
    <row r="3322" spans="1:11" ht="12.75">
      <c r="A3322" s="69">
        <f ca="1">IFERROR(__xludf.DUMMYFUNCTION("""COMPUTED_VALUE"""),101203)</f>
        <v>101203</v>
      </c>
      <c r="B3322" s="4">
        <f ca="1">IFERROR(__xludf.DUMMYFUNCTION("""COMPUTED_VALUE"""),44747)</f>
        <v>44747</v>
      </c>
      <c r="C3322" t="str">
        <f ca="1">IFERROR(__xludf.DUMMYFUNCTION("""COMPUTED_VALUE"""),"АО ""Сибирский хлеб"" 192-РДО от 06.06.2022")</f>
        <v>АО "Сибирский хлеб" 192-РДО от 06.06.2022</v>
      </c>
      <c r="D33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22" t="str">
        <f ca="1">IFERROR(__xludf.DUMMYFUNCTION("""COMPUTED_VALUE"""),"Новый")</f>
        <v>Новый</v>
      </c>
      <c r="G3322" s="68"/>
      <c r="K3322" s="68"/>
    </row>
    <row r="3323" spans="1:11" ht="12.75">
      <c r="A3323" s="69">
        <f ca="1">IFERROR(__xludf.DUMMYFUNCTION("""COMPUTED_VALUE"""),101204)</f>
        <v>101204</v>
      </c>
      <c r="B3323" s="4">
        <f ca="1">IFERROR(__xludf.DUMMYFUNCTION("""COMPUTED_VALUE"""),44747)</f>
        <v>44747</v>
      </c>
      <c r="C3323" t="str">
        <f ca="1">IFERROR(__xludf.DUMMYFUNCTION("""COMPUTED_VALUE"""),"АО ""Сибирский хлеб"" 192-РДО от 06.06.2022")</f>
        <v>АО "Сибирский хлеб" 192-РДО от 06.06.2022</v>
      </c>
      <c r="D33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23" t="str">
        <f ca="1">IFERROR(__xludf.DUMMYFUNCTION("""COMPUTED_VALUE"""),"Новый")</f>
        <v>Новый</v>
      </c>
      <c r="G3323" s="68"/>
      <c r="K3323" s="68"/>
    </row>
    <row r="3324" spans="1:11" ht="12.75">
      <c r="A3324" s="69">
        <f ca="1">IFERROR(__xludf.DUMMYFUNCTION("""COMPUTED_VALUE"""),101205)</f>
        <v>101205</v>
      </c>
      <c r="B3324" s="4">
        <f ca="1">IFERROR(__xludf.DUMMYFUNCTION("""COMPUTED_VALUE"""),44747)</f>
        <v>44747</v>
      </c>
      <c r="C3324" t="str">
        <f ca="1">IFERROR(__xludf.DUMMYFUNCTION("""COMPUTED_VALUE"""),"АО ""Сибирский хлеб"" 192-РДО от 06.06.2022")</f>
        <v>АО "Сибирский хлеб" 192-РДО от 06.06.2022</v>
      </c>
      <c r="D33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24" t="str">
        <f ca="1">IFERROR(__xludf.DUMMYFUNCTION("""COMPUTED_VALUE"""),"Новый")</f>
        <v>Новый</v>
      </c>
      <c r="G3324" s="68"/>
      <c r="K3324" s="68"/>
    </row>
    <row r="3325" spans="1:11" ht="12.75">
      <c r="A3325" s="69">
        <f ca="1">IFERROR(__xludf.DUMMYFUNCTION("""COMPUTED_VALUE"""),101206)</f>
        <v>101206</v>
      </c>
      <c r="B3325" s="4">
        <f ca="1">IFERROR(__xludf.DUMMYFUNCTION("""COMPUTED_VALUE"""),44748)</f>
        <v>44748</v>
      </c>
      <c r="C3325" t="str">
        <f ca="1">IFERROR(__xludf.DUMMYFUNCTION("""COMPUTED_VALUE"""),"ООО ""ЧИСТЫЙ ГОРОД-ОМСК"" 127-РДО от 01.01.2022")</f>
        <v>ООО "ЧИСТЫЙ ГОРОД-ОМСК" 127-РДО от 01.01.2022</v>
      </c>
      <c r="D3325" s="67"/>
      <c r="E3325" t="str">
        <f ca="1">IFERROR(__xludf.DUMMYFUNCTION("""COMPUTED_VALUE"""),"Новый")</f>
        <v>Новый</v>
      </c>
      <c r="G3325" s="68"/>
      <c r="K3325" s="68"/>
    </row>
    <row r="3326" spans="1:11" ht="12.75">
      <c r="A3326" s="69">
        <f ca="1">IFERROR(__xludf.DUMMYFUNCTION("""COMPUTED_VALUE"""),101207)</f>
        <v>101207</v>
      </c>
      <c r="B3326" s="4">
        <f ca="1">IFERROR(__xludf.DUMMYFUNCTION("""COMPUTED_VALUE"""),44748)</f>
        <v>44748</v>
      </c>
      <c r="C3326" t="str">
        <f ca="1">IFERROR(__xludf.DUMMYFUNCTION("""COMPUTED_VALUE"""),"ООО ""ЧИСТЫЙ ГОРОД-ОМСК"" 127-РДО от 01.01.2022")</f>
        <v>ООО "ЧИСТЫЙ ГОРОД-ОМСК" 127-РДО от 01.01.2022</v>
      </c>
      <c r="D3326" s="67"/>
      <c r="E3326" t="str">
        <f ca="1">IFERROR(__xludf.DUMMYFUNCTION("""COMPUTED_VALUE"""),"Новый")</f>
        <v>Новый</v>
      </c>
      <c r="G3326" s="68"/>
      <c r="K3326" s="68"/>
    </row>
    <row r="3327" spans="1:11" ht="12.75">
      <c r="A3327" s="69">
        <f ca="1">IFERROR(__xludf.DUMMYFUNCTION("""COMPUTED_VALUE"""),101208)</f>
        <v>101208</v>
      </c>
      <c r="B3327" s="4">
        <f ca="1">IFERROR(__xludf.DUMMYFUNCTION("""COMPUTED_VALUE"""),44748)</f>
        <v>44748</v>
      </c>
      <c r="C3327" t="str">
        <f ca="1">IFERROR(__xludf.DUMMYFUNCTION("""COMPUTED_VALUE"""),"ООО ""ЧИСТЫЙ ГОРОД-ОМСК"" 127-РДО от 01.01.2022")</f>
        <v>ООО "ЧИСТЫЙ ГОРОД-ОМСК" 127-РДО от 01.01.2022</v>
      </c>
      <c r="D3327" s="67"/>
      <c r="E3327" t="str">
        <f ca="1">IFERROR(__xludf.DUMMYFUNCTION("""COMPUTED_VALUE"""),"Новый")</f>
        <v>Новый</v>
      </c>
      <c r="G3327" s="68"/>
      <c r="K3327" s="68"/>
    </row>
    <row r="3328" spans="1:11" ht="12.75">
      <c r="A3328" s="69">
        <f ca="1">IFERROR(__xludf.DUMMYFUNCTION("""COMPUTED_VALUE"""),101209)</f>
        <v>101209</v>
      </c>
      <c r="B3328" s="4">
        <f ca="1">IFERROR(__xludf.DUMMYFUNCTION("""COMPUTED_VALUE"""),44748)</f>
        <v>44748</v>
      </c>
      <c r="C3328" t="str">
        <f ca="1">IFERROR(__xludf.DUMMYFUNCTION("""COMPUTED_VALUE"""),"ООО ""ЧИСТЫЙ ГОРОД-ОМСК"" 127-РДО от 01.01.2022")</f>
        <v>ООО "ЧИСТЫЙ ГОРОД-ОМСК" 127-РДО от 01.01.2022</v>
      </c>
      <c r="D3328" s="67"/>
      <c r="E3328" t="str">
        <f ca="1">IFERROR(__xludf.DUMMYFUNCTION("""COMPUTED_VALUE"""),"Новый")</f>
        <v>Новый</v>
      </c>
      <c r="G3328" s="68"/>
      <c r="K3328" s="68"/>
    </row>
    <row r="3329" spans="1:11" ht="12.75">
      <c r="A3329" s="69">
        <f ca="1">IFERROR(__xludf.DUMMYFUNCTION("""COMPUTED_VALUE"""),101210)</f>
        <v>101210</v>
      </c>
      <c r="B3329" s="4">
        <f ca="1">IFERROR(__xludf.DUMMYFUNCTION("""COMPUTED_VALUE"""),44748)</f>
        <v>44748</v>
      </c>
      <c r="C3329" t="str">
        <f ca="1">IFERROR(__xludf.DUMMYFUNCTION("""COMPUTED_VALUE"""),"ООО ""ЧИСТЫЙ ГОРОД-ОМСК"" 127-РДО от 01.01.2022")</f>
        <v>ООО "ЧИСТЫЙ ГОРОД-ОМСК" 127-РДО от 01.01.2022</v>
      </c>
      <c r="D3329" s="67"/>
      <c r="E3329" t="str">
        <f ca="1">IFERROR(__xludf.DUMMYFUNCTION("""COMPUTED_VALUE"""),"Новый")</f>
        <v>Новый</v>
      </c>
      <c r="G3329" s="68"/>
      <c r="K3329" s="68"/>
    </row>
    <row r="3330" spans="1:11" ht="12.75">
      <c r="A3330" s="69">
        <f ca="1">IFERROR(__xludf.DUMMYFUNCTION("""COMPUTED_VALUE"""),101211)</f>
        <v>101211</v>
      </c>
      <c r="B3330" s="4">
        <f ca="1">IFERROR(__xludf.DUMMYFUNCTION("""COMPUTED_VALUE"""),44748)</f>
        <v>44748</v>
      </c>
      <c r="C3330" t="str">
        <f ca="1">IFERROR(__xludf.DUMMYFUNCTION("""COMPUTED_VALUE"""),"ООО ""ЧИСТЫЙ ГОРОД-ОМСК"" 127-РДО от 01.01.2022")</f>
        <v>ООО "ЧИСТЫЙ ГОРОД-ОМСК" 127-РДО от 01.01.2022</v>
      </c>
      <c r="D3330" s="67"/>
      <c r="E3330" t="str">
        <f ca="1">IFERROR(__xludf.DUMMYFUNCTION("""COMPUTED_VALUE"""),"Новый")</f>
        <v>Новый</v>
      </c>
      <c r="G3330" s="68"/>
      <c r="K3330" s="68"/>
    </row>
    <row r="3331" spans="1:11" ht="12.75">
      <c r="A3331" s="69">
        <f ca="1">IFERROR(__xludf.DUMMYFUNCTION("""COMPUTED_VALUE"""),101212)</f>
        <v>101212</v>
      </c>
      <c r="B3331" s="4">
        <f ca="1">IFERROR(__xludf.DUMMYFUNCTION("""COMPUTED_VALUE"""),44748)</f>
        <v>44748</v>
      </c>
      <c r="C3331" t="str">
        <f ca="1">IFERROR(__xludf.DUMMYFUNCTION("""COMPUTED_VALUE"""),"ООО ""ЧИСТЫЙ ГОРОД-ОМСК"" 127-РДО от 01.01.2022")</f>
        <v>ООО "ЧИСТЫЙ ГОРОД-ОМСК" 127-РДО от 01.01.2022</v>
      </c>
      <c r="D3331" s="67"/>
      <c r="E3331" t="str">
        <f ca="1">IFERROR(__xludf.DUMMYFUNCTION("""COMPUTED_VALUE"""),"Новый")</f>
        <v>Новый</v>
      </c>
      <c r="G3331" s="68"/>
      <c r="K3331" s="68"/>
    </row>
    <row r="3332" spans="1:11" ht="12.75">
      <c r="A3332" s="69">
        <f ca="1">IFERROR(__xludf.DUMMYFUNCTION("""COMPUTED_VALUE"""),101213)</f>
        <v>101213</v>
      </c>
      <c r="B3332" s="4">
        <f ca="1">IFERROR(__xludf.DUMMYFUNCTION("""COMPUTED_VALUE"""),44748)</f>
        <v>44748</v>
      </c>
      <c r="C3332" t="str">
        <f ca="1">IFERROR(__xludf.DUMMYFUNCTION("""COMPUTED_VALUE"""),"ООО ""ЧИСТЫЙ ГОРОД-ОМСК"" 127-РДО от 01.01.2022")</f>
        <v>ООО "ЧИСТЫЙ ГОРОД-ОМСК" 127-РДО от 01.01.2022</v>
      </c>
      <c r="D3332" s="67"/>
      <c r="E3332" t="str">
        <f ca="1">IFERROR(__xludf.DUMMYFUNCTION("""COMPUTED_VALUE"""),"Новый")</f>
        <v>Новый</v>
      </c>
      <c r="G3332" s="68"/>
      <c r="K3332" s="68"/>
    </row>
    <row r="3333" spans="1:11" ht="12.75">
      <c r="A3333" s="69">
        <f ca="1">IFERROR(__xludf.DUMMYFUNCTION("""COMPUTED_VALUE"""),101214)</f>
        <v>101214</v>
      </c>
      <c r="B3333" s="4">
        <f ca="1">IFERROR(__xludf.DUMMYFUNCTION("""COMPUTED_VALUE"""),44748)</f>
        <v>44748</v>
      </c>
      <c r="C3333" t="str">
        <f ca="1">IFERROR(__xludf.DUMMYFUNCTION("""COMPUTED_VALUE"""),"ООО ""ЧИСТЫЙ ГОРОД-ОМСК"" 127-РДО от 01.01.2022")</f>
        <v>ООО "ЧИСТЫЙ ГОРОД-ОМСК" 127-РДО от 01.01.2022</v>
      </c>
      <c r="D3333" s="67"/>
      <c r="E3333" t="str">
        <f ca="1">IFERROR(__xludf.DUMMYFUNCTION("""COMPUTED_VALUE"""),"Новый")</f>
        <v>Новый</v>
      </c>
      <c r="G3333" s="68"/>
      <c r="K3333" s="68"/>
    </row>
    <row r="3334" spans="1:11" ht="12.75">
      <c r="A3334" s="69">
        <f ca="1">IFERROR(__xludf.DUMMYFUNCTION("""COMPUTED_VALUE"""),101215)</f>
        <v>101215</v>
      </c>
      <c r="B3334" s="4">
        <f ca="1">IFERROR(__xludf.DUMMYFUNCTION("""COMPUTED_VALUE"""),44748)</f>
        <v>44748</v>
      </c>
      <c r="C3334" t="str">
        <f ca="1">IFERROR(__xludf.DUMMYFUNCTION("""COMPUTED_VALUE"""),"ООО ""ЧИСТЫЙ ГОРОД-ОМСК"" 127-РДО от 01.01.2022")</f>
        <v>ООО "ЧИСТЫЙ ГОРОД-ОМСК" 127-РДО от 01.01.2022</v>
      </c>
      <c r="D3334" s="67"/>
      <c r="E3334" t="str">
        <f ca="1">IFERROR(__xludf.DUMMYFUNCTION("""COMPUTED_VALUE"""),"Новый")</f>
        <v>Новый</v>
      </c>
      <c r="G3334" s="68"/>
      <c r="K3334" s="68"/>
    </row>
    <row r="3335" spans="1:11" ht="12.75">
      <c r="A3335" s="69">
        <f ca="1">IFERROR(__xludf.DUMMYFUNCTION("""COMPUTED_VALUE"""),101216)</f>
        <v>101216</v>
      </c>
      <c r="B3335" s="4">
        <f ca="1">IFERROR(__xludf.DUMMYFUNCTION("""COMPUTED_VALUE"""),44748)</f>
        <v>44748</v>
      </c>
      <c r="C3335" t="str">
        <f ca="1">IFERROR(__xludf.DUMMYFUNCTION("""COMPUTED_VALUE"""),"ООО ""ЧИСТЫЙ ГОРОД-ОМСК"" 127-РДО от 01.01.2022")</f>
        <v>ООО "ЧИСТЫЙ ГОРОД-ОМСК" 127-РДО от 01.01.2022</v>
      </c>
      <c r="D3335" s="67"/>
      <c r="E3335" t="str">
        <f ca="1">IFERROR(__xludf.DUMMYFUNCTION("""COMPUTED_VALUE"""),"Новый")</f>
        <v>Новый</v>
      </c>
      <c r="G3335" s="68"/>
      <c r="K3335" s="68"/>
    </row>
    <row r="3336" spans="1:11" ht="12.75">
      <c r="A3336" s="69">
        <f ca="1">IFERROR(__xludf.DUMMYFUNCTION("""COMPUTED_VALUE"""),101217)</f>
        <v>101217</v>
      </c>
      <c r="B3336" s="4">
        <f ca="1">IFERROR(__xludf.DUMMYFUNCTION("""COMPUTED_VALUE"""),44748)</f>
        <v>44748</v>
      </c>
      <c r="C3336" t="str">
        <f ca="1">IFERROR(__xludf.DUMMYFUNCTION("""COMPUTED_VALUE"""),"ООО ""ЧИСТЫЙ ГОРОД-ОМСК"" 127-РДО от 01.01.2022")</f>
        <v>ООО "ЧИСТЫЙ ГОРОД-ОМСК" 127-РДО от 01.01.2022</v>
      </c>
      <c r="D3336" s="67"/>
      <c r="E3336" t="str">
        <f ca="1">IFERROR(__xludf.DUMMYFUNCTION("""COMPUTED_VALUE"""),"Новый")</f>
        <v>Новый</v>
      </c>
      <c r="G3336" s="68"/>
      <c r="K3336" s="68"/>
    </row>
    <row r="3337" spans="1:11" ht="12.75">
      <c r="A3337" s="69">
        <f ca="1">IFERROR(__xludf.DUMMYFUNCTION("""COMPUTED_VALUE"""),101218)</f>
        <v>101218</v>
      </c>
      <c r="B3337" s="4">
        <f ca="1">IFERROR(__xludf.DUMMYFUNCTION("""COMPUTED_VALUE"""),44748)</f>
        <v>44748</v>
      </c>
      <c r="C3337" t="str">
        <f ca="1">IFERROR(__xludf.DUMMYFUNCTION("""COMPUTED_VALUE"""),"ООО ""ЧИСТЫЙ ГОРОД-ОМСК"" 127-РДО от 01.01.2022")</f>
        <v>ООО "ЧИСТЫЙ ГОРОД-ОМСК" 127-РДО от 01.01.2022</v>
      </c>
      <c r="D3337" s="67"/>
      <c r="E3337" t="str">
        <f ca="1">IFERROR(__xludf.DUMMYFUNCTION("""COMPUTED_VALUE"""),"Новый")</f>
        <v>Новый</v>
      </c>
      <c r="G3337" s="68"/>
      <c r="K3337" s="68"/>
    </row>
    <row r="3338" spans="1:11" ht="12.75">
      <c r="A3338" s="69">
        <f ca="1">IFERROR(__xludf.DUMMYFUNCTION("""COMPUTED_VALUE"""),101219)</f>
        <v>101219</v>
      </c>
      <c r="B3338" s="4">
        <f ca="1">IFERROR(__xludf.DUMMYFUNCTION("""COMPUTED_VALUE"""),44748)</f>
        <v>44748</v>
      </c>
      <c r="C3338" t="str">
        <f ca="1">IFERROR(__xludf.DUMMYFUNCTION("""COMPUTED_VALUE"""),"ООО ""ЧИСТЫЙ ГОРОД-ОМСК"" 127-РДО от 01.01.2022")</f>
        <v>ООО "ЧИСТЫЙ ГОРОД-ОМСК" 127-РДО от 01.01.2022</v>
      </c>
      <c r="D3338" s="67"/>
      <c r="E3338" t="str">
        <f ca="1">IFERROR(__xludf.DUMMYFUNCTION("""COMPUTED_VALUE"""),"Новый")</f>
        <v>Новый</v>
      </c>
      <c r="G3338" s="68"/>
      <c r="K3338" s="68"/>
    </row>
    <row r="3339" spans="1:11" ht="12.75">
      <c r="A3339" s="69">
        <f ca="1">IFERROR(__xludf.DUMMYFUNCTION("""COMPUTED_VALUE"""),101220)</f>
        <v>101220</v>
      </c>
      <c r="B3339" s="4">
        <f ca="1">IFERROR(__xludf.DUMMYFUNCTION("""COMPUTED_VALUE"""),44748)</f>
        <v>44748</v>
      </c>
      <c r="C3339" t="str">
        <f ca="1">IFERROR(__xludf.DUMMYFUNCTION("""COMPUTED_VALUE"""),"ООО ""ЧИСТЫЙ ГОРОД-ОМСК"" 127-РДО от 01.01.2022")</f>
        <v>ООО "ЧИСТЫЙ ГОРОД-ОМСК" 127-РДО от 01.01.2022</v>
      </c>
      <c r="D3339" s="67"/>
      <c r="E3339" t="str">
        <f ca="1">IFERROR(__xludf.DUMMYFUNCTION("""COMPUTED_VALUE"""),"Новый")</f>
        <v>Новый</v>
      </c>
      <c r="G3339" s="68"/>
      <c r="K3339" s="68"/>
    </row>
    <row r="3340" spans="1:11" ht="12.75">
      <c r="A3340" s="69">
        <f ca="1">IFERROR(__xludf.DUMMYFUNCTION("""COMPUTED_VALUE"""),101221)</f>
        <v>101221</v>
      </c>
      <c r="B3340" s="4">
        <f ca="1">IFERROR(__xludf.DUMMYFUNCTION("""COMPUTED_VALUE"""),44748)</f>
        <v>44748</v>
      </c>
      <c r="C3340" t="str">
        <f ca="1">IFERROR(__xludf.DUMMYFUNCTION("""COMPUTED_VALUE"""),"ООО ""ЧИСТЫЙ ГОРОД-ОМСК"" 127-РДО от 01.01.2022")</f>
        <v>ООО "ЧИСТЫЙ ГОРОД-ОМСК" 127-РДО от 01.01.2022</v>
      </c>
      <c r="D3340" s="67"/>
      <c r="E3340" t="str">
        <f ca="1">IFERROR(__xludf.DUMMYFUNCTION("""COMPUTED_VALUE"""),"Новый")</f>
        <v>Новый</v>
      </c>
      <c r="G3340" s="68"/>
      <c r="K3340" s="68"/>
    </row>
    <row r="3341" spans="1:11" ht="12.75">
      <c r="A3341" s="69">
        <f ca="1">IFERROR(__xludf.DUMMYFUNCTION("""COMPUTED_VALUE"""),101222)</f>
        <v>101222</v>
      </c>
      <c r="B3341" s="4">
        <f ca="1">IFERROR(__xludf.DUMMYFUNCTION("""COMPUTED_VALUE"""),44748)</f>
        <v>44748</v>
      </c>
      <c r="C3341" t="str">
        <f ca="1">IFERROR(__xludf.DUMMYFUNCTION("""COMPUTED_VALUE"""),"ООО ""ЧИСТЫЙ ГОРОД-ОМСК"" 127-РДО от 01.01.2022")</f>
        <v>ООО "ЧИСТЫЙ ГОРОД-ОМСК" 127-РДО от 01.01.2022</v>
      </c>
      <c r="D3341" s="67"/>
      <c r="E3341" t="str">
        <f ca="1">IFERROR(__xludf.DUMMYFUNCTION("""COMPUTED_VALUE"""),"Новый")</f>
        <v>Новый</v>
      </c>
      <c r="G3341" s="68"/>
      <c r="K3341" s="68"/>
    </row>
    <row r="3342" spans="1:11" ht="12.75">
      <c r="A3342" s="69">
        <f ca="1">IFERROR(__xludf.DUMMYFUNCTION("""COMPUTED_VALUE"""),101223)</f>
        <v>101223</v>
      </c>
      <c r="B3342" s="4">
        <f ca="1">IFERROR(__xludf.DUMMYFUNCTION("""COMPUTED_VALUE"""),44748)</f>
        <v>44748</v>
      </c>
      <c r="C3342" t="str">
        <f ca="1">IFERROR(__xludf.DUMMYFUNCTION("""COMPUTED_VALUE"""),"ООО ""ЧИСТЫЙ ГОРОД-ОМСК"" 127-РДО от 01.01.2022")</f>
        <v>ООО "ЧИСТЫЙ ГОРОД-ОМСК" 127-РДО от 01.01.2022</v>
      </c>
      <c r="D3342" s="67"/>
      <c r="E3342" t="str">
        <f ca="1">IFERROR(__xludf.DUMMYFUNCTION("""COMPUTED_VALUE"""),"Новый")</f>
        <v>Новый</v>
      </c>
      <c r="G3342" s="68"/>
      <c r="K3342" s="68"/>
    </row>
    <row r="3343" spans="1:11" ht="12.75">
      <c r="A3343" s="69">
        <f ca="1">IFERROR(__xludf.DUMMYFUNCTION("""COMPUTED_VALUE"""),101224)</f>
        <v>101224</v>
      </c>
      <c r="B3343" s="4">
        <f ca="1">IFERROR(__xludf.DUMMYFUNCTION("""COMPUTED_VALUE"""),44748)</f>
        <v>44748</v>
      </c>
      <c r="C3343" t="str">
        <f ca="1">IFERROR(__xludf.DUMMYFUNCTION("""COMPUTED_VALUE"""),"ООО ""ЧИСТЫЙ ГОРОД-ОМСК"" 127-РДО от 01.01.2022")</f>
        <v>ООО "ЧИСТЫЙ ГОРОД-ОМСК" 127-РДО от 01.01.2022</v>
      </c>
      <c r="D3343" s="67"/>
      <c r="E3343" t="str">
        <f ca="1">IFERROR(__xludf.DUMMYFUNCTION("""COMPUTED_VALUE"""),"Новый")</f>
        <v>Новый</v>
      </c>
      <c r="G3343" s="68"/>
      <c r="K3343" s="68"/>
    </row>
    <row r="3344" spans="1:11" ht="12.75">
      <c r="A3344" s="69">
        <f ca="1">IFERROR(__xludf.DUMMYFUNCTION("""COMPUTED_VALUE"""),101225)</f>
        <v>101225</v>
      </c>
      <c r="B3344" s="4">
        <f ca="1">IFERROR(__xludf.DUMMYFUNCTION("""COMPUTED_VALUE"""),44748)</f>
        <v>44748</v>
      </c>
      <c r="C3344" t="str">
        <f ca="1">IFERROR(__xludf.DUMMYFUNCTION("""COMPUTED_VALUE"""),"ООО ""ЧИСТЫЙ ГОРОД-ОМСК"" 127-РДО от 01.01.2022")</f>
        <v>ООО "ЧИСТЫЙ ГОРОД-ОМСК" 127-РДО от 01.01.2022</v>
      </c>
      <c r="D3344" s="67"/>
      <c r="E3344" t="str">
        <f ca="1">IFERROR(__xludf.DUMMYFUNCTION("""COMPUTED_VALUE"""),"Новый")</f>
        <v>Новый</v>
      </c>
      <c r="G3344" s="68"/>
      <c r="K3344" s="68"/>
    </row>
    <row r="3345" spans="1:11" ht="12.75">
      <c r="A3345" s="69">
        <f ca="1">IFERROR(__xludf.DUMMYFUNCTION("""COMPUTED_VALUE"""),101226)</f>
        <v>101226</v>
      </c>
      <c r="B3345" s="4">
        <f ca="1">IFERROR(__xludf.DUMMYFUNCTION("""COMPUTED_VALUE"""),44748)</f>
        <v>44748</v>
      </c>
      <c r="C3345" t="str">
        <f ca="1">IFERROR(__xludf.DUMMYFUNCTION("""COMPUTED_VALUE"""),"ООО ""ЧИСТЫЙ ГОРОД-ОМСК"" 127-РДО от 01.01.2022")</f>
        <v>ООО "ЧИСТЫЙ ГОРОД-ОМСК" 127-РДО от 01.01.2022</v>
      </c>
      <c r="D3345" s="67"/>
      <c r="E3345" t="str">
        <f ca="1">IFERROR(__xludf.DUMMYFUNCTION("""COMPUTED_VALUE"""),"Новый")</f>
        <v>Новый</v>
      </c>
      <c r="G3345" s="68"/>
      <c r="K3345" s="68"/>
    </row>
    <row r="3346" spans="1:11" ht="12.75">
      <c r="A3346" s="69">
        <f ca="1">IFERROR(__xludf.DUMMYFUNCTION("""COMPUTED_VALUE"""),101227)</f>
        <v>101227</v>
      </c>
      <c r="B3346" s="4">
        <f ca="1">IFERROR(__xludf.DUMMYFUNCTION("""COMPUTED_VALUE"""),44748)</f>
        <v>44748</v>
      </c>
      <c r="C3346" t="str">
        <f ca="1">IFERROR(__xludf.DUMMYFUNCTION("""COMPUTED_VALUE"""),"ООО ""ЧИСТЫЙ ГОРОД-ОМСК"" 127-РДО от 01.01.2022")</f>
        <v>ООО "ЧИСТЫЙ ГОРОД-ОМСК" 127-РДО от 01.01.2022</v>
      </c>
      <c r="D3346" s="67"/>
      <c r="E3346" t="str">
        <f ca="1">IFERROR(__xludf.DUMMYFUNCTION("""COMPUTED_VALUE"""),"Новый")</f>
        <v>Новый</v>
      </c>
      <c r="G3346" s="68"/>
      <c r="K3346" s="68"/>
    </row>
    <row r="3347" spans="1:11" ht="12.75">
      <c r="A3347" s="69">
        <f ca="1">IFERROR(__xludf.DUMMYFUNCTION("""COMPUTED_VALUE"""),101228)</f>
        <v>101228</v>
      </c>
      <c r="B3347" s="4">
        <f ca="1">IFERROR(__xludf.DUMMYFUNCTION("""COMPUTED_VALUE"""),44748)</f>
        <v>44748</v>
      </c>
      <c r="C3347" t="str">
        <f ca="1">IFERROR(__xludf.DUMMYFUNCTION("""COMPUTED_VALUE"""),"ООО ""ЧИСТЫЙ ГОРОД-ОМСК"" 127-РДО от 01.01.2022")</f>
        <v>ООО "ЧИСТЫЙ ГОРОД-ОМСК" 127-РДО от 01.01.2022</v>
      </c>
      <c r="D3347" s="67"/>
      <c r="E3347" t="str">
        <f ca="1">IFERROR(__xludf.DUMMYFUNCTION("""COMPUTED_VALUE"""),"Новый")</f>
        <v>Новый</v>
      </c>
      <c r="G3347" s="68"/>
      <c r="K3347" s="68"/>
    </row>
    <row r="3348" spans="1:11" ht="12.75">
      <c r="A3348" s="69">
        <f ca="1">IFERROR(__xludf.DUMMYFUNCTION("""COMPUTED_VALUE"""),101229)</f>
        <v>101229</v>
      </c>
      <c r="B3348" s="4">
        <f ca="1">IFERROR(__xludf.DUMMYFUNCTION("""COMPUTED_VALUE"""),44748)</f>
        <v>44748</v>
      </c>
      <c r="C3348" t="str">
        <f ca="1">IFERROR(__xludf.DUMMYFUNCTION("""COMPUTED_VALUE"""),"ООО ""ЧИСТЫЙ ГОРОД-ОМСК"" 127-РДО от 01.01.2022")</f>
        <v>ООО "ЧИСТЫЙ ГОРОД-ОМСК" 127-РДО от 01.01.2022</v>
      </c>
      <c r="D3348" s="67"/>
      <c r="E3348" t="str">
        <f ca="1">IFERROR(__xludf.DUMMYFUNCTION("""COMPUTED_VALUE"""),"Новый")</f>
        <v>Новый</v>
      </c>
      <c r="G3348" s="68"/>
      <c r="K3348" s="68"/>
    </row>
    <row r="3349" spans="1:11" ht="12.75">
      <c r="A3349" s="69">
        <f ca="1">IFERROR(__xludf.DUMMYFUNCTION("""COMPUTED_VALUE"""),101230)</f>
        <v>101230</v>
      </c>
      <c r="B3349" s="4">
        <f ca="1">IFERROR(__xludf.DUMMYFUNCTION("""COMPUTED_VALUE"""),44748)</f>
        <v>44748</v>
      </c>
      <c r="C3349" t="str">
        <f ca="1">IFERROR(__xludf.DUMMYFUNCTION("""COMPUTED_VALUE"""),"ООО ""ЧИСТЫЙ ГОРОД-ОМСК"" 127-РДО от 01.01.2022")</f>
        <v>ООО "ЧИСТЫЙ ГОРОД-ОМСК" 127-РДО от 01.01.2022</v>
      </c>
      <c r="D3349" s="67"/>
      <c r="E3349" t="str">
        <f ca="1">IFERROR(__xludf.DUMMYFUNCTION("""COMPUTED_VALUE"""),"Новый")</f>
        <v>Новый</v>
      </c>
      <c r="G3349" s="68"/>
      <c r="K3349" s="68"/>
    </row>
    <row r="3350" spans="1:11" ht="12.75">
      <c r="A3350" s="69">
        <f ca="1">IFERROR(__xludf.DUMMYFUNCTION("""COMPUTED_VALUE"""),101231)</f>
        <v>101231</v>
      </c>
      <c r="B3350" s="4">
        <f ca="1">IFERROR(__xludf.DUMMYFUNCTION("""COMPUTED_VALUE"""),44748)</f>
        <v>44748</v>
      </c>
      <c r="C3350" t="str">
        <f ca="1">IFERROR(__xludf.DUMMYFUNCTION("""COMPUTED_VALUE"""),"ООО ""ЧИСТЫЙ ГОРОД-ОМСК"" 127-РДО от 01.01.2022")</f>
        <v>ООО "ЧИСТЫЙ ГОРОД-ОМСК" 127-РДО от 01.01.2022</v>
      </c>
      <c r="D3350" s="67"/>
      <c r="E3350" t="str">
        <f ca="1">IFERROR(__xludf.DUMMYFUNCTION("""COMPUTED_VALUE"""),"Новый")</f>
        <v>Новый</v>
      </c>
      <c r="G3350" s="68"/>
      <c r="K3350" s="68"/>
    </row>
    <row r="3351" spans="1:11" ht="12.75">
      <c r="A3351" s="69">
        <f ca="1">IFERROR(__xludf.DUMMYFUNCTION("""COMPUTED_VALUE"""),101232)</f>
        <v>101232</v>
      </c>
      <c r="B3351" s="4">
        <f ca="1">IFERROR(__xludf.DUMMYFUNCTION("""COMPUTED_VALUE"""),44748)</f>
        <v>44748</v>
      </c>
      <c r="C3351" t="str">
        <f ca="1">IFERROR(__xludf.DUMMYFUNCTION("""COMPUTED_VALUE"""),"ООО ""ЧИСТЫЙ ГОРОД-ОМСК"" 127-РДО от 01.01.2022")</f>
        <v>ООО "ЧИСТЫЙ ГОРОД-ОМСК" 127-РДО от 01.01.2022</v>
      </c>
      <c r="D3351" s="67"/>
      <c r="E3351" t="str">
        <f ca="1">IFERROR(__xludf.DUMMYFUNCTION("""COMPUTED_VALUE"""),"Новый")</f>
        <v>Новый</v>
      </c>
      <c r="G3351" s="68"/>
      <c r="K3351" s="68"/>
    </row>
    <row r="3352" spans="1:11" ht="12.75">
      <c r="A3352" s="69">
        <f ca="1">IFERROR(__xludf.DUMMYFUNCTION("""COMPUTED_VALUE"""),101233)</f>
        <v>101233</v>
      </c>
      <c r="B3352" s="4">
        <f ca="1">IFERROR(__xludf.DUMMYFUNCTION("""COMPUTED_VALUE"""),44748)</f>
        <v>44748</v>
      </c>
      <c r="C3352" t="str">
        <f ca="1">IFERROR(__xludf.DUMMYFUNCTION("""COMPUTED_VALUE"""),"ООО ""ЧИСТЫЙ ГОРОД-ОМСК"" 127-РДО от 01.01.2022")</f>
        <v>ООО "ЧИСТЫЙ ГОРОД-ОМСК" 127-РДО от 01.01.2022</v>
      </c>
      <c r="D3352" s="67"/>
      <c r="E3352" t="str">
        <f ca="1">IFERROR(__xludf.DUMMYFUNCTION("""COMPUTED_VALUE"""),"Новый")</f>
        <v>Новый</v>
      </c>
      <c r="G3352" s="68"/>
      <c r="K3352" s="68"/>
    </row>
    <row r="3353" spans="1:11" ht="12.75">
      <c r="A3353" s="69">
        <f ca="1">IFERROR(__xludf.DUMMYFUNCTION("""COMPUTED_VALUE"""),101234)</f>
        <v>101234</v>
      </c>
      <c r="B3353" s="4">
        <f ca="1">IFERROR(__xludf.DUMMYFUNCTION("""COMPUTED_VALUE"""),44748)</f>
        <v>44748</v>
      </c>
      <c r="C3353" t="str">
        <f ca="1">IFERROR(__xludf.DUMMYFUNCTION("""COMPUTED_VALUE"""),"ООО ""ЧИСТЫЙ ГОРОД-ОМСК"" 127-РДО от 01.01.2022")</f>
        <v>ООО "ЧИСТЫЙ ГОРОД-ОМСК" 127-РДО от 01.01.2022</v>
      </c>
      <c r="D3353" s="67"/>
      <c r="E3353" t="str">
        <f ca="1">IFERROR(__xludf.DUMMYFUNCTION("""COMPUTED_VALUE"""),"Новый")</f>
        <v>Новый</v>
      </c>
      <c r="G3353" s="68"/>
      <c r="K3353" s="68"/>
    </row>
    <row r="3354" spans="1:11" ht="12.75">
      <c r="A3354" s="69">
        <f ca="1">IFERROR(__xludf.DUMMYFUNCTION("""COMPUTED_VALUE"""),101235)</f>
        <v>101235</v>
      </c>
      <c r="B3354" s="4">
        <f ca="1">IFERROR(__xludf.DUMMYFUNCTION("""COMPUTED_VALUE"""),44748)</f>
        <v>44748</v>
      </c>
      <c r="C3354" t="str">
        <f ca="1">IFERROR(__xludf.DUMMYFUNCTION("""COMPUTED_VALUE"""),"ООО ""ЧИСТЫЙ ГОРОД-ОМСК"" 127-РДО от 01.01.2022")</f>
        <v>ООО "ЧИСТЫЙ ГОРОД-ОМСК" 127-РДО от 01.01.2022</v>
      </c>
      <c r="D3354" s="67"/>
      <c r="E3354" t="str">
        <f ca="1">IFERROR(__xludf.DUMMYFUNCTION("""COMPUTED_VALUE"""),"Новый")</f>
        <v>Новый</v>
      </c>
      <c r="G3354" s="68"/>
      <c r="K3354" s="68"/>
    </row>
    <row r="3355" spans="1:11" ht="12.75">
      <c r="A3355" s="69">
        <f ca="1">IFERROR(__xludf.DUMMYFUNCTION("""COMPUTED_VALUE"""),101236)</f>
        <v>101236</v>
      </c>
      <c r="B3355" s="4">
        <f ca="1">IFERROR(__xludf.DUMMYFUNCTION("""COMPUTED_VALUE"""),44748)</f>
        <v>44748</v>
      </c>
      <c r="C3355" t="str">
        <f ca="1">IFERROR(__xludf.DUMMYFUNCTION("""COMPUTED_VALUE"""),"ООО ""ЧИСТЫЙ ГОРОД-ОМСК"" 127-РДО от 01.01.2022")</f>
        <v>ООО "ЧИСТЫЙ ГОРОД-ОМСК" 127-РДО от 01.01.2022</v>
      </c>
      <c r="D3355" s="67"/>
      <c r="E3355" t="str">
        <f ca="1">IFERROR(__xludf.DUMMYFUNCTION("""COMPUTED_VALUE"""),"Новый")</f>
        <v>Новый</v>
      </c>
      <c r="G3355" s="68"/>
      <c r="K3355" s="68"/>
    </row>
    <row r="3356" spans="1:11" ht="12.75">
      <c r="A3356" s="69">
        <f ca="1">IFERROR(__xludf.DUMMYFUNCTION("""COMPUTED_VALUE"""),101237)</f>
        <v>101237</v>
      </c>
      <c r="B3356" s="4">
        <f ca="1">IFERROR(__xludf.DUMMYFUNCTION("""COMPUTED_VALUE"""),44748)</f>
        <v>44748</v>
      </c>
      <c r="C3356" t="str">
        <f ca="1">IFERROR(__xludf.DUMMYFUNCTION("""COMPUTED_VALUE"""),"ООО ""ЧИСТЫЙ ГОРОД-ОМСК"" 127-РДО от 01.01.2022")</f>
        <v>ООО "ЧИСТЫЙ ГОРОД-ОМСК" 127-РДО от 01.01.2022</v>
      </c>
      <c r="D3356" s="67"/>
      <c r="E3356" t="str">
        <f ca="1">IFERROR(__xludf.DUMMYFUNCTION("""COMPUTED_VALUE"""),"Новый")</f>
        <v>Новый</v>
      </c>
      <c r="G3356" s="68"/>
      <c r="K3356" s="68"/>
    </row>
    <row r="3357" spans="1:11" ht="12.75">
      <c r="A3357" s="69">
        <f ca="1">IFERROR(__xludf.DUMMYFUNCTION("""COMPUTED_VALUE"""),101238)</f>
        <v>101238</v>
      </c>
      <c r="B3357" s="4">
        <f ca="1">IFERROR(__xludf.DUMMYFUNCTION("""COMPUTED_VALUE"""),44748)</f>
        <v>44748</v>
      </c>
      <c r="C3357" t="str">
        <f ca="1">IFERROR(__xludf.DUMMYFUNCTION("""COMPUTED_VALUE"""),"ООО ""ЧИСТЫЙ ГОРОД-ОМСК"" 127-РДО от 01.01.2022")</f>
        <v>ООО "ЧИСТЫЙ ГОРОД-ОМСК" 127-РДО от 01.01.2022</v>
      </c>
      <c r="D3357" s="67"/>
      <c r="E3357" t="str">
        <f ca="1">IFERROR(__xludf.DUMMYFUNCTION("""COMPUTED_VALUE"""),"Новый")</f>
        <v>Новый</v>
      </c>
      <c r="G3357" s="68"/>
      <c r="K3357" s="68"/>
    </row>
    <row r="3358" spans="1:11" ht="12.75">
      <c r="A3358" s="69">
        <f ca="1">IFERROR(__xludf.DUMMYFUNCTION("""COMPUTED_VALUE"""),101239)</f>
        <v>101239</v>
      </c>
      <c r="B3358" s="4">
        <f ca="1">IFERROR(__xludf.DUMMYFUNCTION("""COMPUTED_VALUE"""),44748)</f>
        <v>44748</v>
      </c>
      <c r="C3358" t="str">
        <f ca="1">IFERROR(__xludf.DUMMYFUNCTION("""COMPUTED_VALUE"""),"ООО ""ЧИСТЫЙ ГОРОД-ОМСК"" 127-РДО от 01.01.2022")</f>
        <v>ООО "ЧИСТЫЙ ГОРОД-ОМСК" 127-РДО от 01.01.2022</v>
      </c>
      <c r="D3358" s="67"/>
      <c r="E3358" t="str">
        <f ca="1">IFERROR(__xludf.DUMMYFUNCTION("""COMPUTED_VALUE"""),"Новый")</f>
        <v>Новый</v>
      </c>
      <c r="G3358" s="68"/>
      <c r="K3358" s="68"/>
    </row>
    <row r="3359" spans="1:11" ht="12.75">
      <c r="A3359" s="69">
        <f ca="1">IFERROR(__xludf.DUMMYFUNCTION("""COMPUTED_VALUE"""),101240)</f>
        <v>101240</v>
      </c>
      <c r="B3359" s="4">
        <f ca="1">IFERROR(__xludf.DUMMYFUNCTION("""COMPUTED_VALUE"""),44748)</f>
        <v>44748</v>
      </c>
      <c r="C3359" t="str">
        <f ca="1">IFERROR(__xludf.DUMMYFUNCTION("""COMPUTED_VALUE"""),"ООО ""ЧИСТЫЙ ГОРОД-ОМСК"" 127-РДО от 01.01.2022")</f>
        <v>ООО "ЧИСТЫЙ ГОРОД-ОМСК" 127-РДО от 01.01.2022</v>
      </c>
      <c r="D3359" s="67"/>
      <c r="E3359" t="str">
        <f ca="1">IFERROR(__xludf.DUMMYFUNCTION("""COMPUTED_VALUE"""),"Новый")</f>
        <v>Новый</v>
      </c>
      <c r="G3359" s="68"/>
      <c r="K3359" s="68"/>
    </row>
    <row r="3360" spans="1:11" ht="12.75">
      <c r="A3360" s="69">
        <f ca="1">IFERROR(__xludf.DUMMYFUNCTION("""COMPUTED_VALUE"""),101241)</f>
        <v>101241</v>
      </c>
      <c r="B3360" s="4">
        <f ca="1">IFERROR(__xludf.DUMMYFUNCTION("""COMPUTED_VALUE"""),44748)</f>
        <v>44748</v>
      </c>
      <c r="C3360" t="str">
        <f ca="1">IFERROR(__xludf.DUMMYFUNCTION("""COMPUTED_VALUE"""),"ООО ""ЧИСТЫЙ ГОРОД-ОМСК"" 127-РДО от 01.01.2022")</f>
        <v>ООО "ЧИСТЫЙ ГОРОД-ОМСК" 127-РДО от 01.01.2022</v>
      </c>
      <c r="D3360" s="67"/>
      <c r="E3360" t="str">
        <f ca="1">IFERROR(__xludf.DUMMYFUNCTION("""COMPUTED_VALUE"""),"Новый")</f>
        <v>Новый</v>
      </c>
      <c r="G3360" s="68"/>
      <c r="K3360" s="68"/>
    </row>
    <row r="3361" spans="1:11" ht="12.75">
      <c r="A3361" s="69">
        <f ca="1">IFERROR(__xludf.DUMMYFUNCTION("""COMPUTED_VALUE"""),101242)</f>
        <v>101242</v>
      </c>
      <c r="B3361" s="4">
        <f ca="1">IFERROR(__xludf.DUMMYFUNCTION("""COMPUTED_VALUE"""),44748)</f>
        <v>44748</v>
      </c>
      <c r="C3361" t="str">
        <f ca="1">IFERROR(__xludf.DUMMYFUNCTION("""COMPUTED_VALUE"""),"ООО ""ЧИСТЫЙ ГОРОД-ОМСК"" 127-РДО от 01.01.2022")</f>
        <v>ООО "ЧИСТЫЙ ГОРОД-ОМСК" 127-РДО от 01.01.2022</v>
      </c>
      <c r="D3361" s="67"/>
      <c r="E3361" t="str">
        <f ca="1">IFERROR(__xludf.DUMMYFUNCTION("""COMPUTED_VALUE"""),"Новый")</f>
        <v>Новый</v>
      </c>
      <c r="G3361" s="68"/>
      <c r="K3361" s="68"/>
    </row>
    <row r="3362" spans="1:11" ht="12.75">
      <c r="A3362" s="69">
        <f ca="1">IFERROR(__xludf.DUMMYFUNCTION("""COMPUTED_VALUE"""),101243)</f>
        <v>101243</v>
      </c>
      <c r="B3362" s="4">
        <f ca="1">IFERROR(__xludf.DUMMYFUNCTION("""COMPUTED_VALUE"""),44748)</f>
        <v>44748</v>
      </c>
      <c r="C3362" t="str">
        <f ca="1">IFERROR(__xludf.DUMMYFUNCTION("""COMPUTED_VALUE"""),"ООО ""ЧИСТЫЙ ГОРОД-ОМСК"" 127-РДО от 01.01.2022")</f>
        <v>ООО "ЧИСТЫЙ ГОРОД-ОМСК" 127-РДО от 01.01.2022</v>
      </c>
      <c r="D3362" s="67"/>
      <c r="E3362" t="str">
        <f ca="1">IFERROR(__xludf.DUMMYFUNCTION("""COMPUTED_VALUE"""),"Новый")</f>
        <v>Новый</v>
      </c>
      <c r="G3362" s="68"/>
      <c r="K3362" s="68"/>
    </row>
    <row r="3363" spans="1:11" ht="12.75">
      <c r="A3363" s="69">
        <f ca="1">IFERROR(__xludf.DUMMYFUNCTION("""COMPUTED_VALUE"""),101244)</f>
        <v>101244</v>
      </c>
      <c r="B3363" s="4">
        <f ca="1">IFERROR(__xludf.DUMMYFUNCTION("""COMPUTED_VALUE"""),44748)</f>
        <v>44748</v>
      </c>
      <c r="C3363" t="str">
        <f ca="1">IFERROR(__xludf.DUMMYFUNCTION("""COMPUTED_VALUE"""),"ООО ""ЧИСТЫЙ ГОРОД-ОМСК"" 127-РДО от 01.01.2022")</f>
        <v>ООО "ЧИСТЫЙ ГОРОД-ОМСК" 127-РДО от 01.01.2022</v>
      </c>
      <c r="D3363" s="67"/>
      <c r="E3363" t="str">
        <f ca="1">IFERROR(__xludf.DUMMYFUNCTION("""COMPUTED_VALUE"""),"Новый")</f>
        <v>Новый</v>
      </c>
      <c r="G3363" s="68"/>
      <c r="K3363" s="68"/>
    </row>
    <row r="3364" spans="1:11" ht="12.75">
      <c r="A3364" s="69">
        <f ca="1">IFERROR(__xludf.DUMMYFUNCTION("""COMPUTED_VALUE"""),101245)</f>
        <v>101245</v>
      </c>
      <c r="B3364" s="4">
        <f ca="1">IFERROR(__xludf.DUMMYFUNCTION("""COMPUTED_VALUE"""),44748)</f>
        <v>44748</v>
      </c>
      <c r="C3364" t="str">
        <f ca="1">IFERROR(__xludf.DUMMYFUNCTION("""COMPUTED_VALUE"""),"ООО ""ЧИСТЫЙ ГОРОД-ОМСК"" 127-РДО от 01.01.2022")</f>
        <v>ООО "ЧИСТЫЙ ГОРОД-ОМСК" 127-РДО от 01.01.2022</v>
      </c>
      <c r="D3364" s="67"/>
      <c r="E3364" t="str">
        <f ca="1">IFERROR(__xludf.DUMMYFUNCTION("""COMPUTED_VALUE"""),"Новый")</f>
        <v>Новый</v>
      </c>
      <c r="G3364" s="68"/>
      <c r="K3364" s="68"/>
    </row>
    <row r="3365" spans="1:11" ht="12.75">
      <c r="A3365" s="69">
        <f ca="1">IFERROR(__xludf.DUMMYFUNCTION("""COMPUTED_VALUE"""),101246)</f>
        <v>101246</v>
      </c>
      <c r="B3365" s="4">
        <f ca="1">IFERROR(__xludf.DUMMYFUNCTION("""COMPUTED_VALUE"""),44748)</f>
        <v>44748</v>
      </c>
      <c r="C3365" t="str">
        <f ca="1">IFERROR(__xludf.DUMMYFUNCTION("""COMPUTED_VALUE"""),"ООО ""ЧИСТЫЙ ГОРОД-ОМСК"" 127-РДО от 01.01.2022")</f>
        <v>ООО "ЧИСТЫЙ ГОРОД-ОМСК" 127-РДО от 01.01.2022</v>
      </c>
      <c r="D33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65" t="str">
        <f ca="1">IFERROR(__xludf.DUMMYFUNCTION("""COMPUTED_VALUE"""),"Новый")</f>
        <v>Новый</v>
      </c>
      <c r="G3365" s="68"/>
      <c r="K3365" s="68"/>
    </row>
    <row r="3366" spans="1:11" ht="12.75">
      <c r="A3366" s="69">
        <f ca="1">IFERROR(__xludf.DUMMYFUNCTION("""COMPUTED_VALUE"""),101247)</f>
        <v>101247</v>
      </c>
      <c r="B3366" s="4">
        <f ca="1">IFERROR(__xludf.DUMMYFUNCTION("""COMPUTED_VALUE"""),44748)</f>
        <v>44748</v>
      </c>
      <c r="C3366" t="str">
        <f ca="1">IFERROR(__xludf.DUMMYFUNCTION("""COMPUTED_VALUE"""),"ООО ""ЧИСТЫЙ ГОРОД-ОМСК"" 127-РДО от 01.01.2022")</f>
        <v>ООО "ЧИСТЫЙ ГОРОД-ОМСК" 127-РДО от 01.01.2022</v>
      </c>
      <c r="D33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66" t="str">
        <f ca="1">IFERROR(__xludf.DUMMYFUNCTION("""COMPUTED_VALUE"""),"Новый")</f>
        <v>Новый</v>
      </c>
      <c r="G3366" s="68"/>
      <c r="K3366" s="68"/>
    </row>
    <row r="3367" spans="1:11" ht="12.75">
      <c r="A3367" s="69">
        <f ca="1">IFERROR(__xludf.DUMMYFUNCTION("""COMPUTED_VALUE"""),101248)</f>
        <v>101248</v>
      </c>
      <c r="B3367" s="4">
        <f ca="1">IFERROR(__xludf.DUMMYFUNCTION("""COMPUTED_VALUE"""),44748)</f>
        <v>44748</v>
      </c>
      <c r="C3367" t="str">
        <f ca="1">IFERROR(__xludf.DUMMYFUNCTION("""COMPUTED_VALUE"""),"ООО ""ЧИСТЫЙ ГОРОД-ОМСК"" 127-РДО от 01.01.2022")</f>
        <v>ООО "ЧИСТЫЙ ГОРОД-ОМСК" 127-РДО от 01.01.2022</v>
      </c>
      <c r="D33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67" t="str">
        <f ca="1">IFERROR(__xludf.DUMMYFUNCTION("""COMPUTED_VALUE"""),"Новый")</f>
        <v>Новый</v>
      </c>
      <c r="G3367" s="68"/>
      <c r="K3367" s="68"/>
    </row>
    <row r="3368" spans="1:11" ht="12.75">
      <c r="A3368" s="69">
        <f ca="1">IFERROR(__xludf.DUMMYFUNCTION("""COMPUTED_VALUE"""),101249)</f>
        <v>101249</v>
      </c>
      <c r="B3368" s="4">
        <f ca="1">IFERROR(__xludf.DUMMYFUNCTION("""COMPUTED_VALUE"""),44748)</f>
        <v>44748</v>
      </c>
      <c r="C3368" t="str">
        <f ca="1">IFERROR(__xludf.DUMMYFUNCTION("""COMPUTED_VALUE"""),"ООО ""ЧИСТЫЙ ГОРОД-ОМСК"" 127-РДО от 01.01.2022")</f>
        <v>ООО "ЧИСТЫЙ ГОРОД-ОМСК" 127-РДО от 01.01.2022</v>
      </c>
      <c r="D33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68" t="str">
        <f ca="1">IFERROR(__xludf.DUMMYFUNCTION("""COMPUTED_VALUE"""),"Новый")</f>
        <v>Новый</v>
      </c>
      <c r="G3368" s="68"/>
      <c r="K3368" s="68"/>
    </row>
    <row r="3369" spans="1:11" ht="12.75">
      <c r="A3369" s="69">
        <f ca="1">IFERROR(__xludf.DUMMYFUNCTION("""COMPUTED_VALUE"""),101250)</f>
        <v>101250</v>
      </c>
      <c r="B3369" s="4">
        <f ca="1">IFERROR(__xludf.DUMMYFUNCTION("""COMPUTED_VALUE"""),44748)</f>
        <v>44748</v>
      </c>
      <c r="C3369" t="str">
        <f ca="1">IFERROR(__xludf.DUMMYFUNCTION("""COMPUTED_VALUE"""),"ООО ""ЧИСТЫЙ ГОРОД-ОМСК"" 127-РДО от 01.01.2022")</f>
        <v>ООО "ЧИСТЫЙ ГОРОД-ОМСК" 127-РДО от 01.01.2022</v>
      </c>
      <c r="D33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69" t="str">
        <f ca="1">IFERROR(__xludf.DUMMYFUNCTION("""COMPUTED_VALUE"""),"Новый")</f>
        <v>Новый</v>
      </c>
      <c r="G3369" s="68"/>
      <c r="K3369" s="68"/>
    </row>
    <row r="3370" spans="1:11" ht="12.75">
      <c r="A3370" s="69">
        <f ca="1">IFERROR(__xludf.DUMMYFUNCTION("""COMPUTED_VALUE"""),101251)</f>
        <v>101251</v>
      </c>
      <c r="B3370" s="4">
        <f ca="1">IFERROR(__xludf.DUMMYFUNCTION("""COMPUTED_VALUE"""),44748)</f>
        <v>44748</v>
      </c>
      <c r="C3370" t="str">
        <f ca="1">IFERROR(__xludf.DUMMYFUNCTION("""COMPUTED_VALUE"""),"ООО ""ЧИСТЫЙ ГОРОД-ОМСК"" 127-РДО от 01.01.2022")</f>
        <v>ООО "ЧИСТЫЙ ГОРОД-ОМСК" 127-РДО от 01.01.2022</v>
      </c>
      <c r="D33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0" t="str">
        <f ca="1">IFERROR(__xludf.DUMMYFUNCTION("""COMPUTED_VALUE"""),"Новый")</f>
        <v>Новый</v>
      </c>
      <c r="G3370" s="68"/>
      <c r="K3370" s="68"/>
    </row>
    <row r="3371" spans="1:11" ht="12.75">
      <c r="A3371" s="69">
        <f ca="1">IFERROR(__xludf.DUMMYFUNCTION("""COMPUTED_VALUE"""),101252)</f>
        <v>101252</v>
      </c>
      <c r="B3371" s="4">
        <f ca="1">IFERROR(__xludf.DUMMYFUNCTION("""COMPUTED_VALUE"""),44748)</f>
        <v>44748</v>
      </c>
      <c r="C3371" t="str">
        <f ca="1">IFERROR(__xludf.DUMMYFUNCTION("""COMPUTED_VALUE"""),"ООО ""ЧИСТЫЙ ГОРОД-ОМСК"" 127-РДО от 01.01.2022")</f>
        <v>ООО "ЧИСТЫЙ ГОРОД-ОМСК" 127-РДО от 01.01.2022</v>
      </c>
      <c r="D33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1" t="str">
        <f ca="1">IFERROR(__xludf.DUMMYFUNCTION("""COMPUTED_VALUE"""),"Новый")</f>
        <v>Новый</v>
      </c>
      <c r="G3371" s="68"/>
      <c r="K3371" s="68"/>
    </row>
    <row r="3372" spans="1:11" ht="12.75">
      <c r="A3372" s="69">
        <f ca="1">IFERROR(__xludf.DUMMYFUNCTION("""COMPUTED_VALUE"""),101253)</f>
        <v>101253</v>
      </c>
      <c r="B3372" s="4">
        <f ca="1">IFERROR(__xludf.DUMMYFUNCTION("""COMPUTED_VALUE"""),44748)</f>
        <v>44748</v>
      </c>
      <c r="C3372" t="str">
        <f ca="1">IFERROR(__xludf.DUMMYFUNCTION("""COMPUTED_VALUE"""),"ООО ""ЧИСТЫЙ ГОРОД-ОМСК"" 127-РДО от 01.01.2022")</f>
        <v>ООО "ЧИСТЫЙ ГОРОД-ОМСК" 127-РДО от 01.01.2022</v>
      </c>
      <c r="D33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2" t="str">
        <f ca="1">IFERROR(__xludf.DUMMYFUNCTION("""COMPUTED_VALUE"""),"Новый")</f>
        <v>Новый</v>
      </c>
      <c r="G3372" s="68"/>
      <c r="K3372" s="68"/>
    </row>
    <row r="3373" spans="1:11" ht="12.75">
      <c r="A3373" s="69">
        <f ca="1">IFERROR(__xludf.DUMMYFUNCTION("""COMPUTED_VALUE"""),101254)</f>
        <v>101254</v>
      </c>
      <c r="B3373" s="4">
        <f ca="1">IFERROR(__xludf.DUMMYFUNCTION("""COMPUTED_VALUE"""),44748)</f>
        <v>44748</v>
      </c>
      <c r="C3373" t="str">
        <f ca="1">IFERROR(__xludf.DUMMYFUNCTION("""COMPUTED_VALUE"""),"ООО ""ЧИСТЫЙ ГОРОД-ОМСК"" 127-РДО от 01.01.2022")</f>
        <v>ООО "ЧИСТЫЙ ГОРОД-ОМСК" 127-РДО от 01.01.2022</v>
      </c>
      <c r="D33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3" t="str">
        <f ca="1">IFERROR(__xludf.DUMMYFUNCTION("""COMPUTED_VALUE"""),"Новый")</f>
        <v>Новый</v>
      </c>
      <c r="G3373" s="68"/>
      <c r="K3373" s="68"/>
    </row>
    <row r="3374" spans="1:11" ht="12.75">
      <c r="A3374" s="69">
        <f ca="1">IFERROR(__xludf.DUMMYFUNCTION("""COMPUTED_VALUE"""),101255)</f>
        <v>101255</v>
      </c>
      <c r="B3374" s="4">
        <f ca="1">IFERROR(__xludf.DUMMYFUNCTION("""COMPUTED_VALUE"""),44748)</f>
        <v>44748</v>
      </c>
      <c r="C3374" t="str">
        <f ca="1">IFERROR(__xludf.DUMMYFUNCTION("""COMPUTED_VALUE"""),"ООО ""ЧИСТЫЙ ГОРОД-ОМСК"" 127-РДО от 01.01.2022")</f>
        <v>ООО "ЧИСТЫЙ ГОРОД-ОМСК" 127-РДО от 01.01.2022</v>
      </c>
      <c r="D33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4" t="str">
        <f ca="1">IFERROR(__xludf.DUMMYFUNCTION("""COMPUTED_VALUE"""),"Новый")</f>
        <v>Новый</v>
      </c>
      <c r="G3374" s="68"/>
      <c r="K3374" s="68"/>
    </row>
    <row r="3375" spans="1:11" ht="12.75">
      <c r="A3375" s="69">
        <f ca="1">IFERROR(__xludf.DUMMYFUNCTION("""COMPUTED_VALUE"""),101256)</f>
        <v>101256</v>
      </c>
      <c r="B3375" s="4">
        <f ca="1">IFERROR(__xludf.DUMMYFUNCTION("""COMPUTED_VALUE"""),44748)</f>
        <v>44748</v>
      </c>
      <c r="C3375" t="str">
        <f ca="1">IFERROR(__xludf.DUMMYFUNCTION("""COMPUTED_VALUE"""),"ООО ""ЧИСТЫЙ ГОРОД-ОМСК"" 127-РДО от 01.01.2022")</f>
        <v>ООО "ЧИСТЫЙ ГОРОД-ОМСК" 127-РДО от 01.01.2022</v>
      </c>
      <c r="D33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5" t="str">
        <f ca="1">IFERROR(__xludf.DUMMYFUNCTION("""COMPUTED_VALUE"""),"Новый")</f>
        <v>Новый</v>
      </c>
      <c r="G3375" s="68"/>
      <c r="K3375" s="68"/>
    </row>
    <row r="3376" spans="1:11" ht="12.75">
      <c r="A3376" s="69">
        <f ca="1">IFERROR(__xludf.DUMMYFUNCTION("""COMPUTED_VALUE"""),101257)</f>
        <v>101257</v>
      </c>
      <c r="B3376" s="4">
        <f ca="1">IFERROR(__xludf.DUMMYFUNCTION("""COMPUTED_VALUE"""),44748)</f>
        <v>44748</v>
      </c>
      <c r="C3376" t="str">
        <f ca="1">IFERROR(__xludf.DUMMYFUNCTION("""COMPUTED_VALUE"""),"ООО ""ЧИСТЫЙ ГОРОД-ОМСК"" 127-РДО от 01.01.2022")</f>
        <v>ООО "ЧИСТЫЙ ГОРОД-ОМСК" 127-РДО от 01.01.2022</v>
      </c>
      <c r="D33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6" t="str">
        <f ca="1">IFERROR(__xludf.DUMMYFUNCTION("""COMPUTED_VALUE"""),"Новый")</f>
        <v>Новый</v>
      </c>
      <c r="G3376" s="68"/>
      <c r="K3376" s="68"/>
    </row>
    <row r="3377" spans="1:11" ht="12.75">
      <c r="A3377" s="69">
        <f ca="1">IFERROR(__xludf.DUMMYFUNCTION("""COMPUTED_VALUE"""),101258)</f>
        <v>101258</v>
      </c>
      <c r="B3377" s="4">
        <f ca="1">IFERROR(__xludf.DUMMYFUNCTION("""COMPUTED_VALUE"""),44748)</f>
        <v>44748</v>
      </c>
      <c r="C3377" t="str">
        <f ca="1">IFERROR(__xludf.DUMMYFUNCTION("""COMPUTED_VALUE"""),"ООО ""ЧИСТЫЙ ГОРОД-ОМСК"" 127-РДО от 01.01.2022")</f>
        <v>ООО "ЧИСТЫЙ ГОРОД-ОМСК" 127-РДО от 01.01.2022</v>
      </c>
      <c r="D33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7" t="str">
        <f ca="1">IFERROR(__xludf.DUMMYFUNCTION("""COMPUTED_VALUE"""),"Новый")</f>
        <v>Новый</v>
      </c>
      <c r="G3377" s="68"/>
      <c r="K3377" s="68"/>
    </row>
    <row r="3378" spans="1:11" ht="12.75">
      <c r="A3378" s="69">
        <f ca="1">IFERROR(__xludf.DUMMYFUNCTION("""COMPUTED_VALUE"""),101259)</f>
        <v>101259</v>
      </c>
      <c r="B3378" s="4">
        <f ca="1">IFERROR(__xludf.DUMMYFUNCTION("""COMPUTED_VALUE"""),44748)</f>
        <v>44748</v>
      </c>
      <c r="C3378" t="str">
        <f ca="1">IFERROR(__xludf.DUMMYFUNCTION("""COMPUTED_VALUE"""),"ООО ""ЧИСТЫЙ ГОРОД-ОМСК"" 127-РДО от 01.01.2022")</f>
        <v>ООО "ЧИСТЫЙ ГОРОД-ОМСК" 127-РДО от 01.01.2022</v>
      </c>
      <c r="D33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8" t="str">
        <f ca="1">IFERROR(__xludf.DUMMYFUNCTION("""COMPUTED_VALUE"""),"Новый")</f>
        <v>Новый</v>
      </c>
      <c r="G3378" s="68"/>
      <c r="K3378" s="68"/>
    </row>
    <row r="3379" spans="1:11" ht="12.75">
      <c r="A3379" s="69">
        <f ca="1">IFERROR(__xludf.DUMMYFUNCTION("""COMPUTED_VALUE"""),101260)</f>
        <v>101260</v>
      </c>
      <c r="B3379" s="4">
        <f ca="1">IFERROR(__xludf.DUMMYFUNCTION("""COMPUTED_VALUE"""),44748)</f>
        <v>44748</v>
      </c>
      <c r="C3379" t="str">
        <f ca="1">IFERROR(__xludf.DUMMYFUNCTION("""COMPUTED_VALUE"""),"ООО ""ЧИСТЫЙ ГОРОД-ОМСК"" 127-РДО от 01.01.2022")</f>
        <v>ООО "ЧИСТЫЙ ГОРОД-ОМСК" 127-РДО от 01.01.2022</v>
      </c>
      <c r="D33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79" t="str">
        <f ca="1">IFERROR(__xludf.DUMMYFUNCTION("""COMPUTED_VALUE"""),"Новый")</f>
        <v>Новый</v>
      </c>
      <c r="G3379" s="68"/>
      <c r="K3379" s="68"/>
    </row>
    <row r="3380" spans="1:11" ht="12.75">
      <c r="A3380" s="69">
        <f ca="1">IFERROR(__xludf.DUMMYFUNCTION("""COMPUTED_VALUE"""),101261)</f>
        <v>101261</v>
      </c>
      <c r="B3380" s="4">
        <f ca="1">IFERROR(__xludf.DUMMYFUNCTION("""COMPUTED_VALUE"""),44748)</f>
        <v>44748</v>
      </c>
      <c r="C3380" t="str">
        <f ca="1">IFERROR(__xludf.DUMMYFUNCTION("""COMPUTED_VALUE"""),"ООО ""ЧИСТЫЙ ГОРОД-ОМСК"" 127-РДО от 01.01.2022")</f>
        <v>ООО "ЧИСТЫЙ ГОРОД-ОМСК" 127-РДО от 01.01.2022</v>
      </c>
      <c r="D33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0" t="str">
        <f ca="1">IFERROR(__xludf.DUMMYFUNCTION("""COMPUTED_VALUE"""),"Новый")</f>
        <v>Новый</v>
      </c>
      <c r="G3380" s="68"/>
      <c r="K3380" s="68"/>
    </row>
    <row r="3381" spans="1:11" ht="12.75">
      <c r="A3381" s="69">
        <f ca="1">IFERROR(__xludf.DUMMYFUNCTION("""COMPUTED_VALUE"""),101262)</f>
        <v>101262</v>
      </c>
      <c r="B3381" s="4">
        <f ca="1">IFERROR(__xludf.DUMMYFUNCTION("""COMPUTED_VALUE"""),44748)</f>
        <v>44748</v>
      </c>
      <c r="C3381" t="str">
        <f ca="1">IFERROR(__xludf.DUMMYFUNCTION("""COMPUTED_VALUE"""),"ООО ""ЧИСТЫЙ ГОРОД-ОМСК"" 127-РДО от 01.01.2022")</f>
        <v>ООО "ЧИСТЫЙ ГОРОД-ОМСК" 127-РДО от 01.01.2022</v>
      </c>
      <c r="D33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1" t="str">
        <f ca="1">IFERROR(__xludf.DUMMYFUNCTION("""COMPUTED_VALUE"""),"Новый")</f>
        <v>Новый</v>
      </c>
      <c r="G3381" s="68"/>
      <c r="K3381" s="68"/>
    </row>
    <row r="3382" spans="1:11" ht="12.75">
      <c r="A3382" s="69">
        <f ca="1">IFERROR(__xludf.DUMMYFUNCTION("""COMPUTED_VALUE"""),101263)</f>
        <v>101263</v>
      </c>
      <c r="B3382" s="4">
        <f ca="1">IFERROR(__xludf.DUMMYFUNCTION("""COMPUTED_VALUE"""),44748)</f>
        <v>44748</v>
      </c>
      <c r="C3382" t="str">
        <f ca="1">IFERROR(__xludf.DUMMYFUNCTION("""COMPUTED_VALUE"""),"ООО ""ЧИСТЫЙ ГОРОД-ОМСК"" 127-РДО от 01.01.2022")</f>
        <v>ООО "ЧИСТЫЙ ГОРОД-ОМСК" 127-РДО от 01.01.2022</v>
      </c>
      <c r="D33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2" t="str">
        <f ca="1">IFERROR(__xludf.DUMMYFUNCTION("""COMPUTED_VALUE"""),"Новый")</f>
        <v>Новый</v>
      </c>
      <c r="G3382" s="68"/>
      <c r="K3382" s="68"/>
    </row>
    <row r="3383" spans="1:11" ht="12.75">
      <c r="A3383" s="69">
        <f ca="1">IFERROR(__xludf.DUMMYFUNCTION("""COMPUTED_VALUE"""),101264)</f>
        <v>101264</v>
      </c>
      <c r="B3383" s="4">
        <f ca="1">IFERROR(__xludf.DUMMYFUNCTION("""COMPUTED_VALUE"""),44748)</f>
        <v>44748</v>
      </c>
      <c r="C3383" t="str">
        <f ca="1">IFERROR(__xludf.DUMMYFUNCTION("""COMPUTED_VALUE"""),"ООО ""ЧИСТЫЙ ГОРОД-ОМСК"" 127-РДО от 01.01.2022")</f>
        <v>ООО "ЧИСТЫЙ ГОРОД-ОМСК" 127-РДО от 01.01.2022</v>
      </c>
      <c r="D33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3" t="str">
        <f ca="1">IFERROR(__xludf.DUMMYFUNCTION("""COMPUTED_VALUE"""),"Новый")</f>
        <v>Новый</v>
      </c>
      <c r="G3383" s="68"/>
      <c r="K3383" s="68"/>
    </row>
    <row r="3384" spans="1:11" ht="12.75">
      <c r="A3384" s="69">
        <f ca="1">IFERROR(__xludf.DUMMYFUNCTION("""COMPUTED_VALUE"""),101265)</f>
        <v>101265</v>
      </c>
      <c r="B3384" s="4">
        <f ca="1">IFERROR(__xludf.DUMMYFUNCTION("""COMPUTED_VALUE"""),44748)</f>
        <v>44748</v>
      </c>
      <c r="C3384" t="str">
        <f ca="1">IFERROR(__xludf.DUMMYFUNCTION("""COMPUTED_VALUE"""),"ООО ""ЧИСТЫЙ ГОРОД-ОМСК"" 127-РДО от 01.01.2022")</f>
        <v>ООО "ЧИСТЫЙ ГОРОД-ОМСК" 127-РДО от 01.01.2022</v>
      </c>
      <c r="D33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4" t="str">
        <f ca="1">IFERROR(__xludf.DUMMYFUNCTION("""COMPUTED_VALUE"""),"Новый")</f>
        <v>Новый</v>
      </c>
      <c r="G3384" s="68"/>
      <c r="K3384" s="68"/>
    </row>
    <row r="3385" spans="1:11" ht="12.75">
      <c r="A3385" s="69">
        <f ca="1">IFERROR(__xludf.DUMMYFUNCTION("""COMPUTED_VALUE"""),101268)</f>
        <v>101268</v>
      </c>
      <c r="B3385" s="4">
        <f ca="1">IFERROR(__xludf.DUMMYFUNCTION("""COMPUTED_VALUE"""),44748)</f>
        <v>44748</v>
      </c>
      <c r="C3385" t="str">
        <f ca="1">IFERROR(__xludf.DUMMYFUNCTION("""COMPUTED_VALUE"""),"ООО ""ЧИСТЫЙ ГОРОД-ОМСК"" 127-РДО от 01.01.2022")</f>
        <v>ООО "ЧИСТЫЙ ГОРОД-ОМСК" 127-РДО от 01.01.2022</v>
      </c>
      <c r="D33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5" t="str">
        <f ca="1">IFERROR(__xludf.DUMMYFUNCTION("""COMPUTED_VALUE"""),"Новый")</f>
        <v>Новый</v>
      </c>
      <c r="G3385" s="68"/>
      <c r="K3385" s="68"/>
    </row>
    <row r="3386" spans="1:11" ht="12.75">
      <c r="A3386" s="69">
        <f ca="1">IFERROR(__xludf.DUMMYFUNCTION("""COMPUTED_VALUE"""),101269)</f>
        <v>101269</v>
      </c>
      <c r="B3386" s="4">
        <f ca="1">IFERROR(__xludf.DUMMYFUNCTION("""COMPUTED_VALUE"""),44748)</f>
        <v>44748</v>
      </c>
      <c r="C3386" t="str">
        <f ca="1">IFERROR(__xludf.DUMMYFUNCTION("""COMPUTED_VALUE"""),"ООО ""ЧИСТЫЙ ГОРОД-ОМСК"" 127-РДО от 01.01.2022")</f>
        <v>ООО "ЧИСТЫЙ ГОРОД-ОМСК" 127-РДО от 01.01.2022</v>
      </c>
      <c r="D33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6" t="str">
        <f ca="1">IFERROR(__xludf.DUMMYFUNCTION("""COMPUTED_VALUE"""),"Новый")</f>
        <v>Новый</v>
      </c>
      <c r="G3386" s="68"/>
      <c r="K3386" s="68"/>
    </row>
    <row r="3387" spans="1:11" ht="12.75">
      <c r="A3387" s="69">
        <f ca="1">IFERROR(__xludf.DUMMYFUNCTION("""COMPUTED_VALUE"""),101270)</f>
        <v>101270</v>
      </c>
      <c r="B3387" s="4">
        <f ca="1">IFERROR(__xludf.DUMMYFUNCTION("""COMPUTED_VALUE"""),44748)</f>
        <v>44748</v>
      </c>
      <c r="C3387" t="str">
        <f ca="1">IFERROR(__xludf.DUMMYFUNCTION("""COMPUTED_VALUE"""),"ООО ""ЧИСТЫЙ ГОРОД-ОМСК"" 127-РДО от 01.01.2022")</f>
        <v>ООО "ЧИСТЫЙ ГОРОД-ОМСК" 127-РДО от 01.01.2022</v>
      </c>
      <c r="D33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7" t="str">
        <f ca="1">IFERROR(__xludf.DUMMYFUNCTION("""COMPUTED_VALUE"""),"Новый")</f>
        <v>Новый</v>
      </c>
      <c r="G3387" s="68"/>
      <c r="K3387" s="68"/>
    </row>
    <row r="3388" spans="1:11" ht="12.75">
      <c r="A3388" s="69">
        <f ca="1">IFERROR(__xludf.DUMMYFUNCTION("""COMPUTED_VALUE"""),101271)</f>
        <v>101271</v>
      </c>
      <c r="B3388" s="4">
        <f ca="1">IFERROR(__xludf.DUMMYFUNCTION("""COMPUTED_VALUE"""),44748)</f>
        <v>44748</v>
      </c>
      <c r="C3388" t="str">
        <f ca="1">IFERROR(__xludf.DUMMYFUNCTION("""COMPUTED_VALUE"""),"ООО ""ЧИСТЫЙ ГОРОД-ОМСК"" 127-РДО от 01.01.2022")</f>
        <v>ООО "ЧИСТЫЙ ГОРОД-ОМСК" 127-РДО от 01.01.2022</v>
      </c>
      <c r="D33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8" t="str">
        <f ca="1">IFERROR(__xludf.DUMMYFUNCTION("""COMPUTED_VALUE"""),"Новый")</f>
        <v>Новый</v>
      </c>
      <c r="G3388" s="68"/>
      <c r="K3388" s="68"/>
    </row>
    <row r="3389" spans="1:11" ht="12.75">
      <c r="A3389" s="69">
        <f ca="1">IFERROR(__xludf.DUMMYFUNCTION("""COMPUTED_VALUE"""),101272)</f>
        <v>101272</v>
      </c>
      <c r="B3389" s="4">
        <f ca="1">IFERROR(__xludf.DUMMYFUNCTION("""COMPUTED_VALUE"""),44748)</f>
        <v>44748</v>
      </c>
      <c r="C3389" t="str">
        <f ca="1">IFERROR(__xludf.DUMMYFUNCTION("""COMPUTED_VALUE"""),"ООО ""ЧИСТЫЙ ГОРОД-ОМСК"" 127-РДО от 01.01.2022")</f>
        <v>ООО "ЧИСТЫЙ ГОРОД-ОМСК" 127-РДО от 01.01.2022</v>
      </c>
      <c r="D33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89" t="str">
        <f ca="1">IFERROR(__xludf.DUMMYFUNCTION("""COMPUTED_VALUE"""),"Новый")</f>
        <v>Новый</v>
      </c>
      <c r="G3389" s="68"/>
      <c r="K3389" s="68"/>
    </row>
    <row r="3390" spans="1:11" ht="12.75">
      <c r="A3390" s="69">
        <f ca="1">IFERROR(__xludf.DUMMYFUNCTION("""COMPUTED_VALUE"""),101273)</f>
        <v>101273</v>
      </c>
      <c r="B3390" s="4">
        <f ca="1">IFERROR(__xludf.DUMMYFUNCTION("""COMPUTED_VALUE"""),44748)</f>
        <v>44748</v>
      </c>
      <c r="C3390" t="str">
        <f ca="1">IFERROR(__xludf.DUMMYFUNCTION("""COMPUTED_VALUE"""),"ООО ""ЧИСТЫЙ ГОРОД-ОМСК"" 127-РДО от 01.01.2022")</f>
        <v>ООО "ЧИСТЫЙ ГОРОД-ОМСК" 127-РДО от 01.01.2022</v>
      </c>
      <c r="D33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0" t="str">
        <f ca="1">IFERROR(__xludf.DUMMYFUNCTION("""COMPUTED_VALUE"""),"Новый")</f>
        <v>Новый</v>
      </c>
      <c r="G3390" s="68"/>
      <c r="K3390" s="68"/>
    </row>
    <row r="3391" spans="1:11" ht="12.75">
      <c r="A3391" s="69">
        <f ca="1">IFERROR(__xludf.DUMMYFUNCTION("""COMPUTED_VALUE"""),101274)</f>
        <v>101274</v>
      </c>
      <c r="B3391" s="4">
        <f ca="1">IFERROR(__xludf.DUMMYFUNCTION("""COMPUTED_VALUE"""),44748)</f>
        <v>44748</v>
      </c>
      <c r="C3391" t="str">
        <f ca="1">IFERROR(__xludf.DUMMYFUNCTION("""COMPUTED_VALUE"""),"ООО ""ЧИСТЫЙ ГОРОД-ОМСК"" 127-РДО от 01.01.2022")</f>
        <v>ООО "ЧИСТЫЙ ГОРОД-ОМСК" 127-РДО от 01.01.2022</v>
      </c>
      <c r="D33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1" t="str">
        <f ca="1">IFERROR(__xludf.DUMMYFUNCTION("""COMPUTED_VALUE"""),"Новый")</f>
        <v>Новый</v>
      </c>
      <c r="G3391" s="68"/>
      <c r="K3391" s="68"/>
    </row>
    <row r="3392" spans="1:11" ht="12.75">
      <c r="A3392" s="69">
        <f ca="1">IFERROR(__xludf.DUMMYFUNCTION("""COMPUTED_VALUE"""),101275)</f>
        <v>101275</v>
      </c>
      <c r="B3392" s="4">
        <f ca="1">IFERROR(__xludf.DUMMYFUNCTION("""COMPUTED_VALUE"""),44748)</f>
        <v>44748</v>
      </c>
      <c r="C3392" t="str">
        <f ca="1">IFERROR(__xludf.DUMMYFUNCTION("""COMPUTED_VALUE"""),"ООО ""ЧИСТЫЙ ГОРОД-ОМСК"" 127-РДО от 01.01.2022")</f>
        <v>ООО "ЧИСТЫЙ ГОРОД-ОМСК" 127-РДО от 01.01.2022</v>
      </c>
      <c r="D33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2" t="str">
        <f ca="1">IFERROR(__xludf.DUMMYFUNCTION("""COMPUTED_VALUE"""),"Новый")</f>
        <v>Новый</v>
      </c>
      <c r="G3392" s="68"/>
      <c r="K3392" s="68"/>
    </row>
    <row r="3393" spans="1:11" ht="12.75">
      <c r="A3393" s="69">
        <f ca="1">IFERROR(__xludf.DUMMYFUNCTION("""COMPUTED_VALUE"""),101276)</f>
        <v>101276</v>
      </c>
      <c r="B3393" s="4">
        <f ca="1">IFERROR(__xludf.DUMMYFUNCTION("""COMPUTED_VALUE"""),44748)</f>
        <v>44748</v>
      </c>
      <c r="C3393" t="str">
        <f ca="1">IFERROR(__xludf.DUMMYFUNCTION("""COMPUTED_VALUE"""),"ООО ""ЧИСТЫЙ ГОРОД-ОМСК"" 127-РДО от 01.01.2022")</f>
        <v>ООО "ЧИСТЫЙ ГОРОД-ОМСК" 127-РДО от 01.01.2022</v>
      </c>
      <c r="D33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3" t="str">
        <f ca="1">IFERROR(__xludf.DUMMYFUNCTION("""COMPUTED_VALUE"""),"Новый")</f>
        <v>Новый</v>
      </c>
      <c r="G3393" s="68"/>
      <c r="K3393" s="68"/>
    </row>
    <row r="3394" spans="1:11" ht="12.75">
      <c r="A3394" s="69">
        <f ca="1">IFERROR(__xludf.DUMMYFUNCTION("""COMPUTED_VALUE"""),101277)</f>
        <v>101277</v>
      </c>
      <c r="B3394" s="4">
        <f ca="1">IFERROR(__xludf.DUMMYFUNCTION("""COMPUTED_VALUE"""),44748)</f>
        <v>44748</v>
      </c>
      <c r="C3394" t="str">
        <f ca="1">IFERROR(__xludf.DUMMYFUNCTION("""COMPUTED_VALUE"""),"ООО ""ЧИСТЫЙ ГОРОД-ОМСК"" 127-РДО от 01.01.2022")</f>
        <v>ООО "ЧИСТЫЙ ГОРОД-ОМСК" 127-РДО от 01.01.2022</v>
      </c>
      <c r="D33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4" t="str">
        <f ca="1">IFERROR(__xludf.DUMMYFUNCTION("""COMPUTED_VALUE"""),"Новый")</f>
        <v>Новый</v>
      </c>
      <c r="G3394" s="68"/>
      <c r="K3394" s="68"/>
    </row>
    <row r="3395" spans="1:11" ht="12.75">
      <c r="A3395" s="69">
        <f ca="1">IFERROR(__xludf.DUMMYFUNCTION("""COMPUTED_VALUE"""),101278)</f>
        <v>101278</v>
      </c>
      <c r="B3395" s="4">
        <f ca="1">IFERROR(__xludf.DUMMYFUNCTION("""COMPUTED_VALUE"""),44748)</f>
        <v>44748</v>
      </c>
      <c r="C3395" t="str">
        <f ca="1">IFERROR(__xludf.DUMMYFUNCTION("""COMPUTED_VALUE"""),"ООО ""ЧИСТЫЙ ГОРОД-ОМСК"" 127-РДО от 01.01.2022")</f>
        <v>ООО "ЧИСТЫЙ ГОРОД-ОМСК" 127-РДО от 01.01.2022</v>
      </c>
      <c r="D33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5" t="str">
        <f ca="1">IFERROR(__xludf.DUMMYFUNCTION("""COMPUTED_VALUE"""),"Новый")</f>
        <v>Новый</v>
      </c>
      <c r="G3395" s="68"/>
      <c r="K3395" s="68"/>
    </row>
    <row r="3396" spans="1:11" ht="12.75">
      <c r="A3396" s="69">
        <f ca="1">IFERROR(__xludf.DUMMYFUNCTION("""COMPUTED_VALUE"""),101279)</f>
        <v>101279</v>
      </c>
      <c r="B3396" s="4">
        <f ca="1">IFERROR(__xludf.DUMMYFUNCTION("""COMPUTED_VALUE"""),44748)</f>
        <v>44748</v>
      </c>
      <c r="C3396" t="str">
        <f ca="1">IFERROR(__xludf.DUMMYFUNCTION("""COMPUTED_VALUE"""),"ООО ""ЧИСТЫЙ ГОРОД-ОМСК"" 127-РДО от 01.01.2022")</f>
        <v>ООО "ЧИСТЫЙ ГОРОД-ОМСК" 127-РДО от 01.01.2022</v>
      </c>
      <c r="D33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6" t="str">
        <f ca="1">IFERROR(__xludf.DUMMYFUNCTION("""COMPUTED_VALUE"""),"Новый")</f>
        <v>Новый</v>
      </c>
      <c r="G3396" s="68"/>
      <c r="K3396" s="68"/>
    </row>
    <row r="3397" spans="1:11" ht="12.75">
      <c r="A3397" s="69">
        <f ca="1">IFERROR(__xludf.DUMMYFUNCTION("""COMPUTED_VALUE"""),101280)</f>
        <v>101280</v>
      </c>
      <c r="B3397" s="4">
        <f ca="1">IFERROR(__xludf.DUMMYFUNCTION("""COMPUTED_VALUE"""),44748)</f>
        <v>44748</v>
      </c>
      <c r="C3397" t="str">
        <f ca="1">IFERROR(__xludf.DUMMYFUNCTION("""COMPUTED_VALUE"""),"ООО ""ЧИСТЫЙ ГОРОД-ОМСК"" 127-РДО от 01.01.2022")</f>
        <v>ООО "ЧИСТЫЙ ГОРОД-ОМСК" 127-РДО от 01.01.2022</v>
      </c>
      <c r="D33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7" t="str">
        <f ca="1">IFERROR(__xludf.DUMMYFUNCTION("""COMPUTED_VALUE"""),"Новый")</f>
        <v>Новый</v>
      </c>
      <c r="G3397" s="68"/>
      <c r="K3397" s="68"/>
    </row>
    <row r="3398" spans="1:11" ht="12.75">
      <c r="A3398" s="69">
        <f ca="1">IFERROR(__xludf.DUMMYFUNCTION("""COMPUTED_VALUE"""),101281)</f>
        <v>101281</v>
      </c>
      <c r="B3398" s="4">
        <f ca="1">IFERROR(__xludf.DUMMYFUNCTION("""COMPUTED_VALUE"""),44748)</f>
        <v>44748</v>
      </c>
      <c r="C3398" t="str">
        <f ca="1">IFERROR(__xludf.DUMMYFUNCTION("""COMPUTED_VALUE"""),"ООО ""ЧИСТЫЙ ГОРОД-ОМСК"" 127-РДО от 01.01.2022")</f>
        <v>ООО "ЧИСТЫЙ ГОРОД-ОМСК" 127-РДО от 01.01.2022</v>
      </c>
      <c r="D33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8" t="str">
        <f ca="1">IFERROR(__xludf.DUMMYFUNCTION("""COMPUTED_VALUE"""),"Новый")</f>
        <v>Новый</v>
      </c>
      <c r="G3398" s="68"/>
      <c r="K3398" s="68"/>
    </row>
    <row r="3399" spans="1:11" ht="12.75">
      <c r="A3399" s="69">
        <f ca="1">IFERROR(__xludf.DUMMYFUNCTION("""COMPUTED_VALUE"""),101282)</f>
        <v>101282</v>
      </c>
      <c r="B3399" s="4">
        <f ca="1">IFERROR(__xludf.DUMMYFUNCTION("""COMPUTED_VALUE"""),44748)</f>
        <v>44748</v>
      </c>
      <c r="C3399" t="str">
        <f ca="1">IFERROR(__xludf.DUMMYFUNCTION("""COMPUTED_VALUE"""),"ООО ""ЧИСТЫЙ ГОРОД-ОМСК"" 127-РДО от 01.01.2022")</f>
        <v>ООО "ЧИСТЫЙ ГОРОД-ОМСК" 127-РДО от 01.01.2022</v>
      </c>
      <c r="D33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399" t="str">
        <f ca="1">IFERROR(__xludf.DUMMYFUNCTION("""COMPUTED_VALUE"""),"Новый")</f>
        <v>Новый</v>
      </c>
      <c r="G3399" s="68"/>
      <c r="K3399" s="68"/>
    </row>
    <row r="3400" spans="1:11" ht="12.75">
      <c r="A3400" s="69">
        <f ca="1">IFERROR(__xludf.DUMMYFUNCTION("""COMPUTED_VALUE"""),101283)</f>
        <v>101283</v>
      </c>
      <c r="B3400" s="4">
        <f ca="1">IFERROR(__xludf.DUMMYFUNCTION("""COMPUTED_VALUE"""),44748)</f>
        <v>44748</v>
      </c>
      <c r="C3400" t="str">
        <f ca="1">IFERROR(__xludf.DUMMYFUNCTION("""COMPUTED_VALUE"""),"ООО ""ЧИСТЫЙ ГОРОД-ОМСК"" 127-РДО от 01.01.2022")</f>
        <v>ООО "ЧИСТЫЙ ГОРОД-ОМСК" 127-РДО от 01.01.2022</v>
      </c>
      <c r="D34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0" t="str">
        <f ca="1">IFERROR(__xludf.DUMMYFUNCTION("""COMPUTED_VALUE"""),"Новый")</f>
        <v>Новый</v>
      </c>
      <c r="G3400" s="68"/>
      <c r="K3400" s="68"/>
    </row>
    <row r="3401" spans="1:11" ht="12.75">
      <c r="A3401" s="69">
        <f ca="1">IFERROR(__xludf.DUMMYFUNCTION("""COMPUTED_VALUE"""),101346)</f>
        <v>101346</v>
      </c>
      <c r="B3401" s="4">
        <f ca="1">IFERROR(__xludf.DUMMYFUNCTION("""COMPUTED_VALUE"""),44749)</f>
        <v>44749</v>
      </c>
      <c r="C3401" t="str">
        <f ca="1">IFERROR(__xludf.DUMMYFUNCTION("""COMPUTED_VALUE"""),"ООО ""ЧИСТЫЙ ГОРОД-ОМСК"" 127-РДО от 01.01.2022")</f>
        <v>ООО "ЧИСТЫЙ ГОРОД-ОМСК" 127-РДО от 01.01.2022</v>
      </c>
      <c r="D34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1" t="str">
        <f ca="1">IFERROR(__xludf.DUMMYFUNCTION("""COMPUTED_VALUE"""),"Новый")</f>
        <v>Новый</v>
      </c>
      <c r="G3401" s="68"/>
      <c r="K3401" s="68"/>
    </row>
    <row r="3402" spans="1:11" ht="12.75">
      <c r="A3402" s="69">
        <f ca="1">IFERROR(__xludf.DUMMYFUNCTION("""COMPUTED_VALUE"""),101347)</f>
        <v>101347</v>
      </c>
      <c r="B3402" s="4">
        <f ca="1">IFERROR(__xludf.DUMMYFUNCTION("""COMPUTED_VALUE"""),44749)</f>
        <v>44749</v>
      </c>
      <c r="C3402" t="str">
        <f ca="1">IFERROR(__xludf.DUMMYFUNCTION("""COMPUTED_VALUE"""),"ООО ""ЧИСТЫЙ ГОРОД-ОМСК"" 127-РДО от 01.01.2022")</f>
        <v>ООО "ЧИСТЫЙ ГОРОД-ОМСК" 127-РДО от 01.01.2022</v>
      </c>
      <c r="D34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2" t="str">
        <f ca="1">IFERROR(__xludf.DUMMYFUNCTION("""COMPUTED_VALUE"""),"Новый")</f>
        <v>Новый</v>
      </c>
      <c r="G3402" s="68"/>
      <c r="K3402" s="68"/>
    </row>
    <row r="3403" spans="1:11" ht="12.75">
      <c r="A3403" s="69">
        <f ca="1">IFERROR(__xludf.DUMMYFUNCTION("""COMPUTED_VALUE"""),101348)</f>
        <v>101348</v>
      </c>
      <c r="B3403" s="4">
        <f ca="1">IFERROR(__xludf.DUMMYFUNCTION("""COMPUTED_VALUE"""),44749)</f>
        <v>44749</v>
      </c>
      <c r="C3403" t="str">
        <f ca="1">IFERROR(__xludf.DUMMYFUNCTION("""COMPUTED_VALUE"""),"ООО ""ЧИСТЫЙ ГОРОД-ОМСК"" 127-РДО от 01.01.2022")</f>
        <v>ООО "ЧИСТЫЙ ГОРОД-ОМСК" 127-РДО от 01.01.2022</v>
      </c>
      <c r="D34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3" t="str">
        <f ca="1">IFERROR(__xludf.DUMMYFUNCTION("""COMPUTED_VALUE"""),"Новый")</f>
        <v>Новый</v>
      </c>
      <c r="G3403" s="68"/>
      <c r="K3403" s="68"/>
    </row>
    <row r="3404" spans="1:11" ht="12.75">
      <c r="A3404" s="69">
        <f ca="1">IFERROR(__xludf.DUMMYFUNCTION("""COMPUTED_VALUE"""),101349)</f>
        <v>101349</v>
      </c>
      <c r="B3404" s="4">
        <f ca="1">IFERROR(__xludf.DUMMYFUNCTION("""COMPUTED_VALUE"""),44749)</f>
        <v>44749</v>
      </c>
      <c r="C3404" t="str">
        <f ca="1">IFERROR(__xludf.DUMMYFUNCTION("""COMPUTED_VALUE"""),"ООО ""ЧИСТЫЙ ГОРОД-ОМСК"" 127-РДО от 01.01.2022")</f>
        <v>ООО "ЧИСТЫЙ ГОРОД-ОМСК" 127-РДО от 01.01.2022</v>
      </c>
      <c r="D34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4" t="str">
        <f ca="1">IFERROR(__xludf.DUMMYFUNCTION("""COMPUTED_VALUE"""),"Новый")</f>
        <v>Новый</v>
      </c>
      <c r="G3404" s="68"/>
      <c r="K3404" s="68"/>
    </row>
    <row r="3405" spans="1:11" ht="12.75">
      <c r="A3405" s="69">
        <f ca="1">IFERROR(__xludf.DUMMYFUNCTION("""COMPUTED_VALUE"""),101350)</f>
        <v>101350</v>
      </c>
      <c r="B3405" s="4">
        <f ca="1">IFERROR(__xludf.DUMMYFUNCTION("""COMPUTED_VALUE"""),44749)</f>
        <v>44749</v>
      </c>
      <c r="C3405" t="str">
        <f ca="1">IFERROR(__xludf.DUMMYFUNCTION("""COMPUTED_VALUE"""),"ООО ""ЧИСТЫЙ ГОРОД-ОМСК"" 127-РДО от 01.01.2022")</f>
        <v>ООО "ЧИСТЫЙ ГОРОД-ОМСК" 127-РДО от 01.01.2022</v>
      </c>
      <c r="D34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5" t="str">
        <f ca="1">IFERROR(__xludf.DUMMYFUNCTION("""COMPUTED_VALUE"""),"Новый")</f>
        <v>Новый</v>
      </c>
      <c r="G3405" s="68"/>
      <c r="K3405" s="68"/>
    </row>
    <row r="3406" spans="1:11" ht="12.75">
      <c r="A3406" s="69">
        <f ca="1">IFERROR(__xludf.DUMMYFUNCTION("""COMPUTED_VALUE"""),101351)</f>
        <v>101351</v>
      </c>
      <c r="B3406" s="4">
        <f ca="1">IFERROR(__xludf.DUMMYFUNCTION("""COMPUTED_VALUE"""),44749)</f>
        <v>44749</v>
      </c>
      <c r="C3406" t="str">
        <f ca="1">IFERROR(__xludf.DUMMYFUNCTION("""COMPUTED_VALUE"""),"ООО ""ЧИСТЫЙ ГОРОД-ОМСК"" 127-РДО от 01.01.2022")</f>
        <v>ООО "ЧИСТЫЙ ГОРОД-ОМСК" 127-РДО от 01.01.2022</v>
      </c>
      <c r="D34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6" t="str">
        <f ca="1">IFERROR(__xludf.DUMMYFUNCTION("""COMPUTED_VALUE"""),"Новый")</f>
        <v>Новый</v>
      </c>
      <c r="G3406" s="68"/>
      <c r="K3406" s="68"/>
    </row>
    <row r="3407" spans="1:11" ht="12.75">
      <c r="A3407" s="69">
        <f ca="1">IFERROR(__xludf.DUMMYFUNCTION("""COMPUTED_VALUE"""),101352)</f>
        <v>101352</v>
      </c>
      <c r="B3407" s="4">
        <f ca="1">IFERROR(__xludf.DUMMYFUNCTION("""COMPUTED_VALUE"""),44749)</f>
        <v>44749</v>
      </c>
      <c r="C3407" t="str">
        <f ca="1">IFERROR(__xludf.DUMMYFUNCTION("""COMPUTED_VALUE"""),"ООО ""ЧИСТЫЙ ГОРОД-ОМСК"" 127-РДО от 01.01.2022")</f>
        <v>ООО "ЧИСТЫЙ ГОРОД-ОМСК" 127-РДО от 01.01.2022</v>
      </c>
      <c r="D34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7" t="str">
        <f ca="1">IFERROR(__xludf.DUMMYFUNCTION("""COMPUTED_VALUE"""),"Новый")</f>
        <v>Новый</v>
      </c>
      <c r="G3407" s="68"/>
      <c r="K3407" s="68"/>
    </row>
    <row r="3408" spans="1:11" ht="12.75">
      <c r="A3408" s="69">
        <f ca="1">IFERROR(__xludf.DUMMYFUNCTION("""COMPUTED_VALUE"""),101353)</f>
        <v>101353</v>
      </c>
      <c r="B3408" s="4">
        <f ca="1">IFERROR(__xludf.DUMMYFUNCTION("""COMPUTED_VALUE"""),44749)</f>
        <v>44749</v>
      </c>
      <c r="C3408" t="str">
        <f ca="1">IFERROR(__xludf.DUMMYFUNCTION("""COMPUTED_VALUE"""),"ООО ""ЧИСТЫЙ ГОРОД-ОМСК"" 127-РДО от 01.01.2022")</f>
        <v>ООО "ЧИСТЫЙ ГОРОД-ОМСК" 127-РДО от 01.01.2022</v>
      </c>
      <c r="D34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8" t="str">
        <f ca="1">IFERROR(__xludf.DUMMYFUNCTION("""COMPUTED_VALUE"""),"Новый")</f>
        <v>Новый</v>
      </c>
      <c r="G3408" s="68"/>
      <c r="K3408" s="68"/>
    </row>
    <row r="3409" spans="1:11" ht="12.75">
      <c r="A3409" s="69">
        <f ca="1">IFERROR(__xludf.DUMMYFUNCTION("""COMPUTED_VALUE"""),101354)</f>
        <v>101354</v>
      </c>
      <c r="B3409" s="4">
        <f ca="1">IFERROR(__xludf.DUMMYFUNCTION("""COMPUTED_VALUE"""),44749)</f>
        <v>44749</v>
      </c>
      <c r="C3409" t="str">
        <f ca="1">IFERROR(__xludf.DUMMYFUNCTION("""COMPUTED_VALUE"""),"ООО ""ЧИСТЫЙ ГОРОД-ОМСК"" 127-РДО от 01.01.2022")</f>
        <v>ООО "ЧИСТЫЙ ГОРОД-ОМСК" 127-РДО от 01.01.2022</v>
      </c>
      <c r="D34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09" t="str">
        <f ca="1">IFERROR(__xludf.DUMMYFUNCTION("""COMPUTED_VALUE"""),"Новый")</f>
        <v>Новый</v>
      </c>
      <c r="G3409" s="68"/>
      <c r="K3409" s="68"/>
    </row>
    <row r="3410" spans="1:11" ht="12.75">
      <c r="A3410" s="69">
        <f ca="1">IFERROR(__xludf.DUMMYFUNCTION("""COMPUTED_VALUE"""),101355)</f>
        <v>101355</v>
      </c>
      <c r="B3410" s="4">
        <f ca="1">IFERROR(__xludf.DUMMYFUNCTION("""COMPUTED_VALUE"""),44749)</f>
        <v>44749</v>
      </c>
      <c r="C3410" t="str">
        <f ca="1">IFERROR(__xludf.DUMMYFUNCTION("""COMPUTED_VALUE"""),"ООО ""ЧИСТЫЙ ГОРОД-ОМСК"" 127-РДО от 01.01.2022")</f>
        <v>ООО "ЧИСТЫЙ ГОРОД-ОМСК" 127-РДО от 01.01.2022</v>
      </c>
      <c r="D34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0" t="str">
        <f ca="1">IFERROR(__xludf.DUMMYFUNCTION("""COMPUTED_VALUE"""),"Новый")</f>
        <v>Новый</v>
      </c>
      <c r="G3410" s="68"/>
      <c r="K3410" s="68"/>
    </row>
    <row r="3411" spans="1:11" ht="12.75">
      <c r="A3411" s="69">
        <f ca="1">IFERROR(__xludf.DUMMYFUNCTION("""COMPUTED_VALUE"""),101356)</f>
        <v>101356</v>
      </c>
      <c r="B3411" s="4">
        <f ca="1">IFERROR(__xludf.DUMMYFUNCTION("""COMPUTED_VALUE"""),44749)</f>
        <v>44749</v>
      </c>
      <c r="C3411" t="str">
        <f ca="1">IFERROR(__xludf.DUMMYFUNCTION("""COMPUTED_VALUE"""),"ООО ""ЧИСТЫЙ ГОРОД-ОМСК"" 127-РДО от 01.01.2022")</f>
        <v>ООО "ЧИСТЫЙ ГОРОД-ОМСК" 127-РДО от 01.01.2022</v>
      </c>
      <c r="D34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1" t="str">
        <f ca="1">IFERROR(__xludf.DUMMYFUNCTION("""COMPUTED_VALUE"""),"Новый")</f>
        <v>Новый</v>
      </c>
      <c r="G3411" s="68"/>
      <c r="K3411" s="68"/>
    </row>
    <row r="3412" spans="1:11" ht="12.75">
      <c r="A3412" s="69">
        <f ca="1">IFERROR(__xludf.DUMMYFUNCTION("""COMPUTED_VALUE"""),101357)</f>
        <v>101357</v>
      </c>
      <c r="B3412" s="4">
        <f ca="1">IFERROR(__xludf.DUMMYFUNCTION("""COMPUTED_VALUE"""),44749)</f>
        <v>44749</v>
      </c>
      <c r="C3412" t="str">
        <f ca="1">IFERROR(__xludf.DUMMYFUNCTION("""COMPUTED_VALUE"""),"ООО ""ЧИСТЫЙ ГОРОД-ОМСК"" 127-РДО от 01.01.2022")</f>
        <v>ООО "ЧИСТЫЙ ГОРОД-ОМСК" 127-РДО от 01.01.2022</v>
      </c>
      <c r="D34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2" t="str">
        <f ca="1">IFERROR(__xludf.DUMMYFUNCTION("""COMPUTED_VALUE"""),"Новый")</f>
        <v>Новый</v>
      </c>
      <c r="G3412" s="68"/>
      <c r="K3412" s="68"/>
    </row>
    <row r="3413" spans="1:11" ht="12.75">
      <c r="A3413" s="69">
        <f ca="1">IFERROR(__xludf.DUMMYFUNCTION("""COMPUTED_VALUE"""),101358)</f>
        <v>101358</v>
      </c>
      <c r="B3413" s="4">
        <f ca="1">IFERROR(__xludf.DUMMYFUNCTION("""COMPUTED_VALUE"""),44749)</f>
        <v>44749</v>
      </c>
      <c r="C3413" t="str">
        <f ca="1">IFERROR(__xludf.DUMMYFUNCTION("""COMPUTED_VALUE"""),"ООО ""ЧИСТЫЙ ГОРОД-ОМСК"" 127-РДО от 01.01.2022")</f>
        <v>ООО "ЧИСТЫЙ ГОРОД-ОМСК" 127-РДО от 01.01.2022</v>
      </c>
      <c r="D34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3" t="str">
        <f ca="1">IFERROR(__xludf.DUMMYFUNCTION("""COMPUTED_VALUE"""),"Новый")</f>
        <v>Новый</v>
      </c>
      <c r="G3413" s="68"/>
      <c r="K3413" s="68"/>
    </row>
    <row r="3414" spans="1:11" ht="12.75">
      <c r="A3414" s="69">
        <f ca="1">IFERROR(__xludf.DUMMYFUNCTION("""COMPUTED_VALUE"""),101359)</f>
        <v>101359</v>
      </c>
      <c r="B3414" s="4">
        <f ca="1">IFERROR(__xludf.DUMMYFUNCTION("""COMPUTED_VALUE"""),44749)</f>
        <v>44749</v>
      </c>
      <c r="C3414" t="str">
        <f ca="1">IFERROR(__xludf.DUMMYFUNCTION("""COMPUTED_VALUE"""),"ООО ""ЧИСТЫЙ ГОРОД-ОМСК"" 127-РДО от 01.01.2022")</f>
        <v>ООО "ЧИСТЫЙ ГОРОД-ОМСК" 127-РДО от 01.01.2022</v>
      </c>
      <c r="D34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4" t="str">
        <f ca="1">IFERROR(__xludf.DUMMYFUNCTION("""COMPUTED_VALUE"""),"Новый")</f>
        <v>Новый</v>
      </c>
      <c r="G3414" s="68"/>
      <c r="K3414" s="68"/>
    </row>
    <row r="3415" spans="1:11" ht="12.75">
      <c r="A3415" s="69">
        <f ca="1">IFERROR(__xludf.DUMMYFUNCTION("""COMPUTED_VALUE"""),101360)</f>
        <v>101360</v>
      </c>
      <c r="B3415" s="4">
        <f ca="1">IFERROR(__xludf.DUMMYFUNCTION("""COMPUTED_VALUE"""),44749)</f>
        <v>44749</v>
      </c>
      <c r="C3415" t="str">
        <f ca="1">IFERROR(__xludf.DUMMYFUNCTION("""COMPUTED_VALUE"""),"ООО ""ЧИСТЫЙ ГОРОД-ОМСК"" 127-РДО от 01.01.2022")</f>
        <v>ООО "ЧИСТЫЙ ГОРОД-ОМСК" 127-РДО от 01.01.2022</v>
      </c>
      <c r="D34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5" t="str">
        <f ca="1">IFERROR(__xludf.DUMMYFUNCTION("""COMPUTED_VALUE"""),"Новый")</f>
        <v>Новый</v>
      </c>
      <c r="G3415" s="68"/>
      <c r="K3415" s="68"/>
    </row>
    <row r="3416" spans="1:11" ht="12.75">
      <c r="A3416" s="69">
        <f ca="1">IFERROR(__xludf.DUMMYFUNCTION("""COMPUTED_VALUE"""),101361)</f>
        <v>101361</v>
      </c>
      <c r="B3416" s="4">
        <f ca="1">IFERROR(__xludf.DUMMYFUNCTION("""COMPUTED_VALUE"""),44749)</f>
        <v>44749</v>
      </c>
      <c r="C3416" t="str">
        <f ca="1">IFERROR(__xludf.DUMMYFUNCTION("""COMPUTED_VALUE"""),"ООО ""ЧИСТЫЙ ГОРОД-ОМСК"" 127-РДО от 01.01.2022")</f>
        <v>ООО "ЧИСТЫЙ ГОРОД-ОМСК" 127-РДО от 01.01.2022</v>
      </c>
      <c r="D34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6" t="str">
        <f ca="1">IFERROR(__xludf.DUMMYFUNCTION("""COMPUTED_VALUE"""),"Новый")</f>
        <v>Новый</v>
      </c>
      <c r="G3416" s="68"/>
      <c r="K3416" s="68"/>
    </row>
    <row r="3417" spans="1:11" ht="12.75">
      <c r="A3417" s="69">
        <f ca="1">IFERROR(__xludf.DUMMYFUNCTION("""COMPUTED_VALUE"""),101362)</f>
        <v>101362</v>
      </c>
      <c r="B3417" s="4">
        <f ca="1">IFERROR(__xludf.DUMMYFUNCTION("""COMPUTED_VALUE"""),44749)</f>
        <v>44749</v>
      </c>
      <c r="C3417" t="str">
        <f ca="1">IFERROR(__xludf.DUMMYFUNCTION("""COMPUTED_VALUE"""),"ООО ""ЧИСТЫЙ ГОРОД-ОМСК"" 127-РДО от 01.01.2022")</f>
        <v>ООО "ЧИСТЫЙ ГОРОД-ОМСК" 127-РДО от 01.01.2022</v>
      </c>
      <c r="D34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7" t="str">
        <f ca="1">IFERROR(__xludf.DUMMYFUNCTION("""COMPUTED_VALUE"""),"Новый")</f>
        <v>Новый</v>
      </c>
      <c r="G3417" s="68"/>
      <c r="K3417" s="68"/>
    </row>
    <row r="3418" spans="1:11" ht="12.75">
      <c r="A3418" s="69">
        <f ca="1">IFERROR(__xludf.DUMMYFUNCTION("""COMPUTED_VALUE"""),101363)</f>
        <v>101363</v>
      </c>
      <c r="B3418" s="4">
        <f ca="1">IFERROR(__xludf.DUMMYFUNCTION("""COMPUTED_VALUE"""),44749)</f>
        <v>44749</v>
      </c>
      <c r="C3418" t="str">
        <f ca="1">IFERROR(__xludf.DUMMYFUNCTION("""COMPUTED_VALUE"""),"ООО ""ЧИСТЫЙ ГОРОД-ОМСК"" 127-РДО от 01.01.2022")</f>
        <v>ООО "ЧИСТЫЙ ГОРОД-ОМСК" 127-РДО от 01.01.2022</v>
      </c>
      <c r="D34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8" t="str">
        <f ca="1">IFERROR(__xludf.DUMMYFUNCTION("""COMPUTED_VALUE"""),"Новый")</f>
        <v>Новый</v>
      </c>
      <c r="G3418" s="68"/>
      <c r="K3418" s="68"/>
    </row>
    <row r="3419" spans="1:11" ht="12.75">
      <c r="A3419" s="69">
        <f ca="1">IFERROR(__xludf.DUMMYFUNCTION("""COMPUTED_VALUE"""),101364)</f>
        <v>101364</v>
      </c>
      <c r="B3419" s="4">
        <f ca="1">IFERROR(__xludf.DUMMYFUNCTION("""COMPUTED_VALUE"""),44749)</f>
        <v>44749</v>
      </c>
      <c r="C3419" t="str">
        <f ca="1">IFERROR(__xludf.DUMMYFUNCTION("""COMPUTED_VALUE"""),"ООО ""ЧИСТЫЙ ГОРОД-ОМСК"" 127-РДО от 01.01.2022")</f>
        <v>ООО "ЧИСТЫЙ ГОРОД-ОМСК" 127-РДО от 01.01.2022</v>
      </c>
      <c r="D34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19" t="str">
        <f ca="1">IFERROR(__xludf.DUMMYFUNCTION("""COMPUTED_VALUE"""),"Новый")</f>
        <v>Новый</v>
      </c>
      <c r="G3419" s="68"/>
      <c r="K3419" s="68"/>
    </row>
    <row r="3420" spans="1:11" ht="12.75">
      <c r="A3420" s="69">
        <f ca="1">IFERROR(__xludf.DUMMYFUNCTION("""COMPUTED_VALUE"""),101365)</f>
        <v>101365</v>
      </c>
      <c r="B3420" s="4">
        <f ca="1">IFERROR(__xludf.DUMMYFUNCTION("""COMPUTED_VALUE"""),44749)</f>
        <v>44749</v>
      </c>
      <c r="C3420" t="str">
        <f ca="1">IFERROR(__xludf.DUMMYFUNCTION("""COMPUTED_VALUE"""),"ООО ""ЧИСТЫЙ ГОРОД-ОМСК"" 127-РДО от 01.01.2022")</f>
        <v>ООО "ЧИСТЫЙ ГОРОД-ОМСК" 127-РДО от 01.01.2022</v>
      </c>
      <c r="D34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0" t="str">
        <f ca="1">IFERROR(__xludf.DUMMYFUNCTION("""COMPUTED_VALUE"""),"Новый")</f>
        <v>Новый</v>
      </c>
      <c r="G3420" s="68"/>
      <c r="K3420" s="68"/>
    </row>
    <row r="3421" spans="1:11" ht="12.75">
      <c r="A3421" s="69">
        <f ca="1">IFERROR(__xludf.DUMMYFUNCTION("""COMPUTED_VALUE"""),101366)</f>
        <v>101366</v>
      </c>
      <c r="B3421" s="4">
        <f ca="1">IFERROR(__xludf.DUMMYFUNCTION("""COMPUTED_VALUE"""),44749)</f>
        <v>44749</v>
      </c>
      <c r="C3421" t="str">
        <f ca="1">IFERROR(__xludf.DUMMYFUNCTION("""COMPUTED_VALUE"""),"ООО ""ЧИСТЫЙ ГОРОД-ОМСК"" 127-РДО от 01.01.2022")</f>
        <v>ООО "ЧИСТЫЙ ГОРОД-ОМСК" 127-РДО от 01.01.2022</v>
      </c>
      <c r="D34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1" t="str">
        <f ca="1">IFERROR(__xludf.DUMMYFUNCTION("""COMPUTED_VALUE"""),"Новый")</f>
        <v>Новый</v>
      </c>
      <c r="G3421" s="68"/>
      <c r="K3421" s="68"/>
    </row>
    <row r="3422" spans="1:11" ht="12.75">
      <c r="A3422" s="69">
        <f ca="1">IFERROR(__xludf.DUMMYFUNCTION("""COMPUTED_VALUE"""),101367)</f>
        <v>101367</v>
      </c>
      <c r="B3422" s="4">
        <f ca="1">IFERROR(__xludf.DUMMYFUNCTION("""COMPUTED_VALUE"""),44749)</f>
        <v>44749</v>
      </c>
      <c r="C3422" t="str">
        <f ca="1">IFERROR(__xludf.DUMMYFUNCTION("""COMPUTED_VALUE"""),"ООО ""ЧИСТЫЙ ГОРОД-ОМСК"" 127-РДО от 01.01.2022")</f>
        <v>ООО "ЧИСТЫЙ ГОРОД-ОМСК" 127-РДО от 01.01.2022</v>
      </c>
      <c r="D34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2" t="str">
        <f ca="1">IFERROR(__xludf.DUMMYFUNCTION("""COMPUTED_VALUE"""),"Новый")</f>
        <v>Новый</v>
      </c>
      <c r="G3422" s="68"/>
      <c r="K3422" s="68"/>
    </row>
    <row r="3423" spans="1:11" ht="12.75">
      <c r="A3423" s="69">
        <f ca="1">IFERROR(__xludf.DUMMYFUNCTION("""COMPUTED_VALUE"""),101368)</f>
        <v>101368</v>
      </c>
      <c r="B3423" s="4">
        <f ca="1">IFERROR(__xludf.DUMMYFUNCTION("""COMPUTED_VALUE"""),44749)</f>
        <v>44749</v>
      </c>
      <c r="C3423" t="str">
        <f ca="1">IFERROR(__xludf.DUMMYFUNCTION("""COMPUTED_VALUE"""),"ООО ""ЧИСТЫЙ ГОРОД-ОМСК"" 127-РДО от 01.01.2022")</f>
        <v>ООО "ЧИСТЫЙ ГОРОД-ОМСК" 127-РДО от 01.01.2022</v>
      </c>
      <c r="D34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3" t="str">
        <f ca="1">IFERROR(__xludf.DUMMYFUNCTION("""COMPUTED_VALUE"""),"Новый")</f>
        <v>Новый</v>
      </c>
      <c r="G3423" s="68"/>
      <c r="K3423" s="68"/>
    </row>
    <row r="3424" spans="1:11" ht="12.75">
      <c r="A3424" s="69">
        <f ca="1">IFERROR(__xludf.DUMMYFUNCTION("""COMPUTED_VALUE"""),101369)</f>
        <v>101369</v>
      </c>
      <c r="B3424" s="4">
        <f ca="1">IFERROR(__xludf.DUMMYFUNCTION("""COMPUTED_VALUE"""),44749)</f>
        <v>44749</v>
      </c>
      <c r="C3424" t="str">
        <f ca="1">IFERROR(__xludf.DUMMYFUNCTION("""COMPUTED_VALUE"""),"ООО ""ЧИСТЫЙ ГОРОД-ОМСК"" 127-РДО от 01.01.2022")</f>
        <v>ООО "ЧИСТЫЙ ГОРОД-ОМСК" 127-РДО от 01.01.2022</v>
      </c>
      <c r="D34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4" t="str">
        <f ca="1">IFERROR(__xludf.DUMMYFUNCTION("""COMPUTED_VALUE"""),"Новый")</f>
        <v>Новый</v>
      </c>
      <c r="G3424" s="68"/>
      <c r="K3424" s="68"/>
    </row>
    <row r="3425" spans="1:11" ht="12.75">
      <c r="A3425" s="69">
        <f ca="1">IFERROR(__xludf.DUMMYFUNCTION("""COMPUTED_VALUE"""),101370)</f>
        <v>101370</v>
      </c>
      <c r="B3425" s="4">
        <f ca="1">IFERROR(__xludf.DUMMYFUNCTION("""COMPUTED_VALUE"""),44749)</f>
        <v>44749</v>
      </c>
      <c r="C3425" t="str">
        <f ca="1">IFERROR(__xludf.DUMMYFUNCTION("""COMPUTED_VALUE"""),"ООО ""ЧИСТЫЙ ГОРОД-ОМСК"" 127-РДО от 01.01.2022")</f>
        <v>ООО "ЧИСТЫЙ ГОРОД-ОМСК" 127-РДО от 01.01.2022</v>
      </c>
      <c r="D34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5" t="str">
        <f ca="1">IFERROR(__xludf.DUMMYFUNCTION("""COMPUTED_VALUE"""),"Новый")</f>
        <v>Новый</v>
      </c>
      <c r="G3425" s="68"/>
      <c r="K3425" s="68"/>
    </row>
    <row r="3426" spans="1:11" ht="12.75">
      <c r="A3426" s="69">
        <f ca="1">IFERROR(__xludf.DUMMYFUNCTION("""COMPUTED_VALUE"""),101371)</f>
        <v>101371</v>
      </c>
      <c r="B3426" s="4">
        <f ca="1">IFERROR(__xludf.DUMMYFUNCTION("""COMPUTED_VALUE"""),44749)</f>
        <v>44749</v>
      </c>
      <c r="C3426" t="str">
        <f ca="1">IFERROR(__xludf.DUMMYFUNCTION("""COMPUTED_VALUE"""),"ООО ""ЧИСТЫЙ ГОРОД-ОМСК"" 127-РДО от 01.01.2022")</f>
        <v>ООО "ЧИСТЫЙ ГОРОД-ОМСК" 127-РДО от 01.01.2022</v>
      </c>
      <c r="D34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6" t="str">
        <f ca="1">IFERROR(__xludf.DUMMYFUNCTION("""COMPUTED_VALUE"""),"Новый")</f>
        <v>Новый</v>
      </c>
      <c r="G3426" s="68"/>
      <c r="K3426" s="68"/>
    </row>
    <row r="3427" spans="1:11" ht="12.75">
      <c r="A3427" s="69">
        <f ca="1">IFERROR(__xludf.DUMMYFUNCTION("""COMPUTED_VALUE"""),101372)</f>
        <v>101372</v>
      </c>
      <c r="B3427" s="4">
        <f ca="1">IFERROR(__xludf.DUMMYFUNCTION("""COMPUTED_VALUE"""),44749)</f>
        <v>44749</v>
      </c>
      <c r="C3427" t="str">
        <f ca="1">IFERROR(__xludf.DUMMYFUNCTION("""COMPUTED_VALUE"""),"ООО ""ЧИСТЫЙ ГОРОД-ОМСК"" 127-РДО от 01.01.2022")</f>
        <v>ООО "ЧИСТЫЙ ГОРОД-ОМСК" 127-РДО от 01.01.2022</v>
      </c>
      <c r="D34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7" t="str">
        <f ca="1">IFERROR(__xludf.DUMMYFUNCTION("""COMPUTED_VALUE"""),"Новый")</f>
        <v>Новый</v>
      </c>
      <c r="G3427" s="68"/>
      <c r="K3427" s="68"/>
    </row>
    <row r="3428" spans="1:11" ht="12.75">
      <c r="A3428" s="69">
        <f ca="1">IFERROR(__xludf.DUMMYFUNCTION("""COMPUTED_VALUE"""),101373)</f>
        <v>101373</v>
      </c>
      <c r="B3428" s="4">
        <f ca="1">IFERROR(__xludf.DUMMYFUNCTION("""COMPUTED_VALUE"""),44749)</f>
        <v>44749</v>
      </c>
      <c r="C3428" t="str">
        <f ca="1">IFERROR(__xludf.DUMMYFUNCTION("""COMPUTED_VALUE"""),"ООО ""ЧИСТЫЙ ГОРОД-ОМСК"" 127-РДО от 01.01.2022")</f>
        <v>ООО "ЧИСТЫЙ ГОРОД-ОМСК" 127-РДО от 01.01.2022</v>
      </c>
      <c r="D34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8" t="str">
        <f ca="1">IFERROR(__xludf.DUMMYFUNCTION("""COMPUTED_VALUE"""),"Новый")</f>
        <v>Новый</v>
      </c>
      <c r="G3428" s="68"/>
      <c r="K3428" s="68"/>
    </row>
    <row r="3429" spans="1:11" ht="12.75">
      <c r="A3429" s="69">
        <f ca="1">IFERROR(__xludf.DUMMYFUNCTION("""COMPUTED_VALUE"""),101375)</f>
        <v>101375</v>
      </c>
      <c r="B3429" s="4">
        <f ca="1">IFERROR(__xludf.DUMMYFUNCTION("""COMPUTED_VALUE"""),44749)</f>
        <v>44749</v>
      </c>
      <c r="C3429" t="str">
        <f ca="1">IFERROR(__xludf.DUMMYFUNCTION("""COMPUTED_VALUE"""),"ООО ""ЧИСТЫЙ ГОРОД-ОМСК"" 127-РДО от 01.01.2022")</f>
        <v>ООО "ЧИСТЫЙ ГОРОД-ОМСК" 127-РДО от 01.01.2022</v>
      </c>
      <c r="D34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29" t="str">
        <f ca="1">IFERROR(__xludf.DUMMYFUNCTION("""COMPUTED_VALUE"""),"Новый")</f>
        <v>Новый</v>
      </c>
      <c r="G3429" s="68"/>
      <c r="K3429" s="68"/>
    </row>
    <row r="3430" spans="1:11" ht="12.75">
      <c r="A3430" s="69">
        <f ca="1">IFERROR(__xludf.DUMMYFUNCTION("""COMPUTED_VALUE"""),101380)</f>
        <v>101380</v>
      </c>
      <c r="B3430" s="4">
        <f ca="1">IFERROR(__xludf.DUMMYFUNCTION("""COMPUTED_VALUE"""),44749)</f>
        <v>44749</v>
      </c>
      <c r="C3430" t="str">
        <f ca="1">IFERROR(__xludf.DUMMYFUNCTION("""COMPUTED_VALUE"""),"ООО ""ЧИСТЫЙ ГОРОД-ОМСК"" 127-РДО от 01.01.2022")</f>
        <v>ООО "ЧИСТЫЙ ГОРОД-ОМСК" 127-РДО от 01.01.2022</v>
      </c>
      <c r="D34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0" t="str">
        <f ca="1">IFERROR(__xludf.DUMMYFUNCTION("""COMPUTED_VALUE"""),"Новый")</f>
        <v>Новый</v>
      </c>
      <c r="G3430" s="68"/>
      <c r="K3430" s="68"/>
    </row>
    <row r="3431" spans="1:11" ht="12.75">
      <c r="A3431" s="69">
        <f ca="1">IFERROR(__xludf.DUMMYFUNCTION("""COMPUTED_VALUE"""),101386)</f>
        <v>101386</v>
      </c>
      <c r="B3431" s="4">
        <f ca="1">IFERROR(__xludf.DUMMYFUNCTION("""COMPUTED_VALUE"""),44749)</f>
        <v>44749</v>
      </c>
      <c r="C3431" t="str">
        <f ca="1">IFERROR(__xludf.DUMMYFUNCTION("""COMPUTED_VALUE"""),"ООО ""ЧИСТЫЙ ГОРОД-ОМСК"" 127-РДО от 01.01.2022")</f>
        <v>ООО "ЧИСТЫЙ ГОРОД-ОМСК" 127-РДО от 01.01.2022</v>
      </c>
      <c r="D34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1" t="str">
        <f ca="1">IFERROR(__xludf.DUMMYFUNCTION("""COMPUTED_VALUE"""),"Новый")</f>
        <v>Новый</v>
      </c>
      <c r="G3431" s="68"/>
      <c r="K3431" s="68"/>
    </row>
    <row r="3432" spans="1:11" ht="12.75">
      <c r="A3432" s="69">
        <f ca="1">IFERROR(__xludf.DUMMYFUNCTION("""COMPUTED_VALUE"""),101387)</f>
        <v>101387</v>
      </c>
      <c r="B3432" s="4">
        <f ca="1">IFERROR(__xludf.DUMMYFUNCTION("""COMPUTED_VALUE"""),44749)</f>
        <v>44749</v>
      </c>
      <c r="C3432" t="str">
        <f ca="1">IFERROR(__xludf.DUMMYFUNCTION("""COMPUTED_VALUE"""),"ООО ""ЧИСТЫЙ ГОРОД-ОМСК"" 127-РДО от 01.01.2022")</f>
        <v>ООО "ЧИСТЫЙ ГОРОД-ОМСК" 127-РДО от 01.01.2022</v>
      </c>
      <c r="D34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2" t="str">
        <f ca="1">IFERROR(__xludf.DUMMYFUNCTION("""COMPUTED_VALUE"""),"Новый")</f>
        <v>Новый</v>
      </c>
      <c r="G3432" s="68"/>
      <c r="K3432" s="68"/>
    </row>
    <row r="3433" spans="1:11" ht="12.75">
      <c r="A3433" s="69">
        <f ca="1">IFERROR(__xludf.DUMMYFUNCTION("""COMPUTED_VALUE"""),101388)</f>
        <v>101388</v>
      </c>
      <c r="B3433" s="4">
        <f ca="1">IFERROR(__xludf.DUMMYFUNCTION("""COMPUTED_VALUE"""),44749)</f>
        <v>44749</v>
      </c>
      <c r="C3433" t="str">
        <f ca="1">IFERROR(__xludf.DUMMYFUNCTION("""COMPUTED_VALUE"""),"ООО ""ЧИСТЫЙ ГОРОД-ОМСК"" 127-РДО от 01.01.2022")</f>
        <v>ООО "ЧИСТЫЙ ГОРОД-ОМСК" 127-РДО от 01.01.2022</v>
      </c>
      <c r="D34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3" t="str">
        <f ca="1">IFERROR(__xludf.DUMMYFUNCTION("""COMPUTED_VALUE"""),"Новый")</f>
        <v>Новый</v>
      </c>
      <c r="G3433" s="68"/>
      <c r="K3433" s="68"/>
    </row>
    <row r="3434" spans="1:11" ht="12.75">
      <c r="A3434" s="69">
        <f ca="1">IFERROR(__xludf.DUMMYFUNCTION("""COMPUTED_VALUE"""),101389)</f>
        <v>101389</v>
      </c>
      <c r="B3434" s="4">
        <f ca="1">IFERROR(__xludf.DUMMYFUNCTION("""COMPUTED_VALUE"""),44749)</f>
        <v>44749</v>
      </c>
      <c r="C3434" t="str">
        <f ca="1">IFERROR(__xludf.DUMMYFUNCTION("""COMPUTED_VALUE"""),"ООО ""ЧИСТЫЙ ГОРОД-ОМСК"" 127-РДО от 01.01.2022")</f>
        <v>ООО "ЧИСТЫЙ ГОРОД-ОМСК" 127-РДО от 01.01.2022</v>
      </c>
      <c r="D34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4" t="str">
        <f ca="1">IFERROR(__xludf.DUMMYFUNCTION("""COMPUTED_VALUE"""),"Новый")</f>
        <v>Новый</v>
      </c>
      <c r="G3434" s="68"/>
      <c r="K3434" s="68"/>
    </row>
    <row r="3435" spans="1:11" ht="12.75">
      <c r="A3435" s="69">
        <f ca="1">IFERROR(__xludf.DUMMYFUNCTION("""COMPUTED_VALUE"""),101390)</f>
        <v>101390</v>
      </c>
      <c r="B3435" s="4">
        <f ca="1">IFERROR(__xludf.DUMMYFUNCTION("""COMPUTED_VALUE"""),44749)</f>
        <v>44749</v>
      </c>
      <c r="C3435" t="str">
        <f ca="1">IFERROR(__xludf.DUMMYFUNCTION("""COMPUTED_VALUE"""),"ООО ""ЧИСТЫЙ ГОРОД-ОМСК"" 127-РДО от 01.01.2022")</f>
        <v>ООО "ЧИСТЫЙ ГОРОД-ОМСК" 127-РДО от 01.01.2022</v>
      </c>
      <c r="D34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5" t="str">
        <f ca="1">IFERROR(__xludf.DUMMYFUNCTION("""COMPUTED_VALUE"""),"Новый")</f>
        <v>Новый</v>
      </c>
      <c r="G3435" s="68"/>
      <c r="K3435" s="68"/>
    </row>
    <row r="3436" spans="1:11" ht="12.75">
      <c r="A3436" s="69">
        <f ca="1">IFERROR(__xludf.DUMMYFUNCTION("""COMPUTED_VALUE"""),101391)</f>
        <v>101391</v>
      </c>
      <c r="B3436" s="4">
        <f ca="1">IFERROR(__xludf.DUMMYFUNCTION("""COMPUTED_VALUE"""),44749)</f>
        <v>44749</v>
      </c>
      <c r="C3436" t="str">
        <f ca="1">IFERROR(__xludf.DUMMYFUNCTION("""COMPUTED_VALUE"""),"ООО ""ЧИСТЫЙ ГОРОД-ОМСК"" 127-РДО от 01.01.2022")</f>
        <v>ООО "ЧИСТЫЙ ГОРОД-ОМСК" 127-РДО от 01.01.2022</v>
      </c>
      <c r="D34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6" t="str">
        <f ca="1">IFERROR(__xludf.DUMMYFUNCTION("""COMPUTED_VALUE"""),"Новый")</f>
        <v>Новый</v>
      </c>
      <c r="G3436" s="68"/>
      <c r="K3436" s="68"/>
    </row>
    <row r="3437" spans="1:11" ht="12.75">
      <c r="A3437" s="69">
        <f ca="1">IFERROR(__xludf.DUMMYFUNCTION("""COMPUTED_VALUE"""),101392)</f>
        <v>101392</v>
      </c>
      <c r="B3437" s="4">
        <f ca="1">IFERROR(__xludf.DUMMYFUNCTION("""COMPUTED_VALUE"""),44749)</f>
        <v>44749</v>
      </c>
      <c r="C3437" t="str">
        <f ca="1">IFERROR(__xludf.DUMMYFUNCTION("""COMPUTED_VALUE"""),"ООО ""ЧИСТЫЙ ГОРОД-ОМСК"" 127-РДО от 01.01.2022")</f>
        <v>ООО "ЧИСТЫЙ ГОРОД-ОМСК" 127-РДО от 01.01.2022</v>
      </c>
      <c r="D34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7" t="str">
        <f ca="1">IFERROR(__xludf.DUMMYFUNCTION("""COMPUTED_VALUE"""),"Новый")</f>
        <v>Новый</v>
      </c>
      <c r="G3437" s="68"/>
      <c r="K3437" s="68"/>
    </row>
    <row r="3438" spans="1:11" ht="12.75">
      <c r="A3438" s="69">
        <f ca="1">IFERROR(__xludf.DUMMYFUNCTION("""COMPUTED_VALUE"""),101393)</f>
        <v>101393</v>
      </c>
      <c r="B3438" s="4">
        <f ca="1">IFERROR(__xludf.DUMMYFUNCTION("""COMPUTED_VALUE"""),44749)</f>
        <v>44749</v>
      </c>
      <c r="C3438" t="str">
        <f ca="1">IFERROR(__xludf.DUMMYFUNCTION("""COMPUTED_VALUE"""),"ООО ""ЧИСТЫЙ ГОРОД-ОМСК"" 127-РДО от 01.01.2022")</f>
        <v>ООО "ЧИСТЫЙ ГОРОД-ОМСК" 127-РДО от 01.01.2022</v>
      </c>
      <c r="D34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8" t="str">
        <f ca="1">IFERROR(__xludf.DUMMYFUNCTION("""COMPUTED_VALUE"""),"Новый")</f>
        <v>Новый</v>
      </c>
      <c r="G3438" s="68"/>
      <c r="K3438" s="68"/>
    </row>
    <row r="3439" spans="1:11" ht="12.75">
      <c r="A3439" s="69">
        <f ca="1">IFERROR(__xludf.DUMMYFUNCTION("""COMPUTED_VALUE"""),101394)</f>
        <v>101394</v>
      </c>
      <c r="B3439" s="4">
        <f ca="1">IFERROR(__xludf.DUMMYFUNCTION("""COMPUTED_VALUE"""),44749)</f>
        <v>44749</v>
      </c>
      <c r="C3439" t="str">
        <f ca="1">IFERROR(__xludf.DUMMYFUNCTION("""COMPUTED_VALUE"""),"ООО ""ЧИСТЫЙ ГОРОД-ОМСК"" 127-РДО от 01.01.2022")</f>
        <v>ООО "ЧИСТЫЙ ГОРОД-ОМСК" 127-РДО от 01.01.2022</v>
      </c>
      <c r="D34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39" t="str">
        <f ca="1">IFERROR(__xludf.DUMMYFUNCTION("""COMPUTED_VALUE"""),"Новый")</f>
        <v>Новый</v>
      </c>
      <c r="G3439" s="68"/>
      <c r="K3439" s="68"/>
    </row>
    <row r="3440" spans="1:11" ht="12.75">
      <c r="A3440" s="69">
        <f ca="1">IFERROR(__xludf.DUMMYFUNCTION("""COMPUTED_VALUE"""),101395)</f>
        <v>101395</v>
      </c>
      <c r="B3440" s="4">
        <f ca="1">IFERROR(__xludf.DUMMYFUNCTION("""COMPUTED_VALUE"""),44749)</f>
        <v>44749</v>
      </c>
      <c r="C3440" t="str">
        <f ca="1">IFERROR(__xludf.DUMMYFUNCTION("""COMPUTED_VALUE"""),"ООО ""ЧИСТЫЙ ГОРОД-ОМСК"" 127-РДО от 01.01.2022")</f>
        <v>ООО "ЧИСТЫЙ ГОРОД-ОМСК" 127-РДО от 01.01.2022</v>
      </c>
      <c r="D34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0" t="str">
        <f ca="1">IFERROR(__xludf.DUMMYFUNCTION("""COMPUTED_VALUE"""),"Новый")</f>
        <v>Новый</v>
      </c>
      <c r="G3440" s="68"/>
      <c r="K3440" s="68"/>
    </row>
    <row r="3441" spans="1:11" ht="12.75">
      <c r="A3441" s="69">
        <f ca="1">IFERROR(__xludf.DUMMYFUNCTION("""COMPUTED_VALUE"""),101396)</f>
        <v>101396</v>
      </c>
      <c r="B3441" s="4">
        <f ca="1">IFERROR(__xludf.DUMMYFUNCTION("""COMPUTED_VALUE"""),44749)</f>
        <v>44749</v>
      </c>
      <c r="C3441" t="str">
        <f ca="1">IFERROR(__xludf.DUMMYFUNCTION("""COMPUTED_VALUE"""),"ООО ""ЧИСТЫЙ ГОРОД-ОМСК"" 127-РДО от 01.01.2022")</f>
        <v>ООО "ЧИСТЫЙ ГОРОД-ОМСК" 127-РДО от 01.01.2022</v>
      </c>
      <c r="D34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1" t="str">
        <f ca="1">IFERROR(__xludf.DUMMYFUNCTION("""COMPUTED_VALUE"""),"Новый")</f>
        <v>Новый</v>
      </c>
      <c r="G3441" s="68"/>
      <c r="K3441" s="68"/>
    </row>
    <row r="3442" spans="1:11" ht="12.75">
      <c r="A3442" s="69">
        <f ca="1">IFERROR(__xludf.DUMMYFUNCTION("""COMPUTED_VALUE"""),101397)</f>
        <v>101397</v>
      </c>
      <c r="B3442" s="4">
        <f ca="1">IFERROR(__xludf.DUMMYFUNCTION("""COMPUTED_VALUE"""),44749)</f>
        <v>44749</v>
      </c>
      <c r="C3442" t="str">
        <f ca="1">IFERROR(__xludf.DUMMYFUNCTION("""COMPUTED_VALUE"""),"ООО ""ЧИСТЫЙ ГОРОД-ОМСК"" 127-РДО от 01.01.2022")</f>
        <v>ООО "ЧИСТЫЙ ГОРОД-ОМСК" 127-РДО от 01.01.2022</v>
      </c>
      <c r="D34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2" t="str">
        <f ca="1">IFERROR(__xludf.DUMMYFUNCTION("""COMPUTED_VALUE"""),"Новый")</f>
        <v>Новый</v>
      </c>
      <c r="G3442" s="68"/>
      <c r="K3442" s="68"/>
    </row>
    <row r="3443" spans="1:11" ht="12.75">
      <c r="A3443" s="69">
        <f ca="1">IFERROR(__xludf.DUMMYFUNCTION("""COMPUTED_VALUE"""),101398)</f>
        <v>101398</v>
      </c>
      <c r="B3443" s="4">
        <f ca="1">IFERROR(__xludf.DUMMYFUNCTION("""COMPUTED_VALUE"""),44749)</f>
        <v>44749</v>
      </c>
      <c r="C3443" t="str">
        <f ca="1">IFERROR(__xludf.DUMMYFUNCTION("""COMPUTED_VALUE"""),"ООО ""ЧИСТЫЙ ГОРОД-ОМСК"" 127-РДО от 01.01.2022")</f>
        <v>ООО "ЧИСТЫЙ ГОРОД-ОМСК" 127-РДО от 01.01.2022</v>
      </c>
      <c r="D34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3" t="str">
        <f ca="1">IFERROR(__xludf.DUMMYFUNCTION("""COMPUTED_VALUE"""),"Новый")</f>
        <v>Новый</v>
      </c>
      <c r="G3443" s="68"/>
      <c r="K3443" s="68"/>
    </row>
    <row r="3444" spans="1:11" ht="12.75">
      <c r="A3444" s="69">
        <f ca="1">IFERROR(__xludf.DUMMYFUNCTION("""COMPUTED_VALUE"""),101399)</f>
        <v>101399</v>
      </c>
      <c r="B3444" s="4">
        <f ca="1">IFERROR(__xludf.DUMMYFUNCTION("""COMPUTED_VALUE"""),44749)</f>
        <v>44749</v>
      </c>
      <c r="C3444" t="str">
        <f ca="1">IFERROR(__xludf.DUMMYFUNCTION("""COMPUTED_VALUE"""),"ООО ""ЧИСТЫЙ ГОРОД-ОМСК"" 127-РДО от 01.01.2022")</f>
        <v>ООО "ЧИСТЫЙ ГОРОД-ОМСК" 127-РДО от 01.01.2022</v>
      </c>
      <c r="D34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4" t="str">
        <f ca="1">IFERROR(__xludf.DUMMYFUNCTION("""COMPUTED_VALUE"""),"Новый")</f>
        <v>Новый</v>
      </c>
      <c r="G3444" s="68"/>
      <c r="K3444" s="68"/>
    </row>
    <row r="3445" spans="1:11" ht="12.75">
      <c r="A3445" s="69">
        <f ca="1">IFERROR(__xludf.DUMMYFUNCTION("""COMPUTED_VALUE"""),101400)</f>
        <v>101400</v>
      </c>
      <c r="B3445" s="4">
        <f ca="1">IFERROR(__xludf.DUMMYFUNCTION("""COMPUTED_VALUE"""),44749)</f>
        <v>44749</v>
      </c>
      <c r="C3445" t="str">
        <f ca="1">IFERROR(__xludf.DUMMYFUNCTION("""COMPUTED_VALUE"""),"ООО ""ЧИСТЫЙ ГОРОД-ОМСК"" 127-РДО от 01.01.2022")</f>
        <v>ООО "ЧИСТЫЙ ГОРОД-ОМСК" 127-РДО от 01.01.2022</v>
      </c>
      <c r="D34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5" t="str">
        <f ca="1">IFERROR(__xludf.DUMMYFUNCTION("""COMPUTED_VALUE"""),"Новый")</f>
        <v>Новый</v>
      </c>
      <c r="G3445" s="68"/>
      <c r="K3445" s="68"/>
    </row>
    <row r="3446" spans="1:11" ht="12.75">
      <c r="A3446" s="69">
        <f ca="1">IFERROR(__xludf.DUMMYFUNCTION("""COMPUTED_VALUE"""),101401)</f>
        <v>101401</v>
      </c>
      <c r="B3446" s="4">
        <f ca="1">IFERROR(__xludf.DUMMYFUNCTION("""COMPUTED_VALUE"""),44749)</f>
        <v>44749</v>
      </c>
      <c r="C3446" t="str">
        <f ca="1">IFERROR(__xludf.DUMMYFUNCTION("""COMPUTED_VALUE"""),"ООО ""ЧИСТЫЙ ГОРОД-ОМСК"" 127-РДО от 01.01.2022")</f>
        <v>ООО "ЧИСТЫЙ ГОРОД-ОМСК" 127-РДО от 01.01.2022</v>
      </c>
      <c r="D34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6" t="str">
        <f ca="1">IFERROR(__xludf.DUMMYFUNCTION("""COMPUTED_VALUE"""),"Новый")</f>
        <v>Новый</v>
      </c>
      <c r="G3446" s="68"/>
      <c r="K3446" s="68"/>
    </row>
    <row r="3447" spans="1:11" ht="12.75">
      <c r="A3447" s="69">
        <f ca="1">IFERROR(__xludf.DUMMYFUNCTION("""COMPUTED_VALUE"""),101402)</f>
        <v>101402</v>
      </c>
      <c r="B3447" s="4">
        <f ca="1">IFERROR(__xludf.DUMMYFUNCTION("""COMPUTED_VALUE"""),44749)</f>
        <v>44749</v>
      </c>
      <c r="C3447" t="str">
        <f ca="1">IFERROR(__xludf.DUMMYFUNCTION("""COMPUTED_VALUE"""),"ООО ""ЧИСТЫЙ ГОРОД-ОМСК"" 127-РДО от 01.01.2022")</f>
        <v>ООО "ЧИСТЫЙ ГОРОД-ОМСК" 127-РДО от 01.01.2022</v>
      </c>
      <c r="D34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7" t="str">
        <f ca="1">IFERROR(__xludf.DUMMYFUNCTION("""COMPUTED_VALUE"""),"Новый")</f>
        <v>Новый</v>
      </c>
      <c r="G3447" s="68"/>
      <c r="K3447" s="68"/>
    </row>
    <row r="3448" spans="1:11" ht="12.75">
      <c r="A3448" s="69">
        <f ca="1">IFERROR(__xludf.DUMMYFUNCTION("""COMPUTED_VALUE"""),101403)</f>
        <v>101403</v>
      </c>
      <c r="B3448" s="4">
        <f ca="1">IFERROR(__xludf.DUMMYFUNCTION("""COMPUTED_VALUE"""),44749)</f>
        <v>44749</v>
      </c>
      <c r="C3448" t="str">
        <f ca="1">IFERROR(__xludf.DUMMYFUNCTION("""COMPUTED_VALUE"""),"ООО ""ЧИСТЫЙ ГОРОД-ОМСК"" 127-РДО от 01.01.2022")</f>
        <v>ООО "ЧИСТЫЙ ГОРОД-ОМСК" 127-РДО от 01.01.2022</v>
      </c>
      <c r="D34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8" t="str">
        <f ca="1">IFERROR(__xludf.DUMMYFUNCTION("""COMPUTED_VALUE"""),"Новый")</f>
        <v>Новый</v>
      </c>
      <c r="G3448" s="68"/>
      <c r="K3448" s="68"/>
    </row>
    <row r="3449" spans="1:11" ht="12.75">
      <c r="A3449" s="69">
        <f ca="1">IFERROR(__xludf.DUMMYFUNCTION("""COMPUTED_VALUE"""),101404)</f>
        <v>101404</v>
      </c>
      <c r="B3449" s="4">
        <f ca="1">IFERROR(__xludf.DUMMYFUNCTION("""COMPUTED_VALUE"""),44749)</f>
        <v>44749</v>
      </c>
      <c r="C3449" t="str">
        <f ca="1">IFERROR(__xludf.DUMMYFUNCTION("""COMPUTED_VALUE"""),"ООО ""ЧИСТЫЙ ГОРОД-ОМСК"" 127-РДО от 01.01.2022")</f>
        <v>ООО "ЧИСТЫЙ ГОРОД-ОМСК" 127-РДО от 01.01.2022</v>
      </c>
      <c r="D34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49" t="str">
        <f ca="1">IFERROR(__xludf.DUMMYFUNCTION("""COMPUTED_VALUE"""),"Новый")</f>
        <v>Новый</v>
      </c>
      <c r="G3449" s="68"/>
      <c r="K3449" s="68"/>
    </row>
    <row r="3450" spans="1:11" ht="12.75">
      <c r="A3450" s="69">
        <f ca="1">IFERROR(__xludf.DUMMYFUNCTION("""COMPUTED_VALUE"""),101405)</f>
        <v>101405</v>
      </c>
      <c r="B3450" s="4">
        <f ca="1">IFERROR(__xludf.DUMMYFUNCTION("""COMPUTED_VALUE"""),44749)</f>
        <v>44749</v>
      </c>
      <c r="C3450" t="str">
        <f ca="1">IFERROR(__xludf.DUMMYFUNCTION("""COMPUTED_VALUE"""),"ООО ""ЧИСТЫЙ ГОРОД-ОМСК"" 127-РДО от 01.01.2022")</f>
        <v>ООО "ЧИСТЫЙ ГОРОД-ОМСК" 127-РДО от 01.01.2022</v>
      </c>
      <c r="D34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0" t="str">
        <f ca="1">IFERROR(__xludf.DUMMYFUNCTION("""COMPUTED_VALUE"""),"Новый")</f>
        <v>Новый</v>
      </c>
      <c r="G3450" s="68"/>
      <c r="K3450" s="68"/>
    </row>
    <row r="3451" spans="1:11" ht="12.75">
      <c r="A3451" s="69">
        <f ca="1">IFERROR(__xludf.DUMMYFUNCTION("""COMPUTED_VALUE"""),101406)</f>
        <v>101406</v>
      </c>
      <c r="B3451" s="4">
        <f ca="1">IFERROR(__xludf.DUMMYFUNCTION("""COMPUTED_VALUE"""),44749)</f>
        <v>44749</v>
      </c>
      <c r="C3451" t="str">
        <f ca="1">IFERROR(__xludf.DUMMYFUNCTION("""COMPUTED_VALUE"""),"ООО ""ЧИСТЫЙ ГОРОД-ОМСК"" 127-РДО от 01.01.2022")</f>
        <v>ООО "ЧИСТЫЙ ГОРОД-ОМСК" 127-РДО от 01.01.2022</v>
      </c>
      <c r="D34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1" t="str">
        <f ca="1">IFERROR(__xludf.DUMMYFUNCTION("""COMPUTED_VALUE"""),"Новый")</f>
        <v>Новый</v>
      </c>
      <c r="G3451" s="68"/>
      <c r="K3451" s="68"/>
    </row>
    <row r="3452" spans="1:11" ht="12.75">
      <c r="A3452" s="69">
        <f ca="1">IFERROR(__xludf.DUMMYFUNCTION("""COMPUTED_VALUE"""),101407)</f>
        <v>101407</v>
      </c>
      <c r="B3452" s="4">
        <f ca="1">IFERROR(__xludf.DUMMYFUNCTION("""COMPUTED_VALUE"""),44749)</f>
        <v>44749</v>
      </c>
      <c r="C3452" t="str">
        <f ca="1">IFERROR(__xludf.DUMMYFUNCTION("""COMPUTED_VALUE"""),"ООО ""ЧИСТЫЙ ГОРОД-ОМСК"" 127-РДО от 01.01.2022")</f>
        <v>ООО "ЧИСТЫЙ ГОРОД-ОМСК" 127-РДО от 01.01.2022</v>
      </c>
      <c r="D34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2" t="str">
        <f ca="1">IFERROR(__xludf.DUMMYFUNCTION("""COMPUTED_VALUE"""),"Новый")</f>
        <v>Новый</v>
      </c>
      <c r="G3452" s="68"/>
      <c r="K3452" s="68"/>
    </row>
    <row r="3453" spans="1:11" ht="12.75">
      <c r="A3453" s="69">
        <f ca="1">IFERROR(__xludf.DUMMYFUNCTION("""COMPUTED_VALUE"""),101408)</f>
        <v>101408</v>
      </c>
      <c r="B3453" s="4">
        <f ca="1">IFERROR(__xludf.DUMMYFUNCTION("""COMPUTED_VALUE"""),44749)</f>
        <v>44749</v>
      </c>
      <c r="C3453" t="str">
        <f ca="1">IFERROR(__xludf.DUMMYFUNCTION("""COMPUTED_VALUE"""),"ООО ""ЧИСТЫЙ ГОРОД-ОМСК"" 127-РДО от 01.01.2022")</f>
        <v>ООО "ЧИСТЫЙ ГОРОД-ОМСК" 127-РДО от 01.01.2022</v>
      </c>
      <c r="D34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3" t="str">
        <f ca="1">IFERROR(__xludf.DUMMYFUNCTION("""COMPUTED_VALUE"""),"Новый")</f>
        <v>Новый</v>
      </c>
      <c r="G3453" s="68"/>
      <c r="K3453" s="68"/>
    </row>
    <row r="3454" spans="1:11" ht="12.75">
      <c r="A3454" s="69">
        <f ca="1">IFERROR(__xludf.DUMMYFUNCTION("""COMPUTED_VALUE"""),101409)</f>
        <v>101409</v>
      </c>
      <c r="B3454" s="4">
        <f ca="1">IFERROR(__xludf.DUMMYFUNCTION("""COMPUTED_VALUE"""),44749)</f>
        <v>44749</v>
      </c>
      <c r="C3454" t="str">
        <f ca="1">IFERROR(__xludf.DUMMYFUNCTION("""COMPUTED_VALUE"""),"ООО ""ЧИСТЫЙ ГОРОД-ОМСК"" 127-РДО от 01.01.2022")</f>
        <v>ООО "ЧИСТЫЙ ГОРОД-ОМСК" 127-РДО от 01.01.2022</v>
      </c>
      <c r="D34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4" t="str">
        <f ca="1">IFERROR(__xludf.DUMMYFUNCTION("""COMPUTED_VALUE"""),"Новый")</f>
        <v>Новый</v>
      </c>
      <c r="G3454" s="68"/>
      <c r="K3454" s="68"/>
    </row>
    <row r="3455" spans="1:11" ht="12.75">
      <c r="A3455" s="69">
        <f ca="1">IFERROR(__xludf.DUMMYFUNCTION("""COMPUTED_VALUE"""),101410)</f>
        <v>101410</v>
      </c>
      <c r="B3455" s="4">
        <f ca="1">IFERROR(__xludf.DUMMYFUNCTION("""COMPUTED_VALUE"""),44749)</f>
        <v>44749</v>
      </c>
      <c r="C3455" t="str">
        <f ca="1">IFERROR(__xludf.DUMMYFUNCTION("""COMPUTED_VALUE"""),"ООО ""ЧИСТЫЙ ГОРОД-ОМСК"" 127-РДО от 01.01.2022")</f>
        <v>ООО "ЧИСТЫЙ ГОРОД-ОМСК" 127-РДО от 01.01.2022</v>
      </c>
      <c r="D34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5" t="str">
        <f ca="1">IFERROR(__xludf.DUMMYFUNCTION("""COMPUTED_VALUE"""),"Новый")</f>
        <v>Новый</v>
      </c>
      <c r="G3455" s="68"/>
      <c r="K3455" s="68"/>
    </row>
    <row r="3456" spans="1:11" ht="12.75">
      <c r="A3456" s="69">
        <f ca="1">IFERROR(__xludf.DUMMYFUNCTION("""COMPUTED_VALUE"""),101411)</f>
        <v>101411</v>
      </c>
      <c r="B3456" s="4">
        <f ca="1">IFERROR(__xludf.DUMMYFUNCTION("""COMPUTED_VALUE"""),44749)</f>
        <v>44749</v>
      </c>
      <c r="C3456" t="str">
        <f ca="1">IFERROR(__xludf.DUMMYFUNCTION("""COMPUTED_VALUE"""),"ООО ""ЧИСТЫЙ ГОРОД-ОМСК"" 127-РДО от 01.01.2022")</f>
        <v>ООО "ЧИСТЫЙ ГОРОД-ОМСК" 127-РДО от 01.01.2022</v>
      </c>
      <c r="D34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6" t="str">
        <f ca="1">IFERROR(__xludf.DUMMYFUNCTION("""COMPUTED_VALUE"""),"Новый")</f>
        <v>Новый</v>
      </c>
      <c r="G3456" s="68"/>
      <c r="K3456" s="68"/>
    </row>
    <row r="3457" spans="1:11" ht="12.75">
      <c r="A3457" s="69">
        <f ca="1">IFERROR(__xludf.DUMMYFUNCTION("""COMPUTED_VALUE"""),101412)</f>
        <v>101412</v>
      </c>
      <c r="B3457" s="4">
        <f ca="1">IFERROR(__xludf.DUMMYFUNCTION("""COMPUTED_VALUE"""),44749)</f>
        <v>44749</v>
      </c>
      <c r="C3457" t="str">
        <f ca="1">IFERROR(__xludf.DUMMYFUNCTION("""COMPUTED_VALUE"""),"ООО ""ЧИСТЫЙ ГОРОД-ОМСК"" 127-РДО от 01.01.2022")</f>
        <v>ООО "ЧИСТЫЙ ГОРОД-ОМСК" 127-РДО от 01.01.2022</v>
      </c>
      <c r="D34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7" t="str">
        <f ca="1">IFERROR(__xludf.DUMMYFUNCTION("""COMPUTED_VALUE"""),"Новый")</f>
        <v>Новый</v>
      </c>
      <c r="G3457" s="68"/>
      <c r="K3457" s="68"/>
    </row>
    <row r="3458" spans="1:11" ht="12.75">
      <c r="A3458" s="69">
        <f ca="1">IFERROR(__xludf.DUMMYFUNCTION("""COMPUTED_VALUE"""),101413)</f>
        <v>101413</v>
      </c>
      <c r="B3458" s="4">
        <f ca="1">IFERROR(__xludf.DUMMYFUNCTION("""COMPUTED_VALUE"""),44749)</f>
        <v>44749</v>
      </c>
      <c r="C3458" t="str">
        <f ca="1">IFERROR(__xludf.DUMMYFUNCTION("""COMPUTED_VALUE"""),"ООО ""ЧИСТЫЙ ГОРОД-ОМСК"" 127-РДО от 01.01.2022")</f>
        <v>ООО "ЧИСТЫЙ ГОРОД-ОМСК" 127-РДО от 01.01.2022</v>
      </c>
      <c r="D34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8" t="str">
        <f ca="1">IFERROR(__xludf.DUMMYFUNCTION("""COMPUTED_VALUE"""),"Новый")</f>
        <v>Новый</v>
      </c>
      <c r="G3458" s="68"/>
      <c r="K3458" s="68"/>
    </row>
    <row r="3459" spans="1:11" ht="12.75">
      <c r="A3459" s="69">
        <f ca="1">IFERROR(__xludf.DUMMYFUNCTION("""COMPUTED_VALUE"""),101414)</f>
        <v>101414</v>
      </c>
      <c r="B3459" s="4">
        <f ca="1">IFERROR(__xludf.DUMMYFUNCTION("""COMPUTED_VALUE"""),44749)</f>
        <v>44749</v>
      </c>
      <c r="C3459" t="str">
        <f ca="1">IFERROR(__xludf.DUMMYFUNCTION("""COMPUTED_VALUE"""),"ООО ""ЧИСТЫЙ ГОРОД-ОМСК"" 127-РДО от 01.01.2022")</f>
        <v>ООО "ЧИСТЫЙ ГОРОД-ОМСК" 127-РДО от 01.01.2022</v>
      </c>
      <c r="D34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59" t="str">
        <f ca="1">IFERROR(__xludf.DUMMYFUNCTION("""COMPUTED_VALUE"""),"Новый")</f>
        <v>Новый</v>
      </c>
      <c r="G3459" s="68"/>
      <c r="K3459" s="68"/>
    </row>
    <row r="3460" spans="1:11" ht="12.75">
      <c r="A3460" s="69">
        <f ca="1">IFERROR(__xludf.DUMMYFUNCTION("""COMPUTED_VALUE"""),101415)</f>
        <v>101415</v>
      </c>
      <c r="B3460" s="4">
        <f ca="1">IFERROR(__xludf.DUMMYFUNCTION("""COMPUTED_VALUE"""),44749)</f>
        <v>44749</v>
      </c>
      <c r="C3460" t="str">
        <f ca="1">IFERROR(__xludf.DUMMYFUNCTION("""COMPUTED_VALUE"""),"ООО ""ЧИСТЫЙ ГОРОД-ОМСК"" 127-РДО от 01.01.2022")</f>
        <v>ООО "ЧИСТЫЙ ГОРОД-ОМСК" 127-РДО от 01.01.2022</v>
      </c>
      <c r="D34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0" t="str">
        <f ca="1">IFERROR(__xludf.DUMMYFUNCTION("""COMPUTED_VALUE"""),"Новый")</f>
        <v>Новый</v>
      </c>
      <c r="G3460" s="68"/>
      <c r="K3460" s="68"/>
    </row>
    <row r="3461" spans="1:11" ht="12.75">
      <c r="A3461" s="69">
        <f ca="1">IFERROR(__xludf.DUMMYFUNCTION("""COMPUTED_VALUE"""),101416)</f>
        <v>101416</v>
      </c>
      <c r="B3461" s="4">
        <f ca="1">IFERROR(__xludf.DUMMYFUNCTION("""COMPUTED_VALUE"""),44749)</f>
        <v>44749</v>
      </c>
      <c r="C3461" t="str">
        <f ca="1">IFERROR(__xludf.DUMMYFUNCTION("""COMPUTED_VALUE"""),"ООО ""ЧИСТЫЙ ГОРОД-ОМСК"" 127-РДО от 01.01.2022")</f>
        <v>ООО "ЧИСТЫЙ ГОРОД-ОМСК" 127-РДО от 01.01.2022</v>
      </c>
      <c r="D34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1" t="str">
        <f ca="1">IFERROR(__xludf.DUMMYFUNCTION("""COMPUTED_VALUE"""),"Новый")</f>
        <v>Новый</v>
      </c>
      <c r="G3461" s="68"/>
      <c r="K3461" s="68"/>
    </row>
    <row r="3462" spans="1:11" ht="12.75">
      <c r="A3462" s="69">
        <f ca="1">IFERROR(__xludf.DUMMYFUNCTION("""COMPUTED_VALUE"""),101417)</f>
        <v>101417</v>
      </c>
      <c r="B3462" s="4">
        <f ca="1">IFERROR(__xludf.DUMMYFUNCTION("""COMPUTED_VALUE"""),44749)</f>
        <v>44749</v>
      </c>
      <c r="C3462" t="str">
        <f ca="1">IFERROR(__xludf.DUMMYFUNCTION("""COMPUTED_VALUE"""),"ООО ""ЧИСТЫЙ ГОРОД-ОМСК"" 127-РДО от 01.01.2022")</f>
        <v>ООО "ЧИСТЫЙ ГОРОД-ОМСК" 127-РДО от 01.01.2022</v>
      </c>
      <c r="D34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2" t="str">
        <f ca="1">IFERROR(__xludf.DUMMYFUNCTION("""COMPUTED_VALUE"""),"Новый")</f>
        <v>Новый</v>
      </c>
      <c r="G3462" s="68"/>
      <c r="K3462" s="68"/>
    </row>
    <row r="3463" spans="1:11" ht="12.75">
      <c r="A3463" s="69">
        <f ca="1">IFERROR(__xludf.DUMMYFUNCTION("""COMPUTED_VALUE"""),101418)</f>
        <v>101418</v>
      </c>
      <c r="B3463" s="4">
        <f ca="1">IFERROR(__xludf.DUMMYFUNCTION("""COMPUTED_VALUE"""),44749)</f>
        <v>44749</v>
      </c>
      <c r="C3463" t="str">
        <f ca="1">IFERROR(__xludf.DUMMYFUNCTION("""COMPUTED_VALUE"""),"ООО ""ЧИСТЫЙ ГОРОД-ОМСК"" 127-РДО от 01.01.2022")</f>
        <v>ООО "ЧИСТЫЙ ГОРОД-ОМСК" 127-РДО от 01.01.2022</v>
      </c>
      <c r="D34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3" t="str">
        <f ca="1">IFERROR(__xludf.DUMMYFUNCTION("""COMPUTED_VALUE"""),"Новый")</f>
        <v>Новый</v>
      </c>
      <c r="G3463" s="68"/>
      <c r="K3463" s="68"/>
    </row>
    <row r="3464" spans="1:11" ht="12.75">
      <c r="A3464" s="69">
        <f ca="1">IFERROR(__xludf.DUMMYFUNCTION("""COMPUTED_VALUE"""),101419)</f>
        <v>101419</v>
      </c>
      <c r="B3464" s="4">
        <f ca="1">IFERROR(__xludf.DUMMYFUNCTION("""COMPUTED_VALUE"""),44749)</f>
        <v>44749</v>
      </c>
      <c r="C3464" t="str">
        <f ca="1">IFERROR(__xludf.DUMMYFUNCTION("""COMPUTED_VALUE"""),"ООО ""ЧИСТЫЙ ГОРОД-ОМСК"" 127-РДО от 01.01.2022")</f>
        <v>ООО "ЧИСТЫЙ ГОРОД-ОМСК" 127-РДО от 01.01.2022</v>
      </c>
      <c r="D34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4" t="str">
        <f ca="1">IFERROR(__xludf.DUMMYFUNCTION("""COMPUTED_VALUE"""),"Новый")</f>
        <v>Новый</v>
      </c>
      <c r="G3464" s="68"/>
      <c r="K3464" s="68"/>
    </row>
    <row r="3465" spans="1:11" ht="12.75">
      <c r="A3465" s="69">
        <f ca="1">IFERROR(__xludf.DUMMYFUNCTION("""COMPUTED_VALUE"""),101420)</f>
        <v>101420</v>
      </c>
      <c r="B3465" s="4">
        <f ca="1">IFERROR(__xludf.DUMMYFUNCTION("""COMPUTED_VALUE"""),44749)</f>
        <v>44749</v>
      </c>
      <c r="C3465" t="str">
        <f ca="1">IFERROR(__xludf.DUMMYFUNCTION("""COMPUTED_VALUE"""),"ООО ""ЧИСТЫЙ ГОРОД-ОМСК"" 127-РДО от 01.01.2022")</f>
        <v>ООО "ЧИСТЫЙ ГОРОД-ОМСК" 127-РДО от 01.01.2022</v>
      </c>
      <c r="D34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5" t="str">
        <f ca="1">IFERROR(__xludf.DUMMYFUNCTION("""COMPUTED_VALUE"""),"Новый")</f>
        <v>Новый</v>
      </c>
      <c r="G3465" s="68"/>
      <c r="K3465" s="68"/>
    </row>
    <row r="3466" spans="1:11" ht="12.75">
      <c r="A3466" s="69">
        <f ca="1">IFERROR(__xludf.DUMMYFUNCTION("""COMPUTED_VALUE"""),101421)</f>
        <v>101421</v>
      </c>
      <c r="B3466" s="4">
        <f ca="1">IFERROR(__xludf.DUMMYFUNCTION("""COMPUTED_VALUE"""),44749)</f>
        <v>44749</v>
      </c>
      <c r="C3466" t="str">
        <f ca="1">IFERROR(__xludf.DUMMYFUNCTION("""COMPUTED_VALUE"""),"ООО ""ЧИСТЫЙ ГОРОД-ОМСК"" 127-РДО от 01.01.2022")</f>
        <v>ООО "ЧИСТЫЙ ГОРОД-ОМСК" 127-РДО от 01.01.2022</v>
      </c>
      <c r="D34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6" t="str">
        <f ca="1">IFERROR(__xludf.DUMMYFUNCTION("""COMPUTED_VALUE"""),"Новый")</f>
        <v>Новый</v>
      </c>
      <c r="G3466" s="68"/>
      <c r="K3466" s="68"/>
    </row>
    <row r="3467" spans="1:11" ht="12.75">
      <c r="A3467" s="69">
        <f ca="1">IFERROR(__xludf.DUMMYFUNCTION("""COMPUTED_VALUE"""),101422)</f>
        <v>101422</v>
      </c>
      <c r="B3467" s="4">
        <f ca="1">IFERROR(__xludf.DUMMYFUNCTION("""COMPUTED_VALUE"""),44749)</f>
        <v>44749</v>
      </c>
      <c r="C3467" t="str">
        <f ca="1">IFERROR(__xludf.DUMMYFUNCTION("""COMPUTED_VALUE"""),"ООО ""ЧИСТЫЙ ГОРОД-ОМСК"" 127-РДО от 01.01.2022")</f>
        <v>ООО "ЧИСТЫЙ ГОРОД-ОМСК" 127-РДО от 01.01.2022</v>
      </c>
      <c r="D34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7" t="str">
        <f ca="1">IFERROR(__xludf.DUMMYFUNCTION("""COMPUTED_VALUE"""),"Новый")</f>
        <v>Новый</v>
      </c>
      <c r="G3467" s="68"/>
      <c r="K3467" s="68"/>
    </row>
    <row r="3468" spans="1:11" ht="12.75">
      <c r="A3468" s="69">
        <f ca="1">IFERROR(__xludf.DUMMYFUNCTION("""COMPUTED_VALUE"""),101423)</f>
        <v>101423</v>
      </c>
      <c r="B3468" s="4">
        <f ca="1">IFERROR(__xludf.DUMMYFUNCTION("""COMPUTED_VALUE"""),44749)</f>
        <v>44749</v>
      </c>
      <c r="C3468" t="str">
        <f ca="1">IFERROR(__xludf.DUMMYFUNCTION("""COMPUTED_VALUE"""),"ООО ""ЧИСТЫЙ ГОРОД-ОМСК"" 127-РДО от 01.01.2022")</f>
        <v>ООО "ЧИСТЫЙ ГОРОД-ОМСК" 127-РДО от 01.01.2022</v>
      </c>
      <c r="D34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8" t="str">
        <f ca="1">IFERROR(__xludf.DUMMYFUNCTION("""COMPUTED_VALUE"""),"Новый")</f>
        <v>Новый</v>
      </c>
      <c r="G3468" s="68"/>
      <c r="K3468" s="68"/>
    </row>
    <row r="3469" spans="1:11" ht="12.75">
      <c r="A3469" s="69">
        <f ca="1">IFERROR(__xludf.DUMMYFUNCTION("""COMPUTED_VALUE"""),101424)</f>
        <v>101424</v>
      </c>
      <c r="B3469" s="4">
        <f ca="1">IFERROR(__xludf.DUMMYFUNCTION("""COMPUTED_VALUE"""),44749)</f>
        <v>44749</v>
      </c>
      <c r="C3469" t="str">
        <f ca="1">IFERROR(__xludf.DUMMYFUNCTION("""COMPUTED_VALUE"""),"ООО ""ЧИСТЫЙ ГОРОД-ОМСК"" 127-РДО от 01.01.2022")</f>
        <v>ООО "ЧИСТЫЙ ГОРОД-ОМСК" 127-РДО от 01.01.2022</v>
      </c>
      <c r="D34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69" t="str">
        <f ca="1">IFERROR(__xludf.DUMMYFUNCTION("""COMPUTED_VALUE"""),"Новый")</f>
        <v>Новый</v>
      </c>
      <c r="G3469" s="68"/>
      <c r="K3469" s="68"/>
    </row>
    <row r="3470" spans="1:11" ht="12.75">
      <c r="A3470" s="69">
        <f ca="1">IFERROR(__xludf.DUMMYFUNCTION("""COMPUTED_VALUE"""),101425)</f>
        <v>101425</v>
      </c>
      <c r="B3470" s="4">
        <f ca="1">IFERROR(__xludf.DUMMYFUNCTION("""COMPUTED_VALUE"""),44749)</f>
        <v>44749</v>
      </c>
      <c r="C3470" t="str">
        <f ca="1">IFERROR(__xludf.DUMMYFUNCTION("""COMPUTED_VALUE"""),"ООО ""ЧИСТЫЙ ГОРОД-ОМСК"" 127-РДО от 01.01.2022")</f>
        <v>ООО "ЧИСТЫЙ ГОРОД-ОМСК" 127-РДО от 01.01.2022</v>
      </c>
      <c r="D34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70" t="str">
        <f ca="1">IFERROR(__xludf.DUMMYFUNCTION("""COMPUTED_VALUE"""),"Новый")</f>
        <v>Новый</v>
      </c>
      <c r="G3470" s="68"/>
      <c r="K3470" s="68"/>
    </row>
    <row r="3471" spans="1:11" ht="12.75">
      <c r="A3471" s="69">
        <f ca="1">IFERROR(__xludf.DUMMYFUNCTION("""COMPUTED_VALUE"""),101427)</f>
        <v>101427</v>
      </c>
      <c r="B3471" s="4">
        <f ca="1">IFERROR(__xludf.DUMMYFUNCTION("""COMPUTED_VALUE"""),44749)</f>
        <v>44749</v>
      </c>
      <c r="C3471" t="str">
        <f ca="1">IFERROR(__xludf.DUMMYFUNCTION("""COMPUTED_VALUE"""),"ООО ""ЧИСТЫЙ ГОРОД-ОМСК"" 127-РДО от 01.01.2022")</f>
        <v>ООО "ЧИСТЫЙ ГОРОД-ОМСК" 127-РДО от 01.01.2022</v>
      </c>
      <c r="D34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71" t="str">
        <f ca="1">IFERROR(__xludf.DUMMYFUNCTION("""COMPUTED_VALUE"""),"Новый")</f>
        <v>Новый</v>
      </c>
      <c r="G3471" s="68"/>
      <c r="K3471" s="68"/>
    </row>
    <row r="3472" spans="1:11" ht="12.75">
      <c r="A3472" s="69">
        <f ca="1">IFERROR(__xludf.DUMMYFUNCTION("""COMPUTED_VALUE"""),101434)</f>
        <v>101434</v>
      </c>
      <c r="B3472" s="4">
        <f ca="1">IFERROR(__xludf.DUMMYFUNCTION("""COMPUTED_VALUE"""),44749)</f>
        <v>44749</v>
      </c>
      <c r="C3472" t="str">
        <f ca="1">IFERROR(__xludf.DUMMYFUNCTION("""COMPUTED_VALUE"""),"ООО ""ЧИСТЫЙ ГОРОД-ОМСК"" 127-РДО от 01.01.2022")</f>
        <v>ООО "ЧИСТЫЙ ГОРОД-ОМСК" 127-РДО от 01.01.2022</v>
      </c>
      <c r="D34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472" t="str">
        <f ca="1">IFERROR(__xludf.DUMMYFUNCTION("""COMPUTED_VALUE"""),"Новый")</f>
        <v>Новый</v>
      </c>
      <c r="G3472" s="68"/>
      <c r="K3472" s="68"/>
    </row>
    <row r="3473" spans="1:11" ht="12.75">
      <c r="A3473" s="69">
        <f ca="1">IFERROR(__xludf.DUMMYFUNCTION("""COMPUTED_VALUE"""),101470)</f>
        <v>101470</v>
      </c>
      <c r="B3473" s="4">
        <f ca="1">IFERROR(__xludf.DUMMYFUNCTION("""COMPUTED_VALUE"""),44749)</f>
        <v>44749</v>
      </c>
      <c r="C3473" t="str">
        <f ca="1">IFERROR(__xludf.DUMMYFUNCTION("""COMPUTED_VALUE"""),"ЗАО ""ЭКОС"" 115-СТР от 01.01.2022")</f>
        <v>ЗАО "ЭКОС" 115-СТР от 01.01.2022</v>
      </c>
      <c r="D34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3" t="str">
        <f ca="1">IFERROR(__xludf.DUMMYFUNCTION("""COMPUTED_VALUE"""),"Новый")</f>
        <v>Новый</v>
      </c>
      <c r="G3473" s="68"/>
      <c r="K3473" s="68"/>
    </row>
    <row r="3474" spans="1:11" ht="12.75">
      <c r="A3474" s="69">
        <f ca="1">IFERROR(__xludf.DUMMYFUNCTION("""COMPUTED_VALUE"""),101472)</f>
        <v>101472</v>
      </c>
      <c r="B3474" s="4">
        <f ca="1">IFERROR(__xludf.DUMMYFUNCTION("""COMPUTED_VALUE"""),44749)</f>
        <v>44749</v>
      </c>
      <c r="C3474" t="str">
        <f ca="1">IFERROR(__xludf.DUMMYFUNCTION("""COMPUTED_VALUE"""),"ЗАО ""ЭКОС"" 115-СТР от 01.01.2022")</f>
        <v>ЗАО "ЭКОС" 115-СТР от 01.01.2022</v>
      </c>
      <c r="D34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4" t="str">
        <f ca="1">IFERROR(__xludf.DUMMYFUNCTION("""COMPUTED_VALUE"""),"Новый")</f>
        <v>Новый</v>
      </c>
      <c r="G3474" s="68"/>
      <c r="K3474" s="68"/>
    </row>
    <row r="3475" spans="1:11" ht="12.75">
      <c r="A3475" s="69">
        <f ca="1">IFERROR(__xludf.DUMMYFUNCTION("""COMPUTED_VALUE"""),101474)</f>
        <v>101474</v>
      </c>
      <c r="B3475" s="4">
        <f ca="1">IFERROR(__xludf.DUMMYFUNCTION("""COMPUTED_VALUE"""),44749)</f>
        <v>44749</v>
      </c>
      <c r="C3475" t="str">
        <f ca="1">IFERROR(__xludf.DUMMYFUNCTION("""COMPUTED_VALUE"""),"ЗАО ""ЭКОС"" 115-СТР от 01.01.2022")</f>
        <v>ЗАО "ЭКОС" 115-СТР от 01.01.2022</v>
      </c>
      <c r="D34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5" t="str">
        <f ca="1">IFERROR(__xludf.DUMMYFUNCTION("""COMPUTED_VALUE"""),"Новый")</f>
        <v>Новый</v>
      </c>
      <c r="G3475" s="68"/>
      <c r="K3475" s="68"/>
    </row>
    <row r="3476" spans="1:11" ht="12.75">
      <c r="A3476" s="69">
        <f ca="1">IFERROR(__xludf.DUMMYFUNCTION("""COMPUTED_VALUE"""),101476)</f>
        <v>101476</v>
      </c>
      <c r="B3476" s="4">
        <f ca="1">IFERROR(__xludf.DUMMYFUNCTION("""COMPUTED_VALUE"""),44749)</f>
        <v>44749</v>
      </c>
      <c r="C3476" t="str">
        <f ca="1">IFERROR(__xludf.DUMMYFUNCTION("""COMPUTED_VALUE"""),"ЗАО ""ЭКОС"" 115-СТР от 01.01.2022")</f>
        <v>ЗАО "ЭКОС" 115-СТР от 01.01.2022</v>
      </c>
      <c r="D34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6" t="str">
        <f ca="1">IFERROR(__xludf.DUMMYFUNCTION("""COMPUTED_VALUE"""),"Новый")</f>
        <v>Новый</v>
      </c>
      <c r="G3476" s="68"/>
      <c r="K3476" s="68"/>
    </row>
    <row r="3477" spans="1:11" ht="12.75">
      <c r="A3477" s="69">
        <f ca="1">IFERROR(__xludf.DUMMYFUNCTION("""COMPUTED_VALUE"""),101486)</f>
        <v>101486</v>
      </c>
      <c r="B3477" s="4">
        <f ca="1">IFERROR(__xludf.DUMMYFUNCTION("""COMPUTED_VALUE"""),44749)</f>
        <v>44749</v>
      </c>
      <c r="C3477" t="str">
        <f ca="1">IFERROR(__xludf.DUMMYFUNCTION("""COMPUTED_VALUE"""),"ЗАО ""ЭКОС"" 115-СТР от 01.01.2022")</f>
        <v>ЗАО "ЭКОС" 115-СТР от 01.01.2022</v>
      </c>
      <c r="D34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7" t="str">
        <f ca="1">IFERROR(__xludf.DUMMYFUNCTION("""COMPUTED_VALUE"""),"Новый")</f>
        <v>Новый</v>
      </c>
      <c r="G3477" s="68"/>
      <c r="K3477" s="68"/>
    </row>
    <row r="3478" spans="1:11" ht="12.75">
      <c r="A3478" s="69">
        <f ca="1">IFERROR(__xludf.DUMMYFUNCTION("""COMPUTED_VALUE"""),101487)</f>
        <v>101487</v>
      </c>
      <c r="B3478" s="4">
        <f ca="1">IFERROR(__xludf.DUMMYFUNCTION("""COMPUTED_VALUE"""),44749)</f>
        <v>44749</v>
      </c>
      <c r="C3478" t="str">
        <f ca="1">IFERROR(__xludf.DUMMYFUNCTION("""COMPUTED_VALUE"""),"ЗАО ""ЭКОС"" 115-СТР от 01.01.2022")</f>
        <v>ЗАО "ЭКОС" 115-СТР от 01.01.2022</v>
      </c>
      <c r="D34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8" t="str">
        <f ca="1">IFERROR(__xludf.DUMMYFUNCTION("""COMPUTED_VALUE"""),"Новый")</f>
        <v>Новый</v>
      </c>
      <c r="G3478" s="68"/>
      <c r="K3478" s="68"/>
    </row>
    <row r="3479" spans="1:11" ht="12.75">
      <c r="A3479" s="69">
        <f ca="1">IFERROR(__xludf.DUMMYFUNCTION("""COMPUTED_VALUE"""),101488)</f>
        <v>101488</v>
      </c>
      <c r="B3479" s="4">
        <f ca="1">IFERROR(__xludf.DUMMYFUNCTION("""COMPUTED_VALUE"""),44749)</f>
        <v>44749</v>
      </c>
      <c r="C3479" t="str">
        <f ca="1">IFERROR(__xludf.DUMMYFUNCTION("""COMPUTED_VALUE"""),"ЗАО ""ЭКОС"" 115-СТР от 01.01.2022")</f>
        <v>ЗАО "ЭКОС" 115-СТР от 01.01.2022</v>
      </c>
      <c r="D34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79" t="str">
        <f ca="1">IFERROR(__xludf.DUMMYFUNCTION("""COMPUTED_VALUE"""),"Новый")</f>
        <v>Новый</v>
      </c>
      <c r="G3479" s="68"/>
      <c r="K3479" s="68"/>
    </row>
    <row r="3480" spans="1:11" ht="12.75">
      <c r="A3480" s="69">
        <f ca="1">IFERROR(__xludf.DUMMYFUNCTION("""COMPUTED_VALUE"""),101489)</f>
        <v>101489</v>
      </c>
      <c r="B3480" s="4">
        <f ca="1">IFERROR(__xludf.DUMMYFUNCTION("""COMPUTED_VALUE"""),44749)</f>
        <v>44749</v>
      </c>
      <c r="C3480" t="str">
        <f ca="1">IFERROR(__xludf.DUMMYFUNCTION("""COMPUTED_VALUE"""),"ЗАО ""ЭКОС"" 115-СТР от 01.01.2022")</f>
        <v>ЗАО "ЭКОС" 115-СТР от 01.01.2022</v>
      </c>
      <c r="D34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0" t="str">
        <f ca="1">IFERROR(__xludf.DUMMYFUNCTION("""COMPUTED_VALUE"""),"Новый")</f>
        <v>Новый</v>
      </c>
      <c r="G3480" s="68"/>
      <c r="K3480" s="68"/>
    </row>
    <row r="3481" spans="1:11" ht="12.75">
      <c r="A3481" s="69">
        <f ca="1">IFERROR(__xludf.DUMMYFUNCTION("""COMPUTED_VALUE"""),101490)</f>
        <v>101490</v>
      </c>
      <c r="B3481" s="4">
        <f ca="1">IFERROR(__xludf.DUMMYFUNCTION("""COMPUTED_VALUE"""),44749)</f>
        <v>44749</v>
      </c>
      <c r="C3481" t="str">
        <f ca="1">IFERROR(__xludf.DUMMYFUNCTION("""COMPUTED_VALUE"""),"ЗАО ""ЭКОС"" 115-СТР от 01.01.2022")</f>
        <v>ЗАО "ЭКОС" 115-СТР от 01.01.2022</v>
      </c>
      <c r="D34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1" t="str">
        <f ca="1">IFERROR(__xludf.DUMMYFUNCTION("""COMPUTED_VALUE"""),"Новый")</f>
        <v>Новый</v>
      </c>
      <c r="G3481" s="68"/>
      <c r="K3481" s="68"/>
    </row>
    <row r="3482" spans="1:11" ht="12.75">
      <c r="A3482" s="69">
        <f ca="1">IFERROR(__xludf.DUMMYFUNCTION("""COMPUTED_VALUE"""),101491)</f>
        <v>101491</v>
      </c>
      <c r="B3482" s="4">
        <f ca="1">IFERROR(__xludf.DUMMYFUNCTION("""COMPUTED_VALUE"""),44749)</f>
        <v>44749</v>
      </c>
      <c r="C3482" t="str">
        <f ca="1">IFERROR(__xludf.DUMMYFUNCTION("""COMPUTED_VALUE"""),"ЗАО ""ЭКОС"" 115-СТР от 01.01.2022")</f>
        <v>ЗАО "ЭКОС" 115-СТР от 01.01.2022</v>
      </c>
      <c r="D34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2" t="str">
        <f ca="1">IFERROR(__xludf.DUMMYFUNCTION("""COMPUTED_VALUE"""),"Новый")</f>
        <v>Новый</v>
      </c>
      <c r="G3482" s="68"/>
      <c r="K3482" s="68"/>
    </row>
    <row r="3483" spans="1:11" ht="12.75">
      <c r="A3483" s="69">
        <f ca="1">IFERROR(__xludf.DUMMYFUNCTION("""COMPUTED_VALUE"""),101492)</f>
        <v>101492</v>
      </c>
      <c r="B3483" s="4">
        <f ca="1">IFERROR(__xludf.DUMMYFUNCTION("""COMPUTED_VALUE"""),44749)</f>
        <v>44749</v>
      </c>
      <c r="C3483" t="str">
        <f ca="1">IFERROR(__xludf.DUMMYFUNCTION("""COMPUTED_VALUE"""),"ЗАО ""ЭКОС"" 115-СТР от 01.01.2022")</f>
        <v>ЗАО "ЭКОС" 115-СТР от 01.01.2022</v>
      </c>
      <c r="D34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3" t="str">
        <f ca="1">IFERROR(__xludf.DUMMYFUNCTION("""COMPUTED_VALUE"""),"Новый")</f>
        <v>Новый</v>
      </c>
      <c r="G3483" s="68"/>
      <c r="K3483" s="68"/>
    </row>
    <row r="3484" spans="1:11" ht="12.75">
      <c r="A3484" s="69">
        <f ca="1">IFERROR(__xludf.DUMMYFUNCTION("""COMPUTED_VALUE"""),101493)</f>
        <v>101493</v>
      </c>
      <c r="B3484" s="4">
        <f ca="1">IFERROR(__xludf.DUMMYFUNCTION("""COMPUTED_VALUE"""),44749)</f>
        <v>44749</v>
      </c>
      <c r="C3484" t="str">
        <f ca="1">IFERROR(__xludf.DUMMYFUNCTION("""COMPUTED_VALUE"""),"ЗАО ""ЭКОС"" 115-СТР от 01.01.2022")</f>
        <v>ЗАО "ЭКОС" 115-СТР от 01.01.2022</v>
      </c>
      <c r="D34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4" t="str">
        <f ca="1">IFERROR(__xludf.DUMMYFUNCTION("""COMPUTED_VALUE"""),"Новый")</f>
        <v>Новый</v>
      </c>
      <c r="G3484" s="68"/>
      <c r="K3484" s="68"/>
    </row>
    <row r="3485" spans="1:11" ht="12.75">
      <c r="A3485" s="69">
        <f ca="1">IFERROR(__xludf.DUMMYFUNCTION("""COMPUTED_VALUE"""),101494)</f>
        <v>101494</v>
      </c>
      <c r="B3485" s="4">
        <f ca="1">IFERROR(__xludf.DUMMYFUNCTION("""COMPUTED_VALUE"""),44749)</f>
        <v>44749</v>
      </c>
      <c r="C3485" t="str">
        <f ca="1">IFERROR(__xludf.DUMMYFUNCTION("""COMPUTED_VALUE"""),"ЗАО ""ЭКОС"" 115-СТР от 01.01.2022")</f>
        <v>ЗАО "ЭКОС" 115-СТР от 01.01.2022</v>
      </c>
      <c r="D34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5" t="str">
        <f ca="1">IFERROR(__xludf.DUMMYFUNCTION("""COMPUTED_VALUE"""),"Новый")</f>
        <v>Новый</v>
      </c>
      <c r="G3485" s="68"/>
      <c r="K3485" s="68"/>
    </row>
    <row r="3486" spans="1:11" ht="12.75">
      <c r="A3486" s="69">
        <f ca="1">IFERROR(__xludf.DUMMYFUNCTION("""COMPUTED_VALUE"""),101495)</f>
        <v>101495</v>
      </c>
      <c r="B3486" s="4">
        <f ca="1">IFERROR(__xludf.DUMMYFUNCTION("""COMPUTED_VALUE"""),44749)</f>
        <v>44749</v>
      </c>
      <c r="C3486" t="str">
        <f ca="1">IFERROR(__xludf.DUMMYFUNCTION("""COMPUTED_VALUE"""),"ЗАО ""ЭКОС"" 115-СТР от 01.01.2022")</f>
        <v>ЗАО "ЭКОС" 115-СТР от 01.01.2022</v>
      </c>
      <c r="D34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6" t="str">
        <f ca="1">IFERROR(__xludf.DUMMYFUNCTION("""COMPUTED_VALUE"""),"Новый")</f>
        <v>Новый</v>
      </c>
      <c r="G3486" s="68"/>
      <c r="K3486" s="68"/>
    </row>
    <row r="3487" spans="1:11" ht="12.75">
      <c r="A3487" s="69">
        <f ca="1">IFERROR(__xludf.DUMMYFUNCTION("""COMPUTED_VALUE"""),101497)</f>
        <v>101497</v>
      </c>
      <c r="B3487" s="4">
        <f ca="1">IFERROR(__xludf.DUMMYFUNCTION("""COMPUTED_VALUE"""),44749)</f>
        <v>44749</v>
      </c>
      <c r="C3487" t="str">
        <f ca="1">IFERROR(__xludf.DUMMYFUNCTION("""COMPUTED_VALUE"""),"ЗАО ""ЭКОС"" 115-СТР от 01.01.2022")</f>
        <v>ЗАО "ЭКОС" 115-СТР от 01.01.2022</v>
      </c>
      <c r="D34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7" t="str">
        <f ca="1">IFERROR(__xludf.DUMMYFUNCTION("""COMPUTED_VALUE"""),"Новый")</f>
        <v>Новый</v>
      </c>
      <c r="G3487" s="68"/>
      <c r="K3487" s="68"/>
    </row>
    <row r="3488" spans="1:11" ht="12.75">
      <c r="A3488" s="69">
        <f ca="1">IFERROR(__xludf.DUMMYFUNCTION("""COMPUTED_VALUE"""),101505)</f>
        <v>101505</v>
      </c>
      <c r="B3488" s="4">
        <f ca="1">IFERROR(__xludf.DUMMYFUNCTION("""COMPUTED_VALUE"""),44749)</f>
        <v>44749</v>
      </c>
      <c r="C3488" t="str">
        <f ca="1">IFERROR(__xludf.DUMMYFUNCTION("""COMPUTED_VALUE"""),"ЗАО ""ЭКОС"" 115-СТР от 01.01.2022")</f>
        <v>ЗАО "ЭКОС" 115-СТР от 01.01.2022</v>
      </c>
      <c r="D34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8" t="str">
        <f ca="1">IFERROR(__xludf.DUMMYFUNCTION("""COMPUTED_VALUE"""),"Новый")</f>
        <v>Новый</v>
      </c>
      <c r="G3488" s="68"/>
      <c r="K3488" s="68"/>
    </row>
    <row r="3489" spans="1:11" ht="12.75">
      <c r="A3489" s="69">
        <f ca="1">IFERROR(__xludf.DUMMYFUNCTION("""COMPUTED_VALUE"""),101516)</f>
        <v>101516</v>
      </c>
      <c r="B3489" s="4">
        <f ca="1">IFERROR(__xludf.DUMMYFUNCTION("""COMPUTED_VALUE"""),44749)</f>
        <v>44749</v>
      </c>
      <c r="C3489" t="str">
        <f ca="1">IFERROR(__xludf.DUMMYFUNCTION("""COMPUTED_VALUE"""),"ЗАО ""ЭКОС"" 115-СТР от 01.01.2022")</f>
        <v>ЗАО "ЭКОС" 115-СТР от 01.01.2022</v>
      </c>
      <c r="D34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89" t="str">
        <f ca="1">IFERROR(__xludf.DUMMYFUNCTION("""COMPUTED_VALUE"""),"Новый")</f>
        <v>Новый</v>
      </c>
      <c r="G3489" s="68"/>
      <c r="K3489" s="68"/>
    </row>
    <row r="3490" spans="1:11" ht="12.75">
      <c r="A3490" s="69">
        <f ca="1">IFERROR(__xludf.DUMMYFUNCTION("""COMPUTED_VALUE"""),101517)</f>
        <v>101517</v>
      </c>
      <c r="B3490" s="4">
        <f ca="1">IFERROR(__xludf.DUMMYFUNCTION("""COMPUTED_VALUE"""),44749)</f>
        <v>44749</v>
      </c>
      <c r="C3490" t="str">
        <f ca="1">IFERROR(__xludf.DUMMYFUNCTION("""COMPUTED_VALUE"""),"ЗАО ""ЭКОС"" 115-СТР от 01.01.2022")</f>
        <v>ЗАО "ЭКОС" 115-СТР от 01.01.2022</v>
      </c>
      <c r="D34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0" t="str">
        <f ca="1">IFERROR(__xludf.DUMMYFUNCTION("""COMPUTED_VALUE"""),"Новый")</f>
        <v>Новый</v>
      </c>
      <c r="G3490" s="68"/>
      <c r="K3490" s="68"/>
    </row>
    <row r="3491" spans="1:11" ht="12.75">
      <c r="A3491" s="69">
        <f ca="1">IFERROR(__xludf.DUMMYFUNCTION("""COMPUTED_VALUE"""),101518)</f>
        <v>101518</v>
      </c>
      <c r="B3491" s="4">
        <f ca="1">IFERROR(__xludf.DUMMYFUNCTION("""COMPUTED_VALUE"""),44749)</f>
        <v>44749</v>
      </c>
      <c r="C3491" t="str">
        <f ca="1">IFERROR(__xludf.DUMMYFUNCTION("""COMPUTED_VALUE"""),"ЗАО ""ЭКОС"" 115-СТР от 01.01.2022")</f>
        <v>ЗАО "ЭКОС" 115-СТР от 01.01.2022</v>
      </c>
      <c r="D34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1" t="str">
        <f ca="1">IFERROR(__xludf.DUMMYFUNCTION("""COMPUTED_VALUE"""),"Новый")</f>
        <v>Новый</v>
      </c>
      <c r="G3491" s="68"/>
      <c r="K3491" s="68"/>
    </row>
    <row r="3492" spans="1:11" ht="12.75">
      <c r="A3492" s="69">
        <f ca="1">IFERROR(__xludf.DUMMYFUNCTION("""COMPUTED_VALUE"""),101519)</f>
        <v>101519</v>
      </c>
      <c r="B3492" s="4">
        <f ca="1">IFERROR(__xludf.DUMMYFUNCTION("""COMPUTED_VALUE"""),44749)</f>
        <v>44749</v>
      </c>
      <c r="C3492" t="str">
        <f ca="1">IFERROR(__xludf.DUMMYFUNCTION("""COMPUTED_VALUE"""),"ЗАО ""ЭКОС"" 115-СТР от 01.01.2022")</f>
        <v>ЗАО "ЭКОС" 115-СТР от 01.01.2022</v>
      </c>
      <c r="D34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2" t="str">
        <f ca="1">IFERROR(__xludf.DUMMYFUNCTION("""COMPUTED_VALUE"""),"Новый")</f>
        <v>Новый</v>
      </c>
      <c r="G3492" s="68"/>
      <c r="K3492" s="68"/>
    </row>
    <row r="3493" spans="1:11" ht="12.75">
      <c r="A3493" s="69">
        <f ca="1">IFERROR(__xludf.DUMMYFUNCTION("""COMPUTED_VALUE"""),101520)</f>
        <v>101520</v>
      </c>
      <c r="B3493" s="4">
        <f ca="1">IFERROR(__xludf.DUMMYFUNCTION("""COMPUTED_VALUE"""),44749)</f>
        <v>44749</v>
      </c>
      <c r="C3493" t="str">
        <f ca="1">IFERROR(__xludf.DUMMYFUNCTION("""COMPUTED_VALUE"""),"ЗАО ""ЭКОС"" 115-СТР от 01.01.2022")</f>
        <v>ЗАО "ЭКОС" 115-СТР от 01.01.2022</v>
      </c>
      <c r="D34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3" t="str">
        <f ca="1">IFERROR(__xludf.DUMMYFUNCTION("""COMPUTED_VALUE"""),"Новый")</f>
        <v>Новый</v>
      </c>
      <c r="G3493" s="68"/>
      <c r="K3493" s="68"/>
    </row>
    <row r="3494" spans="1:11" ht="12.75">
      <c r="A3494" s="69">
        <f ca="1">IFERROR(__xludf.DUMMYFUNCTION("""COMPUTED_VALUE"""),101521)</f>
        <v>101521</v>
      </c>
      <c r="B3494" s="4">
        <f ca="1">IFERROR(__xludf.DUMMYFUNCTION("""COMPUTED_VALUE"""),44749)</f>
        <v>44749</v>
      </c>
      <c r="C3494" t="str">
        <f ca="1">IFERROR(__xludf.DUMMYFUNCTION("""COMPUTED_VALUE"""),"ЗАО ""ЭКОС"" 115-СТР от 01.01.2022")</f>
        <v>ЗАО "ЭКОС" 115-СТР от 01.01.2022</v>
      </c>
      <c r="D34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4" t="str">
        <f ca="1">IFERROR(__xludf.DUMMYFUNCTION("""COMPUTED_VALUE"""),"Новый")</f>
        <v>Новый</v>
      </c>
      <c r="G3494" s="68"/>
      <c r="K3494" s="68"/>
    </row>
    <row r="3495" spans="1:11" ht="12.75">
      <c r="A3495" s="69">
        <f ca="1">IFERROR(__xludf.DUMMYFUNCTION("""COMPUTED_VALUE"""),101522)</f>
        <v>101522</v>
      </c>
      <c r="B3495" s="4">
        <f ca="1">IFERROR(__xludf.DUMMYFUNCTION("""COMPUTED_VALUE"""),44749)</f>
        <v>44749</v>
      </c>
      <c r="C3495" t="str">
        <f ca="1">IFERROR(__xludf.DUMMYFUNCTION("""COMPUTED_VALUE"""),"ЗАО ""ЭКОС"" 115-СТР от 01.01.2022")</f>
        <v>ЗАО "ЭКОС" 115-СТР от 01.01.2022</v>
      </c>
      <c r="D34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5" t="str">
        <f ca="1">IFERROR(__xludf.DUMMYFUNCTION("""COMPUTED_VALUE"""),"Новый")</f>
        <v>Новый</v>
      </c>
      <c r="G3495" s="68"/>
      <c r="K3495" s="68"/>
    </row>
    <row r="3496" spans="1:11" ht="12.75">
      <c r="A3496" s="69">
        <f ca="1">IFERROR(__xludf.DUMMYFUNCTION("""COMPUTED_VALUE"""),101523)</f>
        <v>101523</v>
      </c>
      <c r="B3496" s="4">
        <f ca="1">IFERROR(__xludf.DUMMYFUNCTION("""COMPUTED_VALUE"""),44749)</f>
        <v>44749</v>
      </c>
      <c r="C3496" t="str">
        <f ca="1">IFERROR(__xludf.DUMMYFUNCTION("""COMPUTED_VALUE"""),"ЗАО ""ЭКОС"" 115-СТР от 01.01.2022")</f>
        <v>ЗАО "ЭКОС" 115-СТР от 01.01.2022</v>
      </c>
      <c r="D34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6" t="str">
        <f ca="1">IFERROR(__xludf.DUMMYFUNCTION("""COMPUTED_VALUE"""),"Новый")</f>
        <v>Новый</v>
      </c>
      <c r="G3496" s="68"/>
      <c r="K3496" s="68"/>
    </row>
    <row r="3497" spans="1:11" ht="12.75">
      <c r="A3497" s="69">
        <f ca="1">IFERROR(__xludf.DUMMYFUNCTION("""COMPUTED_VALUE"""),101524)</f>
        <v>101524</v>
      </c>
      <c r="B3497" s="4">
        <f ca="1">IFERROR(__xludf.DUMMYFUNCTION("""COMPUTED_VALUE"""),44749)</f>
        <v>44749</v>
      </c>
      <c r="C3497" t="str">
        <f ca="1">IFERROR(__xludf.DUMMYFUNCTION("""COMPUTED_VALUE"""),"ЗАО ""ЭКОС"" 115-СТР от 01.01.2022")</f>
        <v>ЗАО "ЭКОС" 115-СТР от 01.01.2022</v>
      </c>
      <c r="D34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7" t="str">
        <f ca="1">IFERROR(__xludf.DUMMYFUNCTION("""COMPUTED_VALUE"""),"Новый")</f>
        <v>Новый</v>
      </c>
      <c r="G3497" s="68"/>
      <c r="K3497" s="68"/>
    </row>
    <row r="3498" spans="1:11" ht="12.75">
      <c r="A3498" s="69">
        <f ca="1">IFERROR(__xludf.DUMMYFUNCTION("""COMPUTED_VALUE"""),101525)</f>
        <v>101525</v>
      </c>
      <c r="B3498" s="4">
        <f ca="1">IFERROR(__xludf.DUMMYFUNCTION("""COMPUTED_VALUE"""),44749)</f>
        <v>44749</v>
      </c>
      <c r="C3498" t="str">
        <f ca="1">IFERROR(__xludf.DUMMYFUNCTION("""COMPUTED_VALUE"""),"ЗАО ""ЭКОС"" 115-СТР от 01.01.2022")</f>
        <v>ЗАО "ЭКОС" 115-СТР от 01.01.2022</v>
      </c>
      <c r="D34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8" t="str">
        <f ca="1">IFERROR(__xludf.DUMMYFUNCTION("""COMPUTED_VALUE"""),"Новый")</f>
        <v>Новый</v>
      </c>
      <c r="G3498" s="68"/>
      <c r="K3498" s="68"/>
    </row>
    <row r="3499" spans="1:11" ht="12.75">
      <c r="A3499" s="69">
        <f ca="1">IFERROR(__xludf.DUMMYFUNCTION("""COMPUTED_VALUE"""),101526)</f>
        <v>101526</v>
      </c>
      <c r="B3499" s="4">
        <f ca="1">IFERROR(__xludf.DUMMYFUNCTION("""COMPUTED_VALUE"""),44749)</f>
        <v>44749</v>
      </c>
      <c r="C3499" t="str">
        <f ca="1">IFERROR(__xludf.DUMMYFUNCTION("""COMPUTED_VALUE"""),"ЗАО ""ЭКОС"" 115-СТР от 01.01.2022")</f>
        <v>ЗАО "ЭКОС" 115-СТР от 01.01.2022</v>
      </c>
      <c r="D34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499" t="str">
        <f ca="1">IFERROR(__xludf.DUMMYFUNCTION("""COMPUTED_VALUE"""),"Новый")</f>
        <v>Новый</v>
      </c>
      <c r="G3499" s="68"/>
      <c r="K3499" s="68"/>
    </row>
    <row r="3500" spans="1:11" ht="12.75">
      <c r="A3500" s="69">
        <f ca="1">IFERROR(__xludf.DUMMYFUNCTION("""COMPUTED_VALUE"""),101527)</f>
        <v>101527</v>
      </c>
      <c r="B3500" s="4">
        <f ca="1">IFERROR(__xludf.DUMMYFUNCTION("""COMPUTED_VALUE"""),44749)</f>
        <v>44749</v>
      </c>
      <c r="C3500" t="str">
        <f ca="1">IFERROR(__xludf.DUMMYFUNCTION("""COMPUTED_VALUE"""),"ЗАО ""ЭКОС"" 115-СТР от 01.01.2022")</f>
        <v>ЗАО "ЭКОС" 115-СТР от 01.01.2022</v>
      </c>
      <c r="D35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0" t="str">
        <f ca="1">IFERROR(__xludf.DUMMYFUNCTION("""COMPUTED_VALUE"""),"Новый")</f>
        <v>Новый</v>
      </c>
      <c r="G3500" s="68"/>
      <c r="K3500" s="68"/>
    </row>
    <row r="3501" spans="1:11" ht="12.75">
      <c r="A3501" s="69">
        <f ca="1">IFERROR(__xludf.DUMMYFUNCTION("""COMPUTED_VALUE"""),101528)</f>
        <v>101528</v>
      </c>
      <c r="B3501" s="4">
        <f ca="1">IFERROR(__xludf.DUMMYFUNCTION("""COMPUTED_VALUE"""),44749)</f>
        <v>44749</v>
      </c>
      <c r="C3501" t="str">
        <f ca="1">IFERROR(__xludf.DUMMYFUNCTION("""COMPUTED_VALUE"""),"ЗАО ""ЭКОС"" 115-СТР от 01.01.2022")</f>
        <v>ЗАО "ЭКОС" 115-СТР от 01.01.2022</v>
      </c>
      <c r="D35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1" t="str">
        <f ca="1">IFERROR(__xludf.DUMMYFUNCTION("""COMPUTED_VALUE"""),"Новый")</f>
        <v>Новый</v>
      </c>
      <c r="G3501" s="68"/>
      <c r="K3501" s="68"/>
    </row>
    <row r="3502" spans="1:11" ht="12.75">
      <c r="A3502" s="69">
        <f ca="1">IFERROR(__xludf.DUMMYFUNCTION("""COMPUTED_VALUE"""),101529)</f>
        <v>101529</v>
      </c>
      <c r="B3502" s="4">
        <f ca="1">IFERROR(__xludf.DUMMYFUNCTION("""COMPUTED_VALUE"""),44749)</f>
        <v>44749</v>
      </c>
      <c r="C3502" t="str">
        <f ca="1">IFERROR(__xludf.DUMMYFUNCTION("""COMPUTED_VALUE"""),"ЗАО ""ЭКОС"" 115-СТР от 01.01.2022")</f>
        <v>ЗАО "ЭКОС" 115-СТР от 01.01.2022</v>
      </c>
      <c r="D35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2" t="str">
        <f ca="1">IFERROR(__xludf.DUMMYFUNCTION("""COMPUTED_VALUE"""),"Новый")</f>
        <v>Новый</v>
      </c>
      <c r="G3502" s="68"/>
      <c r="K3502" s="68"/>
    </row>
    <row r="3503" spans="1:11" ht="12.75">
      <c r="A3503" s="69">
        <f ca="1">IFERROR(__xludf.DUMMYFUNCTION("""COMPUTED_VALUE"""),101530)</f>
        <v>101530</v>
      </c>
      <c r="B3503" s="4">
        <f ca="1">IFERROR(__xludf.DUMMYFUNCTION("""COMPUTED_VALUE"""),44749)</f>
        <v>44749</v>
      </c>
      <c r="C3503" t="str">
        <f ca="1">IFERROR(__xludf.DUMMYFUNCTION("""COMPUTED_VALUE"""),"ЗАО ""ЭКОС"" 115-СТР от 01.01.2022")</f>
        <v>ЗАО "ЭКОС" 115-СТР от 01.01.2022</v>
      </c>
      <c r="D35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3" t="str">
        <f ca="1">IFERROR(__xludf.DUMMYFUNCTION("""COMPUTED_VALUE"""),"Новый")</f>
        <v>Новый</v>
      </c>
      <c r="G3503" s="68"/>
      <c r="K3503" s="68"/>
    </row>
    <row r="3504" spans="1:11" ht="12.75">
      <c r="A3504" s="69">
        <f ca="1">IFERROR(__xludf.DUMMYFUNCTION("""COMPUTED_VALUE"""),101531)</f>
        <v>101531</v>
      </c>
      <c r="B3504" s="4">
        <f ca="1">IFERROR(__xludf.DUMMYFUNCTION("""COMPUTED_VALUE"""),44749)</f>
        <v>44749</v>
      </c>
      <c r="C3504" t="str">
        <f ca="1">IFERROR(__xludf.DUMMYFUNCTION("""COMPUTED_VALUE"""),"ЗАО ""ЭКОС"" 115-СТР от 01.01.2022")</f>
        <v>ЗАО "ЭКОС" 115-СТР от 01.01.2022</v>
      </c>
      <c r="D35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4" t="str">
        <f ca="1">IFERROR(__xludf.DUMMYFUNCTION("""COMPUTED_VALUE"""),"Новый")</f>
        <v>Новый</v>
      </c>
      <c r="G3504" s="68"/>
      <c r="K3504" s="68"/>
    </row>
    <row r="3505" spans="1:11" ht="12.75">
      <c r="A3505" s="69">
        <f ca="1">IFERROR(__xludf.DUMMYFUNCTION("""COMPUTED_VALUE"""),101532)</f>
        <v>101532</v>
      </c>
      <c r="B3505" s="4">
        <f ca="1">IFERROR(__xludf.DUMMYFUNCTION("""COMPUTED_VALUE"""),44749)</f>
        <v>44749</v>
      </c>
      <c r="C3505" t="str">
        <f ca="1">IFERROR(__xludf.DUMMYFUNCTION("""COMPUTED_VALUE"""),"ЗАО ""ЭКОС"" 115-СТР от 01.01.2022")</f>
        <v>ЗАО "ЭКОС" 115-СТР от 01.01.2022</v>
      </c>
      <c r="D35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5" t="str">
        <f ca="1">IFERROR(__xludf.DUMMYFUNCTION("""COMPUTED_VALUE"""),"Новый")</f>
        <v>Новый</v>
      </c>
      <c r="G3505" s="68"/>
      <c r="K3505" s="68"/>
    </row>
    <row r="3506" spans="1:11" ht="12.75">
      <c r="A3506" s="69">
        <f ca="1">IFERROR(__xludf.DUMMYFUNCTION("""COMPUTED_VALUE"""),101533)</f>
        <v>101533</v>
      </c>
      <c r="B3506" s="4">
        <f ca="1">IFERROR(__xludf.DUMMYFUNCTION("""COMPUTED_VALUE"""),44749)</f>
        <v>44749</v>
      </c>
      <c r="C3506" t="str">
        <f ca="1">IFERROR(__xludf.DUMMYFUNCTION("""COMPUTED_VALUE"""),"ЗАО ""ЭКОС"" 115-СТР от 01.01.2022")</f>
        <v>ЗАО "ЭКОС" 115-СТР от 01.01.2022</v>
      </c>
      <c r="D35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6" t="str">
        <f ca="1">IFERROR(__xludf.DUMMYFUNCTION("""COMPUTED_VALUE"""),"Новый")</f>
        <v>Новый</v>
      </c>
      <c r="G3506" s="68"/>
      <c r="K3506" s="68"/>
    </row>
    <row r="3507" spans="1:11" ht="12.75">
      <c r="A3507" s="69">
        <f ca="1">IFERROR(__xludf.DUMMYFUNCTION("""COMPUTED_VALUE"""),101534)</f>
        <v>101534</v>
      </c>
      <c r="B3507" s="4">
        <f ca="1">IFERROR(__xludf.DUMMYFUNCTION("""COMPUTED_VALUE"""),44749)</f>
        <v>44749</v>
      </c>
      <c r="C3507" t="str">
        <f ca="1">IFERROR(__xludf.DUMMYFUNCTION("""COMPUTED_VALUE"""),"ЗАО ""ЭКОС"" 115-СТР от 01.01.2022")</f>
        <v>ЗАО "ЭКОС" 115-СТР от 01.01.2022</v>
      </c>
      <c r="D35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7" t="str">
        <f ca="1">IFERROR(__xludf.DUMMYFUNCTION("""COMPUTED_VALUE"""),"Новый")</f>
        <v>Новый</v>
      </c>
      <c r="G3507" s="68"/>
      <c r="K3507" s="68"/>
    </row>
    <row r="3508" spans="1:11" ht="12.75">
      <c r="A3508" s="69">
        <f ca="1">IFERROR(__xludf.DUMMYFUNCTION("""COMPUTED_VALUE"""),101535)</f>
        <v>101535</v>
      </c>
      <c r="B3508" s="4">
        <f ca="1">IFERROR(__xludf.DUMMYFUNCTION("""COMPUTED_VALUE"""),44749)</f>
        <v>44749</v>
      </c>
      <c r="C3508" t="str">
        <f ca="1">IFERROR(__xludf.DUMMYFUNCTION("""COMPUTED_VALUE"""),"ЗАО ""ЭКОС"" 115-СТР от 01.01.2022")</f>
        <v>ЗАО "ЭКОС" 115-СТР от 01.01.2022</v>
      </c>
      <c r="D35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8" t="str">
        <f ca="1">IFERROR(__xludf.DUMMYFUNCTION("""COMPUTED_VALUE"""),"Новый")</f>
        <v>Новый</v>
      </c>
      <c r="G3508" s="68"/>
      <c r="K3508" s="68"/>
    </row>
    <row r="3509" spans="1:11" ht="12.75">
      <c r="A3509" s="69">
        <f ca="1">IFERROR(__xludf.DUMMYFUNCTION("""COMPUTED_VALUE"""),101536)</f>
        <v>101536</v>
      </c>
      <c r="B3509" s="4">
        <f ca="1">IFERROR(__xludf.DUMMYFUNCTION("""COMPUTED_VALUE"""),44749)</f>
        <v>44749</v>
      </c>
      <c r="C3509" t="str">
        <f ca="1">IFERROR(__xludf.DUMMYFUNCTION("""COMPUTED_VALUE"""),"ЗАО ""ЭКОС"" 115-СТР от 01.01.2022")</f>
        <v>ЗАО "ЭКОС" 115-СТР от 01.01.2022</v>
      </c>
      <c r="D35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09" t="str">
        <f ca="1">IFERROR(__xludf.DUMMYFUNCTION("""COMPUTED_VALUE"""),"Новый")</f>
        <v>Новый</v>
      </c>
      <c r="G3509" s="68"/>
      <c r="K3509" s="68"/>
    </row>
    <row r="3510" spans="1:11" ht="12.75">
      <c r="A3510" s="69">
        <f ca="1">IFERROR(__xludf.DUMMYFUNCTION("""COMPUTED_VALUE"""),101537)</f>
        <v>101537</v>
      </c>
      <c r="B3510" s="4">
        <f ca="1">IFERROR(__xludf.DUMMYFUNCTION("""COMPUTED_VALUE"""),44749)</f>
        <v>44749</v>
      </c>
      <c r="C3510" t="str">
        <f ca="1">IFERROR(__xludf.DUMMYFUNCTION("""COMPUTED_VALUE"""),"ЗАО ""ЭКОС"" 115-СТР от 01.01.2022")</f>
        <v>ЗАО "ЭКОС" 115-СТР от 01.01.2022</v>
      </c>
      <c r="D35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0" t="str">
        <f ca="1">IFERROR(__xludf.DUMMYFUNCTION("""COMPUTED_VALUE"""),"Новый")</f>
        <v>Новый</v>
      </c>
      <c r="G3510" s="68"/>
      <c r="K3510" s="68"/>
    </row>
    <row r="3511" spans="1:11" ht="12.75">
      <c r="A3511" s="69">
        <f ca="1">IFERROR(__xludf.DUMMYFUNCTION("""COMPUTED_VALUE"""),101538)</f>
        <v>101538</v>
      </c>
      <c r="B3511" s="4">
        <f ca="1">IFERROR(__xludf.DUMMYFUNCTION("""COMPUTED_VALUE"""),44749)</f>
        <v>44749</v>
      </c>
      <c r="C3511" t="str">
        <f ca="1">IFERROR(__xludf.DUMMYFUNCTION("""COMPUTED_VALUE"""),"ЗАО ""ЭКОС"" 115-СТР от 01.01.2022")</f>
        <v>ЗАО "ЭКОС" 115-СТР от 01.01.2022</v>
      </c>
      <c r="D35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1" t="str">
        <f ca="1">IFERROR(__xludf.DUMMYFUNCTION("""COMPUTED_VALUE"""),"Новый")</f>
        <v>Новый</v>
      </c>
      <c r="G3511" s="68"/>
      <c r="K3511" s="68"/>
    </row>
    <row r="3512" spans="1:11" ht="12.75">
      <c r="A3512" s="69">
        <f ca="1">IFERROR(__xludf.DUMMYFUNCTION("""COMPUTED_VALUE"""),101539)</f>
        <v>101539</v>
      </c>
      <c r="B3512" s="4">
        <f ca="1">IFERROR(__xludf.DUMMYFUNCTION("""COMPUTED_VALUE"""),44749)</f>
        <v>44749</v>
      </c>
      <c r="C3512" t="str">
        <f ca="1">IFERROR(__xludf.DUMMYFUNCTION("""COMPUTED_VALUE"""),"ЗАО ""ЭКОС"" 115-СТР от 01.01.2022")</f>
        <v>ЗАО "ЭКОС" 115-СТР от 01.01.2022</v>
      </c>
      <c r="D35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2" t="str">
        <f ca="1">IFERROR(__xludf.DUMMYFUNCTION("""COMPUTED_VALUE"""),"Новый")</f>
        <v>Новый</v>
      </c>
      <c r="G3512" s="68"/>
      <c r="K3512" s="68"/>
    </row>
    <row r="3513" spans="1:11" ht="12.75">
      <c r="A3513" s="69">
        <f ca="1">IFERROR(__xludf.DUMMYFUNCTION("""COMPUTED_VALUE"""),101540)</f>
        <v>101540</v>
      </c>
      <c r="B3513" s="4">
        <f ca="1">IFERROR(__xludf.DUMMYFUNCTION("""COMPUTED_VALUE"""),44749)</f>
        <v>44749</v>
      </c>
      <c r="C3513" t="str">
        <f ca="1">IFERROR(__xludf.DUMMYFUNCTION("""COMPUTED_VALUE"""),"ЗАО ""ЭКОС"" 115-СТР от 01.01.2022")</f>
        <v>ЗАО "ЭКОС" 115-СТР от 01.01.2022</v>
      </c>
      <c r="D35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3" t="str">
        <f ca="1">IFERROR(__xludf.DUMMYFUNCTION("""COMPUTED_VALUE"""),"Новый")</f>
        <v>Новый</v>
      </c>
      <c r="G3513" s="68"/>
      <c r="K3513" s="68"/>
    </row>
    <row r="3514" spans="1:11" ht="12.75">
      <c r="A3514" s="69">
        <f ca="1">IFERROR(__xludf.DUMMYFUNCTION("""COMPUTED_VALUE"""),101541)</f>
        <v>101541</v>
      </c>
      <c r="B3514" s="4">
        <f ca="1">IFERROR(__xludf.DUMMYFUNCTION("""COMPUTED_VALUE"""),44749)</f>
        <v>44749</v>
      </c>
      <c r="C3514" t="str">
        <f ca="1">IFERROR(__xludf.DUMMYFUNCTION("""COMPUTED_VALUE"""),"ЗАО ""ЭКОС"" 115-СТР от 01.01.2022")</f>
        <v>ЗАО "ЭКОС" 115-СТР от 01.01.2022</v>
      </c>
      <c r="D35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4" t="str">
        <f ca="1">IFERROR(__xludf.DUMMYFUNCTION("""COMPUTED_VALUE"""),"Новый")</f>
        <v>Новый</v>
      </c>
      <c r="G3514" s="68"/>
      <c r="K3514" s="68"/>
    </row>
    <row r="3515" spans="1:11" ht="12.75">
      <c r="A3515" s="69">
        <f ca="1">IFERROR(__xludf.DUMMYFUNCTION("""COMPUTED_VALUE"""),101542)</f>
        <v>101542</v>
      </c>
      <c r="B3515" s="4">
        <f ca="1">IFERROR(__xludf.DUMMYFUNCTION("""COMPUTED_VALUE"""),44749)</f>
        <v>44749</v>
      </c>
      <c r="C3515" t="str">
        <f ca="1">IFERROR(__xludf.DUMMYFUNCTION("""COMPUTED_VALUE"""),"ЗАО ""ЭКОС"" 115-СТР от 01.01.2022")</f>
        <v>ЗАО "ЭКОС" 115-СТР от 01.01.2022</v>
      </c>
      <c r="D35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5" t="str">
        <f ca="1">IFERROR(__xludf.DUMMYFUNCTION("""COMPUTED_VALUE"""),"Новый")</f>
        <v>Новый</v>
      </c>
      <c r="G3515" s="68"/>
      <c r="K3515" s="68"/>
    </row>
    <row r="3516" spans="1:11" ht="12.75">
      <c r="A3516" s="69">
        <f ca="1">IFERROR(__xludf.DUMMYFUNCTION("""COMPUTED_VALUE"""),101543)</f>
        <v>101543</v>
      </c>
      <c r="B3516" s="4">
        <f ca="1">IFERROR(__xludf.DUMMYFUNCTION("""COMPUTED_VALUE"""),44749)</f>
        <v>44749</v>
      </c>
      <c r="C3516" t="str">
        <f ca="1">IFERROR(__xludf.DUMMYFUNCTION("""COMPUTED_VALUE"""),"ЗАО ""ЭКОС"" 115-СТР от 01.01.2022")</f>
        <v>ЗАО "ЭКОС" 115-СТР от 01.01.2022</v>
      </c>
      <c r="D35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6" t="str">
        <f ca="1">IFERROR(__xludf.DUMMYFUNCTION("""COMPUTED_VALUE"""),"Новый")</f>
        <v>Новый</v>
      </c>
      <c r="G3516" s="68"/>
      <c r="K3516" s="68"/>
    </row>
    <row r="3517" spans="1:11" ht="12.75">
      <c r="A3517" s="69">
        <f ca="1">IFERROR(__xludf.DUMMYFUNCTION("""COMPUTED_VALUE"""),101544)</f>
        <v>101544</v>
      </c>
      <c r="B3517" s="4">
        <f ca="1">IFERROR(__xludf.DUMMYFUNCTION("""COMPUTED_VALUE"""),44749)</f>
        <v>44749</v>
      </c>
      <c r="C3517" t="str">
        <f ca="1">IFERROR(__xludf.DUMMYFUNCTION("""COMPUTED_VALUE"""),"ЗАО ""ЭКОС"" 115-СТР от 01.01.2022")</f>
        <v>ЗАО "ЭКОС" 115-СТР от 01.01.2022</v>
      </c>
      <c r="D35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7" t="str">
        <f ca="1">IFERROR(__xludf.DUMMYFUNCTION("""COMPUTED_VALUE"""),"Новый")</f>
        <v>Новый</v>
      </c>
      <c r="G3517" s="68"/>
      <c r="K3517" s="68"/>
    </row>
    <row r="3518" spans="1:11" ht="12.75">
      <c r="A3518" s="69">
        <f ca="1">IFERROR(__xludf.DUMMYFUNCTION("""COMPUTED_VALUE"""),101545)</f>
        <v>101545</v>
      </c>
      <c r="B3518" s="4">
        <f ca="1">IFERROR(__xludf.DUMMYFUNCTION("""COMPUTED_VALUE"""),44749)</f>
        <v>44749</v>
      </c>
      <c r="C3518" t="str">
        <f ca="1">IFERROR(__xludf.DUMMYFUNCTION("""COMPUTED_VALUE"""),"ЗАО ""ЭКОС"" 115-СТР от 01.01.2022")</f>
        <v>ЗАО "ЭКОС" 115-СТР от 01.01.2022</v>
      </c>
      <c r="D35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8" t="str">
        <f ca="1">IFERROR(__xludf.DUMMYFUNCTION("""COMPUTED_VALUE"""),"Новый")</f>
        <v>Новый</v>
      </c>
      <c r="G3518" s="68"/>
      <c r="K3518" s="68"/>
    </row>
    <row r="3519" spans="1:11" ht="12.75">
      <c r="A3519" s="69">
        <f ca="1">IFERROR(__xludf.DUMMYFUNCTION("""COMPUTED_VALUE"""),101546)</f>
        <v>101546</v>
      </c>
      <c r="B3519" s="4">
        <f ca="1">IFERROR(__xludf.DUMMYFUNCTION("""COMPUTED_VALUE"""),44749)</f>
        <v>44749</v>
      </c>
      <c r="C3519" t="str">
        <f ca="1">IFERROR(__xludf.DUMMYFUNCTION("""COMPUTED_VALUE"""),"ЗАО ""ЭКОС"" 115-СТР от 01.01.2022")</f>
        <v>ЗАО "ЭКОС" 115-СТР от 01.01.2022</v>
      </c>
      <c r="D35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19" t="str">
        <f ca="1">IFERROR(__xludf.DUMMYFUNCTION("""COMPUTED_VALUE"""),"Новый")</f>
        <v>Новый</v>
      </c>
      <c r="G3519" s="68"/>
      <c r="K3519" s="68"/>
    </row>
    <row r="3520" spans="1:11" ht="12.75">
      <c r="A3520" s="69">
        <f ca="1">IFERROR(__xludf.DUMMYFUNCTION("""COMPUTED_VALUE"""),101547)</f>
        <v>101547</v>
      </c>
      <c r="B3520" s="4">
        <f ca="1">IFERROR(__xludf.DUMMYFUNCTION("""COMPUTED_VALUE"""),44749)</f>
        <v>44749</v>
      </c>
      <c r="C3520" t="str">
        <f ca="1">IFERROR(__xludf.DUMMYFUNCTION("""COMPUTED_VALUE"""),"ЗАО ""ЭКОС"" 115-СТР от 01.01.2022")</f>
        <v>ЗАО "ЭКОС" 115-СТР от 01.01.2022</v>
      </c>
      <c r="D35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0" t="str">
        <f ca="1">IFERROR(__xludf.DUMMYFUNCTION("""COMPUTED_VALUE"""),"Новый")</f>
        <v>Новый</v>
      </c>
      <c r="G3520" s="68"/>
      <c r="K3520" s="68"/>
    </row>
    <row r="3521" spans="1:11" ht="12.75">
      <c r="A3521" s="69">
        <f ca="1">IFERROR(__xludf.DUMMYFUNCTION("""COMPUTED_VALUE"""),101548)</f>
        <v>101548</v>
      </c>
      <c r="B3521" s="4">
        <f ca="1">IFERROR(__xludf.DUMMYFUNCTION("""COMPUTED_VALUE"""),44749)</f>
        <v>44749</v>
      </c>
      <c r="C3521" t="str">
        <f ca="1">IFERROR(__xludf.DUMMYFUNCTION("""COMPUTED_VALUE"""),"ЗАО ""ЭКОС"" 115-СТР от 01.01.2022")</f>
        <v>ЗАО "ЭКОС" 115-СТР от 01.01.2022</v>
      </c>
      <c r="D35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1" t="str">
        <f ca="1">IFERROR(__xludf.DUMMYFUNCTION("""COMPUTED_VALUE"""),"Новый")</f>
        <v>Новый</v>
      </c>
      <c r="G3521" s="68"/>
      <c r="K3521" s="68"/>
    </row>
    <row r="3522" spans="1:11" ht="12.75">
      <c r="A3522" s="69">
        <f ca="1">IFERROR(__xludf.DUMMYFUNCTION("""COMPUTED_VALUE"""),101549)</f>
        <v>101549</v>
      </c>
      <c r="B3522" s="4">
        <f ca="1">IFERROR(__xludf.DUMMYFUNCTION("""COMPUTED_VALUE"""),44749)</f>
        <v>44749</v>
      </c>
      <c r="C3522" t="str">
        <f ca="1">IFERROR(__xludf.DUMMYFUNCTION("""COMPUTED_VALUE"""),"ЗАО ""ЭКОС"" 115-СТР от 01.01.2022")</f>
        <v>ЗАО "ЭКОС" 115-СТР от 01.01.2022</v>
      </c>
      <c r="D35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2" t="str">
        <f ca="1">IFERROR(__xludf.DUMMYFUNCTION("""COMPUTED_VALUE"""),"Новый")</f>
        <v>Новый</v>
      </c>
      <c r="G3522" s="68"/>
      <c r="K3522" s="68"/>
    </row>
    <row r="3523" spans="1:11" ht="12.75">
      <c r="A3523" s="69">
        <f ca="1">IFERROR(__xludf.DUMMYFUNCTION("""COMPUTED_VALUE"""),101550)</f>
        <v>101550</v>
      </c>
      <c r="B3523" s="4">
        <f ca="1">IFERROR(__xludf.DUMMYFUNCTION("""COMPUTED_VALUE"""),44749)</f>
        <v>44749</v>
      </c>
      <c r="C3523" t="str">
        <f ca="1">IFERROR(__xludf.DUMMYFUNCTION("""COMPUTED_VALUE"""),"ЗАО ""ЭКОС"" 115-СТР от 01.01.2022")</f>
        <v>ЗАО "ЭКОС" 115-СТР от 01.01.2022</v>
      </c>
      <c r="D35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3" t="str">
        <f ca="1">IFERROR(__xludf.DUMMYFUNCTION("""COMPUTED_VALUE"""),"Новый")</f>
        <v>Новый</v>
      </c>
      <c r="G3523" s="68"/>
      <c r="K3523" s="68"/>
    </row>
    <row r="3524" spans="1:11" ht="12.75">
      <c r="A3524" s="69">
        <f ca="1">IFERROR(__xludf.DUMMYFUNCTION("""COMPUTED_VALUE"""),101551)</f>
        <v>101551</v>
      </c>
      <c r="B3524" s="4">
        <f ca="1">IFERROR(__xludf.DUMMYFUNCTION("""COMPUTED_VALUE"""),44749)</f>
        <v>44749</v>
      </c>
      <c r="C3524" t="str">
        <f ca="1">IFERROR(__xludf.DUMMYFUNCTION("""COMPUTED_VALUE"""),"ЗАО ""ЭКОС"" 115-СТР от 01.01.2022")</f>
        <v>ЗАО "ЭКОС" 115-СТР от 01.01.2022</v>
      </c>
      <c r="D35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4" t="str">
        <f ca="1">IFERROR(__xludf.DUMMYFUNCTION("""COMPUTED_VALUE"""),"Новый")</f>
        <v>Новый</v>
      </c>
      <c r="G3524" s="68"/>
      <c r="K3524" s="68"/>
    </row>
    <row r="3525" spans="1:11" ht="12.75">
      <c r="A3525" s="69">
        <f ca="1">IFERROR(__xludf.DUMMYFUNCTION("""COMPUTED_VALUE"""),101552)</f>
        <v>101552</v>
      </c>
      <c r="B3525" s="4">
        <f ca="1">IFERROR(__xludf.DUMMYFUNCTION("""COMPUTED_VALUE"""),44749)</f>
        <v>44749</v>
      </c>
      <c r="C3525" t="str">
        <f ca="1">IFERROR(__xludf.DUMMYFUNCTION("""COMPUTED_VALUE"""),"ЗАО ""ЭКОС"" 115-СТР от 01.01.2022")</f>
        <v>ЗАО "ЭКОС" 115-СТР от 01.01.2022</v>
      </c>
      <c r="D35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5" t="str">
        <f ca="1">IFERROR(__xludf.DUMMYFUNCTION("""COMPUTED_VALUE"""),"Новый")</f>
        <v>Новый</v>
      </c>
      <c r="G3525" s="68"/>
      <c r="K3525" s="68"/>
    </row>
    <row r="3526" spans="1:11" ht="12.75">
      <c r="A3526" s="69">
        <f ca="1">IFERROR(__xludf.DUMMYFUNCTION("""COMPUTED_VALUE"""),101553)</f>
        <v>101553</v>
      </c>
      <c r="B3526" s="4">
        <f ca="1">IFERROR(__xludf.DUMMYFUNCTION("""COMPUTED_VALUE"""),44749)</f>
        <v>44749</v>
      </c>
      <c r="C3526" t="str">
        <f ca="1">IFERROR(__xludf.DUMMYFUNCTION("""COMPUTED_VALUE"""),"ЗАО ""ЭКОС"" 115-СТР от 01.01.2022")</f>
        <v>ЗАО "ЭКОС" 115-СТР от 01.01.2022</v>
      </c>
      <c r="D35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6" t="str">
        <f ca="1">IFERROR(__xludf.DUMMYFUNCTION("""COMPUTED_VALUE"""),"Новый")</f>
        <v>Новый</v>
      </c>
      <c r="G3526" s="68"/>
      <c r="K3526" s="68"/>
    </row>
    <row r="3527" spans="1:11" ht="12.75">
      <c r="A3527" s="69">
        <f ca="1">IFERROR(__xludf.DUMMYFUNCTION("""COMPUTED_VALUE"""),101554)</f>
        <v>101554</v>
      </c>
      <c r="B3527" s="4">
        <f ca="1">IFERROR(__xludf.DUMMYFUNCTION("""COMPUTED_VALUE"""),44749)</f>
        <v>44749</v>
      </c>
      <c r="C3527" t="str">
        <f ca="1">IFERROR(__xludf.DUMMYFUNCTION("""COMPUTED_VALUE"""),"ЗАО ""ЭКОС"" 115-СТР от 01.01.2022")</f>
        <v>ЗАО "ЭКОС" 115-СТР от 01.01.2022</v>
      </c>
      <c r="D35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7" t="str">
        <f ca="1">IFERROR(__xludf.DUMMYFUNCTION("""COMPUTED_VALUE"""),"Новый")</f>
        <v>Новый</v>
      </c>
      <c r="G3527" s="68"/>
      <c r="K3527" s="68"/>
    </row>
    <row r="3528" spans="1:11" ht="12.75">
      <c r="A3528" s="69">
        <f ca="1">IFERROR(__xludf.DUMMYFUNCTION("""COMPUTED_VALUE"""),101555)</f>
        <v>101555</v>
      </c>
      <c r="B3528" s="4">
        <f ca="1">IFERROR(__xludf.DUMMYFUNCTION("""COMPUTED_VALUE"""),44749)</f>
        <v>44749</v>
      </c>
      <c r="C3528" t="str">
        <f ca="1">IFERROR(__xludf.DUMMYFUNCTION("""COMPUTED_VALUE"""),"ЗАО ""ЭКОС"" 115-СТР от 01.01.2022")</f>
        <v>ЗАО "ЭКОС" 115-СТР от 01.01.2022</v>
      </c>
      <c r="D35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8" t="str">
        <f ca="1">IFERROR(__xludf.DUMMYFUNCTION("""COMPUTED_VALUE"""),"Новый")</f>
        <v>Новый</v>
      </c>
      <c r="G3528" s="68"/>
      <c r="K3528" s="68"/>
    </row>
    <row r="3529" spans="1:11" ht="12.75">
      <c r="A3529" s="69">
        <f ca="1">IFERROR(__xludf.DUMMYFUNCTION("""COMPUTED_VALUE"""),101556)</f>
        <v>101556</v>
      </c>
      <c r="B3529" s="4">
        <f ca="1">IFERROR(__xludf.DUMMYFUNCTION("""COMPUTED_VALUE"""),44749)</f>
        <v>44749</v>
      </c>
      <c r="C3529" t="str">
        <f ca="1">IFERROR(__xludf.DUMMYFUNCTION("""COMPUTED_VALUE"""),"ЗАО ""ЭКОС"" 115-СТР от 01.01.2022")</f>
        <v>ЗАО "ЭКОС" 115-СТР от 01.01.2022</v>
      </c>
      <c r="D35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29" t="str">
        <f ca="1">IFERROR(__xludf.DUMMYFUNCTION("""COMPUTED_VALUE"""),"Новый")</f>
        <v>Новый</v>
      </c>
      <c r="G3529" s="68"/>
      <c r="K3529" s="68"/>
    </row>
    <row r="3530" spans="1:11" ht="12.75">
      <c r="A3530" s="69">
        <f ca="1">IFERROR(__xludf.DUMMYFUNCTION("""COMPUTED_VALUE"""),101557)</f>
        <v>101557</v>
      </c>
      <c r="B3530" s="4">
        <f ca="1">IFERROR(__xludf.DUMMYFUNCTION("""COMPUTED_VALUE"""),44749)</f>
        <v>44749</v>
      </c>
      <c r="C3530" t="str">
        <f ca="1">IFERROR(__xludf.DUMMYFUNCTION("""COMPUTED_VALUE"""),"ЗАО ""ЭКОС"" 115-СТР от 01.01.2022")</f>
        <v>ЗАО "ЭКОС" 115-СТР от 01.01.2022</v>
      </c>
      <c r="D35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0" t="str">
        <f ca="1">IFERROR(__xludf.DUMMYFUNCTION("""COMPUTED_VALUE"""),"Новый")</f>
        <v>Новый</v>
      </c>
      <c r="G3530" s="68"/>
      <c r="K3530" s="68"/>
    </row>
    <row r="3531" spans="1:11" ht="12.75">
      <c r="A3531" s="69">
        <f ca="1">IFERROR(__xludf.DUMMYFUNCTION("""COMPUTED_VALUE"""),101558)</f>
        <v>101558</v>
      </c>
      <c r="B3531" s="4">
        <f ca="1">IFERROR(__xludf.DUMMYFUNCTION("""COMPUTED_VALUE"""),44749)</f>
        <v>44749</v>
      </c>
      <c r="C3531" t="str">
        <f ca="1">IFERROR(__xludf.DUMMYFUNCTION("""COMPUTED_VALUE"""),"ЗАО ""ЭКОС"" 115-СТР от 01.01.2022")</f>
        <v>ЗАО "ЭКОС" 115-СТР от 01.01.2022</v>
      </c>
      <c r="D35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1" t="str">
        <f ca="1">IFERROR(__xludf.DUMMYFUNCTION("""COMPUTED_VALUE"""),"Новый")</f>
        <v>Новый</v>
      </c>
      <c r="G3531" s="68"/>
      <c r="K3531" s="68"/>
    </row>
    <row r="3532" spans="1:11" ht="12.75">
      <c r="A3532" s="69">
        <f ca="1">IFERROR(__xludf.DUMMYFUNCTION("""COMPUTED_VALUE"""),101559)</f>
        <v>101559</v>
      </c>
      <c r="B3532" s="4">
        <f ca="1">IFERROR(__xludf.DUMMYFUNCTION("""COMPUTED_VALUE"""),44749)</f>
        <v>44749</v>
      </c>
      <c r="C3532" t="str">
        <f ca="1">IFERROR(__xludf.DUMMYFUNCTION("""COMPUTED_VALUE"""),"ЗАО ""ЭКОС"" 115-СТР от 01.01.2022")</f>
        <v>ЗАО "ЭКОС" 115-СТР от 01.01.2022</v>
      </c>
      <c r="D35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2" t="str">
        <f ca="1">IFERROR(__xludf.DUMMYFUNCTION("""COMPUTED_VALUE"""),"Новый")</f>
        <v>Новый</v>
      </c>
      <c r="G3532" s="68"/>
      <c r="K3532" s="68"/>
    </row>
    <row r="3533" spans="1:11" ht="12.75">
      <c r="A3533" s="69">
        <f ca="1">IFERROR(__xludf.DUMMYFUNCTION("""COMPUTED_VALUE"""),101560)</f>
        <v>101560</v>
      </c>
      <c r="B3533" s="4">
        <f ca="1">IFERROR(__xludf.DUMMYFUNCTION("""COMPUTED_VALUE"""),44749)</f>
        <v>44749</v>
      </c>
      <c r="C3533" t="str">
        <f ca="1">IFERROR(__xludf.DUMMYFUNCTION("""COMPUTED_VALUE"""),"ЗАО ""ЭКОС"" 115-СТР от 01.01.2022")</f>
        <v>ЗАО "ЭКОС" 115-СТР от 01.01.2022</v>
      </c>
      <c r="D35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3" t="str">
        <f ca="1">IFERROR(__xludf.DUMMYFUNCTION("""COMPUTED_VALUE"""),"Новый")</f>
        <v>Новый</v>
      </c>
      <c r="G3533" s="68"/>
      <c r="K3533" s="68"/>
    </row>
    <row r="3534" spans="1:11" ht="12.75">
      <c r="A3534" s="69">
        <f ca="1">IFERROR(__xludf.DUMMYFUNCTION("""COMPUTED_VALUE"""),101561)</f>
        <v>101561</v>
      </c>
      <c r="B3534" s="4">
        <f ca="1">IFERROR(__xludf.DUMMYFUNCTION("""COMPUTED_VALUE"""),44749)</f>
        <v>44749</v>
      </c>
      <c r="C3534" t="str">
        <f ca="1">IFERROR(__xludf.DUMMYFUNCTION("""COMPUTED_VALUE"""),"ЗАО ""ЭКОС"" 115-СТР от 01.01.2022")</f>
        <v>ЗАО "ЭКОС" 115-СТР от 01.01.2022</v>
      </c>
      <c r="D35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4" t="str">
        <f ca="1">IFERROR(__xludf.DUMMYFUNCTION("""COMPUTED_VALUE"""),"Новый")</f>
        <v>Новый</v>
      </c>
      <c r="G3534" s="68"/>
      <c r="K3534" s="68"/>
    </row>
    <row r="3535" spans="1:11" ht="12.75">
      <c r="A3535" s="69">
        <f ca="1">IFERROR(__xludf.DUMMYFUNCTION("""COMPUTED_VALUE"""),101562)</f>
        <v>101562</v>
      </c>
      <c r="B3535" s="4">
        <f ca="1">IFERROR(__xludf.DUMMYFUNCTION("""COMPUTED_VALUE"""),44749)</f>
        <v>44749</v>
      </c>
      <c r="C3535" t="str">
        <f ca="1">IFERROR(__xludf.DUMMYFUNCTION("""COMPUTED_VALUE"""),"ЗАО ""ЭКОС"" 115-СТР от 01.01.2022")</f>
        <v>ЗАО "ЭКОС" 115-СТР от 01.01.2022</v>
      </c>
      <c r="D35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5" t="str">
        <f ca="1">IFERROR(__xludf.DUMMYFUNCTION("""COMPUTED_VALUE"""),"Новый")</f>
        <v>Новый</v>
      </c>
      <c r="G3535" s="68"/>
      <c r="K3535" s="68"/>
    </row>
    <row r="3536" spans="1:11" ht="12.75">
      <c r="A3536" s="69">
        <f ca="1">IFERROR(__xludf.DUMMYFUNCTION("""COMPUTED_VALUE"""),101563)</f>
        <v>101563</v>
      </c>
      <c r="B3536" s="4">
        <f ca="1">IFERROR(__xludf.DUMMYFUNCTION("""COMPUTED_VALUE"""),44749)</f>
        <v>44749</v>
      </c>
      <c r="C3536" t="str">
        <f ca="1">IFERROR(__xludf.DUMMYFUNCTION("""COMPUTED_VALUE"""),"ЗАО ""ЭКОС"" 115-СТР от 01.01.2022")</f>
        <v>ЗАО "ЭКОС" 115-СТР от 01.01.2022</v>
      </c>
      <c r="D35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6" t="str">
        <f ca="1">IFERROR(__xludf.DUMMYFUNCTION("""COMPUTED_VALUE"""),"Новый")</f>
        <v>Новый</v>
      </c>
      <c r="G3536" s="68"/>
      <c r="K3536" s="68"/>
    </row>
    <row r="3537" spans="1:11" ht="12.75">
      <c r="A3537" s="69">
        <f ca="1">IFERROR(__xludf.DUMMYFUNCTION("""COMPUTED_VALUE"""),101564)</f>
        <v>101564</v>
      </c>
      <c r="B3537" s="4">
        <f ca="1">IFERROR(__xludf.DUMMYFUNCTION("""COMPUTED_VALUE"""),44749)</f>
        <v>44749</v>
      </c>
      <c r="C3537" t="str">
        <f ca="1">IFERROR(__xludf.DUMMYFUNCTION("""COMPUTED_VALUE"""),"ЗАО ""ЭКОС"" 115-СТР от 01.01.2022")</f>
        <v>ЗАО "ЭКОС" 115-СТР от 01.01.2022</v>
      </c>
      <c r="D35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7" t="str">
        <f ca="1">IFERROR(__xludf.DUMMYFUNCTION("""COMPUTED_VALUE"""),"Новый")</f>
        <v>Новый</v>
      </c>
      <c r="G3537" s="68"/>
      <c r="K3537" s="68"/>
    </row>
    <row r="3538" spans="1:11" ht="12.75">
      <c r="A3538" s="69">
        <f ca="1">IFERROR(__xludf.DUMMYFUNCTION("""COMPUTED_VALUE"""),101565)</f>
        <v>101565</v>
      </c>
      <c r="B3538" s="4">
        <f ca="1">IFERROR(__xludf.DUMMYFUNCTION("""COMPUTED_VALUE"""),44749)</f>
        <v>44749</v>
      </c>
      <c r="C3538" t="str">
        <f ca="1">IFERROR(__xludf.DUMMYFUNCTION("""COMPUTED_VALUE"""),"ЗАО ""ЭКОС"" 115-СТР от 01.01.2022")</f>
        <v>ЗАО "ЭКОС" 115-СТР от 01.01.2022</v>
      </c>
      <c r="D35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38" t="str">
        <f ca="1">IFERROR(__xludf.DUMMYFUNCTION("""COMPUTED_VALUE"""),"Новый")</f>
        <v>Новый</v>
      </c>
      <c r="G3538" s="68"/>
      <c r="K3538" s="68"/>
    </row>
    <row r="3539" spans="1:11" ht="12.75">
      <c r="A3539" s="69">
        <f ca="1">IFERROR(__xludf.DUMMYFUNCTION("""COMPUTED_VALUE"""),101652)</f>
        <v>101652</v>
      </c>
      <c r="B3539" s="4">
        <f ca="1">IFERROR(__xludf.DUMMYFUNCTION("""COMPUTED_VALUE"""),44750)</f>
        <v>44750</v>
      </c>
      <c r="C3539" t="str">
        <f ca="1">IFERROR(__xludf.DUMMYFUNCTION("""COMPUTED_VALUE"""),"БУ Г. ОМСКА ""УДХБ"" 197-РДО от 01.07.2022")</f>
        <v>БУ Г. ОМСКА "УДХБ" 197-РДО от 01.07.2022</v>
      </c>
      <c r="D35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39" t="str">
        <f ca="1">IFERROR(__xludf.DUMMYFUNCTION("""COMPUTED_VALUE"""),"Новый")</f>
        <v>Новый</v>
      </c>
      <c r="G3539" s="68"/>
      <c r="K3539" s="68"/>
    </row>
    <row r="3540" spans="1:11" ht="12.75">
      <c r="A3540" s="69">
        <f ca="1">IFERROR(__xludf.DUMMYFUNCTION("""COMPUTED_VALUE"""),101653)</f>
        <v>101653</v>
      </c>
      <c r="B3540" s="4">
        <f ca="1">IFERROR(__xludf.DUMMYFUNCTION("""COMPUTED_VALUE"""),44750)</f>
        <v>44750</v>
      </c>
      <c r="C3540" t="str">
        <f ca="1">IFERROR(__xludf.DUMMYFUNCTION("""COMPUTED_VALUE"""),"БУ Г. ОМСКА ""УДХБ"" 197-РДО от 01.07.2022")</f>
        <v>БУ Г. ОМСКА "УДХБ" 197-РДО от 01.07.2022</v>
      </c>
      <c r="D35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0" t="str">
        <f ca="1">IFERROR(__xludf.DUMMYFUNCTION("""COMPUTED_VALUE"""),"Новый")</f>
        <v>Новый</v>
      </c>
      <c r="G3540" s="68"/>
      <c r="K3540" s="68"/>
    </row>
    <row r="3541" spans="1:11" ht="12.75">
      <c r="A3541" s="69">
        <f ca="1">IFERROR(__xludf.DUMMYFUNCTION("""COMPUTED_VALUE"""),101654)</f>
        <v>101654</v>
      </c>
      <c r="B3541" s="4">
        <f ca="1">IFERROR(__xludf.DUMMYFUNCTION("""COMPUTED_VALUE"""),44750)</f>
        <v>44750</v>
      </c>
      <c r="C3541" t="str">
        <f ca="1">IFERROR(__xludf.DUMMYFUNCTION("""COMPUTED_VALUE"""),"БУ Г. ОМСКА ""УДХБ"" 197-РДО от 01.07.2022")</f>
        <v>БУ Г. ОМСКА "УДХБ" 197-РДО от 01.07.2022</v>
      </c>
      <c r="D35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1" t="str">
        <f ca="1">IFERROR(__xludf.DUMMYFUNCTION("""COMPUTED_VALUE"""),"Новый")</f>
        <v>Новый</v>
      </c>
      <c r="G3541" s="68"/>
      <c r="K3541" s="68"/>
    </row>
    <row r="3542" spans="1:11" ht="12.75">
      <c r="A3542" s="69">
        <f ca="1">IFERROR(__xludf.DUMMYFUNCTION("""COMPUTED_VALUE"""),101655)</f>
        <v>101655</v>
      </c>
      <c r="B3542" s="4">
        <f ca="1">IFERROR(__xludf.DUMMYFUNCTION("""COMPUTED_VALUE"""),44750)</f>
        <v>44750</v>
      </c>
      <c r="C3542" t="str">
        <f ca="1">IFERROR(__xludf.DUMMYFUNCTION("""COMPUTED_VALUE"""),"БУ Г. ОМСКА ""УДХБ"" 197-РДО от 01.07.2022")</f>
        <v>БУ Г. ОМСКА "УДХБ" 197-РДО от 01.07.2022</v>
      </c>
      <c r="D35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2" t="str">
        <f ca="1">IFERROR(__xludf.DUMMYFUNCTION("""COMPUTED_VALUE"""),"Новый")</f>
        <v>Новый</v>
      </c>
      <c r="G3542" s="68"/>
      <c r="K3542" s="68"/>
    </row>
    <row r="3543" spans="1:11" ht="12.75">
      <c r="A3543" s="69">
        <f ca="1">IFERROR(__xludf.DUMMYFUNCTION("""COMPUTED_VALUE"""),101681)</f>
        <v>101681</v>
      </c>
      <c r="B3543" s="4">
        <f ca="1">IFERROR(__xludf.DUMMYFUNCTION("""COMPUTED_VALUE"""),44750)</f>
        <v>44750</v>
      </c>
      <c r="C3543" t="str">
        <f ca="1">IFERROR(__xludf.DUMMYFUNCTION("""COMPUTED_VALUE"""),"БУ Г. ОМСКА ""УДХБ"" 197-РДО от 01.07.2022")</f>
        <v>БУ Г. ОМСКА "УДХБ" 197-РДО от 01.07.2022</v>
      </c>
      <c r="D35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3" t="str">
        <f ca="1">IFERROR(__xludf.DUMMYFUNCTION("""COMPUTED_VALUE"""),"Новый")</f>
        <v>Новый</v>
      </c>
      <c r="G3543" s="68"/>
      <c r="K3543" s="68"/>
    </row>
    <row r="3544" spans="1:11" ht="12.75">
      <c r="A3544" s="69">
        <f ca="1">IFERROR(__xludf.DUMMYFUNCTION("""COMPUTED_VALUE"""),101722)</f>
        <v>101722</v>
      </c>
      <c r="B3544" s="4">
        <f ca="1">IFERROR(__xludf.DUMMYFUNCTION("""COMPUTED_VALUE"""),44750)</f>
        <v>44750</v>
      </c>
      <c r="C3544" t="str">
        <f ca="1">IFERROR(__xludf.DUMMYFUNCTION("""COMPUTED_VALUE"""),"БУ Г. ОМСКА ""УДХБ"" 197-РДО от 01.07.2022")</f>
        <v>БУ Г. ОМСКА "УДХБ" 197-РДО от 01.07.2022</v>
      </c>
      <c r="D35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4" t="str">
        <f ca="1">IFERROR(__xludf.DUMMYFUNCTION("""COMPUTED_VALUE"""),"Новый")</f>
        <v>Новый</v>
      </c>
      <c r="G3544" s="68"/>
      <c r="K3544" s="68"/>
    </row>
    <row r="3545" spans="1:11" ht="12.75">
      <c r="A3545" s="69">
        <f ca="1">IFERROR(__xludf.DUMMYFUNCTION("""COMPUTED_VALUE"""),101723)</f>
        <v>101723</v>
      </c>
      <c r="B3545" s="4">
        <f ca="1">IFERROR(__xludf.DUMMYFUNCTION("""COMPUTED_VALUE"""),44750)</f>
        <v>44750</v>
      </c>
      <c r="C3545" t="str">
        <f ca="1">IFERROR(__xludf.DUMMYFUNCTION("""COMPUTED_VALUE"""),"БУ Г. ОМСКА ""УДХБ"" 197-РДО от 01.07.2022")</f>
        <v>БУ Г. ОМСКА "УДХБ" 197-РДО от 01.07.2022</v>
      </c>
      <c r="D35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5" t="str">
        <f ca="1">IFERROR(__xludf.DUMMYFUNCTION("""COMPUTED_VALUE"""),"Новый")</f>
        <v>Новый</v>
      </c>
      <c r="G3545" s="68"/>
      <c r="K3545" s="68"/>
    </row>
    <row r="3546" spans="1:11" ht="12.75">
      <c r="A3546" s="69">
        <f ca="1">IFERROR(__xludf.DUMMYFUNCTION("""COMPUTED_VALUE"""),101725)</f>
        <v>101725</v>
      </c>
      <c r="B3546" s="4">
        <f ca="1">IFERROR(__xludf.DUMMYFUNCTION("""COMPUTED_VALUE"""),44750)</f>
        <v>44750</v>
      </c>
      <c r="C3546" t="str">
        <f ca="1">IFERROR(__xludf.DUMMYFUNCTION("""COMPUTED_VALUE"""),"БУ Г. ОМСКА ""УДХБ"" 197-РДО от 01.07.2022")</f>
        <v>БУ Г. ОМСКА "УДХБ" 197-РДО от 01.07.2022</v>
      </c>
      <c r="D35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6" t="str">
        <f ca="1">IFERROR(__xludf.DUMMYFUNCTION("""COMPUTED_VALUE"""),"Новый")</f>
        <v>Новый</v>
      </c>
      <c r="G3546" s="68"/>
      <c r="K3546" s="68"/>
    </row>
    <row r="3547" spans="1:11" ht="12.75">
      <c r="A3547" s="69">
        <f ca="1">IFERROR(__xludf.DUMMYFUNCTION("""COMPUTED_VALUE"""),101748)</f>
        <v>101748</v>
      </c>
      <c r="B3547" s="4">
        <f ca="1">IFERROR(__xludf.DUMMYFUNCTION("""COMPUTED_VALUE"""),44750)</f>
        <v>44750</v>
      </c>
      <c r="C3547" t="str">
        <f ca="1">IFERROR(__xludf.DUMMYFUNCTION("""COMPUTED_VALUE"""),"БУ Г. ОМСКА ""УДХБ"" 197-РДО от 01.07.2022")</f>
        <v>БУ Г. ОМСКА "УДХБ" 197-РДО от 01.07.2022</v>
      </c>
      <c r="D35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7" t="str">
        <f ca="1">IFERROR(__xludf.DUMMYFUNCTION("""COMPUTED_VALUE"""),"Новый")</f>
        <v>Новый</v>
      </c>
      <c r="G3547" s="68"/>
      <c r="K3547" s="68"/>
    </row>
    <row r="3548" spans="1:11" ht="12.75">
      <c r="A3548" s="69">
        <f ca="1">IFERROR(__xludf.DUMMYFUNCTION("""COMPUTED_VALUE"""),101749)</f>
        <v>101749</v>
      </c>
      <c r="B3548" s="4">
        <f ca="1">IFERROR(__xludf.DUMMYFUNCTION("""COMPUTED_VALUE"""),44750)</f>
        <v>44750</v>
      </c>
      <c r="C3548" t="str">
        <f ca="1">IFERROR(__xludf.DUMMYFUNCTION("""COMPUTED_VALUE"""),"БУ Г. ОМСКА ""УДХБ"" 197-РДО от 01.07.2022")</f>
        <v>БУ Г. ОМСКА "УДХБ" 197-РДО от 01.07.2022</v>
      </c>
      <c r="D35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8" t="str">
        <f ca="1">IFERROR(__xludf.DUMMYFUNCTION("""COMPUTED_VALUE"""),"Новый")</f>
        <v>Новый</v>
      </c>
      <c r="G3548" s="68"/>
      <c r="K3548" s="68"/>
    </row>
    <row r="3549" spans="1:11" ht="12.75">
      <c r="A3549" s="69">
        <f ca="1">IFERROR(__xludf.DUMMYFUNCTION("""COMPUTED_VALUE"""),101754)</f>
        <v>101754</v>
      </c>
      <c r="B3549" s="4">
        <f ca="1">IFERROR(__xludf.DUMMYFUNCTION("""COMPUTED_VALUE"""),44750)</f>
        <v>44750</v>
      </c>
      <c r="C3549" t="str">
        <f ca="1">IFERROR(__xludf.DUMMYFUNCTION("""COMPUTED_VALUE"""),"БУ Г. ОМСКА ""УДХБ"" 197-РДО от 01.07.2022")</f>
        <v>БУ Г. ОМСКА "УДХБ" 197-РДО от 01.07.2022</v>
      </c>
      <c r="D35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49" t="str">
        <f ca="1">IFERROR(__xludf.DUMMYFUNCTION("""COMPUTED_VALUE"""),"Новый")</f>
        <v>Новый</v>
      </c>
      <c r="G3549" s="68"/>
      <c r="K3549" s="68"/>
    </row>
    <row r="3550" spans="1:11" ht="12.75">
      <c r="A3550" s="69">
        <f ca="1">IFERROR(__xludf.DUMMYFUNCTION("""COMPUTED_VALUE"""),101810)</f>
        <v>101810</v>
      </c>
      <c r="B3550" s="4">
        <f ca="1">IFERROR(__xludf.DUMMYFUNCTION("""COMPUTED_VALUE"""),44750)</f>
        <v>44750</v>
      </c>
      <c r="C3550" t="str">
        <f ca="1">IFERROR(__xludf.DUMMYFUNCTION("""COMPUTED_VALUE"""),"БУ Г. ОМСКА ""УДХБ"" 197-РДО от 01.07.2022")</f>
        <v>БУ Г. ОМСКА "УДХБ" 197-РДО от 01.07.2022</v>
      </c>
      <c r="D35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50" t="str">
        <f ca="1">IFERROR(__xludf.DUMMYFUNCTION("""COMPUTED_VALUE"""),"Новый")</f>
        <v>Новый</v>
      </c>
      <c r="G3550" s="68"/>
      <c r="K3550" s="68"/>
    </row>
    <row r="3551" spans="1:11" ht="12.75">
      <c r="A3551" s="69">
        <f ca="1">IFERROR(__xludf.DUMMYFUNCTION("""COMPUTED_VALUE"""),101812)</f>
        <v>101812</v>
      </c>
      <c r="B3551" s="4">
        <f ca="1">IFERROR(__xludf.DUMMYFUNCTION("""COMPUTED_VALUE"""),44750)</f>
        <v>44750</v>
      </c>
      <c r="C3551" t="str">
        <f ca="1">IFERROR(__xludf.DUMMYFUNCTION("""COMPUTED_VALUE"""),"БУ Г. ОМСКА ""УДХБ"" 197-РДО от 01.07.2022")</f>
        <v>БУ Г. ОМСКА "УДХБ" 197-РДО от 01.07.2022</v>
      </c>
      <c r="D35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51" t="str">
        <f ca="1">IFERROR(__xludf.DUMMYFUNCTION("""COMPUTED_VALUE"""),"Новый")</f>
        <v>Новый</v>
      </c>
      <c r="G3551" s="68"/>
      <c r="K3551" s="68"/>
    </row>
    <row r="3552" spans="1:11" ht="12.75">
      <c r="A3552" s="69">
        <f ca="1">IFERROR(__xludf.DUMMYFUNCTION("""COMPUTED_VALUE"""),101817)</f>
        <v>101817</v>
      </c>
      <c r="B3552" s="4">
        <f ca="1">IFERROR(__xludf.DUMMYFUNCTION("""COMPUTED_VALUE"""),44750)</f>
        <v>44750</v>
      </c>
      <c r="C3552" t="str">
        <f ca="1">IFERROR(__xludf.DUMMYFUNCTION("""COMPUTED_VALUE"""),"БУ Г. ОМСКА ""УДХБ"" 197-РДО от 01.07.2022")</f>
        <v>БУ Г. ОМСКА "УДХБ" 197-РДО от 01.07.2022</v>
      </c>
      <c r="D35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552" t="str">
        <f ca="1">IFERROR(__xludf.DUMMYFUNCTION("""COMPUTED_VALUE"""),"Новый")</f>
        <v>Новый</v>
      </c>
      <c r="G3552" s="68"/>
      <c r="K3552" s="68"/>
    </row>
    <row r="3553" spans="1:11" ht="12.75">
      <c r="A3553" s="69">
        <f ca="1">IFERROR(__xludf.DUMMYFUNCTION("""COMPUTED_VALUE"""),101859)</f>
        <v>101859</v>
      </c>
      <c r="B3553" s="4">
        <f ca="1">IFERROR(__xludf.DUMMYFUNCTION("""COMPUTED_VALUE"""),44750)</f>
        <v>44750</v>
      </c>
      <c r="C3553" t="str">
        <f ca="1">IFERROR(__xludf.DUMMYFUNCTION("""COMPUTED_VALUE"""),"БУ Г. ОМСКА ""УДХБ"" 144-СТР от 01.07.2022")</f>
        <v>БУ Г. ОМСКА "УДХБ" 144-СТР от 01.07.2022</v>
      </c>
      <c r="D35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3" t="str">
        <f ca="1">IFERROR(__xludf.DUMMYFUNCTION("""COMPUTED_VALUE"""),"Новый")</f>
        <v>Новый</v>
      </c>
      <c r="G3553" s="68"/>
      <c r="K3553" s="68"/>
    </row>
    <row r="3554" spans="1:11" ht="12.75">
      <c r="A3554" s="69">
        <f ca="1">IFERROR(__xludf.DUMMYFUNCTION("""COMPUTED_VALUE"""),101866)</f>
        <v>101866</v>
      </c>
      <c r="B3554" s="4">
        <f ca="1">IFERROR(__xludf.DUMMYFUNCTION("""COMPUTED_VALUE"""),44750)</f>
        <v>44750</v>
      </c>
      <c r="C3554" t="str">
        <f ca="1">IFERROR(__xludf.DUMMYFUNCTION("""COMPUTED_VALUE"""),"БУ Г. ОМСКА ""УДХБ"" 144-СТР от 01.07.2022")</f>
        <v>БУ Г. ОМСКА "УДХБ" 144-СТР от 01.07.2022</v>
      </c>
      <c r="D35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4" t="str">
        <f ca="1">IFERROR(__xludf.DUMMYFUNCTION("""COMPUTED_VALUE"""),"Новый")</f>
        <v>Новый</v>
      </c>
      <c r="G3554" s="68"/>
      <c r="K3554" s="68"/>
    </row>
    <row r="3555" spans="1:11" ht="12.75">
      <c r="A3555" s="69">
        <f ca="1">IFERROR(__xludf.DUMMYFUNCTION("""COMPUTED_VALUE"""),101867)</f>
        <v>101867</v>
      </c>
      <c r="B3555" s="4">
        <f ca="1">IFERROR(__xludf.DUMMYFUNCTION("""COMPUTED_VALUE"""),44750)</f>
        <v>44750</v>
      </c>
      <c r="C3555" t="str">
        <f ca="1">IFERROR(__xludf.DUMMYFUNCTION("""COMPUTED_VALUE"""),"БУ Г. ОМСКА ""УДХБ"" 144-СТР от 01.07.2022")</f>
        <v>БУ Г. ОМСКА "УДХБ" 144-СТР от 01.07.2022</v>
      </c>
      <c r="D35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5" t="str">
        <f ca="1">IFERROR(__xludf.DUMMYFUNCTION("""COMPUTED_VALUE"""),"Новый")</f>
        <v>Новый</v>
      </c>
      <c r="G3555" s="68"/>
      <c r="K3555" s="68"/>
    </row>
    <row r="3556" spans="1:11" ht="12.75">
      <c r="A3556" s="69">
        <f ca="1">IFERROR(__xludf.DUMMYFUNCTION("""COMPUTED_VALUE"""),101868)</f>
        <v>101868</v>
      </c>
      <c r="B3556" s="4">
        <f ca="1">IFERROR(__xludf.DUMMYFUNCTION("""COMPUTED_VALUE"""),44750)</f>
        <v>44750</v>
      </c>
      <c r="C3556" t="str">
        <f ca="1">IFERROR(__xludf.DUMMYFUNCTION("""COMPUTED_VALUE"""),"БУ Г. ОМСКА ""УДХБ"" 144-СТР от 01.07.2022")</f>
        <v>БУ Г. ОМСКА "УДХБ" 144-СТР от 01.07.2022</v>
      </c>
      <c r="D35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6" t="str">
        <f ca="1">IFERROR(__xludf.DUMMYFUNCTION("""COMPUTED_VALUE"""),"Новый")</f>
        <v>Новый</v>
      </c>
      <c r="G3556" s="68"/>
      <c r="K3556" s="68"/>
    </row>
    <row r="3557" spans="1:11" ht="12.75">
      <c r="A3557" s="69">
        <f ca="1">IFERROR(__xludf.DUMMYFUNCTION("""COMPUTED_VALUE"""),101869)</f>
        <v>101869</v>
      </c>
      <c r="B3557" s="4">
        <f ca="1">IFERROR(__xludf.DUMMYFUNCTION("""COMPUTED_VALUE"""),44750)</f>
        <v>44750</v>
      </c>
      <c r="C3557" t="str">
        <f ca="1">IFERROR(__xludf.DUMMYFUNCTION("""COMPUTED_VALUE"""),"БУ Г. ОМСКА ""УДХБ"" 144-СТР от 01.07.2022")</f>
        <v>БУ Г. ОМСКА "УДХБ" 144-СТР от 01.07.2022</v>
      </c>
      <c r="D35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7" t="str">
        <f ca="1">IFERROR(__xludf.DUMMYFUNCTION("""COMPUTED_VALUE"""),"Новый")</f>
        <v>Новый</v>
      </c>
      <c r="G3557" s="68"/>
      <c r="K3557" s="68"/>
    </row>
    <row r="3558" spans="1:11" ht="12.75">
      <c r="A3558" s="69">
        <f ca="1">IFERROR(__xludf.DUMMYFUNCTION("""COMPUTED_VALUE"""),101870)</f>
        <v>101870</v>
      </c>
      <c r="B3558" s="4">
        <f ca="1">IFERROR(__xludf.DUMMYFUNCTION("""COMPUTED_VALUE"""),44750)</f>
        <v>44750</v>
      </c>
      <c r="C3558" t="str">
        <f ca="1">IFERROR(__xludf.DUMMYFUNCTION("""COMPUTED_VALUE"""),"БУ Г. ОМСКА ""УДХБ"" 144-СТР от 01.07.2022")</f>
        <v>БУ Г. ОМСКА "УДХБ" 144-СТР от 01.07.2022</v>
      </c>
      <c r="D35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8" t="str">
        <f ca="1">IFERROR(__xludf.DUMMYFUNCTION("""COMPUTED_VALUE"""),"Новый")</f>
        <v>Новый</v>
      </c>
      <c r="G3558" s="68"/>
      <c r="K3558" s="68"/>
    </row>
    <row r="3559" spans="1:11" ht="12.75">
      <c r="A3559" s="69">
        <f ca="1">IFERROR(__xludf.DUMMYFUNCTION("""COMPUTED_VALUE"""),101871)</f>
        <v>101871</v>
      </c>
      <c r="B3559" s="4">
        <f ca="1">IFERROR(__xludf.DUMMYFUNCTION("""COMPUTED_VALUE"""),44750)</f>
        <v>44750</v>
      </c>
      <c r="C3559" t="str">
        <f ca="1">IFERROR(__xludf.DUMMYFUNCTION("""COMPUTED_VALUE"""),"БУ Г. ОМСКА ""УДХБ"" 144-СТР от 01.07.2022")</f>
        <v>БУ Г. ОМСКА "УДХБ" 144-СТР от 01.07.2022</v>
      </c>
      <c r="D35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59" t="str">
        <f ca="1">IFERROR(__xludf.DUMMYFUNCTION("""COMPUTED_VALUE"""),"Новый")</f>
        <v>Новый</v>
      </c>
      <c r="G3559" s="68"/>
      <c r="K3559" s="68"/>
    </row>
    <row r="3560" spans="1:11" ht="12.75">
      <c r="A3560" s="69">
        <f ca="1">IFERROR(__xludf.DUMMYFUNCTION("""COMPUTED_VALUE"""),101872)</f>
        <v>101872</v>
      </c>
      <c r="B3560" s="4">
        <f ca="1">IFERROR(__xludf.DUMMYFUNCTION("""COMPUTED_VALUE"""),44750)</f>
        <v>44750</v>
      </c>
      <c r="C3560" t="str">
        <f ca="1">IFERROR(__xludf.DUMMYFUNCTION("""COMPUTED_VALUE"""),"БУ Г. ОМСКА ""УДХБ"" 144-СТР от 01.07.2022")</f>
        <v>БУ Г. ОМСКА "УДХБ" 144-СТР от 01.07.2022</v>
      </c>
      <c r="D35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0" t="str">
        <f ca="1">IFERROR(__xludf.DUMMYFUNCTION("""COMPUTED_VALUE"""),"Новый")</f>
        <v>Новый</v>
      </c>
      <c r="G3560" s="68"/>
      <c r="K3560" s="68"/>
    </row>
    <row r="3561" spans="1:11" ht="12.75">
      <c r="A3561" s="69">
        <f ca="1">IFERROR(__xludf.DUMMYFUNCTION("""COMPUTED_VALUE"""),101873)</f>
        <v>101873</v>
      </c>
      <c r="B3561" s="4">
        <f ca="1">IFERROR(__xludf.DUMMYFUNCTION("""COMPUTED_VALUE"""),44750)</f>
        <v>44750</v>
      </c>
      <c r="C3561" t="str">
        <f ca="1">IFERROR(__xludf.DUMMYFUNCTION("""COMPUTED_VALUE"""),"БУ Г. ОМСКА ""УДХБ"" 144-СТР от 01.07.2022")</f>
        <v>БУ Г. ОМСКА "УДХБ" 144-СТР от 01.07.2022</v>
      </c>
      <c r="D35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1" t="str">
        <f ca="1">IFERROR(__xludf.DUMMYFUNCTION("""COMPUTED_VALUE"""),"Новый")</f>
        <v>Новый</v>
      </c>
      <c r="G3561" s="68"/>
      <c r="K3561" s="68"/>
    </row>
    <row r="3562" spans="1:11" ht="12.75">
      <c r="A3562" s="69">
        <f ca="1">IFERROR(__xludf.DUMMYFUNCTION("""COMPUTED_VALUE"""),101884)</f>
        <v>101884</v>
      </c>
      <c r="B3562" s="4">
        <f ca="1">IFERROR(__xludf.DUMMYFUNCTION("""COMPUTED_VALUE"""),44750)</f>
        <v>44750</v>
      </c>
      <c r="C3562" t="str">
        <f ca="1">IFERROR(__xludf.DUMMYFUNCTION("""COMPUTED_VALUE"""),"БУ Г. ОМСКА ""УДХБ"" 144-СТР от 01.07.2022")</f>
        <v>БУ Г. ОМСКА "УДХБ" 144-СТР от 01.07.2022</v>
      </c>
      <c r="D35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2" t="str">
        <f ca="1">IFERROR(__xludf.DUMMYFUNCTION("""COMPUTED_VALUE"""),"Новый")</f>
        <v>Новый</v>
      </c>
      <c r="G3562" s="68"/>
      <c r="K3562" s="68"/>
    </row>
    <row r="3563" spans="1:11" ht="12.75">
      <c r="A3563" s="69">
        <f ca="1">IFERROR(__xludf.DUMMYFUNCTION("""COMPUTED_VALUE"""),101885)</f>
        <v>101885</v>
      </c>
      <c r="B3563" s="4">
        <f ca="1">IFERROR(__xludf.DUMMYFUNCTION("""COMPUTED_VALUE"""),44750)</f>
        <v>44750</v>
      </c>
      <c r="C3563" t="str">
        <f ca="1">IFERROR(__xludf.DUMMYFUNCTION("""COMPUTED_VALUE"""),"БУ Г. ОМСКА ""УДХБ"" 144-СТР от 01.07.2022")</f>
        <v>БУ Г. ОМСКА "УДХБ" 144-СТР от 01.07.2022</v>
      </c>
      <c r="D35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3" t="str">
        <f ca="1">IFERROR(__xludf.DUMMYFUNCTION("""COMPUTED_VALUE"""),"Новый")</f>
        <v>Новый</v>
      </c>
      <c r="G3563" s="68"/>
      <c r="K3563" s="68"/>
    </row>
    <row r="3564" spans="1:11" ht="12.75">
      <c r="A3564" s="69">
        <f ca="1">IFERROR(__xludf.DUMMYFUNCTION("""COMPUTED_VALUE"""),101886)</f>
        <v>101886</v>
      </c>
      <c r="B3564" s="4">
        <f ca="1">IFERROR(__xludf.DUMMYFUNCTION("""COMPUTED_VALUE"""),44750)</f>
        <v>44750</v>
      </c>
      <c r="C3564" t="str">
        <f ca="1">IFERROR(__xludf.DUMMYFUNCTION("""COMPUTED_VALUE"""),"БУ Г. ОМСКА ""УДХБ"" 144-СТР от 01.07.2022")</f>
        <v>БУ Г. ОМСКА "УДХБ" 144-СТР от 01.07.2022</v>
      </c>
      <c r="D35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4" t="str">
        <f ca="1">IFERROR(__xludf.DUMMYFUNCTION("""COMPUTED_VALUE"""),"Новый")</f>
        <v>Новый</v>
      </c>
      <c r="G3564" s="68"/>
      <c r="K3564" s="68"/>
    </row>
    <row r="3565" spans="1:11" ht="12.75">
      <c r="A3565" s="69">
        <f ca="1">IFERROR(__xludf.DUMMYFUNCTION("""COMPUTED_VALUE"""),101887)</f>
        <v>101887</v>
      </c>
      <c r="B3565" s="4">
        <f ca="1">IFERROR(__xludf.DUMMYFUNCTION("""COMPUTED_VALUE"""),44750)</f>
        <v>44750</v>
      </c>
      <c r="C3565" t="str">
        <f ca="1">IFERROR(__xludf.DUMMYFUNCTION("""COMPUTED_VALUE"""),"БУ Г. ОМСКА ""УДХБ"" 144-СТР от 01.07.2022")</f>
        <v>БУ Г. ОМСКА "УДХБ" 144-СТР от 01.07.2022</v>
      </c>
      <c r="D35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5" t="str">
        <f ca="1">IFERROR(__xludf.DUMMYFUNCTION("""COMPUTED_VALUE"""),"Новый")</f>
        <v>Новый</v>
      </c>
      <c r="G3565" s="68"/>
      <c r="K3565" s="68"/>
    </row>
    <row r="3566" spans="1:11" ht="12.75">
      <c r="A3566" s="69">
        <f ca="1">IFERROR(__xludf.DUMMYFUNCTION("""COMPUTED_VALUE"""),101888)</f>
        <v>101888</v>
      </c>
      <c r="B3566" s="4">
        <f ca="1">IFERROR(__xludf.DUMMYFUNCTION("""COMPUTED_VALUE"""),44750)</f>
        <v>44750</v>
      </c>
      <c r="C3566" t="str">
        <f ca="1">IFERROR(__xludf.DUMMYFUNCTION("""COMPUTED_VALUE"""),"БУ Г. ОМСКА ""УДХБ"" 144-СТР от 01.07.2022")</f>
        <v>БУ Г. ОМСКА "УДХБ" 144-СТР от 01.07.2022</v>
      </c>
      <c r="D35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6" t="str">
        <f ca="1">IFERROR(__xludf.DUMMYFUNCTION("""COMPUTED_VALUE"""),"Новый")</f>
        <v>Новый</v>
      </c>
      <c r="G3566" s="68"/>
      <c r="K3566" s="68"/>
    </row>
    <row r="3567" spans="1:11" ht="12.75">
      <c r="A3567" s="69">
        <f ca="1">IFERROR(__xludf.DUMMYFUNCTION("""COMPUTED_VALUE"""),101889)</f>
        <v>101889</v>
      </c>
      <c r="B3567" s="4">
        <f ca="1">IFERROR(__xludf.DUMMYFUNCTION("""COMPUTED_VALUE"""),44750)</f>
        <v>44750</v>
      </c>
      <c r="C3567" t="str">
        <f ca="1">IFERROR(__xludf.DUMMYFUNCTION("""COMPUTED_VALUE"""),"БУ Г. ОМСКА ""УДХБ"" 144-СТР от 01.07.2022")</f>
        <v>БУ Г. ОМСКА "УДХБ" 144-СТР от 01.07.2022</v>
      </c>
      <c r="D35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7" t="str">
        <f ca="1">IFERROR(__xludf.DUMMYFUNCTION("""COMPUTED_VALUE"""),"Новый")</f>
        <v>Новый</v>
      </c>
      <c r="G3567" s="68"/>
      <c r="K3567" s="68"/>
    </row>
    <row r="3568" spans="1:11" ht="12.75">
      <c r="A3568" s="69">
        <f ca="1">IFERROR(__xludf.DUMMYFUNCTION("""COMPUTED_VALUE"""),101890)</f>
        <v>101890</v>
      </c>
      <c r="B3568" s="4">
        <f ca="1">IFERROR(__xludf.DUMMYFUNCTION("""COMPUTED_VALUE"""),44750)</f>
        <v>44750</v>
      </c>
      <c r="C3568" t="str">
        <f ca="1">IFERROR(__xludf.DUMMYFUNCTION("""COMPUTED_VALUE"""),"БУ Г. ОМСКА ""УДХБ"" 144-СТР от 01.07.2022")</f>
        <v>БУ Г. ОМСКА "УДХБ" 144-СТР от 01.07.2022</v>
      </c>
      <c r="D35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8" t="str">
        <f ca="1">IFERROR(__xludf.DUMMYFUNCTION("""COMPUTED_VALUE"""),"Новый")</f>
        <v>Новый</v>
      </c>
      <c r="G3568" s="68"/>
      <c r="K3568" s="68"/>
    </row>
    <row r="3569" spans="1:11" ht="12.75">
      <c r="A3569" s="69">
        <f ca="1">IFERROR(__xludf.DUMMYFUNCTION("""COMPUTED_VALUE"""),101891)</f>
        <v>101891</v>
      </c>
      <c r="B3569" s="4">
        <f ca="1">IFERROR(__xludf.DUMMYFUNCTION("""COMPUTED_VALUE"""),44750)</f>
        <v>44750</v>
      </c>
      <c r="C3569" t="str">
        <f ca="1">IFERROR(__xludf.DUMMYFUNCTION("""COMPUTED_VALUE"""),"БУ Г. ОМСКА ""УДХБ"" 144-СТР от 01.07.2022")</f>
        <v>БУ Г. ОМСКА "УДХБ" 144-СТР от 01.07.2022</v>
      </c>
      <c r="D35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69" t="str">
        <f ca="1">IFERROR(__xludf.DUMMYFUNCTION("""COMPUTED_VALUE"""),"Новый")</f>
        <v>Новый</v>
      </c>
      <c r="G3569" s="68"/>
      <c r="K3569" s="68"/>
    </row>
    <row r="3570" spans="1:11" ht="12.75">
      <c r="A3570" s="69">
        <f ca="1">IFERROR(__xludf.DUMMYFUNCTION("""COMPUTED_VALUE"""),101892)</f>
        <v>101892</v>
      </c>
      <c r="B3570" s="4">
        <f ca="1">IFERROR(__xludf.DUMMYFUNCTION("""COMPUTED_VALUE"""),44750)</f>
        <v>44750</v>
      </c>
      <c r="C3570" t="str">
        <f ca="1">IFERROR(__xludf.DUMMYFUNCTION("""COMPUTED_VALUE"""),"БУ Г. ОМСКА ""УДХБ"" 144-СТР от 01.07.2022")</f>
        <v>БУ Г. ОМСКА "УДХБ" 144-СТР от 01.07.2022</v>
      </c>
      <c r="D35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0" t="str">
        <f ca="1">IFERROR(__xludf.DUMMYFUNCTION("""COMPUTED_VALUE"""),"Новый")</f>
        <v>Новый</v>
      </c>
      <c r="G3570" s="68"/>
      <c r="K3570" s="68"/>
    </row>
    <row r="3571" spans="1:11" ht="12.75">
      <c r="A3571" s="69">
        <f ca="1">IFERROR(__xludf.DUMMYFUNCTION("""COMPUTED_VALUE"""),101893)</f>
        <v>101893</v>
      </c>
      <c r="B3571" s="4">
        <f ca="1">IFERROR(__xludf.DUMMYFUNCTION("""COMPUTED_VALUE"""),44750)</f>
        <v>44750</v>
      </c>
      <c r="C3571" t="str">
        <f ca="1">IFERROR(__xludf.DUMMYFUNCTION("""COMPUTED_VALUE"""),"БУ Г. ОМСКА ""УДХБ"" 144-СТР от 01.07.2022")</f>
        <v>БУ Г. ОМСКА "УДХБ" 144-СТР от 01.07.2022</v>
      </c>
      <c r="D35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1" t="str">
        <f ca="1">IFERROR(__xludf.DUMMYFUNCTION("""COMPUTED_VALUE"""),"Новый")</f>
        <v>Новый</v>
      </c>
      <c r="G3571" s="68"/>
      <c r="K3571" s="68"/>
    </row>
    <row r="3572" spans="1:11" ht="12.75">
      <c r="A3572" s="69">
        <f ca="1">IFERROR(__xludf.DUMMYFUNCTION("""COMPUTED_VALUE"""),101894)</f>
        <v>101894</v>
      </c>
      <c r="B3572" s="4">
        <f ca="1">IFERROR(__xludf.DUMMYFUNCTION("""COMPUTED_VALUE"""),44750)</f>
        <v>44750</v>
      </c>
      <c r="C3572" t="str">
        <f ca="1">IFERROR(__xludf.DUMMYFUNCTION("""COMPUTED_VALUE"""),"БУ Г. ОМСКА ""УДХБ"" 144-СТР от 01.07.2022")</f>
        <v>БУ Г. ОМСКА "УДХБ" 144-СТР от 01.07.2022</v>
      </c>
      <c r="D35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2" t="str">
        <f ca="1">IFERROR(__xludf.DUMMYFUNCTION("""COMPUTED_VALUE"""),"Новый")</f>
        <v>Новый</v>
      </c>
      <c r="G3572" s="68"/>
      <c r="K3572" s="68"/>
    </row>
    <row r="3573" spans="1:11" ht="12.75">
      <c r="A3573" s="69">
        <f ca="1">IFERROR(__xludf.DUMMYFUNCTION("""COMPUTED_VALUE"""),101895)</f>
        <v>101895</v>
      </c>
      <c r="B3573" s="4">
        <f ca="1">IFERROR(__xludf.DUMMYFUNCTION("""COMPUTED_VALUE"""),44750)</f>
        <v>44750</v>
      </c>
      <c r="C3573" t="str">
        <f ca="1">IFERROR(__xludf.DUMMYFUNCTION("""COMPUTED_VALUE"""),"БУ Г. ОМСКА ""УДХБ"" 144-СТР от 01.07.2022")</f>
        <v>БУ Г. ОМСКА "УДХБ" 144-СТР от 01.07.2022</v>
      </c>
      <c r="D35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3" t="str">
        <f ca="1">IFERROR(__xludf.DUMMYFUNCTION("""COMPUTED_VALUE"""),"Новый")</f>
        <v>Новый</v>
      </c>
      <c r="G3573" s="68"/>
      <c r="K3573" s="68"/>
    </row>
    <row r="3574" spans="1:11" ht="12.75">
      <c r="A3574" s="69">
        <f ca="1">IFERROR(__xludf.DUMMYFUNCTION("""COMPUTED_VALUE"""),101896)</f>
        <v>101896</v>
      </c>
      <c r="B3574" s="4">
        <f ca="1">IFERROR(__xludf.DUMMYFUNCTION("""COMPUTED_VALUE"""),44750)</f>
        <v>44750</v>
      </c>
      <c r="C3574" t="str">
        <f ca="1">IFERROR(__xludf.DUMMYFUNCTION("""COMPUTED_VALUE"""),"БУ Г. ОМСКА ""УДХБ"" 144-СТР от 01.07.2022")</f>
        <v>БУ Г. ОМСКА "УДХБ" 144-СТР от 01.07.2022</v>
      </c>
      <c r="D35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4" t="str">
        <f ca="1">IFERROR(__xludf.DUMMYFUNCTION("""COMPUTED_VALUE"""),"Новый")</f>
        <v>Новый</v>
      </c>
      <c r="G3574" s="68"/>
      <c r="K3574" s="68"/>
    </row>
    <row r="3575" spans="1:11" ht="12.75">
      <c r="A3575" s="69">
        <f ca="1">IFERROR(__xludf.DUMMYFUNCTION("""COMPUTED_VALUE"""),101897)</f>
        <v>101897</v>
      </c>
      <c r="B3575" s="4">
        <f ca="1">IFERROR(__xludf.DUMMYFUNCTION("""COMPUTED_VALUE"""),44750)</f>
        <v>44750</v>
      </c>
      <c r="C3575" t="str">
        <f ca="1">IFERROR(__xludf.DUMMYFUNCTION("""COMPUTED_VALUE"""),"БУ Г. ОМСКА ""УДХБ"" 144-СТР от 01.07.2022")</f>
        <v>БУ Г. ОМСКА "УДХБ" 144-СТР от 01.07.2022</v>
      </c>
      <c r="D35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5" t="str">
        <f ca="1">IFERROR(__xludf.DUMMYFUNCTION("""COMPUTED_VALUE"""),"Новый")</f>
        <v>Новый</v>
      </c>
      <c r="G3575" s="68"/>
      <c r="K3575" s="68"/>
    </row>
    <row r="3576" spans="1:11" ht="12.75">
      <c r="A3576" s="69">
        <f ca="1">IFERROR(__xludf.DUMMYFUNCTION("""COMPUTED_VALUE"""),101898)</f>
        <v>101898</v>
      </c>
      <c r="B3576" s="4">
        <f ca="1">IFERROR(__xludf.DUMMYFUNCTION("""COMPUTED_VALUE"""),44750)</f>
        <v>44750</v>
      </c>
      <c r="C3576" t="str">
        <f ca="1">IFERROR(__xludf.DUMMYFUNCTION("""COMPUTED_VALUE"""),"БУ Г. ОМСКА ""УДХБ"" 144-СТР от 01.07.2022")</f>
        <v>БУ Г. ОМСКА "УДХБ" 144-СТР от 01.07.2022</v>
      </c>
      <c r="D35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6" t="str">
        <f ca="1">IFERROR(__xludf.DUMMYFUNCTION("""COMPUTED_VALUE"""),"Новый")</f>
        <v>Новый</v>
      </c>
      <c r="G3576" s="68"/>
      <c r="K3576" s="68"/>
    </row>
    <row r="3577" spans="1:11" ht="12.75">
      <c r="A3577" s="69">
        <f ca="1">IFERROR(__xludf.DUMMYFUNCTION("""COMPUTED_VALUE"""),101899)</f>
        <v>101899</v>
      </c>
      <c r="B3577" s="4">
        <f ca="1">IFERROR(__xludf.DUMMYFUNCTION("""COMPUTED_VALUE"""),44750)</f>
        <v>44750</v>
      </c>
      <c r="C3577" t="str">
        <f ca="1">IFERROR(__xludf.DUMMYFUNCTION("""COMPUTED_VALUE"""),"БУ Г. ОМСКА ""УДХБ"" 144-СТР от 01.07.2022")</f>
        <v>БУ Г. ОМСКА "УДХБ" 144-СТР от 01.07.2022</v>
      </c>
      <c r="D35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7" t="str">
        <f ca="1">IFERROR(__xludf.DUMMYFUNCTION("""COMPUTED_VALUE"""),"Новый")</f>
        <v>Новый</v>
      </c>
      <c r="G3577" s="68"/>
      <c r="K3577" s="68"/>
    </row>
    <row r="3578" spans="1:11" ht="12.75">
      <c r="A3578" s="69">
        <f ca="1">IFERROR(__xludf.DUMMYFUNCTION("""COMPUTED_VALUE"""),101900)</f>
        <v>101900</v>
      </c>
      <c r="B3578" s="4">
        <f ca="1">IFERROR(__xludf.DUMMYFUNCTION("""COMPUTED_VALUE"""),44750)</f>
        <v>44750</v>
      </c>
      <c r="C3578" t="str">
        <f ca="1">IFERROR(__xludf.DUMMYFUNCTION("""COMPUTED_VALUE"""),"БУ Г. ОМСКА ""УДХБ"" 144-СТР от 01.07.2022")</f>
        <v>БУ Г. ОМСКА "УДХБ" 144-СТР от 01.07.2022</v>
      </c>
      <c r="D35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8" t="str">
        <f ca="1">IFERROR(__xludf.DUMMYFUNCTION("""COMPUTED_VALUE"""),"Новый")</f>
        <v>Новый</v>
      </c>
      <c r="G3578" s="68"/>
      <c r="K3578" s="68"/>
    </row>
    <row r="3579" spans="1:11" ht="12.75">
      <c r="A3579" s="69">
        <f ca="1">IFERROR(__xludf.DUMMYFUNCTION("""COMPUTED_VALUE"""),101901)</f>
        <v>101901</v>
      </c>
      <c r="B3579" s="4">
        <f ca="1">IFERROR(__xludf.DUMMYFUNCTION("""COMPUTED_VALUE"""),44750)</f>
        <v>44750</v>
      </c>
      <c r="C3579" t="str">
        <f ca="1">IFERROR(__xludf.DUMMYFUNCTION("""COMPUTED_VALUE"""),"БУ Г. ОМСКА ""УДХБ"" 144-СТР от 01.07.2022")</f>
        <v>БУ Г. ОМСКА "УДХБ" 144-СТР от 01.07.2022</v>
      </c>
      <c r="D35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79" t="str">
        <f ca="1">IFERROR(__xludf.DUMMYFUNCTION("""COMPUTED_VALUE"""),"Новый")</f>
        <v>Новый</v>
      </c>
      <c r="G3579" s="68"/>
      <c r="K3579" s="68"/>
    </row>
    <row r="3580" spans="1:11" ht="12.75">
      <c r="A3580" s="69">
        <f ca="1">IFERROR(__xludf.DUMMYFUNCTION("""COMPUTED_VALUE"""),101902)</f>
        <v>101902</v>
      </c>
      <c r="B3580" s="4">
        <f ca="1">IFERROR(__xludf.DUMMYFUNCTION("""COMPUTED_VALUE"""),44750)</f>
        <v>44750</v>
      </c>
      <c r="C3580" t="str">
        <f ca="1">IFERROR(__xludf.DUMMYFUNCTION("""COMPUTED_VALUE"""),"БУ Г. ОМСКА ""УДХБ"" 144-СТР от 01.07.2022")</f>
        <v>БУ Г. ОМСКА "УДХБ" 144-СТР от 01.07.2022</v>
      </c>
      <c r="D35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0" t="str">
        <f ca="1">IFERROR(__xludf.DUMMYFUNCTION("""COMPUTED_VALUE"""),"Новый")</f>
        <v>Новый</v>
      </c>
      <c r="G3580" s="68"/>
      <c r="K3580" s="68"/>
    </row>
    <row r="3581" spans="1:11" ht="12.75">
      <c r="A3581" s="69">
        <f ca="1">IFERROR(__xludf.DUMMYFUNCTION("""COMPUTED_VALUE"""),101903)</f>
        <v>101903</v>
      </c>
      <c r="B3581" s="4">
        <f ca="1">IFERROR(__xludf.DUMMYFUNCTION("""COMPUTED_VALUE"""),44750)</f>
        <v>44750</v>
      </c>
      <c r="C3581" t="str">
        <f ca="1">IFERROR(__xludf.DUMMYFUNCTION("""COMPUTED_VALUE"""),"БУ Г. ОМСКА ""УДХБ"" 144-СТР от 01.07.2022")</f>
        <v>БУ Г. ОМСКА "УДХБ" 144-СТР от 01.07.2022</v>
      </c>
      <c r="D35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1" t="str">
        <f ca="1">IFERROR(__xludf.DUMMYFUNCTION("""COMPUTED_VALUE"""),"Новый")</f>
        <v>Новый</v>
      </c>
      <c r="G3581" s="68"/>
      <c r="K3581" s="68"/>
    </row>
    <row r="3582" spans="1:11" ht="12.75">
      <c r="A3582" s="69">
        <f ca="1">IFERROR(__xludf.DUMMYFUNCTION("""COMPUTED_VALUE"""),101904)</f>
        <v>101904</v>
      </c>
      <c r="B3582" s="4">
        <f ca="1">IFERROR(__xludf.DUMMYFUNCTION("""COMPUTED_VALUE"""),44750)</f>
        <v>44750</v>
      </c>
      <c r="C3582" t="str">
        <f ca="1">IFERROR(__xludf.DUMMYFUNCTION("""COMPUTED_VALUE"""),"БУ Г. ОМСКА ""УДХБ"" 144-СТР от 01.07.2022")</f>
        <v>БУ Г. ОМСКА "УДХБ" 144-СТР от 01.07.2022</v>
      </c>
      <c r="D35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2" t="str">
        <f ca="1">IFERROR(__xludf.DUMMYFUNCTION("""COMPUTED_VALUE"""),"Новый")</f>
        <v>Новый</v>
      </c>
      <c r="G3582" s="68"/>
      <c r="K3582" s="68"/>
    </row>
    <row r="3583" spans="1:11" ht="12.75">
      <c r="A3583" s="69">
        <f ca="1">IFERROR(__xludf.DUMMYFUNCTION("""COMPUTED_VALUE"""),101905)</f>
        <v>101905</v>
      </c>
      <c r="B3583" s="4">
        <f ca="1">IFERROR(__xludf.DUMMYFUNCTION("""COMPUTED_VALUE"""),44750)</f>
        <v>44750</v>
      </c>
      <c r="C3583" t="str">
        <f ca="1">IFERROR(__xludf.DUMMYFUNCTION("""COMPUTED_VALUE"""),"БУ Г. ОМСКА ""УДХБ"" 144-СТР от 01.07.2022")</f>
        <v>БУ Г. ОМСКА "УДХБ" 144-СТР от 01.07.2022</v>
      </c>
      <c r="D35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3" t="str">
        <f ca="1">IFERROR(__xludf.DUMMYFUNCTION("""COMPUTED_VALUE"""),"Новый")</f>
        <v>Новый</v>
      </c>
      <c r="G3583" s="68"/>
      <c r="K3583" s="68"/>
    </row>
    <row r="3584" spans="1:11" ht="12.75">
      <c r="A3584" s="69">
        <f ca="1">IFERROR(__xludf.DUMMYFUNCTION("""COMPUTED_VALUE"""),101906)</f>
        <v>101906</v>
      </c>
      <c r="B3584" s="4">
        <f ca="1">IFERROR(__xludf.DUMMYFUNCTION("""COMPUTED_VALUE"""),44750)</f>
        <v>44750</v>
      </c>
      <c r="C3584" t="str">
        <f ca="1">IFERROR(__xludf.DUMMYFUNCTION("""COMPUTED_VALUE"""),"БУ Г. ОМСКА ""УДХБ"" 144-СТР от 01.07.2022")</f>
        <v>БУ Г. ОМСКА "УДХБ" 144-СТР от 01.07.2022</v>
      </c>
      <c r="D35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4" t="str">
        <f ca="1">IFERROR(__xludf.DUMMYFUNCTION("""COMPUTED_VALUE"""),"Новый")</f>
        <v>Новый</v>
      </c>
      <c r="G3584" s="68"/>
      <c r="K3584" s="68"/>
    </row>
    <row r="3585" spans="1:11" ht="12.75">
      <c r="A3585" s="69">
        <f ca="1">IFERROR(__xludf.DUMMYFUNCTION("""COMPUTED_VALUE"""),101907)</f>
        <v>101907</v>
      </c>
      <c r="B3585" s="4">
        <f ca="1">IFERROR(__xludf.DUMMYFUNCTION("""COMPUTED_VALUE"""),44750)</f>
        <v>44750</v>
      </c>
      <c r="C3585" t="str">
        <f ca="1">IFERROR(__xludf.DUMMYFUNCTION("""COMPUTED_VALUE"""),"БУ Г. ОМСКА ""УДХБ"" 144-СТР от 01.07.2022")</f>
        <v>БУ Г. ОМСКА "УДХБ" 144-СТР от 01.07.2022</v>
      </c>
      <c r="D35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5" t="str">
        <f ca="1">IFERROR(__xludf.DUMMYFUNCTION("""COMPUTED_VALUE"""),"Новый")</f>
        <v>Новый</v>
      </c>
      <c r="G3585" s="68"/>
      <c r="K3585" s="68"/>
    </row>
    <row r="3586" spans="1:11" ht="12.75">
      <c r="A3586" s="69">
        <f ca="1">IFERROR(__xludf.DUMMYFUNCTION("""COMPUTED_VALUE"""),101913)</f>
        <v>101913</v>
      </c>
      <c r="B3586" s="4">
        <f ca="1">IFERROR(__xludf.DUMMYFUNCTION("""COMPUTED_VALUE"""),44750)</f>
        <v>44750</v>
      </c>
      <c r="C3586" t="str">
        <f ca="1">IFERROR(__xludf.DUMMYFUNCTION("""COMPUTED_VALUE"""),"БУ Г. ОМСКА ""УДХБ"" 144-СТР от 01.07.2022")</f>
        <v>БУ Г. ОМСКА "УДХБ" 144-СТР от 01.07.2022</v>
      </c>
      <c r="D35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6" t="str">
        <f ca="1">IFERROR(__xludf.DUMMYFUNCTION("""COMPUTED_VALUE"""),"Новый")</f>
        <v>Новый</v>
      </c>
      <c r="G3586" s="68"/>
      <c r="K3586" s="68"/>
    </row>
    <row r="3587" spans="1:11" ht="12.75">
      <c r="A3587" s="69">
        <f ca="1">IFERROR(__xludf.DUMMYFUNCTION("""COMPUTED_VALUE"""),101914)</f>
        <v>101914</v>
      </c>
      <c r="B3587" s="4">
        <f ca="1">IFERROR(__xludf.DUMMYFUNCTION("""COMPUTED_VALUE"""),44750)</f>
        <v>44750</v>
      </c>
      <c r="C3587" t="str">
        <f ca="1">IFERROR(__xludf.DUMMYFUNCTION("""COMPUTED_VALUE"""),"БУ Г. ОМСКА ""УДХБ"" 144-СТР от 01.07.2022")</f>
        <v>БУ Г. ОМСКА "УДХБ" 144-СТР от 01.07.2022</v>
      </c>
      <c r="D35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7" t="str">
        <f ca="1">IFERROR(__xludf.DUMMYFUNCTION("""COMPUTED_VALUE"""),"Новый")</f>
        <v>Новый</v>
      </c>
      <c r="G3587" s="68"/>
      <c r="K3587" s="68"/>
    </row>
    <row r="3588" spans="1:11" ht="12.75">
      <c r="A3588" s="69">
        <f ca="1">IFERROR(__xludf.DUMMYFUNCTION("""COMPUTED_VALUE"""),101916)</f>
        <v>101916</v>
      </c>
      <c r="B3588" s="4">
        <f ca="1">IFERROR(__xludf.DUMMYFUNCTION("""COMPUTED_VALUE"""),44750)</f>
        <v>44750</v>
      </c>
      <c r="C3588" t="str">
        <f ca="1">IFERROR(__xludf.DUMMYFUNCTION("""COMPUTED_VALUE"""),"БУ Г. ОМСКА ""УДХБ"" 144-СТР от 01.07.2022")</f>
        <v>БУ Г. ОМСКА "УДХБ" 144-СТР от 01.07.2022</v>
      </c>
      <c r="D35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8" t="str">
        <f ca="1">IFERROR(__xludf.DUMMYFUNCTION("""COMPUTED_VALUE"""),"Новый")</f>
        <v>Новый</v>
      </c>
      <c r="G3588" s="68"/>
      <c r="K3588" s="68"/>
    </row>
    <row r="3589" spans="1:11" ht="12.75">
      <c r="A3589" s="69">
        <f ca="1">IFERROR(__xludf.DUMMYFUNCTION("""COMPUTED_VALUE"""),101917)</f>
        <v>101917</v>
      </c>
      <c r="B3589" s="4">
        <f ca="1">IFERROR(__xludf.DUMMYFUNCTION("""COMPUTED_VALUE"""),44750)</f>
        <v>44750</v>
      </c>
      <c r="C3589" t="str">
        <f ca="1">IFERROR(__xludf.DUMMYFUNCTION("""COMPUTED_VALUE"""),"БУ Г. ОМСКА ""УДХБ"" 144-СТР от 01.07.2022")</f>
        <v>БУ Г. ОМСКА "УДХБ" 144-СТР от 01.07.2022</v>
      </c>
      <c r="D35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89" t="str">
        <f ca="1">IFERROR(__xludf.DUMMYFUNCTION("""COMPUTED_VALUE"""),"Новый")</f>
        <v>Новый</v>
      </c>
      <c r="G3589" s="68"/>
      <c r="K3589" s="68"/>
    </row>
    <row r="3590" spans="1:11" ht="12.75">
      <c r="A3590" s="69">
        <f ca="1">IFERROR(__xludf.DUMMYFUNCTION("""COMPUTED_VALUE"""),101918)</f>
        <v>101918</v>
      </c>
      <c r="B3590" s="4">
        <f ca="1">IFERROR(__xludf.DUMMYFUNCTION("""COMPUTED_VALUE"""),44750)</f>
        <v>44750</v>
      </c>
      <c r="C3590" t="str">
        <f ca="1">IFERROR(__xludf.DUMMYFUNCTION("""COMPUTED_VALUE"""),"БУ Г. ОМСКА ""УДХБ"" 144-СТР от 01.07.2022")</f>
        <v>БУ Г. ОМСКА "УДХБ" 144-СТР от 01.07.2022</v>
      </c>
      <c r="D35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0" t="str">
        <f ca="1">IFERROR(__xludf.DUMMYFUNCTION("""COMPUTED_VALUE"""),"Новый")</f>
        <v>Новый</v>
      </c>
      <c r="G3590" s="68"/>
      <c r="K3590" s="68"/>
    </row>
    <row r="3591" spans="1:11" ht="12.75">
      <c r="A3591" s="69">
        <f ca="1">IFERROR(__xludf.DUMMYFUNCTION("""COMPUTED_VALUE"""),101919)</f>
        <v>101919</v>
      </c>
      <c r="B3591" s="4">
        <f ca="1">IFERROR(__xludf.DUMMYFUNCTION("""COMPUTED_VALUE"""),44750)</f>
        <v>44750</v>
      </c>
      <c r="C3591" t="str">
        <f ca="1">IFERROR(__xludf.DUMMYFUNCTION("""COMPUTED_VALUE"""),"БУ Г. ОМСКА ""УДХБ"" 144-СТР от 01.07.2022")</f>
        <v>БУ Г. ОМСКА "УДХБ" 144-СТР от 01.07.2022</v>
      </c>
      <c r="D35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1" t="str">
        <f ca="1">IFERROR(__xludf.DUMMYFUNCTION("""COMPUTED_VALUE"""),"Новый")</f>
        <v>Новый</v>
      </c>
      <c r="G3591" s="68"/>
      <c r="K3591" s="68"/>
    </row>
    <row r="3592" spans="1:11" ht="12.75">
      <c r="A3592" s="69">
        <f ca="1">IFERROR(__xludf.DUMMYFUNCTION("""COMPUTED_VALUE"""),101920)</f>
        <v>101920</v>
      </c>
      <c r="B3592" s="4">
        <f ca="1">IFERROR(__xludf.DUMMYFUNCTION("""COMPUTED_VALUE"""),44750)</f>
        <v>44750</v>
      </c>
      <c r="C3592" t="str">
        <f ca="1">IFERROR(__xludf.DUMMYFUNCTION("""COMPUTED_VALUE"""),"БУ Г. ОМСКА ""УДХБ"" 144-СТР от 01.07.2022")</f>
        <v>БУ Г. ОМСКА "УДХБ" 144-СТР от 01.07.2022</v>
      </c>
      <c r="D35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2" t="str">
        <f ca="1">IFERROR(__xludf.DUMMYFUNCTION("""COMPUTED_VALUE"""),"Новый")</f>
        <v>Новый</v>
      </c>
      <c r="G3592" s="68"/>
      <c r="K3592" s="68"/>
    </row>
    <row r="3593" spans="1:11" ht="12.75">
      <c r="A3593" s="69">
        <f ca="1">IFERROR(__xludf.DUMMYFUNCTION("""COMPUTED_VALUE"""),101921)</f>
        <v>101921</v>
      </c>
      <c r="B3593" s="4">
        <f ca="1">IFERROR(__xludf.DUMMYFUNCTION("""COMPUTED_VALUE"""),44750)</f>
        <v>44750</v>
      </c>
      <c r="C3593" t="str">
        <f ca="1">IFERROR(__xludf.DUMMYFUNCTION("""COMPUTED_VALUE"""),"БУ Г. ОМСКА ""УДХБ"" 144-СТР от 01.07.2022")</f>
        <v>БУ Г. ОМСКА "УДХБ" 144-СТР от 01.07.2022</v>
      </c>
      <c r="D35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3" t="str">
        <f ca="1">IFERROR(__xludf.DUMMYFUNCTION("""COMPUTED_VALUE"""),"Новый")</f>
        <v>Новый</v>
      </c>
      <c r="G3593" s="68"/>
      <c r="K3593" s="68"/>
    </row>
    <row r="3594" spans="1:11" ht="12.75">
      <c r="A3594" s="69">
        <f ca="1">IFERROR(__xludf.DUMMYFUNCTION("""COMPUTED_VALUE"""),101922)</f>
        <v>101922</v>
      </c>
      <c r="B3594" s="4">
        <f ca="1">IFERROR(__xludf.DUMMYFUNCTION("""COMPUTED_VALUE"""),44750)</f>
        <v>44750</v>
      </c>
      <c r="C3594" t="str">
        <f ca="1">IFERROR(__xludf.DUMMYFUNCTION("""COMPUTED_VALUE"""),"БУ Г. ОМСКА ""УДХБ"" 144-СТР от 01.07.2022")</f>
        <v>БУ Г. ОМСКА "УДХБ" 144-СТР от 01.07.2022</v>
      </c>
      <c r="D35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4" t="str">
        <f ca="1">IFERROR(__xludf.DUMMYFUNCTION("""COMPUTED_VALUE"""),"Новый")</f>
        <v>Новый</v>
      </c>
      <c r="G3594" s="68"/>
      <c r="K3594" s="68"/>
    </row>
    <row r="3595" spans="1:11" ht="12.75">
      <c r="A3595" s="69">
        <f ca="1">IFERROR(__xludf.DUMMYFUNCTION("""COMPUTED_VALUE"""),101923)</f>
        <v>101923</v>
      </c>
      <c r="B3595" s="4">
        <f ca="1">IFERROR(__xludf.DUMMYFUNCTION("""COMPUTED_VALUE"""),44750)</f>
        <v>44750</v>
      </c>
      <c r="C3595" t="str">
        <f ca="1">IFERROR(__xludf.DUMMYFUNCTION("""COMPUTED_VALUE"""),"БУ Г. ОМСКА ""УДХБ"" 144-СТР от 01.07.2022")</f>
        <v>БУ Г. ОМСКА "УДХБ" 144-СТР от 01.07.2022</v>
      </c>
      <c r="D35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5" t="str">
        <f ca="1">IFERROR(__xludf.DUMMYFUNCTION("""COMPUTED_VALUE"""),"Новый")</f>
        <v>Новый</v>
      </c>
      <c r="G3595" s="68"/>
      <c r="K3595" s="68"/>
    </row>
    <row r="3596" spans="1:11" ht="12.75">
      <c r="A3596" s="69">
        <f ca="1">IFERROR(__xludf.DUMMYFUNCTION("""COMPUTED_VALUE"""),101924)</f>
        <v>101924</v>
      </c>
      <c r="B3596" s="4">
        <f ca="1">IFERROR(__xludf.DUMMYFUNCTION("""COMPUTED_VALUE"""),44750)</f>
        <v>44750</v>
      </c>
      <c r="C3596" t="str">
        <f ca="1">IFERROR(__xludf.DUMMYFUNCTION("""COMPUTED_VALUE"""),"БУ Г. ОМСКА ""УДХБ"" 144-СТР от 01.07.2022")</f>
        <v>БУ Г. ОМСКА "УДХБ" 144-СТР от 01.07.2022</v>
      </c>
      <c r="D35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6" t="str">
        <f ca="1">IFERROR(__xludf.DUMMYFUNCTION("""COMPUTED_VALUE"""),"Новый")</f>
        <v>Новый</v>
      </c>
      <c r="G3596" s="68"/>
      <c r="K3596" s="68"/>
    </row>
    <row r="3597" spans="1:11" ht="12.75">
      <c r="A3597" s="69">
        <f ca="1">IFERROR(__xludf.DUMMYFUNCTION("""COMPUTED_VALUE"""),101925)</f>
        <v>101925</v>
      </c>
      <c r="B3597" s="4">
        <f ca="1">IFERROR(__xludf.DUMMYFUNCTION("""COMPUTED_VALUE"""),44750)</f>
        <v>44750</v>
      </c>
      <c r="C3597" t="str">
        <f ca="1">IFERROR(__xludf.DUMMYFUNCTION("""COMPUTED_VALUE"""),"БУ Г. ОМСКА ""УДХБ"" 144-СТР от 01.07.2022")</f>
        <v>БУ Г. ОМСКА "УДХБ" 144-СТР от 01.07.2022</v>
      </c>
      <c r="D35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7" t="str">
        <f ca="1">IFERROR(__xludf.DUMMYFUNCTION("""COMPUTED_VALUE"""),"Новый")</f>
        <v>Новый</v>
      </c>
      <c r="G3597" s="68"/>
      <c r="K3597" s="68"/>
    </row>
    <row r="3598" spans="1:11" ht="12.75">
      <c r="A3598" s="69">
        <f ca="1">IFERROR(__xludf.DUMMYFUNCTION("""COMPUTED_VALUE"""),101966)</f>
        <v>101966</v>
      </c>
      <c r="B3598" s="4">
        <f ca="1">IFERROR(__xludf.DUMMYFUNCTION("""COMPUTED_VALUE"""),44750)</f>
        <v>44750</v>
      </c>
      <c r="C3598" t="str">
        <f ca="1">IFERROR(__xludf.DUMMYFUNCTION("""COMPUTED_VALUE"""),"БУ Г. ОМСКА ""УДХБ"" 144-СТР от 01.07.2022")</f>
        <v>БУ Г. ОМСКА "УДХБ" 144-СТР от 01.07.2022</v>
      </c>
      <c r="D35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8" t="str">
        <f ca="1">IFERROR(__xludf.DUMMYFUNCTION("""COMPUTED_VALUE"""),"Новый")</f>
        <v>Новый</v>
      </c>
      <c r="G3598" s="68"/>
      <c r="K3598" s="68"/>
    </row>
    <row r="3599" spans="1:11" ht="12.75">
      <c r="A3599" s="69">
        <f ca="1">IFERROR(__xludf.DUMMYFUNCTION("""COMPUTED_VALUE"""),101967)</f>
        <v>101967</v>
      </c>
      <c r="B3599" s="4">
        <f ca="1">IFERROR(__xludf.DUMMYFUNCTION("""COMPUTED_VALUE"""),44750)</f>
        <v>44750</v>
      </c>
      <c r="C3599" t="str">
        <f ca="1">IFERROR(__xludf.DUMMYFUNCTION("""COMPUTED_VALUE"""),"БУ Г. ОМСКА ""УДХБ"" 144-СТР от 01.07.2022")</f>
        <v>БУ Г. ОМСКА "УДХБ" 144-СТР от 01.07.2022</v>
      </c>
      <c r="D35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599" t="str">
        <f ca="1">IFERROR(__xludf.DUMMYFUNCTION("""COMPUTED_VALUE"""),"Новый")</f>
        <v>Новый</v>
      </c>
      <c r="G3599" s="68"/>
      <c r="K3599" s="68"/>
    </row>
    <row r="3600" spans="1:11" ht="12.75">
      <c r="A3600" s="69">
        <f ca="1">IFERROR(__xludf.DUMMYFUNCTION("""COMPUTED_VALUE"""),101968)</f>
        <v>101968</v>
      </c>
      <c r="B3600" s="4">
        <f ca="1">IFERROR(__xludf.DUMMYFUNCTION("""COMPUTED_VALUE"""),44750)</f>
        <v>44750</v>
      </c>
      <c r="C3600" t="str">
        <f ca="1">IFERROR(__xludf.DUMMYFUNCTION("""COMPUTED_VALUE"""),"БУ Г. ОМСКА ""УДХБ"" 144-СТР от 01.07.2022")</f>
        <v>БУ Г. ОМСКА "УДХБ" 144-СТР от 01.07.2022</v>
      </c>
      <c r="D36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0" t="str">
        <f ca="1">IFERROR(__xludf.DUMMYFUNCTION("""COMPUTED_VALUE"""),"Новый")</f>
        <v>Новый</v>
      </c>
      <c r="G3600" s="68"/>
      <c r="K3600" s="68"/>
    </row>
    <row r="3601" spans="1:11" ht="12.75">
      <c r="A3601" s="69">
        <f ca="1">IFERROR(__xludf.DUMMYFUNCTION("""COMPUTED_VALUE"""),101969)</f>
        <v>101969</v>
      </c>
      <c r="B3601" s="4">
        <f ca="1">IFERROR(__xludf.DUMMYFUNCTION("""COMPUTED_VALUE"""),44750)</f>
        <v>44750</v>
      </c>
      <c r="C3601" t="str">
        <f ca="1">IFERROR(__xludf.DUMMYFUNCTION("""COMPUTED_VALUE"""),"БУ Г. ОМСКА ""УДХБ"" 144-СТР от 01.07.2022")</f>
        <v>БУ Г. ОМСКА "УДХБ" 144-СТР от 01.07.2022</v>
      </c>
      <c r="D36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1" t="str">
        <f ca="1">IFERROR(__xludf.DUMMYFUNCTION("""COMPUTED_VALUE"""),"Новый")</f>
        <v>Новый</v>
      </c>
      <c r="G3601" s="68"/>
      <c r="K3601" s="68"/>
    </row>
    <row r="3602" spans="1:11" ht="12.75">
      <c r="A3602" s="69">
        <f ca="1">IFERROR(__xludf.DUMMYFUNCTION("""COMPUTED_VALUE"""),101970)</f>
        <v>101970</v>
      </c>
      <c r="B3602" s="4">
        <f ca="1">IFERROR(__xludf.DUMMYFUNCTION("""COMPUTED_VALUE"""),44750)</f>
        <v>44750</v>
      </c>
      <c r="C3602" t="str">
        <f ca="1">IFERROR(__xludf.DUMMYFUNCTION("""COMPUTED_VALUE"""),"БУ Г. ОМСКА ""УДХБ"" 144-СТР от 01.07.2022")</f>
        <v>БУ Г. ОМСКА "УДХБ" 144-СТР от 01.07.2022</v>
      </c>
      <c r="D36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2" t="str">
        <f ca="1">IFERROR(__xludf.DUMMYFUNCTION("""COMPUTED_VALUE"""),"Новый")</f>
        <v>Новый</v>
      </c>
      <c r="G3602" s="68"/>
      <c r="K3602" s="68"/>
    </row>
    <row r="3603" spans="1:11" ht="12.75">
      <c r="A3603" s="69">
        <f ca="1">IFERROR(__xludf.DUMMYFUNCTION("""COMPUTED_VALUE"""),101971)</f>
        <v>101971</v>
      </c>
      <c r="B3603" s="4">
        <f ca="1">IFERROR(__xludf.DUMMYFUNCTION("""COMPUTED_VALUE"""),44750)</f>
        <v>44750</v>
      </c>
      <c r="C3603" t="str">
        <f ca="1">IFERROR(__xludf.DUMMYFUNCTION("""COMPUTED_VALUE"""),"БУ Г. ОМСКА ""УДХБ"" 144-СТР от 01.07.2022")</f>
        <v>БУ Г. ОМСКА "УДХБ" 144-СТР от 01.07.2022</v>
      </c>
      <c r="D36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3" t="str">
        <f ca="1">IFERROR(__xludf.DUMMYFUNCTION("""COMPUTED_VALUE"""),"Новый")</f>
        <v>Новый</v>
      </c>
      <c r="G3603" s="68"/>
      <c r="K3603" s="68"/>
    </row>
    <row r="3604" spans="1:11" ht="12.75">
      <c r="A3604" s="69">
        <f ca="1">IFERROR(__xludf.DUMMYFUNCTION("""COMPUTED_VALUE"""),101972)</f>
        <v>101972</v>
      </c>
      <c r="B3604" s="4">
        <f ca="1">IFERROR(__xludf.DUMMYFUNCTION("""COMPUTED_VALUE"""),44750)</f>
        <v>44750</v>
      </c>
      <c r="C3604" t="str">
        <f ca="1">IFERROR(__xludf.DUMMYFUNCTION("""COMPUTED_VALUE"""),"БУ Г. ОМСКА ""УДХБ"" 144-СТР от 01.07.2022")</f>
        <v>БУ Г. ОМСКА "УДХБ" 144-СТР от 01.07.2022</v>
      </c>
      <c r="D36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4" t="str">
        <f ca="1">IFERROR(__xludf.DUMMYFUNCTION("""COMPUTED_VALUE"""),"Новый")</f>
        <v>Новый</v>
      </c>
      <c r="G3604" s="68"/>
      <c r="K3604" s="68"/>
    </row>
    <row r="3605" spans="1:11" ht="12.75">
      <c r="A3605" s="69">
        <f ca="1">IFERROR(__xludf.DUMMYFUNCTION("""COMPUTED_VALUE"""),101973)</f>
        <v>101973</v>
      </c>
      <c r="B3605" s="4">
        <f ca="1">IFERROR(__xludf.DUMMYFUNCTION("""COMPUTED_VALUE"""),44750)</f>
        <v>44750</v>
      </c>
      <c r="C3605" t="str">
        <f ca="1">IFERROR(__xludf.DUMMYFUNCTION("""COMPUTED_VALUE"""),"БУ Г. ОМСКА ""УДХБ"" 144-СТР от 01.07.2022")</f>
        <v>БУ Г. ОМСКА "УДХБ" 144-СТР от 01.07.2022</v>
      </c>
      <c r="D36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5" t="str">
        <f ca="1">IFERROR(__xludf.DUMMYFUNCTION("""COMPUTED_VALUE"""),"Новый")</f>
        <v>Новый</v>
      </c>
      <c r="G3605" s="68"/>
      <c r="K3605" s="68"/>
    </row>
    <row r="3606" spans="1:11" ht="12.75">
      <c r="A3606" s="69">
        <f ca="1">IFERROR(__xludf.DUMMYFUNCTION("""COMPUTED_VALUE"""),101974)</f>
        <v>101974</v>
      </c>
      <c r="B3606" s="4">
        <f ca="1">IFERROR(__xludf.DUMMYFUNCTION("""COMPUTED_VALUE"""),44750)</f>
        <v>44750</v>
      </c>
      <c r="C3606" t="str">
        <f ca="1">IFERROR(__xludf.DUMMYFUNCTION("""COMPUTED_VALUE"""),"БУ Г. ОМСКА ""УДХБ"" 144-СТР от 01.07.2022")</f>
        <v>БУ Г. ОМСКА "УДХБ" 144-СТР от 01.07.2022</v>
      </c>
      <c r="D36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6" t="str">
        <f ca="1">IFERROR(__xludf.DUMMYFUNCTION("""COMPUTED_VALUE"""),"Новый")</f>
        <v>Новый</v>
      </c>
      <c r="G3606" s="68"/>
      <c r="K3606" s="68"/>
    </row>
    <row r="3607" spans="1:11" ht="12.75">
      <c r="A3607" s="69">
        <f ca="1">IFERROR(__xludf.DUMMYFUNCTION("""COMPUTED_VALUE"""),101975)</f>
        <v>101975</v>
      </c>
      <c r="B3607" s="4">
        <f ca="1">IFERROR(__xludf.DUMMYFUNCTION("""COMPUTED_VALUE"""),44750)</f>
        <v>44750</v>
      </c>
      <c r="C3607" t="str">
        <f ca="1">IFERROR(__xludf.DUMMYFUNCTION("""COMPUTED_VALUE"""),"БУ Г. ОМСКА ""УДХБ"" 144-СТР от 01.07.2022")</f>
        <v>БУ Г. ОМСКА "УДХБ" 144-СТР от 01.07.2022</v>
      </c>
      <c r="D36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7" t="str">
        <f ca="1">IFERROR(__xludf.DUMMYFUNCTION("""COMPUTED_VALUE"""),"Новый")</f>
        <v>Новый</v>
      </c>
      <c r="G3607" s="68"/>
      <c r="K3607" s="68"/>
    </row>
    <row r="3608" spans="1:11" ht="12.75">
      <c r="A3608" s="69">
        <f ca="1">IFERROR(__xludf.DUMMYFUNCTION("""COMPUTED_VALUE"""),101976)</f>
        <v>101976</v>
      </c>
      <c r="B3608" s="4">
        <f ca="1">IFERROR(__xludf.DUMMYFUNCTION("""COMPUTED_VALUE"""),44750)</f>
        <v>44750</v>
      </c>
      <c r="C3608" t="str">
        <f ca="1">IFERROR(__xludf.DUMMYFUNCTION("""COMPUTED_VALUE"""),"БУ Г. ОМСКА ""УДХБ"" 144-СТР от 01.07.2022")</f>
        <v>БУ Г. ОМСКА "УДХБ" 144-СТР от 01.07.2022</v>
      </c>
      <c r="D36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8" t="str">
        <f ca="1">IFERROR(__xludf.DUMMYFUNCTION("""COMPUTED_VALUE"""),"Новый")</f>
        <v>Новый</v>
      </c>
      <c r="G3608" s="68"/>
      <c r="K3608" s="68"/>
    </row>
    <row r="3609" spans="1:11" ht="12.75">
      <c r="A3609" s="69">
        <f ca="1">IFERROR(__xludf.DUMMYFUNCTION("""COMPUTED_VALUE"""),101977)</f>
        <v>101977</v>
      </c>
      <c r="B3609" s="4">
        <f ca="1">IFERROR(__xludf.DUMMYFUNCTION("""COMPUTED_VALUE"""),44750)</f>
        <v>44750</v>
      </c>
      <c r="C3609" t="str">
        <f ca="1">IFERROR(__xludf.DUMMYFUNCTION("""COMPUTED_VALUE"""),"БУ Г. ОМСКА ""УДХБ"" 144-СТР от 01.07.2022")</f>
        <v>БУ Г. ОМСКА "УДХБ" 144-СТР от 01.07.2022</v>
      </c>
      <c r="D36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09" t="str">
        <f ca="1">IFERROR(__xludf.DUMMYFUNCTION("""COMPUTED_VALUE"""),"Новый")</f>
        <v>Новый</v>
      </c>
      <c r="G3609" s="68"/>
      <c r="K3609" s="68"/>
    </row>
    <row r="3610" spans="1:11" ht="12.75">
      <c r="A3610" s="69">
        <f ca="1">IFERROR(__xludf.DUMMYFUNCTION("""COMPUTED_VALUE"""),101978)</f>
        <v>101978</v>
      </c>
      <c r="B3610" s="4">
        <f ca="1">IFERROR(__xludf.DUMMYFUNCTION("""COMPUTED_VALUE"""),44750)</f>
        <v>44750</v>
      </c>
      <c r="C3610" t="str">
        <f ca="1">IFERROR(__xludf.DUMMYFUNCTION("""COMPUTED_VALUE"""),"БУ Г. ОМСКА ""УДХБ"" 144-СТР от 01.07.2022")</f>
        <v>БУ Г. ОМСКА "УДХБ" 144-СТР от 01.07.2022</v>
      </c>
      <c r="D36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0" t="str">
        <f ca="1">IFERROR(__xludf.DUMMYFUNCTION("""COMPUTED_VALUE"""),"Новый")</f>
        <v>Новый</v>
      </c>
      <c r="G3610" s="68"/>
      <c r="K3610" s="68"/>
    </row>
    <row r="3611" spans="1:11" ht="12.75">
      <c r="A3611" s="69">
        <f ca="1">IFERROR(__xludf.DUMMYFUNCTION("""COMPUTED_VALUE"""),101979)</f>
        <v>101979</v>
      </c>
      <c r="B3611" s="4">
        <f ca="1">IFERROR(__xludf.DUMMYFUNCTION("""COMPUTED_VALUE"""),44750)</f>
        <v>44750</v>
      </c>
      <c r="C3611" t="str">
        <f ca="1">IFERROR(__xludf.DUMMYFUNCTION("""COMPUTED_VALUE"""),"БУ Г. ОМСКА ""УДХБ"" 144-СТР от 01.07.2022")</f>
        <v>БУ Г. ОМСКА "УДХБ" 144-СТР от 01.07.2022</v>
      </c>
      <c r="D36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1" t="str">
        <f ca="1">IFERROR(__xludf.DUMMYFUNCTION("""COMPUTED_VALUE"""),"Новый")</f>
        <v>Новый</v>
      </c>
      <c r="G3611" s="68"/>
      <c r="K3611" s="68"/>
    </row>
    <row r="3612" spans="1:11" ht="12.75">
      <c r="A3612" s="69">
        <f ca="1">IFERROR(__xludf.DUMMYFUNCTION("""COMPUTED_VALUE"""),101980)</f>
        <v>101980</v>
      </c>
      <c r="B3612" s="4">
        <f ca="1">IFERROR(__xludf.DUMMYFUNCTION("""COMPUTED_VALUE"""),44750)</f>
        <v>44750</v>
      </c>
      <c r="C3612" t="str">
        <f ca="1">IFERROR(__xludf.DUMMYFUNCTION("""COMPUTED_VALUE"""),"БУ Г. ОМСКА ""УДХБ"" 144-СТР от 01.07.2022")</f>
        <v>БУ Г. ОМСКА "УДХБ" 144-СТР от 01.07.2022</v>
      </c>
      <c r="D36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2" t="str">
        <f ca="1">IFERROR(__xludf.DUMMYFUNCTION("""COMPUTED_VALUE"""),"Новый")</f>
        <v>Новый</v>
      </c>
      <c r="G3612" s="68"/>
      <c r="K3612" s="68"/>
    </row>
    <row r="3613" spans="1:11" ht="12.75">
      <c r="A3613" s="69">
        <f ca="1">IFERROR(__xludf.DUMMYFUNCTION("""COMPUTED_VALUE"""),101981)</f>
        <v>101981</v>
      </c>
      <c r="B3613" s="4">
        <f ca="1">IFERROR(__xludf.DUMMYFUNCTION("""COMPUTED_VALUE"""),44750)</f>
        <v>44750</v>
      </c>
      <c r="C3613" t="str">
        <f ca="1">IFERROR(__xludf.DUMMYFUNCTION("""COMPUTED_VALUE"""),"БУ Г. ОМСКА ""УДХБ"" 144-СТР от 01.07.2022")</f>
        <v>БУ Г. ОМСКА "УДХБ" 144-СТР от 01.07.2022</v>
      </c>
      <c r="D36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3" t="str">
        <f ca="1">IFERROR(__xludf.DUMMYFUNCTION("""COMPUTED_VALUE"""),"Новый")</f>
        <v>Новый</v>
      </c>
      <c r="G3613" s="68"/>
      <c r="K3613" s="68"/>
    </row>
    <row r="3614" spans="1:11" ht="12.75">
      <c r="A3614" s="69">
        <f ca="1">IFERROR(__xludf.DUMMYFUNCTION("""COMPUTED_VALUE"""),101982)</f>
        <v>101982</v>
      </c>
      <c r="B3614" s="4">
        <f ca="1">IFERROR(__xludf.DUMMYFUNCTION("""COMPUTED_VALUE"""),44750)</f>
        <v>44750</v>
      </c>
      <c r="C3614" t="str">
        <f ca="1">IFERROR(__xludf.DUMMYFUNCTION("""COMPUTED_VALUE"""),"БУ Г. ОМСКА ""УДХБ"" 144-СТР от 01.07.2022")</f>
        <v>БУ Г. ОМСКА "УДХБ" 144-СТР от 01.07.2022</v>
      </c>
      <c r="D36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4" t="str">
        <f ca="1">IFERROR(__xludf.DUMMYFUNCTION("""COMPUTED_VALUE"""),"Новый")</f>
        <v>Новый</v>
      </c>
      <c r="G3614" s="68"/>
      <c r="K3614" s="68"/>
    </row>
    <row r="3615" spans="1:11" ht="12.75">
      <c r="A3615" s="69">
        <f ca="1">IFERROR(__xludf.DUMMYFUNCTION("""COMPUTED_VALUE"""),101983)</f>
        <v>101983</v>
      </c>
      <c r="B3615" s="4">
        <f ca="1">IFERROR(__xludf.DUMMYFUNCTION("""COMPUTED_VALUE"""),44750)</f>
        <v>44750</v>
      </c>
      <c r="C3615" t="str">
        <f ca="1">IFERROR(__xludf.DUMMYFUNCTION("""COMPUTED_VALUE"""),"БУ Г. ОМСКА ""УДХБ"" 144-СТР от 01.07.2022")</f>
        <v>БУ Г. ОМСКА "УДХБ" 144-СТР от 01.07.2022</v>
      </c>
      <c r="D36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5" t="str">
        <f ca="1">IFERROR(__xludf.DUMMYFUNCTION("""COMPUTED_VALUE"""),"Новый")</f>
        <v>Новый</v>
      </c>
      <c r="G3615" s="68"/>
      <c r="K3615" s="68"/>
    </row>
    <row r="3616" spans="1:11" ht="12.75">
      <c r="A3616" s="69">
        <f ca="1">IFERROR(__xludf.DUMMYFUNCTION("""COMPUTED_VALUE"""),101984)</f>
        <v>101984</v>
      </c>
      <c r="B3616" s="4">
        <f ca="1">IFERROR(__xludf.DUMMYFUNCTION("""COMPUTED_VALUE"""),44750)</f>
        <v>44750</v>
      </c>
      <c r="C3616" t="str">
        <f ca="1">IFERROR(__xludf.DUMMYFUNCTION("""COMPUTED_VALUE"""),"БУ Г. ОМСКА ""УДХБ"" 144-СТР от 01.07.2022")</f>
        <v>БУ Г. ОМСКА "УДХБ" 144-СТР от 01.07.2022</v>
      </c>
      <c r="D36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6" t="str">
        <f ca="1">IFERROR(__xludf.DUMMYFUNCTION("""COMPUTED_VALUE"""),"Новый")</f>
        <v>Новый</v>
      </c>
      <c r="G3616" s="68"/>
      <c r="K3616" s="68"/>
    </row>
    <row r="3617" spans="1:11" ht="12.75">
      <c r="A3617" s="69">
        <f ca="1">IFERROR(__xludf.DUMMYFUNCTION("""COMPUTED_VALUE"""),101985)</f>
        <v>101985</v>
      </c>
      <c r="B3617" s="4">
        <f ca="1">IFERROR(__xludf.DUMMYFUNCTION("""COMPUTED_VALUE"""),44750)</f>
        <v>44750</v>
      </c>
      <c r="C3617" t="str">
        <f ca="1">IFERROR(__xludf.DUMMYFUNCTION("""COMPUTED_VALUE"""),"БУ Г. ОМСКА ""УДХБ"" 144-СТР от 01.07.2022")</f>
        <v>БУ Г. ОМСКА "УДХБ" 144-СТР от 01.07.2022</v>
      </c>
      <c r="D36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7" t="str">
        <f ca="1">IFERROR(__xludf.DUMMYFUNCTION("""COMPUTED_VALUE"""),"Новый")</f>
        <v>Новый</v>
      </c>
      <c r="G3617" s="68"/>
      <c r="K3617" s="68"/>
    </row>
    <row r="3618" spans="1:11" ht="12.75">
      <c r="A3618" s="69">
        <f ca="1">IFERROR(__xludf.DUMMYFUNCTION("""COMPUTED_VALUE"""),101986)</f>
        <v>101986</v>
      </c>
      <c r="B3618" s="4">
        <f ca="1">IFERROR(__xludf.DUMMYFUNCTION("""COMPUTED_VALUE"""),44750)</f>
        <v>44750</v>
      </c>
      <c r="C3618" t="str">
        <f ca="1">IFERROR(__xludf.DUMMYFUNCTION("""COMPUTED_VALUE"""),"БУ Г. ОМСКА ""УДХБ"" 144-СТР от 01.07.2022")</f>
        <v>БУ Г. ОМСКА "УДХБ" 144-СТР от 01.07.2022</v>
      </c>
      <c r="D36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8" t="str">
        <f ca="1">IFERROR(__xludf.DUMMYFUNCTION("""COMPUTED_VALUE"""),"Новый")</f>
        <v>Новый</v>
      </c>
      <c r="G3618" s="68"/>
      <c r="K3618" s="68"/>
    </row>
    <row r="3619" spans="1:11" ht="12.75">
      <c r="A3619" s="69">
        <f ca="1">IFERROR(__xludf.DUMMYFUNCTION("""COMPUTED_VALUE"""),101987)</f>
        <v>101987</v>
      </c>
      <c r="B3619" s="4">
        <f ca="1">IFERROR(__xludf.DUMMYFUNCTION("""COMPUTED_VALUE"""),44750)</f>
        <v>44750</v>
      </c>
      <c r="C3619" t="str">
        <f ca="1">IFERROR(__xludf.DUMMYFUNCTION("""COMPUTED_VALUE"""),"БУ Г. ОМСКА ""УДХБ"" 144-СТР от 01.07.2022")</f>
        <v>БУ Г. ОМСКА "УДХБ" 144-СТР от 01.07.2022</v>
      </c>
      <c r="D36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19" t="str">
        <f ca="1">IFERROR(__xludf.DUMMYFUNCTION("""COMPUTED_VALUE"""),"Новый")</f>
        <v>Новый</v>
      </c>
      <c r="G3619" s="68"/>
      <c r="K3619" s="68"/>
    </row>
    <row r="3620" spans="1:11" ht="12.75">
      <c r="A3620" s="69">
        <f ca="1">IFERROR(__xludf.DUMMYFUNCTION("""COMPUTED_VALUE"""),101988)</f>
        <v>101988</v>
      </c>
      <c r="B3620" s="4">
        <f ca="1">IFERROR(__xludf.DUMMYFUNCTION("""COMPUTED_VALUE"""),44750)</f>
        <v>44750</v>
      </c>
      <c r="C3620" t="str">
        <f ca="1">IFERROR(__xludf.DUMMYFUNCTION("""COMPUTED_VALUE"""),"БУ Г. ОМСКА ""УДХБ"" 144-СТР от 01.07.2022")</f>
        <v>БУ Г. ОМСКА "УДХБ" 144-СТР от 01.07.2022</v>
      </c>
      <c r="D36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0" t="str">
        <f ca="1">IFERROR(__xludf.DUMMYFUNCTION("""COMPUTED_VALUE"""),"Новый")</f>
        <v>Новый</v>
      </c>
      <c r="G3620" s="68"/>
      <c r="K3620" s="68"/>
    </row>
    <row r="3621" spans="1:11" ht="12.75">
      <c r="A3621" s="69">
        <f ca="1">IFERROR(__xludf.DUMMYFUNCTION("""COMPUTED_VALUE"""),101989)</f>
        <v>101989</v>
      </c>
      <c r="B3621" s="4">
        <f ca="1">IFERROR(__xludf.DUMMYFUNCTION("""COMPUTED_VALUE"""),44750)</f>
        <v>44750</v>
      </c>
      <c r="C3621" t="str">
        <f ca="1">IFERROR(__xludf.DUMMYFUNCTION("""COMPUTED_VALUE"""),"БУ Г. ОМСКА ""УДХБ"" 144-СТР от 01.07.2022")</f>
        <v>БУ Г. ОМСКА "УДХБ" 144-СТР от 01.07.2022</v>
      </c>
      <c r="D36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1" t="str">
        <f ca="1">IFERROR(__xludf.DUMMYFUNCTION("""COMPUTED_VALUE"""),"Новый")</f>
        <v>Новый</v>
      </c>
      <c r="G3621" s="68"/>
      <c r="K3621" s="68"/>
    </row>
    <row r="3622" spans="1:11" ht="12.75">
      <c r="A3622" s="69">
        <f ca="1">IFERROR(__xludf.DUMMYFUNCTION("""COMPUTED_VALUE"""),101990)</f>
        <v>101990</v>
      </c>
      <c r="B3622" s="4">
        <f ca="1">IFERROR(__xludf.DUMMYFUNCTION("""COMPUTED_VALUE"""),44750)</f>
        <v>44750</v>
      </c>
      <c r="C3622" t="str">
        <f ca="1">IFERROR(__xludf.DUMMYFUNCTION("""COMPUTED_VALUE"""),"БУ Г. ОМСКА ""УДХБ"" 144-СТР от 01.07.2022")</f>
        <v>БУ Г. ОМСКА "УДХБ" 144-СТР от 01.07.2022</v>
      </c>
      <c r="D36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2" t="str">
        <f ca="1">IFERROR(__xludf.DUMMYFUNCTION("""COMPUTED_VALUE"""),"Новый")</f>
        <v>Новый</v>
      </c>
      <c r="G3622" s="68"/>
      <c r="K3622" s="68"/>
    </row>
    <row r="3623" spans="1:11" ht="12.75">
      <c r="A3623" s="69">
        <f ca="1">IFERROR(__xludf.DUMMYFUNCTION("""COMPUTED_VALUE"""),101991)</f>
        <v>101991</v>
      </c>
      <c r="B3623" s="4">
        <f ca="1">IFERROR(__xludf.DUMMYFUNCTION("""COMPUTED_VALUE"""),44750)</f>
        <v>44750</v>
      </c>
      <c r="C3623" t="str">
        <f ca="1">IFERROR(__xludf.DUMMYFUNCTION("""COMPUTED_VALUE"""),"БУ Г. ОМСКА ""УДХБ"" 144-СТР от 01.07.2022")</f>
        <v>БУ Г. ОМСКА "УДХБ" 144-СТР от 01.07.2022</v>
      </c>
      <c r="D36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3" t="str">
        <f ca="1">IFERROR(__xludf.DUMMYFUNCTION("""COMPUTED_VALUE"""),"Новый")</f>
        <v>Новый</v>
      </c>
      <c r="G3623" s="68"/>
      <c r="K3623" s="68"/>
    </row>
    <row r="3624" spans="1:11" ht="12.75">
      <c r="A3624" s="69">
        <f ca="1">IFERROR(__xludf.DUMMYFUNCTION("""COMPUTED_VALUE"""),101992)</f>
        <v>101992</v>
      </c>
      <c r="B3624" s="4">
        <f ca="1">IFERROR(__xludf.DUMMYFUNCTION("""COMPUTED_VALUE"""),44750)</f>
        <v>44750</v>
      </c>
      <c r="C3624" t="str">
        <f ca="1">IFERROR(__xludf.DUMMYFUNCTION("""COMPUTED_VALUE"""),"БУ Г. ОМСКА ""УДХБ"" 144-СТР от 01.07.2022")</f>
        <v>БУ Г. ОМСКА "УДХБ" 144-СТР от 01.07.2022</v>
      </c>
      <c r="D36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4" t="str">
        <f ca="1">IFERROR(__xludf.DUMMYFUNCTION("""COMPUTED_VALUE"""),"Новый")</f>
        <v>Новый</v>
      </c>
      <c r="G3624" s="68"/>
      <c r="K3624" s="68"/>
    </row>
    <row r="3625" spans="1:11" ht="12.75">
      <c r="A3625" s="69">
        <f ca="1">IFERROR(__xludf.DUMMYFUNCTION("""COMPUTED_VALUE"""),101993)</f>
        <v>101993</v>
      </c>
      <c r="B3625" s="4">
        <f ca="1">IFERROR(__xludf.DUMMYFUNCTION("""COMPUTED_VALUE"""),44750)</f>
        <v>44750</v>
      </c>
      <c r="C3625" t="str">
        <f ca="1">IFERROR(__xludf.DUMMYFUNCTION("""COMPUTED_VALUE"""),"БУ Г. ОМСКА ""УДХБ"" 144-СТР от 01.07.2022")</f>
        <v>БУ Г. ОМСКА "УДХБ" 144-СТР от 01.07.2022</v>
      </c>
      <c r="D36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5" t="str">
        <f ca="1">IFERROR(__xludf.DUMMYFUNCTION("""COMPUTED_VALUE"""),"Новый")</f>
        <v>Новый</v>
      </c>
      <c r="G3625" s="68"/>
      <c r="K3625" s="68"/>
    </row>
    <row r="3626" spans="1:11" ht="12.75">
      <c r="A3626" s="69">
        <f ca="1">IFERROR(__xludf.DUMMYFUNCTION("""COMPUTED_VALUE"""),101994)</f>
        <v>101994</v>
      </c>
      <c r="B3626" s="4">
        <f ca="1">IFERROR(__xludf.DUMMYFUNCTION("""COMPUTED_VALUE"""),44750)</f>
        <v>44750</v>
      </c>
      <c r="C3626" t="str">
        <f ca="1">IFERROR(__xludf.DUMMYFUNCTION("""COMPUTED_VALUE"""),"БУ Г. ОМСКА ""УДХБ"" 144-СТР от 01.07.2022")</f>
        <v>БУ Г. ОМСКА "УДХБ" 144-СТР от 01.07.2022</v>
      </c>
      <c r="D36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6" t="str">
        <f ca="1">IFERROR(__xludf.DUMMYFUNCTION("""COMPUTED_VALUE"""),"Новый")</f>
        <v>Новый</v>
      </c>
      <c r="G3626" s="68"/>
      <c r="K3626" s="68"/>
    </row>
    <row r="3627" spans="1:11" ht="12.75">
      <c r="A3627" s="69">
        <f ca="1">IFERROR(__xludf.DUMMYFUNCTION("""COMPUTED_VALUE"""),101995)</f>
        <v>101995</v>
      </c>
      <c r="B3627" s="4">
        <f ca="1">IFERROR(__xludf.DUMMYFUNCTION("""COMPUTED_VALUE"""),44750)</f>
        <v>44750</v>
      </c>
      <c r="C3627" t="str">
        <f ca="1">IFERROR(__xludf.DUMMYFUNCTION("""COMPUTED_VALUE"""),"БУ Г. ОМСКА ""УДХБ"" 144-СТР от 01.07.2022")</f>
        <v>БУ Г. ОМСКА "УДХБ" 144-СТР от 01.07.2022</v>
      </c>
      <c r="D36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7" t="str">
        <f ca="1">IFERROR(__xludf.DUMMYFUNCTION("""COMPUTED_VALUE"""),"Новый")</f>
        <v>Новый</v>
      </c>
      <c r="G3627" s="68"/>
      <c r="K3627" s="68"/>
    </row>
    <row r="3628" spans="1:11" ht="12.75">
      <c r="A3628" s="69">
        <f ca="1">IFERROR(__xludf.DUMMYFUNCTION("""COMPUTED_VALUE"""),102044)</f>
        <v>102044</v>
      </c>
      <c r="B3628" s="4">
        <f ca="1">IFERROR(__xludf.DUMMYFUNCTION("""COMPUTED_VALUE"""),44750)</f>
        <v>44750</v>
      </c>
      <c r="C3628" t="str">
        <f ca="1">IFERROR(__xludf.DUMMYFUNCTION("""COMPUTED_VALUE"""),"БУ Г. ОМСКА ""УДХБ"" 144-СТР от 01.07.2022")</f>
        <v>БУ Г. ОМСКА "УДХБ" 144-СТР от 01.07.2022</v>
      </c>
      <c r="D36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8" t="str">
        <f ca="1">IFERROR(__xludf.DUMMYFUNCTION("""COMPUTED_VALUE"""),"Новый")</f>
        <v>Новый</v>
      </c>
      <c r="G3628" s="68"/>
      <c r="K3628" s="68"/>
    </row>
    <row r="3629" spans="1:11" ht="12.75">
      <c r="A3629" s="69">
        <f ca="1">IFERROR(__xludf.DUMMYFUNCTION("""COMPUTED_VALUE"""),102045)</f>
        <v>102045</v>
      </c>
      <c r="B3629" s="4">
        <f ca="1">IFERROR(__xludf.DUMMYFUNCTION("""COMPUTED_VALUE"""),44750)</f>
        <v>44750</v>
      </c>
      <c r="C3629" t="str">
        <f ca="1">IFERROR(__xludf.DUMMYFUNCTION("""COMPUTED_VALUE"""),"БУ Г. ОМСКА ""УДХБ"" 144-СТР от 01.07.2022")</f>
        <v>БУ Г. ОМСКА "УДХБ" 144-СТР от 01.07.2022</v>
      </c>
      <c r="D36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29" t="str">
        <f ca="1">IFERROR(__xludf.DUMMYFUNCTION("""COMPUTED_VALUE"""),"Новый")</f>
        <v>Новый</v>
      </c>
      <c r="G3629" s="68"/>
      <c r="K3629" s="68"/>
    </row>
    <row r="3630" spans="1:11" ht="12.75">
      <c r="A3630" s="69">
        <f ca="1">IFERROR(__xludf.DUMMYFUNCTION("""COMPUTED_VALUE"""),102016)</f>
        <v>102016</v>
      </c>
      <c r="B3630" s="4">
        <f ca="1">IFERROR(__xludf.DUMMYFUNCTION("""COMPUTED_VALUE"""),44750)</f>
        <v>44750</v>
      </c>
      <c r="C3630" t="str">
        <f ca="1">IFERROR(__xludf.DUMMYFUNCTION("""COMPUTED_VALUE"""),"БУ Г. ОМСКА ""УДХБ"" 144-СТР от 01.07.2022")</f>
        <v>БУ Г. ОМСКА "УДХБ" 144-СТР от 01.07.2022</v>
      </c>
      <c r="D36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0" t="str">
        <f ca="1">IFERROR(__xludf.DUMMYFUNCTION("""COMPUTED_VALUE"""),"Новый")</f>
        <v>Новый</v>
      </c>
      <c r="G3630" s="68"/>
      <c r="K3630" s="68"/>
    </row>
    <row r="3631" spans="1:11" ht="12.75">
      <c r="A3631" s="69">
        <f ca="1">IFERROR(__xludf.DUMMYFUNCTION("""COMPUTED_VALUE"""),102017)</f>
        <v>102017</v>
      </c>
      <c r="B3631" s="4">
        <f ca="1">IFERROR(__xludf.DUMMYFUNCTION("""COMPUTED_VALUE"""),44750)</f>
        <v>44750</v>
      </c>
      <c r="C3631" t="str">
        <f ca="1">IFERROR(__xludf.DUMMYFUNCTION("""COMPUTED_VALUE"""),"БУ Г. ОМСКА ""УДХБ"" 144-СТР от 01.07.2022")</f>
        <v>БУ Г. ОМСКА "УДХБ" 144-СТР от 01.07.2022</v>
      </c>
      <c r="D36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1" t="str">
        <f ca="1">IFERROR(__xludf.DUMMYFUNCTION("""COMPUTED_VALUE"""),"Новый")</f>
        <v>Новый</v>
      </c>
      <c r="G3631" s="68"/>
      <c r="K3631" s="68"/>
    </row>
    <row r="3632" spans="1:11" ht="12.75">
      <c r="A3632" s="69">
        <f ca="1">IFERROR(__xludf.DUMMYFUNCTION("""COMPUTED_VALUE"""),102018)</f>
        <v>102018</v>
      </c>
      <c r="B3632" s="4">
        <f ca="1">IFERROR(__xludf.DUMMYFUNCTION("""COMPUTED_VALUE"""),44750)</f>
        <v>44750</v>
      </c>
      <c r="C3632" t="str">
        <f ca="1">IFERROR(__xludf.DUMMYFUNCTION("""COMPUTED_VALUE"""),"БУ Г. ОМСКА ""УДХБ"" 144-СТР от 01.07.2022")</f>
        <v>БУ Г. ОМСКА "УДХБ" 144-СТР от 01.07.2022</v>
      </c>
      <c r="D36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2" t="str">
        <f ca="1">IFERROR(__xludf.DUMMYFUNCTION("""COMPUTED_VALUE"""),"Новый")</f>
        <v>Новый</v>
      </c>
      <c r="G3632" s="68"/>
      <c r="K3632" s="68"/>
    </row>
    <row r="3633" spans="1:11" ht="12.75">
      <c r="A3633" s="69">
        <f ca="1">IFERROR(__xludf.DUMMYFUNCTION("""COMPUTED_VALUE"""),102019)</f>
        <v>102019</v>
      </c>
      <c r="B3633" s="4">
        <f ca="1">IFERROR(__xludf.DUMMYFUNCTION("""COMPUTED_VALUE"""),44750)</f>
        <v>44750</v>
      </c>
      <c r="C3633" t="str">
        <f ca="1">IFERROR(__xludf.DUMMYFUNCTION("""COMPUTED_VALUE"""),"БУ Г. ОМСКА ""УДХБ"" 144-СТР от 01.07.2022")</f>
        <v>БУ Г. ОМСКА "УДХБ" 144-СТР от 01.07.2022</v>
      </c>
      <c r="D36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3" t="str">
        <f ca="1">IFERROR(__xludf.DUMMYFUNCTION("""COMPUTED_VALUE"""),"Новый")</f>
        <v>Новый</v>
      </c>
      <c r="G3633" s="68"/>
      <c r="K3633" s="68"/>
    </row>
    <row r="3634" spans="1:11" ht="12.75">
      <c r="A3634" s="69">
        <f ca="1">IFERROR(__xludf.DUMMYFUNCTION("""COMPUTED_VALUE"""),102020)</f>
        <v>102020</v>
      </c>
      <c r="B3634" s="4">
        <f ca="1">IFERROR(__xludf.DUMMYFUNCTION("""COMPUTED_VALUE"""),44750)</f>
        <v>44750</v>
      </c>
      <c r="C3634" t="str">
        <f ca="1">IFERROR(__xludf.DUMMYFUNCTION("""COMPUTED_VALUE"""),"БУ Г. ОМСКА ""УДХБ"" 144-СТР от 01.07.2022")</f>
        <v>БУ Г. ОМСКА "УДХБ" 144-СТР от 01.07.2022</v>
      </c>
      <c r="D36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4" t="str">
        <f ca="1">IFERROR(__xludf.DUMMYFUNCTION("""COMPUTED_VALUE"""),"Новый")</f>
        <v>Новый</v>
      </c>
      <c r="G3634" s="68"/>
      <c r="K3634" s="68"/>
    </row>
    <row r="3635" spans="1:11" ht="12.75">
      <c r="A3635" s="69">
        <f ca="1">IFERROR(__xludf.DUMMYFUNCTION("""COMPUTED_VALUE"""),102021)</f>
        <v>102021</v>
      </c>
      <c r="B3635" s="4">
        <f ca="1">IFERROR(__xludf.DUMMYFUNCTION("""COMPUTED_VALUE"""),44750)</f>
        <v>44750</v>
      </c>
      <c r="C3635" t="str">
        <f ca="1">IFERROR(__xludf.DUMMYFUNCTION("""COMPUTED_VALUE"""),"БУ Г. ОМСКА ""УДХБ"" 144-СТР от 01.07.2022")</f>
        <v>БУ Г. ОМСКА "УДХБ" 144-СТР от 01.07.2022</v>
      </c>
      <c r="D36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5" t="str">
        <f ca="1">IFERROR(__xludf.DUMMYFUNCTION("""COMPUTED_VALUE"""),"Новый")</f>
        <v>Новый</v>
      </c>
      <c r="G3635" s="68"/>
      <c r="K3635" s="68"/>
    </row>
    <row r="3636" spans="1:11" ht="12.75">
      <c r="A3636" s="69">
        <f ca="1">IFERROR(__xludf.DUMMYFUNCTION("""COMPUTED_VALUE"""),102022)</f>
        <v>102022</v>
      </c>
      <c r="B3636" s="4">
        <f ca="1">IFERROR(__xludf.DUMMYFUNCTION("""COMPUTED_VALUE"""),44750)</f>
        <v>44750</v>
      </c>
      <c r="C3636" t="str">
        <f ca="1">IFERROR(__xludf.DUMMYFUNCTION("""COMPUTED_VALUE"""),"БУ Г. ОМСКА ""УДХБ"" 144-СТР от 01.07.2022")</f>
        <v>БУ Г. ОМСКА "УДХБ" 144-СТР от 01.07.2022</v>
      </c>
      <c r="D36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6" t="str">
        <f ca="1">IFERROR(__xludf.DUMMYFUNCTION("""COMPUTED_VALUE"""),"Новый")</f>
        <v>Новый</v>
      </c>
      <c r="G3636" s="68"/>
      <c r="K3636" s="68"/>
    </row>
    <row r="3637" spans="1:11" ht="12.75">
      <c r="A3637" s="69">
        <f ca="1">IFERROR(__xludf.DUMMYFUNCTION("""COMPUTED_VALUE"""),102025)</f>
        <v>102025</v>
      </c>
      <c r="B3637" s="4">
        <f ca="1">IFERROR(__xludf.DUMMYFUNCTION("""COMPUTED_VALUE"""),44750)</f>
        <v>44750</v>
      </c>
      <c r="C3637" t="str">
        <f ca="1">IFERROR(__xludf.DUMMYFUNCTION("""COMPUTED_VALUE"""),"БУ Г. ОМСКА ""УДХБ"" 144-СТР от 01.07.2022")</f>
        <v>БУ Г. ОМСКА "УДХБ" 144-СТР от 01.07.2022</v>
      </c>
      <c r="D36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37" t="str">
        <f ca="1">IFERROR(__xludf.DUMMYFUNCTION("""COMPUTED_VALUE"""),"Новый")</f>
        <v>Новый</v>
      </c>
      <c r="G3637" s="68"/>
      <c r="K3637" s="68"/>
    </row>
    <row r="3638" spans="1:11" ht="12.75">
      <c r="A3638" s="69">
        <f ca="1">IFERROR(__xludf.DUMMYFUNCTION("""COMPUTED_VALUE"""),102048)</f>
        <v>102048</v>
      </c>
      <c r="B3638" s="4">
        <f ca="1">IFERROR(__xludf.DUMMYFUNCTION("""COMPUTED_VALUE"""),44750)</f>
        <v>44750</v>
      </c>
      <c r="C3638" t="str">
        <f ca="1">IFERROR(__xludf.DUMMYFUNCTION("""COMPUTED_VALUE"""),"ПАО ""САТУРН"" 130-РДО от 16.03.2022")</f>
        <v>ПАО "САТУРН" 130-РДО от 16.03.2022</v>
      </c>
      <c r="D36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38" t="str">
        <f ca="1">IFERROR(__xludf.DUMMYFUNCTION("""COMPUTED_VALUE"""),"Новый")</f>
        <v>Новый</v>
      </c>
      <c r="G3638" s="68"/>
      <c r="K3638" s="68"/>
    </row>
    <row r="3639" spans="1:11" ht="12.75">
      <c r="A3639" s="69">
        <f ca="1">IFERROR(__xludf.DUMMYFUNCTION("""COMPUTED_VALUE"""),102049)</f>
        <v>102049</v>
      </c>
      <c r="B3639" s="4">
        <f ca="1">IFERROR(__xludf.DUMMYFUNCTION("""COMPUTED_VALUE"""),44750)</f>
        <v>44750</v>
      </c>
      <c r="C3639" t="str">
        <f ca="1">IFERROR(__xludf.DUMMYFUNCTION("""COMPUTED_VALUE"""),"ПАО ""САТУРН"" 130-РДО от 16.03.2022")</f>
        <v>ПАО "САТУРН" 130-РДО от 16.03.2022</v>
      </c>
      <c r="D36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39" t="str">
        <f ca="1">IFERROR(__xludf.DUMMYFUNCTION("""COMPUTED_VALUE"""),"Новый")</f>
        <v>Новый</v>
      </c>
      <c r="G3639" s="68"/>
      <c r="K3639" s="68"/>
    </row>
    <row r="3640" spans="1:11" ht="12.75">
      <c r="A3640" s="69">
        <f ca="1">IFERROR(__xludf.DUMMYFUNCTION("""COMPUTED_VALUE"""),102050)</f>
        <v>102050</v>
      </c>
      <c r="B3640" s="4">
        <f ca="1">IFERROR(__xludf.DUMMYFUNCTION("""COMPUTED_VALUE"""),44750)</f>
        <v>44750</v>
      </c>
      <c r="C3640" t="str">
        <f ca="1">IFERROR(__xludf.DUMMYFUNCTION("""COMPUTED_VALUE"""),"ПАО ""САТУРН"" 130-РДО от 16.03.2022")</f>
        <v>ПАО "САТУРН" 130-РДО от 16.03.2022</v>
      </c>
      <c r="D36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0" t="str">
        <f ca="1">IFERROR(__xludf.DUMMYFUNCTION("""COMPUTED_VALUE"""),"Новый")</f>
        <v>Новый</v>
      </c>
      <c r="G3640" s="68"/>
      <c r="K3640" s="68"/>
    </row>
    <row r="3641" spans="1:11" ht="12.75">
      <c r="A3641" s="69">
        <f ca="1">IFERROR(__xludf.DUMMYFUNCTION("""COMPUTED_VALUE"""),102051)</f>
        <v>102051</v>
      </c>
      <c r="B3641" s="4">
        <f ca="1">IFERROR(__xludf.DUMMYFUNCTION("""COMPUTED_VALUE"""),44750)</f>
        <v>44750</v>
      </c>
      <c r="C3641" t="str">
        <f ca="1">IFERROR(__xludf.DUMMYFUNCTION("""COMPUTED_VALUE"""),"ПАО ""САТУРН"" 130-РДО от 16.03.2022")</f>
        <v>ПАО "САТУРН" 130-РДО от 16.03.2022</v>
      </c>
      <c r="D36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1" t="str">
        <f ca="1">IFERROR(__xludf.DUMMYFUNCTION("""COMPUTED_VALUE"""),"Новый")</f>
        <v>Новый</v>
      </c>
      <c r="G3641" s="68"/>
      <c r="K3641" s="68"/>
    </row>
    <row r="3642" spans="1:11" ht="12.75">
      <c r="A3642" s="69">
        <f ca="1">IFERROR(__xludf.DUMMYFUNCTION("""COMPUTED_VALUE"""),102052)</f>
        <v>102052</v>
      </c>
      <c r="B3642" s="4">
        <f ca="1">IFERROR(__xludf.DUMMYFUNCTION("""COMPUTED_VALUE"""),44750)</f>
        <v>44750</v>
      </c>
      <c r="C3642" t="str">
        <f ca="1">IFERROR(__xludf.DUMMYFUNCTION("""COMPUTED_VALUE"""),"ПАО ""САТУРН"" 130-РДО от 16.03.2022")</f>
        <v>ПАО "САТУРН" 130-РДО от 16.03.2022</v>
      </c>
      <c r="D36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2" t="str">
        <f ca="1">IFERROR(__xludf.DUMMYFUNCTION("""COMPUTED_VALUE"""),"Новый")</f>
        <v>Новый</v>
      </c>
      <c r="G3642" s="68"/>
      <c r="K3642" s="68"/>
    </row>
    <row r="3643" spans="1:11" ht="12.75">
      <c r="A3643" s="69">
        <f ca="1">IFERROR(__xludf.DUMMYFUNCTION("""COMPUTED_VALUE"""),102053)</f>
        <v>102053</v>
      </c>
      <c r="B3643" s="4">
        <f ca="1">IFERROR(__xludf.DUMMYFUNCTION("""COMPUTED_VALUE"""),44750)</f>
        <v>44750</v>
      </c>
      <c r="C3643" t="str">
        <f ca="1">IFERROR(__xludf.DUMMYFUNCTION("""COMPUTED_VALUE"""),"ПАО ""САТУРН"" 130-РДО от 16.03.2022")</f>
        <v>ПАО "САТУРН" 130-РДО от 16.03.2022</v>
      </c>
      <c r="D36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3" t="str">
        <f ca="1">IFERROR(__xludf.DUMMYFUNCTION("""COMPUTED_VALUE"""),"Новый")</f>
        <v>Новый</v>
      </c>
      <c r="G3643" s="68"/>
      <c r="K3643" s="68"/>
    </row>
    <row r="3644" spans="1:11" ht="12.75">
      <c r="A3644" s="69">
        <f ca="1">IFERROR(__xludf.DUMMYFUNCTION("""COMPUTED_VALUE"""),102054)</f>
        <v>102054</v>
      </c>
      <c r="B3644" s="4">
        <f ca="1">IFERROR(__xludf.DUMMYFUNCTION("""COMPUTED_VALUE"""),44750)</f>
        <v>44750</v>
      </c>
      <c r="C3644" t="str">
        <f ca="1">IFERROR(__xludf.DUMMYFUNCTION("""COMPUTED_VALUE"""),"ПАО ""САТУРН"" 130-РДО от 16.03.2022")</f>
        <v>ПАО "САТУРН" 130-РДО от 16.03.2022</v>
      </c>
      <c r="D36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4" t="str">
        <f ca="1">IFERROR(__xludf.DUMMYFUNCTION("""COMPUTED_VALUE"""),"Новый")</f>
        <v>Новый</v>
      </c>
      <c r="G3644" s="68"/>
      <c r="K3644" s="68"/>
    </row>
    <row r="3645" spans="1:11" ht="12.75">
      <c r="A3645" s="69">
        <f ca="1">IFERROR(__xludf.DUMMYFUNCTION("""COMPUTED_VALUE"""),102055)</f>
        <v>102055</v>
      </c>
      <c r="B3645" s="4">
        <f ca="1">IFERROR(__xludf.DUMMYFUNCTION("""COMPUTED_VALUE"""),44750)</f>
        <v>44750</v>
      </c>
      <c r="C3645" t="str">
        <f ca="1">IFERROR(__xludf.DUMMYFUNCTION("""COMPUTED_VALUE"""),"ПАО ""САТУРН"" 130-РДО от 16.03.2022")</f>
        <v>ПАО "САТУРН" 130-РДО от 16.03.2022</v>
      </c>
      <c r="D36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5" t="str">
        <f ca="1">IFERROR(__xludf.DUMMYFUNCTION("""COMPUTED_VALUE"""),"Новый")</f>
        <v>Новый</v>
      </c>
      <c r="G3645" s="68"/>
      <c r="K3645" s="68"/>
    </row>
    <row r="3646" spans="1:11" ht="12.75">
      <c r="A3646" s="69">
        <f ca="1">IFERROR(__xludf.DUMMYFUNCTION("""COMPUTED_VALUE"""),102076)</f>
        <v>102076</v>
      </c>
      <c r="B3646" s="4">
        <f ca="1">IFERROR(__xludf.DUMMYFUNCTION("""COMPUTED_VALUE"""),44750)</f>
        <v>44750</v>
      </c>
      <c r="C3646" t="str">
        <f ca="1">IFERROR(__xludf.DUMMYFUNCTION("""COMPUTED_VALUE"""),"ТСН""СНТ ""ХИМИК"" 199-РДО от 08.07.2022")</f>
        <v>ТСН"СНТ "ХИМИК" 199-РДО от 08.07.2022</v>
      </c>
      <c r="D36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6" t="str">
        <f ca="1">IFERROR(__xludf.DUMMYFUNCTION("""COMPUTED_VALUE"""),"Новый")</f>
        <v>Новый</v>
      </c>
      <c r="G3646" s="68"/>
      <c r="K3646" s="68"/>
    </row>
    <row r="3647" spans="1:11" ht="12.75">
      <c r="A3647" s="69">
        <f ca="1">IFERROR(__xludf.DUMMYFUNCTION("""COMPUTED_VALUE"""),102077)</f>
        <v>102077</v>
      </c>
      <c r="B3647" s="4">
        <f ca="1">IFERROR(__xludf.DUMMYFUNCTION("""COMPUTED_VALUE"""),44750)</f>
        <v>44750</v>
      </c>
      <c r="C3647" t="str">
        <f ca="1">IFERROR(__xludf.DUMMYFUNCTION("""COMPUTED_VALUE"""),"ТСН""СНТ ""ХИМИК"" 199-РДО от 08.07.2022")</f>
        <v>ТСН"СНТ "ХИМИК" 199-РДО от 08.07.2022</v>
      </c>
      <c r="D36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7" t="str">
        <f ca="1">IFERROR(__xludf.DUMMYFUNCTION("""COMPUTED_VALUE"""),"Новый")</f>
        <v>Новый</v>
      </c>
      <c r="G3647" s="68"/>
      <c r="K3647" s="68"/>
    </row>
    <row r="3648" spans="1:11" ht="12.75">
      <c r="A3648" s="69">
        <f ca="1">IFERROR(__xludf.DUMMYFUNCTION("""COMPUTED_VALUE"""),102078)</f>
        <v>102078</v>
      </c>
      <c r="B3648" s="4">
        <f ca="1">IFERROR(__xludf.DUMMYFUNCTION("""COMPUTED_VALUE"""),44750)</f>
        <v>44750</v>
      </c>
      <c r="C3648" t="str">
        <f ca="1">IFERROR(__xludf.DUMMYFUNCTION("""COMPUTED_VALUE"""),"ТСН""СНТ ""ХИМИК"" 199-РДО от 08.07.2022")</f>
        <v>ТСН"СНТ "ХИМИК" 199-РДО от 08.07.2022</v>
      </c>
      <c r="D36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8" t="str">
        <f ca="1">IFERROR(__xludf.DUMMYFUNCTION("""COMPUTED_VALUE"""),"Новый")</f>
        <v>Новый</v>
      </c>
      <c r="G3648" s="68"/>
      <c r="K3648" s="68"/>
    </row>
    <row r="3649" spans="1:11" ht="12.75">
      <c r="A3649" s="69">
        <f ca="1">IFERROR(__xludf.DUMMYFUNCTION("""COMPUTED_VALUE"""),102079)</f>
        <v>102079</v>
      </c>
      <c r="B3649" s="4">
        <f ca="1">IFERROR(__xludf.DUMMYFUNCTION("""COMPUTED_VALUE"""),44750)</f>
        <v>44750</v>
      </c>
      <c r="C3649" t="str">
        <f ca="1">IFERROR(__xludf.DUMMYFUNCTION("""COMPUTED_VALUE"""),"ТСН""СНТ ""ХИМИК"" 199-РДО от 08.07.2022")</f>
        <v>ТСН"СНТ "ХИМИК" 199-РДО от 08.07.2022</v>
      </c>
      <c r="D36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49" t="str">
        <f ca="1">IFERROR(__xludf.DUMMYFUNCTION("""COMPUTED_VALUE"""),"Новый")</f>
        <v>Новый</v>
      </c>
      <c r="G3649" s="68"/>
      <c r="K3649" s="68"/>
    </row>
    <row r="3650" spans="1:11" ht="12.75">
      <c r="A3650" s="69">
        <f ca="1">IFERROR(__xludf.DUMMYFUNCTION("""COMPUTED_VALUE"""),102081)</f>
        <v>102081</v>
      </c>
      <c r="B3650" s="4">
        <f ca="1">IFERROR(__xludf.DUMMYFUNCTION("""COMPUTED_VALUE"""),44750)</f>
        <v>44750</v>
      </c>
      <c r="C3650" t="str">
        <f ca="1">IFERROR(__xludf.DUMMYFUNCTION("""COMPUTED_VALUE"""),"ТСН""СНТ ""ХИМИК"" 199-РДО от 08.07.2022")</f>
        <v>ТСН"СНТ "ХИМИК" 199-РДО от 08.07.2022</v>
      </c>
      <c r="D36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50" t="str">
        <f ca="1">IFERROR(__xludf.DUMMYFUNCTION("""COMPUTED_VALUE"""),"Новый")</f>
        <v>Новый</v>
      </c>
      <c r="G3650" s="68"/>
      <c r="K3650" s="68"/>
    </row>
    <row r="3651" spans="1:11" ht="12.75">
      <c r="A3651" s="69">
        <f ca="1">IFERROR(__xludf.DUMMYFUNCTION("""COMPUTED_VALUE"""),102104)</f>
        <v>102104</v>
      </c>
      <c r="B3651" s="4">
        <f ca="1">IFERROR(__xludf.DUMMYFUNCTION("""COMPUTED_VALUE"""),44754)</f>
        <v>44754</v>
      </c>
      <c r="C3651" t="str">
        <f ca="1">IFERROR(__xludf.DUMMYFUNCTION("""COMPUTED_VALUE"""),"АО ""ОМСКЭЛЕКТРО"" 145-СТР от 08.07.2022")</f>
        <v>АО "ОМСКЭЛЕКТРО" 145-СТР от 08.07.2022</v>
      </c>
      <c r="D36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1" t="str">
        <f ca="1">IFERROR(__xludf.DUMMYFUNCTION("""COMPUTED_VALUE"""),"Новый")</f>
        <v>Новый</v>
      </c>
      <c r="G3651" s="68"/>
      <c r="K3651" s="68"/>
    </row>
    <row r="3652" spans="1:11" ht="12.75">
      <c r="A3652" s="69">
        <f ca="1">IFERROR(__xludf.DUMMYFUNCTION("""COMPUTED_VALUE"""),102105)</f>
        <v>102105</v>
      </c>
      <c r="B3652" s="4">
        <f ca="1">IFERROR(__xludf.DUMMYFUNCTION("""COMPUTED_VALUE"""),44754)</f>
        <v>44754</v>
      </c>
      <c r="C3652" t="str">
        <f ca="1">IFERROR(__xludf.DUMMYFUNCTION("""COMPUTED_VALUE"""),"АО ""ОМСКЭЛЕКТРО"" 145-СТР от 08.07.2022")</f>
        <v>АО "ОМСКЭЛЕКТРО" 145-СТР от 08.07.2022</v>
      </c>
      <c r="D36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2" t="str">
        <f ca="1">IFERROR(__xludf.DUMMYFUNCTION("""COMPUTED_VALUE"""),"Новый")</f>
        <v>Новый</v>
      </c>
      <c r="G3652" s="68"/>
      <c r="K3652" s="68"/>
    </row>
    <row r="3653" spans="1:11" ht="12.75">
      <c r="A3653" s="69">
        <f ca="1">IFERROR(__xludf.DUMMYFUNCTION("""COMPUTED_VALUE"""),102106)</f>
        <v>102106</v>
      </c>
      <c r="B3653" s="4">
        <f ca="1">IFERROR(__xludf.DUMMYFUNCTION("""COMPUTED_VALUE"""),44754)</f>
        <v>44754</v>
      </c>
      <c r="C3653" t="str">
        <f ca="1">IFERROR(__xludf.DUMMYFUNCTION("""COMPUTED_VALUE"""),"АО ""ОМСКЭЛЕКТРО"" 145-СТР от 08.07.2022")</f>
        <v>АО "ОМСКЭЛЕКТРО" 145-СТР от 08.07.2022</v>
      </c>
      <c r="D36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3" t="str">
        <f ca="1">IFERROR(__xludf.DUMMYFUNCTION("""COMPUTED_VALUE"""),"Новый")</f>
        <v>Новый</v>
      </c>
      <c r="G3653" s="68"/>
      <c r="K3653" s="68"/>
    </row>
    <row r="3654" spans="1:11" ht="12.75">
      <c r="A3654" s="69">
        <f ca="1">IFERROR(__xludf.DUMMYFUNCTION("""COMPUTED_VALUE"""),102107)</f>
        <v>102107</v>
      </c>
      <c r="B3654" s="4">
        <f ca="1">IFERROR(__xludf.DUMMYFUNCTION("""COMPUTED_VALUE"""),44754)</f>
        <v>44754</v>
      </c>
      <c r="C3654" t="str">
        <f ca="1">IFERROR(__xludf.DUMMYFUNCTION("""COMPUTED_VALUE"""),"АО ""ОМСКЭЛЕКТРО"" 145-СТР от 08.07.2022")</f>
        <v>АО "ОМСКЭЛЕКТРО" 145-СТР от 08.07.2022</v>
      </c>
      <c r="D36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4" t="str">
        <f ca="1">IFERROR(__xludf.DUMMYFUNCTION("""COMPUTED_VALUE"""),"Новый")</f>
        <v>Новый</v>
      </c>
      <c r="G3654" s="68"/>
      <c r="K3654" s="68"/>
    </row>
    <row r="3655" spans="1:11" ht="12.75">
      <c r="A3655" s="69">
        <f ca="1">IFERROR(__xludf.DUMMYFUNCTION("""COMPUTED_VALUE"""),102108)</f>
        <v>102108</v>
      </c>
      <c r="B3655" s="4">
        <f ca="1">IFERROR(__xludf.DUMMYFUNCTION("""COMPUTED_VALUE"""),44754)</f>
        <v>44754</v>
      </c>
      <c r="C3655" t="str">
        <f ca="1">IFERROR(__xludf.DUMMYFUNCTION("""COMPUTED_VALUE"""),"АО ""ОМСКЭЛЕКТРО"" 145-СТР от 08.07.2022")</f>
        <v>АО "ОМСКЭЛЕКТРО" 145-СТР от 08.07.2022</v>
      </c>
      <c r="D36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5" t="str">
        <f ca="1">IFERROR(__xludf.DUMMYFUNCTION("""COMPUTED_VALUE"""),"Новый")</f>
        <v>Новый</v>
      </c>
      <c r="G3655" s="68"/>
      <c r="K3655" s="68"/>
    </row>
    <row r="3656" spans="1:11" ht="12.75">
      <c r="A3656" s="69">
        <f ca="1">IFERROR(__xludf.DUMMYFUNCTION("""COMPUTED_VALUE"""),102109)</f>
        <v>102109</v>
      </c>
      <c r="B3656" s="4">
        <f ca="1">IFERROR(__xludf.DUMMYFUNCTION("""COMPUTED_VALUE"""),44754)</f>
        <v>44754</v>
      </c>
      <c r="C3656" t="str">
        <f ca="1">IFERROR(__xludf.DUMMYFUNCTION("""COMPUTED_VALUE"""),"АО ""ОМСКЭЛЕКТРО"" 145-СТР от 08.07.2022")</f>
        <v>АО "ОМСКЭЛЕКТРО" 145-СТР от 08.07.2022</v>
      </c>
      <c r="D36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6" t="str">
        <f ca="1">IFERROR(__xludf.DUMMYFUNCTION("""COMPUTED_VALUE"""),"Новый")</f>
        <v>Новый</v>
      </c>
      <c r="G3656" s="68"/>
      <c r="K3656" s="68"/>
    </row>
    <row r="3657" spans="1:11" ht="12.75">
      <c r="A3657" s="69">
        <f ca="1">IFERROR(__xludf.DUMMYFUNCTION("""COMPUTED_VALUE"""),102110)</f>
        <v>102110</v>
      </c>
      <c r="B3657" s="4">
        <f ca="1">IFERROR(__xludf.DUMMYFUNCTION("""COMPUTED_VALUE"""),44754)</f>
        <v>44754</v>
      </c>
      <c r="C3657" t="str">
        <f ca="1">IFERROR(__xludf.DUMMYFUNCTION("""COMPUTED_VALUE"""),"АО ""ОМСКЭЛЕКТРО"" 145-СТР от 08.07.2022")</f>
        <v>АО "ОМСКЭЛЕКТРО" 145-СТР от 08.07.2022</v>
      </c>
      <c r="D36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7" t="str">
        <f ca="1">IFERROR(__xludf.DUMMYFUNCTION("""COMPUTED_VALUE"""),"Новый")</f>
        <v>Новый</v>
      </c>
      <c r="G3657" s="68"/>
      <c r="K3657" s="68"/>
    </row>
    <row r="3658" spans="1:11" ht="12.75">
      <c r="A3658" s="69">
        <f ca="1">IFERROR(__xludf.DUMMYFUNCTION("""COMPUTED_VALUE"""),102111)</f>
        <v>102111</v>
      </c>
      <c r="B3658" s="4">
        <f ca="1">IFERROR(__xludf.DUMMYFUNCTION("""COMPUTED_VALUE"""),44754)</f>
        <v>44754</v>
      </c>
      <c r="C3658" t="str">
        <f ca="1">IFERROR(__xludf.DUMMYFUNCTION("""COMPUTED_VALUE"""),"АО ""ОМСКЭЛЕКТРО"" 145-СТР от 08.07.2022")</f>
        <v>АО "ОМСКЭЛЕКТРО" 145-СТР от 08.07.2022</v>
      </c>
      <c r="D36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8" t="str">
        <f ca="1">IFERROR(__xludf.DUMMYFUNCTION("""COMPUTED_VALUE"""),"Новый")</f>
        <v>Новый</v>
      </c>
      <c r="G3658" s="68"/>
      <c r="K3658" s="68"/>
    </row>
    <row r="3659" spans="1:11" ht="12.75">
      <c r="A3659" s="69">
        <f ca="1">IFERROR(__xludf.DUMMYFUNCTION("""COMPUTED_VALUE"""),102112)</f>
        <v>102112</v>
      </c>
      <c r="B3659" s="4">
        <f ca="1">IFERROR(__xludf.DUMMYFUNCTION("""COMPUTED_VALUE"""),44754)</f>
        <v>44754</v>
      </c>
      <c r="C3659" t="str">
        <f ca="1">IFERROR(__xludf.DUMMYFUNCTION("""COMPUTED_VALUE"""),"АО ""ОМСКЭЛЕКТРО"" 145-СТР от 08.07.2022")</f>
        <v>АО "ОМСКЭЛЕКТРО" 145-СТР от 08.07.2022</v>
      </c>
      <c r="D36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59" t="str">
        <f ca="1">IFERROR(__xludf.DUMMYFUNCTION("""COMPUTED_VALUE"""),"Новый")</f>
        <v>Новый</v>
      </c>
      <c r="G3659" s="68"/>
      <c r="K3659" s="68"/>
    </row>
    <row r="3660" spans="1:11" ht="12.75">
      <c r="A3660" s="69">
        <f ca="1">IFERROR(__xludf.DUMMYFUNCTION("""COMPUTED_VALUE"""),102113)</f>
        <v>102113</v>
      </c>
      <c r="B3660" s="4">
        <f ca="1">IFERROR(__xludf.DUMMYFUNCTION("""COMPUTED_VALUE"""),44754)</f>
        <v>44754</v>
      </c>
      <c r="C3660" t="str">
        <f ca="1">IFERROR(__xludf.DUMMYFUNCTION("""COMPUTED_VALUE"""),"АО ""ОМСКЭЛЕКТРО"" 145-СТР от 08.07.2022")</f>
        <v>АО "ОМСКЭЛЕКТРО" 145-СТР от 08.07.2022</v>
      </c>
      <c r="D36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60" t="str">
        <f ca="1">IFERROR(__xludf.DUMMYFUNCTION("""COMPUTED_VALUE"""),"Новый")</f>
        <v>Новый</v>
      </c>
      <c r="G3660" s="68"/>
      <c r="K3660" s="68"/>
    </row>
    <row r="3661" spans="1:11" ht="12.75">
      <c r="A3661" s="69">
        <f ca="1">IFERROR(__xludf.DUMMYFUNCTION("""COMPUTED_VALUE"""),102144)</f>
        <v>102144</v>
      </c>
      <c r="B3661" s="4">
        <f ca="1">IFERROR(__xludf.DUMMYFUNCTION("""COMPUTED_VALUE"""),44755)</f>
        <v>44755</v>
      </c>
      <c r="C3661" t="str">
        <f ca="1">IFERROR(__xludf.DUMMYFUNCTION("""COMPUTED_VALUE"""),"ООО ""УК НА РАБКОРОВСКОЙ"" 144-РДО от 08.04.2022")</f>
        <v>ООО "УК НА РАБКОРОВСКОЙ" 144-РДО от 08.04.2022</v>
      </c>
      <c r="D36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1" t="str">
        <f ca="1">IFERROR(__xludf.DUMMYFUNCTION("""COMPUTED_VALUE"""),"Новый")</f>
        <v>Новый</v>
      </c>
      <c r="G3661" s="68"/>
      <c r="K3661" s="68"/>
    </row>
    <row r="3662" spans="1:11" ht="12.75">
      <c r="A3662" s="69">
        <f ca="1">IFERROR(__xludf.DUMMYFUNCTION("""COMPUTED_VALUE"""),102145)</f>
        <v>102145</v>
      </c>
      <c r="B3662" s="4">
        <f ca="1">IFERROR(__xludf.DUMMYFUNCTION("""COMPUTED_VALUE"""),44755)</f>
        <v>44755</v>
      </c>
      <c r="C3662" t="str">
        <f ca="1">IFERROR(__xludf.DUMMYFUNCTION("""COMPUTED_VALUE"""),"ООО ""УК НА РАБКОРОВСКОЙ"" 144-РДО от 08.04.2022")</f>
        <v>ООО "УК НА РАБКОРОВСКОЙ" 144-РДО от 08.04.2022</v>
      </c>
      <c r="D36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2" t="str">
        <f ca="1">IFERROR(__xludf.DUMMYFUNCTION("""COMPUTED_VALUE"""),"Новый")</f>
        <v>Новый</v>
      </c>
      <c r="G3662" s="68"/>
      <c r="K3662" s="68"/>
    </row>
    <row r="3663" spans="1:11" ht="12.75">
      <c r="A3663" s="69">
        <f ca="1">IFERROR(__xludf.DUMMYFUNCTION("""COMPUTED_VALUE"""),102146)</f>
        <v>102146</v>
      </c>
      <c r="B3663" s="4">
        <f ca="1">IFERROR(__xludf.DUMMYFUNCTION("""COMPUTED_VALUE"""),44755)</f>
        <v>44755</v>
      </c>
      <c r="C3663" t="str">
        <f ca="1">IFERROR(__xludf.DUMMYFUNCTION("""COMPUTED_VALUE"""),"ООО ""УК НА РАБКОРОВСКОЙ"" 144-РДО от 08.04.2022")</f>
        <v>ООО "УК НА РАБКОРОВСКОЙ" 144-РДО от 08.04.2022</v>
      </c>
      <c r="D36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3" t="str">
        <f ca="1">IFERROR(__xludf.DUMMYFUNCTION("""COMPUTED_VALUE"""),"Новый")</f>
        <v>Новый</v>
      </c>
      <c r="G3663" s="68"/>
      <c r="K3663" s="68"/>
    </row>
    <row r="3664" spans="1:11" ht="12.75">
      <c r="A3664" s="69">
        <f ca="1">IFERROR(__xludf.DUMMYFUNCTION("""COMPUTED_VALUE"""),102147)</f>
        <v>102147</v>
      </c>
      <c r="B3664" s="4">
        <f ca="1">IFERROR(__xludf.DUMMYFUNCTION("""COMPUTED_VALUE"""),44755)</f>
        <v>44755</v>
      </c>
      <c r="C3664" t="str">
        <f ca="1">IFERROR(__xludf.DUMMYFUNCTION("""COMPUTED_VALUE"""),"ООО ""УК НА РАБКОРОВСКОЙ"" 144-РДО от 08.04.2022")</f>
        <v>ООО "УК НА РАБКОРОВСКОЙ" 144-РДО от 08.04.2022</v>
      </c>
      <c r="D36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4" t="str">
        <f ca="1">IFERROR(__xludf.DUMMYFUNCTION("""COMPUTED_VALUE"""),"Новый")</f>
        <v>Новый</v>
      </c>
      <c r="G3664" s="68"/>
      <c r="K3664" s="68"/>
    </row>
    <row r="3665" spans="1:11" ht="12.75">
      <c r="A3665" s="69">
        <f ca="1">IFERROR(__xludf.DUMMYFUNCTION("""COMPUTED_VALUE"""),102148)</f>
        <v>102148</v>
      </c>
      <c r="B3665" s="4">
        <f ca="1">IFERROR(__xludf.DUMMYFUNCTION("""COMPUTED_VALUE"""),44755)</f>
        <v>44755</v>
      </c>
      <c r="C3665" t="str">
        <f ca="1">IFERROR(__xludf.DUMMYFUNCTION("""COMPUTED_VALUE"""),"ООО ""УК НА РАБКОРОВСКОЙ"" 144-РДО от 08.04.2022")</f>
        <v>ООО "УК НА РАБКОРОВСКОЙ" 144-РДО от 08.04.2022</v>
      </c>
      <c r="D36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5" t="str">
        <f ca="1">IFERROR(__xludf.DUMMYFUNCTION("""COMPUTED_VALUE"""),"Новый")</f>
        <v>Новый</v>
      </c>
      <c r="G3665" s="68"/>
      <c r="K3665" s="68"/>
    </row>
    <row r="3666" spans="1:11" ht="12.75">
      <c r="A3666" s="69">
        <f ca="1">IFERROR(__xludf.DUMMYFUNCTION("""COMPUTED_VALUE"""),102149)</f>
        <v>102149</v>
      </c>
      <c r="B3666" s="4">
        <f ca="1">IFERROR(__xludf.DUMMYFUNCTION("""COMPUTED_VALUE"""),44755)</f>
        <v>44755</v>
      </c>
      <c r="C3666" t="str">
        <f ca="1">IFERROR(__xludf.DUMMYFUNCTION("""COMPUTED_VALUE"""),"ООО ""УК НА РАБКОРОВСКОЙ"" 144-РДО от 08.04.2022")</f>
        <v>ООО "УК НА РАБКОРОВСКОЙ" 144-РДО от 08.04.2022</v>
      </c>
      <c r="D36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6" t="str">
        <f ca="1">IFERROR(__xludf.DUMMYFUNCTION("""COMPUTED_VALUE"""),"Новый")</f>
        <v>Новый</v>
      </c>
      <c r="G3666" s="68"/>
      <c r="K3666" s="68"/>
    </row>
    <row r="3667" spans="1:11" ht="12.75">
      <c r="A3667" s="69">
        <f ca="1">IFERROR(__xludf.DUMMYFUNCTION("""COMPUTED_VALUE"""),102150)</f>
        <v>102150</v>
      </c>
      <c r="B3667" s="4">
        <f ca="1">IFERROR(__xludf.DUMMYFUNCTION("""COMPUTED_VALUE"""),44755)</f>
        <v>44755</v>
      </c>
      <c r="C3667" t="str">
        <f ca="1">IFERROR(__xludf.DUMMYFUNCTION("""COMPUTED_VALUE"""),"ООО ""УК НА РАБКОРОВСКОЙ"" 144-РДО от 08.04.2022")</f>
        <v>ООО "УК НА РАБКОРОВСКОЙ" 144-РДО от 08.04.2022</v>
      </c>
      <c r="D36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7" t="str">
        <f ca="1">IFERROR(__xludf.DUMMYFUNCTION("""COMPUTED_VALUE"""),"Новый")</f>
        <v>Новый</v>
      </c>
      <c r="G3667" s="68"/>
      <c r="K3667" s="68"/>
    </row>
    <row r="3668" spans="1:11" ht="12.75">
      <c r="A3668" s="69">
        <f ca="1">IFERROR(__xludf.DUMMYFUNCTION("""COMPUTED_VALUE"""),102151)</f>
        <v>102151</v>
      </c>
      <c r="B3668" s="4">
        <f ca="1">IFERROR(__xludf.DUMMYFUNCTION("""COMPUTED_VALUE"""),44755)</f>
        <v>44755</v>
      </c>
      <c r="C3668" t="str">
        <f ca="1">IFERROR(__xludf.DUMMYFUNCTION("""COMPUTED_VALUE"""),"ООО ""УК НА РАБКОРОВСКОЙ"" 144-РДО от 08.04.2022")</f>
        <v>ООО "УК НА РАБКОРОВСКОЙ" 144-РДО от 08.04.2022</v>
      </c>
      <c r="D36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8" t="str">
        <f ca="1">IFERROR(__xludf.DUMMYFUNCTION("""COMPUTED_VALUE"""),"Новый")</f>
        <v>Новый</v>
      </c>
      <c r="G3668" s="68"/>
      <c r="K3668" s="68"/>
    </row>
    <row r="3669" spans="1:11" ht="12.75">
      <c r="A3669" s="69">
        <f ca="1">IFERROR(__xludf.DUMMYFUNCTION("""COMPUTED_VALUE"""),102152)</f>
        <v>102152</v>
      </c>
      <c r="B3669" s="4">
        <f ca="1">IFERROR(__xludf.DUMMYFUNCTION("""COMPUTED_VALUE"""),44755)</f>
        <v>44755</v>
      </c>
      <c r="C3669" t="str">
        <f ca="1">IFERROR(__xludf.DUMMYFUNCTION("""COMPUTED_VALUE"""),"ООО ""УК НА РАБКОРОВСКОЙ"" 144-РДО от 08.04.2022")</f>
        <v>ООО "УК НА РАБКОРОВСКОЙ" 144-РДО от 08.04.2022</v>
      </c>
      <c r="D36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69" t="str">
        <f ca="1">IFERROR(__xludf.DUMMYFUNCTION("""COMPUTED_VALUE"""),"Новый")</f>
        <v>Новый</v>
      </c>
      <c r="G3669" s="68"/>
      <c r="K3669" s="68"/>
    </row>
    <row r="3670" spans="1:11" ht="12.75">
      <c r="A3670" s="69">
        <f ca="1">IFERROR(__xludf.DUMMYFUNCTION("""COMPUTED_VALUE"""),102153)</f>
        <v>102153</v>
      </c>
      <c r="B3670" s="4">
        <f ca="1">IFERROR(__xludf.DUMMYFUNCTION("""COMPUTED_VALUE"""),44755)</f>
        <v>44755</v>
      </c>
      <c r="C3670" t="str">
        <f ca="1">IFERROR(__xludf.DUMMYFUNCTION("""COMPUTED_VALUE"""),"ООО ""УК НА РАБКОРОВСКОЙ"" 144-РДО от 08.04.2022")</f>
        <v>ООО "УК НА РАБКОРОВСКОЙ" 144-РДО от 08.04.2022</v>
      </c>
      <c r="D36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0" t="str">
        <f ca="1">IFERROR(__xludf.DUMMYFUNCTION("""COMPUTED_VALUE"""),"Новый")</f>
        <v>Новый</v>
      </c>
      <c r="G3670" s="68"/>
      <c r="K3670" s="68"/>
    </row>
    <row r="3671" spans="1:11" ht="12.75">
      <c r="A3671" s="69">
        <f ca="1">IFERROR(__xludf.DUMMYFUNCTION("""COMPUTED_VALUE"""),102154)</f>
        <v>102154</v>
      </c>
      <c r="B3671" s="4">
        <f ca="1">IFERROR(__xludf.DUMMYFUNCTION("""COMPUTED_VALUE"""),44755)</f>
        <v>44755</v>
      </c>
      <c r="C3671" t="str">
        <f ca="1">IFERROR(__xludf.DUMMYFUNCTION("""COMPUTED_VALUE"""),"ООО ""УК НА РАБКОРОВСКОЙ"" 144-РДО от 08.04.2022")</f>
        <v>ООО "УК НА РАБКОРОВСКОЙ" 144-РДО от 08.04.2022</v>
      </c>
      <c r="D36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1" t="str">
        <f ca="1">IFERROR(__xludf.DUMMYFUNCTION("""COMPUTED_VALUE"""),"Новый")</f>
        <v>Новый</v>
      </c>
      <c r="G3671" s="68"/>
      <c r="K3671" s="68"/>
    </row>
    <row r="3672" spans="1:11" ht="12.75">
      <c r="A3672" s="69">
        <f ca="1">IFERROR(__xludf.DUMMYFUNCTION("""COMPUTED_VALUE"""),102155)</f>
        <v>102155</v>
      </c>
      <c r="B3672" s="4">
        <f ca="1">IFERROR(__xludf.DUMMYFUNCTION("""COMPUTED_VALUE"""),44755)</f>
        <v>44755</v>
      </c>
      <c r="C3672" t="str">
        <f ca="1">IFERROR(__xludf.DUMMYFUNCTION("""COMPUTED_VALUE"""),"ООО ""УК НА РАБКОРОВСКОЙ"" 144-РДО от 08.04.2022")</f>
        <v>ООО "УК НА РАБКОРОВСКОЙ" 144-РДО от 08.04.2022</v>
      </c>
      <c r="D36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2" t="str">
        <f ca="1">IFERROR(__xludf.DUMMYFUNCTION("""COMPUTED_VALUE"""),"Новый")</f>
        <v>Новый</v>
      </c>
      <c r="G3672" s="68"/>
      <c r="K3672" s="68"/>
    </row>
    <row r="3673" spans="1:11" ht="12.75">
      <c r="A3673" s="69">
        <f ca="1">IFERROR(__xludf.DUMMYFUNCTION("""COMPUTED_VALUE"""),102156)</f>
        <v>102156</v>
      </c>
      <c r="B3673" s="4">
        <f ca="1">IFERROR(__xludf.DUMMYFUNCTION("""COMPUTED_VALUE"""),44755)</f>
        <v>44755</v>
      </c>
      <c r="C3673" t="str">
        <f ca="1">IFERROR(__xludf.DUMMYFUNCTION("""COMPUTED_VALUE"""),"ООО ""УК НА РАБКОРОВСКОЙ"" 144-РДО от 08.04.2022")</f>
        <v>ООО "УК НА РАБКОРОВСКОЙ" 144-РДО от 08.04.2022</v>
      </c>
      <c r="D36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3" t="str">
        <f ca="1">IFERROR(__xludf.DUMMYFUNCTION("""COMPUTED_VALUE"""),"Новый")</f>
        <v>Новый</v>
      </c>
      <c r="G3673" s="68"/>
      <c r="K3673" s="68"/>
    </row>
    <row r="3674" spans="1:11" ht="12.75">
      <c r="A3674" s="69">
        <f ca="1">IFERROR(__xludf.DUMMYFUNCTION("""COMPUTED_VALUE"""),102157)</f>
        <v>102157</v>
      </c>
      <c r="B3674" s="4">
        <f ca="1">IFERROR(__xludf.DUMMYFUNCTION("""COMPUTED_VALUE"""),44755)</f>
        <v>44755</v>
      </c>
      <c r="C3674" t="str">
        <f ca="1">IFERROR(__xludf.DUMMYFUNCTION("""COMPUTED_VALUE"""),"ООО ""УК НА РАБКОРОВСКОЙ"" 144-РДО от 08.04.2022")</f>
        <v>ООО "УК НА РАБКОРОВСКОЙ" 144-РДО от 08.04.2022</v>
      </c>
      <c r="D36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4" t="str">
        <f ca="1">IFERROR(__xludf.DUMMYFUNCTION("""COMPUTED_VALUE"""),"Новый")</f>
        <v>Новый</v>
      </c>
      <c r="G3674" s="68"/>
      <c r="K3674" s="68"/>
    </row>
    <row r="3675" spans="1:11" ht="12.75">
      <c r="A3675" s="69">
        <f ca="1">IFERROR(__xludf.DUMMYFUNCTION("""COMPUTED_VALUE"""),102158)</f>
        <v>102158</v>
      </c>
      <c r="B3675" s="4">
        <f ca="1">IFERROR(__xludf.DUMMYFUNCTION("""COMPUTED_VALUE"""),44755)</f>
        <v>44755</v>
      </c>
      <c r="C3675" t="str">
        <f ca="1">IFERROR(__xludf.DUMMYFUNCTION("""COMPUTED_VALUE"""),"ООО ""УК НА РАБКОРОВСКОЙ"" 144-РДО от 08.04.2022")</f>
        <v>ООО "УК НА РАБКОРОВСКОЙ" 144-РДО от 08.04.2022</v>
      </c>
      <c r="D36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5" t="str">
        <f ca="1">IFERROR(__xludf.DUMMYFUNCTION("""COMPUTED_VALUE"""),"Новый")</f>
        <v>Новый</v>
      </c>
      <c r="G3675" s="68"/>
      <c r="K3675" s="68"/>
    </row>
    <row r="3676" spans="1:11" ht="12.75">
      <c r="A3676" s="69">
        <f ca="1">IFERROR(__xludf.DUMMYFUNCTION("""COMPUTED_VALUE"""),102159)</f>
        <v>102159</v>
      </c>
      <c r="B3676" s="4">
        <f ca="1">IFERROR(__xludf.DUMMYFUNCTION("""COMPUTED_VALUE"""),44755)</f>
        <v>44755</v>
      </c>
      <c r="C3676" t="str">
        <f ca="1">IFERROR(__xludf.DUMMYFUNCTION("""COMPUTED_VALUE"""),"ООО ""УК НА РАБКОРОВСКОЙ"" 144-РДО от 08.04.2022")</f>
        <v>ООО "УК НА РАБКОРОВСКОЙ" 144-РДО от 08.04.2022</v>
      </c>
      <c r="D36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6" t="str">
        <f ca="1">IFERROR(__xludf.DUMMYFUNCTION("""COMPUTED_VALUE"""),"Новый")</f>
        <v>Новый</v>
      </c>
      <c r="G3676" s="68"/>
      <c r="K3676" s="68"/>
    </row>
    <row r="3677" spans="1:11" ht="12.75">
      <c r="A3677" s="69">
        <f ca="1">IFERROR(__xludf.DUMMYFUNCTION("""COMPUTED_VALUE"""),102160)</f>
        <v>102160</v>
      </c>
      <c r="B3677" s="4">
        <f ca="1">IFERROR(__xludf.DUMMYFUNCTION("""COMPUTED_VALUE"""),44755)</f>
        <v>44755</v>
      </c>
      <c r="C3677" t="str">
        <f ca="1">IFERROR(__xludf.DUMMYFUNCTION("""COMPUTED_VALUE"""),"ООО ""УК НА РАБКОРОВСКОЙ"" 144-РДО от 08.04.2022")</f>
        <v>ООО "УК НА РАБКОРОВСКОЙ" 144-РДО от 08.04.2022</v>
      </c>
      <c r="D36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7" t="str">
        <f ca="1">IFERROR(__xludf.DUMMYFUNCTION("""COMPUTED_VALUE"""),"Новый")</f>
        <v>Новый</v>
      </c>
      <c r="G3677" s="68"/>
      <c r="K3677" s="68"/>
    </row>
    <row r="3678" spans="1:11" ht="12.75">
      <c r="A3678" s="69">
        <f ca="1">IFERROR(__xludf.DUMMYFUNCTION("""COMPUTED_VALUE"""),102161)</f>
        <v>102161</v>
      </c>
      <c r="B3678" s="4">
        <f ca="1">IFERROR(__xludf.DUMMYFUNCTION("""COMPUTED_VALUE"""),44755)</f>
        <v>44755</v>
      </c>
      <c r="C3678" t="str">
        <f ca="1">IFERROR(__xludf.DUMMYFUNCTION("""COMPUTED_VALUE"""),"ООО ""УК НА РАБКОРОВСКОЙ"" 144-РДО от 08.04.2022")</f>
        <v>ООО "УК НА РАБКОРОВСКОЙ" 144-РДО от 08.04.2022</v>
      </c>
      <c r="D36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8" t="str">
        <f ca="1">IFERROR(__xludf.DUMMYFUNCTION("""COMPUTED_VALUE"""),"Новый")</f>
        <v>Новый</v>
      </c>
      <c r="G3678" s="68"/>
      <c r="K3678" s="68"/>
    </row>
    <row r="3679" spans="1:11" ht="12.75">
      <c r="A3679" s="69">
        <f ca="1">IFERROR(__xludf.DUMMYFUNCTION("""COMPUTED_VALUE"""),102163)</f>
        <v>102163</v>
      </c>
      <c r="B3679" s="4">
        <f ca="1">IFERROR(__xludf.DUMMYFUNCTION("""COMPUTED_VALUE"""),44755)</f>
        <v>44755</v>
      </c>
      <c r="C3679" t="str">
        <f ca="1">IFERROR(__xludf.DUMMYFUNCTION("""COMPUTED_VALUE"""),"ООО ""УК НА РАБКОРОВСКОЙ"" 144-РДО от 08.04.2022")</f>
        <v>ООО "УК НА РАБКОРОВСКОЙ" 144-РДО от 08.04.2022</v>
      </c>
      <c r="D36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79" t="str">
        <f ca="1">IFERROR(__xludf.DUMMYFUNCTION("""COMPUTED_VALUE"""),"Новый")</f>
        <v>Новый</v>
      </c>
      <c r="G3679" s="68"/>
      <c r="K3679" s="68"/>
    </row>
    <row r="3680" spans="1:11" ht="12.75">
      <c r="A3680" s="69">
        <f ca="1">IFERROR(__xludf.DUMMYFUNCTION("""COMPUTED_VALUE"""),102178)</f>
        <v>102178</v>
      </c>
      <c r="B3680" s="4">
        <f ca="1">IFERROR(__xludf.DUMMYFUNCTION("""COMPUTED_VALUE"""),44756)</f>
        <v>44756</v>
      </c>
      <c r="C3680" t="str">
        <f ca="1">IFERROR(__xludf.DUMMYFUNCTION("""COMPUTED_VALUE"""),"АО ""ОМСКЭЛЕКТРО"" 187-РДО от 01.06.2022")</f>
        <v>АО "ОМСКЭЛЕКТРО" 187-РДО от 01.06.2022</v>
      </c>
      <c r="D36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0" t="str">
        <f ca="1">IFERROR(__xludf.DUMMYFUNCTION("""COMPUTED_VALUE"""),"Новый")</f>
        <v>Новый</v>
      </c>
      <c r="G3680" s="68"/>
      <c r="K3680" s="68"/>
    </row>
    <row r="3681" spans="1:11" ht="12.75">
      <c r="A3681" s="69">
        <f ca="1">IFERROR(__xludf.DUMMYFUNCTION("""COMPUTED_VALUE"""),102188)</f>
        <v>102188</v>
      </c>
      <c r="B3681" s="4">
        <f ca="1">IFERROR(__xludf.DUMMYFUNCTION("""COMPUTED_VALUE"""),44756)</f>
        <v>44756</v>
      </c>
      <c r="C3681" t="str">
        <f ca="1">IFERROR(__xludf.DUMMYFUNCTION("""COMPUTED_VALUE"""),"ООО ""ГАЗПРОМНЕФТЬ -СМ"" 198-РДО от 13.07.2022")</f>
        <v>ООО "ГАЗПРОМНЕФТЬ -СМ" 198-РДО от 13.07.2022</v>
      </c>
      <c r="D36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1" t="str">
        <f ca="1">IFERROR(__xludf.DUMMYFUNCTION("""COMPUTED_VALUE"""),"Новый")</f>
        <v>Новый</v>
      </c>
      <c r="G3681" s="68"/>
      <c r="K3681" s="68"/>
    </row>
    <row r="3682" spans="1:11" ht="12.75">
      <c r="A3682" s="69">
        <f ca="1">IFERROR(__xludf.DUMMYFUNCTION("""COMPUTED_VALUE"""),102190)</f>
        <v>102190</v>
      </c>
      <c r="B3682" s="4">
        <f ca="1">IFERROR(__xludf.DUMMYFUNCTION("""COMPUTED_VALUE"""),44756)</f>
        <v>44756</v>
      </c>
      <c r="C3682" t="str">
        <f ca="1">IFERROR(__xludf.DUMMYFUNCTION("""COMPUTED_VALUE"""),"ООО ""ГАЗПРОМНЕФТЬ -СМ"" 198-РДО от 13.07.2022")</f>
        <v>ООО "ГАЗПРОМНЕФТЬ -СМ" 198-РДО от 13.07.2022</v>
      </c>
      <c r="D36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2" t="str">
        <f ca="1">IFERROR(__xludf.DUMMYFUNCTION("""COMPUTED_VALUE"""),"Новый")</f>
        <v>Новый</v>
      </c>
      <c r="G3682" s="68"/>
      <c r="K3682" s="68"/>
    </row>
    <row r="3683" spans="1:11" ht="12.75">
      <c r="A3683" s="69">
        <f ca="1">IFERROR(__xludf.DUMMYFUNCTION("""COMPUTED_VALUE"""),102191)</f>
        <v>102191</v>
      </c>
      <c r="B3683" s="4">
        <f ca="1">IFERROR(__xludf.DUMMYFUNCTION("""COMPUTED_VALUE"""),44756)</f>
        <v>44756</v>
      </c>
      <c r="C3683" t="str">
        <f ca="1">IFERROR(__xludf.DUMMYFUNCTION("""COMPUTED_VALUE"""),"ООО ""ГАЗПРОМНЕФТЬ -СМ"" 198-РДО от 13.07.2022")</f>
        <v>ООО "ГАЗПРОМНЕФТЬ -СМ" 198-РДО от 13.07.2022</v>
      </c>
      <c r="D36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3" t="str">
        <f ca="1">IFERROR(__xludf.DUMMYFUNCTION("""COMPUTED_VALUE"""),"Новый")</f>
        <v>Новый</v>
      </c>
      <c r="G3683" s="68"/>
      <c r="K3683" s="68"/>
    </row>
    <row r="3684" spans="1:11" ht="12.75">
      <c r="A3684" s="69">
        <f ca="1">IFERROR(__xludf.DUMMYFUNCTION("""COMPUTED_VALUE"""),102192)</f>
        <v>102192</v>
      </c>
      <c r="B3684" s="4">
        <f ca="1">IFERROR(__xludf.DUMMYFUNCTION("""COMPUTED_VALUE"""),44756)</f>
        <v>44756</v>
      </c>
      <c r="C3684" t="str">
        <f ca="1">IFERROR(__xludf.DUMMYFUNCTION("""COMPUTED_VALUE"""),"ООО ""ГАЗПРОМНЕФТЬ -СМ"" 198-РДО от 13.07.2022")</f>
        <v>ООО "ГАЗПРОМНЕФТЬ -СМ" 198-РДО от 13.07.2022</v>
      </c>
      <c r="D36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4" t="str">
        <f ca="1">IFERROR(__xludf.DUMMYFUNCTION("""COMPUTED_VALUE"""),"Новый")</f>
        <v>Новый</v>
      </c>
      <c r="G3684" s="68"/>
      <c r="K3684" s="68"/>
    </row>
    <row r="3685" spans="1:11" ht="12.75">
      <c r="A3685" s="69">
        <f ca="1">IFERROR(__xludf.DUMMYFUNCTION("""COMPUTED_VALUE"""),102193)</f>
        <v>102193</v>
      </c>
      <c r="B3685" s="4">
        <f ca="1">IFERROR(__xludf.DUMMYFUNCTION("""COMPUTED_VALUE"""),44756)</f>
        <v>44756</v>
      </c>
      <c r="C3685" t="str">
        <f ca="1">IFERROR(__xludf.DUMMYFUNCTION("""COMPUTED_VALUE"""),"ООО ""ГАЗПРОМНЕФТЬ -СМ"" 198-РДО от 13.07.2022")</f>
        <v>ООО "ГАЗПРОМНЕФТЬ -СМ" 198-РДО от 13.07.2022</v>
      </c>
      <c r="D36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5" t="str">
        <f ca="1">IFERROR(__xludf.DUMMYFUNCTION("""COMPUTED_VALUE"""),"Новый")</f>
        <v>Новый</v>
      </c>
      <c r="G3685" s="68"/>
      <c r="K3685" s="68"/>
    </row>
    <row r="3686" spans="1:11" ht="12.75">
      <c r="A3686" s="69">
        <f ca="1">IFERROR(__xludf.DUMMYFUNCTION("""COMPUTED_VALUE"""),102194)</f>
        <v>102194</v>
      </c>
      <c r="B3686" s="4">
        <f ca="1">IFERROR(__xludf.DUMMYFUNCTION("""COMPUTED_VALUE"""),44756)</f>
        <v>44756</v>
      </c>
      <c r="C3686" t="str">
        <f ca="1">IFERROR(__xludf.DUMMYFUNCTION("""COMPUTED_VALUE"""),"ООО ""ГАЗПРОМНЕФТЬ -СМ"" 198-РДО от 13.07.2022")</f>
        <v>ООО "ГАЗПРОМНЕФТЬ -СМ" 198-РДО от 13.07.2022</v>
      </c>
      <c r="D36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6" t="str">
        <f ca="1">IFERROR(__xludf.DUMMYFUNCTION("""COMPUTED_VALUE"""),"Новый")</f>
        <v>Новый</v>
      </c>
      <c r="G3686" s="68"/>
      <c r="K3686" s="68"/>
    </row>
    <row r="3687" spans="1:11" ht="12.75">
      <c r="A3687" s="69">
        <f ca="1">IFERROR(__xludf.DUMMYFUNCTION("""COMPUTED_VALUE"""),102195)</f>
        <v>102195</v>
      </c>
      <c r="B3687" s="4">
        <f ca="1">IFERROR(__xludf.DUMMYFUNCTION("""COMPUTED_VALUE"""),44756)</f>
        <v>44756</v>
      </c>
      <c r="C3687" t="str">
        <f ca="1">IFERROR(__xludf.DUMMYFUNCTION("""COMPUTED_VALUE"""),"ООО ""ГАЗПРОМНЕФТЬ -СМ"" 198-РДО от 13.07.2022")</f>
        <v>ООО "ГАЗПРОМНЕФТЬ -СМ" 198-РДО от 13.07.2022</v>
      </c>
      <c r="D36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7" t="str">
        <f ca="1">IFERROR(__xludf.DUMMYFUNCTION("""COMPUTED_VALUE"""),"Новый")</f>
        <v>Новый</v>
      </c>
      <c r="G3687" s="68"/>
      <c r="K3687" s="68"/>
    </row>
    <row r="3688" spans="1:11" ht="12.75">
      <c r="A3688" s="69">
        <f ca="1">IFERROR(__xludf.DUMMYFUNCTION("""COMPUTED_VALUE"""),102196)</f>
        <v>102196</v>
      </c>
      <c r="B3688" s="4">
        <f ca="1">IFERROR(__xludf.DUMMYFUNCTION("""COMPUTED_VALUE"""),44756)</f>
        <v>44756</v>
      </c>
      <c r="C3688" t="str">
        <f ca="1">IFERROR(__xludf.DUMMYFUNCTION("""COMPUTED_VALUE"""),"ООО ""ГАЗПРОМНЕФТЬ -СМ"" 198-РДО от 13.07.2022")</f>
        <v>ООО "ГАЗПРОМНЕФТЬ -СМ" 198-РДО от 13.07.2022</v>
      </c>
      <c r="D36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8" t="str">
        <f ca="1">IFERROR(__xludf.DUMMYFUNCTION("""COMPUTED_VALUE"""),"Новый")</f>
        <v>Новый</v>
      </c>
      <c r="G3688" s="68"/>
      <c r="K3688" s="68"/>
    </row>
    <row r="3689" spans="1:11" ht="12.75">
      <c r="A3689" s="69">
        <f ca="1">IFERROR(__xludf.DUMMYFUNCTION("""COMPUTED_VALUE"""),102197)</f>
        <v>102197</v>
      </c>
      <c r="B3689" s="4">
        <f ca="1">IFERROR(__xludf.DUMMYFUNCTION("""COMPUTED_VALUE"""),44756)</f>
        <v>44756</v>
      </c>
      <c r="C3689" t="str">
        <f ca="1">IFERROR(__xludf.DUMMYFUNCTION("""COMPUTED_VALUE"""),"ООО ""ГАЗПРОМНЕФТЬ -СМ"" 198-РДО от 13.07.2022")</f>
        <v>ООО "ГАЗПРОМНЕФТЬ -СМ" 198-РДО от 13.07.2022</v>
      </c>
      <c r="D36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89" t="str">
        <f ca="1">IFERROR(__xludf.DUMMYFUNCTION("""COMPUTED_VALUE"""),"Новый")</f>
        <v>Новый</v>
      </c>
      <c r="G3689" s="68"/>
      <c r="K3689" s="68"/>
    </row>
    <row r="3690" spans="1:11" ht="12.75">
      <c r="A3690" s="69">
        <f ca="1">IFERROR(__xludf.DUMMYFUNCTION("""COMPUTED_VALUE"""),102198)</f>
        <v>102198</v>
      </c>
      <c r="B3690" s="4">
        <f ca="1">IFERROR(__xludf.DUMMYFUNCTION("""COMPUTED_VALUE"""),44756)</f>
        <v>44756</v>
      </c>
      <c r="C3690" t="str">
        <f ca="1">IFERROR(__xludf.DUMMYFUNCTION("""COMPUTED_VALUE"""),"ООО ""ГАЗПРОМНЕФТЬ -СМ"" 198-РДО от 13.07.2022")</f>
        <v>ООО "ГАЗПРОМНЕФТЬ -СМ" 198-РДО от 13.07.2022</v>
      </c>
      <c r="D36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0" t="str">
        <f ca="1">IFERROR(__xludf.DUMMYFUNCTION("""COMPUTED_VALUE"""),"Новый")</f>
        <v>Новый</v>
      </c>
      <c r="G3690" s="68"/>
      <c r="K3690" s="68"/>
    </row>
    <row r="3691" spans="1:11" ht="12.75">
      <c r="A3691" s="69">
        <f ca="1">IFERROR(__xludf.DUMMYFUNCTION("""COMPUTED_VALUE"""),102199)</f>
        <v>102199</v>
      </c>
      <c r="B3691" s="4">
        <f ca="1">IFERROR(__xludf.DUMMYFUNCTION("""COMPUTED_VALUE"""),44756)</f>
        <v>44756</v>
      </c>
      <c r="C3691" t="str">
        <f ca="1">IFERROR(__xludf.DUMMYFUNCTION("""COMPUTED_VALUE"""),"ООО ""ГАЗПРОМНЕФТЬ -СМ"" 198-РДО от 13.07.2022")</f>
        <v>ООО "ГАЗПРОМНЕФТЬ -СМ" 198-РДО от 13.07.2022</v>
      </c>
      <c r="D36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1" t="str">
        <f ca="1">IFERROR(__xludf.DUMMYFUNCTION("""COMPUTED_VALUE"""),"Новый")</f>
        <v>Новый</v>
      </c>
      <c r="G3691" s="68"/>
      <c r="K3691" s="68"/>
    </row>
    <row r="3692" spans="1:11" ht="12.75">
      <c r="A3692" s="69">
        <f ca="1">IFERROR(__xludf.DUMMYFUNCTION("""COMPUTED_VALUE"""),102200)</f>
        <v>102200</v>
      </c>
      <c r="B3692" s="4">
        <f ca="1">IFERROR(__xludf.DUMMYFUNCTION("""COMPUTED_VALUE"""),44756)</f>
        <v>44756</v>
      </c>
      <c r="C3692" t="str">
        <f ca="1">IFERROR(__xludf.DUMMYFUNCTION("""COMPUTED_VALUE"""),"ООО ""ГАЗПРОМНЕФТЬ -СМ"" 198-РДО от 13.07.2022")</f>
        <v>ООО "ГАЗПРОМНЕФТЬ -СМ" 198-РДО от 13.07.2022</v>
      </c>
      <c r="D36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2" t="str">
        <f ca="1">IFERROR(__xludf.DUMMYFUNCTION("""COMPUTED_VALUE"""),"Новый")</f>
        <v>Новый</v>
      </c>
      <c r="G3692" s="68"/>
      <c r="K3692" s="68"/>
    </row>
    <row r="3693" spans="1:11" ht="12.75">
      <c r="A3693" s="69">
        <f ca="1">IFERROR(__xludf.DUMMYFUNCTION("""COMPUTED_VALUE"""),102201)</f>
        <v>102201</v>
      </c>
      <c r="B3693" s="4">
        <f ca="1">IFERROR(__xludf.DUMMYFUNCTION("""COMPUTED_VALUE"""),44756)</f>
        <v>44756</v>
      </c>
      <c r="C3693" t="str">
        <f ca="1">IFERROR(__xludf.DUMMYFUNCTION("""COMPUTED_VALUE"""),"ООО ""ГАЗПРОМНЕФТЬ -СМ"" 198-РДО от 13.07.2022")</f>
        <v>ООО "ГАЗПРОМНЕФТЬ -СМ" 198-РДО от 13.07.2022</v>
      </c>
      <c r="D36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3" t="str">
        <f ca="1">IFERROR(__xludf.DUMMYFUNCTION("""COMPUTED_VALUE"""),"Новый")</f>
        <v>Новый</v>
      </c>
      <c r="G3693" s="68"/>
      <c r="K3693" s="68"/>
    </row>
    <row r="3694" spans="1:11" ht="12.75">
      <c r="A3694" s="69">
        <f ca="1">IFERROR(__xludf.DUMMYFUNCTION("""COMPUTED_VALUE"""),102202)</f>
        <v>102202</v>
      </c>
      <c r="B3694" s="4">
        <f ca="1">IFERROR(__xludf.DUMMYFUNCTION("""COMPUTED_VALUE"""),44756)</f>
        <v>44756</v>
      </c>
      <c r="C3694" t="str">
        <f ca="1">IFERROR(__xludf.DUMMYFUNCTION("""COMPUTED_VALUE"""),"ООО ""ГАЗПРОМНЕФТЬ -СМ"" 198-РДО от 13.07.2022")</f>
        <v>ООО "ГАЗПРОМНЕФТЬ -СМ" 198-РДО от 13.07.2022</v>
      </c>
      <c r="D36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4" t="str">
        <f ca="1">IFERROR(__xludf.DUMMYFUNCTION("""COMPUTED_VALUE"""),"Новый")</f>
        <v>Новый</v>
      </c>
      <c r="G3694" s="68"/>
      <c r="K3694" s="68"/>
    </row>
    <row r="3695" spans="1:11" ht="12.75">
      <c r="A3695" s="69">
        <f ca="1">IFERROR(__xludf.DUMMYFUNCTION("""COMPUTED_VALUE"""),102203)</f>
        <v>102203</v>
      </c>
      <c r="B3695" s="4">
        <f ca="1">IFERROR(__xludf.DUMMYFUNCTION("""COMPUTED_VALUE"""),44756)</f>
        <v>44756</v>
      </c>
      <c r="C3695" t="str">
        <f ca="1">IFERROR(__xludf.DUMMYFUNCTION("""COMPUTED_VALUE"""),"ООО ""ГАЗПРОМНЕФТЬ -СМ"" 198-РДО от 13.07.2022")</f>
        <v>ООО "ГАЗПРОМНЕФТЬ -СМ" 198-РДО от 13.07.2022</v>
      </c>
      <c r="D36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695" t="str">
        <f ca="1">IFERROR(__xludf.DUMMYFUNCTION("""COMPUTED_VALUE"""),"Новый")</f>
        <v>Новый</v>
      </c>
      <c r="G3695" s="68"/>
      <c r="K3695" s="68"/>
    </row>
    <row r="3696" spans="1:11" ht="12.75">
      <c r="A3696" s="69">
        <f ca="1">IFERROR(__xludf.DUMMYFUNCTION("""COMPUTED_VALUE"""),102206)</f>
        <v>102206</v>
      </c>
      <c r="B3696" s="4">
        <f ca="1">IFERROR(__xludf.DUMMYFUNCTION("""COMPUTED_VALUE"""),44757)</f>
        <v>44757</v>
      </c>
      <c r="C3696" t="str">
        <f ca="1">IFERROR(__xludf.DUMMYFUNCTION("""COMPUTED_VALUE"""),"ООО ""СпецАвтоТрейд"" 146-СТР от 15.07.2022")</f>
        <v>ООО "СпецАвтоТрейд" 146-СТР от 15.07.2022</v>
      </c>
      <c r="D36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96" t="str">
        <f ca="1">IFERROR(__xludf.DUMMYFUNCTION("""COMPUTED_VALUE"""),"Новый")</f>
        <v>Новый</v>
      </c>
      <c r="G3696" s="68"/>
      <c r="K3696" s="68"/>
    </row>
    <row r="3697" spans="1:11" ht="12.75">
      <c r="A3697" s="69">
        <f ca="1">IFERROR(__xludf.DUMMYFUNCTION("""COMPUTED_VALUE"""),102208)</f>
        <v>102208</v>
      </c>
      <c r="B3697" s="4">
        <f ca="1">IFERROR(__xludf.DUMMYFUNCTION("""COMPUTED_VALUE"""),44757)</f>
        <v>44757</v>
      </c>
      <c r="C3697" t="str">
        <f ca="1">IFERROR(__xludf.DUMMYFUNCTION("""COMPUTED_VALUE"""),"ООО ""СпецАвтоТрейд"" 146-СТР от 15.07.2022")</f>
        <v>ООО "СпецАвтоТрейд" 146-СТР от 15.07.2022</v>
      </c>
      <c r="D36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97" t="str">
        <f ca="1">IFERROR(__xludf.DUMMYFUNCTION("""COMPUTED_VALUE"""),"Новый")</f>
        <v>Новый</v>
      </c>
      <c r="G3697" s="68"/>
      <c r="K3697" s="68"/>
    </row>
    <row r="3698" spans="1:11" ht="12.75">
      <c r="A3698" s="69">
        <f ca="1">IFERROR(__xludf.DUMMYFUNCTION("""COMPUTED_VALUE"""),102209)</f>
        <v>102209</v>
      </c>
      <c r="B3698" s="4">
        <f ca="1">IFERROR(__xludf.DUMMYFUNCTION("""COMPUTED_VALUE"""),44757)</f>
        <v>44757</v>
      </c>
      <c r="C3698" t="str">
        <f ca="1">IFERROR(__xludf.DUMMYFUNCTION("""COMPUTED_VALUE"""),"ООО ""СпецАвтоТрейд"" 146-СТР от 15.07.2022")</f>
        <v>ООО "СпецАвтоТрейд" 146-СТР от 15.07.2022</v>
      </c>
      <c r="D36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98" t="str">
        <f ca="1">IFERROR(__xludf.DUMMYFUNCTION("""COMPUTED_VALUE"""),"Новый")</f>
        <v>Новый</v>
      </c>
      <c r="G3698" s="68"/>
      <c r="K3698" s="68"/>
    </row>
    <row r="3699" spans="1:11" ht="12.75">
      <c r="A3699" s="69">
        <f ca="1">IFERROR(__xludf.DUMMYFUNCTION("""COMPUTED_VALUE"""),102210)</f>
        <v>102210</v>
      </c>
      <c r="B3699" s="4">
        <f ca="1">IFERROR(__xludf.DUMMYFUNCTION("""COMPUTED_VALUE"""),44757)</f>
        <v>44757</v>
      </c>
      <c r="C3699" t="str">
        <f ca="1">IFERROR(__xludf.DUMMYFUNCTION("""COMPUTED_VALUE"""),"ООО ""СпецАвтоТрейд"" 146-СТР от 15.07.2022")</f>
        <v>ООО "СпецАвтоТрейд" 146-СТР от 15.07.2022</v>
      </c>
      <c r="D36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699" t="str">
        <f ca="1">IFERROR(__xludf.DUMMYFUNCTION("""COMPUTED_VALUE"""),"Новый")</f>
        <v>Новый</v>
      </c>
      <c r="G3699" s="68"/>
      <c r="K3699" s="68"/>
    </row>
    <row r="3700" spans="1:11" ht="12.75">
      <c r="A3700" s="69">
        <f ca="1">IFERROR(__xludf.DUMMYFUNCTION("""COMPUTED_VALUE"""),102211)</f>
        <v>102211</v>
      </c>
      <c r="B3700" s="4">
        <f ca="1">IFERROR(__xludf.DUMMYFUNCTION("""COMPUTED_VALUE"""),44757)</f>
        <v>44757</v>
      </c>
      <c r="C3700" t="str">
        <f ca="1">IFERROR(__xludf.DUMMYFUNCTION("""COMPUTED_VALUE"""),"ООО ""СпецАвтоТрейд"" 146-СТР от 15.07.2022")</f>
        <v>ООО "СпецАвтоТрейд" 146-СТР от 15.07.2022</v>
      </c>
      <c r="D37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0" t="str">
        <f ca="1">IFERROR(__xludf.DUMMYFUNCTION("""COMPUTED_VALUE"""),"Новый")</f>
        <v>Новый</v>
      </c>
      <c r="G3700" s="68"/>
      <c r="K3700" s="68"/>
    </row>
    <row r="3701" spans="1:11" ht="12.75">
      <c r="A3701" s="69">
        <f ca="1">IFERROR(__xludf.DUMMYFUNCTION("""COMPUTED_VALUE"""),102212)</f>
        <v>102212</v>
      </c>
      <c r="B3701" s="4">
        <f ca="1">IFERROR(__xludf.DUMMYFUNCTION("""COMPUTED_VALUE"""),44757)</f>
        <v>44757</v>
      </c>
      <c r="C3701" t="str">
        <f ca="1">IFERROR(__xludf.DUMMYFUNCTION("""COMPUTED_VALUE"""),"ООО ""СпецАвтоТрейд"" 146-СТР от 15.07.2022")</f>
        <v>ООО "СпецАвтоТрейд" 146-СТР от 15.07.2022</v>
      </c>
      <c r="D37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1" t="str">
        <f ca="1">IFERROR(__xludf.DUMMYFUNCTION("""COMPUTED_VALUE"""),"Новый")</f>
        <v>Новый</v>
      </c>
      <c r="G3701" s="68"/>
      <c r="K3701" s="68"/>
    </row>
    <row r="3702" spans="1:11" ht="12.75">
      <c r="A3702" s="69">
        <f ca="1">IFERROR(__xludf.DUMMYFUNCTION("""COMPUTED_VALUE"""),102213)</f>
        <v>102213</v>
      </c>
      <c r="B3702" s="4">
        <f ca="1">IFERROR(__xludf.DUMMYFUNCTION("""COMPUTED_VALUE"""),44757)</f>
        <v>44757</v>
      </c>
      <c r="C3702" t="str">
        <f ca="1">IFERROR(__xludf.DUMMYFUNCTION("""COMPUTED_VALUE"""),"ООО ""СпецАвтоТрейд"" 146-СТР от 15.07.2022")</f>
        <v>ООО "СпецАвтоТрейд" 146-СТР от 15.07.2022</v>
      </c>
      <c r="D37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2" t="str">
        <f ca="1">IFERROR(__xludf.DUMMYFUNCTION("""COMPUTED_VALUE"""),"Новый")</f>
        <v>Новый</v>
      </c>
      <c r="G3702" s="68"/>
      <c r="K3702" s="68"/>
    </row>
    <row r="3703" spans="1:11" ht="12.75">
      <c r="A3703" s="69">
        <f ca="1">IFERROR(__xludf.DUMMYFUNCTION("""COMPUTED_VALUE"""),102214)</f>
        <v>102214</v>
      </c>
      <c r="B3703" s="4">
        <f ca="1">IFERROR(__xludf.DUMMYFUNCTION("""COMPUTED_VALUE"""),44757)</f>
        <v>44757</v>
      </c>
      <c r="C3703" t="str">
        <f ca="1">IFERROR(__xludf.DUMMYFUNCTION("""COMPUTED_VALUE"""),"ООО ""СпецАвтоТрейд"" 146-СТР от 15.07.2022")</f>
        <v>ООО "СпецАвтоТрейд" 146-СТР от 15.07.2022</v>
      </c>
      <c r="D37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3" t="str">
        <f ca="1">IFERROR(__xludf.DUMMYFUNCTION("""COMPUTED_VALUE"""),"Новый")</f>
        <v>Новый</v>
      </c>
      <c r="G3703" s="68"/>
      <c r="K3703" s="68"/>
    </row>
    <row r="3704" spans="1:11" ht="12.75">
      <c r="A3704" s="69">
        <f ca="1">IFERROR(__xludf.DUMMYFUNCTION("""COMPUTED_VALUE"""),102215)</f>
        <v>102215</v>
      </c>
      <c r="B3704" s="4">
        <f ca="1">IFERROR(__xludf.DUMMYFUNCTION("""COMPUTED_VALUE"""),44757)</f>
        <v>44757</v>
      </c>
      <c r="C3704" t="str">
        <f ca="1">IFERROR(__xludf.DUMMYFUNCTION("""COMPUTED_VALUE"""),"ООО ""СпецАвтоТрейд"" 146-СТР от 15.07.2022")</f>
        <v>ООО "СпецАвтоТрейд" 146-СТР от 15.07.2022</v>
      </c>
      <c r="D37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4" t="str">
        <f ca="1">IFERROR(__xludf.DUMMYFUNCTION("""COMPUTED_VALUE"""),"Новый")</f>
        <v>Новый</v>
      </c>
      <c r="G3704" s="68"/>
      <c r="K3704" s="68"/>
    </row>
    <row r="3705" spans="1:11" ht="12.75">
      <c r="A3705" s="69">
        <f ca="1">IFERROR(__xludf.DUMMYFUNCTION("""COMPUTED_VALUE"""),102216)</f>
        <v>102216</v>
      </c>
      <c r="B3705" s="4">
        <f ca="1">IFERROR(__xludf.DUMMYFUNCTION("""COMPUTED_VALUE"""),44757)</f>
        <v>44757</v>
      </c>
      <c r="C3705" t="str">
        <f ca="1">IFERROR(__xludf.DUMMYFUNCTION("""COMPUTED_VALUE"""),"ООО ""СпецАвтоТрейд"" 146-СТР от 15.07.2022")</f>
        <v>ООО "СпецАвтоТрейд" 146-СТР от 15.07.2022</v>
      </c>
      <c r="D37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5" t="str">
        <f ca="1">IFERROR(__xludf.DUMMYFUNCTION("""COMPUTED_VALUE"""),"Новый")</f>
        <v>Новый</v>
      </c>
      <c r="G3705" s="68"/>
      <c r="K3705" s="68"/>
    </row>
    <row r="3706" spans="1:11" ht="12.75">
      <c r="A3706" s="69">
        <f ca="1">IFERROR(__xludf.DUMMYFUNCTION("""COMPUTED_VALUE"""),102217)</f>
        <v>102217</v>
      </c>
      <c r="B3706" s="4">
        <f ca="1">IFERROR(__xludf.DUMMYFUNCTION("""COMPUTED_VALUE"""),44757)</f>
        <v>44757</v>
      </c>
      <c r="C3706" t="str">
        <f ca="1">IFERROR(__xludf.DUMMYFUNCTION("""COMPUTED_VALUE"""),"ООО ""СпецАвтоТрейд"" 146-СТР от 15.07.2022")</f>
        <v>ООО "СпецАвтоТрейд" 146-СТР от 15.07.2022</v>
      </c>
      <c r="D37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6" t="str">
        <f ca="1">IFERROR(__xludf.DUMMYFUNCTION("""COMPUTED_VALUE"""),"Новый")</f>
        <v>Новый</v>
      </c>
      <c r="G3706" s="68"/>
      <c r="K3706" s="68"/>
    </row>
    <row r="3707" spans="1:11" ht="12.75">
      <c r="A3707" s="69">
        <f ca="1">IFERROR(__xludf.DUMMYFUNCTION("""COMPUTED_VALUE"""),102218)</f>
        <v>102218</v>
      </c>
      <c r="B3707" s="4">
        <f ca="1">IFERROR(__xludf.DUMMYFUNCTION("""COMPUTED_VALUE"""),44757)</f>
        <v>44757</v>
      </c>
      <c r="C3707" t="str">
        <f ca="1">IFERROR(__xludf.DUMMYFUNCTION("""COMPUTED_VALUE"""),"ООО ""СпецАвтоТрейд"" 146-СТР от 15.07.2022")</f>
        <v>ООО "СпецАвтоТрейд" 146-СТР от 15.07.2022</v>
      </c>
      <c r="D37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7" t="str">
        <f ca="1">IFERROR(__xludf.DUMMYFUNCTION("""COMPUTED_VALUE"""),"Новый")</f>
        <v>Новый</v>
      </c>
      <c r="G3707" s="68"/>
      <c r="K3707" s="68"/>
    </row>
    <row r="3708" spans="1:11" ht="12.75">
      <c r="A3708" s="69">
        <f ca="1">IFERROR(__xludf.DUMMYFUNCTION("""COMPUTED_VALUE"""),102219)</f>
        <v>102219</v>
      </c>
      <c r="B3708" s="4">
        <f ca="1">IFERROR(__xludf.DUMMYFUNCTION("""COMPUTED_VALUE"""),44757)</f>
        <v>44757</v>
      </c>
      <c r="C3708" t="str">
        <f ca="1">IFERROR(__xludf.DUMMYFUNCTION("""COMPUTED_VALUE"""),"ООО ""СпецАвтоТрейд"" 146-СТР от 15.07.2022")</f>
        <v>ООО "СпецАвтоТрейд" 146-СТР от 15.07.2022</v>
      </c>
      <c r="D37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8" t="str">
        <f ca="1">IFERROR(__xludf.DUMMYFUNCTION("""COMPUTED_VALUE"""),"Новый")</f>
        <v>Новый</v>
      </c>
      <c r="G3708" s="68"/>
      <c r="K3708" s="68"/>
    </row>
    <row r="3709" spans="1:11" ht="12.75">
      <c r="A3709" s="69">
        <f ca="1">IFERROR(__xludf.DUMMYFUNCTION("""COMPUTED_VALUE"""),102220)</f>
        <v>102220</v>
      </c>
      <c r="B3709" s="4">
        <f ca="1">IFERROR(__xludf.DUMMYFUNCTION("""COMPUTED_VALUE"""),44757)</f>
        <v>44757</v>
      </c>
      <c r="C3709" t="str">
        <f ca="1">IFERROR(__xludf.DUMMYFUNCTION("""COMPUTED_VALUE"""),"ООО ""СпецАвтоТрейд"" 146-СТР от 15.07.2022")</f>
        <v>ООО "СпецАвтоТрейд" 146-СТР от 15.07.2022</v>
      </c>
      <c r="D37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09" t="str">
        <f ca="1">IFERROR(__xludf.DUMMYFUNCTION("""COMPUTED_VALUE"""),"Новый")</f>
        <v>Новый</v>
      </c>
      <c r="G3709" s="68"/>
      <c r="K3709" s="68"/>
    </row>
    <row r="3710" spans="1:11" ht="12.75">
      <c r="A3710" s="69">
        <f ca="1">IFERROR(__xludf.DUMMYFUNCTION("""COMPUTED_VALUE"""),102221)</f>
        <v>102221</v>
      </c>
      <c r="B3710" s="4">
        <f ca="1">IFERROR(__xludf.DUMMYFUNCTION("""COMPUTED_VALUE"""),44757)</f>
        <v>44757</v>
      </c>
      <c r="C3710" t="str">
        <f ca="1">IFERROR(__xludf.DUMMYFUNCTION("""COMPUTED_VALUE"""),"ООО ""СпецАвтоТрейд"" 146-СТР от 15.07.2022")</f>
        <v>ООО "СпецАвтоТрейд" 146-СТР от 15.07.2022</v>
      </c>
      <c r="D37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10" t="str">
        <f ca="1">IFERROR(__xludf.DUMMYFUNCTION("""COMPUTED_VALUE"""),"Новый")</f>
        <v>Новый</v>
      </c>
      <c r="G3710" s="68"/>
      <c r="K3710" s="68"/>
    </row>
    <row r="3711" spans="1:11" ht="12.75">
      <c r="A3711" s="69">
        <f ca="1">IFERROR(__xludf.DUMMYFUNCTION("""COMPUTED_VALUE"""),102222)</f>
        <v>102222</v>
      </c>
      <c r="B3711" s="4">
        <f ca="1">IFERROR(__xludf.DUMMYFUNCTION("""COMPUTED_VALUE"""),44757)</f>
        <v>44757</v>
      </c>
      <c r="C3711" t="str">
        <f ca="1">IFERROR(__xludf.DUMMYFUNCTION("""COMPUTED_VALUE"""),"ООО ""СпецАвтоТрейд"" 146-СТР от 15.07.2022")</f>
        <v>ООО "СпецАвтоТрейд" 146-СТР от 15.07.2022</v>
      </c>
      <c r="D37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11" t="str">
        <f ca="1">IFERROR(__xludf.DUMMYFUNCTION("""COMPUTED_VALUE"""),"Новый")</f>
        <v>Новый</v>
      </c>
      <c r="G3711" s="68"/>
      <c r="K3711" s="68"/>
    </row>
    <row r="3712" spans="1:11" ht="12.75">
      <c r="A3712" s="69">
        <f ca="1">IFERROR(__xludf.DUMMYFUNCTION("""COMPUTED_VALUE"""),102223)</f>
        <v>102223</v>
      </c>
      <c r="B3712" s="4">
        <f ca="1">IFERROR(__xludf.DUMMYFUNCTION("""COMPUTED_VALUE"""),44757)</f>
        <v>44757</v>
      </c>
      <c r="C3712" t="str">
        <f ca="1">IFERROR(__xludf.DUMMYFUNCTION("""COMPUTED_VALUE"""),"ООО ""СпецАвтоТрейд"" 146-СТР от 15.07.2022")</f>
        <v>ООО "СпецАвтоТрейд" 146-СТР от 15.07.2022</v>
      </c>
      <c r="D37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12" t="str">
        <f ca="1">IFERROR(__xludf.DUMMYFUNCTION("""COMPUTED_VALUE"""),"Новый")</f>
        <v>Новый</v>
      </c>
      <c r="G3712" s="68"/>
      <c r="K3712" s="68"/>
    </row>
    <row r="3713" spans="1:11" ht="12.75">
      <c r="A3713" s="69">
        <f ca="1">IFERROR(__xludf.DUMMYFUNCTION("""COMPUTED_VALUE"""),102224)</f>
        <v>102224</v>
      </c>
      <c r="B3713" s="4">
        <f ca="1">IFERROR(__xludf.DUMMYFUNCTION("""COMPUTED_VALUE"""),44760)</f>
        <v>44760</v>
      </c>
      <c r="C3713" t="str">
        <f ca="1">IFERROR(__xludf.DUMMYFUNCTION("""COMPUTED_VALUE"""),"БУЗОО ""ГДКБ № 3"" 193-РДО от 18.07.2022")</f>
        <v>БУЗОО "ГДКБ № 3" 193-РДО от 18.07.2022</v>
      </c>
      <c r="D37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3" t="str">
        <f ca="1">IFERROR(__xludf.DUMMYFUNCTION("""COMPUTED_VALUE"""),"Новый")</f>
        <v>Новый</v>
      </c>
      <c r="G3713" s="68"/>
      <c r="K3713" s="68"/>
    </row>
    <row r="3714" spans="1:11" ht="12.75">
      <c r="A3714" s="69">
        <f ca="1">IFERROR(__xludf.DUMMYFUNCTION("""COMPUTED_VALUE"""),102225)</f>
        <v>102225</v>
      </c>
      <c r="B3714" s="4">
        <f ca="1">IFERROR(__xludf.DUMMYFUNCTION("""COMPUTED_VALUE"""),44760)</f>
        <v>44760</v>
      </c>
      <c r="C3714" t="str">
        <f ca="1">IFERROR(__xludf.DUMMYFUNCTION("""COMPUTED_VALUE"""),"БУЗОО ""ГДКБ № 3"" 193-РДО от 18.07.2022")</f>
        <v>БУЗОО "ГДКБ № 3" 193-РДО от 18.07.2022</v>
      </c>
      <c r="D37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4" t="str">
        <f ca="1">IFERROR(__xludf.DUMMYFUNCTION("""COMPUTED_VALUE"""),"Новый")</f>
        <v>Новый</v>
      </c>
      <c r="G3714" s="68"/>
      <c r="K3714" s="68"/>
    </row>
    <row r="3715" spans="1:11" ht="12.75">
      <c r="A3715" s="69">
        <f ca="1">IFERROR(__xludf.DUMMYFUNCTION("""COMPUTED_VALUE"""),102230)</f>
        <v>102230</v>
      </c>
      <c r="B3715" s="4">
        <f ca="1">IFERROR(__xludf.DUMMYFUNCTION("""COMPUTED_VALUE"""),44760)</f>
        <v>44760</v>
      </c>
      <c r="C3715" t="str">
        <f ca="1">IFERROR(__xludf.DUMMYFUNCTION("""COMPUTED_VALUE"""),"БУЗОО ""ГДКБ № 3"" 193-РДО от 18.07.2022")</f>
        <v>БУЗОО "ГДКБ № 3" 193-РДО от 18.07.2022</v>
      </c>
      <c r="D37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5" t="str">
        <f ca="1">IFERROR(__xludf.DUMMYFUNCTION("""COMPUTED_VALUE"""),"Новый")</f>
        <v>Новый</v>
      </c>
      <c r="G3715" s="68"/>
      <c r="K3715" s="68"/>
    </row>
    <row r="3716" spans="1:11" ht="12.75">
      <c r="A3716" s="69">
        <f ca="1">IFERROR(__xludf.DUMMYFUNCTION("""COMPUTED_VALUE"""),102231)</f>
        <v>102231</v>
      </c>
      <c r="B3716" s="4">
        <f ca="1">IFERROR(__xludf.DUMMYFUNCTION("""COMPUTED_VALUE"""),44760)</f>
        <v>44760</v>
      </c>
      <c r="C3716" t="str">
        <f ca="1">IFERROR(__xludf.DUMMYFUNCTION("""COMPUTED_VALUE"""),"БУЗОО ""ГДКБ № 3"" 193-РДО от 18.07.2022")</f>
        <v>БУЗОО "ГДКБ № 3" 193-РДО от 18.07.2022</v>
      </c>
      <c r="D37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6" t="str">
        <f ca="1">IFERROR(__xludf.DUMMYFUNCTION("""COMPUTED_VALUE"""),"Новый")</f>
        <v>Новый</v>
      </c>
      <c r="G3716" s="68"/>
      <c r="K3716" s="68"/>
    </row>
    <row r="3717" spans="1:11" ht="12.75">
      <c r="A3717" s="69">
        <f ca="1">IFERROR(__xludf.DUMMYFUNCTION("""COMPUTED_VALUE"""),102232)</f>
        <v>102232</v>
      </c>
      <c r="B3717" s="4">
        <f ca="1">IFERROR(__xludf.DUMMYFUNCTION("""COMPUTED_VALUE"""),44760)</f>
        <v>44760</v>
      </c>
      <c r="C3717" t="str">
        <f ca="1">IFERROR(__xludf.DUMMYFUNCTION("""COMPUTED_VALUE"""),"БУЗОО ""ГДКБ № 3"" 193-РДО от 18.07.2022")</f>
        <v>БУЗОО "ГДКБ № 3" 193-РДО от 18.07.2022</v>
      </c>
      <c r="D37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7" t="str">
        <f ca="1">IFERROR(__xludf.DUMMYFUNCTION("""COMPUTED_VALUE"""),"Новый")</f>
        <v>Новый</v>
      </c>
      <c r="G3717" s="68"/>
      <c r="K3717" s="68"/>
    </row>
    <row r="3718" spans="1:11" ht="12.75">
      <c r="A3718" s="69">
        <f ca="1">IFERROR(__xludf.DUMMYFUNCTION("""COMPUTED_VALUE"""),102233)</f>
        <v>102233</v>
      </c>
      <c r="B3718" s="4">
        <f ca="1">IFERROR(__xludf.DUMMYFUNCTION("""COMPUTED_VALUE"""),44760)</f>
        <v>44760</v>
      </c>
      <c r="C3718" t="str">
        <f ca="1">IFERROR(__xludf.DUMMYFUNCTION("""COMPUTED_VALUE"""),"БУЗОО ""ГДКБ № 3"" 193-РДО от 18.07.2022")</f>
        <v>БУЗОО "ГДКБ № 3" 193-РДО от 18.07.2022</v>
      </c>
      <c r="D37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8" t="str">
        <f ca="1">IFERROR(__xludf.DUMMYFUNCTION("""COMPUTED_VALUE"""),"Новый")</f>
        <v>Новый</v>
      </c>
      <c r="G3718" s="68"/>
      <c r="K3718" s="68"/>
    </row>
    <row r="3719" spans="1:11" ht="12.75">
      <c r="A3719" s="69">
        <f ca="1">IFERROR(__xludf.DUMMYFUNCTION("""COMPUTED_VALUE"""),102234)</f>
        <v>102234</v>
      </c>
      <c r="B3719" s="4">
        <f ca="1">IFERROR(__xludf.DUMMYFUNCTION("""COMPUTED_VALUE"""),44760)</f>
        <v>44760</v>
      </c>
      <c r="C3719" t="str">
        <f ca="1">IFERROR(__xludf.DUMMYFUNCTION("""COMPUTED_VALUE"""),"БУЗОО ""ГДКБ № 3"" 193-РДО от 18.07.2022")</f>
        <v>БУЗОО "ГДКБ № 3" 193-РДО от 18.07.2022</v>
      </c>
      <c r="D37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19" t="str">
        <f ca="1">IFERROR(__xludf.DUMMYFUNCTION("""COMPUTED_VALUE"""),"Новый")</f>
        <v>Новый</v>
      </c>
      <c r="G3719" s="68"/>
      <c r="K3719" s="68"/>
    </row>
    <row r="3720" spans="1:11" ht="12.75">
      <c r="A3720" s="69">
        <f ca="1">IFERROR(__xludf.DUMMYFUNCTION("""COMPUTED_VALUE"""),102235)</f>
        <v>102235</v>
      </c>
      <c r="B3720" s="4">
        <f ca="1">IFERROR(__xludf.DUMMYFUNCTION("""COMPUTED_VALUE"""),44760)</f>
        <v>44760</v>
      </c>
      <c r="C3720" t="str">
        <f ca="1">IFERROR(__xludf.DUMMYFUNCTION("""COMPUTED_VALUE"""),"БУЗОО ""ГДКБ № 3"" 193-РДО от 18.07.2022")</f>
        <v>БУЗОО "ГДКБ № 3" 193-РДО от 18.07.2022</v>
      </c>
      <c r="D37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0" t="str">
        <f ca="1">IFERROR(__xludf.DUMMYFUNCTION("""COMPUTED_VALUE"""),"Новый")</f>
        <v>Новый</v>
      </c>
      <c r="G3720" s="68"/>
      <c r="K3720" s="68"/>
    </row>
    <row r="3721" spans="1:11" ht="12.75">
      <c r="A3721" s="69">
        <f ca="1">IFERROR(__xludf.DUMMYFUNCTION("""COMPUTED_VALUE"""),102236)</f>
        <v>102236</v>
      </c>
      <c r="B3721" s="4">
        <f ca="1">IFERROR(__xludf.DUMMYFUNCTION("""COMPUTED_VALUE"""),44760)</f>
        <v>44760</v>
      </c>
      <c r="C3721" t="str">
        <f ca="1">IFERROR(__xludf.DUMMYFUNCTION("""COMPUTED_VALUE"""),"БУЗОО ""ГДКБ № 3"" 193-РДО от 18.07.2022")</f>
        <v>БУЗОО "ГДКБ № 3" 193-РДО от 18.07.2022</v>
      </c>
      <c r="D37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1" t="str">
        <f ca="1">IFERROR(__xludf.DUMMYFUNCTION("""COMPUTED_VALUE"""),"Новый")</f>
        <v>Новый</v>
      </c>
      <c r="G3721" s="68"/>
      <c r="K3721" s="68"/>
    </row>
    <row r="3722" spans="1:11" ht="12.75">
      <c r="A3722" s="69">
        <f ca="1">IFERROR(__xludf.DUMMYFUNCTION("""COMPUTED_VALUE"""),102237)</f>
        <v>102237</v>
      </c>
      <c r="B3722" s="4">
        <f ca="1">IFERROR(__xludf.DUMMYFUNCTION("""COMPUTED_VALUE"""),44760)</f>
        <v>44760</v>
      </c>
      <c r="C3722" t="str">
        <f ca="1">IFERROR(__xludf.DUMMYFUNCTION("""COMPUTED_VALUE"""),"БУЗОО ""ГДКБ № 3"" 193-РДО от 18.07.2022")</f>
        <v>БУЗОО "ГДКБ № 3" 193-РДО от 18.07.2022</v>
      </c>
      <c r="D37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2" t="str">
        <f ca="1">IFERROR(__xludf.DUMMYFUNCTION("""COMPUTED_VALUE"""),"Новый")</f>
        <v>Новый</v>
      </c>
      <c r="G3722" s="68"/>
      <c r="K3722" s="68"/>
    </row>
    <row r="3723" spans="1:11" ht="12.75">
      <c r="A3723" s="69">
        <f ca="1">IFERROR(__xludf.DUMMYFUNCTION("""COMPUTED_VALUE"""),102238)</f>
        <v>102238</v>
      </c>
      <c r="B3723" s="4">
        <f ca="1">IFERROR(__xludf.DUMMYFUNCTION("""COMPUTED_VALUE"""),44760)</f>
        <v>44760</v>
      </c>
      <c r="C3723" t="str">
        <f ca="1">IFERROR(__xludf.DUMMYFUNCTION("""COMPUTED_VALUE"""),"БУЗОО ""ГДКБ № 3"" 193-РДО от 18.07.2022")</f>
        <v>БУЗОО "ГДКБ № 3" 193-РДО от 18.07.2022</v>
      </c>
      <c r="D37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3" t="str">
        <f ca="1">IFERROR(__xludf.DUMMYFUNCTION("""COMPUTED_VALUE"""),"Новый")</f>
        <v>Новый</v>
      </c>
      <c r="G3723" s="68"/>
      <c r="K3723" s="68"/>
    </row>
    <row r="3724" spans="1:11" ht="12.75">
      <c r="A3724" s="69">
        <f ca="1">IFERROR(__xludf.DUMMYFUNCTION("""COMPUTED_VALUE"""),102239)</f>
        <v>102239</v>
      </c>
      <c r="B3724" s="4">
        <f ca="1">IFERROR(__xludf.DUMMYFUNCTION("""COMPUTED_VALUE"""),44760)</f>
        <v>44760</v>
      </c>
      <c r="C3724" t="str">
        <f ca="1">IFERROR(__xludf.DUMMYFUNCTION("""COMPUTED_VALUE"""),"БУЗОО ""ГДКБ № 3"" 193-РДО от 18.07.2022")</f>
        <v>БУЗОО "ГДКБ № 3" 193-РДО от 18.07.2022</v>
      </c>
      <c r="D37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4" t="str">
        <f ca="1">IFERROR(__xludf.DUMMYFUNCTION("""COMPUTED_VALUE"""),"Новый")</f>
        <v>Новый</v>
      </c>
      <c r="G3724" s="68"/>
      <c r="K3724" s="68"/>
    </row>
    <row r="3725" spans="1:11" ht="12.75">
      <c r="A3725" s="69">
        <f ca="1">IFERROR(__xludf.DUMMYFUNCTION("""COMPUTED_VALUE"""),102240)</f>
        <v>102240</v>
      </c>
      <c r="B3725" s="4">
        <f ca="1">IFERROR(__xludf.DUMMYFUNCTION("""COMPUTED_VALUE"""),44760)</f>
        <v>44760</v>
      </c>
      <c r="C3725" t="str">
        <f ca="1">IFERROR(__xludf.DUMMYFUNCTION("""COMPUTED_VALUE"""),"БУЗОО ""ГДКБ № 3"" 193-РДО от 18.07.2022")</f>
        <v>БУЗОО "ГДКБ № 3" 193-РДО от 18.07.2022</v>
      </c>
      <c r="D37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5" t="str">
        <f ca="1">IFERROR(__xludf.DUMMYFUNCTION("""COMPUTED_VALUE"""),"Новый")</f>
        <v>Новый</v>
      </c>
      <c r="G3725" s="68"/>
      <c r="K3725" s="68"/>
    </row>
    <row r="3726" spans="1:11" ht="12.75">
      <c r="A3726" s="69">
        <f ca="1">IFERROR(__xludf.DUMMYFUNCTION("""COMPUTED_VALUE"""),102241)</f>
        <v>102241</v>
      </c>
      <c r="B3726" s="4">
        <f ca="1">IFERROR(__xludf.DUMMYFUNCTION("""COMPUTED_VALUE"""),44760)</f>
        <v>44760</v>
      </c>
      <c r="C3726" t="str">
        <f ca="1">IFERROR(__xludf.DUMMYFUNCTION("""COMPUTED_VALUE"""),"БУЗОО ""ГДКБ № 3"" 193-РДО от 18.07.2022")</f>
        <v>БУЗОО "ГДКБ № 3" 193-РДО от 18.07.2022</v>
      </c>
      <c r="D37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6" t="str">
        <f ca="1">IFERROR(__xludf.DUMMYFUNCTION("""COMPUTED_VALUE"""),"Новый")</f>
        <v>Новый</v>
      </c>
      <c r="G3726" s="68"/>
      <c r="K3726" s="68"/>
    </row>
    <row r="3727" spans="1:11" ht="12.75">
      <c r="A3727" s="69">
        <f ca="1">IFERROR(__xludf.DUMMYFUNCTION("""COMPUTED_VALUE"""),102242)</f>
        <v>102242</v>
      </c>
      <c r="B3727" s="4">
        <f ca="1">IFERROR(__xludf.DUMMYFUNCTION("""COMPUTED_VALUE"""),44760)</f>
        <v>44760</v>
      </c>
      <c r="C3727" t="str">
        <f ca="1">IFERROR(__xludf.DUMMYFUNCTION("""COMPUTED_VALUE"""),"БУЗОО ""ГДКБ № 3"" 193-РДО от 18.07.2022")</f>
        <v>БУЗОО "ГДКБ № 3" 193-РДО от 18.07.2022</v>
      </c>
      <c r="D37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7" t="str">
        <f ca="1">IFERROR(__xludf.DUMMYFUNCTION("""COMPUTED_VALUE"""),"Новый")</f>
        <v>Новый</v>
      </c>
      <c r="G3727" s="68"/>
      <c r="K3727" s="68"/>
    </row>
    <row r="3728" spans="1:11" ht="12.75">
      <c r="A3728" s="69">
        <f ca="1">IFERROR(__xludf.DUMMYFUNCTION("""COMPUTED_VALUE"""),102243)</f>
        <v>102243</v>
      </c>
      <c r="B3728" s="4">
        <f ca="1">IFERROR(__xludf.DUMMYFUNCTION("""COMPUTED_VALUE"""),44760)</f>
        <v>44760</v>
      </c>
      <c r="C3728" t="str">
        <f ca="1">IFERROR(__xludf.DUMMYFUNCTION("""COMPUTED_VALUE"""),"БУЗОО ""ГДКБ № 3"" 193-РДО от 18.07.2022")</f>
        <v>БУЗОО "ГДКБ № 3" 193-РДО от 18.07.2022</v>
      </c>
      <c r="D37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28" t="str">
        <f ca="1">IFERROR(__xludf.DUMMYFUNCTION("""COMPUTED_VALUE"""),"Новый")</f>
        <v>Новый</v>
      </c>
      <c r="G3728" s="68"/>
      <c r="K3728" s="68"/>
    </row>
    <row r="3729" spans="1:11" ht="12.75">
      <c r="A3729" s="69">
        <f ca="1">IFERROR(__xludf.DUMMYFUNCTION("""COMPUTED_VALUE"""),102248)</f>
        <v>102248</v>
      </c>
      <c r="B3729" s="4">
        <f ca="1">IFERROR(__xludf.DUMMYFUNCTION("""COMPUTED_VALUE"""),44760)</f>
        <v>44760</v>
      </c>
      <c r="C3729" t="str">
        <f ca="1">IFERROR(__xludf.DUMMYFUNCTION("""COMPUTED_VALUE"""),"ООО ""Транссервис""")</f>
        <v>ООО "Транссервис"</v>
      </c>
      <c r="D37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29" t="str">
        <f ca="1">IFERROR(__xludf.DUMMYFUNCTION("""COMPUTED_VALUE"""),"Новый")</f>
        <v>Новый</v>
      </c>
      <c r="G3729" s="68"/>
      <c r="K3729" s="68"/>
    </row>
    <row r="3730" spans="1:11" ht="12.75">
      <c r="A3730" s="69">
        <f ca="1">IFERROR(__xludf.DUMMYFUNCTION("""COMPUTED_VALUE"""),102249)</f>
        <v>102249</v>
      </c>
      <c r="B3730" s="4">
        <f ca="1">IFERROR(__xludf.DUMMYFUNCTION("""COMPUTED_VALUE"""),44760)</f>
        <v>44760</v>
      </c>
      <c r="C3730" t="str">
        <f ca="1">IFERROR(__xludf.DUMMYFUNCTION("""COMPUTED_VALUE"""),"ООО ""Транссервис""")</f>
        <v>ООО "Транссервис"</v>
      </c>
      <c r="D37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0" t="str">
        <f ca="1">IFERROR(__xludf.DUMMYFUNCTION("""COMPUTED_VALUE"""),"Новый")</f>
        <v>Новый</v>
      </c>
      <c r="G3730" s="68"/>
      <c r="K3730" s="68"/>
    </row>
    <row r="3731" spans="1:11" ht="12.75">
      <c r="A3731" s="69">
        <f ca="1">IFERROR(__xludf.DUMMYFUNCTION("""COMPUTED_VALUE"""),102253)</f>
        <v>102253</v>
      </c>
      <c r="B3731" s="4">
        <f ca="1">IFERROR(__xludf.DUMMYFUNCTION("""COMPUTED_VALUE"""),44761)</f>
        <v>44761</v>
      </c>
      <c r="C3731" t="str">
        <f ca="1">IFERROR(__xludf.DUMMYFUNCTION("""COMPUTED_VALUE"""),"ООО ""ИНТЕРСТРОЙ"" 147-СТР от 19.07.2022")</f>
        <v>ООО "ИНТЕРСТРОЙ" 147-СТР от 19.07.2022</v>
      </c>
      <c r="D37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1" t="str">
        <f ca="1">IFERROR(__xludf.DUMMYFUNCTION("""COMPUTED_VALUE"""),"Новый")</f>
        <v>Новый</v>
      </c>
      <c r="G3731" s="68"/>
      <c r="K3731" s="68"/>
    </row>
    <row r="3732" spans="1:11" ht="12.75">
      <c r="A3732" s="69">
        <f ca="1">IFERROR(__xludf.DUMMYFUNCTION("""COMPUTED_VALUE"""),102256)</f>
        <v>102256</v>
      </c>
      <c r="B3732" s="4">
        <f ca="1">IFERROR(__xludf.DUMMYFUNCTION("""COMPUTED_VALUE"""),44761)</f>
        <v>44761</v>
      </c>
      <c r="C3732" t="str">
        <f ca="1">IFERROR(__xludf.DUMMYFUNCTION("""COMPUTED_VALUE"""),"ООО ""ИНТЕРСТРОЙ"" 147-СТР от 19.07.2022")</f>
        <v>ООО "ИНТЕРСТРОЙ" 147-СТР от 19.07.2022</v>
      </c>
      <c r="D37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2" t="str">
        <f ca="1">IFERROR(__xludf.DUMMYFUNCTION("""COMPUTED_VALUE"""),"Новый")</f>
        <v>Новый</v>
      </c>
      <c r="G3732" s="68"/>
      <c r="K3732" s="68"/>
    </row>
    <row r="3733" spans="1:11" ht="12.75">
      <c r="A3733" s="69">
        <f ca="1">IFERROR(__xludf.DUMMYFUNCTION("""COMPUTED_VALUE"""),102257)</f>
        <v>102257</v>
      </c>
      <c r="B3733" s="4">
        <f ca="1">IFERROR(__xludf.DUMMYFUNCTION("""COMPUTED_VALUE"""),44761)</f>
        <v>44761</v>
      </c>
      <c r="C3733" t="str">
        <f ca="1">IFERROR(__xludf.DUMMYFUNCTION("""COMPUTED_VALUE"""),"ООО ""ИНТЕРСТРОЙ"" 147-СТР от 19.07.2022")</f>
        <v>ООО "ИНТЕРСТРОЙ" 147-СТР от 19.07.2022</v>
      </c>
      <c r="D37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3" t="str">
        <f ca="1">IFERROR(__xludf.DUMMYFUNCTION("""COMPUTED_VALUE"""),"Новый")</f>
        <v>Новый</v>
      </c>
      <c r="G3733" s="68"/>
      <c r="K3733" s="68"/>
    </row>
    <row r="3734" spans="1:11" ht="12.75">
      <c r="A3734" s="69">
        <f ca="1">IFERROR(__xludf.DUMMYFUNCTION("""COMPUTED_VALUE"""),102258)</f>
        <v>102258</v>
      </c>
      <c r="B3734" s="4">
        <f ca="1">IFERROR(__xludf.DUMMYFUNCTION("""COMPUTED_VALUE"""),44761)</f>
        <v>44761</v>
      </c>
      <c r="C3734" t="str">
        <f ca="1">IFERROR(__xludf.DUMMYFUNCTION("""COMPUTED_VALUE"""),"ООО ""ИНТЕРСТРОЙ"" 147-СТР от 19.07.2022")</f>
        <v>ООО "ИНТЕРСТРОЙ" 147-СТР от 19.07.2022</v>
      </c>
      <c r="D37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4" t="str">
        <f ca="1">IFERROR(__xludf.DUMMYFUNCTION("""COMPUTED_VALUE"""),"Новый")</f>
        <v>Новый</v>
      </c>
      <c r="G3734" s="68"/>
      <c r="K3734" s="68"/>
    </row>
    <row r="3735" spans="1:11" ht="12.75">
      <c r="A3735" s="69">
        <f ca="1">IFERROR(__xludf.DUMMYFUNCTION("""COMPUTED_VALUE"""),102259)</f>
        <v>102259</v>
      </c>
      <c r="B3735" s="4">
        <f ca="1">IFERROR(__xludf.DUMMYFUNCTION("""COMPUTED_VALUE"""),44761)</f>
        <v>44761</v>
      </c>
      <c r="C3735" t="str">
        <f ca="1">IFERROR(__xludf.DUMMYFUNCTION("""COMPUTED_VALUE"""),"ООО ""ИНТЕРСТРОЙ"" 147-СТР от 19.07.2022")</f>
        <v>ООО "ИНТЕРСТРОЙ" 147-СТР от 19.07.2022</v>
      </c>
      <c r="D37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5" t="str">
        <f ca="1">IFERROR(__xludf.DUMMYFUNCTION("""COMPUTED_VALUE"""),"Новый")</f>
        <v>Новый</v>
      </c>
      <c r="G3735" s="68"/>
      <c r="K3735" s="68"/>
    </row>
    <row r="3736" spans="1:11" ht="12.75">
      <c r="A3736" s="69">
        <f ca="1">IFERROR(__xludf.DUMMYFUNCTION("""COMPUTED_VALUE"""),102260)</f>
        <v>102260</v>
      </c>
      <c r="B3736" s="4">
        <f ca="1">IFERROR(__xludf.DUMMYFUNCTION("""COMPUTED_VALUE"""),44761)</f>
        <v>44761</v>
      </c>
      <c r="C3736" t="str">
        <f ca="1">IFERROR(__xludf.DUMMYFUNCTION("""COMPUTED_VALUE"""),"ООО ""ИНТЕРСТРОЙ"" 147-СТР от 19.07.2022")</f>
        <v>ООО "ИНТЕРСТРОЙ" 147-СТР от 19.07.2022</v>
      </c>
      <c r="D37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6" t="str">
        <f ca="1">IFERROR(__xludf.DUMMYFUNCTION("""COMPUTED_VALUE"""),"Новый")</f>
        <v>Новый</v>
      </c>
      <c r="G3736" s="68"/>
      <c r="K3736" s="68"/>
    </row>
    <row r="3737" spans="1:11" ht="12.75">
      <c r="A3737" s="69">
        <f ca="1">IFERROR(__xludf.DUMMYFUNCTION("""COMPUTED_VALUE"""),102261)</f>
        <v>102261</v>
      </c>
      <c r="B3737" s="4">
        <f ca="1">IFERROR(__xludf.DUMMYFUNCTION("""COMPUTED_VALUE"""),44761)</f>
        <v>44761</v>
      </c>
      <c r="C3737" t="str">
        <f ca="1">IFERROR(__xludf.DUMMYFUNCTION("""COMPUTED_VALUE"""),"ООО ""ИНТЕРСТРОЙ"" 147-СТР от 19.07.2022")</f>
        <v>ООО "ИНТЕРСТРОЙ" 147-СТР от 19.07.2022</v>
      </c>
      <c r="D37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7" t="str">
        <f ca="1">IFERROR(__xludf.DUMMYFUNCTION("""COMPUTED_VALUE"""),"Новый")</f>
        <v>Новый</v>
      </c>
      <c r="G3737" s="68"/>
      <c r="K3737" s="68"/>
    </row>
    <row r="3738" spans="1:11" ht="12.75">
      <c r="A3738" s="69">
        <f ca="1">IFERROR(__xludf.DUMMYFUNCTION("""COMPUTED_VALUE"""),102262)</f>
        <v>102262</v>
      </c>
      <c r="B3738" s="4">
        <f ca="1">IFERROR(__xludf.DUMMYFUNCTION("""COMPUTED_VALUE"""),44761)</f>
        <v>44761</v>
      </c>
      <c r="C3738" t="str">
        <f ca="1">IFERROR(__xludf.DUMMYFUNCTION("""COMPUTED_VALUE"""),"ООО ""ИНТЕРСТРОЙ"" 147-СТР от 19.07.2022")</f>
        <v>ООО "ИНТЕРСТРОЙ" 147-СТР от 19.07.2022</v>
      </c>
      <c r="D37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8" t="str">
        <f ca="1">IFERROR(__xludf.DUMMYFUNCTION("""COMPUTED_VALUE"""),"Новый")</f>
        <v>Новый</v>
      </c>
      <c r="G3738" s="68"/>
      <c r="K3738" s="68"/>
    </row>
    <row r="3739" spans="1:11" ht="12.75">
      <c r="A3739" s="69">
        <f ca="1">IFERROR(__xludf.DUMMYFUNCTION("""COMPUTED_VALUE"""),102263)</f>
        <v>102263</v>
      </c>
      <c r="B3739" s="4">
        <f ca="1">IFERROR(__xludf.DUMMYFUNCTION("""COMPUTED_VALUE"""),44761)</f>
        <v>44761</v>
      </c>
      <c r="C3739" t="str">
        <f ca="1">IFERROR(__xludf.DUMMYFUNCTION("""COMPUTED_VALUE"""),"ООО ""ИНТЕРСТРОЙ"" 147-СТР от 19.07.2022")</f>
        <v>ООО "ИНТЕРСТРОЙ" 147-СТР от 19.07.2022</v>
      </c>
      <c r="D37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39" t="str">
        <f ca="1">IFERROR(__xludf.DUMMYFUNCTION("""COMPUTED_VALUE"""),"Новый")</f>
        <v>Новый</v>
      </c>
      <c r="G3739" s="68"/>
      <c r="K3739" s="68"/>
    </row>
    <row r="3740" spans="1:11" ht="12.75">
      <c r="A3740" s="69">
        <f ca="1">IFERROR(__xludf.DUMMYFUNCTION("""COMPUTED_VALUE"""),102264)</f>
        <v>102264</v>
      </c>
      <c r="B3740" s="4">
        <f ca="1">IFERROR(__xludf.DUMMYFUNCTION("""COMPUTED_VALUE"""),44761)</f>
        <v>44761</v>
      </c>
      <c r="C3740" t="str">
        <f ca="1">IFERROR(__xludf.DUMMYFUNCTION("""COMPUTED_VALUE"""),"ООО ""ИНТЕРСТРОЙ"" 147-СТР от 19.07.2022")</f>
        <v>ООО "ИНТЕРСТРОЙ" 147-СТР от 19.07.2022</v>
      </c>
      <c r="D37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0" t="str">
        <f ca="1">IFERROR(__xludf.DUMMYFUNCTION("""COMPUTED_VALUE"""),"Новый")</f>
        <v>Новый</v>
      </c>
      <c r="G3740" s="68"/>
      <c r="K3740" s="68"/>
    </row>
    <row r="3741" spans="1:11" ht="12.75">
      <c r="A3741" s="69">
        <f ca="1">IFERROR(__xludf.DUMMYFUNCTION("""COMPUTED_VALUE"""),102265)</f>
        <v>102265</v>
      </c>
      <c r="B3741" s="4">
        <f ca="1">IFERROR(__xludf.DUMMYFUNCTION("""COMPUTED_VALUE"""),44761)</f>
        <v>44761</v>
      </c>
      <c r="C3741" t="str">
        <f ca="1">IFERROR(__xludf.DUMMYFUNCTION("""COMPUTED_VALUE"""),"ООО ""ИНТЕРСТРОЙ"" 147-СТР от 19.07.2022")</f>
        <v>ООО "ИНТЕРСТРОЙ" 147-СТР от 19.07.2022</v>
      </c>
      <c r="D37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1" t="str">
        <f ca="1">IFERROR(__xludf.DUMMYFUNCTION("""COMPUTED_VALUE"""),"Новый")</f>
        <v>Новый</v>
      </c>
      <c r="G3741" s="68"/>
      <c r="K3741" s="68"/>
    </row>
    <row r="3742" spans="1:11" ht="12.75">
      <c r="A3742" s="69">
        <f ca="1">IFERROR(__xludf.DUMMYFUNCTION("""COMPUTED_VALUE"""),102266)</f>
        <v>102266</v>
      </c>
      <c r="B3742" s="4">
        <f ca="1">IFERROR(__xludf.DUMMYFUNCTION("""COMPUTED_VALUE"""),44761)</f>
        <v>44761</v>
      </c>
      <c r="C3742" t="str">
        <f ca="1">IFERROR(__xludf.DUMMYFUNCTION("""COMPUTED_VALUE"""),"ООО ""ИНТЕРСТРОЙ"" 147-СТР от 19.07.2022")</f>
        <v>ООО "ИНТЕРСТРОЙ" 147-СТР от 19.07.2022</v>
      </c>
      <c r="D37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2" t="str">
        <f ca="1">IFERROR(__xludf.DUMMYFUNCTION("""COMPUTED_VALUE"""),"Новый")</f>
        <v>Новый</v>
      </c>
      <c r="G3742" s="68"/>
      <c r="K3742" s="68"/>
    </row>
    <row r="3743" spans="1:11" ht="12.75">
      <c r="A3743" s="69">
        <f ca="1">IFERROR(__xludf.DUMMYFUNCTION("""COMPUTED_VALUE"""),102267)</f>
        <v>102267</v>
      </c>
      <c r="B3743" s="4">
        <f ca="1">IFERROR(__xludf.DUMMYFUNCTION("""COMPUTED_VALUE"""),44761)</f>
        <v>44761</v>
      </c>
      <c r="C3743" t="str">
        <f ca="1">IFERROR(__xludf.DUMMYFUNCTION("""COMPUTED_VALUE"""),"ООО ""ИНТЕРСТРОЙ"" 147-СТР от 19.07.2022")</f>
        <v>ООО "ИНТЕРСТРОЙ" 147-СТР от 19.07.2022</v>
      </c>
      <c r="D37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3" t="str">
        <f ca="1">IFERROR(__xludf.DUMMYFUNCTION("""COMPUTED_VALUE"""),"Новый")</f>
        <v>Новый</v>
      </c>
      <c r="G3743" s="68"/>
      <c r="K3743" s="68"/>
    </row>
    <row r="3744" spans="1:11" ht="12.75">
      <c r="A3744" s="69">
        <f ca="1">IFERROR(__xludf.DUMMYFUNCTION("""COMPUTED_VALUE"""),102268)</f>
        <v>102268</v>
      </c>
      <c r="B3744" s="4">
        <f ca="1">IFERROR(__xludf.DUMMYFUNCTION("""COMPUTED_VALUE"""),44761)</f>
        <v>44761</v>
      </c>
      <c r="C3744" t="str">
        <f ca="1">IFERROR(__xludf.DUMMYFUNCTION("""COMPUTED_VALUE"""),"ООО ""ИНТЕРСТРОЙ"" 147-СТР от 19.07.2022")</f>
        <v>ООО "ИНТЕРСТРОЙ" 147-СТР от 19.07.2022</v>
      </c>
      <c r="D37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4" t="str">
        <f ca="1">IFERROR(__xludf.DUMMYFUNCTION("""COMPUTED_VALUE"""),"Новый")</f>
        <v>Новый</v>
      </c>
      <c r="G3744" s="68"/>
      <c r="K3744" s="68"/>
    </row>
    <row r="3745" spans="1:11" ht="12.75">
      <c r="A3745" s="69">
        <f ca="1">IFERROR(__xludf.DUMMYFUNCTION("""COMPUTED_VALUE"""),102269)</f>
        <v>102269</v>
      </c>
      <c r="B3745" s="4">
        <f ca="1">IFERROR(__xludf.DUMMYFUNCTION("""COMPUTED_VALUE"""),44761)</f>
        <v>44761</v>
      </c>
      <c r="C3745" t="str">
        <f ca="1">IFERROR(__xludf.DUMMYFUNCTION("""COMPUTED_VALUE"""),"ООО ""ИНТЕРСТРОЙ"" 147-СТР от 19.07.2022")</f>
        <v>ООО "ИНТЕРСТРОЙ" 147-СТР от 19.07.2022</v>
      </c>
      <c r="D37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5" t="str">
        <f ca="1">IFERROR(__xludf.DUMMYFUNCTION("""COMPUTED_VALUE"""),"Новый")</f>
        <v>Новый</v>
      </c>
      <c r="G3745" s="68"/>
      <c r="K3745" s="68"/>
    </row>
    <row r="3746" spans="1:11" ht="12.75">
      <c r="A3746" s="69">
        <f ca="1">IFERROR(__xludf.DUMMYFUNCTION("""COMPUTED_VALUE"""),102316)</f>
        <v>102316</v>
      </c>
      <c r="B3746" s="4">
        <f ca="1">IFERROR(__xludf.DUMMYFUNCTION("""COMPUTED_VALUE"""),44762)</f>
        <v>44762</v>
      </c>
      <c r="C3746" t="str">
        <f ca="1">IFERROR(__xludf.DUMMYFUNCTION("""COMPUTED_VALUE"""),"ПАО ""ОНХП"" 95-СТР от 05.07.2021")</f>
        <v>ПАО "ОНХП" 95-СТР от 05.07.2021</v>
      </c>
      <c r="D37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6" t="str">
        <f ca="1">IFERROR(__xludf.DUMMYFUNCTION("""COMPUTED_VALUE"""),"Новый")</f>
        <v>Новый</v>
      </c>
      <c r="G3746" s="68"/>
      <c r="K3746" s="68"/>
    </row>
    <row r="3747" spans="1:11" ht="12.75">
      <c r="A3747" s="69">
        <f ca="1">IFERROR(__xludf.DUMMYFUNCTION("""COMPUTED_VALUE"""),102317)</f>
        <v>102317</v>
      </c>
      <c r="B3747" s="4">
        <f ca="1">IFERROR(__xludf.DUMMYFUNCTION("""COMPUTED_VALUE"""),44762)</f>
        <v>44762</v>
      </c>
      <c r="C3747" t="str">
        <f ca="1">IFERROR(__xludf.DUMMYFUNCTION("""COMPUTED_VALUE"""),"ПАО ""ОНХП"" 95-СТР от 05.07.2021")</f>
        <v>ПАО "ОНХП" 95-СТР от 05.07.2021</v>
      </c>
      <c r="D37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7" t="str">
        <f ca="1">IFERROR(__xludf.DUMMYFUNCTION("""COMPUTED_VALUE"""),"Новый")</f>
        <v>Новый</v>
      </c>
      <c r="G3747" s="68"/>
      <c r="K3747" s="68"/>
    </row>
    <row r="3748" spans="1:11" ht="12.75">
      <c r="A3748" s="69">
        <f ca="1">IFERROR(__xludf.DUMMYFUNCTION("""COMPUTED_VALUE"""),102318)</f>
        <v>102318</v>
      </c>
      <c r="B3748" s="4">
        <f ca="1">IFERROR(__xludf.DUMMYFUNCTION("""COMPUTED_VALUE"""),44762)</f>
        <v>44762</v>
      </c>
      <c r="C3748" t="str">
        <f ca="1">IFERROR(__xludf.DUMMYFUNCTION("""COMPUTED_VALUE"""),"ПАО ""ОНХП"" 95-СТР от 05.07.2021")</f>
        <v>ПАО "ОНХП" 95-СТР от 05.07.2021</v>
      </c>
      <c r="D37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8" t="str">
        <f ca="1">IFERROR(__xludf.DUMMYFUNCTION("""COMPUTED_VALUE"""),"Новый")</f>
        <v>Новый</v>
      </c>
      <c r="G3748" s="68"/>
      <c r="K3748" s="68"/>
    </row>
    <row r="3749" spans="1:11" ht="12.75">
      <c r="A3749" s="69">
        <f ca="1">IFERROR(__xludf.DUMMYFUNCTION("""COMPUTED_VALUE"""),102319)</f>
        <v>102319</v>
      </c>
      <c r="B3749" s="4">
        <f ca="1">IFERROR(__xludf.DUMMYFUNCTION("""COMPUTED_VALUE"""),44762)</f>
        <v>44762</v>
      </c>
      <c r="C3749" t="str">
        <f ca="1">IFERROR(__xludf.DUMMYFUNCTION("""COMPUTED_VALUE"""),"ПАО ""ОНХП"" 95-СТР от 05.07.2021")</f>
        <v>ПАО "ОНХП" 95-СТР от 05.07.2021</v>
      </c>
      <c r="D37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49" t="str">
        <f ca="1">IFERROR(__xludf.DUMMYFUNCTION("""COMPUTED_VALUE"""),"Новый")</f>
        <v>Новый</v>
      </c>
      <c r="G3749" s="68"/>
      <c r="K3749" s="68"/>
    </row>
    <row r="3750" spans="1:11" ht="12.75">
      <c r="A3750" s="69">
        <f ca="1">IFERROR(__xludf.DUMMYFUNCTION("""COMPUTED_VALUE"""),102320)</f>
        <v>102320</v>
      </c>
      <c r="B3750" s="4">
        <f ca="1">IFERROR(__xludf.DUMMYFUNCTION("""COMPUTED_VALUE"""),44762)</f>
        <v>44762</v>
      </c>
      <c r="C3750" t="str">
        <f ca="1">IFERROR(__xludf.DUMMYFUNCTION("""COMPUTED_VALUE"""),"ПАО ""ОНХП"" 95-СТР от 05.07.2021")</f>
        <v>ПАО "ОНХП" 95-СТР от 05.07.2021</v>
      </c>
      <c r="D37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0" t="str">
        <f ca="1">IFERROR(__xludf.DUMMYFUNCTION("""COMPUTED_VALUE"""),"Новый")</f>
        <v>Новый</v>
      </c>
      <c r="G3750" s="68"/>
      <c r="K3750" s="68"/>
    </row>
    <row r="3751" spans="1:11" ht="12.75">
      <c r="A3751" s="69">
        <f ca="1">IFERROR(__xludf.DUMMYFUNCTION("""COMPUTED_VALUE"""),102321)</f>
        <v>102321</v>
      </c>
      <c r="B3751" s="4">
        <f ca="1">IFERROR(__xludf.DUMMYFUNCTION("""COMPUTED_VALUE"""),44762)</f>
        <v>44762</v>
      </c>
      <c r="C3751" t="str">
        <f ca="1">IFERROR(__xludf.DUMMYFUNCTION("""COMPUTED_VALUE"""),"ПАО ""ОНХП"" 95-СТР от 05.07.2021")</f>
        <v>ПАО "ОНХП" 95-СТР от 05.07.2021</v>
      </c>
      <c r="D37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1" t="str">
        <f ca="1">IFERROR(__xludf.DUMMYFUNCTION("""COMPUTED_VALUE"""),"Новый")</f>
        <v>Новый</v>
      </c>
      <c r="G3751" s="68"/>
      <c r="K3751" s="68"/>
    </row>
    <row r="3752" spans="1:11" ht="12.75">
      <c r="A3752" s="69">
        <f ca="1">IFERROR(__xludf.DUMMYFUNCTION("""COMPUTED_VALUE"""),102324)</f>
        <v>102324</v>
      </c>
      <c r="B3752" s="4">
        <f ca="1">IFERROR(__xludf.DUMMYFUNCTION("""COMPUTED_VALUE"""),44762)</f>
        <v>44762</v>
      </c>
      <c r="C3752" t="str">
        <f ca="1">IFERROR(__xludf.DUMMYFUNCTION("""COMPUTED_VALUE"""),"ПАО ""ОНХП"" 95-СТР от 05.07.2021")</f>
        <v>ПАО "ОНХП" 95-СТР от 05.07.2021</v>
      </c>
      <c r="D37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2" t="str">
        <f ca="1">IFERROR(__xludf.DUMMYFUNCTION("""COMPUTED_VALUE"""),"Новый")</f>
        <v>Новый</v>
      </c>
      <c r="G3752" s="68"/>
      <c r="K3752" s="68"/>
    </row>
    <row r="3753" spans="1:11" ht="12.75">
      <c r="A3753" s="69">
        <f ca="1">IFERROR(__xludf.DUMMYFUNCTION("""COMPUTED_VALUE"""),102325)</f>
        <v>102325</v>
      </c>
      <c r="B3753" s="4">
        <f ca="1">IFERROR(__xludf.DUMMYFUNCTION("""COMPUTED_VALUE"""),44762)</f>
        <v>44762</v>
      </c>
      <c r="C3753" t="str">
        <f ca="1">IFERROR(__xludf.DUMMYFUNCTION("""COMPUTED_VALUE"""),"ПАО ""ОНХП"" 95-СТР от 05.07.2021")</f>
        <v>ПАО "ОНХП" 95-СТР от 05.07.2021</v>
      </c>
      <c r="D37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3" t="str">
        <f ca="1">IFERROR(__xludf.DUMMYFUNCTION("""COMPUTED_VALUE"""),"Новый")</f>
        <v>Новый</v>
      </c>
      <c r="G3753" s="68"/>
      <c r="K3753" s="68"/>
    </row>
    <row r="3754" spans="1:11" ht="12.75">
      <c r="A3754" s="69">
        <f ca="1">IFERROR(__xludf.DUMMYFUNCTION("""COMPUTED_VALUE"""),102328)</f>
        <v>102328</v>
      </c>
      <c r="B3754" s="4">
        <f ca="1">IFERROR(__xludf.DUMMYFUNCTION("""COMPUTED_VALUE"""),44762)</f>
        <v>44762</v>
      </c>
      <c r="C3754" t="str">
        <f ca="1">IFERROR(__xludf.DUMMYFUNCTION("""COMPUTED_VALUE"""),"ПАО ""ОНХП"" 95-СТР от 05.07.2021")</f>
        <v>ПАО "ОНХП" 95-СТР от 05.07.2021</v>
      </c>
      <c r="D37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754" t="str">
        <f ca="1">IFERROR(__xludf.DUMMYFUNCTION("""COMPUTED_VALUE"""),"Новый")</f>
        <v>Новый</v>
      </c>
      <c r="G3754" s="68"/>
      <c r="K3754" s="68"/>
    </row>
    <row r="3755" spans="1:11" ht="12.75">
      <c r="A3755" s="69">
        <f ca="1">IFERROR(__xludf.DUMMYFUNCTION("""COMPUTED_VALUE"""),102377)</f>
        <v>102377</v>
      </c>
      <c r="B3755" s="4">
        <f ca="1">IFERROR(__xludf.DUMMYFUNCTION("""COMPUTED_VALUE"""),44762)</f>
        <v>44762</v>
      </c>
      <c r="C3755" t="str">
        <f ca="1">IFERROR(__xludf.DUMMYFUNCTION("""COMPUTED_VALUE"""),"БУ Г. ОМСКА ""УДХБ"" 197-РДО от 01.07.2022")</f>
        <v>БУ Г. ОМСКА "УДХБ" 197-РДО от 01.07.2022</v>
      </c>
      <c r="D37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55" t="str">
        <f ca="1">IFERROR(__xludf.DUMMYFUNCTION("""COMPUTED_VALUE"""),"Новый")</f>
        <v>Новый</v>
      </c>
      <c r="G3755" s="68"/>
      <c r="K3755" s="68"/>
    </row>
    <row r="3756" spans="1:11" ht="12.75">
      <c r="A3756" s="69">
        <f ca="1">IFERROR(__xludf.DUMMYFUNCTION("""COMPUTED_VALUE"""),102389)</f>
        <v>102389</v>
      </c>
      <c r="B3756" s="4">
        <f ca="1">IFERROR(__xludf.DUMMYFUNCTION("""COMPUTED_VALUE"""),44762)</f>
        <v>44762</v>
      </c>
      <c r="C3756" t="str">
        <f ca="1">IFERROR(__xludf.DUMMYFUNCTION("""COMPUTED_VALUE"""),"БУ Г. ОМСКА ""УДХБ"" 197-РДО от 01.07.2022")</f>
        <v>БУ Г. ОМСКА "УДХБ" 197-РДО от 01.07.2022</v>
      </c>
      <c r="D37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56" t="str">
        <f ca="1">IFERROR(__xludf.DUMMYFUNCTION("""COMPUTED_VALUE"""),"Новый")</f>
        <v>Новый</v>
      </c>
      <c r="G3756" s="68"/>
      <c r="K3756" s="68"/>
    </row>
    <row r="3757" spans="1:11" ht="12.75">
      <c r="A3757" s="69">
        <f ca="1">IFERROR(__xludf.DUMMYFUNCTION("""COMPUTED_VALUE"""),102390)</f>
        <v>102390</v>
      </c>
      <c r="B3757" s="4">
        <f ca="1">IFERROR(__xludf.DUMMYFUNCTION("""COMPUTED_VALUE"""),44762)</f>
        <v>44762</v>
      </c>
      <c r="C3757" t="str">
        <f ca="1">IFERROR(__xludf.DUMMYFUNCTION("""COMPUTED_VALUE"""),"БУ Г. ОМСКА ""УДХБ"" 197-РДО от 01.07.2022")</f>
        <v>БУ Г. ОМСКА "УДХБ" 197-РДО от 01.07.2022</v>
      </c>
      <c r="D37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57" t="str">
        <f ca="1">IFERROR(__xludf.DUMMYFUNCTION("""COMPUTED_VALUE"""),"Новый")</f>
        <v>Новый</v>
      </c>
      <c r="G3757" s="68"/>
      <c r="K3757" s="68"/>
    </row>
    <row r="3758" spans="1:11" ht="12.75">
      <c r="A3758" s="69">
        <f ca="1">IFERROR(__xludf.DUMMYFUNCTION("""COMPUTED_VALUE"""),102391)</f>
        <v>102391</v>
      </c>
      <c r="B3758" s="4">
        <f ca="1">IFERROR(__xludf.DUMMYFUNCTION("""COMPUTED_VALUE"""),44762)</f>
        <v>44762</v>
      </c>
      <c r="C3758" t="str">
        <f ca="1">IFERROR(__xludf.DUMMYFUNCTION("""COMPUTED_VALUE"""),"БУ Г. ОМСКА ""УДХБ"" 197-РДО от 01.07.2022")</f>
        <v>БУ Г. ОМСКА "УДХБ" 197-РДО от 01.07.2022</v>
      </c>
      <c r="D37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58" t="str">
        <f ca="1">IFERROR(__xludf.DUMMYFUNCTION("""COMPUTED_VALUE"""),"Новый")</f>
        <v>Новый</v>
      </c>
      <c r="G3758" s="68"/>
      <c r="K3758" s="68"/>
    </row>
    <row r="3759" spans="1:11" ht="12.75">
      <c r="A3759" s="69">
        <f ca="1">IFERROR(__xludf.DUMMYFUNCTION("""COMPUTED_VALUE"""),102392)</f>
        <v>102392</v>
      </c>
      <c r="B3759" s="4">
        <f ca="1">IFERROR(__xludf.DUMMYFUNCTION("""COMPUTED_VALUE"""),44762)</f>
        <v>44762</v>
      </c>
      <c r="C3759" t="str">
        <f ca="1">IFERROR(__xludf.DUMMYFUNCTION("""COMPUTED_VALUE"""),"БУ Г. ОМСКА ""УДХБ"" 197-РДО от 01.07.2022")</f>
        <v>БУ Г. ОМСКА "УДХБ" 197-РДО от 01.07.2022</v>
      </c>
      <c r="D37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59" t="str">
        <f ca="1">IFERROR(__xludf.DUMMYFUNCTION("""COMPUTED_VALUE"""),"Новый")</f>
        <v>Новый</v>
      </c>
      <c r="G3759" s="68"/>
      <c r="K3759" s="68"/>
    </row>
    <row r="3760" spans="1:11" ht="12.75">
      <c r="A3760" s="69">
        <f ca="1">IFERROR(__xludf.DUMMYFUNCTION("""COMPUTED_VALUE"""),102393)</f>
        <v>102393</v>
      </c>
      <c r="B3760" s="4">
        <f ca="1">IFERROR(__xludf.DUMMYFUNCTION("""COMPUTED_VALUE"""),44762)</f>
        <v>44762</v>
      </c>
      <c r="C3760" t="str">
        <f ca="1">IFERROR(__xludf.DUMMYFUNCTION("""COMPUTED_VALUE"""),"БУ Г. ОМСКА ""УДХБ"" 197-РДО от 01.07.2022")</f>
        <v>БУ Г. ОМСКА "УДХБ" 197-РДО от 01.07.2022</v>
      </c>
      <c r="D37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0" t="str">
        <f ca="1">IFERROR(__xludf.DUMMYFUNCTION("""COMPUTED_VALUE"""),"Новый")</f>
        <v>Новый</v>
      </c>
      <c r="G3760" s="68"/>
      <c r="K3760" s="68"/>
    </row>
    <row r="3761" spans="1:11" ht="12.75">
      <c r="A3761" s="69">
        <f ca="1">IFERROR(__xludf.DUMMYFUNCTION("""COMPUTED_VALUE"""),102410)</f>
        <v>102410</v>
      </c>
      <c r="B3761" s="4">
        <f ca="1">IFERROR(__xludf.DUMMYFUNCTION("""COMPUTED_VALUE"""),44762)</f>
        <v>44762</v>
      </c>
      <c r="C3761" t="str">
        <f ca="1">IFERROR(__xludf.DUMMYFUNCTION("""COMPUTED_VALUE"""),"БУ Г. ОМСКА ""УДХБ"" 197-РДО от 01.07.2022")</f>
        <v>БУ Г. ОМСКА "УДХБ" 197-РДО от 01.07.2022</v>
      </c>
      <c r="D37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1" t="str">
        <f ca="1">IFERROR(__xludf.DUMMYFUNCTION("""COMPUTED_VALUE"""),"Новый")</f>
        <v>Новый</v>
      </c>
      <c r="G3761" s="68"/>
      <c r="K3761" s="68"/>
    </row>
    <row r="3762" spans="1:11" ht="12.75">
      <c r="A3762" s="69">
        <f ca="1">IFERROR(__xludf.DUMMYFUNCTION("""COMPUTED_VALUE"""),102411)</f>
        <v>102411</v>
      </c>
      <c r="B3762" s="4">
        <f ca="1">IFERROR(__xludf.DUMMYFUNCTION("""COMPUTED_VALUE"""),44762)</f>
        <v>44762</v>
      </c>
      <c r="C3762" t="str">
        <f ca="1">IFERROR(__xludf.DUMMYFUNCTION("""COMPUTED_VALUE"""),"БУ Г. ОМСКА ""УДХБ"" 197-РДО от 01.07.2022")</f>
        <v>БУ Г. ОМСКА "УДХБ" 197-РДО от 01.07.2022</v>
      </c>
      <c r="D37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2" t="str">
        <f ca="1">IFERROR(__xludf.DUMMYFUNCTION("""COMPUTED_VALUE"""),"Новый")</f>
        <v>Новый</v>
      </c>
      <c r="G3762" s="68"/>
      <c r="K3762" s="68"/>
    </row>
    <row r="3763" spans="1:11" ht="12.75">
      <c r="A3763" s="69">
        <f ca="1">IFERROR(__xludf.DUMMYFUNCTION("""COMPUTED_VALUE"""),102412)</f>
        <v>102412</v>
      </c>
      <c r="B3763" s="4">
        <f ca="1">IFERROR(__xludf.DUMMYFUNCTION("""COMPUTED_VALUE"""),44762)</f>
        <v>44762</v>
      </c>
      <c r="C3763" t="str">
        <f ca="1">IFERROR(__xludf.DUMMYFUNCTION("""COMPUTED_VALUE"""),"БУ Г. ОМСКА ""УДХБ"" 197-РДО от 01.07.2022")</f>
        <v>БУ Г. ОМСКА "УДХБ" 197-РДО от 01.07.2022</v>
      </c>
      <c r="D37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3" t="str">
        <f ca="1">IFERROR(__xludf.DUMMYFUNCTION("""COMPUTED_VALUE"""),"Новый")</f>
        <v>Новый</v>
      </c>
      <c r="G3763" s="68"/>
      <c r="K3763" s="68"/>
    </row>
    <row r="3764" spans="1:11" ht="12.75">
      <c r="A3764" s="69">
        <f ca="1">IFERROR(__xludf.DUMMYFUNCTION("""COMPUTED_VALUE"""),102413)</f>
        <v>102413</v>
      </c>
      <c r="B3764" s="4">
        <f ca="1">IFERROR(__xludf.DUMMYFUNCTION("""COMPUTED_VALUE"""),44762)</f>
        <v>44762</v>
      </c>
      <c r="C3764" t="str">
        <f ca="1">IFERROR(__xludf.DUMMYFUNCTION("""COMPUTED_VALUE"""),"БУ Г. ОМСКА ""УДХБ"" 197-РДО от 01.07.2022")</f>
        <v>БУ Г. ОМСКА "УДХБ" 197-РДО от 01.07.2022</v>
      </c>
      <c r="D37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4" t="str">
        <f ca="1">IFERROR(__xludf.DUMMYFUNCTION("""COMPUTED_VALUE"""),"Новый")</f>
        <v>Новый</v>
      </c>
      <c r="G3764" s="68"/>
      <c r="K3764" s="68"/>
    </row>
    <row r="3765" spans="1:11" ht="12.75">
      <c r="A3765" s="69">
        <f ca="1">IFERROR(__xludf.DUMMYFUNCTION("""COMPUTED_VALUE"""),102414)</f>
        <v>102414</v>
      </c>
      <c r="B3765" s="4">
        <f ca="1">IFERROR(__xludf.DUMMYFUNCTION("""COMPUTED_VALUE"""),44762)</f>
        <v>44762</v>
      </c>
      <c r="C3765" t="str">
        <f ca="1">IFERROR(__xludf.DUMMYFUNCTION("""COMPUTED_VALUE"""),"БУ Г. ОМСКА ""УДХБ"" 197-РДО от 01.07.2022")</f>
        <v>БУ Г. ОМСКА "УДХБ" 197-РДО от 01.07.2022</v>
      </c>
      <c r="D37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5" t="str">
        <f ca="1">IFERROR(__xludf.DUMMYFUNCTION("""COMPUTED_VALUE"""),"Новый")</f>
        <v>Новый</v>
      </c>
      <c r="G3765" s="68"/>
      <c r="K3765" s="68"/>
    </row>
    <row r="3766" spans="1:11" ht="12.75">
      <c r="A3766" s="69">
        <f ca="1">IFERROR(__xludf.DUMMYFUNCTION("""COMPUTED_VALUE"""),102415)</f>
        <v>102415</v>
      </c>
      <c r="B3766" s="4">
        <f ca="1">IFERROR(__xludf.DUMMYFUNCTION("""COMPUTED_VALUE"""),44762)</f>
        <v>44762</v>
      </c>
      <c r="C3766" t="str">
        <f ca="1">IFERROR(__xludf.DUMMYFUNCTION("""COMPUTED_VALUE"""),"БУ Г. ОМСКА ""УДХБ"" 197-РДО от 01.07.2022")</f>
        <v>БУ Г. ОМСКА "УДХБ" 197-РДО от 01.07.2022</v>
      </c>
      <c r="D37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6" t="str">
        <f ca="1">IFERROR(__xludf.DUMMYFUNCTION("""COMPUTED_VALUE"""),"Новый")</f>
        <v>Новый</v>
      </c>
      <c r="G3766" s="68"/>
      <c r="K3766" s="68"/>
    </row>
    <row r="3767" spans="1:11" ht="12.75">
      <c r="A3767" s="69">
        <f ca="1">IFERROR(__xludf.DUMMYFUNCTION("""COMPUTED_VALUE"""),102416)</f>
        <v>102416</v>
      </c>
      <c r="B3767" s="4">
        <f ca="1">IFERROR(__xludf.DUMMYFUNCTION("""COMPUTED_VALUE"""),44762)</f>
        <v>44762</v>
      </c>
      <c r="C3767" t="str">
        <f ca="1">IFERROR(__xludf.DUMMYFUNCTION("""COMPUTED_VALUE"""),"БУ Г. ОМСКА ""УДХБ"" 197-РДО от 01.07.2022")</f>
        <v>БУ Г. ОМСКА "УДХБ" 197-РДО от 01.07.2022</v>
      </c>
      <c r="D37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7" t="str">
        <f ca="1">IFERROR(__xludf.DUMMYFUNCTION("""COMPUTED_VALUE"""),"Новый")</f>
        <v>Новый</v>
      </c>
      <c r="G3767" s="68"/>
      <c r="K3767" s="68"/>
    </row>
    <row r="3768" spans="1:11" ht="12.75">
      <c r="A3768" s="69">
        <f ca="1">IFERROR(__xludf.DUMMYFUNCTION("""COMPUTED_VALUE"""),102417)</f>
        <v>102417</v>
      </c>
      <c r="B3768" s="4">
        <f ca="1">IFERROR(__xludf.DUMMYFUNCTION("""COMPUTED_VALUE"""),44762)</f>
        <v>44762</v>
      </c>
      <c r="C3768" t="str">
        <f ca="1">IFERROR(__xludf.DUMMYFUNCTION("""COMPUTED_VALUE"""),"БУ Г. ОМСКА ""УДХБ"" 197-РДО от 01.07.2022")</f>
        <v>БУ Г. ОМСКА "УДХБ" 197-РДО от 01.07.2022</v>
      </c>
      <c r="D37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8" t="str">
        <f ca="1">IFERROR(__xludf.DUMMYFUNCTION("""COMPUTED_VALUE"""),"Новый")</f>
        <v>Новый</v>
      </c>
      <c r="G3768" s="68"/>
      <c r="K3768" s="68"/>
    </row>
    <row r="3769" spans="1:11" ht="12.75">
      <c r="A3769" s="69">
        <f ca="1">IFERROR(__xludf.DUMMYFUNCTION("""COMPUTED_VALUE"""),102418)</f>
        <v>102418</v>
      </c>
      <c r="B3769" s="4">
        <f ca="1">IFERROR(__xludf.DUMMYFUNCTION("""COMPUTED_VALUE"""),44762)</f>
        <v>44762</v>
      </c>
      <c r="C3769" t="str">
        <f ca="1">IFERROR(__xludf.DUMMYFUNCTION("""COMPUTED_VALUE"""),"БУ Г. ОМСКА ""УДХБ"" 197-РДО от 01.07.2022")</f>
        <v>БУ Г. ОМСКА "УДХБ" 197-РДО от 01.07.2022</v>
      </c>
      <c r="D37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69" t="str">
        <f ca="1">IFERROR(__xludf.DUMMYFUNCTION("""COMPUTED_VALUE"""),"Новый")</f>
        <v>Новый</v>
      </c>
      <c r="G3769" s="68"/>
      <c r="K3769" s="68"/>
    </row>
    <row r="3770" spans="1:11" ht="12.75">
      <c r="A3770" s="69">
        <f ca="1">IFERROR(__xludf.DUMMYFUNCTION("""COMPUTED_VALUE"""),102419)</f>
        <v>102419</v>
      </c>
      <c r="B3770" s="4">
        <f ca="1">IFERROR(__xludf.DUMMYFUNCTION("""COMPUTED_VALUE"""),44762)</f>
        <v>44762</v>
      </c>
      <c r="C3770" t="str">
        <f ca="1">IFERROR(__xludf.DUMMYFUNCTION("""COMPUTED_VALUE"""),"БУ Г. ОМСКА ""УДХБ"" 197-РДО от 01.07.2022")</f>
        <v>БУ Г. ОМСКА "УДХБ" 197-РДО от 01.07.2022</v>
      </c>
      <c r="D37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0" t="str">
        <f ca="1">IFERROR(__xludf.DUMMYFUNCTION("""COMPUTED_VALUE"""),"Новый")</f>
        <v>Новый</v>
      </c>
      <c r="G3770" s="68"/>
      <c r="K3770" s="68"/>
    </row>
    <row r="3771" spans="1:11" ht="12.75">
      <c r="A3771" s="69">
        <f ca="1">IFERROR(__xludf.DUMMYFUNCTION("""COMPUTED_VALUE"""),102420)</f>
        <v>102420</v>
      </c>
      <c r="B3771" s="4">
        <f ca="1">IFERROR(__xludf.DUMMYFUNCTION("""COMPUTED_VALUE"""),44762)</f>
        <v>44762</v>
      </c>
      <c r="C3771" t="str">
        <f ca="1">IFERROR(__xludf.DUMMYFUNCTION("""COMPUTED_VALUE"""),"БУ Г. ОМСКА ""УДХБ"" 197-РДО от 01.07.2022")</f>
        <v>БУ Г. ОМСКА "УДХБ" 197-РДО от 01.07.2022</v>
      </c>
      <c r="D37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1" t="str">
        <f ca="1">IFERROR(__xludf.DUMMYFUNCTION("""COMPUTED_VALUE"""),"Новый")</f>
        <v>Новый</v>
      </c>
      <c r="G3771" s="68"/>
      <c r="K3771" s="68"/>
    </row>
    <row r="3772" spans="1:11" ht="12.75">
      <c r="A3772" s="69">
        <f ca="1">IFERROR(__xludf.DUMMYFUNCTION("""COMPUTED_VALUE"""),102421)</f>
        <v>102421</v>
      </c>
      <c r="B3772" s="4">
        <f ca="1">IFERROR(__xludf.DUMMYFUNCTION("""COMPUTED_VALUE"""),44762)</f>
        <v>44762</v>
      </c>
      <c r="C3772" t="str">
        <f ca="1">IFERROR(__xludf.DUMMYFUNCTION("""COMPUTED_VALUE"""),"БУ Г. ОМСКА ""УДХБ"" 197-РДО от 01.07.2022")</f>
        <v>БУ Г. ОМСКА "УДХБ" 197-РДО от 01.07.2022</v>
      </c>
      <c r="D37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2" t="str">
        <f ca="1">IFERROR(__xludf.DUMMYFUNCTION("""COMPUTED_VALUE"""),"Новый")</f>
        <v>Новый</v>
      </c>
      <c r="G3772" s="68"/>
      <c r="K3772" s="68"/>
    </row>
    <row r="3773" spans="1:11" ht="12.75">
      <c r="A3773" s="69">
        <f ca="1">IFERROR(__xludf.DUMMYFUNCTION("""COMPUTED_VALUE"""),102422)</f>
        <v>102422</v>
      </c>
      <c r="B3773" s="4">
        <f ca="1">IFERROR(__xludf.DUMMYFUNCTION("""COMPUTED_VALUE"""),44762)</f>
        <v>44762</v>
      </c>
      <c r="C3773" t="str">
        <f ca="1">IFERROR(__xludf.DUMMYFUNCTION("""COMPUTED_VALUE"""),"БУ Г. ОМСКА ""УДХБ"" 197-РДО от 01.07.2022")</f>
        <v>БУ Г. ОМСКА "УДХБ" 197-РДО от 01.07.2022</v>
      </c>
      <c r="D37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3" t="str">
        <f ca="1">IFERROR(__xludf.DUMMYFUNCTION("""COMPUTED_VALUE"""),"Новый")</f>
        <v>Новый</v>
      </c>
      <c r="G3773" s="68"/>
      <c r="K3773" s="68"/>
    </row>
    <row r="3774" spans="1:11" ht="12.75">
      <c r="A3774" s="69">
        <f ca="1">IFERROR(__xludf.DUMMYFUNCTION("""COMPUTED_VALUE"""),102423)</f>
        <v>102423</v>
      </c>
      <c r="B3774" s="4">
        <f ca="1">IFERROR(__xludf.DUMMYFUNCTION("""COMPUTED_VALUE"""),44762)</f>
        <v>44762</v>
      </c>
      <c r="C3774" t="str">
        <f ca="1">IFERROR(__xludf.DUMMYFUNCTION("""COMPUTED_VALUE"""),"БУ Г. ОМСКА ""УДХБ"" 197-РДО от 01.07.2022")</f>
        <v>БУ Г. ОМСКА "УДХБ" 197-РДО от 01.07.2022</v>
      </c>
      <c r="D37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4" t="str">
        <f ca="1">IFERROR(__xludf.DUMMYFUNCTION("""COMPUTED_VALUE"""),"Новый")</f>
        <v>Новый</v>
      </c>
      <c r="G3774" s="68"/>
      <c r="K3774" s="68"/>
    </row>
    <row r="3775" spans="1:11" ht="12.75">
      <c r="A3775" s="69">
        <f ca="1">IFERROR(__xludf.DUMMYFUNCTION("""COMPUTED_VALUE"""),102424)</f>
        <v>102424</v>
      </c>
      <c r="B3775" s="4">
        <f ca="1">IFERROR(__xludf.DUMMYFUNCTION("""COMPUTED_VALUE"""),44762)</f>
        <v>44762</v>
      </c>
      <c r="C3775" t="str">
        <f ca="1">IFERROR(__xludf.DUMMYFUNCTION("""COMPUTED_VALUE"""),"БУ Г. ОМСКА ""УДХБ"" 197-РДО от 01.07.2022")</f>
        <v>БУ Г. ОМСКА "УДХБ" 197-РДО от 01.07.2022</v>
      </c>
      <c r="D37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5" t="str">
        <f ca="1">IFERROR(__xludf.DUMMYFUNCTION("""COMPUTED_VALUE"""),"Новый")</f>
        <v>Новый</v>
      </c>
      <c r="G3775" s="68"/>
      <c r="K3775" s="68"/>
    </row>
    <row r="3776" spans="1:11" ht="12.75">
      <c r="A3776" s="69">
        <f ca="1">IFERROR(__xludf.DUMMYFUNCTION("""COMPUTED_VALUE"""),102425)</f>
        <v>102425</v>
      </c>
      <c r="B3776" s="4">
        <f ca="1">IFERROR(__xludf.DUMMYFUNCTION("""COMPUTED_VALUE"""),44762)</f>
        <v>44762</v>
      </c>
      <c r="C3776" t="str">
        <f ca="1">IFERROR(__xludf.DUMMYFUNCTION("""COMPUTED_VALUE"""),"БУ Г. ОМСКА ""УДХБ"" 197-РДО от 01.07.2022")</f>
        <v>БУ Г. ОМСКА "УДХБ" 197-РДО от 01.07.2022</v>
      </c>
      <c r="D37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6" t="str">
        <f ca="1">IFERROR(__xludf.DUMMYFUNCTION("""COMPUTED_VALUE"""),"Новый")</f>
        <v>Новый</v>
      </c>
      <c r="G3776" s="68"/>
      <c r="K3776" s="68"/>
    </row>
    <row r="3777" spans="1:11" ht="12.75">
      <c r="A3777" s="69">
        <f ca="1">IFERROR(__xludf.DUMMYFUNCTION("""COMPUTED_VALUE"""),102426)</f>
        <v>102426</v>
      </c>
      <c r="B3777" s="4">
        <f ca="1">IFERROR(__xludf.DUMMYFUNCTION("""COMPUTED_VALUE"""),44762)</f>
        <v>44762</v>
      </c>
      <c r="C3777" t="str">
        <f ca="1">IFERROR(__xludf.DUMMYFUNCTION("""COMPUTED_VALUE"""),"БУ Г. ОМСКА ""УДХБ"" 197-РДО от 01.07.2022")</f>
        <v>БУ Г. ОМСКА "УДХБ" 197-РДО от 01.07.2022</v>
      </c>
      <c r="D37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7" t="str">
        <f ca="1">IFERROR(__xludf.DUMMYFUNCTION("""COMPUTED_VALUE"""),"Новый")</f>
        <v>Новый</v>
      </c>
      <c r="G3777" s="68"/>
      <c r="K3777" s="68"/>
    </row>
    <row r="3778" spans="1:11" ht="12.75">
      <c r="A3778" s="69">
        <f ca="1">IFERROR(__xludf.DUMMYFUNCTION("""COMPUTED_VALUE"""),102427)</f>
        <v>102427</v>
      </c>
      <c r="B3778" s="4">
        <f ca="1">IFERROR(__xludf.DUMMYFUNCTION("""COMPUTED_VALUE"""),44762)</f>
        <v>44762</v>
      </c>
      <c r="C3778" t="str">
        <f ca="1">IFERROR(__xludf.DUMMYFUNCTION("""COMPUTED_VALUE"""),"БУ Г. ОМСКА ""УДХБ"" 197-РДО от 01.07.2022")</f>
        <v>БУ Г. ОМСКА "УДХБ" 197-РДО от 01.07.2022</v>
      </c>
      <c r="D37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8" t="str">
        <f ca="1">IFERROR(__xludf.DUMMYFUNCTION("""COMPUTED_VALUE"""),"Новый")</f>
        <v>Новый</v>
      </c>
      <c r="G3778" s="68"/>
      <c r="K3778" s="68"/>
    </row>
    <row r="3779" spans="1:11" ht="12.75">
      <c r="A3779" s="69">
        <f ca="1">IFERROR(__xludf.DUMMYFUNCTION("""COMPUTED_VALUE"""),102428)</f>
        <v>102428</v>
      </c>
      <c r="B3779" s="4">
        <f ca="1">IFERROR(__xludf.DUMMYFUNCTION("""COMPUTED_VALUE"""),44762)</f>
        <v>44762</v>
      </c>
      <c r="C3779" t="str">
        <f ca="1">IFERROR(__xludf.DUMMYFUNCTION("""COMPUTED_VALUE"""),"БУ Г. ОМСКА ""УДХБ"" 197-РДО от 01.07.2022")</f>
        <v>БУ Г. ОМСКА "УДХБ" 197-РДО от 01.07.2022</v>
      </c>
      <c r="D37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79" t="str">
        <f ca="1">IFERROR(__xludf.DUMMYFUNCTION("""COMPUTED_VALUE"""),"Новый")</f>
        <v>Новый</v>
      </c>
      <c r="G3779" s="68"/>
      <c r="K3779" s="68"/>
    </row>
    <row r="3780" spans="1:11" ht="12.75">
      <c r="A3780" s="69">
        <f ca="1">IFERROR(__xludf.DUMMYFUNCTION("""COMPUTED_VALUE"""),102429)</f>
        <v>102429</v>
      </c>
      <c r="B3780" s="4">
        <f ca="1">IFERROR(__xludf.DUMMYFUNCTION("""COMPUTED_VALUE"""),44762)</f>
        <v>44762</v>
      </c>
      <c r="C3780" t="str">
        <f ca="1">IFERROR(__xludf.DUMMYFUNCTION("""COMPUTED_VALUE"""),"БУ Г. ОМСКА ""УДХБ"" 197-РДО от 01.07.2022")</f>
        <v>БУ Г. ОМСКА "УДХБ" 197-РДО от 01.07.2022</v>
      </c>
      <c r="D37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0" t="str">
        <f ca="1">IFERROR(__xludf.DUMMYFUNCTION("""COMPUTED_VALUE"""),"Новый")</f>
        <v>Новый</v>
      </c>
      <c r="G3780" s="68"/>
      <c r="K3780" s="68"/>
    </row>
    <row r="3781" spans="1:11" ht="12.75">
      <c r="A3781" s="69">
        <f ca="1">IFERROR(__xludf.DUMMYFUNCTION("""COMPUTED_VALUE"""),102430)</f>
        <v>102430</v>
      </c>
      <c r="B3781" s="4">
        <f ca="1">IFERROR(__xludf.DUMMYFUNCTION("""COMPUTED_VALUE"""),44762)</f>
        <v>44762</v>
      </c>
      <c r="C3781" t="str">
        <f ca="1">IFERROR(__xludf.DUMMYFUNCTION("""COMPUTED_VALUE"""),"БУ Г. ОМСКА ""УДХБ"" 197-РДО от 01.07.2022")</f>
        <v>БУ Г. ОМСКА "УДХБ" 197-РДО от 01.07.2022</v>
      </c>
      <c r="D37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1" t="str">
        <f ca="1">IFERROR(__xludf.DUMMYFUNCTION("""COMPUTED_VALUE"""),"Новый")</f>
        <v>Новый</v>
      </c>
      <c r="G3781" s="68"/>
      <c r="K3781" s="68"/>
    </row>
    <row r="3782" spans="1:11" ht="12.75">
      <c r="A3782" s="69">
        <f ca="1">IFERROR(__xludf.DUMMYFUNCTION("""COMPUTED_VALUE"""),102431)</f>
        <v>102431</v>
      </c>
      <c r="B3782" s="4">
        <f ca="1">IFERROR(__xludf.DUMMYFUNCTION("""COMPUTED_VALUE"""),44762)</f>
        <v>44762</v>
      </c>
      <c r="C3782" t="str">
        <f ca="1">IFERROR(__xludf.DUMMYFUNCTION("""COMPUTED_VALUE"""),"БУ Г. ОМСКА ""УДХБ"" 197-РДО от 01.07.2022")</f>
        <v>БУ Г. ОМСКА "УДХБ" 197-РДО от 01.07.2022</v>
      </c>
      <c r="D37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2" t="str">
        <f ca="1">IFERROR(__xludf.DUMMYFUNCTION("""COMPUTED_VALUE"""),"Новый")</f>
        <v>Новый</v>
      </c>
      <c r="G3782" s="68"/>
      <c r="K3782" s="68"/>
    </row>
    <row r="3783" spans="1:11" ht="12.75">
      <c r="A3783" s="69">
        <f ca="1">IFERROR(__xludf.DUMMYFUNCTION("""COMPUTED_VALUE"""),102432)</f>
        <v>102432</v>
      </c>
      <c r="B3783" s="4">
        <f ca="1">IFERROR(__xludf.DUMMYFUNCTION("""COMPUTED_VALUE"""),44762)</f>
        <v>44762</v>
      </c>
      <c r="C3783" t="str">
        <f ca="1">IFERROR(__xludf.DUMMYFUNCTION("""COMPUTED_VALUE"""),"БУ Г. ОМСКА ""УДХБ"" 197-РДО от 01.07.2022")</f>
        <v>БУ Г. ОМСКА "УДХБ" 197-РДО от 01.07.2022</v>
      </c>
      <c r="D37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3" t="str">
        <f ca="1">IFERROR(__xludf.DUMMYFUNCTION("""COMPUTED_VALUE"""),"Новый")</f>
        <v>Новый</v>
      </c>
      <c r="G3783" s="68"/>
      <c r="K3783" s="68"/>
    </row>
    <row r="3784" spans="1:11" ht="12.75">
      <c r="A3784" s="69">
        <f ca="1">IFERROR(__xludf.DUMMYFUNCTION("""COMPUTED_VALUE"""),102433)</f>
        <v>102433</v>
      </c>
      <c r="B3784" s="4">
        <f ca="1">IFERROR(__xludf.DUMMYFUNCTION("""COMPUTED_VALUE"""),44762)</f>
        <v>44762</v>
      </c>
      <c r="C3784" t="str">
        <f ca="1">IFERROR(__xludf.DUMMYFUNCTION("""COMPUTED_VALUE"""),"БУ Г. ОМСКА ""УДХБ"" 197-РДО от 01.07.2022")</f>
        <v>БУ Г. ОМСКА "УДХБ" 197-РДО от 01.07.2022</v>
      </c>
      <c r="D37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4" t="str">
        <f ca="1">IFERROR(__xludf.DUMMYFUNCTION("""COMPUTED_VALUE"""),"Новый")</f>
        <v>Новый</v>
      </c>
      <c r="G3784" s="68"/>
      <c r="K3784" s="68"/>
    </row>
    <row r="3785" spans="1:11" ht="12.75">
      <c r="A3785" s="69">
        <f ca="1">IFERROR(__xludf.DUMMYFUNCTION("""COMPUTED_VALUE"""),102434)</f>
        <v>102434</v>
      </c>
      <c r="B3785" s="4">
        <f ca="1">IFERROR(__xludf.DUMMYFUNCTION("""COMPUTED_VALUE"""),44762)</f>
        <v>44762</v>
      </c>
      <c r="C3785" t="str">
        <f ca="1">IFERROR(__xludf.DUMMYFUNCTION("""COMPUTED_VALUE"""),"БУ Г. ОМСКА ""УДХБ"" 197-РДО от 01.07.2022")</f>
        <v>БУ Г. ОМСКА "УДХБ" 197-РДО от 01.07.2022</v>
      </c>
      <c r="D37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5" t="str">
        <f ca="1">IFERROR(__xludf.DUMMYFUNCTION("""COMPUTED_VALUE"""),"Новый")</f>
        <v>Новый</v>
      </c>
      <c r="G3785" s="68"/>
      <c r="K3785" s="68"/>
    </row>
    <row r="3786" spans="1:11" ht="12.75">
      <c r="A3786" s="69">
        <f ca="1">IFERROR(__xludf.DUMMYFUNCTION("""COMPUTED_VALUE"""),102435)</f>
        <v>102435</v>
      </c>
      <c r="B3786" s="4">
        <f ca="1">IFERROR(__xludf.DUMMYFUNCTION("""COMPUTED_VALUE"""),44762)</f>
        <v>44762</v>
      </c>
      <c r="C3786" t="str">
        <f ca="1">IFERROR(__xludf.DUMMYFUNCTION("""COMPUTED_VALUE"""),"БУ Г. ОМСКА ""УДХБ"" 197-РДО от 01.07.2022")</f>
        <v>БУ Г. ОМСКА "УДХБ" 197-РДО от 01.07.2022</v>
      </c>
      <c r="D37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6" t="str">
        <f ca="1">IFERROR(__xludf.DUMMYFUNCTION("""COMPUTED_VALUE"""),"Новый")</f>
        <v>Новый</v>
      </c>
      <c r="G3786" s="68"/>
      <c r="K3786" s="68"/>
    </row>
    <row r="3787" spans="1:11" ht="12.75">
      <c r="A3787" s="69">
        <f ca="1">IFERROR(__xludf.DUMMYFUNCTION("""COMPUTED_VALUE"""),102436)</f>
        <v>102436</v>
      </c>
      <c r="B3787" s="4">
        <f ca="1">IFERROR(__xludf.DUMMYFUNCTION("""COMPUTED_VALUE"""),44762)</f>
        <v>44762</v>
      </c>
      <c r="C3787" t="str">
        <f ca="1">IFERROR(__xludf.DUMMYFUNCTION("""COMPUTED_VALUE"""),"БУ Г. ОМСКА ""УДХБ"" 197-РДО от 01.07.2022")</f>
        <v>БУ Г. ОМСКА "УДХБ" 197-РДО от 01.07.2022</v>
      </c>
      <c r="D37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7" t="str">
        <f ca="1">IFERROR(__xludf.DUMMYFUNCTION("""COMPUTED_VALUE"""),"Новый")</f>
        <v>Новый</v>
      </c>
      <c r="G3787" s="68"/>
      <c r="K3787" s="68"/>
    </row>
    <row r="3788" spans="1:11" ht="12.75">
      <c r="A3788" s="69">
        <f ca="1">IFERROR(__xludf.DUMMYFUNCTION("""COMPUTED_VALUE"""),102437)</f>
        <v>102437</v>
      </c>
      <c r="B3788" s="4">
        <f ca="1">IFERROR(__xludf.DUMMYFUNCTION("""COMPUTED_VALUE"""),44762)</f>
        <v>44762</v>
      </c>
      <c r="C3788" t="str">
        <f ca="1">IFERROR(__xludf.DUMMYFUNCTION("""COMPUTED_VALUE"""),"БУ Г. ОМСКА ""УДХБ"" 197-РДО от 01.07.2022")</f>
        <v>БУ Г. ОМСКА "УДХБ" 197-РДО от 01.07.2022</v>
      </c>
      <c r="D37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8" t="str">
        <f ca="1">IFERROR(__xludf.DUMMYFUNCTION("""COMPUTED_VALUE"""),"Новый")</f>
        <v>Новый</v>
      </c>
      <c r="G3788" s="68"/>
      <c r="K3788" s="68"/>
    </row>
    <row r="3789" spans="1:11" ht="12.75">
      <c r="A3789" s="69">
        <f ca="1">IFERROR(__xludf.DUMMYFUNCTION("""COMPUTED_VALUE"""),102438)</f>
        <v>102438</v>
      </c>
      <c r="B3789" s="4">
        <f ca="1">IFERROR(__xludf.DUMMYFUNCTION("""COMPUTED_VALUE"""),44762)</f>
        <v>44762</v>
      </c>
      <c r="C3789" t="str">
        <f ca="1">IFERROR(__xludf.DUMMYFUNCTION("""COMPUTED_VALUE"""),"БУ Г. ОМСКА ""УДХБ"" 197-РДО от 01.07.2022")</f>
        <v>БУ Г. ОМСКА "УДХБ" 197-РДО от 01.07.2022</v>
      </c>
      <c r="D37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89" t="str">
        <f ca="1">IFERROR(__xludf.DUMMYFUNCTION("""COMPUTED_VALUE"""),"Новый")</f>
        <v>Новый</v>
      </c>
      <c r="G3789" s="68"/>
      <c r="K3789" s="68"/>
    </row>
    <row r="3790" spans="1:11" ht="12.75">
      <c r="A3790" s="69">
        <f ca="1">IFERROR(__xludf.DUMMYFUNCTION("""COMPUTED_VALUE"""),102439)</f>
        <v>102439</v>
      </c>
      <c r="B3790" s="4">
        <f ca="1">IFERROR(__xludf.DUMMYFUNCTION("""COMPUTED_VALUE"""),44762)</f>
        <v>44762</v>
      </c>
      <c r="C3790" t="str">
        <f ca="1">IFERROR(__xludf.DUMMYFUNCTION("""COMPUTED_VALUE"""),"БУ Г. ОМСКА ""УДХБ"" 197-РДО от 01.07.2022")</f>
        <v>БУ Г. ОМСКА "УДХБ" 197-РДО от 01.07.2022</v>
      </c>
      <c r="D37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0" t="str">
        <f ca="1">IFERROR(__xludf.DUMMYFUNCTION("""COMPUTED_VALUE"""),"Новый")</f>
        <v>Новый</v>
      </c>
      <c r="G3790" s="68"/>
      <c r="K3790" s="68"/>
    </row>
    <row r="3791" spans="1:11" ht="12.75">
      <c r="A3791" s="69">
        <f ca="1">IFERROR(__xludf.DUMMYFUNCTION("""COMPUTED_VALUE"""),102440)</f>
        <v>102440</v>
      </c>
      <c r="B3791" s="4">
        <f ca="1">IFERROR(__xludf.DUMMYFUNCTION("""COMPUTED_VALUE"""),44762)</f>
        <v>44762</v>
      </c>
      <c r="C3791" t="str">
        <f ca="1">IFERROR(__xludf.DUMMYFUNCTION("""COMPUTED_VALUE"""),"БУ Г. ОМСКА ""УДХБ"" 197-РДО от 01.07.2022")</f>
        <v>БУ Г. ОМСКА "УДХБ" 197-РДО от 01.07.2022</v>
      </c>
      <c r="D37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1" t="str">
        <f ca="1">IFERROR(__xludf.DUMMYFUNCTION("""COMPUTED_VALUE"""),"Новый")</f>
        <v>Новый</v>
      </c>
      <c r="G3791" s="68"/>
      <c r="K3791" s="68"/>
    </row>
    <row r="3792" spans="1:11" ht="12.75">
      <c r="A3792" s="69">
        <f ca="1">IFERROR(__xludf.DUMMYFUNCTION("""COMPUTED_VALUE"""),102441)</f>
        <v>102441</v>
      </c>
      <c r="B3792" s="4">
        <f ca="1">IFERROR(__xludf.DUMMYFUNCTION("""COMPUTED_VALUE"""),44762)</f>
        <v>44762</v>
      </c>
      <c r="C3792" t="str">
        <f ca="1">IFERROR(__xludf.DUMMYFUNCTION("""COMPUTED_VALUE"""),"БУ Г. ОМСКА ""УДХБ"" 197-РДО от 01.07.2022")</f>
        <v>БУ Г. ОМСКА "УДХБ" 197-РДО от 01.07.2022</v>
      </c>
      <c r="D37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2" t="str">
        <f ca="1">IFERROR(__xludf.DUMMYFUNCTION("""COMPUTED_VALUE"""),"Новый")</f>
        <v>Новый</v>
      </c>
      <c r="G3792" s="68"/>
      <c r="K3792" s="68"/>
    </row>
    <row r="3793" spans="1:11" ht="12.75">
      <c r="A3793" s="69">
        <f ca="1">IFERROR(__xludf.DUMMYFUNCTION("""COMPUTED_VALUE"""),102442)</f>
        <v>102442</v>
      </c>
      <c r="B3793" s="4">
        <f ca="1">IFERROR(__xludf.DUMMYFUNCTION("""COMPUTED_VALUE"""),44762)</f>
        <v>44762</v>
      </c>
      <c r="C3793" t="str">
        <f ca="1">IFERROR(__xludf.DUMMYFUNCTION("""COMPUTED_VALUE"""),"БУ Г. ОМСКА ""УДХБ"" 197-РДО от 01.07.2022")</f>
        <v>БУ Г. ОМСКА "УДХБ" 197-РДО от 01.07.2022</v>
      </c>
      <c r="D37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3" t="str">
        <f ca="1">IFERROR(__xludf.DUMMYFUNCTION("""COMPUTED_VALUE"""),"Новый")</f>
        <v>Новый</v>
      </c>
      <c r="G3793" s="68"/>
      <c r="K3793" s="68"/>
    </row>
    <row r="3794" spans="1:11" ht="12.75">
      <c r="A3794" s="69">
        <f ca="1">IFERROR(__xludf.DUMMYFUNCTION("""COMPUTED_VALUE"""),102443)</f>
        <v>102443</v>
      </c>
      <c r="B3794" s="4">
        <f ca="1">IFERROR(__xludf.DUMMYFUNCTION("""COMPUTED_VALUE"""),44762)</f>
        <v>44762</v>
      </c>
      <c r="C3794" t="str">
        <f ca="1">IFERROR(__xludf.DUMMYFUNCTION("""COMPUTED_VALUE"""),"БУ Г. ОМСКА ""УДХБ"" 197-РДО от 01.07.2022")</f>
        <v>БУ Г. ОМСКА "УДХБ" 197-РДО от 01.07.2022</v>
      </c>
      <c r="D37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4" t="str">
        <f ca="1">IFERROR(__xludf.DUMMYFUNCTION("""COMPUTED_VALUE"""),"Новый")</f>
        <v>Новый</v>
      </c>
      <c r="G3794" s="68"/>
      <c r="K3794" s="68"/>
    </row>
    <row r="3795" spans="1:11" ht="12.75">
      <c r="A3795" s="69">
        <f ca="1">IFERROR(__xludf.DUMMYFUNCTION("""COMPUTED_VALUE"""),102444)</f>
        <v>102444</v>
      </c>
      <c r="B3795" s="4">
        <f ca="1">IFERROR(__xludf.DUMMYFUNCTION("""COMPUTED_VALUE"""),44762)</f>
        <v>44762</v>
      </c>
      <c r="C3795" t="str">
        <f ca="1">IFERROR(__xludf.DUMMYFUNCTION("""COMPUTED_VALUE"""),"БУ Г. ОМСКА ""УДХБ"" 197-РДО от 01.07.2022")</f>
        <v>БУ Г. ОМСКА "УДХБ" 197-РДО от 01.07.2022</v>
      </c>
      <c r="D37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5" t="str">
        <f ca="1">IFERROR(__xludf.DUMMYFUNCTION("""COMPUTED_VALUE"""),"Новый")</f>
        <v>Новый</v>
      </c>
      <c r="G3795" s="68"/>
      <c r="K3795" s="68"/>
    </row>
    <row r="3796" spans="1:11" ht="12.75">
      <c r="A3796" s="69">
        <f ca="1">IFERROR(__xludf.DUMMYFUNCTION("""COMPUTED_VALUE"""),102445)</f>
        <v>102445</v>
      </c>
      <c r="B3796" s="4">
        <f ca="1">IFERROR(__xludf.DUMMYFUNCTION("""COMPUTED_VALUE"""),44762)</f>
        <v>44762</v>
      </c>
      <c r="C3796" t="str">
        <f ca="1">IFERROR(__xludf.DUMMYFUNCTION("""COMPUTED_VALUE"""),"БУ Г. ОМСКА ""УДХБ"" 197-РДО от 01.07.2022")</f>
        <v>БУ Г. ОМСКА "УДХБ" 197-РДО от 01.07.2022</v>
      </c>
      <c r="D37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6" t="str">
        <f ca="1">IFERROR(__xludf.DUMMYFUNCTION("""COMPUTED_VALUE"""),"Новый")</f>
        <v>Новый</v>
      </c>
      <c r="G3796" s="68"/>
      <c r="K3796" s="68"/>
    </row>
    <row r="3797" spans="1:11" ht="12.75">
      <c r="A3797" s="69">
        <f ca="1">IFERROR(__xludf.DUMMYFUNCTION("""COMPUTED_VALUE"""),102446)</f>
        <v>102446</v>
      </c>
      <c r="B3797" s="4">
        <f ca="1">IFERROR(__xludf.DUMMYFUNCTION("""COMPUTED_VALUE"""),44762)</f>
        <v>44762</v>
      </c>
      <c r="C3797" t="str">
        <f ca="1">IFERROR(__xludf.DUMMYFUNCTION("""COMPUTED_VALUE"""),"БУ Г. ОМСКА ""УДХБ"" 197-РДО от 01.07.2022")</f>
        <v>БУ Г. ОМСКА "УДХБ" 197-РДО от 01.07.2022</v>
      </c>
      <c r="D37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7" t="str">
        <f ca="1">IFERROR(__xludf.DUMMYFUNCTION("""COMPUTED_VALUE"""),"Новый")</f>
        <v>Новый</v>
      </c>
      <c r="G3797" s="68"/>
      <c r="K3797" s="68"/>
    </row>
    <row r="3798" spans="1:11" ht="12.75">
      <c r="A3798" s="69">
        <f ca="1">IFERROR(__xludf.DUMMYFUNCTION("""COMPUTED_VALUE"""),102447)</f>
        <v>102447</v>
      </c>
      <c r="B3798" s="4">
        <f ca="1">IFERROR(__xludf.DUMMYFUNCTION("""COMPUTED_VALUE"""),44762)</f>
        <v>44762</v>
      </c>
      <c r="C3798" t="str">
        <f ca="1">IFERROR(__xludf.DUMMYFUNCTION("""COMPUTED_VALUE"""),"БУ Г. ОМСКА ""УДХБ"" 197-РДО от 01.07.2022")</f>
        <v>БУ Г. ОМСКА "УДХБ" 197-РДО от 01.07.2022</v>
      </c>
      <c r="D37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8" t="str">
        <f ca="1">IFERROR(__xludf.DUMMYFUNCTION("""COMPUTED_VALUE"""),"Новый")</f>
        <v>Новый</v>
      </c>
      <c r="G3798" s="68"/>
      <c r="K3798" s="68"/>
    </row>
    <row r="3799" spans="1:11" ht="12.75">
      <c r="A3799" s="69">
        <f ca="1">IFERROR(__xludf.DUMMYFUNCTION("""COMPUTED_VALUE"""),102448)</f>
        <v>102448</v>
      </c>
      <c r="B3799" s="4">
        <f ca="1">IFERROR(__xludf.DUMMYFUNCTION("""COMPUTED_VALUE"""),44762)</f>
        <v>44762</v>
      </c>
      <c r="C3799" t="str">
        <f ca="1">IFERROR(__xludf.DUMMYFUNCTION("""COMPUTED_VALUE"""),"БУ Г. ОМСКА ""УДХБ"" 197-РДО от 01.07.2022")</f>
        <v>БУ Г. ОМСКА "УДХБ" 197-РДО от 01.07.2022</v>
      </c>
      <c r="D37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799" t="str">
        <f ca="1">IFERROR(__xludf.DUMMYFUNCTION("""COMPUTED_VALUE"""),"Новый")</f>
        <v>Новый</v>
      </c>
      <c r="G3799" s="68"/>
      <c r="K3799" s="68"/>
    </row>
    <row r="3800" spans="1:11" ht="12.75">
      <c r="A3800" s="69">
        <f ca="1">IFERROR(__xludf.DUMMYFUNCTION("""COMPUTED_VALUE"""),102449)</f>
        <v>102449</v>
      </c>
      <c r="B3800" s="4">
        <f ca="1">IFERROR(__xludf.DUMMYFUNCTION("""COMPUTED_VALUE"""),44762)</f>
        <v>44762</v>
      </c>
      <c r="C3800" t="str">
        <f ca="1">IFERROR(__xludf.DUMMYFUNCTION("""COMPUTED_VALUE"""),"БУ Г. ОМСКА ""УДХБ"" 197-РДО от 01.07.2022")</f>
        <v>БУ Г. ОМСКА "УДХБ" 197-РДО от 01.07.2022</v>
      </c>
      <c r="D38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0" t="str">
        <f ca="1">IFERROR(__xludf.DUMMYFUNCTION("""COMPUTED_VALUE"""),"Новый")</f>
        <v>Новый</v>
      </c>
      <c r="G3800" s="68"/>
      <c r="K3800" s="68"/>
    </row>
    <row r="3801" spans="1:11" ht="12.75">
      <c r="A3801" s="69">
        <f ca="1">IFERROR(__xludf.DUMMYFUNCTION("""COMPUTED_VALUE"""),102493)</f>
        <v>102493</v>
      </c>
      <c r="B3801" s="4">
        <f ca="1">IFERROR(__xludf.DUMMYFUNCTION("""COMPUTED_VALUE"""),44762)</f>
        <v>44762</v>
      </c>
      <c r="C3801" t="str">
        <f ca="1">IFERROR(__xludf.DUMMYFUNCTION("""COMPUTED_VALUE"""),"ООО ""РОДЕН"" 185-РДО от 26.05.2022")</f>
        <v>ООО "РОДЕН" 185-РДО от 26.05.2022</v>
      </c>
      <c r="D38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1" t="str">
        <f ca="1">IFERROR(__xludf.DUMMYFUNCTION("""COMPUTED_VALUE"""),"Новый")</f>
        <v>Новый</v>
      </c>
      <c r="G3801" s="68"/>
      <c r="K3801" s="68"/>
    </row>
    <row r="3802" spans="1:11" ht="12.75">
      <c r="A3802" s="69">
        <f ca="1">IFERROR(__xludf.DUMMYFUNCTION("""COMPUTED_VALUE"""),102502)</f>
        <v>102502</v>
      </c>
      <c r="B3802" s="4">
        <f ca="1">IFERROR(__xludf.DUMMYFUNCTION("""COMPUTED_VALUE"""),44762)</f>
        <v>44762</v>
      </c>
      <c r="C3802" t="str">
        <f ca="1">IFERROR(__xludf.DUMMYFUNCTION("""COMPUTED_VALUE"""),"ООО ""РОДЕН"" 185-РДО от 26.05.2022")</f>
        <v>ООО "РОДЕН" 185-РДО от 26.05.2022</v>
      </c>
      <c r="D38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2" t="str">
        <f ca="1">IFERROR(__xludf.DUMMYFUNCTION("""COMPUTED_VALUE"""),"Новый")</f>
        <v>Новый</v>
      </c>
      <c r="G3802" s="68"/>
      <c r="K3802" s="68"/>
    </row>
    <row r="3803" spans="1:11" ht="12.75">
      <c r="A3803" s="69">
        <f ca="1">IFERROR(__xludf.DUMMYFUNCTION("""COMPUTED_VALUE"""),102503)</f>
        <v>102503</v>
      </c>
      <c r="B3803" s="4">
        <f ca="1">IFERROR(__xludf.DUMMYFUNCTION("""COMPUTED_VALUE"""),44762)</f>
        <v>44762</v>
      </c>
      <c r="C3803" t="str">
        <f ca="1">IFERROR(__xludf.DUMMYFUNCTION("""COMPUTED_VALUE"""),"ООО ""РОДЕН"" 185-РДО от 26.05.2022")</f>
        <v>ООО "РОДЕН" 185-РДО от 26.05.2022</v>
      </c>
      <c r="D38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3" t="str">
        <f ca="1">IFERROR(__xludf.DUMMYFUNCTION("""COMPUTED_VALUE"""),"Новый")</f>
        <v>Новый</v>
      </c>
      <c r="G3803" s="68"/>
      <c r="K3803" s="68"/>
    </row>
    <row r="3804" spans="1:11" ht="12.75">
      <c r="A3804" s="69">
        <f ca="1">IFERROR(__xludf.DUMMYFUNCTION("""COMPUTED_VALUE"""),102504)</f>
        <v>102504</v>
      </c>
      <c r="B3804" s="4">
        <f ca="1">IFERROR(__xludf.DUMMYFUNCTION("""COMPUTED_VALUE"""),44762)</f>
        <v>44762</v>
      </c>
      <c r="C3804" t="str">
        <f ca="1">IFERROR(__xludf.DUMMYFUNCTION("""COMPUTED_VALUE"""),"ООО ""РОДЕН"" 185-РДО от 26.05.2022")</f>
        <v>ООО "РОДЕН" 185-РДО от 26.05.2022</v>
      </c>
      <c r="D38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4" t="str">
        <f ca="1">IFERROR(__xludf.DUMMYFUNCTION("""COMPUTED_VALUE"""),"Новый")</f>
        <v>Новый</v>
      </c>
      <c r="G3804" s="68"/>
      <c r="K3804" s="68"/>
    </row>
    <row r="3805" spans="1:11" ht="12.75">
      <c r="A3805" s="69">
        <f ca="1">IFERROR(__xludf.DUMMYFUNCTION("""COMPUTED_VALUE"""),102505)</f>
        <v>102505</v>
      </c>
      <c r="B3805" s="4">
        <f ca="1">IFERROR(__xludf.DUMMYFUNCTION("""COMPUTED_VALUE"""),44762)</f>
        <v>44762</v>
      </c>
      <c r="C3805" t="str">
        <f ca="1">IFERROR(__xludf.DUMMYFUNCTION("""COMPUTED_VALUE"""),"ООО ""РОДЕН"" 185-РДО от 26.05.2022")</f>
        <v>ООО "РОДЕН" 185-РДО от 26.05.2022</v>
      </c>
      <c r="D38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5" t="str">
        <f ca="1">IFERROR(__xludf.DUMMYFUNCTION("""COMPUTED_VALUE"""),"Новый")</f>
        <v>Новый</v>
      </c>
      <c r="G3805" s="68"/>
      <c r="K3805" s="68"/>
    </row>
    <row r="3806" spans="1:11" ht="12.75">
      <c r="A3806" s="69">
        <f ca="1">IFERROR(__xludf.DUMMYFUNCTION("""COMPUTED_VALUE"""),102506)</f>
        <v>102506</v>
      </c>
      <c r="B3806" s="4">
        <f ca="1">IFERROR(__xludf.DUMMYFUNCTION("""COMPUTED_VALUE"""),44762)</f>
        <v>44762</v>
      </c>
      <c r="C3806" t="str">
        <f ca="1">IFERROR(__xludf.DUMMYFUNCTION("""COMPUTED_VALUE"""),"ООО ""РОДЕН"" 185-РДО от 26.05.2022")</f>
        <v>ООО "РОДЕН" 185-РДО от 26.05.2022</v>
      </c>
      <c r="D38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6" t="str">
        <f ca="1">IFERROR(__xludf.DUMMYFUNCTION("""COMPUTED_VALUE"""),"Новый")</f>
        <v>Новый</v>
      </c>
      <c r="G3806" s="68"/>
      <c r="K3806" s="68"/>
    </row>
    <row r="3807" spans="1:11" ht="12.75">
      <c r="A3807" s="69">
        <f ca="1">IFERROR(__xludf.DUMMYFUNCTION("""COMPUTED_VALUE"""),102507)</f>
        <v>102507</v>
      </c>
      <c r="B3807" s="4">
        <f ca="1">IFERROR(__xludf.DUMMYFUNCTION("""COMPUTED_VALUE"""),44762)</f>
        <v>44762</v>
      </c>
      <c r="C3807" t="str">
        <f ca="1">IFERROR(__xludf.DUMMYFUNCTION("""COMPUTED_VALUE"""),"ООО ""РОДЕН"" 185-РДО от 26.05.2022")</f>
        <v>ООО "РОДЕН" 185-РДО от 26.05.2022</v>
      </c>
      <c r="D38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7" t="str">
        <f ca="1">IFERROR(__xludf.DUMMYFUNCTION("""COMPUTED_VALUE"""),"Новый")</f>
        <v>Новый</v>
      </c>
      <c r="G3807" s="68"/>
      <c r="K3807" s="68"/>
    </row>
    <row r="3808" spans="1:11" ht="12.75">
      <c r="A3808" s="69">
        <f ca="1">IFERROR(__xludf.DUMMYFUNCTION("""COMPUTED_VALUE"""),102508)</f>
        <v>102508</v>
      </c>
      <c r="B3808" s="4">
        <f ca="1">IFERROR(__xludf.DUMMYFUNCTION("""COMPUTED_VALUE"""),44762)</f>
        <v>44762</v>
      </c>
      <c r="C3808" t="str">
        <f ca="1">IFERROR(__xludf.DUMMYFUNCTION("""COMPUTED_VALUE"""),"ООО ""РОДЕН"" 185-РДО от 26.05.2022")</f>
        <v>ООО "РОДЕН" 185-РДО от 26.05.2022</v>
      </c>
      <c r="D38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8" t="str">
        <f ca="1">IFERROR(__xludf.DUMMYFUNCTION("""COMPUTED_VALUE"""),"Новый")</f>
        <v>Новый</v>
      </c>
      <c r="G3808" s="68"/>
      <c r="K3808" s="68"/>
    </row>
    <row r="3809" spans="1:11" ht="12.75">
      <c r="A3809" s="69">
        <f ca="1">IFERROR(__xludf.DUMMYFUNCTION("""COMPUTED_VALUE"""),102509)</f>
        <v>102509</v>
      </c>
      <c r="B3809" s="4">
        <f ca="1">IFERROR(__xludf.DUMMYFUNCTION("""COMPUTED_VALUE"""),44762)</f>
        <v>44762</v>
      </c>
      <c r="C3809" t="str">
        <f ca="1">IFERROR(__xludf.DUMMYFUNCTION("""COMPUTED_VALUE"""),"ООО ""РОДЕН"" 185-РДО от 26.05.2022")</f>
        <v>ООО "РОДЕН" 185-РДО от 26.05.2022</v>
      </c>
      <c r="D38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09" t="str">
        <f ca="1">IFERROR(__xludf.DUMMYFUNCTION("""COMPUTED_VALUE"""),"Новый")</f>
        <v>Новый</v>
      </c>
      <c r="G3809" s="68"/>
      <c r="K3809" s="68"/>
    </row>
    <row r="3810" spans="1:11" ht="12.75">
      <c r="A3810" s="69">
        <f ca="1">IFERROR(__xludf.DUMMYFUNCTION("""COMPUTED_VALUE"""),102510)</f>
        <v>102510</v>
      </c>
      <c r="B3810" s="4">
        <f ca="1">IFERROR(__xludf.DUMMYFUNCTION("""COMPUTED_VALUE"""),44762)</f>
        <v>44762</v>
      </c>
      <c r="C3810" t="str">
        <f ca="1">IFERROR(__xludf.DUMMYFUNCTION("""COMPUTED_VALUE"""),"ООО ""РОДЕН"" 185-РДО от 26.05.2022")</f>
        <v>ООО "РОДЕН" 185-РДО от 26.05.2022</v>
      </c>
      <c r="D38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0" t="str">
        <f ca="1">IFERROR(__xludf.DUMMYFUNCTION("""COMPUTED_VALUE"""),"Новый")</f>
        <v>Новый</v>
      </c>
      <c r="G3810" s="68"/>
      <c r="K3810" s="68"/>
    </row>
    <row r="3811" spans="1:11" ht="12.75">
      <c r="A3811" s="69">
        <f ca="1">IFERROR(__xludf.DUMMYFUNCTION("""COMPUTED_VALUE"""),102511)</f>
        <v>102511</v>
      </c>
      <c r="B3811" s="4">
        <f ca="1">IFERROR(__xludf.DUMMYFUNCTION("""COMPUTED_VALUE"""),44762)</f>
        <v>44762</v>
      </c>
      <c r="C3811" t="str">
        <f ca="1">IFERROR(__xludf.DUMMYFUNCTION("""COMPUTED_VALUE"""),"ООО ""РОДЕН"" 185-РДО от 26.05.2022")</f>
        <v>ООО "РОДЕН" 185-РДО от 26.05.2022</v>
      </c>
      <c r="D38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1" t="str">
        <f ca="1">IFERROR(__xludf.DUMMYFUNCTION("""COMPUTED_VALUE"""),"Новый")</f>
        <v>Новый</v>
      </c>
      <c r="G3811" s="68"/>
      <c r="K3811" s="68"/>
    </row>
    <row r="3812" spans="1:11" ht="12.75">
      <c r="A3812" s="69">
        <f ca="1">IFERROR(__xludf.DUMMYFUNCTION("""COMPUTED_VALUE"""),102512)</f>
        <v>102512</v>
      </c>
      <c r="B3812" s="4">
        <f ca="1">IFERROR(__xludf.DUMMYFUNCTION("""COMPUTED_VALUE"""),44762)</f>
        <v>44762</v>
      </c>
      <c r="C3812" t="str">
        <f ca="1">IFERROR(__xludf.DUMMYFUNCTION("""COMPUTED_VALUE"""),"ООО ""РОДЕН"" 185-РДО от 26.05.2022")</f>
        <v>ООО "РОДЕН" 185-РДО от 26.05.2022</v>
      </c>
      <c r="D38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2" t="str">
        <f ca="1">IFERROR(__xludf.DUMMYFUNCTION("""COMPUTED_VALUE"""),"Новый")</f>
        <v>Новый</v>
      </c>
      <c r="G3812" s="68"/>
      <c r="K3812" s="68"/>
    </row>
    <row r="3813" spans="1:11" ht="12.75">
      <c r="A3813" s="69">
        <f ca="1">IFERROR(__xludf.DUMMYFUNCTION("""COMPUTED_VALUE"""),102513)</f>
        <v>102513</v>
      </c>
      <c r="B3813" s="4">
        <f ca="1">IFERROR(__xludf.DUMMYFUNCTION("""COMPUTED_VALUE"""),44762)</f>
        <v>44762</v>
      </c>
      <c r="C3813" t="str">
        <f ca="1">IFERROR(__xludf.DUMMYFUNCTION("""COMPUTED_VALUE"""),"ООО ""РОДЕН"" 185-РДО от 26.05.2022")</f>
        <v>ООО "РОДЕН" 185-РДО от 26.05.2022</v>
      </c>
      <c r="D38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3" t="str">
        <f ca="1">IFERROR(__xludf.DUMMYFUNCTION("""COMPUTED_VALUE"""),"Новый")</f>
        <v>Новый</v>
      </c>
      <c r="G3813" s="68"/>
      <c r="K3813" s="68"/>
    </row>
    <row r="3814" spans="1:11" ht="12.75">
      <c r="A3814" s="69">
        <f ca="1">IFERROR(__xludf.DUMMYFUNCTION("""COMPUTED_VALUE"""),102514)</f>
        <v>102514</v>
      </c>
      <c r="B3814" s="4">
        <f ca="1">IFERROR(__xludf.DUMMYFUNCTION("""COMPUTED_VALUE"""),44762)</f>
        <v>44762</v>
      </c>
      <c r="C3814" t="str">
        <f ca="1">IFERROR(__xludf.DUMMYFUNCTION("""COMPUTED_VALUE"""),"ООО ""РОДЕН"" 185-РДО от 26.05.2022")</f>
        <v>ООО "РОДЕН" 185-РДО от 26.05.2022</v>
      </c>
      <c r="D38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4" t="str">
        <f ca="1">IFERROR(__xludf.DUMMYFUNCTION("""COMPUTED_VALUE"""),"Новый")</f>
        <v>Новый</v>
      </c>
      <c r="G3814" s="68"/>
      <c r="K3814" s="68"/>
    </row>
    <row r="3815" spans="1:11" ht="12.75">
      <c r="A3815" s="69">
        <f ca="1">IFERROR(__xludf.DUMMYFUNCTION("""COMPUTED_VALUE"""),102515)</f>
        <v>102515</v>
      </c>
      <c r="B3815" s="4">
        <f ca="1">IFERROR(__xludf.DUMMYFUNCTION("""COMPUTED_VALUE"""),44762)</f>
        <v>44762</v>
      </c>
      <c r="C3815" t="str">
        <f ca="1">IFERROR(__xludf.DUMMYFUNCTION("""COMPUTED_VALUE"""),"ООО ""РОДЕН"" 185-РДО от 26.05.2022")</f>
        <v>ООО "РОДЕН" 185-РДО от 26.05.2022</v>
      </c>
      <c r="D38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5" t="str">
        <f ca="1">IFERROR(__xludf.DUMMYFUNCTION("""COMPUTED_VALUE"""),"Новый")</f>
        <v>Новый</v>
      </c>
      <c r="G3815" s="68"/>
      <c r="K3815" s="68"/>
    </row>
    <row r="3816" spans="1:11" ht="12.75">
      <c r="A3816" s="69">
        <f ca="1">IFERROR(__xludf.DUMMYFUNCTION("""COMPUTED_VALUE"""),102516)</f>
        <v>102516</v>
      </c>
      <c r="B3816" s="4">
        <f ca="1">IFERROR(__xludf.DUMMYFUNCTION("""COMPUTED_VALUE"""),44762)</f>
        <v>44762</v>
      </c>
      <c r="C3816" t="str">
        <f ca="1">IFERROR(__xludf.DUMMYFUNCTION("""COMPUTED_VALUE"""),"ООО ""РОДЕН"" 185-РДО от 26.05.2022")</f>
        <v>ООО "РОДЕН" 185-РДО от 26.05.2022</v>
      </c>
      <c r="D38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6" t="str">
        <f ca="1">IFERROR(__xludf.DUMMYFUNCTION("""COMPUTED_VALUE"""),"Новый")</f>
        <v>Новый</v>
      </c>
      <c r="G3816" s="68"/>
      <c r="K3816" s="68"/>
    </row>
    <row r="3817" spans="1:11" ht="12.75">
      <c r="A3817" s="69">
        <f ca="1">IFERROR(__xludf.DUMMYFUNCTION("""COMPUTED_VALUE"""),102517)</f>
        <v>102517</v>
      </c>
      <c r="B3817" s="4">
        <f ca="1">IFERROR(__xludf.DUMMYFUNCTION("""COMPUTED_VALUE"""),44762)</f>
        <v>44762</v>
      </c>
      <c r="C3817" t="str">
        <f ca="1">IFERROR(__xludf.DUMMYFUNCTION("""COMPUTED_VALUE"""),"ООО ""РОДЕН"" 185-РДО от 26.05.2022")</f>
        <v>ООО "РОДЕН" 185-РДО от 26.05.2022</v>
      </c>
      <c r="D38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7" t="str">
        <f ca="1">IFERROR(__xludf.DUMMYFUNCTION("""COMPUTED_VALUE"""),"Новый")</f>
        <v>Новый</v>
      </c>
      <c r="G3817" s="68"/>
      <c r="K3817" s="68"/>
    </row>
    <row r="3818" spans="1:11" ht="12.75">
      <c r="A3818" s="69">
        <f ca="1">IFERROR(__xludf.DUMMYFUNCTION("""COMPUTED_VALUE"""),102518)</f>
        <v>102518</v>
      </c>
      <c r="B3818" s="4">
        <f ca="1">IFERROR(__xludf.DUMMYFUNCTION("""COMPUTED_VALUE"""),44762)</f>
        <v>44762</v>
      </c>
      <c r="C3818" t="str">
        <f ca="1">IFERROR(__xludf.DUMMYFUNCTION("""COMPUTED_VALUE"""),"ООО ""РОДЕН"" 185-РДО от 26.05.2022")</f>
        <v>ООО "РОДЕН" 185-РДО от 26.05.2022</v>
      </c>
      <c r="D38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8" t="str">
        <f ca="1">IFERROR(__xludf.DUMMYFUNCTION("""COMPUTED_VALUE"""),"Новый")</f>
        <v>Новый</v>
      </c>
      <c r="G3818" s="68"/>
      <c r="K3818" s="68"/>
    </row>
    <row r="3819" spans="1:11" ht="12.75">
      <c r="A3819" s="69">
        <f ca="1">IFERROR(__xludf.DUMMYFUNCTION("""COMPUTED_VALUE"""),102519)</f>
        <v>102519</v>
      </c>
      <c r="B3819" s="4">
        <f ca="1">IFERROR(__xludf.DUMMYFUNCTION("""COMPUTED_VALUE"""),44762)</f>
        <v>44762</v>
      </c>
      <c r="C3819" t="str">
        <f ca="1">IFERROR(__xludf.DUMMYFUNCTION("""COMPUTED_VALUE"""),"ООО ""РОДЕН"" 185-РДО от 26.05.2022")</f>
        <v>ООО "РОДЕН" 185-РДО от 26.05.2022</v>
      </c>
      <c r="D38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19" t="str">
        <f ca="1">IFERROR(__xludf.DUMMYFUNCTION("""COMPUTED_VALUE"""),"Новый")</f>
        <v>Новый</v>
      </c>
      <c r="G3819" s="68"/>
      <c r="K3819" s="68"/>
    </row>
    <row r="3820" spans="1:11" ht="12.75">
      <c r="A3820" s="69">
        <f ca="1">IFERROR(__xludf.DUMMYFUNCTION("""COMPUTED_VALUE"""),102520)</f>
        <v>102520</v>
      </c>
      <c r="B3820" s="4">
        <f ca="1">IFERROR(__xludf.DUMMYFUNCTION("""COMPUTED_VALUE"""),44764)</f>
        <v>44764</v>
      </c>
      <c r="C3820" t="str">
        <f ca="1">IFERROR(__xludf.DUMMYFUNCTION("""COMPUTED_VALUE"""),"АО ""МЕЛЬНИЦА"" 200-РДО от 19.07.2022")</f>
        <v>АО "МЕЛЬНИЦА" 200-РДО от 19.07.2022</v>
      </c>
      <c r="D38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0" t="str">
        <f ca="1">IFERROR(__xludf.DUMMYFUNCTION("""COMPUTED_VALUE"""),"Новый")</f>
        <v>Новый</v>
      </c>
      <c r="G3820" s="68"/>
      <c r="K3820" s="68"/>
    </row>
    <row r="3821" spans="1:11" ht="12.75">
      <c r="A3821" s="69">
        <f ca="1">IFERROR(__xludf.DUMMYFUNCTION("""COMPUTED_VALUE"""),102521)</f>
        <v>102521</v>
      </c>
      <c r="B3821" s="4">
        <f ca="1">IFERROR(__xludf.DUMMYFUNCTION("""COMPUTED_VALUE"""),44764)</f>
        <v>44764</v>
      </c>
      <c r="C3821" t="str">
        <f ca="1">IFERROR(__xludf.DUMMYFUNCTION("""COMPUTED_VALUE"""),"АО ""МЕЛЬНИЦА"" 200-РДО от 19.07.2022")</f>
        <v>АО "МЕЛЬНИЦА" 200-РДО от 19.07.2022</v>
      </c>
      <c r="D38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1" t="str">
        <f ca="1">IFERROR(__xludf.DUMMYFUNCTION("""COMPUTED_VALUE"""),"Новый")</f>
        <v>Новый</v>
      </c>
      <c r="G3821" s="68"/>
      <c r="K3821" s="68"/>
    </row>
    <row r="3822" spans="1:11" ht="12.75">
      <c r="A3822" s="69">
        <f ca="1">IFERROR(__xludf.DUMMYFUNCTION("""COMPUTED_VALUE"""),102522)</f>
        <v>102522</v>
      </c>
      <c r="B3822" s="4">
        <f ca="1">IFERROR(__xludf.DUMMYFUNCTION("""COMPUTED_VALUE"""),44764)</f>
        <v>44764</v>
      </c>
      <c r="C3822" t="str">
        <f ca="1">IFERROR(__xludf.DUMMYFUNCTION("""COMPUTED_VALUE"""),"АО ""МЕЛЬНИЦА"" 200-РДО от 19.07.2022")</f>
        <v>АО "МЕЛЬНИЦА" 200-РДО от 19.07.2022</v>
      </c>
      <c r="D38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2" t="str">
        <f ca="1">IFERROR(__xludf.DUMMYFUNCTION("""COMPUTED_VALUE"""),"Новый")</f>
        <v>Новый</v>
      </c>
      <c r="G3822" s="68"/>
      <c r="K3822" s="68"/>
    </row>
    <row r="3823" spans="1:11" ht="12.75">
      <c r="A3823" s="69">
        <f ca="1">IFERROR(__xludf.DUMMYFUNCTION("""COMPUTED_VALUE"""),102523)</f>
        <v>102523</v>
      </c>
      <c r="B3823" s="4">
        <f ca="1">IFERROR(__xludf.DUMMYFUNCTION("""COMPUTED_VALUE"""),44764)</f>
        <v>44764</v>
      </c>
      <c r="C3823" t="str">
        <f ca="1">IFERROR(__xludf.DUMMYFUNCTION("""COMPUTED_VALUE"""),"АО ""МЕЛЬНИЦА"" 200-РДО от 19.07.2022")</f>
        <v>АО "МЕЛЬНИЦА" 200-РДО от 19.07.2022</v>
      </c>
      <c r="D38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3" t="str">
        <f ca="1">IFERROR(__xludf.DUMMYFUNCTION("""COMPUTED_VALUE"""),"Новый")</f>
        <v>Новый</v>
      </c>
      <c r="G3823" s="68"/>
      <c r="K3823" s="68"/>
    </row>
    <row r="3824" spans="1:11" ht="12.75">
      <c r="A3824" s="69">
        <f ca="1">IFERROR(__xludf.DUMMYFUNCTION("""COMPUTED_VALUE"""),102524)</f>
        <v>102524</v>
      </c>
      <c r="B3824" s="4">
        <f ca="1">IFERROR(__xludf.DUMMYFUNCTION("""COMPUTED_VALUE"""),44764)</f>
        <v>44764</v>
      </c>
      <c r="C3824" t="str">
        <f ca="1">IFERROR(__xludf.DUMMYFUNCTION("""COMPUTED_VALUE"""),"АО ""МЕЛЬНИЦА"" 200-РДО от 19.07.2022")</f>
        <v>АО "МЕЛЬНИЦА" 200-РДО от 19.07.2022</v>
      </c>
      <c r="D38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4" t="str">
        <f ca="1">IFERROR(__xludf.DUMMYFUNCTION("""COMPUTED_VALUE"""),"Новый")</f>
        <v>Новый</v>
      </c>
      <c r="G3824" s="68"/>
      <c r="K3824" s="68"/>
    </row>
    <row r="3825" spans="1:11" ht="12.75">
      <c r="A3825" s="69">
        <f ca="1">IFERROR(__xludf.DUMMYFUNCTION("""COMPUTED_VALUE"""),102525)</f>
        <v>102525</v>
      </c>
      <c r="B3825" s="4">
        <f ca="1">IFERROR(__xludf.DUMMYFUNCTION("""COMPUTED_VALUE"""),44764)</f>
        <v>44764</v>
      </c>
      <c r="C3825" t="str">
        <f ca="1">IFERROR(__xludf.DUMMYFUNCTION("""COMPUTED_VALUE"""),"АО ""МЕЛЬНИЦА"" 200-РДО от 19.07.2022")</f>
        <v>АО "МЕЛЬНИЦА" 200-РДО от 19.07.2022</v>
      </c>
      <c r="D38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5" t="str">
        <f ca="1">IFERROR(__xludf.DUMMYFUNCTION("""COMPUTED_VALUE"""),"Новый")</f>
        <v>Новый</v>
      </c>
      <c r="G3825" s="68"/>
      <c r="K3825" s="68"/>
    </row>
    <row r="3826" spans="1:11" ht="12.75">
      <c r="A3826" s="69">
        <f ca="1">IFERROR(__xludf.DUMMYFUNCTION("""COMPUTED_VALUE"""),102526)</f>
        <v>102526</v>
      </c>
      <c r="B3826" s="4">
        <f ca="1">IFERROR(__xludf.DUMMYFUNCTION("""COMPUTED_VALUE"""),44764)</f>
        <v>44764</v>
      </c>
      <c r="C3826" t="str">
        <f ca="1">IFERROR(__xludf.DUMMYFUNCTION("""COMPUTED_VALUE"""),"АО ""МЕЛЬНИЦА"" 200-РДО от 19.07.2022")</f>
        <v>АО "МЕЛЬНИЦА" 200-РДО от 19.07.2022</v>
      </c>
      <c r="D38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6" t="str">
        <f ca="1">IFERROR(__xludf.DUMMYFUNCTION("""COMPUTED_VALUE"""),"Новый")</f>
        <v>Новый</v>
      </c>
      <c r="G3826" s="68"/>
      <c r="K3826" s="68"/>
    </row>
    <row r="3827" spans="1:11" ht="12.75">
      <c r="A3827" s="69">
        <f ca="1">IFERROR(__xludf.DUMMYFUNCTION("""COMPUTED_VALUE"""),102527)</f>
        <v>102527</v>
      </c>
      <c r="B3827" s="4">
        <f ca="1">IFERROR(__xludf.DUMMYFUNCTION("""COMPUTED_VALUE"""),44764)</f>
        <v>44764</v>
      </c>
      <c r="C3827" t="str">
        <f ca="1">IFERROR(__xludf.DUMMYFUNCTION("""COMPUTED_VALUE"""),"АО ""МЕЛЬНИЦА"" 200-РДО от 19.07.2022")</f>
        <v>АО "МЕЛЬНИЦА" 200-РДО от 19.07.2022</v>
      </c>
      <c r="D38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7" t="str">
        <f ca="1">IFERROR(__xludf.DUMMYFUNCTION("""COMPUTED_VALUE"""),"Новый")</f>
        <v>Новый</v>
      </c>
      <c r="G3827" s="68"/>
      <c r="K3827" s="68"/>
    </row>
    <row r="3828" spans="1:11" ht="12.75">
      <c r="A3828" s="69">
        <f ca="1">IFERROR(__xludf.DUMMYFUNCTION("""COMPUTED_VALUE"""),102528)</f>
        <v>102528</v>
      </c>
      <c r="B3828" s="4">
        <f ca="1">IFERROR(__xludf.DUMMYFUNCTION("""COMPUTED_VALUE"""),44764)</f>
        <v>44764</v>
      </c>
      <c r="C3828" t="str">
        <f ca="1">IFERROR(__xludf.DUMMYFUNCTION("""COMPUTED_VALUE"""),"АО ""МЕЛЬНИЦА"" 200-РДО от 19.07.2022")</f>
        <v>АО "МЕЛЬНИЦА" 200-РДО от 19.07.2022</v>
      </c>
      <c r="D38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8" t="str">
        <f ca="1">IFERROR(__xludf.DUMMYFUNCTION("""COMPUTED_VALUE"""),"Новый")</f>
        <v>Новый</v>
      </c>
      <c r="G3828" s="68"/>
      <c r="K3828" s="68"/>
    </row>
    <row r="3829" spans="1:11" ht="12.75">
      <c r="A3829" s="69">
        <f ca="1">IFERROR(__xludf.DUMMYFUNCTION("""COMPUTED_VALUE"""),102529)</f>
        <v>102529</v>
      </c>
      <c r="B3829" s="4">
        <f ca="1">IFERROR(__xludf.DUMMYFUNCTION("""COMPUTED_VALUE"""),44764)</f>
        <v>44764</v>
      </c>
      <c r="C3829" t="str">
        <f ca="1">IFERROR(__xludf.DUMMYFUNCTION("""COMPUTED_VALUE"""),"АО ""МЕЛЬНИЦА"" 200-РДО от 19.07.2022")</f>
        <v>АО "МЕЛЬНИЦА" 200-РДО от 19.07.2022</v>
      </c>
      <c r="D38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29" t="str">
        <f ca="1">IFERROR(__xludf.DUMMYFUNCTION("""COMPUTED_VALUE"""),"Новый")</f>
        <v>Новый</v>
      </c>
      <c r="G3829" s="68"/>
      <c r="K3829" s="68"/>
    </row>
    <row r="3830" spans="1:11" ht="12.75">
      <c r="A3830" s="69">
        <f ca="1">IFERROR(__xludf.DUMMYFUNCTION("""COMPUTED_VALUE"""),102530)</f>
        <v>102530</v>
      </c>
      <c r="B3830" s="4">
        <f ca="1">IFERROR(__xludf.DUMMYFUNCTION("""COMPUTED_VALUE"""),44764)</f>
        <v>44764</v>
      </c>
      <c r="C3830" t="str">
        <f ca="1">IFERROR(__xludf.DUMMYFUNCTION("""COMPUTED_VALUE"""),"АО ""МЕЛЬНИЦА"" 200-РДО от 19.07.2022")</f>
        <v>АО "МЕЛЬНИЦА" 200-РДО от 19.07.2022</v>
      </c>
      <c r="D38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0" t="str">
        <f ca="1">IFERROR(__xludf.DUMMYFUNCTION("""COMPUTED_VALUE"""),"Новый")</f>
        <v>Новый</v>
      </c>
      <c r="G3830" s="68"/>
      <c r="K3830" s="68"/>
    </row>
    <row r="3831" spans="1:11" ht="12.75">
      <c r="A3831" s="69">
        <f ca="1">IFERROR(__xludf.DUMMYFUNCTION("""COMPUTED_VALUE"""),102531)</f>
        <v>102531</v>
      </c>
      <c r="B3831" s="4">
        <f ca="1">IFERROR(__xludf.DUMMYFUNCTION("""COMPUTED_VALUE"""),44764)</f>
        <v>44764</v>
      </c>
      <c r="C3831" t="str">
        <f ca="1">IFERROR(__xludf.DUMMYFUNCTION("""COMPUTED_VALUE"""),"АО ""МЕЛЬНИЦА"" 200-РДО от 19.07.2022")</f>
        <v>АО "МЕЛЬНИЦА" 200-РДО от 19.07.2022</v>
      </c>
      <c r="D38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1" t="str">
        <f ca="1">IFERROR(__xludf.DUMMYFUNCTION("""COMPUTED_VALUE"""),"Новый")</f>
        <v>Новый</v>
      </c>
      <c r="G3831" s="68"/>
      <c r="K3831" s="68"/>
    </row>
    <row r="3832" spans="1:11" ht="12.75">
      <c r="A3832" s="69">
        <f ca="1">IFERROR(__xludf.DUMMYFUNCTION("""COMPUTED_VALUE"""),102532)</f>
        <v>102532</v>
      </c>
      <c r="B3832" s="4">
        <f ca="1">IFERROR(__xludf.DUMMYFUNCTION("""COMPUTED_VALUE"""),44764)</f>
        <v>44764</v>
      </c>
      <c r="C3832" t="str">
        <f ca="1">IFERROR(__xludf.DUMMYFUNCTION("""COMPUTED_VALUE"""),"АО ""МЕЛЬНИЦА"" 200-РДО от 19.07.2022")</f>
        <v>АО "МЕЛЬНИЦА" 200-РДО от 19.07.2022</v>
      </c>
      <c r="D38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2" t="str">
        <f ca="1">IFERROR(__xludf.DUMMYFUNCTION("""COMPUTED_VALUE"""),"Новый")</f>
        <v>Новый</v>
      </c>
      <c r="G3832" s="68"/>
      <c r="K3832" s="68"/>
    </row>
    <row r="3833" spans="1:11" ht="12.75">
      <c r="A3833" s="69">
        <f ca="1">IFERROR(__xludf.DUMMYFUNCTION("""COMPUTED_VALUE"""),102533)</f>
        <v>102533</v>
      </c>
      <c r="B3833" s="4">
        <f ca="1">IFERROR(__xludf.DUMMYFUNCTION("""COMPUTED_VALUE"""),44764)</f>
        <v>44764</v>
      </c>
      <c r="C3833" t="str">
        <f ca="1">IFERROR(__xludf.DUMMYFUNCTION("""COMPUTED_VALUE"""),"АО ""МЕЛЬНИЦА"" 200-РДО от 19.07.2022")</f>
        <v>АО "МЕЛЬНИЦА" 200-РДО от 19.07.2022</v>
      </c>
      <c r="D38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3" t="str">
        <f ca="1">IFERROR(__xludf.DUMMYFUNCTION("""COMPUTED_VALUE"""),"Новый")</f>
        <v>Новый</v>
      </c>
      <c r="G3833" s="68"/>
      <c r="K3833" s="68"/>
    </row>
    <row r="3834" spans="1:11" ht="12.75">
      <c r="A3834" s="69">
        <f ca="1">IFERROR(__xludf.DUMMYFUNCTION("""COMPUTED_VALUE"""),102534)</f>
        <v>102534</v>
      </c>
      <c r="B3834" s="4">
        <f ca="1">IFERROR(__xludf.DUMMYFUNCTION("""COMPUTED_VALUE"""),44764)</f>
        <v>44764</v>
      </c>
      <c r="C3834" t="str">
        <f ca="1">IFERROR(__xludf.DUMMYFUNCTION("""COMPUTED_VALUE"""),"АО ""МЕЛЬНИЦА"" 200-РДО от 19.07.2022")</f>
        <v>АО "МЕЛЬНИЦА" 200-РДО от 19.07.2022</v>
      </c>
      <c r="D38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4" t="str">
        <f ca="1">IFERROR(__xludf.DUMMYFUNCTION("""COMPUTED_VALUE"""),"Новый")</f>
        <v>Новый</v>
      </c>
      <c r="G3834" s="68"/>
      <c r="K3834" s="68"/>
    </row>
    <row r="3835" spans="1:11" ht="12.75">
      <c r="A3835" s="69">
        <f ca="1">IFERROR(__xludf.DUMMYFUNCTION("""COMPUTED_VALUE"""),102535)</f>
        <v>102535</v>
      </c>
      <c r="B3835" s="4">
        <f ca="1">IFERROR(__xludf.DUMMYFUNCTION("""COMPUTED_VALUE"""),44764)</f>
        <v>44764</v>
      </c>
      <c r="C3835" t="str">
        <f ca="1">IFERROR(__xludf.DUMMYFUNCTION("""COMPUTED_VALUE"""),"АО ""МЕЛЬНИЦА"" 200-РДО от 19.07.2022")</f>
        <v>АО "МЕЛЬНИЦА" 200-РДО от 19.07.2022</v>
      </c>
      <c r="D38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5" t="str">
        <f ca="1">IFERROR(__xludf.DUMMYFUNCTION("""COMPUTED_VALUE"""),"Новый")</f>
        <v>Новый</v>
      </c>
      <c r="G3835" s="68"/>
      <c r="K3835" s="68"/>
    </row>
    <row r="3836" spans="1:11" ht="12.75">
      <c r="A3836" s="69">
        <f ca="1">IFERROR(__xludf.DUMMYFUNCTION("""COMPUTED_VALUE"""),102536)</f>
        <v>102536</v>
      </c>
      <c r="B3836" s="4">
        <f ca="1">IFERROR(__xludf.DUMMYFUNCTION("""COMPUTED_VALUE"""),44764)</f>
        <v>44764</v>
      </c>
      <c r="C3836" t="str">
        <f ca="1">IFERROR(__xludf.DUMMYFUNCTION("""COMPUTED_VALUE"""),"АО ""МЕЛЬНИЦА"" 200-РДО от 19.07.2022")</f>
        <v>АО "МЕЛЬНИЦА" 200-РДО от 19.07.2022</v>
      </c>
      <c r="D38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6" t="str">
        <f ca="1">IFERROR(__xludf.DUMMYFUNCTION("""COMPUTED_VALUE"""),"Новый")</f>
        <v>Новый</v>
      </c>
      <c r="G3836" s="68"/>
      <c r="K3836" s="68"/>
    </row>
    <row r="3837" spans="1:11" ht="12.75">
      <c r="A3837" s="69">
        <f ca="1">IFERROR(__xludf.DUMMYFUNCTION("""COMPUTED_VALUE"""),102537)</f>
        <v>102537</v>
      </c>
      <c r="B3837" s="4">
        <f ca="1">IFERROR(__xludf.DUMMYFUNCTION("""COMPUTED_VALUE"""),44764)</f>
        <v>44764</v>
      </c>
      <c r="C3837" t="str">
        <f ca="1">IFERROR(__xludf.DUMMYFUNCTION("""COMPUTED_VALUE"""),"АО ""МЕЛЬНИЦА"" 200-РДО от 19.07.2022")</f>
        <v>АО "МЕЛЬНИЦА" 200-РДО от 19.07.2022</v>
      </c>
      <c r="D38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7" t="str">
        <f ca="1">IFERROR(__xludf.DUMMYFUNCTION("""COMPUTED_VALUE"""),"Новый")</f>
        <v>Новый</v>
      </c>
      <c r="G3837" s="68"/>
      <c r="K3837" s="68"/>
    </row>
    <row r="3838" spans="1:11" ht="12.75">
      <c r="A3838" s="69">
        <f ca="1">IFERROR(__xludf.DUMMYFUNCTION("""COMPUTED_VALUE"""),102538)</f>
        <v>102538</v>
      </c>
      <c r="B3838" s="4">
        <f ca="1">IFERROR(__xludf.DUMMYFUNCTION("""COMPUTED_VALUE"""),44764)</f>
        <v>44764</v>
      </c>
      <c r="C3838" t="str">
        <f ca="1">IFERROR(__xludf.DUMMYFUNCTION("""COMPUTED_VALUE"""),"АО ""МЕЛЬНИЦА"" 200-РДО от 19.07.2022")</f>
        <v>АО "МЕЛЬНИЦА" 200-РДО от 19.07.2022</v>
      </c>
      <c r="D38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8" t="str">
        <f ca="1">IFERROR(__xludf.DUMMYFUNCTION("""COMPUTED_VALUE"""),"Новый")</f>
        <v>Новый</v>
      </c>
      <c r="G3838" s="68"/>
      <c r="K3838" s="68"/>
    </row>
    <row r="3839" spans="1:11" ht="12.75">
      <c r="A3839" s="69">
        <f ca="1">IFERROR(__xludf.DUMMYFUNCTION("""COMPUTED_VALUE"""),102539)</f>
        <v>102539</v>
      </c>
      <c r="B3839" s="4">
        <f ca="1">IFERROR(__xludf.DUMMYFUNCTION("""COMPUTED_VALUE"""),44764)</f>
        <v>44764</v>
      </c>
      <c r="C3839" t="str">
        <f ca="1">IFERROR(__xludf.DUMMYFUNCTION("""COMPUTED_VALUE"""),"АО ""МЕЛЬНИЦА"" 200-РДО от 19.07.2022")</f>
        <v>АО "МЕЛЬНИЦА" 200-РДО от 19.07.2022</v>
      </c>
      <c r="D38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39" t="str">
        <f ca="1">IFERROR(__xludf.DUMMYFUNCTION("""COMPUTED_VALUE"""),"Новый")</f>
        <v>Новый</v>
      </c>
      <c r="G3839" s="68"/>
      <c r="K3839" s="68"/>
    </row>
    <row r="3840" spans="1:11" ht="12.75">
      <c r="A3840" s="69">
        <f ca="1">IFERROR(__xludf.DUMMYFUNCTION("""COMPUTED_VALUE"""),102540)</f>
        <v>102540</v>
      </c>
      <c r="B3840" s="4">
        <f ca="1">IFERROR(__xludf.DUMMYFUNCTION("""COMPUTED_VALUE"""),44764)</f>
        <v>44764</v>
      </c>
      <c r="C3840" t="str">
        <f ca="1">IFERROR(__xludf.DUMMYFUNCTION("""COMPUTED_VALUE"""),"АО ""МЕЛЬНИЦА"" 200-РДО от 19.07.2022")</f>
        <v>АО "МЕЛЬНИЦА" 200-РДО от 19.07.2022</v>
      </c>
      <c r="D38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0" t="str">
        <f ca="1">IFERROR(__xludf.DUMMYFUNCTION("""COMPUTED_VALUE"""),"Новый")</f>
        <v>Новый</v>
      </c>
      <c r="G3840" s="68"/>
      <c r="K3840" s="68"/>
    </row>
    <row r="3841" spans="1:11" ht="12.75">
      <c r="A3841" s="69">
        <f ca="1">IFERROR(__xludf.DUMMYFUNCTION("""COMPUTED_VALUE"""),102541)</f>
        <v>102541</v>
      </c>
      <c r="B3841" s="4">
        <f ca="1">IFERROR(__xludf.DUMMYFUNCTION("""COMPUTED_VALUE"""),44764)</f>
        <v>44764</v>
      </c>
      <c r="C3841" t="str">
        <f ca="1">IFERROR(__xludf.DUMMYFUNCTION("""COMPUTED_VALUE"""),"АО ""МЕЛЬНИЦА"" 200-РДО от 19.07.2022")</f>
        <v>АО "МЕЛЬНИЦА" 200-РДО от 19.07.2022</v>
      </c>
      <c r="D38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1" t="str">
        <f ca="1">IFERROR(__xludf.DUMMYFUNCTION("""COMPUTED_VALUE"""),"Новый")</f>
        <v>Новый</v>
      </c>
      <c r="G3841" s="68"/>
      <c r="K3841" s="68"/>
    </row>
    <row r="3842" spans="1:11" ht="12.75">
      <c r="A3842" s="69">
        <f ca="1">IFERROR(__xludf.DUMMYFUNCTION("""COMPUTED_VALUE"""),102542)</f>
        <v>102542</v>
      </c>
      <c r="B3842" s="4">
        <f ca="1">IFERROR(__xludf.DUMMYFUNCTION("""COMPUTED_VALUE"""),44764)</f>
        <v>44764</v>
      </c>
      <c r="C3842" t="str">
        <f ca="1">IFERROR(__xludf.DUMMYFUNCTION("""COMPUTED_VALUE"""),"АО ""МЕЛЬНИЦА"" 200-РДО от 19.07.2022")</f>
        <v>АО "МЕЛЬНИЦА" 200-РДО от 19.07.2022</v>
      </c>
      <c r="D38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2" t="str">
        <f ca="1">IFERROR(__xludf.DUMMYFUNCTION("""COMPUTED_VALUE"""),"Новый")</f>
        <v>Новый</v>
      </c>
      <c r="G3842" s="68"/>
      <c r="K3842" s="68"/>
    </row>
    <row r="3843" spans="1:11" ht="12.75">
      <c r="A3843" s="69">
        <f ca="1">IFERROR(__xludf.DUMMYFUNCTION("""COMPUTED_VALUE"""),102543)</f>
        <v>102543</v>
      </c>
      <c r="B3843" s="4">
        <f ca="1">IFERROR(__xludf.DUMMYFUNCTION("""COMPUTED_VALUE"""),44764)</f>
        <v>44764</v>
      </c>
      <c r="C3843" t="str">
        <f ca="1">IFERROR(__xludf.DUMMYFUNCTION("""COMPUTED_VALUE"""),"АО ""МЕЛЬНИЦА"" 200-РДО от 19.07.2022")</f>
        <v>АО "МЕЛЬНИЦА" 200-РДО от 19.07.2022</v>
      </c>
      <c r="D38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3" t="str">
        <f ca="1">IFERROR(__xludf.DUMMYFUNCTION("""COMPUTED_VALUE"""),"Новый")</f>
        <v>Новый</v>
      </c>
      <c r="G3843" s="68"/>
      <c r="K3843" s="68"/>
    </row>
    <row r="3844" spans="1:11" ht="12.75">
      <c r="A3844" s="69">
        <f ca="1">IFERROR(__xludf.DUMMYFUNCTION("""COMPUTED_VALUE"""),102544)</f>
        <v>102544</v>
      </c>
      <c r="B3844" s="4">
        <f ca="1">IFERROR(__xludf.DUMMYFUNCTION("""COMPUTED_VALUE"""),44764)</f>
        <v>44764</v>
      </c>
      <c r="C3844" t="str">
        <f ca="1">IFERROR(__xludf.DUMMYFUNCTION("""COMPUTED_VALUE"""),"АО ""МЕЛЬНИЦА"" 200-РДО от 19.07.2022")</f>
        <v>АО "МЕЛЬНИЦА" 200-РДО от 19.07.2022</v>
      </c>
      <c r="D38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4" t="str">
        <f ca="1">IFERROR(__xludf.DUMMYFUNCTION("""COMPUTED_VALUE"""),"Новый")</f>
        <v>Новый</v>
      </c>
      <c r="G3844" s="68"/>
      <c r="K3844" s="68"/>
    </row>
    <row r="3845" spans="1:11" ht="12.75">
      <c r="A3845" s="69">
        <f ca="1">IFERROR(__xludf.DUMMYFUNCTION("""COMPUTED_VALUE"""),102545)</f>
        <v>102545</v>
      </c>
      <c r="B3845" s="4">
        <f ca="1">IFERROR(__xludf.DUMMYFUNCTION("""COMPUTED_VALUE"""),44764)</f>
        <v>44764</v>
      </c>
      <c r="C3845" t="str">
        <f ca="1">IFERROR(__xludf.DUMMYFUNCTION("""COMPUTED_VALUE"""),"АО ""МЕЛЬНИЦА"" 200-РДО от 19.07.2022")</f>
        <v>АО "МЕЛЬНИЦА" 200-РДО от 19.07.2022</v>
      </c>
      <c r="D38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5" t="str">
        <f ca="1">IFERROR(__xludf.DUMMYFUNCTION("""COMPUTED_VALUE"""),"Новый")</f>
        <v>Новый</v>
      </c>
      <c r="G3845" s="68"/>
      <c r="K3845" s="68"/>
    </row>
    <row r="3846" spans="1:11" ht="12.75">
      <c r="A3846" s="69">
        <f ca="1">IFERROR(__xludf.DUMMYFUNCTION("""COMPUTED_VALUE"""),102546)</f>
        <v>102546</v>
      </c>
      <c r="B3846" s="4">
        <f ca="1">IFERROR(__xludf.DUMMYFUNCTION("""COMPUTED_VALUE"""),44764)</f>
        <v>44764</v>
      </c>
      <c r="C3846" t="str">
        <f ca="1">IFERROR(__xludf.DUMMYFUNCTION("""COMPUTED_VALUE"""),"АО ""МЕЛЬНИЦА"" 200-РДО от 19.07.2022")</f>
        <v>АО "МЕЛЬНИЦА" 200-РДО от 19.07.2022</v>
      </c>
      <c r="D38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6" t="str">
        <f ca="1">IFERROR(__xludf.DUMMYFUNCTION("""COMPUTED_VALUE"""),"Новый")</f>
        <v>Новый</v>
      </c>
      <c r="G3846" s="68"/>
      <c r="K3846" s="68"/>
    </row>
    <row r="3847" spans="1:11" ht="12.75">
      <c r="A3847" s="69">
        <f ca="1">IFERROR(__xludf.DUMMYFUNCTION("""COMPUTED_VALUE"""),102547)</f>
        <v>102547</v>
      </c>
      <c r="B3847" s="4">
        <f ca="1">IFERROR(__xludf.DUMMYFUNCTION("""COMPUTED_VALUE"""),44764)</f>
        <v>44764</v>
      </c>
      <c r="C3847" t="str">
        <f ca="1">IFERROR(__xludf.DUMMYFUNCTION("""COMPUTED_VALUE"""),"АО ""МЕЛЬНИЦА"" 200-РДО от 19.07.2022")</f>
        <v>АО "МЕЛЬНИЦА" 200-РДО от 19.07.2022</v>
      </c>
      <c r="D38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7" t="str">
        <f ca="1">IFERROR(__xludf.DUMMYFUNCTION("""COMPUTED_VALUE"""),"Новый")</f>
        <v>Новый</v>
      </c>
      <c r="G3847" s="68"/>
      <c r="K3847" s="68"/>
    </row>
    <row r="3848" spans="1:11" ht="12.75">
      <c r="A3848" s="69">
        <f ca="1">IFERROR(__xludf.DUMMYFUNCTION("""COMPUTED_VALUE"""),102548)</f>
        <v>102548</v>
      </c>
      <c r="B3848" s="4">
        <f ca="1">IFERROR(__xludf.DUMMYFUNCTION("""COMPUTED_VALUE"""),44764)</f>
        <v>44764</v>
      </c>
      <c r="C3848" t="str">
        <f ca="1">IFERROR(__xludf.DUMMYFUNCTION("""COMPUTED_VALUE"""),"АО ""МЕЛЬНИЦА"" 200-РДО от 19.07.2022")</f>
        <v>АО "МЕЛЬНИЦА" 200-РДО от 19.07.2022</v>
      </c>
      <c r="D38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8" t="str">
        <f ca="1">IFERROR(__xludf.DUMMYFUNCTION("""COMPUTED_VALUE"""),"Новый")</f>
        <v>Новый</v>
      </c>
      <c r="G3848" s="68"/>
      <c r="K3848" s="68"/>
    </row>
    <row r="3849" spans="1:11" ht="12.75">
      <c r="A3849" s="69">
        <f ca="1">IFERROR(__xludf.DUMMYFUNCTION("""COMPUTED_VALUE"""),102549)</f>
        <v>102549</v>
      </c>
      <c r="B3849" s="4">
        <f ca="1">IFERROR(__xludf.DUMMYFUNCTION("""COMPUTED_VALUE"""),44764)</f>
        <v>44764</v>
      </c>
      <c r="C3849" t="str">
        <f ca="1">IFERROR(__xludf.DUMMYFUNCTION("""COMPUTED_VALUE"""),"АО ""МЕЛЬНИЦА"" 200-РДО от 19.07.2022")</f>
        <v>АО "МЕЛЬНИЦА" 200-РДО от 19.07.2022</v>
      </c>
      <c r="D38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49" t="str">
        <f ca="1">IFERROR(__xludf.DUMMYFUNCTION("""COMPUTED_VALUE"""),"Новый")</f>
        <v>Новый</v>
      </c>
      <c r="G3849" s="68"/>
      <c r="K3849" s="68"/>
    </row>
    <row r="3850" spans="1:11" ht="12.75">
      <c r="A3850" s="69">
        <f ca="1">IFERROR(__xludf.DUMMYFUNCTION("""COMPUTED_VALUE"""),102550)</f>
        <v>102550</v>
      </c>
      <c r="B3850" s="4">
        <f ca="1">IFERROR(__xludf.DUMMYFUNCTION("""COMPUTED_VALUE"""),44764)</f>
        <v>44764</v>
      </c>
      <c r="C3850" t="str">
        <f ca="1">IFERROR(__xludf.DUMMYFUNCTION("""COMPUTED_VALUE"""),"АО ""МЕЛЬНИЦА"" 200-РДО от 19.07.2022")</f>
        <v>АО "МЕЛЬНИЦА" 200-РДО от 19.07.2022</v>
      </c>
      <c r="D38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0" t="str">
        <f ca="1">IFERROR(__xludf.DUMMYFUNCTION("""COMPUTED_VALUE"""),"Новый")</f>
        <v>Новый</v>
      </c>
      <c r="G3850" s="68"/>
      <c r="K3850" s="68"/>
    </row>
    <row r="3851" spans="1:11" ht="12.75">
      <c r="A3851" s="69">
        <f ca="1">IFERROR(__xludf.DUMMYFUNCTION("""COMPUTED_VALUE"""),102551)</f>
        <v>102551</v>
      </c>
      <c r="B3851" s="4">
        <f ca="1">IFERROR(__xludf.DUMMYFUNCTION("""COMPUTED_VALUE"""),44764)</f>
        <v>44764</v>
      </c>
      <c r="C3851" t="str">
        <f ca="1">IFERROR(__xludf.DUMMYFUNCTION("""COMPUTED_VALUE"""),"АО ""МЕЛЬНИЦА"" 200-РДО от 19.07.2022")</f>
        <v>АО "МЕЛЬНИЦА" 200-РДО от 19.07.2022</v>
      </c>
      <c r="D38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1" t="str">
        <f ca="1">IFERROR(__xludf.DUMMYFUNCTION("""COMPUTED_VALUE"""),"Новый")</f>
        <v>Новый</v>
      </c>
      <c r="G3851" s="68"/>
      <c r="K3851" s="68"/>
    </row>
    <row r="3852" spans="1:11" ht="12.75">
      <c r="A3852" s="69">
        <f ca="1">IFERROR(__xludf.DUMMYFUNCTION("""COMPUTED_VALUE"""),102552)</f>
        <v>102552</v>
      </c>
      <c r="B3852" s="4">
        <f ca="1">IFERROR(__xludf.DUMMYFUNCTION("""COMPUTED_VALUE"""),44764)</f>
        <v>44764</v>
      </c>
      <c r="C3852" t="str">
        <f ca="1">IFERROR(__xludf.DUMMYFUNCTION("""COMPUTED_VALUE"""),"АО ""МЕЛЬНИЦА"" 200-РДО от 19.07.2022")</f>
        <v>АО "МЕЛЬНИЦА" 200-РДО от 19.07.2022</v>
      </c>
      <c r="D38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2" t="str">
        <f ca="1">IFERROR(__xludf.DUMMYFUNCTION("""COMPUTED_VALUE"""),"Новый")</f>
        <v>Новый</v>
      </c>
      <c r="G3852" s="68"/>
      <c r="K3852" s="68"/>
    </row>
    <row r="3853" spans="1:11" ht="12.75">
      <c r="A3853" s="69">
        <f ca="1">IFERROR(__xludf.DUMMYFUNCTION("""COMPUTED_VALUE"""),102553)</f>
        <v>102553</v>
      </c>
      <c r="B3853" s="4">
        <f ca="1">IFERROR(__xludf.DUMMYFUNCTION("""COMPUTED_VALUE"""),44764)</f>
        <v>44764</v>
      </c>
      <c r="C3853" t="str">
        <f ca="1">IFERROR(__xludf.DUMMYFUNCTION("""COMPUTED_VALUE"""),"АО ""МЕЛЬНИЦА"" 200-РДО от 19.07.2022")</f>
        <v>АО "МЕЛЬНИЦА" 200-РДО от 19.07.2022</v>
      </c>
      <c r="D38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3" t="str">
        <f ca="1">IFERROR(__xludf.DUMMYFUNCTION("""COMPUTED_VALUE"""),"Новый")</f>
        <v>Новый</v>
      </c>
      <c r="G3853" s="68"/>
      <c r="K3853" s="68"/>
    </row>
    <row r="3854" spans="1:11" ht="12.75">
      <c r="A3854" s="69">
        <f ca="1">IFERROR(__xludf.DUMMYFUNCTION("""COMPUTED_VALUE"""),102554)</f>
        <v>102554</v>
      </c>
      <c r="B3854" s="4">
        <f ca="1">IFERROR(__xludf.DUMMYFUNCTION("""COMPUTED_VALUE"""),44764)</f>
        <v>44764</v>
      </c>
      <c r="C3854" t="str">
        <f ca="1">IFERROR(__xludf.DUMMYFUNCTION("""COMPUTED_VALUE"""),"АО ""МЕЛЬНИЦА"" 200-РДО от 19.07.2022")</f>
        <v>АО "МЕЛЬНИЦА" 200-РДО от 19.07.2022</v>
      </c>
      <c r="D38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4" t="str">
        <f ca="1">IFERROR(__xludf.DUMMYFUNCTION("""COMPUTED_VALUE"""),"Новый")</f>
        <v>Новый</v>
      </c>
      <c r="G3854" s="68"/>
      <c r="K3854" s="68"/>
    </row>
    <row r="3855" spans="1:11" ht="12.75">
      <c r="A3855" s="69">
        <f ca="1">IFERROR(__xludf.DUMMYFUNCTION("""COMPUTED_VALUE"""),102555)</f>
        <v>102555</v>
      </c>
      <c r="B3855" s="4">
        <f ca="1">IFERROR(__xludf.DUMMYFUNCTION("""COMPUTED_VALUE"""),44764)</f>
        <v>44764</v>
      </c>
      <c r="C3855" t="str">
        <f ca="1">IFERROR(__xludf.DUMMYFUNCTION("""COMPUTED_VALUE"""),"АО ""МЕЛЬНИЦА"" 200-РДО от 19.07.2022")</f>
        <v>АО "МЕЛЬНИЦА" 200-РДО от 19.07.2022</v>
      </c>
      <c r="D38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5" t="str">
        <f ca="1">IFERROR(__xludf.DUMMYFUNCTION("""COMPUTED_VALUE"""),"Новый")</f>
        <v>Новый</v>
      </c>
      <c r="G3855" s="68"/>
      <c r="K3855" s="68"/>
    </row>
    <row r="3856" spans="1:11" ht="12.75">
      <c r="A3856" s="69">
        <f ca="1">IFERROR(__xludf.DUMMYFUNCTION("""COMPUTED_VALUE"""),102556)</f>
        <v>102556</v>
      </c>
      <c r="B3856" s="4">
        <f ca="1">IFERROR(__xludf.DUMMYFUNCTION("""COMPUTED_VALUE"""),44764)</f>
        <v>44764</v>
      </c>
      <c r="C3856" t="str">
        <f ca="1">IFERROR(__xludf.DUMMYFUNCTION("""COMPUTED_VALUE"""),"АО ""МЕЛЬНИЦА"" 200-РДО от 19.07.2022")</f>
        <v>АО "МЕЛЬНИЦА" 200-РДО от 19.07.2022</v>
      </c>
      <c r="D38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6" t="str">
        <f ca="1">IFERROR(__xludf.DUMMYFUNCTION("""COMPUTED_VALUE"""),"Новый")</f>
        <v>Новый</v>
      </c>
      <c r="G3856" s="68"/>
      <c r="K3856" s="68"/>
    </row>
    <row r="3857" spans="1:11" ht="12.75">
      <c r="A3857" s="69">
        <f ca="1">IFERROR(__xludf.DUMMYFUNCTION("""COMPUTED_VALUE"""),102557)</f>
        <v>102557</v>
      </c>
      <c r="B3857" s="4">
        <f ca="1">IFERROR(__xludf.DUMMYFUNCTION("""COMPUTED_VALUE"""),44764)</f>
        <v>44764</v>
      </c>
      <c r="C3857" t="str">
        <f ca="1">IFERROR(__xludf.DUMMYFUNCTION("""COMPUTED_VALUE"""),"АО ""МЕЛЬНИЦА"" 200-РДО от 19.07.2022")</f>
        <v>АО "МЕЛЬНИЦА" 200-РДО от 19.07.2022</v>
      </c>
      <c r="D38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7" t="str">
        <f ca="1">IFERROR(__xludf.DUMMYFUNCTION("""COMPUTED_VALUE"""),"Новый")</f>
        <v>Новый</v>
      </c>
      <c r="G3857" s="68"/>
      <c r="K3857" s="68"/>
    </row>
    <row r="3858" spans="1:11" ht="12.75">
      <c r="A3858" s="69">
        <f ca="1">IFERROR(__xludf.DUMMYFUNCTION("""COMPUTED_VALUE"""),102558)</f>
        <v>102558</v>
      </c>
      <c r="B3858" s="4">
        <f ca="1">IFERROR(__xludf.DUMMYFUNCTION("""COMPUTED_VALUE"""),44764)</f>
        <v>44764</v>
      </c>
      <c r="C3858" t="str">
        <f ca="1">IFERROR(__xludf.DUMMYFUNCTION("""COMPUTED_VALUE"""),"АО ""МЕЛЬНИЦА"" 200-РДО от 19.07.2022")</f>
        <v>АО "МЕЛЬНИЦА" 200-РДО от 19.07.2022</v>
      </c>
      <c r="D38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8" t="str">
        <f ca="1">IFERROR(__xludf.DUMMYFUNCTION("""COMPUTED_VALUE"""),"Новый")</f>
        <v>Новый</v>
      </c>
      <c r="G3858" s="68"/>
      <c r="K3858" s="68"/>
    </row>
    <row r="3859" spans="1:11" ht="12.75">
      <c r="A3859" s="69">
        <f ca="1">IFERROR(__xludf.DUMMYFUNCTION("""COMPUTED_VALUE"""),102559)</f>
        <v>102559</v>
      </c>
      <c r="B3859" s="4">
        <f ca="1">IFERROR(__xludf.DUMMYFUNCTION("""COMPUTED_VALUE"""),44764)</f>
        <v>44764</v>
      </c>
      <c r="C3859" t="str">
        <f ca="1">IFERROR(__xludf.DUMMYFUNCTION("""COMPUTED_VALUE"""),"АО ""МЕЛЬНИЦА"" 200-РДО от 19.07.2022")</f>
        <v>АО "МЕЛЬНИЦА" 200-РДО от 19.07.2022</v>
      </c>
      <c r="D38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59" t="str">
        <f ca="1">IFERROR(__xludf.DUMMYFUNCTION("""COMPUTED_VALUE"""),"Новый")</f>
        <v>Новый</v>
      </c>
      <c r="G3859" s="68"/>
      <c r="K3859" s="68"/>
    </row>
    <row r="3860" spans="1:11" ht="12.75">
      <c r="A3860" s="69">
        <f ca="1">IFERROR(__xludf.DUMMYFUNCTION("""COMPUTED_VALUE"""),102560)</f>
        <v>102560</v>
      </c>
      <c r="B3860" s="4">
        <f ca="1">IFERROR(__xludf.DUMMYFUNCTION("""COMPUTED_VALUE"""),44764)</f>
        <v>44764</v>
      </c>
      <c r="C3860" t="str">
        <f ca="1">IFERROR(__xludf.DUMMYFUNCTION("""COMPUTED_VALUE"""),"АО ""МЕЛЬНИЦА"" 200-РДО от 19.07.2022")</f>
        <v>АО "МЕЛЬНИЦА" 200-РДО от 19.07.2022</v>
      </c>
      <c r="D38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0" t="str">
        <f ca="1">IFERROR(__xludf.DUMMYFUNCTION("""COMPUTED_VALUE"""),"Новый")</f>
        <v>Новый</v>
      </c>
      <c r="G3860" s="68"/>
      <c r="K3860" s="68"/>
    </row>
    <row r="3861" spans="1:11" ht="12.75">
      <c r="A3861" s="69">
        <f ca="1">IFERROR(__xludf.DUMMYFUNCTION("""COMPUTED_VALUE"""),102561)</f>
        <v>102561</v>
      </c>
      <c r="B3861" s="4">
        <f ca="1">IFERROR(__xludf.DUMMYFUNCTION("""COMPUTED_VALUE"""),44764)</f>
        <v>44764</v>
      </c>
      <c r="C3861" t="str">
        <f ca="1">IFERROR(__xludf.DUMMYFUNCTION("""COMPUTED_VALUE"""),"АО ""МЕЛЬНИЦА"" 200-РДО от 19.07.2022")</f>
        <v>АО "МЕЛЬНИЦА" 200-РДО от 19.07.2022</v>
      </c>
      <c r="D38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1" t="str">
        <f ca="1">IFERROR(__xludf.DUMMYFUNCTION("""COMPUTED_VALUE"""),"Новый")</f>
        <v>Новый</v>
      </c>
      <c r="G3861" s="68"/>
      <c r="K3861" s="68"/>
    </row>
    <row r="3862" spans="1:11" ht="12.75">
      <c r="A3862" s="69">
        <f ca="1">IFERROR(__xludf.DUMMYFUNCTION("""COMPUTED_VALUE"""),102562)</f>
        <v>102562</v>
      </c>
      <c r="B3862" s="4">
        <f ca="1">IFERROR(__xludf.DUMMYFUNCTION("""COMPUTED_VALUE"""),44764)</f>
        <v>44764</v>
      </c>
      <c r="C3862" t="str">
        <f ca="1">IFERROR(__xludf.DUMMYFUNCTION("""COMPUTED_VALUE"""),"АО ""МЕЛЬНИЦА"" 200-РДО от 19.07.2022")</f>
        <v>АО "МЕЛЬНИЦА" 200-РДО от 19.07.2022</v>
      </c>
      <c r="D38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2" t="str">
        <f ca="1">IFERROR(__xludf.DUMMYFUNCTION("""COMPUTED_VALUE"""),"Новый")</f>
        <v>Новый</v>
      </c>
      <c r="G3862" s="68"/>
      <c r="K3862" s="68"/>
    </row>
    <row r="3863" spans="1:11" ht="12.75">
      <c r="A3863" s="69">
        <f ca="1">IFERROR(__xludf.DUMMYFUNCTION("""COMPUTED_VALUE"""),102563)</f>
        <v>102563</v>
      </c>
      <c r="B3863" s="4">
        <f ca="1">IFERROR(__xludf.DUMMYFUNCTION("""COMPUTED_VALUE"""),44764)</f>
        <v>44764</v>
      </c>
      <c r="C3863" t="str">
        <f ca="1">IFERROR(__xludf.DUMMYFUNCTION("""COMPUTED_VALUE"""),"АО ""МЕЛЬНИЦА"" 200-РДО от 19.07.2022")</f>
        <v>АО "МЕЛЬНИЦА" 200-РДО от 19.07.2022</v>
      </c>
      <c r="D38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3" t="str">
        <f ca="1">IFERROR(__xludf.DUMMYFUNCTION("""COMPUTED_VALUE"""),"Новый")</f>
        <v>Новый</v>
      </c>
      <c r="G3863" s="68"/>
      <c r="K3863" s="68"/>
    </row>
    <row r="3864" spans="1:11" ht="12.75">
      <c r="A3864" s="69">
        <f ca="1">IFERROR(__xludf.DUMMYFUNCTION("""COMPUTED_VALUE"""),102564)</f>
        <v>102564</v>
      </c>
      <c r="B3864" s="4">
        <f ca="1">IFERROR(__xludf.DUMMYFUNCTION("""COMPUTED_VALUE"""),44764)</f>
        <v>44764</v>
      </c>
      <c r="C3864" t="str">
        <f ca="1">IFERROR(__xludf.DUMMYFUNCTION("""COMPUTED_VALUE"""),"АО ""МЕЛЬНИЦА"" 200-РДО от 19.07.2022")</f>
        <v>АО "МЕЛЬНИЦА" 200-РДО от 19.07.2022</v>
      </c>
      <c r="D38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4" t="str">
        <f ca="1">IFERROR(__xludf.DUMMYFUNCTION("""COMPUTED_VALUE"""),"Новый")</f>
        <v>Новый</v>
      </c>
      <c r="G3864" s="68"/>
      <c r="K3864" s="68"/>
    </row>
    <row r="3865" spans="1:11" ht="12.75">
      <c r="A3865" s="69">
        <f ca="1">IFERROR(__xludf.DUMMYFUNCTION("""COMPUTED_VALUE"""),102565)</f>
        <v>102565</v>
      </c>
      <c r="B3865" s="4">
        <f ca="1">IFERROR(__xludf.DUMMYFUNCTION("""COMPUTED_VALUE"""),44764)</f>
        <v>44764</v>
      </c>
      <c r="C3865" t="str">
        <f ca="1">IFERROR(__xludf.DUMMYFUNCTION("""COMPUTED_VALUE"""),"АО ""МЕЛЬНИЦА"" 200-РДО от 19.07.2022")</f>
        <v>АО "МЕЛЬНИЦА" 200-РДО от 19.07.2022</v>
      </c>
      <c r="D38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5" t="str">
        <f ca="1">IFERROR(__xludf.DUMMYFUNCTION("""COMPUTED_VALUE"""),"Новый")</f>
        <v>Новый</v>
      </c>
      <c r="G3865" s="68"/>
      <c r="K3865" s="68"/>
    </row>
    <row r="3866" spans="1:11" ht="12.75">
      <c r="A3866" s="69">
        <f ca="1">IFERROR(__xludf.DUMMYFUNCTION("""COMPUTED_VALUE"""),102566)</f>
        <v>102566</v>
      </c>
      <c r="B3866" s="4">
        <f ca="1">IFERROR(__xludf.DUMMYFUNCTION("""COMPUTED_VALUE"""),44764)</f>
        <v>44764</v>
      </c>
      <c r="C3866" t="str">
        <f ca="1">IFERROR(__xludf.DUMMYFUNCTION("""COMPUTED_VALUE"""),"АО ""МЕЛЬНИЦА"" 200-РДО от 19.07.2022")</f>
        <v>АО "МЕЛЬНИЦА" 200-РДО от 19.07.2022</v>
      </c>
      <c r="D38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6" t="str">
        <f ca="1">IFERROR(__xludf.DUMMYFUNCTION("""COMPUTED_VALUE"""),"Новый")</f>
        <v>Новый</v>
      </c>
      <c r="G3866" s="68"/>
      <c r="K3866" s="68"/>
    </row>
    <row r="3867" spans="1:11" ht="12.75">
      <c r="A3867" s="69">
        <f ca="1">IFERROR(__xludf.DUMMYFUNCTION("""COMPUTED_VALUE"""),102567)</f>
        <v>102567</v>
      </c>
      <c r="B3867" s="4">
        <f ca="1">IFERROR(__xludf.DUMMYFUNCTION("""COMPUTED_VALUE"""),44764)</f>
        <v>44764</v>
      </c>
      <c r="C3867" t="str">
        <f ca="1">IFERROR(__xludf.DUMMYFUNCTION("""COMPUTED_VALUE"""),"АО ""МЕЛЬНИЦА"" 200-РДО от 19.07.2022")</f>
        <v>АО "МЕЛЬНИЦА" 200-РДО от 19.07.2022</v>
      </c>
      <c r="D38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7" t="str">
        <f ca="1">IFERROR(__xludf.DUMMYFUNCTION("""COMPUTED_VALUE"""),"Новый")</f>
        <v>Новый</v>
      </c>
      <c r="G3867" s="68"/>
      <c r="K3867" s="68"/>
    </row>
    <row r="3868" spans="1:11" ht="12.75">
      <c r="A3868" s="69">
        <f ca="1">IFERROR(__xludf.DUMMYFUNCTION("""COMPUTED_VALUE"""),102568)</f>
        <v>102568</v>
      </c>
      <c r="B3868" s="4">
        <f ca="1">IFERROR(__xludf.DUMMYFUNCTION("""COMPUTED_VALUE"""),44764)</f>
        <v>44764</v>
      </c>
      <c r="C3868" t="str">
        <f ca="1">IFERROR(__xludf.DUMMYFUNCTION("""COMPUTED_VALUE"""),"АО ""МЕЛЬНИЦА"" 200-РДО от 19.07.2022")</f>
        <v>АО "МЕЛЬНИЦА" 200-РДО от 19.07.2022</v>
      </c>
      <c r="D38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8" t="str">
        <f ca="1">IFERROR(__xludf.DUMMYFUNCTION("""COMPUTED_VALUE"""),"Новый")</f>
        <v>Новый</v>
      </c>
      <c r="G3868" s="68"/>
      <c r="K3868" s="68"/>
    </row>
    <row r="3869" spans="1:11" ht="12.75">
      <c r="A3869" s="69">
        <f ca="1">IFERROR(__xludf.DUMMYFUNCTION("""COMPUTED_VALUE"""),102570)</f>
        <v>102570</v>
      </c>
      <c r="B3869" s="4">
        <f ca="1">IFERROR(__xludf.DUMMYFUNCTION("""COMPUTED_VALUE"""),44764)</f>
        <v>44764</v>
      </c>
      <c r="C3869" t="str">
        <f ca="1">IFERROR(__xludf.DUMMYFUNCTION("""COMPUTED_VALUE"""),"АО ""МЕЛЬНИЦА"" 200-РДО от 19.07.2022")</f>
        <v>АО "МЕЛЬНИЦА" 200-РДО от 19.07.2022</v>
      </c>
      <c r="D38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69" t="str">
        <f ca="1">IFERROR(__xludf.DUMMYFUNCTION("""COMPUTED_VALUE"""),"Новый")</f>
        <v>Новый</v>
      </c>
      <c r="G3869" s="68"/>
      <c r="K3869" s="68"/>
    </row>
    <row r="3870" spans="1:11" ht="12.75">
      <c r="A3870" s="69">
        <f ca="1">IFERROR(__xludf.DUMMYFUNCTION("""COMPUTED_VALUE"""),102572)</f>
        <v>102572</v>
      </c>
      <c r="B3870" s="4">
        <f ca="1">IFERROR(__xludf.DUMMYFUNCTION("""COMPUTED_VALUE"""),44764)</f>
        <v>44764</v>
      </c>
      <c r="C3870" t="str">
        <f ca="1">IFERROR(__xludf.DUMMYFUNCTION("""COMPUTED_VALUE"""),"АО ""МЕЛЬНИЦА"" 200-РДО от 19.07.2022")</f>
        <v>АО "МЕЛЬНИЦА" 200-РДО от 19.07.2022</v>
      </c>
      <c r="D38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0" t="str">
        <f ca="1">IFERROR(__xludf.DUMMYFUNCTION("""COMPUTED_VALUE"""),"Новый")</f>
        <v>Новый</v>
      </c>
      <c r="G3870" s="68"/>
      <c r="K3870" s="68"/>
    </row>
    <row r="3871" spans="1:11" ht="12.75">
      <c r="A3871" s="69">
        <f ca="1">IFERROR(__xludf.DUMMYFUNCTION("""COMPUTED_VALUE"""),102573)</f>
        <v>102573</v>
      </c>
      <c r="B3871" s="4">
        <f ca="1">IFERROR(__xludf.DUMMYFUNCTION("""COMPUTED_VALUE"""),44764)</f>
        <v>44764</v>
      </c>
      <c r="C3871" t="str">
        <f ca="1">IFERROR(__xludf.DUMMYFUNCTION("""COMPUTED_VALUE"""),"АО ""МЕЛЬНИЦА"" 200-РДО от 19.07.2022")</f>
        <v>АО "МЕЛЬНИЦА" 200-РДО от 19.07.2022</v>
      </c>
      <c r="D38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1" t="str">
        <f ca="1">IFERROR(__xludf.DUMMYFUNCTION("""COMPUTED_VALUE"""),"Новый")</f>
        <v>Новый</v>
      </c>
      <c r="G3871" s="68"/>
      <c r="K3871" s="68"/>
    </row>
    <row r="3872" spans="1:11" ht="12.75">
      <c r="A3872" s="69">
        <f ca="1">IFERROR(__xludf.DUMMYFUNCTION("""COMPUTED_VALUE"""),102574)</f>
        <v>102574</v>
      </c>
      <c r="B3872" s="4">
        <f ca="1">IFERROR(__xludf.DUMMYFUNCTION("""COMPUTED_VALUE"""),44764)</f>
        <v>44764</v>
      </c>
      <c r="C3872" t="str">
        <f ca="1">IFERROR(__xludf.DUMMYFUNCTION("""COMPUTED_VALUE"""),"АО ""МЕЛЬНИЦА"" 200-РДО от 19.07.2022")</f>
        <v>АО "МЕЛЬНИЦА" 200-РДО от 19.07.2022</v>
      </c>
      <c r="D38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2" t="str">
        <f ca="1">IFERROR(__xludf.DUMMYFUNCTION("""COMPUTED_VALUE"""),"Новый")</f>
        <v>Новый</v>
      </c>
      <c r="G3872" s="68"/>
      <c r="K3872" s="68"/>
    </row>
    <row r="3873" spans="1:11" ht="12.75">
      <c r="A3873" s="69">
        <f ca="1">IFERROR(__xludf.DUMMYFUNCTION("""COMPUTED_VALUE"""),102575)</f>
        <v>102575</v>
      </c>
      <c r="B3873" s="4">
        <f ca="1">IFERROR(__xludf.DUMMYFUNCTION("""COMPUTED_VALUE"""),44764)</f>
        <v>44764</v>
      </c>
      <c r="C3873" t="str">
        <f ca="1">IFERROR(__xludf.DUMMYFUNCTION("""COMPUTED_VALUE"""),"АО ""МЕЛЬНИЦА"" 200-РДО от 19.07.2022")</f>
        <v>АО "МЕЛЬНИЦА" 200-РДО от 19.07.2022</v>
      </c>
      <c r="D38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3" t="str">
        <f ca="1">IFERROR(__xludf.DUMMYFUNCTION("""COMPUTED_VALUE"""),"Новый")</f>
        <v>Новый</v>
      </c>
      <c r="G3873" s="68"/>
      <c r="K3873" s="68"/>
    </row>
    <row r="3874" spans="1:11" ht="12.75">
      <c r="A3874" s="69">
        <f ca="1">IFERROR(__xludf.DUMMYFUNCTION("""COMPUTED_VALUE"""),102576)</f>
        <v>102576</v>
      </c>
      <c r="B3874" s="4">
        <f ca="1">IFERROR(__xludf.DUMMYFUNCTION("""COMPUTED_VALUE"""),44764)</f>
        <v>44764</v>
      </c>
      <c r="C3874" t="str">
        <f ca="1">IFERROR(__xludf.DUMMYFUNCTION("""COMPUTED_VALUE"""),"АО ""МЕЛЬНИЦА"" 200-РДО от 19.07.2022")</f>
        <v>АО "МЕЛЬНИЦА" 200-РДО от 19.07.2022</v>
      </c>
      <c r="D38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4" t="str">
        <f ca="1">IFERROR(__xludf.DUMMYFUNCTION("""COMPUTED_VALUE"""),"Новый")</f>
        <v>Новый</v>
      </c>
      <c r="G3874" s="68"/>
      <c r="K3874" s="68"/>
    </row>
    <row r="3875" spans="1:11" ht="12.75">
      <c r="A3875" s="69">
        <f ca="1">IFERROR(__xludf.DUMMYFUNCTION("""COMPUTED_VALUE"""),102577)</f>
        <v>102577</v>
      </c>
      <c r="B3875" s="4">
        <f ca="1">IFERROR(__xludf.DUMMYFUNCTION("""COMPUTED_VALUE"""),44764)</f>
        <v>44764</v>
      </c>
      <c r="C3875" t="str">
        <f ca="1">IFERROR(__xludf.DUMMYFUNCTION("""COMPUTED_VALUE"""),"АО ""МЕЛЬНИЦА"" 200-РДО от 19.07.2022")</f>
        <v>АО "МЕЛЬНИЦА" 200-РДО от 19.07.2022</v>
      </c>
      <c r="D38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5" t="str">
        <f ca="1">IFERROR(__xludf.DUMMYFUNCTION("""COMPUTED_VALUE"""),"Новый")</f>
        <v>Новый</v>
      </c>
      <c r="G3875" s="68"/>
      <c r="K3875" s="68"/>
    </row>
    <row r="3876" spans="1:11" ht="12.75">
      <c r="A3876" s="69">
        <f ca="1">IFERROR(__xludf.DUMMYFUNCTION("""COMPUTED_VALUE"""),102578)</f>
        <v>102578</v>
      </c>
      <c r="B3876" s="4">
        <f ca="1">IFERROR(__xludf.DUMMYFUNCTION("""COMPUTED_VALUE"""),44764)</f>
        <v>44764</v>
      </c>
      <c r="C3876" t="str">
        <f ca="1">IFERROR(__xludf.DUMMYFUNCTION("""COMPUTED_VALUE"""),"АО ""МЕЛЬНИЦА"" 200-РДО от 19.07.2022")</f>
        <v>АО "МЕЛЬНИЦА" 200-РДО от 19.07.2022</v>
      </c>
      <c r="D38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6" t="str">
        <f ca="1">IFERROR(__xludf.DUMMYFUNCTION("""COMPUTED_VALUE"""),"Новый")</f>
        <v>Новый</v>
      </c>
      <c r="G3876" s="68"/>
      <c r="K3876" s="68"/>
    </row>
    <row r="3877" spans="1:11" ht="12.75">
      <c r="A3877" s="69">
        <f ca="1">IFERROR(__xludf.DUMMYFUNCTION("""COMPUTED_VALUE"""),102579)</f>
        <v>102579</v>
      </c>
      <c r="B3877" s="4">
        <f ca="1">IFERROR(__xludf.DUMMYFUNCTION("""COMPUTED_VALUE"""),44764)</f>
        <v>44764</v>
      </c>
      <c r="C3877" t="str">
        <f ca="1">IFERROR(__xludf.DUMMYFUNCTION("""COMPUTED_VALUE"""),"АО ""МЕЛЬНИЦА"" 200-РДО от 19.07.2022")</f>
        <v>АО "МЕЛЬНИЦА" 200-РДО от 19.07.2022</v>
      </c>
      <c r="D38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7" t="str">
        <f ca="1">IFERROR(__xludf.DUMMYFUNCTION("""COMPUTED_VALUE"""),"Новый")</f>
        <v>Новый</v>
      </c>
      <c r="G3877" s="68"/>
      <c r="K3877" s="68"/>
    </row>
    <row r="3878" spans="1:11" ht="12.75">
      <c r="A3878" s="69">
        <f ca="1">IFERROR(__xludf.DUMMYFUNCTION("""COMPUTED_VALUE"""),102581)</f>
        <v>102581</v>
      </c>
      <c r="B3878" s="4">
        <f ca="1">IFERROR(__xludf.DUMMYFUNCTION("""COMPUTED_VALUE"""),44764)</f>
        <v>44764</v>
      </c>
      <c r="C3878" t="str">
        <f ca="1">IFERROR(__xludf.DUMMYFUNCTION("""COMPUTED_VALUE"""),"ООО ""БЛАГОУСТРОЙСТВО"" 202-РДО от 22.07.2022")</f>
        <v>ООО "БЛАГОУСТРОЙСТВО" 202-РДО от 22.07.2022</v>
      </c>
      <c r="D38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8" t="str">
        <f ca="1">IFERROR(__xludf.DUMMYFUNCTION("""COMPUTED_VALUE"""),"Новый")</f>
        <v>Новый</v>
      </c>
      <c r="G3878" s="68"/>
      <c r="K3878" s="68"/>
    </row>
    <row r="3879" spans="1:11" ht="12.75">
      <c r="A3879" s="69">
        <f ca="1">IFERROR(__xludf.DUMMYFUNCTION("""COMPUTED_VALUE"""),102583)</f>
        <v>102583</v>
      </c>
      <c r="B3879" s="4">
        <f ca="1">IFERROR(__xludf.DUMMYFUNCTION("""COMPUTED_VALUE"""),44764)</f>
        <v>44764</v>
      </c>
      <c r="C3879" t="str">
        <f ca="1">IFERROR(__xludf.DUMMYFUNCTION("""COMPUTED_VALUE"""),"ООО ""БЛАГОУСТРОЙСТВО"" 202-РДО от 22.07.2022")</f>
        <v>ООО "БЛАГОУСТРОЙСТВО" 202-РДО от 22.07.2022</v>
      </c>
      <c r="D38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79" t="str">
        <f ca="1">IFERROR(__xludf.DUMMYFUNCTION("""COMPUTED_VALUE"""),"Новый")</f>
        <v>Новый</v>
      </c>
      <c r="G3879" s="68"/>
      <c r="K3879" s="68"/>
    </row>
    <row r="3880" spans="1:11" ht="12.75">
      <c r="A3880" s="69">
        <f ca="1">IFERROR(__xludf.DUMMYFUNCTION("""COMPUTED_VALUE"""),102585)</f>
        <v>102585</v>
      </c>
      <c r="B3880" s="4">
        <f ca="1">IFERROR(__xludf.DUMMYFUNCTION("""COMPUTED_VALUE"""),44764)</f>
        <v>44764</v>
      </c>
      <c r="C3880" t="str">
        <f ca="1">IFERROR(__xludf.DUMMYFUNCTION("""COMPUTED_VALUE"""),"ООО ""БЛАГОУСТРОЙСТВО"" 202-РДО от 22.07.2022")</f>
        <v>ООО "БЛАГОУСТРОЙСТВО" 202-РДО от 22.07.2022</v>
      </c>
      <c r="D38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0" t="str">
        <f ca="1">IFERROR(__xludf.DUMMYFUNCTION("""COMPUTED_VALUE"""),"Новый")</f>
        <v>Новый</v>
      </c>
      <c r="G3880" s="68"/>
      <c r="K3880" s="68"/>
    </row>
    <row r="3881" spans="1:11" ht="12.75">
      <c r="A3881" s="69">
        <f ca="1">IFERROR(__xludf.DUMMYFUNCTION("""COMPUTED_VALUE"""),102587)</f>
        <v>102587</v>
      </c>
      <c r="B3881" s="4">
        <f ca="1">IFERROR(__xludf.DUMMYFUNCTION("""COMPUTED_VALUE"""),44764)</f>
        <v>44764</v>
      </c>
      <c r="C3881" t="str">
        <f ca="1">IFERROR(__xludf.DUMMYFUNCTION("""COMPUTED_VALUE"""),"ООО ""БЛАГОУСТРОЙСТВО"" 202-РДО от 22.07.2022")</f>
        <v>ООО "БЛАГОУСТРОЙСТВО" 202-РДО от 22.07.2022</v>
      </c>
      <c r="D38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1" t="str">
        <f ca="1">IFERROR(__xludf.DUMMYFUNCTION("""COMPUTED_VALUE"""),"Новый")</f>
        <v>Новый</v>
      </c>
      <c r="G3881" s="68"/>
      <c r="K3881" s="68"/>
    </row>
    <row r="3882" spans="1:11" ht="12.75">
      <c r="A3882" s="69">
        <f ca="1">IFERROR(__xludf.DUMMYFUNCTION("""COMPUTED_VALUE"""),102588)</f>
        <v>102588</v>
      </c>
      <c r="B3882" s="4">
        <f ca="1">IFERROR(__xludf.DUMMYFUNCTION("""COMPUTED_VALUE"""),44764)</f>
        <v>44764</v>
      </c>
      <c r="C3882" t="str">
        <f ca="1">IFERROR(__xludf.DUMMYFUNCTION("""COMPUTED_VALUE"""),"ООО ""БЛАГОУСТРОЙСТВО"" 202-РДО от 22.07.2022")</f>
        <v>ООО "БЛАГОУСТРОЙСТВО" 202-РДО от 22.07.2022</v>
      </c>
      <c r="D38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2" t="str">
        <f ca="1">IFERROR(__xludf.DUMMYFUNCTION("""COMPUTED_VALUE"""),"Новый")</f>
        <v>Новый</v>
      </c>
      <c r="G3882" s="68"/>
      <c r="K3882" s="68"/>
    </row>
    <row r="3883" spans="1:11" ht="12.75">
      <c r="A3883" s="69">
        <f ca="1">IFERROR(__xludf.DUMMYFUNCTION("""COMPUTED_VALUE"""),102589)</f>
        <v>102589</v>
      </c>
      <c r="B3883" s="4">
        <f ca="1">IFERROR(__xludf.DUMMYFUNCTION("""COMPUTED_VALUE"""),44764)</f>
        <v>44764</v>
      </c>
      <c r="C3883" t="str">
        <f ca="1">IFERROR(__xludf.DUMMYFUNCTION("""COMPUTED_VALUE"""),"ООО ""БЛАГОУСТРОЙСТВО"" 202-РДО от 22.07.2022")</f>
        <v>ООО "БЛАГОУСТРОЙСТВО" 202-РДО от 22.07.2022</v>
      </c>
      <c r="D38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3" t="str">
        <f ca="1">IFERROR(__xludf.DUMMYFUNCTION("""COMPUTED_VALUE"""),"Новый")</f>
        <v>Новый</v>
      </c>
      <c r="G3883" s="68"/>
      <c r="K3883" s="68"/>
    </row>
    <row r="3884" spans="1:11" ht="12.75">
      <c r="A3884" s="69">
        <f ca="1">IFERROR(__xludf.DUMMYFUNCTION("""COMPUTED_VALUE"""),102592)</f>
        <v>102592</v>
      </c>
      <c r="B3884" s="4">
        <f ca="1">IFERROR(__xludf.DUMMYFUNCTION("""COMPUTED_VALUE"""),44764)</f>
        <v>44764</v>
      </c>
      <c r="C3884" t="str">
        <f ca="1">IFERROR(__xludf.DUMMYFUNCTION("""COMPUTED_VALUE"""),"ООО ""БЛАГОУСТРОЙСТВО"" 202-РДО от 22.07.2022")</f>
        <v>ООО "БЛАГОУСТРОЙСТВО" 202-РДО от 22.07.2022</v>
      </c>
      <c r="D38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4" t="str">
        <f ca="1">IFERROR(__xludf.DUMMYFUNCTION("""COMPUTED_VALUE"""),"Новый")</f>
        <v>Новый</v>
      </c>
      <c r="G3884" s="68"/>
      <c r="K3884" s="68"/>
    </row>
    <row r="3885" spans="1:11" ht="12.75">
      <c r="A3885" s="69">
        <f ca="1">IFERROR(__xludf.DUMMYFUNCTION("""COMPUTED_VALUE"""),102594)</f>
        <v>102594</v>
      </c>
      <c r="B3885" s="4">
        <f ca="1">IFERROR(__xludf.DUMMYFUNCTION("""COMPUTED_VALUE"""),44764)</f>
        <v>44764</v>
      </c>
      <c r="C3885" t="str">
        <f ca="1">IFERROR(__xludf.DUMMYFUNCTION("""COMPUTED_VALUE"""),"ООО ""БЛАГОУСТРОЙСТВО"" 202-РДО от 22.07.2022")</f>
        <v>ООО "БЛАГОУСТРОЙСТВО" 202-РДО от 22.07.2022</v>
      </c>
      <c r="D38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5" t="str">
        <f ca="1">IFERROR(__xludf.DUMMYFUNCTION("""COMPUTED_VALUE"""),"Новый")</f>
        <v>Новый</v>
      </c>
      <c r="G3885" s="68"/>
      <c r="K3885" s="68"/>
    </row>
    <row r="3886" spans="1:11" ht="12.75">
      <c r="A3886" s="69">
        <f ca="1">IFERROR(__xludf.DUMMYFUNCTION("""COMPUTED_VALUE"""),102596)</f>
        <v>102596</v>
      </c>
      <c r="B3886" s="4">
        <f ca="1">IFERROR(__xludf.DUMMYFUNCTION("""COMPUTED_VALUE"""),44764)</f>
        <v>44764</v>
      </c>
      <c r="C3886" t="str">
        <f ca="1">IFERROR(__xludf.DUMMYFUNCTION("""COMPUTED_VALUE"""),"ООО ""БЛАГОУСТРОЙСТВО"" 202-РДО от 22.07.2022")</f>
        <v>ООО "БЛАГОУСТРОЙСТВО" 202-РДО от 22.07.2022</v>
      </c>
      <c r="D38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6" t="str">
        <f ca="1">IFERROR(__xludf.DUMMYFUNCTION("""COMPUTED_VALUE"""),"Новый")</f>
        <v>Новый</v>
      </c>
      <c r="G3886" s="68"/>
      <c r="K3886" s="68"/>
    </row>
    <row r="3887" spans="1:11" ht="12.75">
      <c r="A3887" s="69">
        <f ca="1">IFERROR(__xludf.DUMMYFUNCTION("""COMPUTED_VALUE"""),102598)</f>
        <v>102598</v>
      </c>
      <c r="B3887" s="4">
        <f ca="1">IFERROR(__xludf.DUMMYFUNCTION("""COMPUTED_VALUE"""),44764)</f>
        <v>44764</v>
      </c>
      <c r="C3887" t="str">
        <f ca="1">IFERROR(__xludf.DUMMYFUNCTION("""COMPUTED_VALUE"""),"ООО ""БЛАГОУСТРОЙСТВО"" 202-РДО от 22.07.2022")</f>
        <v>ООО "БЛАГОУСТРОЙСТВО" 202-РДО от 22.07.2022</v>
      </c>
      <c r="D38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887" t="str">
        <f ca="1">IFERROR(__xludf.DUMMYFUNCTION("""COMPUTED_VALUE"""),"Новый")</f>
        <v>Новый</v>
      </c>
      <c r="G3887" s="68"/>
      <c r="K3887" s="68"/>
    </row>
    <row r="3888" spans="1:11" ht="12.75">
      <c r="A3888" s="69">
        <f ca="1">IFERROR(__xludf.DUMMYFUNCTION("""COMPUTED_VALUE"""),102600)</f>
        <v>102600</v>
      </c>
      <c r="B3888" s="4">
        <f ca="1">IFERROR(__xludf.DUMMYFUNCTION("""COMPUTED_VALUE"""),44764)</f>
        <v>44764</v>
      </c>
      <c r="C3888" t="str">
        <f ca="1">IFERROR(__xludf.DUMMYFUNCTION("""COMPUTED_VALUE"""),"ООО ""БЛАГОУСТРОЙСТВО"" 152-СТР от 22.07.2022")</f>
        <v>ООО "БЛАГОУСТРОЙСТВО" 152-СТР от 22.07.2022</v>
      </c>
      <c r="D38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88" t="str">
        <f ca="1">IFERROR(__xludf.DUMMYFUNCTION("""COMPUTED_VALUE"""),"Новый")</f>
        <v>Новый</v>
      </c>
      <c r="G3888" s="68"/>
      <c r="K3888" s="68"/>
    </row>
    <row r="3889" spans="1:11" ht="12.75">
      <c r="A3889" s="69">
        <f ca="1">IFERROR(__xludf.DUMMYFUNCTION("""COMPUTED_VALUE"""),102601)</f>
        <v>102601</v>
      </c>
      <c r="B3889" s="4">
        <f ca="1">IFERROR(__xludf.DUMMYFUNCTION("""COMPUTED_VALUE"""),44764)</f>
        <v>44764</v>
      </c>
      <c r="C3889" t="str">
        <f ca="1">IFERROR(__xludf.DUMMYFUNCTION("""COMPUTED_VALUE"""),"ООО ""БЛАГОУСТРОЙСТВО"" 152-СТР от 22.07.2022")</f>
        <v>ООО "БЛАГОУСТРОЙСТВО" 152-СТР от 22.07.2022</v>
      </c>
      <c r="D38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89" t="str">
        <f ca="1">IFERROR(__xludf.DUMMYFUNCTION("""COMPUTED_VALUE"""),"Новый")</f>
        <v>Новый</v>
      </c>
      <c r="G3889" s="68"/>
      <c r="K3889" s="68"/>
    </row>
    <row r="3890" spans="1:11" ht="12.75">
      <c r="A3890" s="69">
        <f ca="1">IFERROR(__xludf.DUMMYFUNCTION("""COMPUTED_VALUE"""),102602)</f>
        <v>102602</v>
      </c>
      <c r="B3890" s="4">
        <f ca="1">IFERROR(__xludf.DUMMYFUNCTION("""COMPUTED_VALUE"""),44764)</f>
        <v>44764</v>
      </c>
      <c r="C3890" t="str">
        <f ca="1">IFERROR(__xludf.DUMMYFUNCTION("""COMPUTED_VALUE"""),"ООО ""БЛАГОУСТРОЙСТВО"" 152-СТР от 22.07.2022")</f>
        <v>ООО "БЛАГОУСТРОЙСТВО" 152-СТР от 22.07.2022</v>
      </c>
      <c r="D38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0" t="str">
        <f ca="1">IFERROR(__xludf.DUMMYFUNCTION("""COMPUTED_VALUE"""),"Новый")</f>
        <v>Новый</v>
      </c>
      <c r="G3890" s="68"/>
      <c r="K3890" s="68"/>
    </row>
    <row r="3891" spans="1:11" ht="12.75">
      <c r="A3891" s="69">
        <f ca="1">IFERROR(__xludf.DUMMYFUNCTION("""COMPUTED_VALUE"""),102603)</f>
        <v>102603</v>
      </c>
      <c r="B3891" s="4">
        <f ca="1">IFERROR(__xludf.DUMMYFUNCTION("""COMPUTED_VALUE"""),44764)</f>
        <v>44764</v>
      </c>
      <c r="C3891" t="str">
        <f ca="1">IFERROR(__xludf.DUMMYFUNCTION("""COMPUTED_VALUE"""),"ООО ""БЛАГОУСТРОЙСТВО"" 152-СТР от 22.07.2022")</f>
        <v>ООО "БЛАГОУСТРОЙСТВО" 152-СТР от 22.07.2022</v>
      </c>
      <c r="D38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1" t="str">
        <f ca="1">IFERROR(__xludf.DUMMYFUNCTION("""COMPUTED_VALUE"""),"Новый")</f>
        <v>Новый</v>
      </c>
      <c r="G3891" s="68"/>
      <c r="K3891" s="68"/>
    </row>
    <row r="3892" spans="1:11" ht="12.75">
      <c r="A3892" s="69">
        <f ca="1">IFERROR(__xludf.DUMMYFUNCTION("""COMPUTED_VALUE"""),102604)</f>
        <v>102604</v>
      </c>
      <c r="B3892" s="4">
        <f ca="1">IFERROR(__xludf.DUMMYFUNCTION("""COMPUTED_VALUE"""),44764)</f>
        <v>44764</v>
      </c>
      <c r="C3892" t="str">
        <f ca="1">IFERROR(__xludf.DUMMYFUNCTION("""COMPUTED_VALUE"""),"ООО ""БЛАГОУСТРОЙСТВО"" 152-СТР от 22.07.2022")</f>
        <v>ООО "БЛАГОУСТРОЙСТВО" 152-СТР от 22.07.2022</v>
      </c>
      <c r="D38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2" t="str">
        <f ca="1">IFERROR(__xludf.DUMMYFUNCTION("""COMPUTED_VALUE"""),"Новый")</f>
        <v>Новый</v>
      </c>
      <c r="G3892" s="68"/>
      <c r="K3892" s="68"/>
    </row>
    <row r="3893" spans="1:11" ht="12.75">
      <c r="A3893" s="69">
        <f ca="1">IFERROR(__xludf.DUMMYFUNCTION("""COMPUTED_VALUE"""),102605)</f>
        <v>102605</v>
      </c>
      <c r="B3893" s="4">
        <f ca="1">IFERROR(__xludf.DUMMYFUNCTION("""COMPUTED_VALUE"""),44764)</f>
        <v>44764</v>
      </c>
      <c r="C3893" t="str">
        <f ca="1">IFERROR(__xludf.DUMMYFUNCTION("""COMPUTED_VALUE"""),"ООО ""БЛАГОУСТРОЙСТВО"" 152-СТР от 22.07.2022")</f>
        <v>ООО "БЛАГОУСТРОЙСТВО" 152-СТР от 22.07.2022</v>
      </c>
      <c r="D38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3" t="str">
        <f ca="1">IFERROR(__xludf.DUMMYFUNCTION("""COMPUTED_VALUE"""),"Новый")</f>
        <v>Новый</v>
      </c>
      <c r="G3893" s="68"/>
      <c r="K3893" s="68"/>
    </row>
    <row r="3894" spans="1:11" ht="12.75">
      <c r="A3894" s="69">
        <f ca="1">IFERROR(__xludf.DUMMYFUNCTION("""COMPUTED_VALUE"""),102606)</f>
        <v>102606</v>
      </c>
      <c r="B3894" s="4">
        <f ca="1">IFERROR(__xludf.DUMMYFUNCTION("""COMPUTED_VALUE"""),44764)</f>
        <v>44764</v>
      </c>
      <c r="C3894" t="str">
        <f ca="1">IFERROR(__xludf.DUMMYFUNCTION("""COMPUTED_VALUE"""),"ООО ""БЛАГОУСТРОЙСТВО"" 152-СТР от 22.07.2022")</f>
        <v>ООО "БЛАГОУСТРОЙСТВО" 152-СТР от 22.07.2022</v>
      </c>
      <c r="D38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4" t="str">
        <f ca="1">IFERROR(__xludf.DUMMYFUNCTION("""COMPUTED_VALUE"""),"Новый")</f>
        <v>Новый</v>
      </c>
      <c r="G3894" s="68"/>
      <c r="K3894" s="68"/>
    </row>
    <row r="3895" spans="1:11" ht="12.75">
      <c r="A3895" s="69">
        <f ca="1">IFERROR(__xludf.DUMMYFUNCTION("""COMPUTED_VALUE"""),102607)</f>
        <v>102607</v>
      </c>
      <c r="B3895" s="4">
        <f ca="1">IFERROR(__xludf.DUMMYFUNCTION("""COMPUTED_VALUE"""),44764)</f>
        <v>44764</v>
      </c>
      <c r="C3895" t="str">
        <f ca="1">IFERROR(__xludf.DUMMYFUNCTION("""COMPUTED_VALUE"""),"ООО ""БЛАГОУСТРОЙСТВО"" 152-СТР от 22.07.2022")</f>
        <v>ООО "БЛАГОУСТРОЙСТВО" 152-СТР от 22.07.2022</v>
      </c>
      <c r="D38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5" t="str">
        <f ca="1">IFERROR(__xludf.DUMMYFUNCTION("""COMPUTED_VALUE"""),"Новый")</f>
        <v>Новый</v>
      </c>
      <c r="G3895" s="68"/>
      <c r="K3895" s="68"/>
    </row>
    <row r="3896" spans="1:11" ht="12.75">
      <c r="A3896" s="69">
        <f ca="1">IFERROR(__xludf.DUMMYFUNCTION("""COMPUTED_VALUE"""),102608)</f>
        <v>102608</v>
      </c>
      <c r="B3896" s="4">
        <f ca="1">IFERROR(__xludf.DUMMYFUNCTION("""COMPUTED_VALUE"""),44764)</f>
        <v>44764</v>
      </c>
      <c r="C3896" t="str">
        <f ca="1">IFERROR(__xludf.DUMMYFUNCTION("""COMPUTED_VALUE"""),"ООО ""БЛАГОУСТРОЙСТВО"" 152-СТР от 22.07.2022")</f>
        <v>ООО "БЛАГОУСТРОЙСТВО" 152-СТР от 22.07.2022</v>
      </c>
      <c r="D38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6" t="str">
        <f ca="1">IFERROR(__xludf.DUMMYFUNCTION("""COMPUTED_VALUE"""),"Новый")</f>
        <v>Новый</v>
      </c>
      <c r="G3896" s="68"/>
      <c r="K3896" s="68"/>
    </row>
    <row r="3897" spans="1:11" ht="12.75">
      <c r="A3897" s="69">
        <f ca="1">IFERROR(__xludf.DUMMYFUNCTION("""COMPUTED_VALUE"""),102609)</f>
        <v>102609</v>
      </c>
      <c r="B3897" s="4">
        <f ca="1">IFERROR(__xludf.DUMMYFUNCTION("""COMPUTED_VALUE"""),44764)</f>
        <v>44764</v>
      </c>
      <c r="C3897" t="str">
        <f ca="1">IFERROR(__xludf.DUMMYFUNCTION("""COMPUTED_VALUE"""),"ООО ""БЛАГОУСТРОЙСТВО"" 152-СТР от 22.07.2022")</f>
        <v>ООО "БЛАГОУСТРОЙСТВО" 152-СТР от 22.07.2022</v>
      </c>
      <c r="D38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7" t="str">
        <f ca="1">IFERROR(__xludf.DUMMYFUNCTION("""COMPUTED_VALUE"""),"Новый")</f>
        <v>Новый</v>
      </c>
      <c r="G3897" s="68"/>
      <c r="K3897" s="68"/>
    </row>
    <row r="3898" spans="1:11" ht="12.75">
      <c r="A3898" s="69">
        <f ca="1">IFERROR(__xludf.DUMMYFUNCTION("""COMPUTED_VALUE"""),102610)</f>
        <v>102610</v>
      </c>
      <c r="B3898" s="4">
        <f ca="1">IFERROR(__xludf.DUMMYFUNCTION("""COMPUTED_VALUE"""),44764)</f>
        <v>44764</v>
      </c>
      <c r="C3898" t="str">
        <f ca="1">IFERROR(__xludf.DUMMYFUNCTION("""COMPUTED_VALUE"""),"ООО ""БЛАГОУСТРОЙСТВО"" 152-СТР от 22.07.2022")</f>
        <v>ООО "БЛАГОУСТРОЙСТВО" 152-СТР от 22.07.2022</v>
      </c>
      <c r="D38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8" t="str">
        <f ca="1">IFERROR(__xludf.DUMMYFUNCTION("""COMPUTED_VALUE"""),"Новый")</f>
        <v>Новый</v>
      </c>
      <c r="G3898" s="68"/>
      <c r="K3898" s="68"/>
    </row>
    <row r="3899" spans="1:11" ht="12.75">
      <c r="A3899" s="69">
        <f ca="1">IFERROR(__xludf.DUMMYFUNCTION("""COMPUTED_VALUE"""),102611)</f>
        <v>102611</v>
      </c>
      <c r="B3899" s="4">
        <f ca="1">IFERROR(__xludf.DUMMYFUNCTION("""COMPUTED_VALUE"""),44764)</f>
        <v>44764</v>
      </c>
      <c r="C3899" t="str">
        <f ca="1">IFERROR(__xludf.DUMMYFUNCTION("""COMPUTED_VALUE"""),"ООО ""БЛАГОУСТРОЙСТВО"" 152-СТР от 22.07.2022")</f>
        <v>ООО "БЛАГОУСТРОЙСТВО" 152-СТР от 22.07.2022</v>
      </c>
      <c r="D38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899" t="str">
        <f ca="1">IFERROR(__xludf.DUMMYFUNCTION("""COMPUTED_VALUE"""),"Новый")</f>
        <v>Новый</v>
      </c>
      <c r="G3899" s="68"/>
      <c r="K3899" s="68"/>
    </row>
    <row r="3900" spans="1:11" ht="12.75">
      <c r="A3900" s="69">
        <f ca="1">IFERROR(__xludf.DUMMYFUNCTION("""COMPUTED_VALUE"""),102612)</f>
        <v>102612</v>
      </c>
      <c r="B3900" s="4">
        <f ca="1">IFERROR(__xludf.DUMMYFUNCTION("""COMPUTED_VALUE"""),44764)</f>
        <v>44764</v>
      </c>
      <c r="C3900" t="str">
        <f ca="1">IFERROR(__xludf.DUMMYFUNCTION("""COMPUTED_VALUE"""),"ООО ""БЛАГОУСТРОЙСТВО"" 152-СТР от 22.07.2022")</f>
        <v>ООО "БЛАГОУСТРОЙСТВО" 152-СТР от 22.07.2022</v>
      </c>
      <c r="D39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0" t="str">
        <f ca="1">IFERROR(__xludf.DUMMYFUNCTION("""COMPUTED_VALUE"""),"Новый")</f>
        <v>Новый</v>
      </c>
      <c r="G3900" s="68"/>
      <c r="K3900" s="68"/>
    </row>
    <row r="3901" spans="1:11" ht="12.75">
      <c r="A3901" s="69">
        <f ca="1">IFERROR(__xludf.DUMMYFUNCTION("""COMPUTED_VALUE"""),102613)</f>
        <v>102613</v>
      </c>
      <c r="B3901" s="4">
        <f ca="1">IFERROR(__xludf.DUMMYFUNCTION("""COMPUTED_VALUE"""),44764)</f>
        <v>44764</v>
      </c>
      <c r="C3901" t="str">
        <f ca="1">IFERROR(__xludf.DUMMYFUNCTION("""COMPUTED_VALUE"""),"ООО ""БЛАГОУСТРОЙСТВО"" 152-СТР от 22.07.2022")</f>
        <v>ООО "БЛАГОУСТРОЙСТВО" 152-СТР от 22.07.2022</v>
      </c>
      <c r="D39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1" t="str">
        <f ca="1">IFERROR(__xludf.DUMMYFUNCTION("""COMPUTED_VALUE"""),"Новый")</f>
        <v>Новый</v>
      </c>
      <c r="G3901" s="68"/>
      <c r="K3901" s="68"/>
    </row>
    <row r="3902" spans="1:11" ht="12.75">
      <c r="A3902" s="69">
        <f ca="1">IFERROR(__xludf.DUMMYFUNCTION("""COMPUTED_VALUE"""),102614)</f>
        <v>102614</v>
      </c>
      <c r="B3902" s="4">
        <f ca="1">IFERROR(__xludf.DUMMYFUNCTION("""COMPUTED_VALUE"""),44764)</f>
        <v>44764</v>
      </c>
      <c r="C3902" t="str">
        <f ca="1">IFERROR(__xludf.DUMMYFUNCTION("""COMPUTED_VALUE"""),"ООО ""БЛАГОУСТРОЙСТВО"" 152-СТР от 22.07.2022")</f>
        <v>ООО "БЛАГОУСТРОЙСТВО" 152-СТР от 22.07.2022</v>
      </c>
      <c r="D39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2" t="str">
        <f ca="1">IFERROR(__xludf.DUMMYFUNCTION("""COMPUTED_VALUE"""),"Новый")</f>
        <v>Новый</v>
      </c>
      <c r="G3902" s="68"/>
      <c r="K3902" s="68"/>
    </row>
    <row r="3903" spans="1:11" ht="12.75">
      <c r="A3903" s="69">
        <f ca="1">IFERROR(__xludf.DUMMYFUNCTION("""COMPUTED_VALUE"""),102615)</f>
        <v>102615</v>
      </c>
      <c r="B3903" s="4">
        <f ca="1">IFERROR(__xludf.DUMMYFUNCTION("""COMPUTED_VALUE"""),44764)</f>
        <v>44764</v>
      </c>
      <c r="C3903" t="str">
        <f ca="1">IFERROR(__xludf.DUMMYFUNCTION("""COMPUTED_VALUE"""),"ООО ""БЛАГОУСТРОЙСТВО"" 152-СТР от 22.07.2022")</f>
        <v>ООО "БЛАГОУСТРОЙСТВО" 152-СТР от 22.07.2022</v>
      </c>
      <c r="D39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3" t="str">
        <f ca="1">IFERROR(__xludf.DUMMYFUNCTION("""COMPUTED_VALUE"""),"Новый")</f>
        <v>Новый</v>
      </c>
      <c r="G3903" s="68"/>
      <c r="K3903" s="68"/>
    </row>
    <row r="3904" spans="1:11" ht="12.75">
      <c r="A3904" s="69">
        <f ca="1">IFERROR(__xludf.DUMMYFUNCTION("""COMPUTED_VALUE"""),102616)</f>
        <v>102616</v>
      </c>
      <c r="B3904" s="4">
        <f ca="1">IFERROR(__xludf.DUMMYFUNCTION("""COMPUTED_VALUE"""),44764)</f>
        <v>44764</v>
      </c>
      <c r="C3904" t="str">
        <f ca="1">IFERROR(__xludf.DUMMYFUNCTION("""COMPUTED_VALUE"""),"ООО ""БЛАГОУСТРОЙСТВО"" 152-СТР от 22.07.2022")</f>
        <v>ООО "БЛАГОУСТРОЙСТВО" 152-СТР от 22.07.2022</v>
      </c>
      <c r="D39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4" t="str">
        <f ca="1">IFERROR(__xludf.DUMMYFUNCTION("""COMPUTED_VALUE"""),"Новый")</f>
        <v>Новый</v>
      </c>
      <c r="G3904" s="68"/>
      <c r="K3904" s="68"/>
    </row>
    <row r="3905" spans="1:11" ht="12.75">
      <c r="A3905" s="69">
        <f ca="1">IFERROR(__xludf.DUMMYFUNCTION("""COMPUTED_VALUE"""),102617)</f>
        <v>102617</v>
      </c>
      <c r="B3905" s="4">
        <f ca="1">IFERROR(__xludf.DUMMYFUNCTION("""COMPUTED_VALUE"""),44764)</f>
        <v>44764</v>
      </c>
      <c r="C3905" t="str">
        <f ca="1">IFERROR(__xludf.DUMMYFUNCTION("""COMPUTED_VALUE"""),"ООО ""БЛАГОУСТРОЙСТВО"" 152-СТР от 22.07.2022")</f>
        <v>ООО "БЛАГОУСТРОЙСТВО" 152-СТР от 22.07.2022</v>
      </c>
      <c r="D39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5" t="str">
        <f ca="1">IFERROR(__xludf.DUMMYFUNCTION("""COMPUTED_VALUE"""),"Новый")</f>
        <v>Новый</v>
      </c>
      <c r="G3905" s="68"/>
      <c r="K3905" s="68"/>
    </row>
    <row r="3906" spans="1:11" ht="12.75">
      <c r="A3906" s="69">
        <f ca="1">IFERROR(__xludf.DUMMYFUNCTION("""COMPUTED_VALUE"""),102618)</f>
        <v>102618</v>
      </c>
      <c r="B3906" s="4">
        <f ca="1">IFERROR(__xludf.DUMMYFUNCTION("""COMPUTED_VALUE"""),44764)</f>
        <v>44764</v>
      </c>
      <c r="C3906" t="str">
        <f ca="1">IFERROR(__xludf.DUMMYFUNCTION("""COMPUTED_VALUE"""),"ООО ""БЛАГОУСТРОЙСТВО"" 152-СТР от 22.07.2022")</f>
        <v>ООО "БЛАГОУСТРОЙСТВО" 152-СТР от 22.07.2022</v>
      </c>
      <c r="D39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6" t="str">
        <f ca="1">IFERROR(__xludf.DUMMYFUNCTION("""COMPUTED_VALUE"""),"Новый")</f>
        <v>Новый</v>
      </c>
      <c r="G3906" s="68"/>
      <c r="K3906" s="68"/>
    </row>
    <row r="3907" spans="1:11" ht="12.75">
      <c r="A3907" s="69">
        <f ca="1">IFERROR(__xludf.DUMMYFUNCTION("""COMPUTED_VALUE"""),102619)</f>
        <v>102619</v>
      </c>
      <c r="B3907" s="4">
        <f ca="1">IFERROR(__xludf.DUMMYFUNCTION("""COMPUTED_VALUE"""),44764)</f>
        <v>44764</v>
      </c>
      <c r="C3907" t="str">
        <f ca="1">IFERROR(__xludf.DUMMYFUNCTION("""COMPUTED_VALUE"""),"ООО ""БЛАГОУСТРОЙСТВО"" 152-СТР от 22.07.2022")</f>
        <v>ООО "БЛАГОУСТРОЙСТВО" 152-СТР от 22.07.2022</v>
      </c>
      <c r="D39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7" t="str">
        <f ca="1">IFERROR(__xludf.DUMMYFUNCTION("""COMPUTED_VALUE"""),"Новый")</f>
        <v>Новый</v>
      </c>
      <c r="G3907" s="68"/>
      <c r="K3907" s="68"/>
    </row>
    <row r="3908" spans="1:11" ht="12.75">
      <c r="A3908" s="69">
        <f ca="1">IFERROR(__xludf.DUMMYFUNCTION("""COMPUTED_VALUE"""),102637)</f>
        <v>102637</v>
      </c>
      <c r="B3908" s="4">
        <f ca="1">IFERROR(__xludf.DUMMYFUNCTION("""COMPUTED_VALUE"""),44764)</f>
        <v>44764</v>
      </c>
      <c r="C3908" t="str">
        <f ca="1">IFERROR(__xludf.DUMMYFUNCTION("""COMPUTED_VALUE"""),"ООО ""БЛАГОУСТРОЙСТВО"" 152-СТР от 22.07.2022")</f>
        <v>ООО "БЛАГОУСТРОЙСТВО" 152-СТР от 22.07.2022</v>
      </c>
      <c r="D39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08" t="str">
        <f ca="1">IFERROR(__xludf.DUMMYFUNCTION("""COMPUTED_VALUE"""),"Новый")</f>
        <v>Новый</v>
      </c>
      <c r="G3908" s="68"/>
      <c r="K3908" s="68"/>
    </row>
    <row r="3909" spans="1:11" ht="12.75">
      <c r="A3909" s="69">
        <f ca="1">IFERROR(__xludf.DUMMYFUNCTION("""COMPUTED_VALUE"""),102694)</f>
        <v>102694</v>
      </c>
      <c r="B3909" s="4">
        <f ca="1">IFERROR(__xludf.DUMMYFUNCTION("""COMPUTED_VALUE"""),44768)</f>
        <v>44768</v>
      </c>
      <c r="C3909" t="str">
        <f ca="1">IFERROR(__xludf.DUMMYFUNCTION("""COMPUTED_VALUE"""),"БУ Г. ОМСКА ""УДХБ"" 197-РДО от 01.07.2022")</f>
        <v>БУ Г. ОМСКА "УДХБ" 197-РДО от 01.07.2022</v>
      </c>
      <c r="D39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09" t="str">
        <f ca="1">IFERROR(__xludf.DUMMYFUNCTION("""COMPUTED_VALUE"""),"Новый")</f>
        <v>Новый</v>
      </c>
      <c r="G3909" s="68"/>
      <c r="K3909" s="68"/>
    </row>
    <row r="3910" spans="1:11" ht="12.75">
      <c r="A3910" s="69">
        <f ca="1">IFERROR(__xludf.DUMMYFUNCTION("""COMPUTED_VALUE"""),102812)</f>
        <v>102812</v>
      </c>
      <c r="B3910" s="4">
        <f ca="1">IFERROR(__xludf.DUMMYFUNCTION("""COMPUTED_VALUE"""),44769)</f>
        <v>44769</v>
      </c>
      <c r="C3910" t="str">
        <f ca="1">IFERROR(__xludf.DUMMYFUNCTION("""COMPUTED_VALUE"""),"БУЗОО ""ГП № 6"" 201-РДО от 20.07.2022")</f>
        <v>БУЗОО "ГП № 6" 201-РДО от 20.07.2022</v>
      </c>
      <c r="D39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0" t="str">
        <f ca="1">IFERROR(__xludf.DUMMYFUNCTION("""COMPUTED_VALUE"""),"Новый")</f>
        <v>Новый</v>
      </c>
      <c r="G3910" s="68"/>
      <c r="K3910" s="68"/>
    </row>
    <row r="3911" spans="1:11" ht="12.75">
      <c r="A3911" s="69">
        <f ca="1">IFERROR(__xludf.DUMMYFUNCTION("""COMPUTED_VALUE"""),102813)</f>
        <v>102813</v>
      </c>
      <c r="B3911" s="4">
        <f ca="1">IFERROR(__xludf.DUMMYFUNCTION("""COMPUTED_VALUE"""),44769)</f>
        <v>44769</v>
      </c>
      <c r="C3911" t="str">
        <f ca="1">IFERROR(__xludf.DUMMYFUNCTION("""COMPUTED_VALUE"""),"БУЗОО ""ГП № 6"" 201-РДО от 20.07.2022")</f>
        <v>БУЗОО "ГП № 6" 201-РДО от 20.07.2022</v>
      </c>
      <c r="D39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1" t="str">
        <f ca="1">IFERROR(__xludf.DUMMYFUNCTION("""COMPUTED_VALUE"""),"Новый")</f>
        <v>Новый</v>
      </c>
      <c r="G3911" s="68"/>
      <c r="K3911" s="68"/>
    </row>
    <row r="3912" spans="1:11" ht="12.75">
      <c r="A3912" s="69">
        <f ca="1">IFERROR(__xludf.DUMMYFUNCTION("""COMPUTED_VALUE"""),102814)</f>
        <v>102814</v>
      </c>
      <c r="B3912" s="4">
        <f ca="1">IFERROR(__xludf.DUMMYFUNCTION("""COMPUTED_VALUE"""),44769)</f>
        <v>44769</v>
      </c>
      <c r="C3912" t="str">
        <f ca="1">IFERROR(__xludf.DUMMYFUNCTION("""COMPUTED_VALUE"""),"БУЗОО ""ГП № 6"" 201-РДО от 20.07.2022")</f>
        <v>БУЗОО "ГП № 6" 201-РДО от 20.07.2022</v>
      </c>
      <c r="D39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12" t="str">
        <f ca="1">IFERROR(__xludf.DUMMYFUNCTION("""COMPUTED_VALUE"""),"Новый")</f>
        <v>Новый</v>
      </c>
      <c r="G3912" s="68"/>
      <c r="K3912" s="68"/>
    </row>
    <row r="3913" spans="1:11" ht="12.75">
      <c r="A3913" s="69">
        <f ca="1">IFERROR(__xludf.DUMMYFUNCTION("""COMPUTED_VALUE"""),102815)</f>
        <v>102815</v>
      </c>
      <c r="B3913" s="4">
        <f ca="1">IFERROR(__xludf.DUMMYFUNCTION("""COMPUTED_VALUE"""),44769)</f>
        <v>44769</v>
      </c>
      <c r="C3913" t="str">
        <f ca="1">IFERROR(__xludf.DUMMYFUNCTION("""COMPUTED_VALUE"""),"БУЗОО ""ГП № 6"" 201-РДО от 20.07.2022")</f>
        <v>БУЗОО "ГП № 6" 201-РДО от 20.07.2022</v>
      </c>
      <c r="D39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13" t="str">
        <f ca="1">IFERROR(__xludf.DUMMYFUNCTION("""COMPUTED_VALUE"""),"Новый")</f>
        <v>Новый</v>
      </c>
      <c r="G3913" s="68"/>
      <c r="K3913" s="68"/>
    </row>
    <row r="3914" spans="1:11" ht="12.75">
      <c r="A3914" s="69">
        <f ca="1">IFERROR(__xludf.DUMMYFUNCTION("""COMPUTED_VALUE"""),102816)</f>
        <v>102816</v>
      </c>
      <c r="B3914" s="4">
        <f ca="1">IFERROR(__xludf.DUMMYFUNCTION("""COMPUTED_VALUE"""),44769)</f>
        <v>44769</v>
      </c>
      <c r="C3914" t="str">
        <f ca="1">IFERROR(__xludf.DUMMYFUNCTION("""COMPUTED_VALUE"""),"БУЗОО ""ГП № 6"" 201-РДО от 20.07.2022")</f>
        <v>БУЗОО "ГП № 6" 201-РДО от 20.07.2022</v>
      </c>
      <c r="D39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14" t="str">
        <f ca="1">IFERROR(__xludf.DUMMYFUNCTION("""COMPUTED_VALUE"""),"Новый")</f>
        <v>Новый</v>
      </c>
      <c r="G3914" s="68"/>
      <c r="K3914" s="68"/>
    </row>
    <row r="3915" spans="1:11" ht="12.75">
      <c r="A3915" s="69">
        <f ca="1">IFERROR(__xludf.DUMMYFUNCTION("""COMPUTED_VALUE"""),102817)</f>
        <v>102817</v>
      </c>
      <c r="B3915" s="4">
        <f ca="1">IFERROR(__xludf.DUMMYFUNCTION("""COMPUTED_VALUE"""),44769)</f>
        <v>44769</v>
      </c>
      <c r="C3915" t="str">
        <f ca="1">IFERROR(__xludf.DUMMYFUNCTION("""COMPUTED_VALUE"""),"БУЗОО ""ГП № 6"" 201-РДО от 20.07.2022")</f>
        <v>БУЗОО "ГП № 6" 201-РДО от 20.07.2022</v>
      </c>
      <c r="D39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15" t="str">
        <f ca="1">IFERROR(__xludf.DUMMYFUNCTION("""COMPUTED_VALUE"""),"Новый")</f>
        <v>Новый</v>
      </c>
      <c r="G3915" s="68"/>
      <c r="K3915" s="68"/>
    </row>
    <row r="3916" spans="1:11" ht="12.75">
      <c r="A3916" s="69">
        <f ca="1">IFERROR(__xludf.DUMMYFUNCTION("""COMPUTED_VALUE"""),102820)</f>
        <v>102820</v>
      </c>
      <c r="B3916" s="4">
        <f ca="1">IFERROR(__xludf.DUMMYFUNCTION("""COMPUTED_VALUE"""),44769)</f>
        <v>44769</v>
      </c>
      <c r="C3916" t="str">
        <f ca="1">IFERROR(__xludf.DUMMYFUNCTION("""COMPUTED_VALUE"""),"АО ""ОМСКЭЛЕКТРО"" 187-РДО от 01.06.2022")</f>
        <v>АО "ОМСКЭЛЕКТРО" 187-РДО от 01.06.2022</v>
      </c>
      <c r="D39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6" t="str">
        <f ca="1">IFERROR(__xludf.DUMMYFUNCTION("""COMPUTED_VALUE"""),"Новый")</f>
        <v>Новый</v>
      </c>
      <c r="G3916" s="68"/>
      <c r="K3916" s="68"/>
    </row>
    <row r="3917" spans="1:11" ht="12.75">
      <c r="A3917" s="69">
        <f ca="1">IFERROR(__xludf.DUMMYFUNCTION("""COMPUTED_VALUE"""),102823)</f>
        <v>102823</v>
      </c>
      <c r="B3917" s="4">
        <f ca="1">IFERROR(__xludf.DUMMYFUNCTION("""COMPUTED_VALUE"""),44769)</f>
        <v>44769</v>
      </c>
      <c r="C3917" t="str">
        <f ca="1">IFERROR(__xludf.DUMMYFUNCTION("""COMPUTED_VALUE"""),"АО ""ОМСКЭЛЕКТРО"" 187-РДО от 01.06.2022")</f>
        <v>АО "ОМСКЭЛЕКТРО" 187-РДО от 01.06.2022</v>
      </c>
      <c r="D39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7" t="str">
        <f ca="1">IFERROR(__xludf.DUMMYFUNCTION("""COMPUTED_VALUE"""),"Новый")</f>
        <v>Новый</v>
      </c>
      <c r="G3917" s="68"/>
      <c r="K3917" s="68"/>
    </row>
    <row r="3918" spans="1:11" ht="12.75">
      <c r="A3918" s="69">
        <f ca="1">IFERROR(__xludf.DUMMYFUNCTION("""COMPUTED_VALUE"""),102824)</f>
        <v>102824</v>
      </c>
      <c r="B3918" s="4">
        <f ca="1">IFERROR(__xludf.DUMMYFUNCTION("""COMPUTED_VALUE"""),44769)</f>
        <v>44769</v>
      </c>
      <c r="C3918" t="str">
        <f ca="1">IFERROR(__xludf.DUMMYFUNCTION("""COMPUTED_VALUE"""),"АО ""ОМСКЭЛЕКТРО"" 187-РДО от 01.06.2022")</f>
        <v>АО "ОМСКЭЛЕКТРО" 187-РДО от 01.06.2022</v>
      </c>
      <c r="D39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8" t="str">
        <f ca="1">IFERROR(__xludf.DUMMYFUNCTION("""COMPUTED_VALUE"""),"Новый")</f>
        <v>Новый</v>
      </c>
      <c r="G3918" s="68"/>
      <c r="K3918" s="68"/>
    </row>
    <row r="3919" spans="1:11" ht="12.75">
      <c r="A3919" s="69">
        <f ca="1">IFERROR(__xludf.DUMMYFUNCTION("""COMPUTED_VALUE"""),102825)</f>
        <v>102825</v>
      </c>
      <c r="B3919" s="4">
        <f ca="1">IFERROR(__xludf.DUMMYFUNCTION("""COMPUTED_VALUE"""),44769)</f>
        <v>44769</v>
      </c>
      <c r="C3919" t="str">
        <f ca="1">IFERROR(__xludf.DUMMYFUNCTION("""COMPUTED_VALUE"""),"АО ""ОМСКЭЛЕКТРО"" 187-РДО от 01.06.2022")</f>
        <v>АО "ОМСКЭЛЕКТРО" 187-РДО от 01.06.2022</v>
      </c>
      <c r="D39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19" t="str">
        <f ca="1">IFERROR(__xludf.DUMMYFUNCTION("""COMPUTED_VALUE"""),"Новый")</f>
        <v>Новый</v>
      </c>
      <c r="G3919" s="68"/>
      <c r="K3919" s="68"/>
    </row>
    <row r="3920" spans="1:11" ht="12.75">
      <c r="A3920" s="69">
        <f ca="1">IFERROR(__xludf.DUMMYFUNCTION("""COMPUTED_VALUE"""),102826)</f>
        <v>102826</v>
      </c>
      <c r="B3920" s="4">
        <f ca="1">IFERROR(__xludf.DUMMYFUNCTION("""COMPUTED_VALUE"""),44769)</f>
        <v>44769</v>
      </c>
      <c r="C3920" t="str">
        <f ca="1">IFERROR(__xludf.DUMMYFUNCTION("""COMPUTED_VALUE"""),"АО ""ОМСКЭЛЕКТРО"" 187-РДО от 01.06.2022")</f>
        <v>АО "ОМСКЭЛЕКТРО" 187-РДО от 01.06.2022</v>
      </c>
      <c r="D39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0" t="str">
        <f ca="1">IFERROR(__xludf.DUMMYFUNCTION("""COMPUTED_VALUE"""),"Новый")</f>
        <v>Новый</v>
      </c>
      <c r="G3920" s="68"/>
      <c r="K3920" s="68"/>
    </row>
    <row r="3921" spans="1:11" ht="12.75">
      <c r="A3921" s="69">
        <f ca="1">IFERROR(__xludf.DUMMYFUNCTION("""COMPUTED_VALUE"""),102827)</f>
        <v>102827</v>
      </c>
      <c r="B3921" s="4">
        <f ca="1">IFERROR(__xludf.DUMMYFUNCTION("""COMPUTED_VALUE"""),44769)</f>
        <v>44769</v>
      </c>
      <c r="C3921" t="str">
        <f ca="1">IFERROR(__xludf.DUMMYFUNCTION("""COMPUTED_VALUE"""),"АО ""ОМСКЭЛЕКТРО"" 187-РДО от 01.06.2022")</f>
        <v>АО "ОМСКЭЛЕКТРО" 187-РДО от 01.06.2022</v>
      </c>
      <c r="D39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1" t="str">
        <f ca="1">IFERROR(__xludf.DUMMYFUNCTION("""COMPUTED_VALUE"""),"Новый")</f>
        <v>Новый</v>
      </c>
      <c r="G3921" s="68"/>
      <c r="K3921" s="68"/>
    </row>
    <row r="3922" spans="1:11" ht="12.75">
      <c r="A3922" s="69">
        <f ca="1">IFERROR(__xludf.DUMMYFUNCTION("""COMPUTED_VALUE"""),102828)</f>
        <v>102828</v>
      </c>
      <c r="B3922" s="4">
        <f ca="1">IFERROR(__xludf.DUMMYFUNCTION("""COMPUTED_VALUE"""),44769)</f>
        <v>44769</v>
      </c>
      <c r="C3922" t="str">
        <f ca="1">IFERROR(__xludf.DUMMYFUNCTION("""COMPUTED_VALUE"""),"АО ""ОМСКЭЛЕКТРО"" 187-РДО от 01.06.2022")</f>
        <v>АО "ОМСКЭЛЕКТРО" 187-РДО от 01.06.2022</v>
      </c>
      <c r="D39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2" t="str">
        <f ca="1">IFERROR(__xludf.DUMMYFUNCTION("""COMPUTED_VALUE"""),"Новый")</f>
        <v>Новый</v>
      </c>
      <c r="G3922" s="68"/>
      <c r="K3922" s="68"/>
    </row>
    <row r="3923" spans="1:11" ht="12.75">
      <c r="A3923" s="69">
        <f ca="1">IFERROR(__xludf.DUMMYFUNCTION("""COMPUTED_VALUE"""),102829)</f>
        <v>102829</v>
      </c>
      <c r="B3923" s="4">
        <f ca="1">IFERROR(__xludf.DUMMYFUNCTION("""COMPUTED_VALUE"""),44769)</f>
        <v>44769</v>
      </c>
      <c r="C3923" t="str">
        <f ca="1">IFERROR(__xludf.DUMMYFUNCTION("""COMPUTED_VALUE"""),"АО ""ОМСКЭЛЕКТРО"" 187-РДО от 01.06.2022")</f>
        <v>АО "ОМСКЭЛЕКТРО" 187-РДО от 01.06.2022</v>
      </c>
      <c r="D39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3" t="str">
        <f ca="1">IFERROR(__xludf.DUMMYFUNCTION("""COMPUTED_VALUE"""),"Новый")</f>
        <v>Новый</v>
      </c>
      <c r="G3923" s="68"/>
      <c r="K3923" s="68"/>
    </row>
    <row r="3924" spans="1:11" ht="12.75">
      <c r="A3924" s="69">
        <f ca="1">IFERROR(__xludf.DUMMYFUNCTION("""COMPUTED_VALUE"""),102830)</f>
        <v>102830</v>
      </c>
      <c r="B3924" s="4">
        <f ca="1">IFERROR(__xludf.DUMMYFUNCTION("""COMPUTED_VALUE"""),44769)</f>
        <v>44769</v>
      </c>
      <c r="C3924" t="str">
        <f ca="1">IFERROR(__xludf.DUMMYFUNCTION("""COMPUTED_VALUE"""),"АО ""ОМСКЭЛЕКТРО"" 187-РДО от 01.06.2022")</f>
        <v>АО "ОМСКЭЛЕКТРО" 187-РДО от 01.06.2022</v>
      </c>
      <c r="D39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4" t="str">
        <f ca="1">IFERROR(__xludf.DUMMYFUNCTION("""COMPUTED_VALUE"""),"Новый")</f>
        <v>Новый</v>
      </c>
      <c r="G3924" s="68"/>
      <c r="K3924" s="68"/>
    </row>
    <row r="3925" spans="1:11" ht="12.75">
      <c r="A3925" s="69">
        <f ca="1">IFERROR(__xludf.DUMMYFUNCTION("""COMPUTED_VALUE"""),102831)</f>
        <v>102831</v>
      </c>
      <c r="B3925" s="4">
        <f ca="1">IFERROR(__xludf.DUMMYFUNCTION("""COMPUTED_VALUE"""),44769)</f>
        <v>44769</v>
      </c>
      <c r="C3925" t="str">
        <f ca="1">IFERROR(__xludf.DUMMYFUNCTION("""COMPUTED_VALUE"""),"АО ""ОМСКЭЛЕКТРО"" 187-РДО от 01.06.2022")</f>
        <v>АО "ОМСКЭЛЕКТРО" 187-РДО от 01.06.2022</v>
      </c>
      <c r="D39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5" t="str">
        <f ca="1">IFERROR(__xludf.DUMMYFUNCTION("""COMPUTED_VALUE"""),"Новый")</f>
        <v>Новый</v>
      </c>
      <c r="G3925" s="68"/>
      <c r="K3925" s="68"/>
    </row>
    <row r="3926" spans="1:11" ht="12.75">
      <c r="A3926" s="69">
        <f ca="1">IFERROR(__xludf.DUMMYFUNCTION("""COMPUTED_VALUE"""),102832)</f>
        <v>102832</v>
      </c>
      <c r="B3926" s="4">
        <f ca="1">IFERROR(__xludf.DUMMYFUNCTION("""COMPUTED_VALUE"""),44769)</f>
        <v>44769</v>
      </c>
      <c r="C3926" t="str">
        <f ca="1">IFERROR(__xludf.DUMMYFUNCTION("""COMPUTED_VALUE"""),"АО ""ОМСКЭЛЕКТРО"" 187-РДО от 01.06.2022")</f>
        <v>АО "ОМСКЭЛЕКТРО" 187-РДО от 01.06.2022</v>
      </c>
      <c r="D39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6" t="str">
        <f ca="1">IFERROR(__xludf.DUMMYFUNCTION("""COMPUTED_VALUE"""),"Новый")</f>
        <v>Новый</v>
      </c>
      <c r="G3926" s="68"/>
      <c r="K3926" s="68"/>
    </row>
    <row r="3927" spans="1:11" ht="12.75">
      <c r="A3927" s="69">
        <f ca="1">IFERROR(__xludf.DUMMYFUNCTION("""COMPUTED_VALUE"""),102833)</f>
        <v>102833</v>
      </c>
      <c r="B3927" s="4">
        <f ca="1">IFERROR(__xludf.DUMMYFUNCTION("""COMPUTED_VALUE"""),44769)</f>
        <v>44769</v>
      </c>
      <c r="C3927" t="str">
        <f ca="1">IFERROR(__xludf.DUMMYFUNCTION("""COMPUTED_VALUE"""),"АО ""ОМСКЭЛЕКТРО"" 187-РДО от 01.06.2022")</f>
        <v>АО "ОМСКЭЛЕКТРО" 187-РДО от 01.06.2022</v>
      </c>
      <c r="D39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7" t="str">
        <f ca="1">IFERROR(__xludf.DUMMYFUNCTION("""COMPUTED_VALUE"""),"Новый")</f>
        <v>Новый</v>
      </c>
      <c r="G3927" s="68"/>
      <c r="K3927" s="68"/>
    </row>
    <row r="3928" spans="1:11" ht="12.75">
      <c r="A3928" s="69">
        <f ca="1">IFERROR(__xludf.DUMMYFUNCTION("""COMPUTED_VALUE"""),102834)</f>
        <v>102834</v>
      </c>
      <c r="B3928" s="4">
        <f ca="1">IFERROR(__xludf.DUMMYFUNCTION("""COMPUTED_VALUE"""),44769)</f>
        <v>44769</v>
      </c>
      <c r="C3928" t="str">
        <f ca="1">IFERROR(__xludf.DUMMYFUNCTION("""COMPUTED_VALUE"""),"АО ""ОМСКЭЛЕКТРО"" 187-РДО от 01.06.2022")</f>
        <v>АО "ОМСКЭЛЕКТРО" 187-РДО от 01.06.2022</v>
      </c>
      <c r="D39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8" t="str">
        <f ca="1">IFERROR(__xludf.DUMMYFUNCTION("""COMPUTED_VALUE"""),"Новый")</f>
        <v>Новый</v>
      </c>
      <c r="G3928" s="68"/>
      <c r="K3928" s="68"/>
    </row>
    <row r="3929" spans="1:11" ht="12.75">
      <c r="A3929" s="69">
        <f ca="1">IFERROR(__xludf.DUMMYFUNCTION("""COMPUTED_VALUE"""),102835)</f>
        <v>102835</v>
      </c>
      <c r="B3929" s="4">
        <f ca="1">IFERROR(__xludf.DUMMYFUNCTION("""COMPUTED_VALUE"""),44769)</f>
        <v>44769</v>
      </c>
      <c r="C3929" t="str">
        <f ca="1">IFERROR(__xludf.DUMMYFUNCTION("""COMPUTED_VALUE"""),"АО ""ОМСКЭЛЕКТРО"" 187-РДО от 01.06.2022")</f>
        <v>АО "ОМСКЭЛЕКТРО" 187-РДО от 01.06.2022</v>
      </c>
      <c r="D39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29" t="str">
        <f ca="1">IFERROR(__xludf.DUMMYFUNCTION("""COMPUTED_VALUE"""),"Новый")</f>
        <v>Новый</v>
      </c>
      <c r="G3929" s="68"/>
      <c r="K3929" s="68"/>
    </row>
    <row r="3930" spans="1:11" ht="12.75">
      <c r="A3930" s="69">
        <f ca="1">IFERROR(__xludf.DUMMYFUNCTION("""COMPUTED_VALUE"""),102836)</f>
        <v>102836</v>
      </c>
      <c r="B3930" s="4">
        <f ca="1">IFERROR(__xludf.DUMMYFUNCTION("""COMPUTED_VALUE"""),44769)</f>
        <v>44769</v>
      </c>
      <c r="C3930" t="str">
        <f ca="1">IFERROR(__xludf.DUMMYFUNCTION("""COMPUTED_VALUE"""),"АО ""ОМСКЭЛЕКТРО"" 187-РДО от 01.06.2022")</f>
        <v>АО "ОМСКЭЛЕКТРО" 187-РДО от 01.06.2022</v>
      </c>
      <c r="D39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0" t="str">
        <f ca="1">IFERROR(__xludf.DUMMYFUNCTION("""COMPUTED_VALUE"""),"Новый")</f>
        <v>Новый</v>
      </c>
      <c r="G3930" s="68"/>
      <c r="K3930" s="68"/>
    </row>
    <row r="3931" spans="1:11" ht="12.75">
      <c r="A3931" s="69">
        <f ca="1">IFERROR(__xludf.DUMMYFUNCTION("""COMPUTED_VALUE"""),102837)</f>
        <v>102837</v>
      </c>
      <c r="B3931" s="4">
        <f ca="1">IFERROR(__xludf.DUMMYFUNCTION("""COMPUTED_VALUE"""),44769)</f>
        <v>44769</v>
      </c>
      <c r="C3931" t="str">
        <f ca="1">IFERROR(__xludf.DUMMYFUNCTION("""COMPUTED_VALUE"""),"АО ""ОМСКЭЛЕКТРО"" 187-РДО от 01.06.2022")</f>
        <v>АО "ОМСКЭЛЕКТРО" 187-РДО от 01.06.2022</v>
      </c>
      <c r="D39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1" t="str">
        <f ca="1">IFERROR(__xludf.DUMMYFUNCTION("""COMPUTED_VALUE"""),"Новый")</f>
        <v>Новый</v>
      </c>
      <c r="G3931" s="68"/>
      <c r="K3931" s="68"/>
    </row>
    <row r="3932" spans="1:11" ht="12.75">
      <c r="A3932" s="69">
        <f ca="1">IFERROR(__xludf.DUMMYFUNCTION("""COMPUTED_VALUE"""),102840)</f>
        <v>102840</v>
      </c>
      <c r="B3932" s="4">
        <f ca="1">IFERROR(__xludf.DUMMYFUNCTION("""COMPUTED_VALUE"""),44769)</f>
        <v>44769</v>
      </c>
      <c r="C3932" t="str">
        <f ca="1">IFERROR(__xludf.DUMMYFUNCTION("""COMPUTED_VALUE"""),"АО ""ОМСКЭЛЕКТРО"" 187-РДО от 01.06.2022")</f>
        <v>АО "ОМСКЭЛЕКТРО" 187-РДО от 01.06.2022</v>
      </c>
      <c r="D39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2" t="str">
        <f ca="1">IFERROR(__xludf.DUMMYFUNCTION("""COMPUTED_VALUE"""),"Новый")</f>
        <v>Новый</v>
      </c>
      <c r="G3932" s="68"/>
      <c r="K3932" s="68"/>
    </row>
    <row r="3933" spans="1:11" ht="12.75">
      <c r="A3933" s="69">
        <f ca="1">IFERROR(__xludf.DUMMYFUNCTION("""COMPUTED_VALUE"""),102841)</f>
        <v>102841</v>
      </c>
      <c r="B3933" s="4">
        <f ca="1">IFERROR(__xludf.DUMMYFUNCTION("""COMPUTED_VALUE"""),44769)</f>
        <v>44769</v>
      </c>
      <c r="C3933" t="str">
        <f ca="1">IFERROR(__xludf.DUMMYFUNCTION("""COMPUTED_VALUE"""),"АО ""ОМСКЭЛЕКТРО"" 187-РДО от 01.06.2022")</f>
        <v>АО "ОМСКЭЛЕКТРО" 187-РДО от 01.06.2022</v>
      </c>
      <c r="D39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3" t="str">
        <f ca="1">IFERROR(__xludf.DUMMYFUNCTION("""COMPUTED_VALUE"""),"Новый")</f>
        <v>Новый</v>
      </c>
      <c r="G3933" s="68"/>
      <c r="K3933" s="68"/>
    </row>
    <row r="3934" spans="1:11" ht="12.75">
      <c r="A3934" s="69">
        <f ca="1">IFERROR(__xludf.DUMMYFUNCTION("""COMPUTED_VALUE"""),102855)</f>
        <v>102855</v>
      </c>
      <c r="B3934" s="4">
        <f ca="1">IFERROR(__xludf.DUMMYFUNCTION("""COMPUTED_VALUE"""),44769)</f>
        <v>44769</v>
      </c>
      <c r="C3934" t="str">
        <f ca="1">IFERROR(__xludf.DUMMYFUNCTION("""COMPUTED_VALUE"""),"АО ""ОМСКЭЛЕКТРО"" 187-РДО от 01.06.2022")</f>
        <v>АО "ОМСКЭЛЕКТРО" 187-РДО от 01.06.2022</v>
      </c>
      <c r="D39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4" t="str">
        <f ca="1">IFERROR(__xludf.DUMMYFUNCTION("""COMPUTED_VALUE"""),"Новый")</f>
        <v>Новый</v>
      </c>
      <c r="G3934" s="68"/>
      <c r="K3934" s="68"/>
    </row>
    <row r="3935" spans="1:11" ht="12.75">
      <c r="A3935" s="69">
        <f ca="1">IFERROR(__xludf.DUMMYFUNCTION("""COMPUTED_VALUE"""),102856)</f>
        <v>102856</v>
      </c>
      <c r="B3935" s="4">
        <f ca="1">IFERROR(__xludf.DUMMYFUNCTION("""COMPUTED_VALUE"""),44769)</f>
        <v>44769</v>
      </c>
      <c r="C3935" t="str">
        <f ca="1">IFERROR(__xludf.DUMMYFUNCTION("""COMPUTED_VALUE"""),"АО ""ОМСКЭЛЕКТРО"" 187-РДО от 01.06.2022")</f>
        <v>АО "ОМСКЭЛЕКТРО" 187-РДО от 01.06.2022</v>
      </c>
      <c r="D39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5" t="str">
        <f ca="1">IFERROR(__xludf.DUMMYFUNCTION("""COMPUTED_VALUE"""),"Новый")</f>
        <v>Новый</v>
      </c>
      <c r="G3935" s="68"/>
      <c r="K3935" s="68"/>
    </row>
    <row r="3936" spans="1:11" ht="12.75">
      <c r="A3936" s="69">
        <f ca="1">IFERROR(__xludf.DUMMYFUNCTION("""COMPUTED_VALUE"""),102857)</f>
        <v>102857</v>
      </c>
      <c r="B3936" s="4">
        <f ca="1">IFERROR(__xludf.DUMMYFUNCTION("""COMPUTED_VALUE"""),44769)</f>
        <v>44769</v>
      </c>
      <c r="C3936" t="str">
        <f ca="1">IFERROR(__xludf.DUMMYFUNCTION("""COMPUTED_VALUE"""),"АО ""ОМСКЭЛЕКТРО"" 187-РДО от 01.06.2022")</f>
        <v>АО "ОМСКЭЛЕКТРО" 187-РДО от 01.06.2022</v>
      </c>
      <c r="D39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6" t="str">
        <f ca="1">IFERROR(__xludf.DUMMYFUNCTION("""COMPUTED_VALUE"""),"Новый")</f>
        <v>Новый</v>
      </c>
      <c r="G3936" s="68"/>
      <c r="K3936" s="68"/>
    </row>
    <row r="3937" spans="1:11" ht="12.75">
      <c r="A3937" s="69">
        <f ca="1">IFERROR(__xludf.DUMMYFUNCTION("""COMPUTED_VALUE"""),102858)</f>
        <v>102858</v>
      </c>
      <c r="B3937" s="4">
        <f ca="1">IFERROR(__xludf.DUMMYFUNCTION("""COMPUTED_VALUE"""),44769)</f>
        <v>44769</v>
      </c>
      <c r="C3937" t="str">
        <f ca="1">IFERROR(__xludf.DUMMYFUNCTION("""COMPUTED_VALUE"""),"ТСН ""СНТ ""МОНТАЖНИК-2"" 204-РДО от 27.07.2022")</f>
        <v>ТСН "СНТ "МОНТАЖНИК-2" 204-РДО от 27.07.2022</v>
      </c>
      <c r="D39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7" t="str">
        <f ca="1">IFERROR(__xludf.DUMMYFUNCTION("""COMPUTED_VALUE"""),"Новый")</f>
        <v>Новый</v>
      </c>
      <c r="G3937" s="68"/>
      <c r="K3937" s="68"/>
    </row>
    <row r="3938" spans="1:11" ht="12.75">
      <c r="A3938" s="69">
        <f ca="1">IFERROR(__xludf.DUMMYFUNCTION("""COMPUTED_VALUE"""),102859)</f>
        <v>102859</v>
      </c>
      <c r="B3938" s="4">
        <f ca="1">IFERROR(__xludf.DUMMYFUNCTION("""COMPUTED_VALUE"""),44769)</f>
        <v>44769</v>
      </c>
      <c r="C3938" t="str">
        <f ca="1">IFERROR(__xludf.DUMMYFUNCTION("""COMPUTED_VALUE"""),"ТСН ""СНТ ""МОНТАЖНИК-2"" 204-РДО от 27.07.2022")</f>
        <v>ТСН "СНТ "МОНТАЖНИК-2" 204-РДО от 27.07.2022</v>
      </c>
      <c r="D39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8" t="str">
        <f ca="1">IFERROR(__xludf.DUMMYFUNCTION("""COMPUTED_VALUE"""),"Новый")</f>
        <v>Новый</v>
      </c>
      <c r="G3938" s="68"/>
      <c r="K3938" s="68"/>
    </row>
    <row r="3939" spans="1:11" ht="12.75">
      <c r="A3939" s="69">
        <f ca="1">IFERROR(__xludf.DUMMYFUNCTION("""COMPUTED_VALUE"""),102860)</f>
        <v>102860</v>
      </c>
      <c r="B3939" s="4">
        <f ca="1">IFERROR(__xludf.DUMMYFUNCTION("""COMPUTED_VALUE"""),44769)</f>
        <v>44769</v>
      </c>
      <c r="C3939" t="str">
        <f ca="1">IFERROR(__xludf.DUMMYFUNCTION("""COMPUTED_VALUE"""),"ТСН ""СНТ ""МОНТАЖНИК-2"" 204-РДО от 27.07.2022")</f>
        <v>ТСН "СНТ "МОНТАЖНИК-2" 204-РДО от 27.07.2022</v>
      </c>
      <c r="D39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39" t="str">
        <f ca="1">IFERROR(__xludf.DUMMYFUNCTION("""COMPUTED_VALUE"""),"Новый")</f>
        <v>Новый</v>
      </c>
      <c r="G3939" s="68"/>
      <c r="K3939" s="68"/>
    </row>
    <row r="3940" spans="1:11" ht="12.75">
      <c r="A3940" s="69">
        <f ca="1">IFERROR(__xludf.DUMMYFUNCTION("""COMPUTED_VALUE"""),102861)</f>
        <v>102861</v>
      </c>
      <c r="B3940" s="4">
        <f ca="1">IFERROR(__xludf.DUMMYFUNCTION("""COMPUTED_VALUE"""),44769)</f>
        <v>44769</v>
      </c>
      <c r="C3940" t="str">
        <f ca="1">IFERROR(__xludf.DUMMYFUNCTION("""COMPUTED_VALUE"""),"ТСН ""СНТ ""МОНТАЖНИК-2"" 204-РДО от 27.07.2022")</f>
        <v>ТСН "СНТ "МОНТАЖНИК-2" 204-РДО от 27.07.2022</v>
      </c>
      <c r="D39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0" t="str">
        <f ca="1">IFERROR(__xludf.DUMMYFUNCTION("""COMPUTED_VALUE"""),"Новый")</f>
        <v>Новый</v>
      </c>
      <c r="G3940" s="68"/>
      <c r="K3940" s="68"/>
    </row>
    <row r="3941" spans="1:11" ht="12.75">
      <c r="A3941" s="69">
        <f ca="1">IFERROR(__xludf.DUMMYFUNCTION("""COMPUTED_VALUE"""),102862)</f>
        <v>102862</v>
      </c>
      <c r="B3941" s="4">
        <f ca="1">IFERROR(__xludf.DUMMYFUNCTION("""COMPUTED_VALUE"""),44769)</f>
        <v>44769</v>
      </c>
      <c r="C3941" t="str">
        <f ca="1">IFERROR(__xludf.DUMMYFUNCTION("""COMPUTED_VALUE"""),"ТСН ""СНТ ""МОНТАЖНИК-2"" 204-РДО от 27.07.2022")</f>
        <v>ТСН "СНТ "МОНТАЖНИК-2" 204-РДО от 27.07.2022</v>
      </c>
      <c r="D39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1" t="str">
        <f ca="1">IFERROR(__xludf.DUMMYFUNCTION("""COMPUTED_VALUE"""),"Новый")</f>
        <v>Новый</v>
      </c>
      <c r="G3941" s="68"/>
      <c r="K3941" s="68"/>
    </row>
    <row r="3942" spans="1:11" ht="12.75">
      <c r="A3942" s="69">
        <f ca="1">IFERROR(__xludf.DUMMYFUNCTION("""COMPUTED_VALUE"""),102863)</f>
        <v>102863</v>
      </c>
      <c r="B3942" s="4">
        <f ca="1">IFERROR(__xludf.DUMMYFUNCTION("""COMPUTED_VALUE"""),44769)</f>
        <v>44769</v>
      </c>
      <c r="C3942" t="str">
        <f ca="1">IFERROR(__xludf.DUMMYFUNCTION("""COMPUTED_VALUE"""),"ТСН ""СНТ ""МОНТАЖНИК-2"" 204-РДО от 27.07.2022")</f>
        <v>ТСН "СНТ "МОНТАЖНИК-2" 204-РДО от 27.07.2022</v>
      </c>
      <c r="D39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2" t="str">
        <f ca="1">IFERROR(__xludf.DUMMYFUNCTION("""COMPUTED_VALUE"""),"Новый")</f>
        <v>Новый</v>
      </c>
      <c r="G3942" s="68"/>
      <c r="K3942" s="68"/>
    </row>
    <row r="3943" spans="1:11" ht="12.75">
      <c r="A3943" s="69">
        <f ca="1">IFERROR(__xludf.DUMMYFUNCTION("""COMPUTED_VALUE"""),102864)</f>
        <v>102864</v>
      </c>
      <c r="B3943" s="4">
        <f ca="1">IFERROR(__xludf.DUMMYFUNCTION("""COMPUTED_VALUE"""),44769)</f>
        <v>44769</v>
      </c>
      <c r="C3943" t="str">
        <f ca="1">IFERROR(__xludf.DUMMYFUNCTION("""COMPUTED_VALUE"""),"ТСН ""СНТ ""МОНТАЖНИК-2"" 204-РДО от 27.07.2022")</f>
        <v>ТСН "СНТ "МОНТАЖНИК-2" 204-РДО от 27.07.2022</v>
      </c>
      <c r="D39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3" t="str">
        <f ca="1">IFERROR(__xludf.DUMMYFUNCTION("""COMPUTED_VALUE"""),"Новый")</f>
        <v>Новый</v>
      </c>
      <c r="G3943" s="68"/>
      <c r="K3943" s="68"/>
    </row>
    <row r="3944" spans="1:11" ht="12.75">
      <c r="A3944" s="69">
        <f ca="1">IFERROR(__xludf.DUMMYFUNCTION("""COMPUTED_VALUE"""),102865)</f>
        <v>102865</v>
      </c>
      <c r="B3944" s="4">
        <f ca="1">IFERROR(__xludf.DUMMYFUNCTION("""COMPUTED_VALUE"""),44769)</f>
        <v>44769</v>
      </c>
      <c r="C3944" t="str">
        <f ca="1">IFERROR(__xludf.DUMMYFUNCTION("""COMPUTED_VALUE"""),"ТСН ""СНТ ""МОНТАЖНИК-2"" 204-РДО от 27.07.2022")</f>
        <v>ТСН "СНТ "МОНТАЖНИК-2" 204-РДО от 27.07.2022</v>
      </c>
      <c r="D39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4" t="str">
        <f ca="1">IFERROR(__xludf.DUMMYFUNCTION("""COMPUTED_VALUE"""),"Новый")</f>
        <v>Новый</v>
      </c>
      <c r="G3944" s="68"/>
      <c r="K3944" s="68"/>
    </row>
    <row r="3945" spans="1:11" ht="12.75">
      <c r="A3945" s="69">
        <f ca="1">IFERROR(__xludf.DUMMYFUNCTION("""COMPUTED_VALUE"""),102866)</f>
        <v>102866</v>
      </c>
      <c r="B3945" s="4">
        <f ca="1">IFERROR(__xludf.DUMMYFUNCTION("""COMPUTED_VALUE"""),44769)</f>
        <v>44769</v>
      </c>
      <c r="C3945" t="str">
        <f ca="1">IFERROR(__xludf.DUMMYFUNCTION("""COMPUTED_VALUE"""),"ТСН ""СНТ ""МОНТАЖНИК-2"" 204-РДО от 27.07.2022")</f>
        <v>ТСН "СНТ "МОНТАЖНИК-2" 204-РДО от 27.07.2022</v>
      </c>
      <c r="D39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5" t="str">
        <f ca="1">IFERROR(__xludf.DUMMYFUNCTION("""COMPUTED_VALUE"""),"Новый")</f>
        <v>Новый</v>
      </c>
      <c r="G3945" s="68"/>
      <c r="K3945" s="68"/>
    </row>
    <row r="3946" spans="1:11" ht="12.75">
      <c r="A3946" s="69">
        <f ca="1">IFERROR(__xludf.DUMMYFUNCTION("""COMPUTED_VALUE"""),102867)</f>
        <v>102867</v>
      </c>
      <c r="B3946" s="4">
        <f ca="1">IFERROR(__xludf.DUMMYFUNCTION("""COMPUTED_VALUE"""),44769)</f>
        <v>44769</v>
      </c>
      <c r="C3946" t="str">
        <f ca="1">IFERROR(__xludf.DUMMYFUNCTION("""COMPUTED_VALUE"""),"ТСН ""СНТ ""МОНТАЖНИК-2"" 204-РДО от 27.07.2022")</f>
        <v>ТСН "СНТ "МОНТАЖНИК-2" 204-РДО от 27.07.2022</v>
      </c>
      <c r="D39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6" t="str">
        <f ca="1">IFERROR(__xludf.DUMMYFUNCTION("""COMPUTED_VALUE"""),"Новый")</f>
        <v>Новый</v>
      </c>
      <c r="G3946" s="68"/>
      <c r="K3946" s="68"/>
    </row>
    <row r="3947" spans="1:11" ht="12.75">
      <c r="A3947" s="69">
        <f ca="1">IFERROR(__xludf.DUMMYFUNCTION("""COMPUTED_VALUE"""),102869)</f>
        <v>102869</v>
      </c>
      <c r="B3947" s="4">
        <f ca="1">IFERROR(__xludf.DUMMYFUNCTION("""COMPUTED_VALUE"""),44770)</f>
        <v>44770</v>
      </c>
      <c r="C394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7" t="str">
        <f ca="1">IFERROR(__xludf.DUMMYFUNCTION("""COMPUTED_VALUE"""),"Новый")</f>
        <v>Новый</v>
      </c>
      <c r="G3947" s="68"/>
      <c r="K3947" s="68"/>
    </row>
    <row r="3948" spans="1:11" ht="12.75">
      <c r="A3948" s="69">
        <f ca="1">IFERROR(__xludf.DUMMYFUNCTION("""COMPUTED_VALUE"""),102871)</f>
        <v>102871</v>
      </c>
      <c r="B3948" s="4">
        <f ca="1">IFERROR(__xludf.DUMMYFUNCTION("""COMPUTED_VALUE"""),44770)</f>
        <v>44770</v>
      </c>
      <c r="C394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8" t="str">
        <f ca="1">IFERROR(__xludf.DUMMYFUNCTION("""COMPUTED_VALUE"""),"Новый")</f>
        <v>Новый</v>
      </c>
      <c r="G3948" s="68"/>
      <c r="K3948" s="68"/>
    </row>
    <row r="3949" spans="1:11" ht="12.75">
      <c r="A3949" s="69">
        <f ca="1">IFERROR(__xludf.DUMMYFUNCTION("""COMPUTED_VALUE"""),102873)</f>
        <v>102873</v>
      </c>
      <c r="B3949" s="4">
        <f ca="1">IFERROR(__xludf.DUMMYFUNCTION("""COMPUTED_VALUE"""),44770)</f>
        <v>44770</v>
      </c>
      <c r="C394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49" t="str">
        <f ca="1">IFERROR(__xludf.DUMMYFUNCTION("""COMPUTED_VALUE"""),"Новый")</f>
        <v>Новый</v>
      </c>
      <c r="G3949" s="68"/>
      <c r="K3949" s="68"/>
    </row>
    <row r="3950" spans="1:11" ht="12.75">
      <c r="A3950" s="69">
        <f ca="1">IFERROR(__xludf.DUMMYFUNCTION("""COMPUTED_VALUE"""),102875)</f>
        <v>102875</v>
      </c>
      <c r="B3950" s="4">
        <f ca="1">IFERROR(__xludf.DUMMYFUNCTION("""COMPUTED_VALUE"""),44770)</f>
        <v>44770</v>
      </c>
      <c r="C395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0" t="str">
        <f ca="1">IFERROR(__xludf.DUMMYFUNCTION("""COMPUTED_VALUE"""),"Новый")</f>
        <v>Новый</v>
      </c>
      <c r="G3950" s="68"/>
      <c r="K3950" s="68"/>
    </row>
    <row r="3951" spans="1:11" ht="12.75">
      <c r="A3951" s="69">
        <f ca="1">IFERROR(__xludf.DUMMYFUNCTION("""COMPUTED_VALUE"""),102877)</f>
        <v>102877</v>
      </c>
      <c r="B3951" s="4">
        <f ca="1">IFERROR(__xludf.DUMMYFUNCTION("""COMPUTED_VALUE"""),44770)</f>
        <v>44770</v>
      </c>
      <c r="C395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1" t="str">
        <f ca="1">IFERROR(__xludf.DUMMYFUNCTION("""COMPUTED_VALUE"""),"Новый")</f>
        <v>Новый</v>
      </c>
      <c r="G3951" s="68"/>
      <c r="K3951" s="68"/>
    </row>
    <row r="3952" spans="1:11" ht="12.75">
      <c r="A3952" s="69">
        <f ca="1">IFERROR(__xludf.DUMMYFUNCTION("""COMPUTED_VALUE"""),102878)</f>
        <v>102878</v>
      </c>
      <c r="B3952" s="4">
        <f ca="1">IFERROR(__xludf.DUMMYFUNCTION("""COMPUTED_VALUE"""),44770)</f>
        <v>44770</v>
      </c>
      <c r="C395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2" t="str">
        <f ca="1">IFERROR(__xludf.DUMMYFUNCTION("""COMPUTED_VALUE"""),"Новый")</f>
        <v>Новый</v>
      </c>
      <c r="G3952" s="68"/>
      <c r="K3952" s="68"/>
    </row>
    <row r="3953" spans="1:11" ht="12.75">
      <c r="A3953" s="69">
        <f ca="1">IFERROR(__xludf.DUMMYFUNCTION("""COMPUTED_VALUE"""),102879)</f>
        <v>102879</v>
      </c>
      <c r="B3953" s="4">
        <f ca="1">IFERROR(__xludf.DUMMYFUNCTION("""COMPUTED_VALUE"""),44770)</f>
        <v>44770</v>
      </c>
      <c r="C395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3" t="str">
        <f ca="1">IFERROR(__xludf.DUMMYFUNCTION("""COMPUTED_VALUE"""),"Новый")</f>
        <v>Новый</v>
      </c>
      <c r="G3953" s="68"/>
      <c r="K3953" s="68"/>
    </row>
    <row r="3954" spans="1:11" ht="12.75">
      <c r="A3954" s="69">
        <f ca="1">IFERROR(__xludf.DUMMYFUNCTION("""COMPUTED_VALUE"""),102880)</f>
        <v>102880</v>
      </c>
      <c r="B3954" s="4">
        <f ca="1">IFERROR(__xludf.DUMMYFUNCTION("""COMPUTED_VALUE"""),44770)</f>
        <v>44770</v>
      </c>
      <c r="C395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4" t="str">
        <f ca="1">IFERROR(__xludf.DUMMYFUNCTION("""COMPUTED_VALUE"""),"Новый")</f>
        <v>Новый</v>
      </c>
      <c r="G3954" s="68"/>
      <c r="K3954" s="68"/>
    </row>
    <row r="3955" spans="1:11" ht="12.75">
      <c r="A3955" s="69">
        <f ca="1">IFERROR(__xludf.DUMMYFUNCTION("""COMPUTED_VALUE"""),102881)</f>
        <v>102881</v>
      </c>
      <c r="B3955" s="4">
        <f ca="1">IFERROR(__xludf.DUMMYFUNCTION("""COMPUTED_VALUE"""),44770)</f>
        <v>44770</v>
      </c>
      <c r="C395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5" t="str">
        <f ca="1">IFERROR(__xludf.DUMMYFUNCTION("""COMPUTED_VALUE"""),"Новый")</f>
        <v>Новый</v>
      </c>
      <c r="G3955" s="68"/>
      <c r="K3955" s="68"/>
    </row>
    <row r="3956" spans="1:11" ht="12.75">
      <c r="A3956" s="69">
        <f ca="1">IFERROR(__xludf.DUMMYFUNCTION("""COMPUTED_VALUE"""),102882)</f>
        <v>102882</v>
      </c>
      <c r="B3956" s="4">
        <f ca="1">IFERROR(__xludf.DUMMYFUNCTION("""COMPUTED_VALUE"""),44770)</f>
        <v>44770</v>
      </c>
      <c r="C395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6" t="str">
        <f ca="1">IFERROR(__xludf.DUMMYFUNCTION("""COMPUTED_VALUE"""),"Новый")</f>
        <v>Новый</v>
      </c>
      <c r="G3956" s="68"/>
      <c r="K3956" s="68"/>
    </row>
    <row r="3957" spans="1:11" ht="12.75">
      <c r="A3957" s="69">
        <f ca="1">IFERROR(__xludf.DUMMYFUNCTION("""COMPUTED_VALUE"""),102883)</f>
        <v>102883</v>
      </c>
      <c r="B3957" s="4">
        <f ca="1">IFERROR(__xludf.DUMMYFUNCTION("""COMPUTED_VALUE"""),44770)</f>
        <v>44770</v>
      </c>
      <c r="C395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7" t="str">
        <f ca="1">IFERROR(__xludf.DUMMYFUNCTION("""COMPUTED_VALUE"""),"Новый")</f>
        <v>Новый</v>
      </c>
      <c r="G3957" s="68"/>
      <c r="K3957" s="68"/>
    </row>
    <row r="3958" spans="1:11" ht="12.75">
      <c r="A3958" s="69">
        <f ca="1">IFERROR(__xludf.DUMMYFUNCTION("""COMPUTED_VALUE"""),102884)</f>
        <v>102884</v>
      </c>
      <c r="B3958" s="4">
        <f ca="1">IFERROR(__xludf.DUMMYFUNCTION("""COMPUTED_VALUE"""),44770)</f>
        <v>44770</v>
      </c>
      <c r="C395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8" t="str">
        <f ca="1">IFERROR(__xludf.DUMMYFUNCTION("""COMPUTED_VALUE"""),"Новый")</f>
        <v>Новый</v>
      </c>
      <c r="G3958" s="68"/>
      <c r="K3958" s="68"/>
    </row>
    <row r="3959" spans="1:11" ht="12.75">
      <c r="A3959" s="69">
        <f ca="1">IFERROR(__xludf.DUMMYFUNCTION("""COMPUTED_VALUE"""),102885)</f>
        <v>102885</v>
      </c>
      <c r="B3959" s="4">
        <f ca="1">IFERROR(__xludf.DUMMYFUNCTION("""COMPUTED_VALUE"""),44770)</f>
        <v>44770</v>
      </c>
      <c r="C395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59" t="str">
        <f ca="1">IFERROR(__xludf.DUMMYFUNCTION("""COMPUTED_VALUE"""),"Новый")</f>
        <v>Новый</v>
      </c>
      <c r="G3959" s="68"/>
      <c r="K3959" s="68"/>
    </row>
    <row r="3960" spans="1:11" ht="12.75">
      <c r="A3960" s="69">
        <f ca="1">IFERROR(__xludf.DUMMYFUNCTION("""COMPUTED_VALUE"""),102886)</f>
        <v>102886</v>
      </c>
      <c r="B3960" s="4">
        <f ca="1">IFERROR(__xludf.DUMMYFUNCTION("""COMPUTED_VALUE"""),44770)</f>
        <v>44770</v>
      </c>
      <c r="C396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60" t="str">
        <f ca="1">IFERROR(__xludf.DUMMYFUNCTION("""COMPUTED_VALUE"""),"Новый")</f>
        <v>Новый</v>
      </c>
      <c r="G3960" s="68"/>
      <c r="K3960" s="68"/>
    </row>
    <row r="3961" spans="1:11" ht="12.75">
      <c r="A3961" s="69">
        <f ca="1">IFERROR(__xludf.DUMMYFUNCTION("""COMPUTED_VALUE"""),102887)</f>
        <v>102887</v>
      </c>
      <c r="B3961" s="4">
        <f ca="1">IFERROR(__xludf.DUMMYFUNCTION("""COMPUTED_VALUE"""),44770)</f>
        <v>44770</v>
      </c>
      <c r="C396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39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61" t="str">
        <f ca="1">IFERROR(__xludf.DUMMYFUNCTION("""COMPUTED_VALUE"""),"Новый")</f>
        <v>Новый</v>
      </c>
      <c r="G3961" s="68"/>
      <c r="K3961" s="68"/>
    </row>
    <row r="3962" spans="1:11" ht="12.75">
      <c r="A3962" s="69">
        <f ca="1">IFERROR(__xludf.DUMMYFUNCTION("""COMPUTED_VALUE"""),102898)</f>
        <v>102898</v>
      </c>
      <c r="B3962" s="4">
        <f ca="1">IFERROR(__xludf.DUMMYFUNCTION("""COMPUTED_VALUE"""),44774)</f>
        <v>44774</v>
      </c>
      <c r="C3962" t="str">
        <f ca="1">IFERROR(__xludf.DUMMYFUNCTION("""COMPUTED_VALUE"""),"ООО ""СК ""СИБИКОМ"" 153-СТР от 22.07.2022")</f>
        <v>ООО "СК "СИБИКОМ" 153-СТР от 22.07.2022</v>
      </c>
      <c r="D39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2" t="str">
        <f ca="1">IFERROR(__xludf.DUMMYFUNCTION("""COMPUTED_VALUE"""),"Новый")</f>
        <v>Новый</v>
      </c>
      <c r="G3962" s="68"/>
      <c r="K3962" s="68"/>
    </row>
    <row r="3963" spans="1:11" ht="12.75">
      <c r="A3963" s="69">
        <f ca="1">IFERROR(__xludf.DUMMYFUNCTION("""COMPUTED_VALUE"""),102899)</f>
        <v>102899</v>
      </c>
      <c r="B3963" s="4">
        <f ca="1">IFERROR(__xludf.DUMMYFUNCTION("""COMPUTED_VALUE"""),44774)</f>
        <v>44774</v>
      </c>
      <c r="C3963" t="str">
        <f ca="1">IFERROR(__xludf.DUMMYFUNCTION("""COMPUTED_VALUE"""),"ООО ""СК ""СИБИКОМ"" 153-СТР от 22.07.2022")</f>
        <v>ООО "СК "СИБИКОМ" 153-СТР от 22.07.2022</v>
      </c>
      <c r="D39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3" t="str">
        <f ca="1">IFERROR(__xludf.DUMMYFUNCTION("""COMPUTED_VALUE"""),"Новый")</f>
        <v>Новый</v>
      </c>
      <c r="G3963" s="68"/>
      <c r="K3963" s="68"/>
    </row>
    <row r="3964" spans="1:11" ht="12.75">
      <c r="A3964" s="69">
        <f ca="1">IFERROR(__xludf.DUMMYFUNCTION("""COMPUTED_VALUE"""),102900)</f>
        <v>102900</v>
      </c>
      <c r="B3964" s="4">
        <f ca="1">IFERROR(__xludf.DUMMYFUNCTION("""COMPUTED_VALUE"""),44774)</f>
        <v>44774</v>
      </c>
      <c r="C3964" t="str">
        <f ca="1">IFERROR(__xludf.DUMMYFUNCTION("""COMPUTED_VALUE"""),"ООО ""СК ""СИБИКОМ"" 153-СТР от 22.07.2022")</f>
        <v>ООО "СК "СИБИКОМ" 153-СТР от 22.07.2022</v>
      </c>
      <c r="D39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4" t="str">
        <f ca="1">IFERROR(__xludf.DUMMYFUNCTION("""COMPUTED_VALUE"""),"Новый")</f>
        <v>Новый</v>
      </c>
      <c r="G3964" s="68"/>
      <c r="K3964" s="68"/>
    </row>
    <row r="3965" spans="1:11" ht="12.75">
      <c r="A3965" s="69">
        <f ca="1">IFERROR(__xludf.DUMMYFUNCTION("""COMPUTED_VALUE"""),102901)</f>
        <v>102901</v>
      </c>
      <c r="B3965" s="4">
        <f ca="1">IFERROR(__xludf.DUMMYFUNCTION("""COMPUTED_VALUE"""),44774)</f>
        <v>44774</v>
      </c>
      <c r="C3965" t="str">
        <f ca="1">IFERROR(__xludf.DUMMYFUNCTION("""COMPUTED_VALUE"""),"ООО ""СК ""СИБИКОМ"" 153-СТР от 22.07.2022")</f>
        <v>ООО "СК "СИБИКОМ" 153-СТР от 22.07.2022</v>
      </c>
      <c r="D39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5" t="str">
        <f ca="1">IFERROR(__xludf.DUMMYFUNCTION("""COMPUTED_VALUE"""),"Новый")</f>
        <v>Новый</v>
      </c>
      <c r="G3965" s="68"/>
      <c r="K3965" s="68"/>
    </row>
    <row r="3966" spans="1:11" ht="12.75">
      <c r="A3966" s="69">
        <f ca="1">IFERROR(__xludf.DUMMYFUNCTION("""COMPUTED_VALUE"""),102902)</f>
        <v>102902</v>
      </c>
      <c r="B3966" s="4">
        <f ca="1">IFERROR(__xludf.DUMMYFUNCTION("""COMPUTED_VALUE"""),44774)</f>
        <v>44774</v>
      </c>
      <c r="C3966" t="str">
        <f ca="1">IFERROR(__xludf.DUMMYFUNCTION("""COMPUTED_VALUE"""),"ООО ""СК ""СИБИКОМ"" 153-СТР от 22.07.2022")</f>
        <v>ООО "СК "СИБИКОМ" 153-СТР от 22.07.2022</v>
      </c>
      <c r="D39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6" t="str">
        <f ca="1">IFERROR(__xludf.DUMMYFUNCTION("""COMPUTED_VALUE"""),"Новый")</f>
        <v>Новый</v>
      </c>
      <c r="G3966" s="68"/>
      <c r="K3966" s="68"/>
    </row>
    <row r="3967" spans="1:11" ht="12.75">
      <c r="A3967" s="69">
        <f ca="1">IFERROR(__xludf.DUMMYFUNCTION("""COMPUTED_VALUE"""),102903)</f>
        <v>102903</v>
      </c>
      <c r="B3967" s="4">
        <f ca="1">IFERROR(__xludf.DUMMYFUNCTION("""COMPUTED_VALUE"""),44774)</f>
        <v>44774</v>
      </c>
      <c r="C3967" t="str">
        <f ca="1">IFERROR(__xludf.DUMMYFUNCTION("""COMPUTED_VALUE"""),"ООО ""СК ""СИБИКОМ"" 153-СТР от 22.07.2022")</f>
        <v>ООО "СК "СИБИКОМ" 153-СТР от 22.07.2022</v>
      </c>
      <c r="D39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7" t="str">
        <f ca="1">IFERROR(__xludf.DUMMYFUNCTION("""COMPUTED_VALUE"""),"Новый")</f>
        <v>Новый</v>
      </c>
      <c r="G3967" s="68"/>
      <c r="K3967" s="68"/>
    </row>
    <row r="3968" spans="1:11" ht="12.75">
      <c r="A3968" s="69">
        <f ca="1">IFERROR(__xludf.DUMMYFUNCTION("""COMPUTED_VALUE"""),102904)</f>
        <v>102904</v>
      </c>
      <c r="B3968" s="4">
        <f ca="1">IFERROR(__xludf.DUMMYFUNCTION("""COMPUTED_VALUE"""),44774)</f>
        <v>44774</v>
      </c>
      <c r="C3968" t="str">
        <f ca="1">IFERROR(__xludf.DUMMYFUNCTION("""COMPUTED_VALUE"""),"ООО ""СК ""СИБИКОМ"" 153-СТР от 22.07.2022")</f>
        <v>ООО "СК "СИБИКОМ" 153-СТР от 22.07.2022</v>
      </c>
      <c r="D39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8" t="str">
        <f ca="1">IFERROR(__xludf.DUMMYFUNCTION("""COMPUTED_VALUE"""),"Новый")</f>
        <v>Новый</v>
      </c>
      <c r="G3968" s="68"/>
      <c r="K3968" s="68"/>
    </row>
    <row r="3969" spans="1:11" ht="12.75">
      <c r="A3969" s="69">
        <f ca="1">IFERROR(__xludf.DUMMYFUNCTION("""COMPUTED_VALUE"""),102905)</f>
        <v>102905</v>
      </c>
      <c r="B3969" s="4">
        <f ca="1">IFERROR(__xludf.DUMMYFUNCTION("""COMPUTED_VALUE"""),44774)</f>
        <v>44774</v>
      </c>
      <c r="C3969" t="str">
        <f ca="1">IFERROR(__xludf.DUMMYFUNCTION("""COMPUTED_VALUE"""),"ООО ""СК ""СИБИКОМ"" 153-СТР от 22.07.2022")</f>
        <v>ООО "СК "СИБИКОМ" 153-СТР от 22.07.2022</v>
      </c>
      <c r="D39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69" t="str">
        <f ca="1">IFERROR(__xludf.DUMMYFUNCTION("""COMPUTED_VALUE"""),"Новый")</f>
        <v>Новый</v>
      </c>
      <c r="G3969" s="68"/>
      <c r="K3969" s="68"/>
    </row>
    <row r="3970" spans="1:11" ht="12.75">
      <c r="A3970" s="69">
        <f ca="1">IFERROR(__xludf.DUMMYFUNCTION("""COMPUTED_VALUE"""),102939)</f>
        <v>102939</v>
      </c>
      <c r="B3970" s="4">
        <f ca="1">IFERROR(__xludf.DUMMYFUNCTION("""COMPUTED_VALUE"""),44774)</f>
        <v>44774</v>
      </c>
      <c r="C3970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0" t="str">
        <f ca="1">IFERROR(__xludf.DUMMYFUNCTION("""COMPUTED_VALUE"""),"Новый")</f>
        <v>Новый</v>
      </c>
      <c r="G3970" s="68"/>
      <c r="K3970" s="68"/>
    </row>
    <row r="3971" spans="1:11" ht="12.75">
      <c r="A3971" s="69">
        <f ca="1">IFERROR(__xludf.DUMMYFUNCTION("""COMPUTED_VALUE"""),102940)</f>
        <v>102940</v>
      </c>
      <c r="B3971" s="4">
        <f ca="1">IFERROR(__xludf.DUMMYFUNCTION("""COMPUTED_VALUE"""),44774)</f>
        <v>44774</v>
      </c>
      <c r="C3971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1" t="str">
        <f ca="1">IFERROR(__xludf.DUMMYFUNCTION("""COMPUTED_VALUE"""),"Новый")</f>
        <v>Новый</v>
      </c>
      <c r="G3971" s="68"/>
      <c r="K3971" s="68"/>
    </row>
    <row r="3972" spans="1:11" ht="12.75">
      <c r="A3972" s="69">
        <f ca="1">IFERROR(__xludf.DUMMYFUNCTION("""COMPUTED_VALUE"""),102941)</f>
        <v>102941</v>
      </c>
      <c r="B3972" s="4">
        <f ca="1">IFERROR(__xludf.DUMMYFUNCTION("""COMPUTED_VALUE"""),44774)</f>
        <v>44774</v>
      </c>
      <c r="C3972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2" t="str">
        <f ca="1">IFERROR(__xludf.DUMMYFUNCTION("""COMPUTED_VALUE"""),"Новый")</f>
        <v>Новый</v>
      </c>
      <c r="G3972" s="68"/>
      <c r="K3972" s="68"/>
    </row>
    <row r="3973" spans="1:11" ht="12.75">
      <c r="A3973" s="69">
        <f ca="1">IFERROR(__xludf.DUMMYFUNCTION("""COMPUTED_VALUE"""),102942)</f>
        <v>102942</v>
      </c>
      <c r="B3973" s="4">
        <f ca="1">IFERROR(__xludf.DUMMYFUNCTION("""COMPUTED_VALUE"""),44774)</f>
        <v>44774</v>
      </c>
      <c r="C3973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3" t="str">
        <f ca="1">IFERROR(__xludf.DUMMYFUNCTION("""COMPUTED_VALUE"""),"Новый")</f>
        <v>Новый</v>
      </c>
      <c r="G3973" s="68"/>
      <c r="K3973" s="68"/>
    </row>
    <row r="3974" spans="1:11" ht="12.75">
      <c r="A3974" s="69">
        <f ca="1">IFERROR(__xludf.DUMMYFUNCTION("""COMPUTED_VALUE"""),102943)</f>
        <v>102943</v>
      </c>
      <c r="B3974" s="4">
        <f ca="1">IFERROR(__xludf.DUMMYFUNCTION("""COMPUTED_VALUE"""),44774)</f>
        <v>44774</v>
      </c>
      <c r="C3974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4" t="str">
        <f ca="1">IFERROR(__xludf.DUMMYFUNCTION("""COMPUTED_VALUE"""),"Новый")</f>
        <v>Новый</v>
      </c>
      <c r="G3974" s="68"/>
      <c r="K3974" s="68"/>
    </row>
    <row r="3975" spans="1:11" ht="12.75">
      <c r="A3975" s="69">
        <f ca="1">IFERROR(__xludf.DUMMYFUNCTION("""COMPUTED_VALUE"""),102944)</f>
        <v>102944</v>
      </c>
      <c r="B3975" s="4">
        <f ca="1">IFERROR(__xludf.DUMMYFUNCTION("""COMPUTED_VALUE"""),44774)</f>
        <v>44774</v>
      </c>
      <c r="C3975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5" t="str">
        <f ca="1">IFERROR(__xludf.DUMMYFUNCTION("""COMPUTED_VALUE"""),"Новый")</f>
        <v>Новый</v>
      </c>
      <c r="G3975" s="68"/>
      <c r="K3975" s="68"/>
    </row>
    <row r="3976" spans="1:11" ht="12.75">
      <c r="A3976" s="69">
        <f ca="1">IFERROR(__xludf.DUMMYFUNCTION("""COMPUTED_VALUE"""),102945)</f>
        <v>102945</v>
      </c>
      <c r="B3976" s="4">
        <f ca="1">IFERROR(__xludf.DUMMYFUNCTION("""COMPUTED_VALUE"""),44774)</f>
        <v>44774</v>
      </c>
      <c r="C3976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6" t="str">
        <f ca="1">IFERROR(__xludf.DUMMYFUNCTION("""COMPUTED_VALUE"""),"Новый")</f>
        <v>Новый</v>
      </c>
      <c r="G3976" s="68"/>
      <c r="K3976" s="68"/>
    </row>
    <row r="3977" spans="1:11" ht="12.75">
      <c r="A3977" s="69">
        <f ca="1">IFERROR(__xludf.DUMMYFUNCTION("""COMPUTED_VALUE"""),102946)</f>
        <v>102946</v>
      </c>
      <c r="B3977" s="4">
        <f ca="1">IFERROR(__xludf.DUMMYFUNCTION("""COMPUTED_VALUE"""),44774)</f>
        <v>44774</v>
      </c>
      <c r="C3977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7" t="str">
        <f ca="1">IFERROR(__xludf.DUMMYFUNCTION("""COMPUTED_VALUE"""),"Новый")</f>
        <v>Новый</v>
      </c>
      <c r="G3977" s="68"/>
      <c r="K3977" s="68"/>
    </row>
    <row r="3978" spans="1:11" ht="12.75">
      <c r="A3978" s="69">
        <f ca="1">IFERROR(__xludf.DUMMYFUNCTION("""COMPUTED_VALUE"""),102947)</f>
        <v>102947</v>
      </c>
      <c r="B3978" s="4">
        <f ca="1">IFERROR(__xludf.DUMMYFUNCTION("""COMPUTED_VALUE"""),44774)</f>
        <v>44774</v>
      </c>
      <c r="C3978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8" t="str">
        <f ca="1">IFERROR(__xludf.DUMMYFUNCTION("""COMPUTED_VALUE"""),"Новый")</f>
        <v>Новый</v>
      </c>
      <c r="G3978" s="68"/>
      <c r="K3978" s="68"/>
    </row>
    <row r="3979" spans="1:11" ht="12.75">
      <c r="A3979" s="69">
        <f ca="1">IFERROR(__xludf.DUMMYFUNCTION("""COMPUTED_VALUE"""),102948)</f>
        <v>102948</v>
      </c>
      <c r="B3979" s="4">
        <f ca="1">IFERROR(__xludf.DUMMYFUNCTION("""COMPUTED_VALUE"""),44774)</f>
        <v>44774</v>
      </c>
      <c r="C3979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79" t="str">
        <f ca="1">IFERROR(__xludf.DUMMYFUNCTION("""COMPUTED_VALUE"""),"Новый")</f>
        <v>Новый</v>
      </c>
      <c r="G3979" s="68"/>
      <c r="K3979" s="68"/>
    </row>
    <row r="3980" spans="1:11" ht="12.75">
      <c r="A3980" s="69">
        <f ca="1">IFERROR(__xludf.DUMMYFUNCTION("""COMPUTED_VALUE"""),102949)</f>
        <v>102949</v>
      </c>
      <c r="B3980" s="4">
        <f ca="1">IFERROR(__xludf.DUMMYFUNCTION("""COMPUTED_VALUE"""),44774)</f>
        <v>44774</v>
      </c>
      <c r="C3980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0" t="str">
        <f ca="1">IFERROR(__xludf.DUMMYFUNCTION("""COMPUTED_VALUE"""),"Новый")</f>
        <v>Новый</v>
      </c>
      <c r="G3980" s="68"/>
      <c r="K3980" s="68"/>
    </row>
    <row r="3981" spans="1:11" ht="12.75">
      <c r="A3981" s="69">
        <f ca="1">IFERROR(__xludf.DUMMYFUNCTION("""COMPUTED_VALUE"""),102950)</f>
        <v>102950</v>
      </c>
      <c r="B3981" s="4">
        <f ca="1">IFERROR(__xludf.DUMMYFUNCTION("""COMPUTED_VALUE"""),44774)</f>
        <v>44774</v>
      </c>
      <c r="C3981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1" t="str">
        <f ca="1">IFERROR(__xludf.DUMMYFUNCTION("""COMPUTED_VALUE"""),"Новый")</f>
        <v>Новый</v>
      </c>
      <c r="G3981" s="68"/>
      <c r="K3981" s="68"/>
    </row>
    <row r="3982" spans="1:11" ht="12.75">
      <c r="A3982" s="69">
        <f ca="1">IFERROR(__xludf.DUMMYFUNCTION("""COMPUTED_VALUE"""),102951)</f>
        <v>102951</v>
      </c>
      <c r="B3982" s="4">
        <f ca="1">IFERROR(__xludf.DUMMYFUNCTION("""COMPUTED_VALUE"""),44774)</f>
        <v>44774</v>
      </c>
      <c r="C3982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2" t="str">
        <f ca="1">IFERROR(__xludf.DUMMYFUNCTION("""COMPUTED_VALUE"""),"Новый")</f>
        <v>Новый</v>
      </c>
      <c r="G3982" s="68"/>
      <c r="K3982" s="68"/>
    </row>
    <row r="3983" spans="1:11" ht="12.75">
      <c r="A3983" s="69">
        <f ca="1">IFERROR(__xludf.DUMMYFUNCTION("""COMPUTED_VALUE"""),102952)</f>
        <v>102952</v>
      </c>
      <c r="B3983" s="4">
        <f ca="1">IFERROR(__xludf.DUMMYFUNCTION("""COMPUTED_VALUE"""),44774)</f>
        <v>44774</v>
      </c>
      <c r="C3983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3" t="str">
        <f ca="1">IFERROR(__xludf.DUMMYFUNCTION("""COMPUTED_VALUE"""),"Новый")</f>
        <v>Новый</v>
      </c>
      <c r="G3983" s="68"/>
      <c r="K3983" s="68"/>
    </row>
    <row r="3984" spans="1:11" ht="12.75">
      <c r="A3984" s="69">
        <f ca="1">IFERROR(__xludf.DUMMYFUNCTION("""COMPUTED_VALUE"""),102953)</f>
        <v>102953</v>
      </c>
      <c r="B3984" s="4">
        <f ca="1">IFERROR(__xludf.DUMMYFUNCTION("""COMPUTED_VALUE"""),44774)</f>
        <v>44774</v>
      </c>
      <c r="C3984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4" t="str">
        <f ca="1">IFERROR(__xludf.DUMMYFUNCTION("""COMPUTED_VALUE"""),"Новый")</f>
        <v>Новый</v>
      </c>
      <c r="G3984" s="68"/>
      <c r="K3984" s="68"/>
    </row>
    <row r="3985" spans="1:11" ht="12.75">
      <c r="A3985" s="69">
        <f ca="1">IFERROR(__xludf.DUMMYFUNCTION("""COMPUTED_VALUE"""),102954)</f>
        <v>102954</v>
      </c>
      <c r="B3985" s="4">
        <f ca="1">IFERROR(__xludf.DUMMYFUNCTION("""COMPUTED_VALUE"""),44774)</f>
        <v>44774</v>
      </c>
      <c r="C3985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5" t="str">
        <f ca="1">IFERROR(__xludf.DUMMYFUNCTION("""COMPUTED_VALUE"""),"Новый")</f>
        <v>Новый</v>
      </c>
      <c r="G3985" s="68"/>
      <c r="K3985" s="68"/>
    </row>
    <row r="3986" spans="1:11" ht="12.75">
      <c r="A3986" s="69">
        <f ca="1">IFERROR(__xludf.DUMMYFUNCTION("""COMPUTED_VALUE"""),102955)</f>
        <v>102955</v>
      </c>
      <c r="B3986" s="4">
        <f ca="1">IFERROR(__xludf.DUMMYFUNCTION("""COMPUTED_VALUE"""),44774)</f>
        <v>44774</v>
      </c>
      <c r="C3986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6" t="str">
        <f ca="1">IFERROR(__xludf.DUMMYFUNCTION("""COMPUTED_VALUE"""),"Новый")</f>
        <v>Новый</v>
      </c>
      <c r="G3986" s="68"/>
      <c r="K3986" s="68"/>
    </row>
    <row r="3987" spans="1:11" ht="12.75">
      <c r="A3987" s="69">
        <f ca="1">IFERROR(__xludf.DUMMYFUNCTION("""COMPUTED_VALUE"""),102956)</f>
        <v>102956</v>
      </c>
      <c r="B3987" s="4">
        <f ca="1">IFERROR(__xludf.DUMMYFUNCTION("""COMPUTED_VALUE"""),44774)</f>
        <v>44774</v>
      </c>
      <c r="C3987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7" t="str">
        <f ca="1">IFERROR(__xludf.DUMMYFUNCTION("""COMPUTED_VALUE"""),"Новый")</f>
        <v>Новый</v>
      </c>
      <c r="G3987" s="68"/>
      <c r="K3987" s="68"/>
    </row>
    <row r="3988" spans="1:11" ht="12.75">
      <c r="A3988" s="69">
        <f ca="1">IFERROR(__xludf.DUMMYFUNCTION("""COMPUTED_VALUE"""),102957)</f>
        <v>102957</v>
      </c>
      <c r="B3988" s="4">
        <f ca="1">IFERROR(__xludf.DUMMYFUNCTION("""COMPUTED_VALUE"""),44774)</f>
        <v>44774</v>
      </c>
      <c r="C3988" t="str">
        <f ca="1">IFERROR(__xludf.DUMMYFUNCTION("""COMPUTED_VALUE"""),"Бондарь Александр Викторович 205-РДО от 01.08.2022")</f>
        <v>Бондарь Александр Викторович 205-РДО от 01.08.2022</v>
      </c>
      <c r="D39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3988" t="str">
        <f ca="1">IFERROR(__xludf.DUMMYFUNCTION("""COMPUTED_VALUE"""),"Новый")</f>
        <v>Новый</v>
      </c>
      <c r="G3988" s="68"/>
      <c r="K3988" s="68"/>
    </row>
    <row r="3989" spans="1:11" ht="12.75">
      <c r="A3989" s="69">
        <f ca="1">IFERROR(__xludf.DUMMYFUNCTION("""COMPUTED_VALUE"""),102958)</f>
        <v>102958</v>
      </c>
      <c r="B3989" s="4">
        <f ca="1">IFERROR(__xludf.DUMMYFUNCTION("""COMPUTED_VALUE"""),44774)</f>
        <v>44774</v>
      </c>
      <c r="C3989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89" t="str">
        <f ca="1">IFERROR(__xludf.DUMMYFUNCTION("""COMPUTED_VALUE"""),"Новый")</f>
        <v>Новый</v>
      </c>
      <c r="G3989" s="68"/>
      <c r="K3989" s="68"/>
    </row>
    <row r="3990" spans="1:11" ht="12.75">
      <c r="A3990" s="69">
        <f ca="1">IFERROR(__xludf.DUMMYFUNCTION("""COMPUTED_VALUE"""),102959)</f>
        <v>102959</v>
      </c>
      <c r="B3990" s="4">
        <f ca="1">IFERROR(__xludf.DUMMYFUNCTION("""COMPUTED_VALUE"""),44774)</f>
        <v>44774</v>
      </c>
      <c r="C3990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0" t="str">
        <f ca="1">IFERROR(__xludf.DUMMYFUNCTION("""COMPUTED_VALUE"""),"Новый")</f>
        <v>Новый</v>
      </c>
      <c r="G3990" s="68"/>
      <c r="K3990" s="68"/>
    </row>
    <row r="3991" spans="1:11" ht="12.75">
      <c r="A3991" s="69">
        <f ca="1">IFERROR(__xludf.DUMMYFUNCTION("""COMPUTED_VALUE"""),102960)</f>
        <v>102960</v>
      </c>
      <c r="B3991" s="4">
        <f ca="1">IFERROR(__xludf.DUMMYFUNCTION("""COMPUTED_VALUE"""),44774)</f>
        <v>44774</v>
      </c>
      <c r="C3991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1" t="str">
        <f ca="1">IFERROR(__xludf.DUMMYFUNCTION("""COMPUTED_VALUE"""),"Новый")</f>
        <v>Новый</v>
      </c>
      <c r="G3991" s="68"/>
      <c r="K3991" s="68"/>
    </row>
    <row r="3992" spans="1:11" ht="12.75">
      <c r="A3992" s="69">
        <f ca="1">IFERROR(__xludf.DUMMYFUNCTION("""COMPUTED_VALUE"""),102961)</f>
        <v>102961</v>
      </c>
      <c r="B3992" s="4">
        <f ca="1">IFERROR(__xludf.DUMMYFUNCTION("""COMPUTED_VALUE"""),44774)</f>
        <v>44774</v>
      </c>
      <c r="C3992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2" t="str">
        <f ca="1">IFERROR(__xludf.DUMMYFUNCTION("""COMPUTED_VALUE"""),"Новый")</f>
        <v>Новый</v>
      </c>
      <c r="G3992" s="68"/>
      <c r="K3992" s="68"/>
    </row>
    <row r="3993" spans="1:11" ht="12.75">
      <c r="A3993" s="69">
        <f ca="1">IFERROR(__xludf.DUMMYFUNCTION("""COMPUTED_VALUE"""),102962)</f>
        <v>102962</v>
      </c>
      <c r="B3993" s="4">
        <f ca="1">IFERROR(__xludf.DUMMYFUNCTION("""COMPUTED_VALUE"""),44774)</f>
        <v>44774</v>
      </c>
      <c r="C3993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3" t="str">
        <f ca="1">IFERROR(__xludf.DUMMYFUNCTION("""COMPUTED_VALUE"""),"Новый")</f>
        <v>Новый</v>
      </c>
      <c r="G3993" s="68"/>
      <c r="K3993" s="68"/>
    </row>
    <row r="3994" spans="1:11" ht="12.75">
      <c r="A3994" s="69">
        <f ca="1">IFERROR(__xludf.DUMMYFUNCTION("""COMPUTED_VALUE"""),102968)</f>
        <v>102968</v>
      </c>
      <c r="B3994" s="4">
        <f ca="1">IFERROR(__xludf.DUMMYFUNCTION("""COMPUTED_VALUE"""),44774)</f>
        <v>44774</v>
      </c>
      <c r="C3994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4" t="str">
        <f ca="1">IFERROR(__xludf.DUMMYFUNCTION("""COMPUTED_VALUE"""),"Новый")</f>
        <v>Новый</v>
      </c>
      <c r="G3994" s="68"/>
      <c r="K3994" s="68"/>
    </row>
    <row r="3995" spans="1:11" ht="12.75">
      <c r="A3995" s="69">
        <f ca="1">IFERROR(__xludf.DUMMYFUNCTION("""COMPUTED_VALUE"""),102970)</f>
        <v>102970</v>
      </c>
      <c r="B3995" s="4">
        <f ca="1">IFERROR(__xludf.DUMMYFUNCTION("""COMPUTED_VALUE"""),44774)</f>
        <v>44774</v>
      </c>
      <c r="C3995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5" t="str">
        <f ca="1">IFERROR(__xludf.DUMMYFUNCTION("""COMPUTED_VALUE"""),"Новый")</f>
        <v>Новый</v>
      </c>
      <c r="G3995" s="68"/>
      <c r="K3995" s="68"/>
    </row>
    <row r="3996" spans="1:11" ht="12.75">
      <c r="A3996" s="69">
        <f ca="1">IFERROR(__xludf.DUMMYFUNCTION("""COMPUTED_VALUE"""),102971)</f>
        <v>102971</v>
      </c>
      <c r="B3996" s="4">
        <f ca="1">IFERROR(__xludf.DUMMYFUNCTION("""COMPUTED_VALUE"""),44774)</f>
        <v>44774</v>
      </c>
      <c r="C3996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6" t="str">
        <f ca="1">IFERROR(__xludf.DUMMYFUNCTION("""COMPUTED_VALUE"""),"Новый")</f>
        <v>Новый</v>
      </c>
      <c r="G3996" s="68"/>
      <c r="K3996" s="68"/>
    </row>
    <row r="3997" spans="1:11" ht="12.75">
      <c r="A3997" s="69">
        <f ca="1">IFERROR(__xludf.DUMMYFUNCTION("""COMPUTED_VALUE"""),102972)</f>
        <v>102972</v>
      </c>
      <c r="B3997" s="4">
        <f ca="1">IFERROR(__xludf.DUMMYFUNCTION("""COMPUTED_VALUE"""),44774)</f>
        <v>44774</v>
      </c>
      <c r="C3997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7" t="str">
        <f ca="1">IFERROR(__xludf.DUMMYFUNCTION("""COMPUTED_VALUE"""),"Новый")</f>
        <v>Новый</v>
      </c>
      <c r="G3997" s="68"/>
      <c r="K3997" s="68"/>
    </row>
    <row r="3998" spans="1:11" ht="12.75">
      <c r="A3998" s="69">
        <f ca="1">IFERROR(__xludf.DUMMYFUNCTION("""COMPUTED_VALUE"""),102973)</f>
        <v>102973</v>
      </c>
      <c r="B3998" s="4">
        <f ca="1">IFERROR(__xludf.DUMMYFUNCTION("""COMPUTED_VALUE"""),44774)</f>
        <v>44774</v>
      </c>
      <c r="C3998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8" t="str">
        <f ca="1">IFERROR(__xludf.DUMMYFUNCTION("""COMPUTED_VALUE"""),"Новый")</f>
        <v>Новый</v>
      </c>
      <c r="G3998" s="68"/>
      <c r="K3998" s="68"/>
    </row>
    <row r="3999" spans="1:11" ht="12.75">
      <c r="A3999" s="69">
        <f ca="1">IFERROR(__xludf.DUMMYFUNCTION("""COMPUTED_VALUE"""),102974)</f>
        <v>102974</v>
      </c>
      <c r="B3999" s="4">
        <f ca="1">IFERROR(__xludf.DUMMYFUNCTION("""COMPUTED_VALUE"""),44774)</f>
        <v>44774</v>
      </c>
      <c r="C3999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39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3999" t="str">
        <f ca="1">IFERROR(__xludf.DUMMYFUNCTION("""COMPUTED_VALUE"""),"Новый")</f>
        <v>Новый</v>
      </c>
      <c r="G3999" s="68"/>
      <c r="K3999" s="68"/>
    </row>
    <row r="4000" spans="1:11" ht="12.75">
      <c r="A4000" s="69">
        <f ca="1">IFERROR(__xludf.DUMMYFUNCTION("""COMPUTED_VALUE"""),102975)</f>
        <v>102975</v>
      </c>
      <c r="B4000" s="4">
        <f ca="1">IFERROR(__xludf.DUMMYFUNCTION("""COMPUTED_VALUE"""),44774)</f>
        <v>44774</v>
      </c>
      <c r="C4000" t="str">
        <f ca="1">IFERROR(__xludf.DUMMYFUNCTION("""COMPUTED_VALUE"""),"Бондарь Александр Викторович 157-СТР от 01.08.2022")</f>
        <v>Бондарь Александр Викторович 157-СТР от 01.08.2022</v>
      </c>
      <c r="D40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0" t="str">
        <f ca="1">IFERROR(__xludf.DUMMYFUNCTION("""COMPUTED_VALUE"""),"Новый")</f>
        <v>Новый</v>
      </c>
      <c r="G4000" s="68"/>
      <c r="K4000" s="68"/>
    </row>
    <row r="4001" spans="1:11" ht="12.75">
      <c r="A4001" s="69">
        <f ca="1">IFERROR(__xludf.DUMMYFUNCTION("""COMPUTED_VALUE"""),103007)</f>
        <v>103007</v>
      </c>
      <c r="B4001" s="4">
        <f ca="1">IFERROR(__xludf.DUMMYFUNCTION("""COMPUTED_VALUE"""),44774)</f>
        <v>44774</v>
      </c>
      <c r="C4001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1" t="str">
        <f ca="1">IFERROR(__xludf.DUMMYFUNCTION("""COMPUTED_VALUE"""),"Новый")</f>
        <v>Новый</v>
      </c>
      <c r="G4001" s="68"/>
      <c r="K4001" s="68"/>
    </row>
    <row r="4002" spans="1:11" ht="12.75">
      <c r="A4002" s="69">
        <f ca="1">IFERROR(__xludf.DUMMYFUNCTION("""COMPUTED_VALUE"""),103008)</f>
        <v>103008</v>
      </c>
      <c r="B4002" s="4">
        <f ca="1">IFERROR(__xludf.DUMMYFUNCTION("""COMPUTED_VALUE"""),44774)</f>
        <v>44774</v>
      </c>
      <c r="C4002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2" t="str">
        <f ca="1">IFERROR(__xludf.DUMMYFUNCTION("""COMPUTED_VALUE"""),"Новый")</f>
        <v>Новый</v>
      </c>
      <c r="G4002" s="68"/>
      <c r="K4002" s="68"/>
    </row>
    <row r="4003" spans="1:11" ht="12.75">
      <c r="A4003" s="69">
        <f ca="1">IFERROR(__xludf.DUMMYFUNCTION("""COMPUTED_VALUE"""),103009)</f>
        <v>103009</v>
      </c>
      <c r="B4003" s="4">
        <f ca="1">IFERROR(__xludf.DUMMYFUNCTION("""COMPUTED_VALUE"""),44774)</f>
        <v>44774</v>
      </c>
      <c r="C4003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3" t="str">
        <f ca="1">IFERROR(__xludf.DUMMYFUNCTION("""COMPUTED_VALUE"""),"Новый")</f>
        <v>Новый</v>
      </c>
      <c r="G4003" s="68"/>
      <c r="K4003" s="68"/>
    </row>
    <row r="4004" spans="1:11" ht="12.75">
      <c r="A4004" s="69">
        <f ca="1">IFERROR(__xludf.DUMMYFUNCTION("""COMPUTED_VALUE"""),103010)</f>
        <v>103010</v>
      </c>
      <c r="B4004" s="4">
        <f ca="1">IFERROR(__xludf.DUMMYFUNCTION("""COMPUTED_VALUE"""),44774)</f>
        <v>44774</v>
      </c>
      <c r="C4004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4" t="str">
        <f ca="1">IFERROR(__xludf.DUMMYFUNCTION("""COMPUTED_VALUE"""),"Новый")</f>
        <v>Новый</v>
      </c>
      <c r="G4004" s="68"/>
      <c r="K4004" s="68"/>
    </row>
    <row r="4005" spans="1:11" ht="12.75">
      <c r="A4005" s="69">
        <f ca="1">IFERROR(__xludf.DUMMYFUNCTION("""COMPUTED_VALUE"""),103011)</f>
        <v>103011</v>
      </c>
      <c r="B4005" s="4">
        <f ca="1">IFERROR(__xludf.DUMMYFUNCTION("""COMPUTED_VALUE"""),44774)</f>
        <v>44774</v>
      </c>
      <c r="C4005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5" t="str">
        <f ca="1">IFERROR(__xludf.DUMMYFUNCTION("""COMPUTED_VALUE"""),"Новый")</f>
        <v>Новый</v>
      </c>
      <c r="G4005" s="68"/>
      <c r="K4005" s="68"/>
    </row>
    <row r="4006" spans="1:11" ht="12.75">
      <c r="A4006" s="69">
        <f ca="1">IFERROR(__xludf.DUMMYFUNCTION("""COMPUTED_VALUE"""),103012)</f>
        <v>103012</v>
      </c>
      <c r="B4006" s="4">
        <f ca="1">IFERROR(__xludf.DUMMYFUNCTION("""COMPUTED_VALUE"""),44774)</f>
        <v>44774</v>
      </c>
      <c r="C4006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6" t="str">
        <f ca="1">IFERROR(__xludf.DUMMYFUNCTION("""COMPUTED_VALUE"""),"Новый")</f>
        <v>Новый</v>
      </c>
      <c r="G4006" s="68"/>
      <c r="K4006" s="68"/>
    </row>
    <row r="4007" spans="1:11" ht="12.75">
      <c r="A4007" s="69">
        <f ca="1">IFERROR(__xludf.DUMMYFUNCTION("""COMPUTED_VALUE"""),103013)</f>
        <v>103013</v>
      </c>
      <c r="B4007" s="4">
        <f ca="1">IFERROR(__xludf.DUMMYFUNCTION("""COMPUTED_VALUE"""),44774)</f>
        <v>44774</v>
      </c>
      <c r="C4007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7" t="str">
        <f ca="1">IFERROR(__xludf.DUMMYFUNCTION("""COMPUTED_VALUE"""),"Новый")</f>
        <v>Новый</v>
      </c>
      <c r="G4007" s="68"/>
      <c r="K4007" s="68"/>
    </row>
    <row r="4008" spans="1:11" ht="12.75">
      <c r="A4008" s="69">
        <f ca="1">IFERROR(__xludf.DUMMYFUNCTION("""COMPUTED_VALUE"""),103014)</f>
        <v>103014</v>
      </c>
      <c r="B4008" s="4">
        <f ca="1">IFERROR(__xludf.DUMMYFUNCTION("""COMPUTED_VALUE"""),44774)</f>
        <v>44774</v>
      </c>
      <c r="C4008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8" t="str">
        <f ca="1">IFERROR(__xludf.DUMMYFUNCTION("""COMPUTED_VALUE"""),"Новый")</f>
        <v>Новый</v>
      </c>
      <c r="G4008" s="68"/>
      <c r="K4008" s="68"/>
    </row>
    <row r="4009" spans="1:11" ht="12.75">
      <c r="A4009" s="69">
        <f ca="1">IFERROR(__xludf.DUMMYFUNCTION("""COMPUTED_VALUE"""),103015)</f>
        <v>103015</v>
      </c>
      <c r="B4009" s="4">
        <f ca="1">IFERROR(__xludf.DUMMYFUNCTION("""COMPUTED_VALUE"""),44774)</f>
        <v>44774</v>
      </c>
      <c r="C4009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09" t="str">
        <f ca="1">IFERROR(__xludf.DUMMYFUNCTION("""COMPUTED_VALUE"""),"Новый")</f>
        <v>Новый</v>
      </c>
      <c r="G4009" s="68"/>
      <c r="K4009" s="68"/>
    </row>
    <row r="4010" spans="1:11" ht="12.75">
      <c r="A4010" s="69">
        <f ca="1">IFERROR(__xludf.DUMMYFUNCTION("""COMPUTED_VALUE"""),103016)</f>
        <v>103016</v>
      </c>
      <c r="B4010" s="4">
        <f ca="1">IFERROR(__xludf.DUMMYFUNCTION("""COMPUTED_VALUE"""),44774)</f>
        <v>44774</v>
      </c>
      <c r="C4010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0" t="str">
        <f ca="1">IFERROR(__xludf.DUMMYFUNCTION("""COMPUTED_VALUE"""),"Новый")</f>
        <v>Новый</v>
      </c>
      <c r="G4010" s="68"/>
      <c r="K4010" s="68"/>
    </row>
    <row r="4011" spans="1:11" ht="12.75">
      <c r="A4011" s="69">
        <f ca="1">IFERROR(__xludf.DUMMYFUNCTION("""COMPUTED_VALUE"""),103017)</f>
        <v>103017</v>
      </c>
      <c r="B4011" s="4">
        <f ca="1">IFERROR(__xludf.DUMMYFUNCTION("""COMPUTED_VALUE"""),44774)</f>
        <v>44774</v>
      </c>
      <c r="C4011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1" t="str">
        <f ca="1">IFERROR(__xludf.DUMMYFUNCTION("""COMPUTED_VALUE"""),"Новый")</f>
        <v>Новый</v>
      </c>
      <c r="G4011" s="68"/>
      <c r="K4011" s="68"/>
    </row>
    <row r="4012" spans="1:11" ht="12.75">
      <c r="A4012" s="69">
        <f ca="1">IFERROR(__xludf.DUMMYFUNCTION("""COMPUTED_VALUE"""),103018)</f>
        <v>103018</v>
      </c>
      <c r="B4012" s="4">
        <f ca="1">IFERROR(__xludf.DUMMYFUNCTION("""COMPUTED_VALUE"""),44774)</f>
        <v>44774</v>
      </c>
      <c r="C4012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2" t="str">
        <f ca="1">IFERROR(__xludf.DUMMYFUNCTION("""COMPUTED_VALUE"""),"Новый")</f>
        <v>Новый</v>
      </c>
      <c r="G4012" s="68"/>
      <c r="K4012" s="68"/>
    </row>
    <row r="4013" spans="1:11" ht="12.75">
      <c r="A4013" s="69">
        <f ca="1">IFERROR(__xludf.DUMMYFUNCTION("""COMPUTED_VALUE"""),103019)</f>
        <v>103019</v>
      </c>
      <c r="B4013" s="4">
        <f ca="1">IFERROR(__xludf.DUMMYFUNCTION("""COMPUTED_VALUE"""),44774)</f>
        <v>44774</v>
      </c>
      <c r="C4013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3" t="str">
        <f ca="1">IFERROR(__xludf.DUMMYFUNCTION("""COMPUTED_VALUE"""),"Новый")</f>
        <v>Новый</v>
      </c>
      <c r="G4013" s="68"/>
      <c r="K4013" s="68"/>
    </row>
    <row r="4014" spans="1:11" ht="12.75">
      <c r="A4014" s="69">
        <f ca="1">IFERROR(__xludf.DUMMYFUNCTION("""COMPUTED_VALUE"""),103020)</f>
        <v>103020</v>
      </c>
      <c r="B4014" s="4">
        <f ca="1">IFERROR(__xludf.DUMMYFUNCTION("""COMPUTED_VALUE"""),44774)</f>
        <v>44774</v>
      </c>
      <c r="C4014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4" t="str">
        <f ca="1">IFERROR(__xludf.DUMMYFUNCTION("""COMPUTED_VALUE"""),"Новый")</f>
        <v>Новый</v>
      </c>
      <c r="G4014" s="68"/>
      <c r="K4014" s="68"/>
    </row>
    <row r="4015" spans="1:11" ht="12.75">
      <c r="A4015" s="69">
        <f ca="1">IFERROR(__xludf.DUMMYFUNCTION("""COMPUTED_VALUE"""),103021)</f>
        <v>103021</v>
      </c>
      <c r="B4015" s="4">
        <f ca="1">IFERROR(__xludf.DUMMYFUNCTION("""COMPUTED_VALUE"""),44774)</f>
        <v>44774</v>
      </c>
      <c r="C4015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5" t="str">
        <f ca="1">IFERROR(__xludf.DUMMYFUNCTION("""COMPUTED_VALUE"""),"Новый")</f>
        <v>Новый</v>
      </c>
      <c r="G4015" s="68"/>
      <c r="K4015" s="68"/>
    </row>
    <row r="4016" spans="1:11" ht="12.75">
      <c r="A4016" s="69">
        <f ca="1">IFERROR(__xludf.DUMMYFUNCTION("""COMPUTED_VALUE"""),103022)</f>
        <v>103022</v>
      </c>
      <c r="B4016" s="4">
        <f ca="1">IFERROR(__xludf.DUMMYFUNCTION("""COMPUTED_VALUE"""),44774)</f>
        <v>44774</v>
      </c>
      <c r="C4016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6" t="str">
        <f ca="1">IFERROR(__xludf.DUMMYFUNCTION("""COMPUTED_VALUE"""),"Новый")</f>
        <v>Новый</v>
      </c>
      <c r="G4016" s="68"/>
      <c r="K4016" s="68"/>
    </row>
    <row r="4017" spans="1:11" ht="12.75">
      <c r="A4017" s="69">
        <f ca="1">IFERROR(__xludf.DUMMYFUNCTION("""COMPUTED_VALUE"""),103023)</f>
        <v>103023</v>
      </c>
      <c r="B4017" s="4">
        <f ca="1">IFERROR(__xludf.DUMMYFUNCTION("""COMPUTED_VALUE"""),44774)</f>
        <v>44774</v>
      </c>
      <c r="C4017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7" t="str">
        <f ca="1">IFERROR(__xludf.DUMMYFUNCTION("""COMPUTED_VALUE"""),"Новый")</f>
        <v>Новый</v>
      </c>
      <c r="G4017" s="68"/>
      <c r="K4017" s="68"/>
    </row>
    <row r="4018" spans="1:11" ht="12.75">
      <c r="A4018" s="69">
        <f ca="1">IFERROR(__xludf.DUMMYFUNCTION("""COMPUTED_VALUE"""),103024)</f>
        <v>103024</v>
      </c>
      <c r="B4018" s="4">
        <f ca="1">IFERROR(__xludf.DUMMYFUNCTION("""COMPUTED_VALUE"""),44774)</f>
        <v>44774</v>
      </c>
      <c r="C4018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8" t="str">
        <f ca="1">IFERROR(__xludf.DUMMYFUNCTION("""COMPUTED_VALUE"""),"Новый")</f>
        <v>Новый</v>
      </c>
      <c r="G4018" s="68"/>
      <c r="K4018" s="68"/>
    </row>
    <row r="4019" spans="1:11" ht="12.75">
      <c r="A4019" s="69">
        <f ca="1">IFERROR(__xludf.DUMMYFUNCTION("""COMPUTED_VALUE"""),103025)</f>
        <v>103025</v>
      </c>
      <c r="B4019" s="4">
        <f ca="1">IFERROR(__xludf.DUMMYFUNCTION("""COMPUTED_VALUE"""),44774)</f>
        <v>44774</v>
      </c>
      <c r="C4019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19" t="str">
        <f ca="1">IFERROR(__xludf.DUMMYFUNCTION("""COMPUTED_VALUE"""),"Новый")</f>
        <v>Новый</v>
      </c>
      <c r="G4019" s="68"/>
      <c r="K4019" s="68"/>
    </row>
    <row r="4020" spans="1:11" ht="12.75">
      <c r="A4020" s="69">
        <f ca="1">IFERROR(__xludf.DUMMYFUNCTION("""COMPUTED_VALUE"""),103026)</f>
        <v>103026</v>
      </c>
      <c r="B4020" s="4">
        <f ca="1">IFERROR(__xludf.DUMMYFUNCTION("""COMPUTED_VALUE"""),44774)</f>
        <v>44774</v>
      </c>
      <c r="C4020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20" t="str">
        <f ca="1">IFERROR(__xludf.DUMMYFUNCTION("""COMPUTED_VALUE"""),"Новый")</f>
        <v>Новый</v>
      </c>
      <c r="G4020" s="68"/>
      <c r="K4020" s="68"/>
    </row>
    <row r="4021" spans="1:11" ht="12.75">
      <c r="A4021" s="69">
        <f ca="1">IFERROR(__xludf.DUMMYFUNCTION("""COMPUTED_VALUE"""),103027)</f>
        <v>103027</v>
      </c>
      <c r="B4021" s="4">
        <f ca="1">IFERROR(__xludf.DUMMYFUNCTION("""COMPUTED_VALUE"""),44774)</f>
        <v>44774</v>
      </c>
      <c r="C4021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21" t="str">
        <f ca="1">IFERROR(__xludf.DUMMYFUNCTION("""COMPUTED_VALUE"""),"Новый")</f>
        <v>Новый</v>
      </c>
      <c r="G4021" s="68"/>
      <c r="K4021" s="68"/>
    </row>
    <row r="4022" spans="1:11" ht="12.75">
      <c r="A4022" s="69">
        <f ca="1">IFERROR(__xludf.DUMMYFUNCTION("""COMPUTED_VALUE"""),103028)</f>
        <v>103028</v>
      </c>
      <c r="B4022" s="4">
        <f ca="1">IFERROR(__xludf.DUMMYFUNCTION("""COMPUTED_VALUE"""),44775)</f>
        <v>44775</v>
      </c>
      <c r="C402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2" t="str">
        <f ca="1">IFERROR(__xludf.DUMMYFUNCTION("""COMPUTED_VALUE"""),"Новый")</f>
        <v>Новый</v>
      </c>
      <c r="G4022" s="68"/>
      <c r="K4022" s="68"/>
    </row>
    <row r="4023" spans="1:11" ht="12.75">
      <c r="A4023" s="69">
        <f ca="1">IFERROR(__xludf.DUMMYFUNCTION("""COMPUTED_VALUE"""),103029)</f>
        <v>103029</v>
      </c>
      <c r="B4023" s="4">
        <f ca="1">IFERROR(__xludf.DUMMYFUNCTION("""COMPUTED_VALUE"""),44775)</f>
        <v>44775</v>
      </c>
      <c r="C402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3" t="str">
        <f ca="1">IFERROR(__xludf.DUMMYFUNCTION("""COMPUTED_VALUE"""),"Новый")</f>
        <v>Новый</v>
      </c>
      <c r="G4023" s="68"/>
      <c r="K4023" s="68"/>
    </row>
    <row r="4024" spans="1:11" ht="12.75">
      <c r="A4024" s="69">
        <f ca="1">IFERROR(__xludf.DUMMYFUNCTION("""COMPUTED_VALUE"""),103030)</f>
        <v>103030</v>
      </c>
      <c r="B4024" s="4">
        <f ca="1">IFERROR(__xludf.DUMMYFUNCTION("""COMPUTED_VALUE"""),44775)</f>
        <v>44775</v>
      </c>
      <c r="C402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4" t="str">
        <f ca="1">IFERROR(__xludf.DUMMYFUNCTION("""COMPUTED_VALUE"""),"Новый")</f>
        <v>Новый</v>
      </c>
      <c r="G4024" s="68"/>
      <c r="K4024" s="68"/>
    </row>
    <row r="4025" spans="1:11" ht="12.75">
      <c r="A4025" s="69">
        <f ca="1">IFERROR(__xludf.DUMMYFUNCTION("""COMPUTED_VALUE"""),103031)</f>
        <v>103031</v>
      </c>
      <c r="B4025" s="4">
        <f ca="1">IFERROR(__xludf.DUMMYFUNCTION("""COMPUTED_VALUE"""),44775)</f>
        <v>44775</v>
      </c>
      <c r="C402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5" t="str">
        <f ca="1">IFERROR(__xludf.DUMMYFUNCTION("""COMPUTED_VALUE"""),"Новый")</f>
        <v>Новый</v>
      </c>
      <c r="G4025" s="68"/>
      <c r="K4025" s="68"/>
    </row>
    <row r="4026" spans="1:11" ht="12.75">
      <c r="A4026" s="69">
        <f ca="1">IFERROR(__xludf.DUMMYFUNCTION("""COMPUTED_VALUE"""),103032)</f>
        <v>103032</v>
      </c>
      <c r="B4026" s="4">
        <f ca="1">IFERROR(__xludf.DUMMYFUNCTION("""COMPUTED_VALUE"""),44775)</f>
        <v>44775</v>
      </c>
      <c r="C402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6" t="str">
        <f ca="1">IFERROR(__xludf.DUMMYFUNCTION("""COMPUTED_VALUE"""),"Новый")</f>
        <v>Новый</v>
      </c>
      <c r="G4026" s="68"/>
      <c r="K4026" s="68"/>
    </row>
    <row r="4027" spans="1:11" ht="12.75">
      <c r="A4027" s="69">
        <f ca="1">IFERROR(__xludf.DUMMYFUNCTION("""COMPUTED_VALUE"""),103033)</f>
        <v>103033</v>
      </c>
      <c r="B4027" s="4">
        <f ca="1">IFERROR(__xludf.DUMMYFUNCTION("""COMPUTED_VALUE"""),44775)</f>
        <v>44775</v>
      </c>
      <c r="C402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7" t="str">
        <f ca="1">IFERROR(__xludf.DUMMYFUNCTION("""COMPUTED_VALUE"""),"Новый")</f>
        <v>Новый</v>
      </c>
      <c r="G4027" s="68"/>
      <c r="K4027" s="68"/>
    </row>
    <row r="4028" spans="1:11" ht="12.75">
      <c r="A4028" s="69">
        <f ca="1">IFERROR(__xludf.DUMMYFUNCTION("""COMPUTED_VALUE"""),103034)</f>
        <v>103034</v>
      </c>
      <c r="B4028" s="4">
        <f ca="1">IFERROR(__xludf.DUMMYFUNCTION("""COMPUTED_VALUE"""),44775)</f>
        <v>44775</v>
      </c>
      <c r="C402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8" t="str">
        <f ca="1">IFERROR(__xludf.DUMMYFUNCTION("""COMPUTED_VALUE"""),"Новый")</f>
        <v>Новый</v>
      </c>
      <c r="G4028" s="68"/>
      <c r="K4028" s="68"/>
    </row>
    <row r="4029" spans="1:11" ht="12.75">
      <c r="A4029" s="69">
        <f ca="1">IFERROR(__xludf.DUMMYFUNCTION("""COMPUTED_VALUE"""),103035)</f>
        <v>103035</v>
      </c>
      <c r="B4029" s="4">
        <f ca="1">IFERROR(__xludf.DUMMYFUNCTION("""COMPUTED_VALUE"""),44775)</f>
        <v>44775</v>
      </c>
      <c r="C402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29" t="str">
        <f ca="1">IFERROR(__xludf.DUMMYFUNCTION("""COMPUTED_VALUE"""),"Новый")</f>
        <v>Новый</v>
      </c>
      <c r="G4029" s="68"/>
      <c r="K4029" s="68"/>
    </row>
    <row r="4030" spans="1:11" ht="12.75">
      <c r="A4030" s="69">
        <f ca="1">IFERROR(__xludf.DUMMYFUNCTION("""COMPUTED_VALUE"""),103036)</f>
        <v>103036</v>
      </c>
      <c r="B4030" s="4">
        <f ca="1">IFERROR(__xludf.DUMMYFUNCTION("""COMPUTED_VALUE"""),44775)</f>
        <v>44775</v>
      </c>
      <c r="C403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0" t="str">
        <f ca="1">IFERROR(__xludf.DUMMYFUNCTION("""COMPUTED_VALUE"""),"Новый")</f>
        <v>Новый</v>
      </c>
      <c r="G4030" s="68"/>
      <c r="K4030" s="68"/>
    </row>
    <row r="4031" spans="1:11" ht="12.75">
      <c r="A4031" s="69">
        <f ca="1">IFERROR(__xludf.DUMMYFUNCTION("""COMPUTED_VALUE"""),103037)</f>
        <v>103037</v>
      </c>
      <c r="B4031" s="4">
        <f ca="1">IFERROR(__xludf.DUMMYFUNCTION("""COMPUTED_VALUE"""),44775)</f>
        <v>44775</v>
      </c>
      <c r="C403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1" t="str">
        <f ca="1">IFERROR(__xludf.DUMMYFUNCTION("""COMPUTED_VALUE"""),"Новый")</f>
        <v>Новый</v>
      </c>
      <c r="G4031" s="68"/>
      <c r="K4031" s="68"/>
    </row>
    <row r="4032" spans="1:11" ht="12.75">
      <c r="A4032" s="69">
        <f ca="1">IFERROR(__xludf.DUMMYFUNCTION("""COMPUTED_VALUE"""),103038)</f>
        <v>103038</v>
      </c>
      <c r="B4032" s="4">
        <f ca="1">IFERROR(__xludf.DUMMYFUNCTION("""COMPUTED_VALUE"""),44775)</f>
        <v>44775</v>
      </c>
      <c r="C4032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2" t="str">
        <f ca="1">IFERROR(__xludf.DUMMYFUNCTION("""COMPUTED_VALUE"""),"Новый")</f>
        <v>Новый</v>
      </c>
      <c r="G4032" s="68"/>
      <c r="K4032" s="68"/>
    </row>
    <row r="4033" spans="1:11" ht="12.75">
      <c r="A4033" s="69">
        <f ca="1">IFERROR(__xludf.DUMMYFUNCTION("""COMPUTED_VALUE"""),103039)</f>
        <v>103039</v>
      </c>
      <c r="B4033" s="4">
        <f ca="1">IFERROR(__xludf.DUMMYFUNCTION("""COMPUTED_VALUE"""),44775)</f>
        <v>44775</v>
      </c>
      <c r="C4033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3" t="str">
        <f ca="1">IFERROR(__xludf.DUMMYFUNCTION("""COMPUTED_VALUE"""),"Новый")</f>
        <v>Новый</v>
      </c>
      <c r="G4033" s="68"/>
      <c r="K4033" s="68"/>
    </row>
    <row r="4034" spans="1:11" ht="12.75">
      <c r="A4034" s="69">
        <f ca="1">IFERROR(__xludf.DUMMYFUNCTION("""COMPUTED_VALUE"""),103040)</f>
        <v>103040</v>
      </c>
      <c r="B4034" s="4">
        <f ca="1">IFERROR(__xludf.DUMMYFUNCTION("""COMPUTED_VALUE"""),44775)</f>
        <v>44775</v>
      </c>
      <c r="C4034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4" t="str">
        <f ca="1">IFERROR(__xludf.DUMMYFUNCTION("""COMPUTED_VALUE"""),"Новый")</f>
        <v>Новый</v>
      </c>
      <c r="G4034" s="68"/>
      <c r="K4034" s="68"/>
    </row>
    <row r="4035" spans="1:11" ht="12.75">
      <c r="A4035" s="69">
        <f ca="1">IFERROR(__xludf.DUMMYFUNCTION("""COMPUTED_VALUE"""),103041)</f>
        <v>103041</v>
      </c>
      <c r="B4035" s="4">
        <f ca="1">IFERROR(__xludf.DUMMYFUNCTION("""COMPUTED_VALUE"""),44775)</f>
        <v>44775</v>
      </c>
      <c r="C4035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5" t="str">
        <f ca="1">IFERROR(__xludf.DUMMYFUNCTION("""COMPUTED_VALUE"""),"Новый")</f>
        <v>Новый</v>
      </c>
      <c r="G4035" s="68"/>
      <c r="K4035" s="68"/>
    </row>
    <row r="4036" spans="1:11" ht="12.75">
      <c r="A4036" s="69">
        <f ca="1">IFERROR(__xludf.DUMMYFUNCTION("""COMPUTED_VALUE"""),103042)</f>
        <v>103042</v>
      </c>
      <c r="B4036" s="4">
        <f ca="1">IFERROR(__xludf.DUMMYFUNCTION("""COMPUTED_VALUE"""),44775)</f>
        <v>44775</v>
      </c>
      <c r="C4036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6" t="str">
        <f ca="1">IFERROR(__xludf.DUMMYFUNCTION("""COMPUTED_VALUE"""),"Новый")</f>
        <v>Новый</v>
      </c>
      <c r="G4036" s="68"/>
      <c r="K4036" s="68"/>
    </row>
    <row r="4037" spans="1:11" ht="12.75">
      <c r="A4037" s="69">
        <f ca="1">IFERROR(__xludf.DUMMYFUNCTION("""COMPUTED_VALUE"""),103043)</f>
        <v>103043</v>
      </c>
      <c r="B4037" s="4">
        <f ca="1">IFERROR(__xludf.DUMMYFUNCTION("""COMPUTED_VALUE"""),44775)</f>
        <v>44775</v>
      </c>
      <c r="C4037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7" t="str">
        <f ca="1">IFERROR(__xludf.DUMMYFUNCTION("""COMPUTED_VALUE"""),"Новый")</f>
        <v>Новый</v>
      </c>
      <c r="G4037" s="68"/>
      <c r="K4037" s="68"/>
    </row>
    <row r="4038" spans="1:11" ht="12.75">
      <c r="A4038" s="69">
        <f ca="1">IFERROR(__xludf.DUMMYFUNCTION("""COMPUTED_VALUE"""),103044)</f>
        <v>103044</v>
      </c>
      <c r="B4038" s="4">
        <f ca="1">IFERROR(__xludf.DUMMYFUNCTION("""COMPUTED_VALUE"""),44775)</f>
        <v>44775</v>
      </c>
      <c r="C4038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8" t="str">
        <f ca="1">IFERROR(__xludf.DUMMYFUNCTION("""COMPUTED_VALUE"""),"Новый")</f>
        <v>Новый</v>
      </c>
      <c r="G4038" s="68"/>
      <c r="K4038" s="68"/>
    </row>
    <row r="4039" spans="1:11" ht="12.75">
      <c r="A4039" s="69">
        <f ca="1">IFERROR(__xludf.DUMMYFUNCTION("""COMPUTED_VALUE"""),103045)</f>
        <v>103045</v>
      </c>
      <c r="B4039" s="4">
        <f ca="1">IFERROR(__xludf.DUMMYFUNCTION("""COMPUTED_VALUE"""),44775)</f>
        <v>44775</v>
      </c>
      <c r="C4039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39" t="str">
        <f ca="1">IFERROR(__xludf.DUMMYFUNCTION("""COMPUTED_VALUE"""),"Новый")</f>
        <v>Новый</v>
      </c>
      <c r="G4039" s="68"/>
      <c r="K4039" s="68"/>
    </row>
    <row r="4040" spans="1:11" ht="12.75">
      <c r="A4040" s="69">
        <f ca="1">IFERROR(__xludf.DUMMYFUNCTION("""COMPUTED_VALUE"""),103046)</f>
        <v>103046</v>
      </c>
      <c r="B4040" s="4">
        <f ca="1">IFERROR(__xludf.DUMMYFUNCTION("""COMPUTED_VALUE"""),44775)</f>
        <v>44775</v>
      </c>
      <c r="C4040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0" t="str">
        <f ca="1">IFERROR(__xludf.DUMMYFUNCTION("""COMPUTED_VALUE"""),"Новый")</f>
        <v>Новый</v>
      </c>
      <c r="G4040" s="68"/>
      <c r="K4040" s="68"/>
    </row>
    <row r="4041" spans="1:11" ht="12.75">
      <c r="A4041" s="69">
        <f ca="1">IFERROR(__xludf.DUMMYFUNCTION("""COMPUTED_VALUE"""),103047)</f>
        <v>103047</v>
      </c>
      <c r="B4041" s="4">
        <f ca="1">IFERROR(__xludf.DUMMYFUNCTION("""COMPUTED_VALUE"""),44775)</f>
        <v>44775</v>
      </c>
      <c r="C4041" t="str">
        <f ca="1">IFERROR(__xludf.DUMMYFUNCTION("""COMPUTED_VALUE"""),"МП Г. ОМСКА ""ТЕПЛОВАЯ КОМПАНИЯ"" 132-РДО от 11.04.2022")</f>
        <v>МП Г. ОМСКА "ТЕПЛОВАЯ КОМПАНИЯ" 132-РДО от 11.04.2022</v>
      </c>
      <c r="D40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1" t="str">
        <f ca="1">IFERROR(__xludf.DUMMYFUNCTION("""COMPUTED_VALUE"""),"Новый")</f>
        <v>Новый</v>
      </c>
      <c r="G4041" s="68"/>
      <c r="K4041" s="68"/>
    </row>
    <row r="4042" spans="1:11" ht="12.75">
      <c r="A4042" s="69">
        <f ca="1">IFERROR(__xludf.DUMMYFUNCTION("""COMPUTED_VALUE"""),103048)</f>
        <v>103048</v>
      </c>
      <c r="B4042" s="4">
        <f ca="1">IFERROR(__xludf.DUMMYFUNCTION("""COMPUTED_VALUE"""),44775)</f>
        <v>44775</v>
      </c>
      <c r="C4042" t="str">
        <f ca="1">IFERROR(__xludf.DUMMYFUNCTION("""COMPUTED_VALUE"""),"Роден Вадим Адамович 206-РДО от 02.08.2022")</f>
        <v>Роден Вадим Адамович 206-РДО от 02.08.2022</v>
      </c>
      <c r="D40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2" t="str">
        <f ca="1">IFERROR(__xludf.DUMMYFUNCTION("""COMPUTED_VALUE"""),"Новый")</f>
        <v>Новый</v>
      </c>
      <c r="G4042" s="68"/>
      <c r="K4042" s="68"/>
    </row>
    <row r="4043" spans="1:11" ht="12.75">
      <c r="A4043" s="69">
        <f ca="1">IFERROR(__xludf.DUMMYFUNCTION("""COMPUTED_VALUE"""),103050)</f>
        <v>103050</v>
      </c>
      <c r="B4043" s="4">
        <f ca="1">IFERROR(__xludf.DUMMYFUNCTION("""COMPUTED_VALUE"""),44775)</f>
        <v>44775</v>
      </c>
      <c r="C4043" t="str">
        <f ca="1">IFERROR(__xludf.DUMMYFUNCTION("""COMPUTED_VALUE"""),"Роден Вадим Адамович 206-РДО от 02.08.2022")</f>
        <v>Роден Вадим Адамович 206-РДО от 02.08.2022</v>
      </c>
      <c r="D40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3" t="str">
        <f ca="1">IFERROR(__xludf.DUMMYFUNCTION("""COMPUTED_VALUE"""),"Новый")</f>
        <v>Новый</v>
      </c>
      <c r="G4043" s="68"/>
      <c r="K4043" s="68"/>
    </row>
    <row r="4044" spans="1:11" ht="12.75">
      <c r="A4044" s="69">
        <f ca="1">IFERROR(__xludf.DUMMYFUNCTION("""COMPUTED_VALUE"""),103051)</f>
        <v>103051</v>
      </c>
      <c r="B4044" s="4">
        <f ca="1">IFERROR(__xludf.DUMMYFUNCTION("""COMPUTED_VALUE"""),44775)</f>
        <v>44775</v>
      </c>
      <c r="C4044" t="str">
        <f ca="1">IFERROR(__xludf.DUMMYFUNCTION("""COMPUTED_VALUE"""),"Роден Вадим Адамович 206-РДО от 02.08.2022")</f>
        <v>Роден Вадим Адамович 206-РДО от 02.08.2022</v>
      </c>
      <c r="D40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4" t="str">
        <f ca="1">IFERROR(__xludf.DUMMYFUNCTION("""COMPUTED_VALUE"""),"Новый")</f>
        <v>Новый</v>
      </c>
      <c r="G4044" s="68"/>
      <c r="K4044" s="68"/>
    </row>
    <row r="4045" spans="1:11" ht="12.75">
      <c r="A4045" s="69">
        <f ca="1">IFERROR(__xludf.DUMMYFUNCTION("""COMPUTED_VALUE"""),103052)</f>
        <v>103052</v>
      </c>
      <c r="B4045" s="4">
        <f ca="1">IFERROR(__xludf.DUMMYFUNCTION("""COMPUTED_VALUE"""),44775)</f>
        <v>44775</v>
      </c>
      <c r="C4045" t="str">
        <f ca="1">IFERROR(__xludf.DUMMYFUNCTION("""COMPUTED_VALUE"""),"Роден Вадим Адамович 206-РДО от 02.08.2022")</f>
        <v>Роден Вадим Адамович 206-РДО от 02.08.2022</v>
      </c>
      <c r="D40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5" t="str">
        <f ca="1">IFERROR(__xludf.DUMMYFUNCTION("""COMPUTED_VALUE"""),"Новый")</f>
        <v>Новый</v>
      </c>
      <c r="G4045" s="68"/>
      <c r="K4045" s="68"/>
    </row>
    <row r="4046" spans="1:11" ht="12.75">
      <c r="A4046" s="69">
        <f ca="1">IFERROR(__xludf.DUMMYFUNCTION("""COMPUTED_VALUE"""),103053)</f>
        <v>103053</v>
      </c>
      <c r="B4046" s="4">
        <f ca="1">IFERROR(__xludf.DUMMYFUNCTION("""COMPUTED_VALUE"""),44775)</f>
        <v>44775</v>
      </c>
      <c r="C4046" t="str">
        <f ca="1">IFERROR(__xludf.DUMMYFUNCTION("""COMPUTED_VALUE"""),"Роден Вадим Адамович 206-РДО от 02.08.2022")</f>
        <v>Роден Вадим Адамович 206-РДО от 02.08.2022</v>
      </c>
      <c r="D40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6" t="str">
        <f ca="1">IFERROR(__xludf.DUMMYFUNCTION("""COMPUTED_VALUE"""),"Новый")</f>
        <v>Новый</v>
      </c>
      <c r="G4046" s="68"/>
      <c r="K4046" s="68"/>
    </row>
    <row r="4047" spans="1:11" ht="12.75">
      <c r="A4047" s="69">
        <f ca="1">IFERROR(__xludf.DUMMYFUNCTION("""COMPUTED_VALUE"""),103054)</f>
        <v>103054</v>
      </c>
      <c r="B4047" s="4">
        <f ca="1">IFERROR(__xludf.DUMMYFUNCTION("""COMPUTED_VALUE"""),44775)</f>
        <v>44775</v>
      </c>
      <c r="C4047" t="str">
        <f ca="1">IFERROR(__xludf.DUMMYFUNCTION("""COMPUTED_VALUE"""),"Роден Вадим Адамович 206-РДО от 02.08.2022")</f>
        <v>Роден Вадим Адамович 206-РДО от 02.08.2022</v>
      </c>
      <c r="D40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7" t="str">
        <f ca="1">IFERROR(__xludf.DUMMYFUNCTION("""COMPUTED_VALUE"""),"Новый")</f>
        <v>Новый</v>
      </c>
      <c r="G4047" s="68"/>
      <c r="K4047" s="68"/>
    </row>
    <row r="4048" spans="1:11" ht="12.75">
      <c r="A4048" s="69">
        <f ca="1">IFERROR(__xludf.DUMMYFUNCTION("""COMPUTED_VALUE"""),103055)</f>
        <v>103055</v>
      </c>
      <c r="B4048" s="4">
        <f ca="1">IFERROR(__xludf.DUMMYFUNCTION("""COMPUTED_VALUE"""),44775)</f>
        <v>44775</v>
      </c>
      <c r="C4048" t="str">
        <f ca="1">IFERROR(__xludf.DUMMYFUNCTION("""COMPUTED_VALUE"""),"Роден Вадим Адамович 206-РДО от 02.08.2022")</f>
        <v>Роден Вадим Адамович 206-РДО от 02.08.2022</v>
      </c>
      <c r="D40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8" t="str">
        <f ca="1">IFERROR(__xludf.DUMMYFUNCTION("""COMPUTED_VALUE"""),"Новый")</f>
        <v>Новый</v>
      </c>
      <c r="G4048" s="68"/>
      <c r="K4048" s="68"/>
    </row>
    <row r="4049" spans="1:11" ht="12.75">
      <c r="A4049" s="69">
        <f ca="1">IFERROR(__xludf.DUMMYFUNCTION("""COMPUTED_VALUE"""),103056)</f>
        <v>103056</v>
      </c>
      <c r="B4049" s="4">
        <f ca="1">IFERROR(__xludf.DUMMYFUNCTION("""COMPUTED_VALUE"""),44775)</f>
        <v>44775</v>
      </c>
      <c r="C4049" t="str">
        <f ca="1">IFERROR(__xludf.DUMMYFUNCTION("""COMPUTED_VALUE"""),"Роден Вадим Адамович 206-РДО от 02.08.2022")</f>
        <v>Роден Вадим Адамович 206-РДО от 02.08.2022</v>
      </c>
      <c r="D40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49" t="str">
        <f ca="1">IFERROR(__xludf.DUMMYFUNCTION("""COMPUTED_VALUE"""),"Новый")</f>
        <v>Новый</v>
      </c>
      <c r="G4049" s="68"/>
      <c r="K4049" s="68"/>
    </row>
    <row r="4050" spans="1:11" ht="12.75">
      <c r="A4050" s="69">
        <f ca="1">IFERROR(__xludf.DUMMYFUNCTION("""COMPUTED_VALUE"""),103057)</f>
        <v>103057</v>
      </c>
      <c r="B4050" s="4">
        <f ca="1">IFERROR(__xludf.DUMMYFUNCTION("""COMPUTED_VALUE"""),44775)</f>
        <v>44775</v>
      </c>
      <c r="C4050" t="str">
        <f ca="1">IFERROR(__xludf.DUMMYFUNCTION("""COMPUTED_VALUE"""),"Роден Вадим Адамович 206-РДО от 02.08.2022")</f>
        <v>Роден Вадим Адамович 206-РДО от 02.08.2022</v>
      </c>
      <c r="D40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50" t="str">
        <f ca="1">IFERROR(__xludf.DUMMYFUNCTION("""COMPUTED_VALUE"""),"Новый")</f>
        <v>Новый</v>
      </c>
      <c r="G4050" s="68"/>
      <c r="K4050" s="68"/>
    </row>
    <row r="4051" spans="1:11" ht="12.75">
      <c r="A4051" s="69">
        <f ca="1">IFERROR(__xludf.DUMMYFUNCTION("""COMPUTED_VALUE"""),103062)</f>
        <v>103062</v>
      </c>
      <c r="B4051" s="4">
        <f ca="1">IFERROR(__xludf.DUMMYFUNCTION("""COMPUTED_VALUE"""),44776)</f>
        <v>44776</v>
      </c>
      <c r="C4051" t="str">
        <f ca="1">IFERROR(__xludf.DUMMYFUNCTION("""COMPUTED_VALUE"""),"ООО ""ТРАНССЕРВИС"" 159-СТР от 01.08.2022")</f>
        <v>ООО "ТРАНССЕРВИС" 159-СТР от 01.08.2022</v>
      </c>
      <c r="D40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1" t="str">
        <f ca="1">IFERROR(__xludf.DUMMYFUNCTION("""COMPUTED_VALUE"""),"Новый")</f>
        <v>Новый</v>
      </c>
      <c r="G4051" s="68"/>
      <c r="K4051" s="68"/>
    </row>
    <row r="4052" spans="1:11" ht="12.75">
      <c r="A4052" s="69">
        <f ca="1">IFERROR(__xludf.DUMMYFUNCTION("""COMPUTED_VALUE"""),103063)</f>
        <v>103063</v>
      </c>
      <c r="B4052" s="4">
        <f ca="1">IFERROR(__xludf.DUMMYFUNCTION("""COMPUTED_VALUE"""),44776)</f>
        <v>44776</v>
      </c>
      <c r="C4052" t="str">
        <f ca="1">IFERROR(__xludf.DUMMYFUNCTION("""COMPUTED_VALUE"""),"ООО ""ТРАНССЕРВИС"" 159-СТР от 01.08.2022")</f>
        <v>ООО "ТРАНССЕРВИС" 159-СТР от 01.08.2022</v>
      </c>
      <c r="D40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2" t="str">
        <f ca="1">IFERROR(__xludf.DUMMYFUNCTION("""COMPUTED_VALUE"""),"Новый")</f>
        <v>Новый</v>
      </c>
      <c r="G4052" s="68"/>
      <c r="K4052" s="68"/>
    </row>
    <row r="4053" spans="1:11" ht="12.75">
      <c r="A4053" s="69">
        <f ca="1">IFERROR(__xludf.DUMMYFUNCTION("""COMPUTED_VALUE"""),103078)</f>
        <v>103078</v>
      </c>
      <c r="B4053" s="4">
        <f ca="1">IFERROR(__xludf.DUMMYFUNCTION("""COMPUTED_VALUE"""),44776)</f>
        <v>44776</v>
      </c>
      <c r="C4053" t="str">
        <f ca="1">IFERROR(__xludf.DUMMYFUNCTION("""COMPUTED_VALUE"""),"ООО ""ТРАНССЕРВИС"" 159-СТР от 01.08.2022")</f>
        <v>ООО "ТРАНССЕРВИС" 159-СТР от 01.08.2022</v>
      </c>
      <c r="D40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3" t="str">
        <f ca="1">IFERROR(__xludf.DUMMYFUNCTION("""COMPUTED_VALUE"""),"Новый")</f>
        <v>Новый</v>
      </c>
      <c r="G4053" s="68"/>
      <c r="K4053" s="68"/>
    </row>
    <row r="4054" spans="1:11" ht="12.75">
      <c r="A4054" s="69">
        <f ca="1">IFERROR(__xludf.DUMMYFUNCTION("""COMPUTED_VALUE"""),103079)</f>
        <v>103079</v>
      </c>
      <c r="B4054" s="4">
        <f ca="1">IFERROR(__xludf.DUMMYFUNCTION("""COMPUTED_VALUE"""),44776)</f>
        <v>44776</v>
      </c>
      <c r="C4054" t="str">
        <f ca="1">IFERROR(__xludf.DUMMYFUNCTION("""COMPUTED_VALUE"""),"ООО ""ТРАНССЕРВИС"" 159-СТР от 01.08.2022")</f>
        <v>ООО "ТРАНССЕРВИС" 159-СТР от 01.08.2022</v>
      </c>
      <c r="D40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4" t="str">
        <f ca="1">IFERROR(__xludf.DUMMYFUNCTION("""COMPUTED_VALUE"""),"Новый")</f>
        <v>Новый</v>
      </c>
      <c r="G4054" s="68"/>
      <c r="K4054" s="68"/>
    </row>
    <row r="4055" spans="1:11" ht="12.75">
      <c r="A4055" s="69">
        <f ca="1">IFERROR(__xludf.DUMMYFUNCTION("""COMPUTED_VALUE"""),103080)</f>
        <v>103080</v>
      </c>
      <c r="B4055" s="4">
        <f ca="1">IFERROR(__xludf.DUMMYFUNCTION("""COMPUTED_VALUE"""),44776)</f>
        <v>44776</v>
      </c>
      <c r="C4055" t="str">
        <f ca="1">IFERROR(__xludf.DUMMYFUNCTION("""COMPUTED_VALUE"""),"ООО ""ТРАНССЕРВИС"" 159-СТР от 01.08.2022")</f>
        <v>ООО "ТРАНССЕРВИС" 159-СТР от 01.08.2022</v>
      </c>
      <c r="D40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5" t="str">
        <f ca="1">IFERROR(__xludf.DUMMYFUNCTION("""COMPUTED_VALUE"""),"Новый")</f>
        <v>Новый</v>
      </c>
      <c r="G4055" s="68"/>
      <c r="K4055" s="68"/>
    </row>
    <row r="4056" spans="1:11" ht="12.75">
      <c r="A4056" s="69">
        <f ca="1">IFERROR(__xludf.DUMMYFUNCTION("""COMPUTED_VALUE"""),103081)</f>
        <v>103081</v>
      </c>
      <c r="B4056" s="4">
        <f ca="1">IFERROR(__xludf.DUMMYFUNCTION("""COMPUTED_VALUE"""),44776)</f>
        <v>44776</v>
      </c>
      <c r="C4056" t="str">
        <f ca="1">IFERROR(__xludf.DUMMYFUNCTION("""COMPUTED_VALUE"""),"ООО ""ТРАНССЕРВИС"" 159-СТР от 01.08.2022")</f>
        <v>ООО "ТРАНССЕРВИС" 159-СТР от 01.08.2022</v>
      </c>
      <c r="D40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6" t="str">
        <f ca="1">IFERROR(__xludf.DUMMYFUNCTION("""COMPUTED_VALUE"""),"Новый")</f>
        <v>Новый</v>
      </c>
      <c r="G4056" s="68"/>
      <c r="K4056" s="68"/>
    </row>
    <row r="4057" spans="1:11" ht="12.75">
      <c r="A4057" s="69">
        <f ca="1">IFERROR(__xludf.DUMMYFUNCTION("""COMPUTED_VALUE"""),103082)</f>
        <v>103082</v>
      </c>
      <c r="B4057" s="4">
        <f ca="1">IFERROR(__xludf.DUMMYFUNCTION("""COMPUTED_VALUE"""),44776)</f>
        <v>44776</v>
      </c>
      <c r="C4057" t="str">
        <f ca="1">IFERROR(__xludf.DUMMYFUNCTION("""COMPUTED_VALUE"""),"ООО ""ТРАНССЕРВИС"" 159-СТР от 01.08.2022")</f>
        <v>ООО "ТРАНССЕРВИС" 159-СТР от 01.08.2022</v>
      </c>
      <c r="D40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7" t="str">
        <f ca="1">IFERROR(__xludf.DUMMYFUNCTION("""COMPUTED_VALUE"""),"Новый")</f>
        <v>Новый</v>
      </c>
      <c r="G4057" s="68"/>
      <c r="K4057" s="68"/>
    </row>
    <row r="4058" spans="1:11" ht="12.75">
      <c r="A4058" s="69">
        <f ca="1">IFERROR(__xludf.DUMMYFUNCTION("""COMPUTED_VALUE"""),103083)</f>
        <v>103083</v>
      </c>
      <c r="B4058" s="4">
        <f ca="1">IFERROR(__xludf.DUMMYFUNCTION("""COMPUTED_VALUE"""),44776)</f>
        <v>44776</v>
      </c>
      <c r="C4058" t="str">
        <f ca="1">IFERROR(__xludf.DUMMYFUNCTION("""COMPUTED_VALUE"""),"ООО ""ТРАНССЕРВИС"" 159-СТР от 01.08.2022")</f>
        <v>ООО "ТРАНССЕРВИС" 159-СТР от 01.08.2022</v>
      </c>
      <c r="D40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8" t="str">
        <f ca="1">IFERROR(__xludf.DUMMYFUNCTION("""COMPUTED_VALUE"""),"Новый")</f>
        <v>Новый</v>
      </c>
      <c r="G4058" s="68"/>
      <c r="K4058" s="68"/>
    </row>
    <row r="4059" spans="1:11" ht="12.75">
      <c r="A4059" s="69">
        <f ca="1">IFERROR(__xludf.DUMMYFUNCTION("""COMPUTED_VALUE"""),103084)</f>
        <v>103084</v>
      </c>
      <c r="B4059" s="4">
        <f ca="1">IFERROR(__xludf.DUMMYFUNCTION("""COMPUTED_VALUE"""),44776)</f>
        <v>44776</v>
      </c>
      <c r="C4059" t="str">
        <f ca="1">IFERROR(__xludf.DUMMYFUNCTION("""COMPUTED_VALUE"""),"ООО ""ТРАНССЕРВИС"" 159-СТР от 01.08.2022")</f>
        <v>ООО "ТРАНССЕРВИС" 159-СТР от 01.08.2022</v>
      </c>
      <c r="D40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59" t="str">
        <f ca="1">IFERROR(__xludf.DUMMYFUNCTION("""COMPUTED_VALUE"""),"Новый")</f>
        <v>Новый</v>
      </c>
      <c r="G4059" s="68"/>
      <c r="K4059" s="68"/>
    </row>
    <row r="4060" spans="1:11" ht="12.75">
      <c r="A4060" s="69">
        <f ca="1">IFERROR(__xludf.DUMMYFUNCTION("""COMPUTED_VALUE"""),103085)</f>
        <v>103085</v>
      </c>
      <c r="B4060" s="4">
        <f ca="1">IFERROR(__xludf.DUMMYFUNCTION("""COMPUTED_VALUE"""),44776)</f>
        <v>44776</v>
      </c>
      <c r="C4060" t="str">
        <f ca="1">IFERROR(__xludf.DUMMYFUNCTION("""COMPUTED_VALUE"""),"ООО ""ТРАНССЕРВИС"" 159-СТР от 01.08.2022")</f>
        <v>ООО "ТРАНССЕРВИС" 159-СТР от 01.08.2022</v>
      </c>
      <c r="D40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0" t="str">
        <f ca="1">IFERROR(__xludf.DUMMYFUNCTION("""COMPUTED_VALUE"""),"Новый")</f>
        <v>Новый</v>
      </c>
      <c r="G4060" s="68"/>
      <c r="K4060" s="68"/>
    </row>
    <row r="4061" spans="1:11" ht="12.75">
      <c r="A4061" s="69">
        <f ca="1">IFERROR(__xludf.DUMMYFUNCTION("""COMPUTED_VALUE"""),103086)</f>
        <v>103086</v>
      </c>
      <c r="B4061" s="4">
        <f ca="1">IFERROR(__xludf.DUMMYFUNCTION("""COMPUTED_VALUE"""),44776)</f>
        <v>44776</v>
      </c>
      <c r="C4061" t="str">
        <f ca="1">IFERROR(__xludf.DUMMYFUNCTION("""COMPUTED_VALUE"""),"ООО ""ТРАНССЕРВИС"" 159-СТР от 01.08.2022")</f>
        <v>ООО "ТРАНССЕРВИС" 159-СТР от 01.08.2022</v>
      </c>
      <c r="D40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1" t="str">
        <f ca="1">IFERROR(__xludf.DUMMYFUNCTION("""COMPUTED_VALUE"""),"Новый")</f>
        <v>Новый</v>
      </c>
      <c r="G4061" s="68"/>
      <c r="K4061" s="68"/>
    </row>
    <row r="4062" spans="1:11" ht="12.75">
      <c r="A4062" s="69">
        <f ca="1">IFERROR(__xludf.DUMMYFUNCTION("""COMPUTED_VALUE"""),103087)</f>
        <v>103087</v>
      </c>
      <c r="B4062" s="4">
        <f ca="1">IFERROR(__xludf.DUMMYFUNCTION("""COMPUTED_VALUE"""),44776)</f>
        <v>44776</v>
      </c>
      <c r="C4062" t="str">
        <f ca="1">IFERROR(__xludf.DUMMYFUNCTION("""COMPUTED_VALUE"""),"ООО ""ТРАНССЕРВИС"" 159-СТР от 01.08.2022")</f>
        <v>ООО "ТРАНССЕРВИС" 159-СТР от 01.08.2022</v>
      </c>
      <c r="D40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2" t="str">
        <f ca="1">IFERROR(__xludf.DUMMYFUNCTION("""COMPUTED_VALUE"""),"Новый")</f>
        <v>Новый</v>
      </c>
      <c r="G4062" s="68"/>
      <c r="K4062" s="68"/>
    </row>
    <row r="4063" spans="1:11" ht="12.75">
      <c r="A4063" s="69">
        <f ca="1">IFERROR(__xludf.DUMMYFUNCTION("""COMPUTED_VALUE"""),103088)</f>
        <v>103088</v>
      </c>
      <c r="B4063" s="4">
        <f ca="1">IFERROR(__xludf.DUMMYFUNCTION("""COMPUTED_VALUE"""),44776)</f>
        <v>44776</v>
      </c>
      <c r="C4063" t="str">
        <f ca="1">IFERROR(__xludf.DUMMYFUNCTION("""COMPUTED_VALUE"""),"ООО ""ТРАНССЕРВИС"" 159-СТР от 01.08.2022")</f>
        <v>ООО "ТРАНССЕРВИС" 159-СТР от 01.08.2022</v>
      </c>
      <c r="D40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3" t="str">
        <f ca="1">IFERROR(__xludf.DUMMYFUNCTION("""COMPUTED_VALUE"""),"Новый")</f>
        <v>Новый</v>
      </c>
      <c r="G4063" s="68"/>
      <c r="K4063" s="68"/>
    </row>
    <row r="4064" spans="1:11" ht="12.75">
      <c r="A4064" s="69">
        <f ca="1">IFERROR(__xludf.DUMMYFUNCTION("""COMPUTED_VALUE"""),103089)</f>
        <v>103089</v>
      </c>
      <c r="B4064" s="4">
        <f ca="1">IFERROR(__xludf.DUMMYFUNCTION("""COMPUTED_VALUE"""),44776)</f>
        <v>44776</v>
      </c>
      <c r="C4064" t="str">
        <f ca="1">IFERROR(__xludf.DUMMYFUNCTION("""COMPUTED_VALUE"""),"ООО ""ТРАНССЕРВИС"" 159-СТР от 01.08.2022")</f>
        <v>ООО "ТРАНССЕРВИС" 159-СТР от 01.08.2022</v>
      </c>
      <c r="D40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4" t="str">
        <f ca="1">IFERROR(__xludf.DUMMYFUNCTION("""COMPUTED_VALUE"""),"Новый")</f>
        <v>Новый</v>
      </c>
      <c r="G4064" s="68"/>
      <c r="K4064" s="68"/>
    </row>
    <row r="4065" spans="1:11" ht="12.75">
      <c r="A4065" s="69">
        <f ca="1">IFERROR(__xludf.DUMMYFUNCTION("""COMPUTED_VALUE"""),103090)</f>
        <v>103090</v>
      </c>
      <c r="B4065" s="4">
        <f ca="1">IFERROR(__xludf.DUMMYFUNCTION("""COMPUTED_VALUE"""),44776)</f>
        <v>44776</v>
      </c>
      <c r="C4065" t="str">
        <f ca="1">IFERROR(__xludf.DUMMYFUNCTION("""COMPUTED_VALUE"""),"ООО ""ТРАНССЕРВИС"" 159-СТР от 01.08.2022")</f>
        <v>ООО "ТРАНССЕРВИС" 159-СТР от 01.08.2022</v>
      </c>
      <c r="D40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5" t="str">
        <f ca="1">IFERROR(__xludf.DUMMYFUNCTION("""COMPUTED_VALUE"""),"Новый")</f>
        <v>Новый</v>
      </c>
      <c r="G4065" s="68"/>
      <c r="K4065" s="68"/>
    </row>
    <row r="4066" spans="1:11" ht="12.75">
      <c r="A4066" s="69">
        <f ca="1">IFERROR(__xludf.DUMMYFUNCTION("""COMPUTED_VALUE"""),103091)</f>
        <v>103091</v>
      </c>
      <c r="B4066" s="4">
        <f ca="1">IFERROR(__xludf.DUMMYFUNCTION("""COMPUTED_VALUE"""),44776)</f>
        <v>44776</v>
      </c>
      <c r="C4066" t="str">
        <f ca="1">IFERROR(__xludf.DUMMYFUNCTION("""COMPUTED_VALUE"""),"ООО ""ТРАНССЕРВИС"" 159-СТР от 01.08.2022")</f>
        <v>ООО "ТРАНССЕРВИС" 159-СТР от 01.08.2022</v>
      </c>
      <c r="D40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6" t="str">
        <f ca="1">IFERROR(__xludf.DUMMYFUNCTION("""COMPUTED_VALUE"""),"Новый")</f>
        <v>Новый</v>
      </c>
      <c r="G4066" s="68"/>
      <c r="K4066" s="68"/>
    </row>
    <row r="4067" spans="1:11" ht="12.75">
      <c r="A4067" s="69">
        <f ca="1">IFERROR(__xludf.DUMMYFUNCTION("""COMPUTED_VALUE"""),103092)</f>
        <v>103092</v>
      </c>
      <c r="B4067" s="4">
        <f ca="1">IFERROR(__xludf.DUMMYFUNCTION("""COMPUTED_VALUE"""),44776)</f>
        <v>44776</v>
      </c>
      <c r="C4067" t="str">
        <f ca="1">IFERROR(__xludf.DUMMYFUNCTION("""COMPUTED_VALUE"""),"ООО ""ТРАНССЕРВИС"" 159-СТР от 01.08.2022")</f>
        <v>ООО "ТРАНССЕРВИС" 159-СТР от 01.08.2022</v>
      </c>
      <c r="D40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7" t="str">
        <f ca="1">IFERROR(__xludf.DUMMYFUNCTION("""COMPUTED_VALUE"""),"Новый")</f>
        <v>Новый</v>
      </c>
      <c r="G4067" s="68"/>
      <c r="K4067" s="68"/>
    </row>
    <row r="4068" spans="1:11" ht="12.75">
      <c r="A4068" s="69">
        <f ca="1">IFERROR(__xludf.DUMMYFUNCTION("""COMPUTED_VALUE"""),103093)</f>
        <v>103093</v>
      </c>
      <c r="B4068" s="4">
        <f ca="1">IFERROR(__xludf.DUMMYFUNCTION("""COMPUTED_VALUE"""),44776)</f>
        <v>44776</v>
      </c>
      <c r="C4068" t="str">
        <f ca="1">IFERROR(__xludf.DUMMYFUNCTION("""COMPUTED_VALUE"""),"ООО ""ТРАНССЕРВИС"" 159-СТР от 01.08.2022")</f>
        <v>ООО "ТРАНССЕРВИС" 159-СТР от 01.08.2022</v>
      </c>
      <c r="D40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8" t="str">
        <f ca="1">IFERROR(__xludf.DUMMYFUNCTION("""COMPUTED_VALUE"""),"Новый")</f>
        <v>Новый</v>
      </c>
      <c r="G4068" s="68"/>
      <c r="K4068" s="68"/>
    </row>
    <row r="4069" spans="1:11" ht="12.75">
      <c r="A4069" s="69">
        <f ca="1">IFERROR(__xludf.DUMMYFUNCTION("""COMPUTED_VALUE"""),103094)</f>
        <v>103094</v>
      </c>
      <c r="B4069" s="4">
        <f ca="1">IFERROR(__xludf.DUMMYFUNCTION("""COMPUTED_VALUE"""),44776)</f>
        <v>44776</v>
      </c>
      <c r="C4069" t="str">
        <f ca="1">IFERROR(__xludf.DUMMYFUNCTION("""COMPUTED_VALUE"""),"ООО ""ТРАНССЕРВИС"" 159-СТР от 01.08.2022")</f>
        <v>ООО "ТРАНССЕРВИС" 159-СТР от 01.08.2022</v>
      </c>
      <c r="D40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69" t="str">
        <f ca="1">IFERROR(__xludf.DUMMYFUNCTION("""COMPUTED_VALUE"""),"Новый")</f>
        <v>Новый</v>
      </c>
      <c r="G4069" s="68"/>
      <c r="K4069" s="68"/>
    </row>
    <row r="4070" spans="1:11" ht="12.75">
      <c r="A4070" s="69">
        <f ca="1">IFERROR(__xludf.DUMMYFUNCTION("""COMPUTED_VALUE"""),103095)</f>
        <v>103095</v>
      </c>
      <c r="B4070" s="4">
        <f ca="1">IFERROR(__xludf.DUMMYFUNCTION("""COMPUTED_VALUE"""),44776)</f>
        <v>44776</v>
      </c>
      <c r="C4070" t="str">
        <f ca="1">IFERROR(__xludf.DUMMYFUNCTION("""COMPUTED_VALUE"""),"ООО ""ТРАНССЕРВИС"" 159-СТР от 01.08.2022")</f>
        <v>ООО "ТРАНССЕРВИС" 159-СТР от 01.08.2022</v>
      </c>
      <c r="D40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0" t="str">
        <f ca="1">IFERROR(__xludf.DUMMYFUNCTION("""COMPUTED_VALUE"""),"Новый")</f>
        <v>Новый</v>
      </c>
      <c r="G4070" s="68"/>
      <c r="K4070" s="68"/>
    </row>
    <row r="4071" spans="1:11" ht="12.75">
      <c r="A4071" s="69">
        <f ca="1">IFERROR(__xludf.DUMMYFUNCTION("""COMPUTED_VALUE"""),103096)</f>
        <v>103096</v>
      </c>
      <c r="B4071" s="4">
        <f ca="1">IFERROR(__xludf.DUMMYFUNCTION("""COMPUTED_VALUE"""),44776)</f>
        <v>44776</v>
      </c>
      <c r="C4071" t="str">
        <f ca="1">IFERROR(__xludf.DUMMYFUNCTION("""COMPUTED_VALUE"""),"ООО ""ТРАНССЕРВИС"" 159-СТР от 01.08.2022")</f>
        <v>ООО "ТРАНССЕРВИС" 159-СТР от 01.08.2022</v>
      </c>
      <c r="D40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1" t="str">
        <f ca="1">IFERROR(__xludf.DUMMYFUNCTION("""COMPUTED_VALUE"""),"Новый")</f>
        <v>Новый</v>
      </c>
      <c r="G4071" s="68"/>
      <c r="K4071" s="68"/>
    </row>
    <row r="4072" spans="1:11" ht="12.75">
      <c r="A4072" s="69">
        <f ca="1">IFERROR(__xludf.DUMMYFUNCTION("""COMPUTED_VALUE"""),103097)</f>
        <v>103097</v>
      </c>
      <c r="B4072" s="4">
        <f ca="1">IFERROR(__xludf.DUMMYFUNCTION("""COMPUTED_VALUE"""),44776)</f>
        <v>44776</v>
      </c>
      <c r="C4072" t="str">
        <f ca="1">IFERROR(__xludf.DUMMYFUNCTION("""COMPUTED_VALUE"""),"ООО ""ТРАНССЕРВИС"" 159-СТР от 01.08.2022")</f>
        <v>ООО "ТРАНССЕРВИС" 159-СТР от 01.08.2022</v>
      </c>
      <c r="D40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2" t="str">
        <f ca="1">IFERROR(__xludf.DUMMYFUNCTION("""COMPUTED_VALUE"""),"Новый")</f>
        <v>Новый</v>
      </c>
      <c r="G4072" s="68"/>
      <c r="K4072" s="68"/>
    </row>
    <row r="4073" spans="1:11" ht="12.75">
      <c r="A4073" s="69">
        <f ca="1">IFERROR(__xludf.DUMMYFUNCTION("""COMPUTED_VALUE"""),103120)</f>
        <v>103120</v>
      </c>
      <c r="B4073" s="4">
        <f ca="1">IFERROR(__xludf.DUMMYFUNCTION("""COMPUTED_VALUE"""),44776)</f>
        <v>44776</v>
      </c>
      <c r="C4073" t="str">
        <f ca="1">IFERROR(__xludf.DUMMYFUNCTION("""COMPUTED_VALUE"""),"ЗАО ""ЭКОС"" 115-СТР от 01.01.2022")</f>
        <v>ЗАО "ЭКОС" 115-СТР от 01.01.2022</v>
      </c>
      <c r="D40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3" t="str">
        <f ca="1">IFERROR(__xludf.DUMMYFUNCTION("""COMPUTED_VALUE"""),"Новый")</f>
        <v>Новый</v>
      </c>
      <c r="G4073" s="68"/>
      <c r="K4073" s="68"/>
    </row>
    <row r="4074" spans="1:11" ht="12.75">
      <c r="A4074" s="69">
        <f ca="1">IFERROR(__xludf.DUMMYFUNCTION("""COMPUTED_VALUE"""),103121)</f>
        <v>103121</v>
      </c>
      <c r="B4074" s="4">
        <f ca="1">IFERROR(__xludf.DUMMYFUNCTION("""COMPUTED_VALUE"""),44776)</f>
        <v>44776</v>
      </c>
      <c r="C4074" t="str">
        <f ca="1">IFERROR(__xludf.DUMMYFUNCTION("""COMPUTED_VALUE"""),"ЗАО ""ЭКОС"" 115-СТР от 01.01.2022")</f>
        <v>ЗАО "ЭКОС" 115-СТР от 01.01.2022</v>
      </c>
      <c r="D40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4" t="str">
        <f ca="1">IFERROR(__xludf.DUMMYFUNCTION("""COMPUTED_VALUE"""),"Новый")</f>
        <v>Новый</v>
      </c>
      <c r="G4074" s="68"/>
      <c r="K4074" s="68"/>
    </row>
    <row r="4075" spans="1:11" ht="12.75">
      <c r="A4075" s="69">
        <f ca="1">IFERROR(__xludf.DUMMYFUNCTION("""COMPUTED_VALUE"""),103122)</f>
        <v>103122</v>
      </c>
      <c r="B4075" s="4">
        <f ca="1">IFERROR(__xludf.DUMMYFUNCTION("""COMPUTED_VALUE"""),44776)</f>
        <v>44776</v>
      </c>
      <c r="C4075" t="str">
        <f ca="1">IFERROR(__xludf.DUMMYFUNCTION("""COMPUTED_VALUE"""),"ЗАО ""ЭКОС"" 115-СТР от 01.01.2022")</f>
        <v>ЗАО "ЭКОС" 115-СТР от 01.01.2022</v>
      </c>
      <c r="D40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5" t="str">
        <f ca="1">IFERROR(__xludf.DUMMYFUNCTION("""COMPUTED_VALUE"""),"Новый")</f>
        <v>Новый</v>
      </c>
      <c r="G4075" s="68"/>
      <c r="K4075" s="68"/>
    </row>
    <row r="4076" spans="1:11" ht="12.75">
      <c r="A4076" s="69">
        <f ca="1">IFERROR(__xludf.DUMMYFUNCTION("""COMPUTED_VALUE"""),103123)</f>
        <v>103123</v>
      </c>
      <c r="B4076" s="4">
        <f ca="1">IFERROR(__xludf.DUMMYFUNCTION("""COMPUTED_VALUE"""),44776)</f>
        <v>44776</v>
      </c>
      <c r="C4076" t="str">
        <f ca="1">IFERROR(__xludf.DUMMYFUNCTION("""COMPUTED_VALUE"""),"ЗАО ""ЭКОС"" 115-СТР от 01.01.2022")</f>
        <v>ЗАО "ЭКОС" 115-СТР от 01.01.2022</v>
      </c>
      <c r="D40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6" t="str">
        <f ca="1">IFERROR(__xludf.DUMMYFUNCTION("""COMPUTED_VALUE"""),"Новый")</f>
        <v>Новый</v>
      </c>
      <c r="G4076" s="68"/>
      <c r="K4076" s="68"/>
    </row>
    <row r="4077" spans="1:11" ht="12.75">
      <c r="A4077" s="69">
        <f ca="1">IFERROR(__xludf.DUMMYFUNCTION("""COMPUTED_VALUE"""),103131)</f>
        <v>103131</v>
      </c>
      <c r="B4077" s="4">
        <f ca="1">IFERROR(__xludf.DUMMYFUNCTION("""COMPUTED_VALUE"""),44776)</f>
        <v>44776</v>
      </c>
      <c r="C4077" t="str">
        <f ca="1">IFERROR(__xludf.DUMMYFUNCTION("""COMPUTED_VALUE"""),"ЗАО ""ЭКОС"" 115-СТР от 01.01.2022")</f>
        <v>ЗАО "ЭКОС" 115-СТР от 01.01.2022</v>
      </c>
      <c r="D40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7" t="str">
        <f ca="1">IFERROR(__xludf.DUMMYFUNCTION("""COMPUTED_VALUE"""),"Новый")</f>
        <v>Новый</v>
      </c>
      <c r="G4077" s="68"/>
      <c r="K4077" s="68"/>
    </row>
    <row r="4078" spans="1:11" ht="12.75">
      <c r="A4078" s="69">
        <f ca="1">IFERROR(__xludf.DUMMYFUNCTION("""COMPUTED_VALUE"""),103198)</f>
        <v>103198</v>
      </c>
      <c r="B4078" s="4">
        <f ca="1">IFERROR(__xludf.DUMMYFUNCTION("""COMPUTED_VALUE"""),44776)</f>
        <v>44776</v>
      </c>
      <c r="C4078" t="str">
        <f ca="1">IFERROR(__xludf.DUMMYFUNCTION("""COMPUTED_VALUE"""),"ЗАО ""ЭКОС"" 115-СТР от 01.01.2022")</f>
        <v>ЗАО "ЭКОС" 115-СТР от 01.01.2022</v>
      </c>
      <c r="D40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8" t="str">
        <f ca="1">IFERROR(__xludf.DUMMYFUNCTION("""COMPUTED_VALUE"""),"Новый")</f>
        <v>Новый</v>
      </c>
      <c r="G4078" s="68"/>
      <c r="K4078" s="68"/>
    </row>
    <row r="4079" spans="1:11" ht="12.75">
      <c r="A4079" s="69">
        <f ca="1">IFERROR(__xludf.DUMMYFUNCTION("""COMPUTED_VALUE"""),103199)</f>
        <v>103199</v>
      </c>
      <c r="B4079" s="4">
        <f ca="1">IFERROR(__xludf.DUMMYFUNCTION("""COMPUTED_VALUE"""),44776)</f>
        <v>44776</v>
      </c>
      <c r="C4079" t="str">
        <f ca="1">IFERROR(__xludf.DUMMYFUNCTION("""COMPUTED_VALUE"""),"ЗАО ""ЭКОС"" 115-СТР от 01.01.2022")</f>
        <v>ЗАО "ЭКОС" 115-СТР от 01.01.2022</v>
      </c>
      <c r="D40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79" t="str">
        <f ca="1">IFERROR(__xludf.DUMMYFUNCTION("""COMPUTED_VALUE"""),"Новый")</f>
        <v>Новый</v>
      </c>
      <c r="G4079" s="68"/>
      <c r="K4079" s="68"/>
    </row>
    <row r="4080" spans="1:11" ht="12.75">
      <c r="A4080" s="69">
        <f ca="1">IFERROR(__xludf.DUMMYFUNCTION("""COMPUTED_VALUE"""),103200)</f>
        <v>103200</v>
      </c>
      <c r="B4080" s="4">
        <f ca="1">IFERROR(__xludf.DUMMYFUNCTION("""COMPUTED_VALUE"""),44776)</f>
        <v>44776</v>
      </c>
      <c r="C4080" t="str">
        <f ca="1">IFERROR(__xludf.DUMMYFUNCTION("""COMPUTED_VALUE"""),"ЗАО ""ЭКОС"" 115-СТР от 01.01.2022")</f>
        <v>ЗАО "ЭКОС" 115-СТР от 01.01.2022</v>
      </c>
      <c r="D40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0" t="str">
        <f ca="1">IFERROR(__xludf.DUMMYFUNCTION("""COMPUTED_VALUE"""),"Новый")</f>
        <v>Новый</v>
      </c>
      <c r="G4080" s="68"/>
      <c r="K4080" s="68"/>
    </row>
    <row r="4081" spans="1:11" ht="12.75">
      <c r="A4081" s="69">
        <f ca="1">IFERROR(__xludf.DUMMYFUNCTION("""COMPUTED_VALUE"""),103201)</f>
        <v>103201</v>
      </c>
      <c r="B4081" s="4">
        <f ca="1">IFERROR(__xludf.DUMMYFUNCTION("""COMPUTED_VALUE"""),44776)</f>
        <v>44776</v>
      </c>
      <c r="C4081" t="str">
        <f ca="1">IFERROR(__xludf.DUMMYFUNCTION("""COMPUTED_VALUE"""),"ЗАО ""ЭКОС"" 115-СТР от 01.01.2022")</f>
        <v>ЗАО "ЭКОС" 115-СТР от 01.01.2022</v>
      </c>
      <c r="D40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1" t="str">
        <f ca="1">IFERROR(__xludf.DUMMYFUNCTION("""COMPUTED_VALUE"""),"Новый")</f>
        <v>Новый</v>
      </c>
      <c r="G4081" s="68"/>
      <c r="K4081" s="68"/>
    </row>
    <row r="4082" spans="1:11" ht="12.75">
      <c r="A4082" s="69">
        <f ca="1">IFERROR(__xludf.DUMMYFUNCTION("""COMPUTED_VALUE"""),103202)</f>
        <v>103202</v>
      </c>
      <c r="B4082" s="4">
        <f ca="1">IFERROR(__xludf.DUMMYFUNCTION("""COMPUTED_VALUE"""),44776)</f>
        <v>44776</v>
      </c>
      <c r="C4082" t="str">
        <f ca="1">IFERROR(__xludf.DUMMYFUNCTION("""COMPUTED_VALUE"""),"ЗАО ""ЭКОС"" 115-СТР от 01.01.2022")</f>
        <v>ЗАО "ЭКОС" 115-СТР от 01.01.2022</v>
      </c>
      <c r="D40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2" t="str">
        <f ca="1">IFERROR(__xludf.DUMMYFUNCTION("""COMPUTED_VALUE"""),"Новый")</f>
        <v>Новый</v>
      </c>
      <c r="G4082" s="68"/>
      <c r="K4082" s="68"/>
    </row>
    <row r="4083" spans="1:11" ht="12.75">
      <c r="A4083" s="69">
        <f ca="1">IFERROR(__xludf.DUMMYFUNCTION("""COMPUTED_VALUE"""),103203)</f>
        <v>103203</v>
      </c>
      <c r="B4083" s="4">
        <f ca="1">IFERROR(__xludf.DUMMYFUNCTION("""COMPUTED_VALUE"""),44776)</f>
        <v>44776</v>
      </c>
      <c r="C4083" t="str">
        <f ca="1">IFERROR(__xludf.DUMMYFUNCTION("""COMPUTED_VALUE"""),"ЗАО ""ЭКОС"" 115-СТР от 01.01.2022")</f>
        <v>ЗАО "ЭКОС" 115-СТР от 01.01.2022</v>
      </c>
      <c r="D40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3" t="str">
        <f ca="1">IFERROR(__xludf.DUMMYFUNCTION("""COMPUTED_VALUE"""),"Новый")</f>
        <v>Новый</v>
      </c>
      <c r="G4083" s="68"/>
      <c r="K4083" s="68"/>
    </row>
    <row r="4084" spans="1:11" ht="12.75">
      <c r="A4084" s="69">
        <f ca="1">IFERROR(__xludf.DUMMYFUNCTION("""COMPUTED_VALUE"""),103204)</f>
        <v>103204</v>
      </c>
      <c r="B4084" s="4">
        <f ca="1">IFERROR(__xludf.DUMMYFUNCTION("""COMPUTED_VALUE"""),44776)</f>
        <v>44776</v>
      </c>
      <c r="C4084" t="str">
        <f ca="1">IFERROR(__xludf.DUMMYFUNCTION("""COMPUTED_VALUE"""),"ЗАО ""ЭКОС"" 115-СТР от 01.01.2022")</f>
        <v>ЗАО "ЭКОС" 115-СТР от 01.01.2022</v>
      </c>
      <c r="D40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4" t="str">
        <f ca="1">IFERROR(__xludf.DUMMYFUNCTION("""COMPUTED_VALUE"""),"Новый")</f>
        <v>Новый</v>
      </c>
      <c r="G4084" s="68"/>
      <c r="K4084" s="68"/>
    </row>
    <row r="4085" spans="1:11" ht="12.75">
      <c r="A4085" s="69">
        <f ca="1">IFERROR(__xludf.DUMMYFUNCTION("""COMPUTED_VALUE"""),103205)</f>
        <v>103205</v>
      </c>
      <c r="B4085" s="4">
        <f ca="1">IFERROR(__xludf.DUMMYFUNCTION("""COMPUTED_VALUE"""),44776)</f>
        <v>44776</v>
      </c>
      <c r="C4085" t="str">
        <f ca="1">IFERROR(__xludf.DUMMYFUNCTION("""COMPUTED_VALUE"""),"ЗАО ""ЭКОС"" 115-СТР от 01.01.2022")</f>
        <v>ЗАО "ЭКОС" 115-СТР от 01.01.2022</v>
      </c>
      <c r="D40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5" t="str">
        <f ca="1">IFERROR(__xludf.DUMMYFUNCTION("""COMPUTED_VALUE"""),"Новый")</f>
        <v>Новый</v>
      </c>
      <c r="G4085" s="68"/>
      <c r="K4085" s="68"/>
    </row>
    <row r="4086" spans="1:11" ht="12.75">
      <c r="A4086" s="69">
        <f ca="1">IFERROR(__xludf.DUMMYFUNCTION("""COMPUTED_VALUE"""),103206)</f>
        <v>103206</v>
      </c>
      <c r="B4086" s="4">
        <f ca="1">IFERROR(__xludf.DUMMYFUNCTION("""COMPUTED_VALUE"""),44776)</f>
        <v>44776</v>
      </c>
      <c r="C4086" t="str">
        <f ca="1">IFERROR(__xludf.DUMMYFUNCTION("""COMPUTED_VALUE"""),"ЗАО ""ЭКОС"" 115-СТР от 01.01.2022")</f>
        <v>ЗАО "ЭКОС" 115-СТР от 01.01.2022</v>
      </c>
      <c r="D40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6" t="str">
        <f ca="1">IFERROR(__xludf.DUMMYFUNCTION("""COMPUTED_VALUE"""),"Новый")</f>
        <v>Новый</v>
      </c>
      <c r="G4086" s="68"/>
      <c r="K4086" s="68"/>
    </row>
    <row r="4087" spans="1:11" ht="12.75">
      <c r="A4087" s="69">
        <f ca="1">IFERROR(__xludf.DUMMYFUNCTION("""COMPUTED_VALUE"""),103207)</f>
        <v>103207</v>
      </c>
      <c r="B4087" s="4">
        <f ca="1">IFERROR(__xludf.DUMMYFUNCTION("""COMPUTED_VALUE"""),44776)</f>
        <v>44776</v>
      </c>
      <c r="C4087" t="str">
        <f ca="1">IFERROR(__xludf.DUMMYFUNCTION("""COMPUTED_VALUE"""),"ЗАО ""ЭКОС"" 115-СТР от 01.01.2022")</f>
        <v>ЗАО "ЭКОС" 115-СТР от 01.01.2022</v>
      </c>
      <c r="D40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7" t="str">
        <f ca="1">IFERROR(__xludf.DUMMYFUNCTION("""COMPUTED_VALUE"""),"Новый")</f>
        <v>Новый</v>
      </c>
      <c r="G4087" s="68"/>
      <c r="K4087" s="68"/>
    </row>
    <row r="4088" spans="1:11" ht="12.75">
      <c r="A4088" s="69">
        <f ca="1">IFERROR(__xludf.DUMMYFUNCTION("""COMPUTED_VALUE"""),103208)</f>
        <v>103208</v>
      </c>
      <c r="B4088" s="4">
        <f ca="1">IFERROR(__xludf.DUMMYFUNCTION("""COMPUTED_VALUE"""),44776)</f>
        <v>44776</v>
      </c>
      <c r="C4088" t="str">
        <f ca="1">IFERROR(__xludf.DUMMYFUNCTION("""COMPUTED_VALUE"""),"ЗАО ""ЭКОС"" 115-СТР от 01.01.2022")</f>
        <v>ЗАО "ЭКОС" 115-СТР от 01.01.2022</v>
      </c>
      <c r="D40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8" t="str">
        <f ca="1">IFERROR(__xludf.DUMMYFUNCTION("""COMPUTED_VALUE"""),"Новый")</f>
        <v>Новый</v>
      </c>
      <c r="G4088" s="68"/>
      <c r="K4088" s="68"/>
    </row>
    <row r="4089" spans="1:11" ht="12.75">
      <c r="A4089" s="69">
        <f ca="1">IFERROR(__xludf.DUMMYFUNCTION("""COMPUTED_VALUE"""),103209)</f>
        <v>103209</v>
      </c>
      <c r="B4089" s="4">
        <f ca="1">IFERROR(__xludf.DUMMYFUNCTION("""COMPUTED_VALUE"""),44776)</f>
        <v>44776</v>
      </c>
      <c r="C4089" t="str">
        <f ca="1">IFERROR(__xludf.DUMMYFUNCTION("""COMPUTED_VALUE"""),"ЗАО ""ЭКОС"" 115-СТР от 01.01.2022")</f>
        <v>ЗАО "ЭКОС" 115-СТР от 01.01.2022</v>
      </c>
      <c r="D40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89" t="str">
        <f ca="1">IFERROR(__xludf.DUMMYFUNCTION("""COMPUTED_VALUE"""),"Новый")</f>
        <v>Новый</v>
      </c>
      <c r="G4089" s="68"/>
      <c r="K4089" s="68"/>
    </row>
    <row r="4090" spans="1:11" ht="12.75">
      <c r="A4090" s="69">
        <f ca="1">IFERROR(__xludf.DUMMYFUNCTION("""COMPUTED_VALUE"""),103210)</f>
        <v>103210</v>
      </c>
      <c r="B4090" s="4">
        <f ca="1">IFERROR(__xludf.DUMMYFUNCTION("""COMPUTED_VALUE"""),44776)</f>
        <v>44776</v>
      </c>
      <c r="C4090" t="str">
        <f ca="1">IFERROR(__xludf.DUMMYFUNCTION("""COMPUTED_VALUE"""),"ЗАО ""ЭКОС"" 115-СТР от 01.01.2022")</f>
        <v>ЗАО "ЭКОС" 115-СТР от 01.01.2022</v>
      </c>
      <c r="D40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0" t="str">
        <f ca="1">IFERROR(__xludf.DUMMYFUNCTION("""COMPUTED_VALUE"""),"Новый")</f>
        <v>Новый</v>
      </c>
      <c r="G4090" s="68"/>
      <c r="K4090" s="68"/>
    </row>
    <row r="4091" spans="1:11" ht="12.75">
      <c r="A4091" s="69">
        <f ca="1">IFERROR(__xludf.DUMMYFUNCTION("""COMPUTED_VALUE"""),103211)</f>
        <v>103211</v>
      </c>
      <c r="B4091" s="4">
        <f ca="1">IFERROR(__xludf.DUMMYFUNCTION("""COMPUTED_VALUE"""),44776)</f>
        <v>44776</v>
      </c>
      <c r="C4091" t="str">
        <f ca="1">IFERROR(__xludf.DUMMYFUNCTION("""COMPUTED_VALUE"""),"ЗАО ""ЭКОС"" 115-СТР от 01.01.2022")</f>
        <v>ЗАО "ЭКОС" 115-СТР от 01.01.2022</v>
      </c>
      <c r="D40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1" t="str">
        <f ca="1">IFERROR(__xludf.DUMMYFUNCTION("""COMPUTED_VALUE"""),"Новый")</f>
        <v>Новый</v>
      </c>
      <c r="G4091" s="68"/>
      <c r="K4091" s="68"/>
    </row>
    <row r="4092" spans="1:11" ht="12.75">
      <c r="A4092" s="69">
        <f ca="1">IFERROR(__xludf.DUMMYFUNCTION("""COMPUTED_VALUE"""),103212)</f>
        <v>103212</v>
      </c>
      <c r="B4092" s="4">
        <f ca="1">IFERROR(__xludf.DUMMYFUNCTION("""COMPUTED_VALUE"""),44776)</f>
        <v>44776</v>
      </c>
      <c r="C4092" t="str">
        <f ca="1">IFERROR(__xludf.DUMMYFUNCTION("""COMPUTED_VALUE"""),"ЗАО ""ЭКОС"" 115-СТР от 01.01.2022")</f>
        <v>ЗАО "ЭКОС" 115-СТР от 01.01.2022</v>
      </c>
      <c r="D40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2" t="str">
        <f ca="1">IFERROR(__xludf.DUMMYFUNCTION("""COMPUTED_VALUE"""),"Новый")</f>
        <v>Новый</v>
      </c>
      <c r="G4092" s="68"/>
      <c r="K4092" s="68"/>
    </row>
    <row r="4093" spans="1:11" ht="12.75">
      <c r="A4093" s="69">
        <f ca="1">IFERROR(__xludf.DUMMYFUNCTION("""COMPUTED_VALUE"""),103213)</f>
        <v>103213</v>
      </c>
      <c r="B4093" s="4">
        <f ca="1">IFERROR(__xludf.DUMMYFUNCTION("""COMPUTED_VALUE"""),44776)</f>
        <v>44776</v>
      </c>
      <c r="C4093" t="str">
        <f ca="1">IFERROR(__xludf.DUMMYFUNCTION("""COMPUTED_VALUE"""),"ЗАО ""ЭКОС"" 115-СТР от 01.01.2022")</f>
        <v>ЗАО "ЭКОС" 115-СТР от 01.01.2022</v>
      </c>
      <c r="D40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3" t="str">
        <f ca="1">IFERROR(__xludf.DUMMYFUNCTION("""COMPUTED_VALUE"""),"Новый")</f>
        <v>Новый</v>
      </c>
      <c r="G4093" s="68"/>
      <c r="K4093" s="68"/>
    </row>
    <row r="4094" spans="1:11" ht="12.75">
      <c r="A4094" s="69">
        <f ca="1">IFERROR(__xludf.DUMMYFUNCTION("""COMPUTED_VALUE"""),103214)</f>
        <v>103214</v>
      </c>
      <c r="B4094" s="4">
        <f ca="1">IFERROR(__xludf.DUMMYFUNCTION("""COMPUTED_VALUE"""),44776)</f>
        <v>44776</v>
      </c>
      <c r="C4094" t="str">
        <f ca="1">IFERROR(__xludf.DUMMYFUNCTION("""COMPUTED_VALUE"""),"ЗАО ""ЭКОС"" 115-СТР от 01.01.2022")</f>
        <v>ЗАО "ЭКОС" 115-СТР от 01.01.2022</v>
      </c>
      <c r="D40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4" t="str">
        <f ca="1">IFERROR(__xludf.DUMMYFUNCTION("""COMPUTED_VALUE"""),"Новый")</f>
        <v>Новый</v>
      </c>
      <c r="G4094" s="68"/>
      <c r="K4094" s="68"/>
    </row>
    <row r="4095" spans="1:11" ht="12.75">
      <c r="A4095" s="69">
        <f ca="1">IFERROR(__xludf.DUMMYFUNCTION("""COMPUTED_VALUE"""),103215)</f>
        <v>103215</v>
      </c>
      <c r="B4095" s="4">
        <f ca="1">IFERROR(__xludf.DUMMYFUNCTION("""COMPUTED_VALUE"""),44776)</f>
        <v>44776</v>
      </c>
      <c r="C4095" t="str">
        <f ca="1">IFERROR(__xludf.DUMMYFUNCTION("""COMPUTED_VALUE"""),"ЗАО ""ЭКОС"" 115-СТР от 01.01.2022")</f>
        <v>ЗАО "ЭКОС" 115-СТР от 01.01.2022</v>
      </c>
      <c r="D40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5" t="str">
        <f ca="1">IFERROR(__xludf.DUMMYFUNCTION("""COMPUTED_VALUE"""),"Новый")</f>
        <v>Новый</v>
      </c>
      <c r="G4095" s="68"/>
      <c r="K4095" s="68"/>
    </row>
    <row r="4096" spans="1:11" ht="12.75">
      <c r="A4096" s="69">
        <f ca="1">IFERROR(__xludf.DUMMYFUNCTION("""COMPUTED_VALUE"""),103216)</f>
        <v>103216</v>
      </c>
      <c r="B4096" s="4">
        <f ca="1">IFERROR(__xludf.DUMMYFUNCTION("""COMPUTED_VALUE"""),44776)</f>
        <v>44776</v>
      </c>
      <c r="C4096" t="str">
        <f ca="1">IFERROR(__xludf.DUMMYFUNCTION("""COMPUTED_VALUE"""),"ЗАО ""ЭКОС"" 115-СТР от 01.01.2022")</f>
        <v>ЗАО "ЭКОС" 115-СТР от 01.01.2022</v>
      </c>
      <c r="D40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6" t="str">
        <f ca="1">IFERROR(__xludf.DUMMYFUNCTION("""COMPUTED_VALUE"""),"Новый")</f>
        <v>Новый</v>
      </c>
      <c r="G4096" s="68"/>
      <c r="K4096" s="68"/>
    </row>
    <row r="4097" spans="1:11" ht="12.75">
      <c r="A4097" s="69">
        <f ca="1">IFERROR(__xludf.DUMMYFUNCTION("""COMPUTED_VALUE"""),103217)</f>
        <v>103217</v>
      </c>
      <c r="B4097" s="4">
        <f ca="1">IFERROR(__xludf.DUMMYFUNCTION("""COMPUTED_VALUE"""),44776)</f>
        <v>44776</v>
      </c>
      <c r="C4097" t="str">
        <f ca="1">IFERROR(__xludf.DUMMYFUNCTION("""COMPUTED_VALUE"""),"ЗАО ""ЭКОС"" 115-СТР от 01.01.2022")</f>
        <v>ЗАО "ЭКОС" 115-СТР от 01.01.2022</v>
      </c>
      <c r="D40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097" t="str">
        <f ca="1">IFERROR(__xludf.DUMMYFUNCTION("""COMPUTED_VALUE"""),"Новый")</f>
        <v>Новый</v>
      </c>
      <c r="G4097" s="68"/>
      <c r="K4097" s="68"/>
    </row>
    <row r="4098" spans="1:11" ht="12.75">
      <c r="A4098" s="69">
        <f ca="1">IFERROR(__xludf.DUMMYFUNCTION("""COMPUTED_VALUE"""),103238)</f>
        <v>103238</v>
      </c>
      <c r="B4098" s="4">
        <f ca="1">IFERROR(__xludf.DUMMYFUNCTION("""COMPUTED_VALUE"""),44777)</f>
        <v>44777</v>
      </c>
      <c r="C4098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98" t="str">
        <f ca="1">IFERROR(__xludf.DUMMYFUNCTION("""COMPUTED_VALUE"""),"Новый")</f>
        <v>Новый</v>
      </c>
      <c r="G4098" s="68"/>
      <c r="K4098" s="68"/>
    </row>
    <row r="4099" spans="1:11" ht="12.75">
      <c r="A4099" s="69">
        <f ca="1">IFERROR(__xludf.DUMMYFUNCTION("""COMPUTED_VALUE"""),103239)</f>
        <v>103239</v>
      </c>
      <c r="B4099" s="4">
        <f ca="1">IFERROR(__xludf.DUMMYFUNCTION("""COMPUTED_VALUE"""),44777)</f>
        <v>44777</v>
      </c>
      <c r="C4099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0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099" t="str">
        <f ca="1">IFERROR(__xludf.DUMMYFUNCTION("""COMPUTED_VALUE"""),"Новый")</f>
        <v>Новый</v>
      </c>
      <c r="G4099" s="68"/>
      <c r="K4099" s="68"/>
    </row>
    <row r="4100" spans="1:11" ht="12.75">
      <c r="A4100" s="69">
        <f ca="1">IFERROR(__xludf.DUMMYFUNCTION("""COMPUTED_VALUE"""),103240)</f>
        <v>103240</v>
      </c>
      <c r="B4100" s="4">
        <f ca="1">IFERROR(__xludf.DUMMYFUNCTION("""COMPUTED_VALUE"""),44777)</f>
        <v>44777</v>
      </c>
      <c r="C4100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0" t="str">
        <f ca="1">IFERROR(__xludf.DUMMYFUNCTION("""COMPUTED_VALUE"""),"Новый")</f>
        <v>Новый</v>
      </c>
      <c r="G4100" s="68"/>
      <c r="K4100" s="68"/>
    </row>
    <row r="4101" spans="1:11" ht="12.75">
      <c r="A4101" s="69">
        <f ca="1">IFERROR(__xludf.DUMMYFUNCTION("""COMPUTED_VALUE"""),103241)</f>
        <v>103241</v>
      </c>
      <c r="B4101" s="4">
        <f ca="1">IFERROR(__xludf.DUMMYFUNCTION("""COMPUTED_VALUE"""),44777)</f>
        <v>44777</v>
      </c>
      <c r="C4101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1" t="str">
        <f ca="1">IFERROR(__xludf.DUMMYFUNCTION("""COMPUTED_VALUE"""),"Новый")</f>
        <v>Новый</v>
      </c>
      <c r="G4101" s="68"/>
      <c r="K4101" s="68"/>
    </row>
    <row r="4102" spans="1:11" ht="12.75">
      <c r="A4102" s="69">
        <f ca="1">IFERROR(__xludf.DUMMYFUNCTION("""COMPUTED_VALUE"""),103242)</f>
        <v>103242</v>
      </c>
      <c r="B4102" s="4">
        <f ca="1">IFERROR(__xludf.DUMMYFUNCTION("""COMPUTED_VALUE"""),44777)</f>
        <v>44777</v>
      </c>
      <c r="C4102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2" t="str">
        <f ca="1">IFERROR(__xludf.DUMMYFUNCTION("""COMPUTED_VALUE"""),"Новый")</f>
        <v>Новый</v>
      </c>
      <c r="G4102" s="68"/>
      <c r="K4102" s="68"/>
    </row>
    <row r="4103" spans="1:11" ht="12.75">
      <c r="A4103" s="69">
        <f ca="1">IFERROR(__xludf.DUMMYFUNCTION("""COMPUTED_VALUE"""),103243)</f>
        <v>103243</v>
      </c>
      <c r="B4103" s="4">
        <f ca="1">IFERROR(__xludf.DUMMYFUNCTION("""COMPUTED_VALUE"""),44777)</f>
        <v>44777</v>
      </c>
      <c r="C4103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3" t="str">
        <f ca="1">IFERROR(__xludf.DUMMYFUNCTION("""COMPUTED_VALUE"""),"Новый")</f>
        <v>Новый</v>
      </c>
      <c r="G4103" s="68"/>
      <c r="K4103" s="68"/>
    </row>
    <row r="4104" spans="1:11" ht="12.75">
      <c r="A4104" s="69">
        <f ca="1">IFERROR(__xludf.DUMMYFUNCTION("""COMPUTED_VALUE"""),103244)</f>
        <v>103244</v>
      </c>
      <c r="B4104" s="4">
        <f ca="1">IFERROR(__xludf.DUMMYFUNCTION("""COMPUTED_VALUE"""),44777)</f>
        <v>44777</v>
      </c>
      <c r="C4104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4" t="str">
        <f ca="1">IFERROR(__xludf.DUMMYFUNCTION("""COMPUTED_VALUE"""),"Новый")</f>
        <v>Новый</v>
      </c>
      <c r="G4104" s="68"/>
      <c r="K4104" s="68"/>
    </row>
    <row r="4105" spans="1:11" ht="12.75">
      <c r="A4105" s="69">
        <f ca="1">IFERROR(__xludf.DUMMYFUNCTION("""COMPUTED_VALUE"""),103245)</f>
        <v>103245</v>
      </c>
      <c r="B4105" s="4">
        <f ca="1">IFERROR(__xludf.DUMMYFUNCTION("""COMPUTED_VALUE"""),44777)</f>
        <v>44777</v>
      </c>
      <c r="C4105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5" t="str">
        <f ca="1">IFERROR(__xludf.DUMMYFUNCTION("""COMPUTED_VALUE"""),"Новый")</f>
        <v>Новый</v>
      </c>
      <c r="G4105" s="68"/>
      <c r="K4105" s="68"/>
    </row>
    <row r="4106" spans="1:11" ht="12.75">
      <c r="A4106" s="69">
        <f ca="1">IFERROR(__xludf.DUMMYFUNCTION("""COMPUTED_VALUE"""),103246)</f>
        <v>103246</v>
      </c>
      <c r="B4106" s="4">
        <f ca="1">IFERROR(__xludf.DUMMYFUNCTION("""COMPUTED_VALUE"""),44777)</f>
        <v>44777</v>
      </c>
      <c r="C4106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6" t="str">
        <f ca="1">IFERROR(__xludf.DUMMYFUNCTION("""COMPUTED_VALUE"""),"Новый")</f>
        <v>Новый</v>
      </c>
      <c r="G4106" s="68"/>
      <c r="K4106" s="68"/>
    </row>
    <row r="4107" spans="1:11" ht="12.75">
      <c r="A4107" s="69">
        <f ca="1">IFERROR(__xludf.DUMMYFUNCTION("""COMPUTED_VALUE"""),103247)</f>
        <v>103247</v>
      </c>
      <c r="B4107" s="4">
        <f ca="1">IFERROR(__xludf.DUMMYFUNCTION("""COMPUTED_VALUE"""),44777)</f>
        <v>44777</v>
      </c>
      <c r="C4107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7" t="str">
        <f ca="1">IFERROR(__xludf.DUMMYFUNCTION("""COMPUTED_VALUE"""),"Новый")</f>
        <v>Новый</v>
      </c>
      <c r="G4107" s="68"/>
      <c r="K4107" s="68"/>
    </row>
    <row r="4108" spans="1:11" ht="12.75">
      <c r="A4108" s="69">
        <f ca="1">IFERROR(__xludf.DUMMYFUNCTION("""COMPUTED_VALUE"""),103248)</f>
        <v>103248</v>
      </c>
      <c r="B4108" s="4">
        <f ca="1">IFERROR(__xludf.DUMMYFUNCTION("""COMPUTED_VALUE"""),44777)</f>
        <v>44777</v>
      </c>
      <c r="C4108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8" t="str">
        <f ca="1">IFERROR(__xludf.DUMMYFUNCTION("""COMPUTED_VALUE"""),"Новый")</f>
        <v>Новый</v>
      </c>
      <c r="G4108" s="68"/>
      <c r="K4108" s="68"/>
    </row>
    <row r="4109" spans="1:11" ht="12.75">
      <c r="A4109" s="69">
        <f ca="1">IFERROR(__xludf.DUMMYFUNCTION("""COMPUTED_VALUE"""),103249)</f>
        <v>103249</v>
      </c>
      <c r="B4109" s="4">
        <f ca="1">IFERROR(__xludf.DUMMYFUNCTION("""COMPUTED_VALUE"""),44777)</f>
        <v>44777</v>
      </c>
      <c r="C4109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09" t="str">
        <f ca="1">IFERROR(__xludf.DUMMYFUNCTION("""COMPUTED_VALUE"""),"Новый")</f>
        <v>Новый</v>
      </c>
      <c r="G4109" s="68"/>
      <c r="K4109" s="68"/>
    </row>
    <row r="4110" spans="1:11" ht="12.75">
      <c r="A4110" s="69">
        <f ca="1">IFERROR(__xludf.DUMMYFUNCTION("""COMPUTED_VALUE"""),103250)</f>
        <v>103250</v>
      </c>
      <c r="B4110" s="4">
        <f ca="1">IFERROR(__xludf.DUMMYFUNCTION("""COMPUTED_VALUE"""),44777)</f>
        <v>44777</v>
      </c>
      <c r="C4110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0" t="str">
        <f ca="1">IFERROR(__xludf.DUMMYFUNCTION("""COMPUTED_VALUE"""),"Новый")</f>
        <v>Новый</v>
      </c>
      <c r="G4110" s="68"/>
      <c r="K4110" s="68"/>
    </row>
    <row r="4111" spans="1:11" ht="12.75">
      <c r="A4111" s="69">
        <f ca="1">IFERROR(__xludf.DUMMYFUNCTION("""COMPUTED_VALUE"""),103251)</f>
        <v>103251</v>
      </c>
      <c r="B4111" s="4">
        <f ca="1">IFERROR(__xludf.DUMMYFUNCTION("""COMPUTED_VALUE"""),44777)</f>
        <v>44777</v>
      </c>
      <c r="C4111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1" t="str">
        <f ca="1">IFERROR(__xludf.DUMMYFUNCTION("""COMPUTED_VALUE"""),"Новый")</f>
        <v>Новый</v>
      </c>
      <c r="G4111" s="68"/>
      <c r="K4111" s="68"/>
    </row>
    <row r="4112" spans="1:11" ht="12.75">
      <c r="A4112" s="69">
        <f ca="1">IFERROR(__xludf.DUMMYFUNCTION("""COMPUTED_VALUE"""),103252)</f>
        <v>103252</v>
      </c>
      <c r="B4112" s="4">
        <f ca="1">IFERROR(__xludf.DUMMYFUNCTION("""COMPUTED_VALUE"""),44777)</f>
        <v>44777</v>
      </c>
      <c r="C4112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2" t="str">
        <f ca="1">IFERROR(__xludf.DUMMYFUNCTION("""COMPUTED_VALUE"""),"Новый")</f>
        <v>Новый</v>
      </c>
      <c r="G4112" s="68"/>
      <c r="K4112" s="68"/>
    </row>
    <row r="4113" spans="1:11" ht="12.75">
      <c r="A4113" s="69">
        <f ca="1">IFERROR(__xludf.DUMMYFUNCTION("""COMPUTED_VALUE"""),103253)</f>
        <v>103253</v>
      </c>
      <c r="B4113" s="4">
        <f ca="1">IFERROR(__xludf.DUMMYFUNCTION("""COMPUTED_VALUE"""),44777)</f>
        <v>44777</v>
      </c>
      <c r="C4113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3" t="str">
        <f ca="1">IFERROR(__xludf.DUMMYFUNCTION("""COMPUTED_VALUE"""),"Новый")</f>
        <v>Новый</v>
      </c>
      <c r="G4113" s="68"/>
      <c r="K4113" s="68"/>
    </row>
    <row r="4114" spans="1:11" ht="12.75">
      <c r="A4114" s="69">
        <f ca="1">IFERROR(__xludf.DUMMYFUNCTION("""COMPUTED_VALUE"""),103254)</f>
        <v>103254</v>
      </c>
      <c r="B4114" s="4">
        <f ca="1">IFERROR(__xludf.DUMMYFUNCTION("""COMPUTED_VALUE"""),44777)</f>
        <v>44777</v>
      </c>
      <c r="C4114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4" t="str">
        <f ca="1">IFERROR(__xludf.DUMMYFUNCTION("""COMPUTED_VALUE"""),"Новый")</f>
        <v>Новый</v>
      </c>
      <c r="G4114" s="68"/>
      <c r="K4114" s="68"/>
    </row>
    <row r="4115" spans="1:11" ht="12.75">
      <c r="A4115" s="69">
        <f ca="1">IFERROR(__xludf.DUMMYFUNCTION("""COMPUTED_VALUE"""),103255)</f>
        <v>103255</v>
      </c>
      <c r="B4115" s="4">
        <f ca="1">IFERROR(__xludf.DUMMYFUNCTION("""COMPUTED_VALUE"""),44777)</f>
        <v>44777</v>
      </c>
      <c r="C4115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5" t="str">
        <f ca="1">IFERROR(__xludf.DUMMYFUNCTION("""COMPUTED_VALUE"""),"Новый")</f>
        <v>Новый</v>
      </c>
      <c r="G4115" s="68"/>
      <c r="K4115" s="68"/>
    </row>
    <row r="4116" spans="1:11" ht="12.75">
      <c r="A4116" s="69">
        <f ca="1">IFERROR(__xludf.DUMMYFUNCTION("""COMPUTED_VALUE"""),103256)</f>
        <v>103256</v>
      </c>
      <c r="B4116" s="4">
        <f ca="1">IFERROR(__xludf.DUMMYFUNCTION("""COMPUTED_VALUE"""),44777)</f>
        <v>44777</v>
      </c>
      <c r="C4116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6" t="str">
        <f ca="1">IFERROR(__xludf.DUMMYFUNCTION("""COMPUTED_VALUE"""),"Новый")</f>
        <v>Новый</v>
      </c>
      <c r="G4116" s="68"/>
      <c r="K4116" s="68"/>
    </row>
    <row r="4117" spans="1:11" ht="12.75">
      <c r="A4117" s="69">
        <f ca="1">IFERROR(__xludf.DUMMYFUNCTION("""COMPUTED_VALUE"""),103257)</f>
        <v>103257</v>
      </c>
      <c r="B4117" s="4">
        <f ca="1">IFERROR(__xludf.DUMMYFUNCTION("""COMPUTED_VALUE"""),44777)</f>
        <v>44777</v>
      </c>
      <c r="C4117" t="str">
        <f ca="1">IFERROR(__xludf.DUMMYFUNCTION("""COMPUTED_VALUE"""),"ИП Студеникина Людмила Анатольевна 158-СТР от 01.08.2022")</f>
        <v>ИП Студеникина Людмила Анатольевна 158-СТР от 01.08.2022</v>
      </c>
      <c r="D41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7" t="str">
        <f ca="1">IFERROR(__xludf.DUMMYFUNCTION("""COMPUTED_VALUE"""),"Новый")</f>
        <v>Новый</v>
      </c>
      <c r="G4117" s="68"/>
      <c r="K4117" s="68"/>
    </row>
    <row r="4118" spans="1:11" ht="12.75">
      <c r="A4118" s="69">
        <f ca="1">IFERROR(__xludf.DUMMYFUNCTION("""COMPUTED_VALUE"""),103258)</f>
        <v>103258</v>
      </c>
      <c r="B4118" s="4">
        <f ca="1">IFERROR(__xludf.DUMMYFUNCTION("""COMPUTED_VALUE"""),44777)</f>
        <v>44777</v>
      </c>
      <c r="C4118" t="str">
        <f ca="1">IFERROR(__xludf.DUMMYFUNCTION("""COMPUTED_VALUE"""),"""Детская школа искусств №12"" г. Омска")</f>
        <v>"Детская школа искусств №12" г. Омска</v>
      </c>
      <c r="D41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8" t="str">
        <f ca="1">IFERROR(__xludf.DUMMYFUNCTION("""COMPUTED_VALUE"""),"Новый")</f>
        <v>Новый</v>
      </c>
      <c r="G4118" s="68"/>
      <c r="K4118" s="68"/>
    </row>
    <row r="4119" spans="1:11" ht="12.75">
      <c r="A4119" s="69">
        <f ca="1">IFERROR(__xludf.DUMMYFUNCTION("""COMPUTED_VALUE"""),103259)</f>
        <v>103259</v>
      </c>
      <c r="B4119" s="4">
        <f ca="1">IFERROR(__xludf.DUMMYFUNCTION("""COMPUTED_VALUE"""),44777)</f>
        <v>44777</v>
      </c>
      <c r="C4119" t="str">
        <f ca="1">IFERROR(__xludf.DUMMYFUNCTION("""COMPUTED_VALUE"""),"""Детская школа искусств №12"" г. Омска")</f>
        <v>"Детская школа искусств №12" г. Омска</v>
      </c>
      <c r="D41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19" t="str">
        <f ca="1">IFERROR(__xludf.DUMMYFUNCTION("""COMPUTED_VALUE"""),"Новый")</f>
        <v>Новый</v>
      </c>
      <c r="G4119" s="68"/>
      <c r="K4119" s="68"/>
    </row>
    <row r="4120" spans="1:11" ht="12.75">
      <c r="A4120" s="69">
        <f ca="1">IFERROR(__xludf.DUMMYFUNCTION("""COMPUTED_VALUE"""),103300)</f>
        <v>103300</v>
      </c>
      <c r="B4120" s="4">
        <f ca="1">IFERROR(__xludf.DUMMYFUNCTION("""COMPUTED_VALUE"""),44778)</f>
        <v>44778</v>
      </c>
      <c r="C4120" t="str">
        <f ca="1">IFERROR(__xludf.DUMMYFUNCTION("""COMPUTED_VALUE"""),"БУ Г. ОМСКА ""УДХБ"" 197-РДО от 01.07.2022")</f>
        <v>БУ Г. ОМСКА "УДХБ" 197-РДО от 01.07.2022</v>
      </c>
      <c r="D41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0" t="str">
        <f ca="1">IFERROR(__xludf.DUMMYFUNCTION("""COMPUTED_VALUE"""),"Новый")</f>
        <v>Новый</v>
      </c>
      <c r="G4120" s="68"/>
      <c r="K4120" s="68"/>
    </row>
    <row r="4121" spans="1:11" ht="12.75">
      <c r="A4121" s="69">
        <f ca="1">IFERROR(__xludf.DUMMYFUNCTION("""COMPUTED_VALUE"""),103301)</f>
        <v>103301</v>
      </c>
      <c r="B4121" s="4">
        <f ca="1">IFERROR(__xludf.DUMMYFUNCTION("""COMPUTED_VALUE"""),44778)</f>
        <v>44778</v>
      </c>
      <c r="C4121" t="str">
        <f ca="1">IFERROR(__xludf.DUMMYFUNCTION("""COMPUTED_VALUE"""),"БУ Г. ОМСКА ""УДХБ"" 197-РДО от 01.07.2022")</f>
        <v>БУ Г. ОМСКА "УДХБ" 197-РДО от 01.07.2022</v>
      </c>
      <c r="D41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1" t="str">
        <f ca="1">IFERROR(__xludf.DUMMYFUNCTION("""COMPUTED_VALUE"""),"Новый")</f>
        <v>Новый</v>
      </c>
      <c r="G4121" s="68"/>
      <c r="K4121" s="68"/>
    </row>
    <row r="4122" spans="1:11" ht="12.75">
      <c r="A4122" s="69">
        <f ca="1">IFERROR(__xludf.DUMMYFUNCTION("""COMPUTED_VALUE"""),103302)</f>
        <v>103302</v>
      </c>
      <c r="B4122" s="4">
        <f ca="1">IFERROR(__xludf.DUMMYFUNCTION("""COMPUTED_VALUE"""),44778)</f>
        <v>44778</v>
      </c>
      <c r="C4122" t="str">
        <f ca="1">IFERROR(__xludf.DUMMYFUNCTION("""COMPUTED_VALUE"""),"БУ Г. ОМСКА ""УДХБ"" 197-РДО от 01.07.2022")</f>
        <v>БУ Г. ОМСКА "УДХБ" 197-РДО от 01.07.2022</v>
      </c>
      <c r="D41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2" t="str">
        <f ca="1">IFERROR(__xludf.DUMMYFUNCTION("""COMPUTED_VALUE"""),"Новый")</f>
        <v>Новый</v>
      </c>
      <c r="G4122" s="68"/>
      <c r="K4122" s="68"/>
    </row>
    <row r="4123" spans="1:11" ht="12.75">
      <c r="A4123" s="69">
        <f ca="1">IFERROR(__xludf.DUMMYFUNCTION("""COMPUTED_VALUE"""),103303)</f>
        <v>103303</v>
      </c>
      <c r="B4123" s="4">
        <f ca="1">IFERROR(__xludf.DUMMYFUNCTION("""COMPUTED_VALUE"""),44778)</f>
        <v>44778</v>
      </c>
      <c r="C4123" t="str">
        <f ca="1">IFERROR(__xludf.DUMMYFUNCTION("""COMPUTED_VALUE"""),"БУ Г. ОМСКА ""УДХБ"" 197-РДО от 01.07.2022")</f>
        <v>БУ Г. ОМСКА "УДХБ" 197-РДО от 01.07.2022</v>
      </c>
      <c r="D41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3" t="str">
        <f ca="1">IFERROR(__xludf.DUMMYFUNCTION("""COMPUTED_VALUE"""),"Новый")</f>
        <v>Новый</v>
      </c>
      <c r="G4123" s="68"/>
      <c r="K4123" s="68"/>
    </row>
    <row r="4124" spans="1:11" ht="12.75">
      <c r="A4124" s="69">
        <f ca="1">IFERROR(__xludf.DUMMYFUNCTION("""COMPUTED_VALUE"""),103304)</f>
        <v>103304</v>
      </c>
      <c r="B4124" s="4">
        <f ca="1">IFERROR(__xludf.DUMMYFUNCTION("""COMPUTED_VALUE"""),44778)</f>
        <v>44778</v>
      </c>
      <c r="C4124" t="str">
        <f ca="1">IFERROR(__xludf.DUMMYFUNCTION("""COMPUTED_VALUE"""),"БУ Г. ОМСКА ""УДХБ"" 197-РДО от 01.07.2022")</f>
        <v>БУ Г. ОМСКА "УДХБ" 197-РДО от 01.07.2022</v>
      </c>
      <c r="D41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4" t="str">
        <f ca="1">IFERROR(__xludf.DUMMYFUNCTION("""COMPUTED_VALUE"""),"Новый")</f>
        <v>Новый</v>
      </c>
      <c r="G4124" s="68"/>
      <c r="K4124" s="68"/>
    </row>
    <row r="4125" spans="1:11" ht="12.75">
      <c r="A4125" s="69">
        <f ca="1">IFERROR(__xludf.DUMMYFUNCTION("""COMPUTED_VALUE"""),103305)</f>
        <v>103305</v>
      </c>
      <c r="B4125" s="4">
        <f ca="1">IFERROR(__xludf.DUMMYFUNCTION("""COMPUTED_VALUE"""),44778)</f>
        <v>44778</v>
      </c>
      <c r="C4125" t="str">
        <f ca="1">IFERROR(__xludf.DUMMYFUNCTION("""COMPUTED_VALUE"""),"БУ Г. ОМСКА ""УДХБ"" 197-РДО от 01.07.2022")</f>
        <v>БУ Г. ОМСКА "УДХБ" 197-РДО от 01.07.2022</v>
      </c>
      <c r="D41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5" t="str">
        <f ca="1">IFERROR(__xludf.DUMMYFUNCTION("""COMPUTED_VALUE"""),"Новый")</f>
        <v>Новый</v>
      </c>
      <c r="G4125" s="68"/>
      <c r="K4125" s="68"/>
    </row>
    <row r="4126" spans="1:11" ht="12.75">
      <c r="A4126" s="69">
        <f ca="1">IFERROR(__xludf.DUMMYFUNCTION("""COMPUTED_VALUE"""),103306)</f>
        <v>103306</v>
      </c>
      <c r="B4126" s="4">
        <f ca="1">IFERROR(__xludf.DUMMYFUNCTION("""COMPUTED_VALUE"""),44778)</f>
        <v>44778</v>
      </c>
      <c r="C4126" t="str">
        <f ca="1">IFERROR(__xludf.DUMMYFUNCTION("""COMPUTED_VALUE"""),"БУ Г. ОМСКА ""УДХБ"" 197-РДО от 01.07.2022")</f>
        <v>БУ Г. ОМСКА "УДХБ" 197-РДО от 01.07.2022</v>
      </c>
      <c r="D41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6" t="str">
        <f ca="1">IFERROR(__xludf.DUMMYFUNCTION("""COMPUTED_VALUE"""),"Новый")</f>
        <v>Новый</v>
      </c>
      <c r="G4126" s="68"/>
      <c r="K4126" s="68"/>
    </row>
    <row r="4127" spans="1:11" ht="12.75">
      <c r="A4127" s="69">
        <f ca="1">IFERROR(__xludf.DUMMYFUNCTION("""COMPUTED_VALUE"""),103307)</f>
        <v>103307</v>
      </c>
      <c r="B4127" s="4">
        <f ca="1">IFERROR(__xludf.DUMMYFUNCTION("""COMPUTED_VALUE"""),44778)</f>
        <v>44778</v>
      </c>
      <c r="C4127" t="str">
        <f ca="1">IFERROR(__xludf.DUMMYFUNCTION("""COMPUTED_VALUE"""),"БУ Г. ОМСКА ""УДХБ"" 197-РДО от 01.07.2022")</f>
        <v>БУ Г. ОМСКА "УДХБ" 197-РДО от 01.07.2022</v>
      </c>
      <c r="D41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7" t="str">
        <f ca="1">IFERROR(__xludf.DUMMYFUNCTION("""COMPUTED_VALUE"""),"Новый")</f>
        <v>Новый</v>
      </c>
      <c r="G4127" s="68"/>
      <c r="K4127" s="68"/>
    </row>
    <row r="4128" spans="1:11" ht="12.75">
      <c r="A4128" s="69">
        <f ca="1">IFERROR(__xludf.DUMMYFUNCTION("""COMPUTED_VALUE"""),103308)</f>
        <v>103308</v>
      </c>
      <c r="B4128" s="4">
        <f ca="1">IFERROR(__xludf.DUMMYFUNCTION("""COMPUTED_VALUE"""),44778)</f>
        <v>44778</v>
      </c>
      <c r="C4128" t="str">
        <f ca="1">IFERROR(__xludf.DUMMYFUNCTION("""COMPUTED_VALUE"""),"БУ Г. ОМСКА ""УДХБ"" 197-РДО от 01.07.2022")</f>
        <v>БУ Г. ОМСКА "УДХБ" 197-РДО от 01.07.2022</v>
      </c>
      <c r="D41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8" t="str">
        <f ca="1">IFERROR(__xludf.DUMMYFUNCTION("""COMPUTED_VALUE"""),"Новый")</f>
        <v>Новый</v>
      </c>
      <c r="G4128" s="68"/>
      <c r="K4128" s="68"/>
    </row>
    <row r="4129" spans="1:11" ht="12.75">
      <c r="A4129" s="69">
        <f ca="1">IFERROR(__xludf.DUMMYFUNCTION("""COMPUTED_VALUE"""),103309)</f>
        <v>103309</v>
      </c>
      <c r="B4129" s="4">
        <f ca="1">IFERROR(__xludf.DUMMYFUNCTION("""COMPUTED_VALUE"""),44778)</f>
        <v>44778</v>
      </c>
      <c r="C4129" t="str">
        <f ca="1">IFERROR(__xludf.DUMMYFUNCTION("""COMPUTED_VALUE"""),"БУ Г. ОМСКА ""УДХБ"" 197-РДО от 01.07.2022")</f>
        <v>БУ Г. ОМСКА "УДХБ" 197-РДО от 01.07.2022</v>
      </c>
      <c r="D41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29" t="str">
        <f ca="1">IFERROR(__xludf.DUMMYFUNCTION("""COMPUTED_VALUE"""),"Новый")</f>
        <v>Новый</v>
      </c>
      <c r="G4129" s="68"/>
      <c r="K4129" s="68"/>
    </row>
    <row r="4130" spans="1:11" ht="12.75">
      <c r="A4130" s="69">
        <f ca="1">IFERROR(__xludf.DUMMYFUNCTION("""COMPUTED_VALUE"""),103310)</f>
        <v>103310</v>
      </c>
      <c r="B4130" s="4">
        <f ca="1">IFERROR(__xludf.DUMMYFUNCTION("""COMPUTED_VALUE"""),44778)</f>
        <v>44778</v>
      </c>
      <c r="C4130" t="str">
        <f ca="1">IFERROR(__xludf.DUMMYFUNCTION("""COMPUTED_VALUE"""),"БУ Г. ОМСКА ""УДХБ"" 197-РДО от 01.07.2022")</f>
        <v>БУ Г. ОМСКА "УДХБ" 197-РДО от 01.07.2022</v>
      </c>
      <c r="D41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0" t="str">
        <f ca="1">IFERROR(__xludf.DUMMYFUNCTION("""COMPUTED_VALUE"""),"Новый")</f>
        <v>Новый</v>
      </c>
      <c r="G4130" s="68"/>
      <c r="K4130" s="68"/>
    </row>
    <row r="4131" spans="1:11" ht="12.75">
      <c r="A4131" s="69">
        <f ca="1">IFERROR(__xludf.DUMMYFUNCTION("""COMPUTED_VALUE"""),103311)</f>
        <v>103311</v>
      </c>
      <c r="B4131" s="4">
        <f ca="1">IFERROR(__xludf.DUMMYFUNCTION("""COMPUTED_VALUE"""),44778)</f>
        <v>44778</v>
      </c>
      <c r="C4131" t="str">
        <f ca="1">IFERROR(__xludf.DUMMYFUNCTION("""COMPUTED_VALUE"""),"БУ Г. ОМСКА ""УДХБ"" 197-РДО от 01.07.2022")</f>
        <v>БУ Г. ОМСКА "УДХБ" 197-РДО от 01.07.2022</v>
      </c>
      <c r="D41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1" t="str">
        <f ca="1">IFERROR(__xludf.DUMMYFUNCTION("""COMPUTED_VALUE"""),"Новый")</f>
        <v>Новый</v>
      </c>
      <c r="G4131" s="68"/>
      <c r="K4131" s="68"/>
    </row>
    <row r="4132" spans="1:11" ht="12.75">
      <c r="A4132" s="69">
        <f ca="1">IFERROR(__xludf.DUMMYFUNCTION("""COMPUTED_VALUE"""),103312)</f>
        <v>103312</v>
      </c>
      <c r="B4132" s="4">
        <f ca="1">IFERROR(__xludf.DUMMYFUNCTION("""COMPUTED_VALUE"""),44778)</f>
        <v>44778</v>
      </c>
      <c r="C4132" t="str">
        <f ca="1">IFERROR(__xludf.DUMMYFUNCTION("""COMPUTED_VALUE"""),"БУ Г. ОМСКА ""УДХБ"" 197-РДО от 01.07.2022")</f>
        <v>БУ Г. ОМСКА "УДХБ" 197-РДО от 01.07.2022</v>
      </c>
      <c r="D41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2" t="str">
        <f ca="1">IFERROR(__xludf.DUMMYFUNCTION("""COMPUTED_VALUE"""),"Новый")</f>
        <v>Новый</v>
      </c>
      <c r="G4132" s="68"/>
      <c r="K4132" s="68"/>
    </row>
    <row r="4133" spans="1:11" ht="12.75">
      <c r="A4133" s="69">
        <f ca="1">IFERROR(__xludf.DUMMYFUNCTION("""COMPUTED_VALUE"""),103313)</f>
        <v>103313</v>
      </c>
      <c r="B4133" s="4">
        <f ca="1">IFERROR(__xludf.DUMMYFUNCTION("""COMPUTED_VALUE"""),44778)</f>
        <v>44778</v>
      </c>
      <c r="C4133" t="str">
        <f ca="1">IFERROR(__xludf.DUMMYFUNCTION("""COMPUTED_VALUE"""),"БУ Г. ОМСКА ""УДХБ"" 197-РДО от 01.07.2022")</f>
        <v>БУ Г. ОМСКА "УДХБ" 197-РДО от 01.07.2022</v>
      </c>
      <c r="D41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3" t="str">
        <f ca="1">IFERROR(__xludf.DUMMYFUNCTION("""COMPUTED_VALUE"""),"Новый")</f>
        <v>Новый</v>
      </c>
      <c r="G4133" s="68"/>
      <c r="K4133" s="68"/>
    </row>
    <row r="4134" spans="1:11" ht="12.75">
      <c r="A4134" s="69">
        <f ca="1">IFERROR(__xludf.DUMMYFUNCTION("""COMPUTED_VALUE"""),103314)</f>
        <v>103314</v>
      </c>
      <c r="B4134" s="4">
        <f ca="1">IFERROR(__xludf.DUMMYFUNCTION("""COMPUTED_VALUE"""),44778)</f>
        <v>44778</v>
      </c>
      <c r="C4134" t="str">
        <f ca="1">IFERROR(__xludf.DUMMYFUNCTION("""COMPUTED_VALUE"""),"БУ Г. ОМСКА ""УДХБ"" 197-РДО от 01.07.2022")</f>
        <v>БУ Г. ОМСКА "УДХБ" 197-РДО от 01.07.2022</v>
      </c>
      <c r="D41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4" t="str">
        <f ca="1">IFERROR(__xludf.DUMMYFUNCTION("""COMPUTED_VALUE"""),"Новый")</f>
        <v>Новый</v>
      </c>
      <c r="G4134" s="68"/>
      <c r="K4134" s="68"/>
    </row>
    <row r="4135" spans="1:11" ht="12.75">
      <c r="A4135" s="69">
        <f ca="1">IFERROR(__xludf.DUMMYFUNCTION("""COMPUTED_VALUE"""),103315)</f>
        <v>103315</v>
      </c>
      <c r="B4135" s="4">
        <f ca="1">IFERROR(__xludf.DUMMYFUNCTION("""COMPUTED_VALUE"""),44778)</f>
        <v>44778</v>
      </c>
      <c r="C4135" t="str">
        <f ca="1">IFERROR(__xludf.DUMMYFUNCTION("""COMPUTED_VALUE"""),"БУ Г. ОМСКА ""УДХБ"" 197-РДО от 01.07.2022")</f>
        <v>БУ Г. ОМСКА "УДХБ" 197-РДО от 01.07.2022</v>
      </c>
      <c r="D41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5" t="str">
        <f ca="1">IFERROR(__xludf.DUMMYFUNCTION("""COMPUTED_VALUE"""),"Новый")</f>
        <v>Новый</v>
      </c>
      <c r="G4135" s="68"/>
      <c r="K4135" s="68"/>
    </row>
    <row r="4136" spans="1:11" ht="12.75">
      <c r="A4136" s="69">
        <f ca="1">IFERROR(__xludf.DUMMYFUNCTION("""COMPUTED_VALUE"""),103316)</f>
        <v>103316</v>
      </c>
      <c r="B4136" s="4">
        <f ca="1">IFERROR(__xludf.DUMMYFUNCTION("""COMPUTED_VALUE"""),44778)</f>
        <v>44778</v>
      </c>
      <c r="C4136" t="str">
        <f ca="1">IFERROR(__xludf.DUMMYFUNCTION("""COMPUTED_VALUE"""),"БУ Г. ОМСКА ""УДХБ"" 197-РДО от 01.07.2022")</f>
        <v>БУ Г. ОМСКА "УДХБ" 197-РДО от 01.07.2022</v>
      </c>
      <c r="D41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6" t="str">
        <f ca="1">IFERROR(__xludf.DUMMYFUNCTION("""COMPUTED_VALUE"""),"Новый")</f>
        <v>Новый</v>
      </c>
      <c r="G4136" s="68"/>
      <c r="K4136" s="68"/>
    </row>
    <row r="4137" spans="1:11" ht="12.75">
      <c r="A4137" s="69">
        <f ca="1">IFERROR(__xludf.DUMMYFUNCTION("""COMPUTED_VALUE"""),103317)</f>
        <v>103317</v>
      </c>
      <c r="B4137" s="4">
        <f ca="1">IFERROR(__xludf.DUMMYFUNCTION("""COMPUTED_VALUE"""),44778)</f>
        <v>44778</v>
      </c>
      <c r="C4137" t="str">
        <f ca="1">IFERROR(__xludf.DUMMYFUNCTION("""COMPUTED_VALUE"""),"БУ Г. ОМСКА ""УДХБ"" 197-РДО от 01.07.2022")</f>
        <v>БУ Г. ОМСКА "УДХБ" 197-РДО от 01.07.2022</v>
      </c>
      <c r="D41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7" t="str">
        <f ca="1">IFERROR(__xludf.DUMMYFUNCTION("""COMPUTED_VALUE"""),"Новый")</f>
        <v>Новый</v>
      </c>
      <c r="G4137" s="68"/>
      <c r="K4137" s="68"/>
    </row>
    <row r="4138" spans="1:11" ht="12.75">
      <c r="A4138" s="69">
        <f ca="1">IFERROR(__xludf.DUMMYFUNCTION("""COMPUTED_VALUE"""),103318)</f>
        <v>103318</v>
      </c>
      <c r="B4138" s="4">
        <f ca="1">IFERROR(__xludf.DUMMYFUNCTION("""COMPUTED_VALUE"""),44778)</f>
        <v>44778</v>
      </c>
      <c r="C4138" t="str">
        <f ca="1">IFERROR(__xludf.DUMMYFUNCTION("""COMPUTED_VALUE"""),"БУ Г. ОМСКА ""УДХБ"" 197-РДО от 01.07.2022")</f>
        <v>БУ Г. ОМСКА "УДХБ" 197-РДО от 01.07.2022</v>
      </c>
      <c r="D41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8" t="str">
        <f ca="1">IFERROR(__xludf.DUMMYFUNCTION("""COMPUTED_VALUE"""),"Новый")</f>
        <v>Новый</v>
      </c>
      <c r="G4138" s="68"/>
      <c r="K4138" s="68"/>
    </row>
    <row r="4139" spans="1:11" ht="12.75">
      <c r="A4139" s="69">
        <f ca="1">IFERROR(__xludf.DUMMYFUNCTION("""COMPUTED_VALUE"""),103319)</f>
        <v>103319</v>
      </c>
      <c r="B4139" s="4">
        <f ca="1">IFERROR(__xludf.DUMMYFUNCTION("""COMPUTED_VALUE"""),44778)</f>
        <v>44778</v>
      </c>
      <c r="C4139" t="str">
        <f ca="1">IFERROR(__xludf.DUMMYFUNCTION("""COMPUTED_VALUE"""),"БУ Г. ОМСКА ""УДХБ"" 197-РДО от 01.07.2022")</f>
        <v>БУ Г. ОМСКА "УДХБ" 197-РДО от 01.07.2022</v>
      </c>
      <c r="D41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39" t="str">
        <f ca="1">IFERROR(__xludf.DUMMYFUNCTION("""COMPUTED_VALUE"""),"Новый")</f>
        <v>Новый</v>
      </c>
      <c r="G4139" s="68"/>
      <c r="K4139" s="68"/>
    </row>
    <row r="4140" spans="1:11" ht="12.75">
      <c r="A4140" s="69">
        <f ca="1">IFERROR(__xludf.DUMMYFUNCTION("""COMPUTED_VALUE"""),103330)</f>
        <v>103330</v>
      </c>
      <c r="B4140" s="4"/>
      <c r="C4140" t="str">
        <f ca="1">IFERROR(__xludf.DUMMYFUNCTION("""COMPUTED_VALUE"""),"БУ Г. ОМСКА ""УДХБ"" 197-РДО от 01.07.2022")</f>
        <v>БУ Г. ОМСКА "УДХБ" 197-РДО от 01.07.2022</v>
      </c>
      <c r="D41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0" t="str">
        <f ca="1">IFERROR(__xludf.DUMMYFUNCTION("""COMPUTED_VALUE"""),"Новый")</f>
        <v>Новый</v>
      </c>
      <c r="G4140" s="68"/>
      <c r="K4140" s="68"/>
    </row>
    <row r="4141" spans="1:11" ht="12.75">
      <c r="A4141" s="69">
        <f ca="1">IFERROR(__xludf.DUMMYFUNCTION("""COMPUTED_VALUE"""),103334)</f>
        <v>103334</v>
      </c>
      <c r="B4141" s="4"/>
      <c r="C4141" t="str">
        <f ca="1">IFERROR(__xludf.DUMMYFUNCTION("""COMPUTED_VALUE"""),"БУ Г. ОМСКА ""УДХБ"" 197-РДО от 01.07.2022")</f>
        <v>БУ Г. ОМСКА "УДХБ" 197-РДО от 01.07.2022</v>
      </c>
      <c r="D41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1" t="str">
        <f ca="1">IFERROR(__xludf.DUMMYFUNCTION("""COMPUTED_VALUE"""),"Новый")</f>
        <v>Новый</v>
      </c>
      <c r="G4141" s="68"/>
      <c r="K4141" s="68"/>
    </row>
    <row r="4142" spans="1:11" ht="12.75">
      <c r="A4142" s="69">
        <f ca="1">IFERROR(__xludf.DUMMYFUNCTION("""COMPUTED_VALUE"""),103335)</f>
        <v>103335</v>
      </c>
      <c r="B4142" s="4"/>
      <c r="C4142" t="str">
        <f ca="1">IFERROR(__xludf.DUMMYFUNCTION("""COMPUTED_VALUE"""),"БУ Г. ОМСКА ""УДХБ"" 197-РДО от 01.07.2022")</f>
        <v>БУ Г. ОМСКА "УДХБ" 197-РДО от 01.07.2022</v>
      </c>
      <c r="D41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2" t="str">
        <f ca="1">IFERROR(__xludf.DUMMYFUNCTION("""COMPUTED_VALUE"""),"Новый")</f>
        <v>Новый</v>
      </c>
      <c r="G4142" s="68"/>
      <c r="K4142" s="68"/>
    </row>
    <row r="4143" spans="1:11" ht="12.75">
      <c r="A4143" s="69">
        <f ca="1">IFERROR(__xludf.DUMMYFUNCTION("""COMPUTED_VALUE"""),103356)</f>
        <v>103356</v>
      </c>
      <c r="B4143" s="4">
        <f ca="1">IFERROR(__xludf.DUMMYFUNCTION("""COMPUTED_VALUE"""),44778)</f>
        <v>44778</v>
      </c>
      <c r="C4143" t="str">
        <f ca="1">IFERROR(__xludf.DUMMYFUNCTION("""COMPUTED_VALUE"""),"БУ Г. ОМСКА ""УДХБ"" 197-РДО от 01.07.2022")</f>
        <v>БУ Г. ОМСКА "УДХБ" 197-РДО от 01.07.2022</v>
      </c>
      <c r="D41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3" t="str">
        <f ca="1">IFERROR(__xludf.DUMMYFUNCTION("""COMPUTED_VALUE"""),"Новый")</f>
        <v>Новый</v>
      </c>
      <c r="G4143" s="68"/>
      <c r="K4143" s="68"/>
    </row>
    <row r="4144" spans="1:11" ht="12.75">
      <c r="A4144" s="69">
        <f ca="1">IFERROR(__xludf.DUMMYFUNCTION("""COMPUTED_VALUE"""),103357)</f>
        <v>103357</v>
      </c>
      <c r="B4144" s="4">
        <f ca="1">IFERROR(__xludf.DUMMYFUNCTION("""COMPUTED_VALUE"""),44778)</f>
        <v>44778</v>
      </c>
      <c r="C4144" t="str">
        <f ca="1">IFERROR(__xludf.DUMMYFUNCTION("""COMPUTED_VALUE"""),"БУ Г. ОМСКА ""УДХБ"" 197-РДО от 01.07.2022")</f>
        <v>БУ Г. ОМСКА "УДХБ" 197-РДО от 01.07.2022</v>
      </c>
      <c r="D41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4" t="str">
        <f ca="1">IFERROR(__xludf.DUMMYFUNCTION("""COMPUTED_VALUE"""),"Новый")</f>
        <v>Новый</v>
      </c>
      <c r="G4144" s="68"/>
      <c r="K4144" s="68"/>
    </row>
    <row r="4145" spans="1:11" ht="12.75">
      <c r="A4145" s="69">
        <f ca="1">IFERROR(__xludf.DUMMYFUNCTION("""COMPUTED_VALUE"""),103358)</f>
        <v>103358</v>
      </c>
      <c r="B4145" s="4">
        <f ca="1">IFERROR(__xludf.DUMMYFUNCTION("""COMPUTED_VALUE"""),44778)</f>
        <v>44778</v>
      </c>
      <c r="C4145" t="str">
        <f ca="1">IFERROR(__xludf.DUMMYFUNCTION("""COMPUTED_VALUE"""),"БУ Г. ОМСКА ""УДХБ"" 197-РДО от 01.07.2022")</f>
        <v>БУ Г. ОМСКА "УДХБ" 197-РДО от 01.07.2022</v>
      </c>
      <c r="D41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5" t="str">
        <f ca="1">IFERROR(__xludf.DUMMYFUNCTION("""COMPUTED_VALUE"""),"Новый")</f>
        <v>Новый</v>
      </c>
      <c r="G4145" s="68"/>
      <c r="K4145" s="68"/>
    </row>
    <row r="4146" spans="1:11" ht="12.75">
      <c r="A4146" s="69">
        <f ca="1">IFERROR(__xludf.DUMMYFUNCTION("""COMPUTED_VALUE"""),103359)</f>
        <v>103359</v>
      </c>
      <c r="B4146" s="4">
        <f ca="1">IFERROR(__xludf.DUMMYFUNCTION("""COMPUTED_VALUE"""),44778)</f>
        <v>44778</v>
      </c>
      <c r="C4146" t="str">
        <f ca="1">IFERROR(__xludf.DUMMYFUNCTION("""COMPUTED_VALUE"""),"БУ Г. ОМСКА ""УДХБ"" 197-РДО от 01.07.2022")</f>
        <v>БУ Г. ОМСКА "УДХБ" 197-РДО от 01.07.2022</v>
      </c>
      <c r="D41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6" t="str">
        <f ca="1">IFERROR(__xludf.DUMMYFUNCTION("""COMPUTED_VALUE"""),"Новый")</f>
        <v>Новый</v>
      </c>
      <c r="G4146" s="68"/>
      <c r="K4146" s="68"/>
    </row>
    <row r="4147" spans="1:11" ht="12.75">
      <c r="A4147" s="69">
        <f ca="1">IFERROR(__xludf.DUMMYFUNCTION("""COMPUTED_VALUE"""),103360)</f>
        <v>103360</v>
      </c>
      <c r="B4147" s="4">
        <f ca="1">IFERROR(__xludf.DUMMYFUNCTION("""COMPUTED_VALUE"""),44778)</f>
        <v>44778</v>
      </c>
      <c r="C4147" t="str">
        <f ca="1">IFERROR(__xludf.DUMMYFUNCTION("""COMPUTED_VALUE"""),"БУ Г. ОМСКА ""УДХБ"" 197-РДО от 01.07.2022")</f>
        <v>БУ Г. ОМСКА "УДХБ" 197-РДО от 01.07.2022</v>
      </c>
      <c r="D41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7" t="str">
        <f ca="1">IFERROR(__xludf.DUMMYFUNCTION("""COMPUTED_VALUE"""),"Новый")</f>
        <v>Новый</v>
      </c>
      <c r="G4147" s="68"/>
      <c r="K4147" s="68"/>
    </row>
    <row r="4148" spans="1:11" ht="12.75">
      <c r="A4148" s="69">
        <f ca="1">IFERROR(__xludf.DUMMYFUNCTION("""COMPUTED_VALUE"""),103361)</f>
        <v>103361</v>
      </c>
      <c r="B4148" s="4">
        <f ca="1">IFERROR(__xludf.DUMMYFUNCTION("""COMPUTED_VALUE"""),44778)</f>
        <v>44778</v>
      </c>
      <c r="C4148" t="str">
        <f ca="1">IFERROR(__xludf.DUMMYFUNCTION("""COMPUTED_VALUE"""),"БУ Г. ОМСКА ""УДХБ"" 197-РДО от 01.07.2022")</f>
        <v>БУ Г. ОМСКА "УДХБ" 197-РДО от 01.07.2022</v>
      </c>
      <c r="D41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8" t="str">
        <f ca="1">IFERROR(__xludf.DUMMYFUNCTION("""COMPUTED_VALUE"""),"Новый")</f>
        <v>Новый</v>
      </c>
      <c r="G4148" s="68"/>
      <c r="K4148" s="68"/>
    </row>
    <row r="4149" spans="1:11" ht="12.75">
      <c r="A4149" s="69">
        <f ca="1">IFERROR(__xludf.DUMMYFUNCTION("""COMPUTED_VALUE"""),103402)</f>
        <v>103402</v>
      </c>
      <c r="B4149" s="4">
        <f ca="1">IFERROR(__xludf.DUMMYFUNCTION("""COMPUTED_VALUE"""),44778)</f>
        <v>44778</v>
      </c>
      <c r="C4149" t="str">
        <f ca="1">IFERROR(__xludf.DUMMYFUNCTION("""COMPUTED_VALUE"""),"БУ Г. ОМСКА ""УДХБ"" 197-РДО от 01.07.2022")</f>
        <v>БУ Г. ОМСКА "УДХБ" 197-РДО от 01.07.2022</v>
      </c>
      <c r="D41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49" t="str">
        <f ca="1">IFERROR(__xludf.DUMMYFUNCTION("""COMPUTED_VALUE"""),"Новый")</f>
        <v>Новый</v>
      </c>
      <c r="G4149" s="68"/>
      <c r="K4149" s="68"/>
    </row>
    <row r="4150" spans="1:11" ht="12.75">
      <c r="A4150" s="69">
        <f ca="1">IFERROR(__xludf.DUMMYFUNCTION("""COMPUTED_VALUE"""),103406)</f>
        <v>103406</v>
      </c>
      <c r="B4150" s="4">
        <f ca="1">IFERROR(__xludf.DUMMYFUNCTION("""COMPUTED_VALUE"""),44778)</f>
        <v>44778</v>
      </c>
      <c r="C4150" t="str">
        <f ca="1">IFERROR(__xludf.DUMMYFUNCTION("""COMPUTED_VALUE"""),"БУ Г. ОМСКА ""УДХБ"" 197-РДО от 01.07.2022")</f>
        <v>БУ Г. ОМСКА "УДХБ" 197-РДО от 01.07.2022</v>
      </c>
      <c r="D41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0" t="str">
        <f ca="1">IFERROR(__xludf.DUMMYFUNCTION("""COMPUTED_VALUE"""),"Новый")</f>
        <v>Новый</v>
      </c>
      <c r="G4150" s="68"/>
      <c r="K4150" s="68"/>
    </row>
    <row r="4151" spans="1:11" ht="12.75">
      <c r="A4151" s="69">
        <f ca="1">IFERROR(__xludf.DUMMYFUNCTION("""COMPUTED_VALUE"""),103409)</f>
        <v>103409</v>
      </c>
      <c r="B4151" s="4">
        <f ca="1">IFERROR(__xludf.DUMMYFUNCTION("""COMPUTED_VALUE"""),44778)</f>
        <v>44778</v>
      </c>
      <c r="C4151" t="str">
        <f ca="1">IFERROR(__xludf.DUMMYFUNCTION("""COMPUTED_VALUE"""),"БУ Г. ОМСКА ""УДХБ"" 197-РДО от 01.07.2022")</f>
        <v>БУ Г. ОМСКА "УДХБ" 197-РДО от 01.07.2022</v>
      </c>
      <c r="D41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1" t="str">
        <f ca="1">IFERROR(__xludf.DUMMYFUNCTION("""COMPUTED_VALUE"""),"Новый")</f>
        <v>Новый</v>
      </c>
      <c r="G4151" s="68"/>
      <c r="K4151" s="68"/>
    </row>
    <row r="4152" spans="1:11" ht="12.75">
      <c r="A4152" s="69">
        <f ca="1">IFERROR(__xludf.DUMMYFUNCTION("""COMPUTED_VALUE"""),103410)</f>
        <v>103410</v>
      </c>
      <c r="B4152" s="4">
        <f ca="1">IFERROR(__xludf.DUMMYFUNCTION("""COMPUTED_VALUE"""),44778)</f>
        <v>44778</v>
      </c>
      <c r="C4152" t="str">
        <f ca="1">IFERROR(__xludf.DUMMYFUNCTION("""COMPUTED_VALUE"""),"БУ Г. ОМСКА ""УДХБ"" 197-РДО от 01.07.2022")</f>
        <v>БУ Г. ОМСКА "УДХБ" 197-РДО от 01.07.2022</v>
      </c>
      <c r="D41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2" t="str">
        <f ca="1">IFERROR(__xludf.DUMMYFUNCTION("""COMPUTED_VALUE"""),"Новый")</f>
        <v>Новый</v>
      </c>
      <c r="G4152" s="68"/>
      <c r="K4152" s="68"/>
    </row>
    <row r="4153" spans="1:11" ht="12.75">
      <c r="A4153" s="69">
        <f ca="1">IFERROR(__xludf.DUMMYFUNCTION("""COMPUTED_VALUE"""),103411)</f>
        <v>103411</v>
      </c>
      <c r="B4153" s="4">
        <f ca="1">IFERROR(__xludf.DUMMYFUNCTION("""COMPUTED_VALUE"""),44778)</f>
        <v>44778</v>
      </c>
      <c r="C4153" t="str">
        <f ca="1">IFERROR(__xludf.DUMMYFUNCTION("""COMPUTED_VALUE"""),"БУ Г. ОМСКА ""УДХБ"" 197-РДО от 01.07.2022")</f>
        <v>БУ Г. ОМСКА "УДХБ" 197-РДО от 01.07.2022</v>
      </c>
      <c r="D41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3" t="str">
        <f ca="1">IFERROR(__xludf.DUMMYFUNCTION("""COMPUTED_VALUE"""),"Новый")</f>
        <v>Новый</v>
      </c>
      <c r="G4153" s="68"/>
      <c r="K4153" s="68"/>
    </row>
    <row r="4154" spans="1:11" ht="12.75">
      <c r="A4154" s="69">
        <f ca="1">IFERROR(__xludf.DUMMYFUNCTION("""COMPUTED_VALUE"""),103412)</f>
        <v>103412</v>
      </c>
      <c r="B4154" s="4">
        <f ca="1">IFERROR(__xludf.DUMMYFUNCTION("""COMPUTED_VALUE"""),44778)</f>
        <v>44778</v>
      </c>
      <c r="C4154" t="str">
        <f ca="1">IFERROR(__xludf.DUMMYFUNCTION("""COMPUTED_VALUE"""),"БУ Г. ОМСКА ""УДХБ"" 197-РДО от 01.07.2022")</f>
        <v>БУ Г. ОМСКА "УДХБ" 197-РДО от 01.07.2022</v>
      </c>
      <c r="D41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4" t="str">
        <f ca="1">IFERROR(__xludf.DUMMYFUNCTION("""COMPUTED_VALUE"""),"Новый")</f>
        <v>Новый</v>
      </c>
      <c r="G4154" s="68"/>
      <c r="K4154" s="68"/>
    </row>
    <row r="4155" spans="1:11" ht="12.75">
      <c r="A4155" s="69">
        <f ca="1">IFERROR(__xludf.DUMMYFUNCTION("""COMPUTED_VALUE"""),103418)</f>
        <v>103418</v>
      </c>
      <c r="B4155" s="4">
        <f ca="1">IFERROR(__xludf.DUMMYFUNCTION("""COMPUTED_VALUE"""),44778)</f>
        <v>44778</v>
      </c>
      <c r="C4155" t="str">
        <f ca="1">IFERROR(__xludf.DUMMYFUNCTION("""COMPUTED_VALUE"""),"БУ Г. ОМСКА ""УДХБ"" 197-РДО от 01.07.2022")</f>
        <v>БУ Г. ОМСКА "УДХБ" 197-РДО от 01.07.2022</v>
      </c>
      <c r="D41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155" t="str">
        <f ca="1">IFERROR(__xludf.DUMMYFUNCTION("""COMPUTED_VALUE"""),"Новый")</f>
        <v>Новый</v>
      </c>
      <c r="G4155" s="68"/>
      <c r="K4155" s="68"/>
    </row>
    <row r="4156" spans="1:11" ht="12.75">
      <c r="A4156" s="69">
        <f ca="1">IFERROR(__xludf.DUMMYFUNCTION("""COMPUTED_VALUE"""),103420)</f>
        <v>103420</v>
      </c>
      <c r="B4156" s="4">
        <f ca="1">IFERROR(__xludf.DUMMYFUNCTION("""COMPUTED_VALUE"""),44781)</f>
        <v>44781</v>
      </c>
      <c r="D41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56" t="str">
        <f ca="1">IFERROR(__xludf.DUMMYFUNCTION("""COMPUTED_VALUE"""),"Новый")</f>
        <v>Новый</v>
      </c>
      <c r="G4156" s="68"/>
      <c r="K4156" s="68"/>
    </row>
    <row r="4157" spans="1:11" ht="12.75">
      <c r="A4157" s="69">
        <f ca="1">IFERROR(__xludf.DUMMYFUNCTION("""COMPUTED_VALUE"""),103421)</f>
        <v>103421</v>
      </c>
      <c r="B4157" s="4">
        <f ca="1">IFERROR(__xludf.DUMMYFUNCTION("""COMPUTED_VALUE"""),44781)</f>
        <v>44781</v>
      </c>
      <c r="D41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57" t="str">
        <f ca="1">IFERROR(__xludf.DUMMYFUNCTION("""COMPUTED_VALUE"""),"Новый")</f>
        <v>Новый</v>
      </c>
      <c r="G4157" s="68"/>
      <c r="K4157" s="68"/>
    </row>
    <row r="4158" spans="1:11" ht="12.75">
      <c r="A4158" s="69">
        <f ca="1">IFERROR(__xludf.DUMMYFUNCTION("""COMPUTED_VALUE"""),103422)</f>
        <v>103422</v>
      </c>
      <c r="B4158" s="4">
        <f ca="1">IFERROR(__xludf.DUMMYFUNCTION("""COMPUTED_VALUE"""),44781)</f>
        <v>44781</v>
      </c>
      <c r="D41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58" t="str">
        <f ca="1">IFERROR(__xludf.DUMMYFUNCTION("""COMPUTED_VALUE"""),"Новый")</f>
        <v>Новый</v>
      </c>
      <c r="G4158" s="68"/>
      <c r="K4158" s="68"/>
    </row>
    <row r="4159" spans="1:11" ht="12.75">
      <c r="A4159" s="69">
        <f ca="1">IFERROR(__xludf.DUMMYFUNCTION("""COMPUTED_VALUE"""),103423)</f>
        <v>103423</v>
      </c>
      <c r="B4159" s="4">
        <f ca="1">IFERROR(__xludf.DUMMYFUNCTION("""COMPUTED_VALUE"""),44781)</f>
        <v>44781</v>
      </c>
      <c r="D41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59" t="str">
        <f ca="1">IFERROR(__xludf.DUMMYFUNCTION("""COMPUTED_VALUE"""),"Новый")</f>
        <v>Новый</v>
      </c>
      <c r="G4159" s="68"/>
      <c r="K4159" s="68"/>
    </row>
    <row r="4160" spans="1:11" ht="12.75">
      <c r="A4160" s="69">
        <f ca="1">IFERROR(__xludf.DUMMYFUNCTION("""COMPUTED_VALUE"""),103424)</f>
        <v>103424</v>
      </c>
      <c r="B4160" s="4">
        <f ca="1">IFERROR(__xludf.DUMMYFUNCTION("""COMPUTED_VALUE"""),44781)</f>
        <v>44781</v>
      </c>
      <c r="D41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0" t="str">
        <f ca="1">IFERROR(__xludf.DUMMYFUNCTION("""COMPUTED_VALUE"""),"Новый")</f>
        <v>Новый</v>
      </c>
      <c r="G4160" s="68"/>
      <c r="K4160" s="68"/>
    </row>
    <row r="4161" spans="1:11" ht="12.75">
      <c r="A4161" s="69">
        <f ca="1">IFERROR(__xludf.DUMMYFUNCTION("""COMPUTED_VALUE"""),103425)</f>
        <v>103425</v>
      </c>
      <c r="B4161" s="4">
        <f ca="1">IFERROR(__xludf.DUMMYFUNCTION("""COMPUTED_VALUE"""),44781)</f>
        <v>44781</v>
      </c>
      <c r="D41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1" t="str">
        <f ca="1">IFERROR(__xludf.DUMMYFUNCTION("""COMPUTED_VALUE"""),"Новый")</f>
        <v>Новый</v>
      </c>
      <c r="G4161" s="68"/>
      <c r="K4161" s="68"/>
    </row>
    <row r="4162" spans="1:11" ht="12.75">
      <c r="A4162" s="69">
        <f ca="1">IFERROR(__xludf.DUMMYFUNCTION("""COMPUTED_VALUE"""),103426)</f>
        <v>103426</v>
      </c>
      <c r="B4162" s="4">
        <f ca="1">IFERROR(__xludf.DUMMYFUNCTION("""COMPUTED_VALUE"""),44781)</f>
        <v>44781</v>
      </c>
      <c r="D41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2" t="str">
        <f ca="1">IFERROR(__xludf.DUMMYFUNCTION("""COMPUTED_VALUE"""),"Новый")</f>
        <v>Новый</v>
      </c>
      <c r="G4162" s="68"/>
      <c r="K4162" s="68"/>
    </row>
    <row r="4163" spans="1:11" ht="12.75">
      <c r="A4163" s="69">
        <f ca="1">IFERROR(__xludf.DUMMYFUNCTION("""COMPUTED_VALUE"""),103427)</f>
        <v>103427</v>
      </c>
      <c r="B4163" s="4">
        <f ca="1">IFERROR(__xludf.DUMMYFUNCTION("""COMPUTED_VALUE"""),44781)</f>
        <v>44781</v>
      </c>
      <c r="D41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3" t="str">
        <f ca="1">IFERROR(__xludf.DUMMYFUNCTION("""COMPUTED_VALUE"""),"Новый")</f>
        <v>Новый</v>
      </c>
      <c r="G4163" s="68"/>
      <c r="K4163" s="68"/>
    </row>
    <row r="4164" spans="1:11" ht="12.75">
      <c r="A4164" s="69">
        <f ca="1">IFERROR(__xludf.DUMMYFUNCTION("""COMPUTED_VALUE"""),103428)</f>
        <v>103428</v>
      </c>
      <c r="B4164" s="4">
        <f ca="1">IFERROR(__xludf.DUMMYFUNCTION("""COMPUTED_VALUE"""),44781)</f>
        <v>44781</v>
      </c>
      <c r="D41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4" t="str">
        <f ca="1">IFERROR(__xludf.DUMMYFUNCTION("""COMPUTED_VALUE"""),"Новый")</f>
        <v>Новый</v>
      </c>
      <c r="G4164" s="68"/>
      <c r="K4164" s="68"/>
    </row>
    <row r="4165" spans="1:11" ht="12.75">
      <c r="A4165" s="69">
        <f ca="1">IFERROR(__xludf.DUMMYFUNCTION("""COMPUTED_VALUE"""),103429)</f>
        <v>103429</v>
      </c>
      <c r="B4165" s="4">
        <f ca="1">IFERROR(__xludf.DUMMYFUNCTION("""COMPUTED_VALUE"""),44781)</f>
        <v>44781</v>
      </c>
      <c r="D41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5" t="str">
        <f ca="1">IFERROR(__xludf.DUMMYFUNCTION("""COMPUTED_VALUE"""),"Новый")</f>
        <v>Новый</v>
      </c>
      <c r="G4165" s="68"/>
      <c r="K4165" s="68"/>
    </row>
    <row r="4166" spans="1:11" ht="12.75">
      <c r="A4166" s="69">
        <f ca="1">IFERROR(__xludf.DUMMYFUNCTION("""COMPUTED_VALUE"""),103430)</f>
        <v>103430</v>
      </c>
      <c r="B4166" s="4">
        <f ca="1">IFERROR(__xludf.DUMMYFUNCTION("""COMPUTED_VALUE"""),44781)</f>
        <v>44781</v>
      </c>
      <c r="D41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6" t="str">
        <f ca="1">IFERROR(__xludf.DUMMYFUNCTION("""COMPUTED_VALUE"""),"Новый")</f>
        <v>Новый</v>
      </c>
      <c r="G4166" s="68"/>
      <c r="K4166" s="68"/>
    </row>
    <row r="4167" spans="1:11" ht="12.75">
      <c r="A4167" s="69">
        <f ca="1">IFERROR(__xludf.DUMMYFUNCTION("""COMPUTED_VALUE"""),103431)</f>
        <v>103431</v>
      </c>
      <c r="B4167" s="4">
        <f ca="1">IFERROR(__xludf.DUMMYFUNCTION("""COMPUTED_VALUE"""),44781)</f>
        <v>44781</v>
      </c>
      <c r="D41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7" t="str">
        <f ca="1">IFERROR(__xludf.DUMMYFUNCTION("""COMPUTED_VALUE"""),"Новый")</f>
        <v>Новый</v>
      </c>
      <c r="G4167" s="68"/>
      <c r="K4167" s="68"/>
    </row>
    <row r="4168" spans="1:11" ht="12.75">
      <c r="A4168" s="69">
        <f ca="1">IFERROR(__xludf.DUMMYFUNCTION("""COMPUTED_VALUE"""),103432)</f>
        <v>103432</v>
      </c>
      <c r="B4168" s="4">
        <f ca="1">IFERROR(__xludf.DUMMYFUNCTION("""COMPUTED_VALUE"""),44781)</f>
        <v>44781</v>
      </c>
      <c r="D41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8" t="str">
        <f ca="1">IFERROR(__xludf.DUMMYFUNCTION("""COMPUTED_VALUE"""),"Новый")</f>
        <v>Новый</v>
      </c>
      <c r="G4168" s="68"/>
      <c r="K4168" s="68"/>
    </row>
    <row r="4169" spans="1:11" ht="12.75">
      <c r="A4169" s="69">
        <f ca="1">IFERROR(__xludf.DUMMYFUNCTION("""COMPUTED_VALUE"""),103433)</f>
        <v>103433</v>
      </c>
      <c r="B4169" s="4">
        <f ca="1">IFERROR(__xludf.DUMMYFUNCTION("""COMPUTED_VALUE"""),44781)</f>
        <v>44781</v>
      </c>
      <c r="D41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69" t="str">
        <f ca="1">IFERROR(__xludf.DUMMYFUNCTION("""COMPUTED_VALUE"""),"Новый")</f>
        <v>Новый</v>
      </c>
      <c r="G4169" s="68"/>
      <c r="K4169" s="68"/>
    </row>
    <row r="4170" spans="1:11" ht="12.75">
      <c r="A4170" s="69">
        <f ca="1">IFERROR(__xludf.DUMMYFUNCTION("""COMPUTED_VALUE"""),103434)</f>
        <v>103434</v>
      </c>
      <c r="B4170" s="4">
        <f ca="1">IFERROR(__xludf.DUMMYFUNCTION("""COMPUTED_VALUE"""),44781)</f>
        <v>44781</v>
      </c>
      <c r="D41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0" t="str">
        <f ca="1">IFERROR(__xludf.DUMMYFUNCTION("""COMPUTED_VALUE"""),"Новый")</f>
        <v>Новый</v>
      </c>
      <c r="G4170" s="68"/>
      <c r="K4170" s="68"/>
    </row>
    <row r="4171" spans="1:11" ht="12.75">
      <c r="A4171" s="69">
        <f ca="1">IFERROR(__xludf.DUMMYFUNCTION("""COMPUTED_VALUE"""),103435)</f>
        <v>103435</v>
      </c>
      <c r="B4171" s="4">
        <f ca="1">IFERROR(__xludf.DUMMYFUNCTION("""COMPUTED_VALUE"""),44781)</f>
        <v>44781</v>
      </c>
      <c r="D41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1" t="str">
        <f ca="1">IFERROR(__xludf.DUMMYFUNCTION("""COMPUTED_VALUE"""),"Новый")</f>
        <v>Новый</v>
      </c>
      <c r="G4171" s="68"/>
      <c r="K4171" s="68"/>
    </row>
    <row r="4172" spans="1:11" ht="12.75">
      <c r="A4172" s="69">
        <f ca="1">IFERROR(__xludf.DUMMYFUNCTION("""COMPUTED_VALUE"""),103436)</f>
        <v>103436</v>
      </c>
      <c r="B4172" s="4">
        <f ca="1">IFERROR(__xludf.DUMMYFUNCTION("""COMPUTED_VALUE"""),44781)</f>
        <v>44781</v>
      </c>
      <c r="D41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2" t="str">
        <f ca="1">IFERROR(__xludf.DUMMYFUNCTION("""COMPUTED_VALUE"""),"Новый")</f>
        <v>Новый</v>
      </c>
      <c r="G4172" s="68"/>
      <c r="K4172" s="68"/>
    </row>
    <row r="4173" spans="1:11" ht="12.75">
      <c r="A4173" s="69">
        <f ca="1">IFERROR(__xludf.DUMMYFUNCTION("""COMPUTED_VALUE"""),103437)</f>
        <v>103437</v>
      </c>
      <c r="B4173" s="4">
        <f ca="1">IFERROR(__xludf.DUMMYFUNCTION("""COMPUTED_VALUE"""),44781)</f>
        <v>44781</v>
      </c>
      <c r="D41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3" t="str">
        <f ca="1">IFERROR(__xludf.DUMMYFUNCTION("""COMPUTED_VALUE"""),"Новый")</f>
        <v>Новый</v>
      </c>
      <c r="G4173" s="68"/>
      <c r="K4173" s="68"/>
    </row>
    <row r="4174" spans="1:11" ht="12.75">
      <c r="A4174" s="69">
        <f ca="1">IFERROR(__xludf.DUMMYFUNCTION("""COMPUTED_VALUE"""),103438)</f>
        <v>103438</v>
      </c>
      <c r="B4174" s="4">
        <f ca="1">IFERROR(__xludf.DUMMYFUNCTION("""COMPUTED_VALUE"""),44781)</f>
        <v>44781</v>
      </c>
      <c r="D41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4" t="str">
        <f ca="1">IFERROR(__xludf.DUMMYFUNCTION("""COMPUTED_VALUE"""),"Новый")</f>
        <v>Новый</v>
      </c>
      <c r="G4174" s="68"/>
      <c r="K4174" s="68"/>
    </row>
    <row r="4175" spans="1:11" ht="12.75">
      <c r="A4175" s="69">
        <f ca="1">IFERROR(__xludf.DUMMYFUNCTION("""COMPUTED_VALUE"""),103439)</f>
        <v>103439</v>
      </c>
      <c r="B4175" s="4">
        <f ca="1">IFERROR(__xludf.DUMMYFUNCTION("""COMPUTED_VALUE"""),44781)</f>
        <v>44781</v>
      </c>
      <c r="D41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5" t="str">
        <f ca="1">IFERROR(__xludf.DUMMYFUNCTION("""COMPUTED_VALUE"""),"Новый")</f>
        <v>Новый</v>
      </c>
      <c r="G4175" s="68"/>
      <c r="K4175" s="68"/>
    </row>
    <row r="4176" spans="1:11" ht="12.75">
      <c r="A4176" s="69">
        <f ca="1">IFERROR(__xludf.DUMMYFUNCTION("""COMPUTED_VALUE"""),103440)</f>
        <v>103440</v>
      </c>
      <c r="B4176" s="4">
        <f ca="1">IFERROR(__xludf.DUMMYFUNCTION("""COMPUTED_VALUE"""),44781)</f>
        <v>44781</v>
      </c>
      <c r="C4176" t="str">
        <f ca="1">IFERROR(__xludf.DUMMYFUNCTION("""COMPUTED_VALUE"""),"ЗАВОД НЕФТЕХИМ, ООО")</f>
        <v>ЗАВОД НЕФТЕХИМ, ООО</v>
      </c>
      <c r="D41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6" t="str">
        <f ca="1">IFERROR(__xludf.DUMMYFUNCTION("""COMPUTED_VALUE"""),"Новый")</f>
        <v>Новый</v>
      </c>
      <c r="G4176" s="68"/>
      <c r="K4176" s="68"/>
    </row>
    <row r="4177" spans="1:11" ht="12.75">
      <c r="A4177" s="69">
        <f ca="1">IFERROR(__xludf.DUMMYFUNCTION("""COMPUTED_VALUE"""),103441)</f>
        <v>103441</v>
      </c>
      <c r="B4177" s="4">
        <f ca="1">IFERROR(__xludf.DUMMYFUNCTION("""COMPUTED_VALUE"""),44781)</f>
        <v>44781</v>
      </c>
      <c r="C4177" t="str">
        <f ca="1">IFERROR(__xludf.DUMMYFUNCTION("""COMPUTED_VALUE"""),"ЗАВОД НЕФТЕХИМ, ООО")</f>
        <v>ЗАВОД НЕФТЕХИМ, ООО</v>
      </c>
      <c r="D41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7" t="str">
        <f ca="1">IFERROR(__xludf.DUMMYFUNCTION("""COMPUTED_VALUE"""),"Новый")</f>
        <v>Новый</v>
      </c>
      <c r="G4177" s="68"/>
      <c r="K4177" s="68"/>
    </row>
    <row r="4178" spans="1:11" ht="12.75">
      <c r="A4178" s="69">
        <f ca="1">IFERROR(__xludf.DUMMYFUNCTION("""COMPUTED_VALUE"""),103442)</f>
        <v>103442</v>
      </c>
      <c r="B4178" s="4">
        <f ca="1">IFERROR(__xludf.DUMMYFUNCTION("""COMPUTED_VALUE"""),44781)</f>
        <v>44781</v>
      </c>
      <c r="C4178" t="str">
        <f ca="1">IFERROR(__xludf.DUMMYFUNCTION("""COMPUTED_VALUE"""),"ЗАВОД НЕФТЕХИМ, ООО")</f>
        <v>ЗАВОД НЕФТЕХИМ, ООО</v>
      </c>
      <c r="D41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8" t="str">
        <f ca="1">IFERROR(__xludf.DUMMYFUNCTION("""COMPUTED_VALUE"""),"Новый")</f>
        <v>Новый</v>
      </c>
      <c r="G4178" s="68"/>
      <c r="K4178" s="68"/>
    </row>
    <row r="4179" spans="1:11" ht="12.75">
      <c r="A4179" s="69">
        <f ca="1">IFERROR(__xludf.DUMMYFUNCTION("""COMPUTED_VALUE"""),103443)</f>
        <v>103443</v>
      </c>
      <c r="B4179" s="4">
        <f ca="1">IFERROR(__xludf.DUMMYFUNCTION("""COMPUTED_VALUE"""),44781)</f>
        <v>44781</v>
      </c>
      <c r="C4179" t="str">
        <f ca="1">IFERROR(__xludf.DUMMYFUNCTION("""COMPUTED_VALUE"""),"ЗАВОД НЕФТЕХИМ, ООО")</f>
        <v>ЗАВОД НЕФТЕХИМ, ООО</v>
      </c>
      <c r="D41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79" t="str">
        <f ca="1">IFERROR(__xludf.DUMMYFUNCTION("""COMPUTED_VALUE"""),"Новый")</f>
        <v>Новый</v>
      </c>
      <c r="G4179" s="68"/>
      <c r="K4179" s="68"/>
    </row>
    <row r="4180" spans="1:11" ht="12.75">
      <c r="A4180" s="69">
        <f ca="1">IFERROR(__xludf.DUMMYFUNCTION("""COMPUTED_VALUE"""),103444)</f>
        <v>103444</v>
      </c>
      <c r="B4180" s="4">
        <f ca="1">IFERROR(__xludf.DUMMYFUNCTION("""COMPUTED_VALUE"""),44781)</f>
        <v>44781</v>
      </c>
      <c r="C4180" t="str">
        <f ca="1">IFERROR(__xludf.DUMMYFUNCTION("""COMPUTED_VALUE"""),"ЗАВОД НЕФТЕХИМ, ООО")</f>
        <v>ЗАВОД НЕФТЕХИМ, ООО</v>
      </c>
      <c r="D41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0" t="str">
        <f ca="1">IFERROR(__xludf.DUMMYFUNCTION("""COMPUTED_VALUE"""),"Новый")</f>
        <v>Новый</v>
      </c>
      <c r="G4180" s="68"/>
      <c r="K4180" s="68"/>
    </row>
    <row r="4181" spans="1:11" ht="12.75">
      <c r="A4181" s="69">
        <f ca="1">IFERROR(__xludf.DUMMYFUNCTION("""COMPUTED_VALUE"""),103445)</f>
        <v>103445</v>
      </c>
      <c r="B4181" s="4">
        <f ca="1">IFERROR(__xludf.DUMMYFUNCTION("""COMPUTED_VALUE"""),44781)</f>
        <v>44781</v>
      </c>
      <c r="C4181" t="str">
        <f ca="1">IFERROR(__xludf.DUMMYFUNCTION("""COMPUTED_VALUE"""),"ЗАВОД НЕФТЕХИМ, ООО")</f>
        <v>ЗАВОД НЕФТЕХИМ, ООО</v>
      </c>
      <c r="D41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1" t="str">
        <f ca="1">IFERROR(__xludf.DUMMYFUNCTION("""COMPUTED_VALUE"""),"Новый")</f>
        <v>Новый</v>
      </c>
      <c r="G4181" s="68"/>
      <c r="K4181" s="68"/>
    </row>
    <row r="4182" spans="1:11" ht="12.75">
      <c r="A4182" s="69">
        <f ca="1">IFERROR(__xludf.DUMMYFUNCTION("""COMPUTED_VALUE"""),103446)</f>
        <v>103446</v>
      </c>
      <c r="B4182" s="4">
        <f ca="1">IFERROR(__xludf.DUMMYFUNCTION("""COMPUTED_VALUE"""),44781)</f>
        <v>44781</v>
      </c>
      <c r="C4182" t="str">
        <f ca="1">IFERROR(__xludf.DUMMYFUNCTION("""COMPUTED_VALUE"""),"ЗАВОД НЕФТЕХИМ, ООО")</f>
        <v>ЗАВОД НЕФТЕХИМ, ООО</v>
      </c>
      <c r="D41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2" t="str">
        <f ca="1">IFERROR(__xludf.DUMMYFUNCTION("""COMPUTED_VALUE"""),"Новый")</f>
        <v>Новый</v>
      </c>
      <c r="G4182" s="68"/>
      <c r="K4182" s="68"/>
    </row>
    <row r="4183" spans="1:11" ht="12.75">
      <c r="A4183" s="69">
        <f ca="1">IFERROR(__xludf.DUMMYFUNCTION("""COMPUTED_VALUE"""),103447)</f>
        <v>103447</v>
      </c>
      <c r="B4183" s="4">
        <f ca="1">IFERROR(__xludf.DUMMYFUNCTION("""COMPUTED_VALUE"""),44781)</f>
        <v>44781</v>
      </c>
      <c r="C4183" t="str">
        <f ca="1">IFERROR(__xludf.DUMMYFUNCTION("""COMPUTED_VALUE"""),"ЗАВОД НЕФТЕХИМ, ООО")</f>
        <v>ЗАВОД НЕФТЕХИМ, ООО</v>
      </c>
      <c r="D41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3" t="str">
        <f ca="1">IFERROR(__xludf.DUMMYFUNCTION("""COMPUTED_VALUE"""),"Новый")</f>
        <v>Новый</v>
      </c>
      <c r="G4183" s="68"/>
      <c r="K4183" s="68"/>
    </row>
    <row r="4184" spans="1:11" ht="12.75">
      <c r="A4184" s="69">
        <f ca="1">IFERROR(__xludf.DUMMYFUNCTION("""COMPUTED_VALUE"""),103450)</f>
        <v>103450</v>
      </c>
      <c r="B4184" s="4">
        <f ca="1">IFERROR(__xludf.DUMMYFUNCTION("""COMPUTED_VALUE"""),44781)</f>
        <v>44781</v>
      </c>
      <c r="C4184" t="str">
        <f ca="1">IFERROR(__xludf.DUMMYFUNCTION("""COMPUTED_VALUE"""),"ЗАВОД НЕФТЕХИМ, ООО")</f>
        <v>ЗАВОД НЕФТЕХИМ, ООО</v>
      </c>
      <c r="D41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4" t="str">
        <f ca="1">IFERROR(__xludf.DUMMYFUNCTION("""COMPUTED_VALUE"""),"Новый")</f>
        <v>Новый</v>
      </c>
      <c r="G4184" s="68"/>
      <c r="K4184" s="68"/>
    </row>
    <row r="4185" spans="1:11" ht="12.75">
      <c r="A4185" s="69">
        <f ca="1">IFERROR(__xludf.DUMMYFUNCTION("""COMPUTED_VALUE"""),103451)</f>
        <v>103451</v>
      </c>
      <c r="B4185" s="4">
        <f ca="1">IFERROR(__xludf.DUMMYFUNCTION("""COMPUTED_VALUE"""),44781)</f>
        <v>44781</v>
      </c>
      <c r="C4185" t="str">
        <f ca="1">IFERROR(__xludf.DUMMYFUNCTION("""COMPUTED_VALUE"""),"ЗАВОД НЕФТЕХИМ, ООО")</f>
        <v>ЗАВОД НЕФТЕХИМ, ООО</v>
      </c>
      <c r="D41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5" t="str">
        <f ca="1">IFERROR(__xludf.DUMMYFUNCTION("""COMPUTED_VALUE"""),"Новый")</f>
        <v>Новый</v>
      </c>
      <c r="G4185" s="68"/>
      <c r="K4185" s="68"/>
    </row>
    <row r="4186" spans="1:11" ht="12.75">
      <c r="A4186" s="69">
        <f ca="1">IFERROR(__xludf.DUMMYFUNCTION("""COMPUTED_VALUE"""),103452)</f>
        <v>103452</v>
      </c>
      <c r="B4186" s="4">
        <f ca="1">IFERROR(__xludf.DUMMYFUNCTION("""COMPUTED_VALUE"""),44781)</f>
        <v>44781</v>
      </c>
      <c r="C4186" t="str">
        <f ca="1">IFERROR(__xludf.DUMMYFUNCTION("""COMPUTED_VALUE"""),"ЗАВОД НЕФТЕХИМ, ООО")</f>
        <v>ЗАВОД НЕФТЕХИМ, ООО</v>
      </c>
      <c r="D41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6" t="str">
        <f ca="1">IFERROR(__xludf.DUMMYFUNCTION("""COMPUTED_VALUE"""),"Новый")</f>
        <v>Новый</v>
      </c>
      <c r="G4186" s="68"/>
      <c r="K4186" s="68"/>
    </row>
    <row r="4187" spans="1:11" ht="12.75">
      <c r="A4187" s="69">
        <f ca="1">IFERROR(__xludf.DUMMYFUNCTION("""COMPUTED_VALUE"""),103453)</f>
        <v>103453</v>
      </c>
      <c r="B4187" s="4">
        <f ca="1">IFERROR(__xludf.DUMMYFUNCTION("""COMPUTED_VALUE"""),44781)</f>
        <v>44781</v>
      </c>
      <c r="C4187" t="str">
        <f ca="1">IFERROR(__xludf.DUMMYFUNCTION("""COMPUTED_VALUE"""),"ЗАВОД НЕФТЕХИМ, ООО")</f>
        <v>ЗАВОД НЕФТЕХИМ, ООО</v>
      </c>
      <c r="D41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7" t="str">
        <f ca="1">IFERROR(__xludf.DUMMYFUNCTION("""COMPUTED_VALUE"""),"Новый")</f>
        <v>Новый</v>
      </c>
      <c r="G4187" s="68"/>
      <c r="K4187" s="68"/>
    </row>
    <row r="4188" spans="1:11" ht="12.75">
      <c r="A4188" s="69">
        <f ca="1">IFERROR(__xludf.DUMMYFUNCTION("""COMPUTED_VALUE"""),103454)</f>
        <v>103454</v>
      </c>
      <c r="B4188" s="4">
        <f ca="1">IFERROR(__xludf.DUMMYFUNCTION("""COMPUTED_VALUE"""),44781)</f>
        <v>44781</v>
      </c>
      <c r="C4188" t="str">
        <f ca="1">IFERROR(__xludf.DUMMYFUNCTION("""COMPUTED_VALUE"""),"ЗАВОД НЕФТЕХИМ, ООО")</f>
        <v>ЗАВОД НЕФТЕХИМ, ООО</v>
      </c>
      <c r="D41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8" t="str">
        <f ca="1">IFERROR(__xludf.DUMMYFUNCTION("""COMPUTED_VALUE"""),"Новый")</f>
        <v>Новый</v>
      </c>
      <c r="G4188" s="68"/>
      <c r="K4188" s="68"/>
    </row>
    <row r="4189" spans="1:11" ht="12.75">
      <c r="A4189" s="69">
        <f ca="1">IFERROR(__xludf.DUMMYFUNCTION("""COMPUTED_VALUE"""),103455)</f>
        <v>103455</v>
      </c>
      <c r="B4189" s="4">
        <f ca="1">IFERROR(__xludf.DUMMYFUNCTION("""COMPUTED_VALUE"""),44781)</f>
        <v>44781</v>
      </c>
      <c r="C4189" t="str">
        <f ca="1">IFERROR(__xludf.DUMMYFUNCTION("""COMPUTED_VALUE"""),"ЗАВОД НЕФТЕХИМ, ООО")</f>
        <v>ЗАВОД НЕФТЕХИМ, ООО</v>
      </c>
      <c r="D41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89" t="str">
        <f ca="1">IFERROR(__xludf.DUMMYFUNCTION("""COMPUTED_VALUE"""),"Новый")</f>
        <v>Новый</v>
      </c>
      <c r="G4189" s="68"/>
      <c r="K4189" s="68"/>
    </row>
    <row r="4190" spans="1:11" ht="12.75">
      <c r="A4190" s="69">
        <f ca="1">IFERROR(__xludf.DUMMYFUNCTION("""COMPUTED_VALUE"""),103456)</f>
        <v>103456</v>
      </c>
      <c r="B4190" s="4">
        <f ca="1">IFERROR(__xludf.DUMMYFUNCTION("""COMPUTED_VALUE"""),44781)</f>
        <v>44781</v>
      </c>
      <c r="C4190" t="str">
        <f ca="1">IFERROR(__xludf.DUMMYFUNCTION("""COMPUTED_VALUE"""),"ЗАВОД НЕФТЕХИМ, ООО")</f>
        <v>ЗАВОД НЕФТЕХИМ, ООО</v>
      </c>
      <c r="D41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0" t="str">
        <f ca="1">IFERROR(__xludf.DUMMYFUNCTION("""COMPUTED_VALUE"""),"Новый")</f>
        <v>Новый</v>
      </c>
      <c r="G4190" s="68"/>
      <c r="K4190" s="68"/>
    </row>
    <row r="4191" spans="1:11" ht="12.75">
      <c r="A4191" s="69">
        <f ca="1">IFERROR(__xludf.DUMMYFUNCTION("""COMPUTED_VALUE"""),103457)</f>
        <v>103457</v>
      </c>
      <c r="B4191" s="4">
        <f ca="1">IFERROR(__xludf.DUMMYFUNCTION("""COMPUTED_VALUE"""),44781)</f>
        <v>44781</v>
      </c>
      <c r="C4191" t="str">
        <f ca="1">IFERROR(__xludf.DUMMYFUNCTION("""COMPUTED_VALUE"""),"ЗАВОД НЕФТЕХИМ, ООО")</f>
        <v>ЗАВОД НЕФТЕХИМ, ООО</v>
      </c>
      <c r="D41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1" t="str">
        <f ca="1">IFERROR(__xludf.DUMMYFUNCTION("""COMPUTED_VALUE"""),"Новый")</f>
        <v>Новый</v>
      </c>
      <c r="G4191" s="68"/>
      <c r="K4191" s="68"/>
    </row>
    <row r="4192" spans="1:11" ht="12.75">
      <c r="A4192" s="69">
        <f ca="1">IFERROR(__xludf.DUMMYFUNCTION("""COMPUTED_VALUE"""),103458)</f>
        <v>103458</v>
      </c>
      <c r="B4192" s="4">
        <f ca="1">IFERROR(__xludf.DUMMYFUNCTION("""COMPUTED_VALUE"""),44781)</f>
        <v>44781</v>
      </c>
      <c r="C4192" t="str">
        <f ca="1">IFERROR(__xludf.DUMMYFUNCTION("""COMPUTED_VALUE"""),"ЗАВОД НЕФТЕХИМ, ООО")</f>
        <v>ЗАВОД НЕФТЕХИМ, ООО</v>
      </c>
      <c r="D41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2" t="str">
        <f ca="1">IFERROR(__xludf.DUMMYFUNCTION("""COMPUTED_VALUE"""),"Новый")</f>
        <v>Новый</v>
      </c>
      <c r="G4192" s="68"/>
      <c r="K4192" s="68"/>
    </row>
    <row r="4193" spans="1:11" ht="12.75">
      <c r="A4193" s="69">
        <f ca="1">IFERROR(__xludf.DUMMYFUNCTION("""COMPUTED_VALUE"""),103459)</f>
        <v>103459</v>
      </c>
      <c r="B4193" s="4">
        <f ca="1">IFERROR(__xludf.DUMMYFUNCTION("""COMPUTED_VALUE"""),44781)</f>
        <v>44781</v>
      </c>
      <c r="C4193" t="str">
        <f ca="1">IFERROR(__xludf.DUMMYFUNCTION("""COMPUTED_VALUE"""),"ЗАВОД НЕФТЕХИМ, ООО")</f>
        <v>ЗАВОД НЕФТЕХИМ, ООО</v>
      </c>
      <c r="D41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3" t="str">
        <f ca="1">IFERROR(__xludf.DUMMYFUNCTION("""COMPUTED_VALUE"""),"Новый")</f>
        <v>Новый</v>
      </c>
      <c r="G4193" s="68"/>
      <c r="K4193" s="68"/>
    </row>
    <row r="4194" spans="1:11" ht="12.75">
      <c r="A4194" s="69">
        <f ca="1">IFERROR(__xludf.DUMMYFUNCTION("""COMPUTED_VALUE"""),103460)</f>
        <v>103460</v>
      </c>
      <c r="B4194" s="4">
        <f ca="1">IFERROR(__xludf.DUMMYFUNCTION("""COMPUTED_VALUE"""),44781)</f>
        <v>44781</v>
      </c>
      <c r="C4194" t="str">
        <f ca="1">IFERROR(__xludf.DUMMYFUNCTION("""COMPUTED_VALUE"""),"АО ""ОМСКГОРГАЗ"" 130-СТР")</f>
        <v>АО "ОМСКГОРГАЗ" 130-СТР</v>
      </c>
      <c r="D41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4" t="str">
        <f ca="1">IFERROR(__xludf.DUMMYFUNCTION("""COMPUTED_VALUE"""),"Новый")</f>
        <v>Новый</v>
      </c>
      <c r="G4194" s="68"/>
      <c r="K4194" s="68"/>
    </row>
    <row r="4195" spans="1:11" ht="12.75">
      <c r="A4195" s="69">
        <f ca="1">IFERROR(__xludf.DUMMYFUNCTION("""COMPUTED_VALUE"""),103461)</f>
        <v>103461</v>
      </c>
      <c r="B4195" s="4">
        <f ca="1">IFERROR(__xludf.DUMMYFUNCTION("""COMPUTED_VALUE"""),44781)</f>
        <v>44781</v>
      </c>
      <c r="C4195" t="str">
        <f ca="1">IFERROR(__xludf.DUMMYFUNCTION("""COMPUTED_VALUE"""),"АО ""ОМСКГОРГАЗ"" 130-СТР")</f>
        <v>АО "ОМСКГОРГАЗ" 130-СТР</v>
      </c>
      <c r="D41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5" t="str">
        <f ca="1">IFERROR(__xludf.DUMMYFUNCTION("""COMPUTED_VALUE"""),"Новый")</f>
        <v>Новый</v>
      </c>
      <c r="G4195" s="68"/>
      <c r="K4195" s="68"/>
    </row>
    <row r="4196" spans="1:11" ht="12.75">
      <c r="A4196" s="69">
        <f ca="1">IFERROR(__xludf.DUMMYFUNCTION("""COMPUTED_VALUE"""),103462)</f>
        <v>103462</v>
      </c>
      <c r="B4196" s="4">
        <f ca="1">IFERROR(__xludf.DUMMYFUNCTION("""COMPUTED_VALUE"""),44781)</f>
        <v>44781</v>
      </c>
      <c r="C4196" t="str">
        <f ca="1">IFERROR(__xludf.DUMMYFUNCTION("""COMPUTED_VALUE"""),"АО ""ОМСКГОРГАЗ"" 130-СТР")</f>
        <v>АО "ОМСКГОРГАЗ" 130-СТР</v>
      </c>
      <c r="D41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6" t="str">
        <f ca="1">IFERROR(__xludf.DUMMYFUNCTION("""COMPUTED_VALUE"""),"Новый")</f>
        <v>Новый</v>
      </c>
      <c r="G4196" s="68"/>
      <c r="K4196" s="68"/>
    </row>
    <row r="4197" spans="1:11" ht="12.75">
      <c r="A4197" s="69">
        <f ca="1">IFERROR(__xludf.DUMMYFUNCTION("""COMPUTED_VALUE"""),103463)</f>
        <v>103463</v>
      </c>
      <c r="B4197" s="4">
        <f ca="1">IFERROR(__xludf.DUMMYFUNCTION("""COMPUTED_VALUE"""),44781)</f>
        <v>44781</v>
      </c>
      <c r="C4197" t="str">
        <f ca="1">IFERROR(__xludf.DUMMYFUNCTION("""COMPUTED_VALUE"""),"АО ""ОМСКГОРГАЗ"" 130-СТР")</f>
        <v>АО "ОМСКГОРГАЗ" 130-СТР</v>
      </c>
      <c r="D41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7" t="str">
        <f ca="1">IFERROR(__xludf.DUMMYFUNCTION("""COMPUTED_VALUE"""),"Новый")</f>
        <v>Новый</v>
      </c>
      <c r="G4197" s="68"/>
      <c r="K4197" s="68"/>
    </row>
    <row r="4198" spans="1:11" ht="12.75">
      <c r="A4198" s="69">
        <f ca="1">IFERROR(__xludf.DUMMYFUNCTION("""COMPUTED_VALUE"""),103464)</f>
        <v>103464</v>
      </c>
      <c r="B4198" s="4">
        <f ca="1">IFERROR(__xludf.DUMMYFUNCTION("""COMPUTED_VALUE"""),44781)</f>
        <v>44781</v>
      </c>
      <c r="C4198" t="str">
        <f ca="1">IFERROR(__xludf.DUMMYFUNCTION("""COMPUTED_VALUE"""),"АО ""ОМСКГОРГАЗ"" 130-СТР")</f>
        <v>АО "ОМСКГОРГАЗ" 130-СТР</v>
      </c>
      <c r="D41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8" t="str">
        <f ca="1">IFERROR(__xludf.DUMMYFUNCTION("""COMPUTED_VALUE"""),"Новый")</f>
        <v>Новый</v>
      </c>
      <c r="G4198" s="68"/>
      <c r="K4198" s="68"/>
    </row>
    <row r="4199" spans="1:11" ht="12.75">
      <c r="A4199" s="69">
        <f ca="1">IFERROR(__xludf.DUMMYFUNCTION("""COMPUTED_VALUE"""),103465)</f>
        <v>103465</v>
      </c>
      <c r="B4199" s="4">
        <f ca="1">IFERROR(__xludf.DUMMYFUNCTION("""COMPUTED_VALUE"""),44781)</f>
        <v>44781</v>
      </c>
      <c r="C4199" t="str">
        <f ca="1">IFERROR(__xludf.DUMMYFUNCTION("""COMPUTED_VALUE"""),"АО ""ОМСКГОРГАЗ"" 130-СТР")</f>
        <v>АО "ОМСКГОРГАЗ" 130-СТР</v>
      </c>
      <c r="D41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199" t="str">
        <f ca="1">IFERROR(__xludf.DUMMYFUNCTION("""COMPUTED_VALUE"""),"Новый")</f>
        <v>Новый</v>
      </c>
      <c r="G4199" s="68"/>
      <c r="K4199" s="68"/>
    </row>
    <row r="4200" spans="1:11" ht="12.75">
      <c r="A4200" s="69">
        <f ca="1">IFERROR(__xludf.DUMMYFUNCTION("""COMPUTED_VALUE"""),103466)</f>
        <v>103466</v>
      </c>
      <c r="B4200" s="4">
        <f ca="1">IFERROR(__xludf.DUMMYFUNCTION("""COMPUTED_VALUE"""),44781)</f>
        <v>44781</v>
      </c>
      <c r="C4200" t="str">
        <f ca="1">IFERROR(__xludf.DUMMYFUNCTION("""COMPUTED_VALUE"""),"АО ""ОМСКГОРГАЗ"" 130-СТР")</f>
        <v>АО "ОМСКГОРГАЗ" 130-СТР</v>
      </c>
      <c r="D42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0" t="str">
        <f ca="1">IFERROR(__xludf.DUMMYFUNCTION("""COMPUTED_VALUE"""),"Новый")</f>
        <v>Новый</v>
      </c>
      <c r="G4200" s="68"/>
      <c r="K4200" s="68"/>
    </row>
    <row r="4201" spans="1:11" ht="12.75">
      <c r="A4201" s="69">
        <f ca="1">IFERROR(__xludf.DUMMYFUNCTION("""COMPUTED_VALUE"""),103467)</f>
        <v>103467</v>
      </c>
      <c r="B4201" s="4">
        <f ca="1">IFERROR(__xludf.DUMMYFUNCTION("""COMPUTED_VALUE"""),44781)</f>
        <v>44781</v>
      </c>
      <c r="C4201" t="str">
        <f ca="1">IFERROR(__xludf.DUMMYFUNCTION("""COMPUTED_VALUE"""),"АО ""ОМСКГОРГАЗ"" 130-СТР")</f>
        <v>АО "ОМСКГОРГАЗ" 130-СТР</v>
      </c>
      <c r="D42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1" t="str">
        <f ca="1">IFERROR(__xludf.DUMMYFUNCTION("""COMPUTED_VALUE"""),"Новый")</f>
        <v>Новый</v>
      </c>
      <c r="G4201" s="68"/>
      <c r="K4201" s="68"/>
    </row>
    <row r="4202" spans="1:11" ht="12.75">
      <c r="A4202" s="69">
        <f ca="1">IFERROR(__xludf.DUMMYFUNCTION("""COMPUTED_VALUE"""),103468)</f>
        <v>103468</v>
      </c>
      <c r="B4202" s="4">
        <f ca="1">IFERROR(__xludf.DUMMYFUNCTION("""COMPUTED_VALUE"""),44781)</f>
        <v>44781</v>
      </c>
      <c r="C4202" t="str">
        <f ca="1">IFERROR(__xludf.DUMMYFUNCTION("""COMPUTED_VALUE"""),"АО ""ОМСКГОРГАЗ"" 130-СТР")</f>
        <v>АО "ОМСКГОРГАЗ" 130-СТР</v>
      </c>
      <c r="D42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2" t="str">
        <f ca="1">IFERROR(__xludf.DUMMYFUNCTION("""COMPUTED_VALUE"""),"Новый")</f>
        <v>Новый</v>
      </c>
      <c r="G4202" s="68"/>
      <c r="K4202" s="68"/>
    </row>
    <row r="4203" spans="1:11" ht="12.75">
      <c r="A4203" s="69">
        <f ca="1">IFERROR(__xludf.DUMMYFUNCTION("""COMPUTED_VALUE"""),103472)</f>
        <v>103472</v>
      </c>
      <c r="B4203" s="4">
        <f ca="1">IFERROR(__xludf.DUMMYFUNCTION("""COMPUTED_VALUE"""),44781)</f>
        <v>44781</v>
      </c>
      <c r="C4203" t="str">
        <f ca="1">IFERROR(__xludf.DUMMYFUNCTION("""COMPUTED_VALUE"""),"Роде Олег Адамович 161-СТР от 01.08.2022")</f>
        <v>Роде Олег Адамович 161-СТР от 01.08.2022</v>
      </c>
      <c r="D42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3" t="str">
        <f ca="1">IFERROR(__xludf.DUMMYFUNCTION("""COMPUTED_VALUE"""),"Новый")</f>
        <v>Новый</v>
      </c>
      <c r="G4203" s="68"/>
      <c r="K4203" s="68"/>
    </row>
    <row r="4204" spans="1:11" ht="12.75">
      <c r="A4204" s="69">
        <f ca="1">IFERROR(__xludf.DUMMYFUNCTION("""COMPUTED_VALUE"""),103473)</f>
        <v>103473</v>
      </c>
      <c r="B4204" s="4">
        <f ca="1">IFERROR(__xludf.DUMMYFUNCTION("""COMPUTED_VALUE"""),44781)</f>
        <v>44781</v>
      </c>
      <c r="C4204" t="str">
        <f ca="1">IFERROR(__xludf.DUMMYFUNCTION("""COMPUTED_VALUE"""),"Роде Олег Адамович 161-СТР от 01.08.2022")</f>
        <v>Роде Олег Адамович 161-СТР от 01.08.2022</v>
      </c>
      <c r="D42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4" t="str">
        <f ca="1">IFERROR(__xludf.DUMMYFUNCTION("""COMPUTED_VALUE"""),"Новый")</f>
        <v>Новый</v>
      </c>
      <c r="G4204" s="68"/>
      <c r="K4204" s="68"/>
    </row>
    <row r="4205" spans="1:11" ht="12.75">
      <c r="A4205" s="69">
        <f ca="1">IFERROR(__xludf.DUMMYFUNCTION("""COMPUTED_VALUE"""),103480)</f>
        <v>103480</v>
      </c>
      <c r="B4205" s="4">
        <f ca="1">IFERROR(__xludf.DUMMYFUNCTION("""COMPUTED_VALUE"""),44782)</f>
        <v>44782</v>
      </c>
      <c r="C4205" t="str">
        <f ca="1">IFERROR(__xludf.DUMMYFUNCTION("""COMPUTED_VALUE"""),"ОМУС-1 АО 154-СТР от 25.07.2022")</f>
        <v>ОМУС-1 АО 154-СТР от 25.07.2022</v>
      </c>
      <c r="D42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5" t="str">
        <f ca="1">IFERROR(__xludf.DUMMYFUNCTION("""COMPUTED_VALUE"""),"Новый")</f>
        <v>Новый</v>
      </c>
      <c r="G4205" s="68"/>
      <c r="K4205" s="68"/>
    </row>
    <row r="4206" spans="1:11" ht="12.75">
      <c r="A4206" s="69">
        <f ca="1">IFERROR(__xludf.DUMMYFUNCTION("""COMPUTED_VALUE"""),103481)</f>
        <v>103481</v>
      </c>
      <c r="B4206" s="4">
        <f ca="1">IFERROR(__xludf.DUMMYFUNCTION("""COMPUTED_VALUE"""),44782)</f>
        <v>44782</v>
      </c>
      <c r="C4206" t="str">
        <f ca="1">IFERROR(__xludf.DUMMYFUNCTION("""COMPUTED_VALUE"""),"ОМУС-1 АО 154-СТР от 25.07.2022")</f>
        <v>ОМУС-1 АО 154-СТР от 25.07.2022</v>
      </c>
      <c r="D42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6" t="str">
        <f ca="1">IFERROR(__xludf.DUMMYFUNCTION("""COMPUTED_VALUE"""),"Новый")</f>
        <v>Новый</v>
      </c>
      <c r="G4206" s="68"/>
      <c r="K4206" s="68"/>
    </row>
    <row r="4207" spans="1:11" ht="12.75">
      <c r="A4207" s="69">
        <f ca="1">IFERROR(__xludf.DUMMYFUNCTION("""COMPUTED_VALUE"""),103483)</f>
        <v>103483</v>
      </c>
      <c r="B4207" s="4">
        <f ca="1">IFERROR(__xludf.DUMMYFUNCTION("""COMPUTED_VALUE"""),44782)</f>
        <v>44782</v>
      </c>
      <c r="C4207" t="str">
        <f ca="1">IFERROR(__xludf.DUMMYFUNCTION("""COMPUTED_VALUE"""),"ОМУС-1 АО 154-СТР от 25.07.2022")</f>
        <v>ОМУС-1 АО 154-СТР от 25.07.2022</v>
      </c>
      <c r="D42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7" t="str">
        <f ca="1">IFERROR(__xludf.DUMMYFUNCTION("""COMPUTED_VALUE"""),"Новый")</f>
        <v>Новый</v>
      </c>
      <c r="G4207" s="68"/>
      <c r="K4207" s="68"/>
    </row>
    <row r="4208" spans="1:11" ht="12.75">
      <c r="A4208" s="69">
        <f ca="1">IFERROR(__xludf.DUMMYFUNCTION("""COMPUTED_VALUE"""),103484)</f>
        <v>103484</v>
      </c>
      <c r="B4208" s="4">
        <f ca="1">IFERROR(__xludf.DUMMYFUNCTION("""COMPUTED_VALUE"""),44782)</f>
        <v>44782</v>
      </c>
      <c r="C4208" t="str">
        <f ca="1">IFERROR(__xludf.DUMMYFUNCTION("""COMPUTED_VALUE"""),"ОМУС-1 АО 154-СТР от 25.07.2022")</f>
        <v>ОМУС-1 АО 154-СТР от 25.07.2022</v>
      </c>
      <c r="D42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8" t="str">
        <f ca="1">IFERROR(__xludf.DUMMYFUNCTION("""COMPUTED_VALUE"""),"Новый")</f>
        <v>Новый</v>
      </c>
      <c r="G4208" s="68"/>
      <c r="K4208" s="68"/>
    </row>
    <row r="4209" spans="1:11" ht="12.75">
      <c r="A4209" s="69">
        <f ca="1">IFERROR(__xludf.DUMMYFUNCTION("""COMPUTED_VALUE"""),103485)</f>
        <v>103485</v>
      </c>
      <c r="B4209" s="4">
        <f ca="1">IFERROR(__xludf.DUMMYFUNCTION("""COMPUTED_VALUE"""),44782)</f>
        <v>44782</v>
      </c>
      <c r="C4209" t="str">
        <f ca="1">IFERROR(__xludf.DUMMYFUNCTION("""COMPUTED_VALUE"""),"ОМУС-1 АО 154-СТР от 25.07.2022")</f>
        <v>ОМУС-1 АО 154-СТР от 25.07.2022</v>
      </c>
      <c r="D42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09" t="str">
        <f ca="1">IFERROR(__xludf.DUMMYFUNCTION("""COMPUTED_VALUE"""),"Новый")</f>
        <v>Новый</v>
      </c>
      <c r="G4209" s="68"/>
      <c r="K4209" s="68"/>
    </row>
    <row r="4210" spans="1:11" ht="12.75">
      <c r="A4210" s="69">
        <f ca="1">IFERROR(__xludf.DUMMYFUNCTION("""COMPUTED_VALUE"""),103486)</f>
        <v>103486</v>
      </c>
      <c r="B4210" s="4">
        <f ca="1">IFERROR(__xludf.DUMMYFUNCTION("""COMPUTED_VALUE"""),44782)</f>
        <v>44782</v>
      </c>
      <c r="C4210" t="str">
        <f ca="1">IFERROR(__xludf.DUMMYFUNCTION("""COMPUTED_VALUE"""),"ОМУС-1 АО 154-СТР от 25.07.2022")</f>
        <v>ОМУС-1 АО 154-СТР от 25.07.2022</v>
      </c>
      <c r="D42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0" t="str">
        <f ca="1">IFERROR(__xludf.DUMMYFUNCTION("""COMPUTED_VALUE"""),"Новый")</f>
        <v>Новый</v>
      </c>
      <c r="G4210" s="68"/>
      <c r="K4210" s="68"/>
    </row>
    <row r="4211" spans="1:11" ht="12.75">
      <c r="A4211" s="69">
        <f ca="1">IFERROR(__xludf.DUMMYFUNCTION("""COMPUTED_VALUE"""),103487)</f>
        <v>103487</v>
      </c>
      <c r="B4211" s="4">
        <f ca="1">IFERROR(__xludf.DUMMYFUNCTION("""COMPUTED_VALUE"""),44782)</f>
        <v>44782</v>
      </c>
      <c r="C4211" t="str">
        <f ca="1">IFERROR(__xludf.DUMMYFUNCTION("""COMPUTED_VALUE"""),"ОМУС-1 АО 154-СТР от 25.07.2022")</f>
        <v>ОМУС-1 АО 154-СТР от 25.07.2022</v>
      </c>
      <c r="D42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1" t="str">
        <f ca="1">IFERROR(__xludf.DUMMYFUNCTION("""COMPUTED_VALUE"""),"Новый")</f>
        <v>Новый</v>
      </c>
      <c r="G4211" s="68"/>
      <c r="K4211" s="68"/>
    </row>
    <row r="4212" spans="1:11" ht="12.75">
      <c r="A4212" s="69">
        <f ca="1">IFERROR(__xludf.DUMMYFUNCTION("""COMPUTED_VALUE"""),103488)</f>
        <v>103488</v>
      </c>
      <c r="B4212" s="4">
        <f ca="1">IFERROR(__xludf.DUMMYFUNCTION("""COMPUTED_VALUE"""),44782)</f>
        <v>44782</v>
      </c>
      <c r="C4212" t="str">
        <f ca="1">IFERROR(__xludf.DUMMYFUNCTION("""COMPUTED_VALUE"""),"ОМУС-1 АО 154-СТР от 25.07.2022")</f>
        <v>ОМУС-1 АО 154-СТР от 25.07.2022</v>
      </c>
      <c r="D42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2" t="str">
        <f ca="1">IFERROR(__xludf.DUMMYFUNCTION("""COMPUTED_VALUE"""),"Новый")</f>
        <v>Новый</v>
      </c>
      <c r="G4212" s="68"/>
      <c r="K4212" s="68"/>
    </row>
    <row r="4213" spans="1:11" ht="12.75">
      <c r="A4213" s="69">
        <f ca="1">IFERROR(__xludf.DUMMYFUNCTION("""COMPUTED_VALUE"""),103489)</f>
        <v>103489</v>
      </c>
      <c r="B4213" s="4">
        <f ca="1">IFERROR(__xludf.DUMMYFUNCTION("""COMPUTED_VALUE"""),44782)</f>
        <v>44782</v>
      </c>
      <c r="C4213" t="str">
        <f ca="1">IFERROR(__xludf.DUMMYFUNCTION("""COMPUTED_VALUE"""),"ОМУС-1 АО 154-СТР от 25.07.2022")</f>
        <v>ОМУС-1 АО 154-СТР от 25.07.2022</v>
      </c>
      <c r="D42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3" t="str">
        <f ca="1">IFERROR(__xludf.DUMMYFUNCTION("""COMPUTED_VALUE"""),"Новый")</f>
        <v>Новый</v>
      </c>
      <c r="G4213" s="68"/>
      <c r="K4213" s="68"/>
    </row>
    <row r="4214" spans="1:11" ht="12.75">
      <c r="A4214" s="69">
        <f ca="1">IFERROR(__xludf.DUMMYFUNCTION("""COMPUTED_VALUE"""),103490)</f>
        <v>103490</v>
      </c>
      <c r="B4214" s="4">
        <f ca="1">IFERROR(__xludf.DUMMYFUNCTION("""COMPUTED_VALUE"""),44782)</f>
        <v>44782</v>
      </c>
      <c r="C4214" t="str">
        <f ca="1">IFERROR(__xludf.DUMMYFUNCTION("""COMPUTED_VALUE"""),"ОМУС-1 АО 154-СТР от 25.07.2022")</f>
        <v>ОМУС-1 АО 154-СТР от 25.07.2022</v>
      </c>
      <c r="D42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4" t="str">
        <f ca="1">IFERROR(__xludf.DUMMYFUNCTION("""COMPUTED_VALUE"""),"Новый")</f>
        <v>Новый</v>
      </c>
      <c r="G4214" s="68"/>
      <c r="K4214" s="68"/>
    </row>
    <row r="4215" spans="1:11" ht="12.75">
      <c r="A4215" s="69">
        <f ca="1">IFERROR(__xludf.DUMMYFUNCTION("""COMPUTED_VALUE"""),103491)</f>
        <v>103491</v>
      </c>
      <c r="B4215" s="4">
        <f ca="1">IFERROR(__xludf.DUMMYFUNCTION("""COMPUTED_VALUE"""),44782)</f>
        <v>44782</v>
      </c>
      <c r="C4215" t="str">
        <f ca="1">IFERROR(__xludf.DUMMYFUNCTION("""COMPUTED_VALUE"""),"ОМУС-1 АО 154-СТР от 25.07.2022")</f>
        <v>ОМУС-1 АО 154-СТР от 25.07.2022</v>
      </c>
      <c r="D42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5" t="str">
        <f ca="1">IFERROR(__xludf.DUMMYFUNCTION("""COMPUTED_VALUE"""),"Новый")</f>
        <v>Новый</v>
      </c>
      <c r="G4215" s="68"/>
      <c r="K4215" s="68"/>
    </row>
    <row r="4216" spans="1:11" ht="12.75">
      <c r="A4216" s="69">
        <f ca="1">IFERROR(__xludf.DUMMYFUNCTION("""COMPUTED_VALUE"""),103492)</f>
        <v>103492</v>
      </c>
      <c r="B4216" s="4">
        <f ca="1">IFERROR(__xludf.DUMMYFUNCTION("""COMPUTED_VALUE"""),44782)</f>
        <v>44782</v>
      </c>
      <c r="C4216" t="str">
        <f ca="1">IFERROR(__xludf.DUMMYFUNCTION("""COMPUTED_VALUE"""),"ОМУС-1 АО 154-СТР от 25.07.2022")</f>
        <v>ОМУС-1 АО 154-СТР от 25.07.2022</v>
      </c>
      <c r="D42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6" t="str">
        <f ca="1">IFERROR(__xludf.DUMMYFUNCTION("""COMPUTED_VALUE"""),"Новый")</f>
        <v>Новый</v>
      </c>
      <c r="G4216" s="68"/>
      <c r="K4216" s="68"/>
    </row>
    <row r="4217" spans="1:11" ht="12.75">
      <c r="A4217" s="69">
        <f ca="1">IFERROR(__xludf.DUMMYFUNCTION("""COMPUTED_VALUE"""),103493)</f>
        <v>103493</v>
      </c>
      <c r="B4217" s="4">
        <f ca="1">IFERROR(__xludf.DUMMYFUNCTION("""COMPUTED_VALUE"""),44782)</f>
        <v>44782</v>
      </c>
      <c r="C4217" t="str">
        <f ca="1">IFERROR(__xludf.DUMMYFUNCTION("""COMPUTED_VALUE"""),"ОМУС-1 АО 154-СТР от 25.07.2022")</f>
        <v>ОМУС-1 АО 154-СТР от 25.07.2022</v>
      </c>
      <c r="D42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7" t="str">
        <f ca="1">IFERROR(__xludf.DUMMYFUNCTION("""COMPUTED_VALUE"""),"Новый")</f>
        <v>Новый</v>
      </c>
      <c r="G4217" s="68"/>
      <c r="K4217" s="68"/>
    </row>
    <row r="4218" spans="1:11" ht="12.75">
      <c r="A4218" s="69">
        <f ca="1">IFERROR(__xludf.DUMMYFUNCTION("""COMPUTED_VALUE"""),103494)</f>
        <v>103494</v>
      </c>
      <c r="B4218" s="4">
        <f ca="1">IFERROR(__xludf.DUMMYFUNCTION("""COMPUTED_VALUE"""),44782)</f>
        <v>44782</v>
      </c>
      <c r="C4218" t="str">
        <f ca="1">IFERROR(__xludf.DUMMYFUNCTION("""COMPUTED_VALUE"""),"ОМУС-1 АО 154-СТР от 25.07.2022")</f>
        <v>ОМУС-1 АО 154-СТР от 25.07.2022</v>
      </c>
      <c r="D42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8" t="str">
        <f ca="1">IFERROR(__xludf.DUMMYFUNCTION("""COMPUTED_VALUE"""),"Новый")</f>
        <v>Новый</v>
      </c>
      <c r="G4218" s="68"/>
      <c r="K4218" s="68"/>
    </row>
    <row r="4219" spans="1:11" ht="12.75">
      <c r="A4219" s="69">
        <f ca="1">IFERROR(__xludf.DUMMYFUNCTION("""COMPUTED_VALUE"""),103495)</f>
        <v>103495</v>
      </c>
      <c r="B4219" s="4">
        <f ca="1">IFERROR(__xludf.DUMMYFUNCTION("""COMPUTED_VALUE"""),44782)</f>
        <v>44782</v>
      </c>
      <c r="C4219" t="str">
        <f ca="1">IFERROR(__xludf.DUMMYFUNCTION("""COMPUTED_VALUE"""),"ОМУС-1 АО 154-СТР от 25.07.2022")</f>
        <v>ОМУС-1 АО 154-СТР от 25.07.2022</v>
      </c>
      <c r="D42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19" t="str">
        <f ca="1">IFERROR(__xludf.DUMMYFUNCTION("""COMPUTED_VALUE"""),"Новый")</f>
        <v>Новый</v>
      </c>
      <c r="G4219" s="68"/>
      <c r="K4219" s="68"/>
    </row>
    <row r="4220" spans="1:11" ht="12.75">
      <c r="A4220" s="69">
        <f ca="1">IFERROR(__xludf.DUMMYFUNCTION("""COMPUTED_VALUE"""),103496)</f>
        <v>103496</v>
      </c>
      <c r="B4220" s="4">
        <f ca="1">IFERROR(__xludf.DUMMYFUNCTION("""COMPUTED_VALUE"""),44782)</f>
        <v>44782</v>
      </c>
      <c r="C4220" t="str">
        <f ca="1">IFERROR(__xludf.DUMMYFUNCTION("""COMPUTED_VALUE"""),"ОМУС-1 АО 154-СТР от 25.07.2022")</f>
        <v>ОМУС-1 АО 154-СТР от 25.07.2022</v>
      </c>
      <c r="D42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0" t="str">
        <f ca="1">IFERROR(__xludf.DUMMYFUNCTION("""COMPUTED_VALUE"""),"Новый")</f>
        <v>Новый</v>
      </c>
      <c r="G4220" s="68"/>
      <c r="K4220" s="68"/>
    </row>
    <row r="4221" spans="1:11" ht="12.75">
      <c r="A4221" s="69">
        <f ca="1">IFERROR(__xludf.DUMMYFUNCTION("""COMPUTED_VALUE"""),103497)</f>
        <v>103497</v>
      </c>
      <c r="B4221" s="4">
        <f ca="1">IFERROR(__xludf.DUMMYFUNCTION("""COMPUTED_VALUE"""),44782)</f>
        <v>44782</v>
      </c>
      <c r="C4221" t="str">
        <f ca="1">IFERROR(__xludf.DUMMYFUNCTION("""COMPUTED_VALUE"""),"ОМУС-1 АО 154-СТР от 25.07.2022")</f>
        <v>ОМУС-1 АО 154-СТР от 25.07.2022</v>
      </c>
      <c r="D42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1" t="str">
        <f ca="1">IFERROR(__xludf.DUMMYFUNCTION("""COMPUTED_VALUE"""),"Новый")</f>
        <v>Новый</v>
      </c>
      <c r="G4221" s="68"/>
      <c r="K4221" s="68"/>
    </row>
    <row r="4222" spans="1:11" ht="12.75">
      <c r="A4222" s="69">
        <f ca="1">IFERROR(__xludf.DUMMYFUNCTION("""COMPUTED_VALUE"""),103498)</f>
        <v>103498</v>
      </c>
      <c r="B4222" s="4">
        <f ca="1">IFERROR(__xludf.DUMMYFUNCTION("""COMPUTED_VALUE"""),44782)</f>
        <v>44782</v>
      </c>
      <c r="C4222" t="str">
        <f ca="1">IFERROR(__xludf.DUMMYFUNCTION("""COMPUTED_VALUE"""),"ОМУС-1 АО 154-СТР от 25.07.2022")</f>
        <v>ОМУС-1 АО 154-СТР от 25.07.2022</v>
      </c>
      <c r="D42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2" t="str">
        <f ca="1">IFERROR(__xludf.DUMMYFUNCTION("""COMPUTED_VALUE"""),"Новый")</f>
        <v>Новый</v>
      </c>
      <c r="G4222" s="68"/>
      <c r="K4222" s="68"/>
    </row>
    <row r="4223" spans="1:11" ht="12.75">
      <c r="A4223" s="69">
        <f ca="1">IFERROR(__xludf.DUMMYFUNCTION("""COMPUTED_VALUE"""),103499)</f>
        <v>103499</v>
      </c>
      <c r="B4223" s="4">
        <f ca="1">IFERROR(__xludf.DUMMYFUNCTION("""COMPUTED_VALUE"""),44782)</f>
        <v>44782</v>
      </c>
      <c r="C4223" t="str">
        <f ca="1">IFERROR(__xludf.DUMMYFUNCTION("""COMPUTED_VALUE"""),"ОМУС-1 АО 154-СТР от 25.07.2022")</f>
        <v>ОМУС-1 АО 154-СТР от 25.07.2022</v>
      </c>
      <c r="D42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3" t="str">
        <f ca="1">IFERROR(__xludf.DUMMYFUNCTION("""COMPUTED_VALUE"""),"Новый")</f>
        <v>Новый</v>
      </c>
      <c r="G4223" s="68"/>
      <c r="K4223" s="68"/>
    </row>
    <row r="4224" spans="1:11" ht="12.75">
      <c r="A4224" s="69">
        <f ca="1">IFERROR(__xludf.DUMMYFUNCTION("""COMPUTED_VALUE"""),103550)</f>
        <v>103550</v>
      </c>
      <c r="B4224" s="4">
        <f ca="1">IFERROR(__xludf.DUMMYFUNCTION("""COMPUTED_VALUE"""),44783)</f>
        <v>44783</v>
      </c>
      <c r="C4224" t="str">
        <f ca="1">IFERROR(__xludf.DUMMYFUNCTION("""COMPUTED_VALUE"""),"ООО ""СПК ""СИБЦЕНТРОСТРОЙ"" 165-СТР от 09.08.2022")</f>
        <v>ООО "СПК "СИБЦЕНТРОСТРОЙ" 165-СТР от 09.08.2022</v>
      </c>
      <c r="D42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4" t="str">
        <f ca="1">IFERROR(__xludf.DUMMYFUNCTION("""COMPUTED_VALUE"""),"Новый")</f>
        <v>Новый</v>
      </c>
      <c r="G4224" s="68"/>
      <c r="K4224" s="68"/>
    </row>
    <row r="4225" spans="1:11" ht="12.75">
      <c r="A4225" s="69">
        <f ca="1">IFERROR(__xludf.DUMMYFUNCTION("""COMPUTED_VALUE"""),103551)</f>
        <v>103551</v>
      </c>
      <c r="B4225" s="4">
        <f ca="1">IFERROR(__xludf.DUMMYFUNCTION("""COMPUTED_VALUE"""),44783)</f>
        <v>44783</v>
      </c>
      <c r="C4225" t="str">
        <f ca="1">IFERROR(__xludf.DUMMYFUNCTION("""COMPUTED_VALUE"""),"ООО ""СПК ""СИБЦЕНТРОСТРОЙ"" 165-СТР от 09.08.2022")</f>
        <v>ООО "СПК "СИБЦЕНТРОСТРОЙ" 165-СТР от 09.08.2022</v>
      </c>
      <c r="D42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5" t="str">
        <f ca="1">IFERROR(__xludf.DUMMYFUNCTION("""COMPUTED_VALUE"""),"Новый")</f>
        <v>Новый</v>
      </c>
      <c r="G4225" s="68"/>
      <c r="K4225" s="68"/>
    </row>
    <row r="4226" spans="1:11" ht="12.75">
      <c r="A4226" s="69">
        <f ca="1">IFERROR(__xludf.DUMMYFUNCTION("""COMPUTED_VALUE"""),103552)</f>
        <v>103552</v>
      </c>
      <c r="B4226" s="4">
        <f ca="1">IFERROR(__xludf.DUMMYFUNCTION("""COMPUTED_VALUE"""),44783)</f>
        <v>44783</v>
      </c>
      <c r="C4226" t="str">
        <f ca="1">IFERROR(__xludf.DUMMYFUNCTION("""COMPUTED_VALUE"""),"ООО ""СПК ""СИБЦЕНТРОСТРОЙ"" 165-СТР от 09.08.2022")</f>
        <v>ООО "СПК "СИБЦЕНТРОСТРОЙ" 165-СТР от 09.08.2022</v>
      </c>
      <c r="D42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6" t="str">
        <f ca="1">IFERROR(__xludf.DUMMYFUNCTION("""COMPUTED_VALUE"""),"Новый")</f>
        <v>Новый</v>
      </c>
      <c r="G4226" s="68"/>
      <c r="K4226" s="68"/>
    </row>
    <row r="4227" spans="1:11" ht="12.75">
      <c r="A4227" s="69">
        <f ca="1">IFERROR(__xludf.DUMMYFUNCTION("""COMPUTED_VALUE"""),103553)</f>
        <v>103553</v>
      </c>
      <c r="B4227" s="4">
        <f ca="1">IFERROR(__xludf.DUMMYFUNCTION("""COMPUTED_VALUE"""),44783)</f>
        <v>44783</v>
      </c>
      <c r="C4227" t="str">
        <f ca="1">IFERROR(__xludf.DUMMYFUNCTION("""COMPUTED_VALUE"""),"ООО ""СПК ""СИБЦЕНТРОСТРОЙ"" 165-СТР от 09.08.2022")</f>
        <v>ООО "СПК "СИБЦЕНТРОСТРОЙ" 165-СТР от 09.08.2022</v>
      </c>
      <c r="D42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7" t="str">
        <f ca="1">IFERROR(__xludf.DUMMYFUNCTION("""COMPUTED_VALUE"""),"Новый")</f>
        <v>Новый</v>
      </c>
      <c r="G4227" s="68"/>
      <c r="K4227" s="68"/>
    </row>
    <row r="4228" spans="1:11" ht="12.75">
      <c r="A4228" s="69">
        <f ca="1">IFERROR(__xludf.DUMMYFUNCTION("""COMPUTED_VALUE"""),103554)</f>
        <v>103554</v>
      </c>
      <c r="B4228" s="4">
        <f ca="1">IFERROR(__xludf.DUMMYFUNCTION("""COMPUTED_VALUE"""),44783)</f>
        <v>44783</v>
      </c>
      <c r="C4228" t="str">
        <f ca="1">IFERROR(__xludf.DUMMYFUNCTION("""COMPUTED_VALUE"""),"ООО ""СПК ""СИБЦЕНТРОСТРОЙ"" 165-СТР от 09.08.2022")</f>
        <v>ООО "СПК "СИБЦЕНТРОСТРОЙ" 165-СТР от 09.08.2022</v>
      </c>
      <c r="D42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8" t="str">
        <f ca="1">IFERROR(__xludf.DUMMYFUNCTION("""COMPUTED_VALUE"""),"Новый")</f>
        <v>Новый</v>
      </c>
      <c r="G4228" s="68"/>
      <c r="K4228" s="68"/>
    </row>
    <row r="4229" spans="1:11" ht="12.75">
      <c r="A4229" s="69">
        <f ca="1">IFERROR(__xludf.DUMMYFUNCTION("""COMPUTED_VALUE"""),103555)</f>
        <v>103555</v>
      </c>
      <c r="B4229" s="4">
        <f ca="1">IFERROR(__xludf.DUMMYFUNCTION("""COMPUTED_VALUE"""),44783)</f>
        <v>44783</v>
      </c>
      <c r="C4229" t="str">
        <f ca="1">IFERROR(__xludf.DUMMYFUNCTION("""COMPUTED_VALUE"""),"ООО ""СПК ""СИБЦЕНТРОСТРОЙ"" 165-СТР от 09.08.2022")</f>
        <v>ООО "СПК "СИБЦЕНТРОСТРОЙ" 165-СТР от 09.08.2022</v>
      </c>
      <c r="D42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29" t="str">
        <f ca="1">IFERROR(__xludf.DUMMYFUNCTION("""COMPUTED_VALUE"""),"Новый")</f>
        <v>Новый</v>
      </c>
      <c r="G4229" s="68"/>
      <c r="K4229" s="68"/>
    </row>
    <row r="4230" spans="1:11" ht="12.75">
      <c r="A4230" s="69">
        <f ca="1">IFERROR(__xludf.DUMMYFUNCTION("""COMPUTED_VALUE"""),103556)</f>
        <v>103556</v>
      </c>
      <c r="B4230" s="4">
        <f ca="1">IFERROR(__xludf.DUMMYFUNCTION("""COMPUTED_VALUE"""),44783)</f>
        <v>44783</v>
      </c>
      <c r="C4230" t="str">
        <f ca="1">IFERROR(__xludf.DUMMYFUNCTION("""COMPUTED_VALUE"""),"ООО ""СПК ""СИБЦЕНТРОСТРОЙ"" 165-СТР от 09.08.2022")</f>
        <v>ООО "СПК "СИБЦЕНТРОСТРОЙ" 165-СТР от 09.08.2022</v>
      </c>
      <c r="D42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0" t="str">
        <f ca="1">IFERROR(__xludf.DUMMYFUNCTION("""COMPUTED_VALUE"""),"Новый")</f>
        <v>Новый</v>
      </c>
      <c r="G4230" s="68"/>
      <c r="K4230" s="68"/>
    </row>
    <row r="4231" spans="1:11" ht="12.75">
      <c r="A4231" s="69">
        <f ca="1">IFERROR(__xludf.DUMMYFUNCTION("""COMPUTED_VALUE"""),103557)</f>
        <v>103557</v>
      </c>
      <c r="B4231" s="4">
        <f ca="1">IFERROR(__xludf.DUMMYFUNCTION("""COMPUTED_VALUE"""),44783)</f>
        <v>44783</v>
      </c>
      <c r="C4231" t="str">
        <f ca="1">IFERROR(__xludf.DUMMYFUNCTION("""COMPUTED_VALUE"""),"ООО ""СПК ""СИБЦЕНТРОСТРОЙ"" 165-СТР от 09.08.2022")</f>
        <v>ООО "СПК "СИБЦЕНТРОСТРОЙ" 165-СТР от 09.08.2022</v>
      </c>
      <c r="D42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1" t="str">
        <f ca="1">IFERROR(__xludf.DUMMYFUNCTION("""COMPUTED_VALUE"""),"Новый")</f>
        <v>Новый</v>
      </c>
      <c r="G4231" s="68"/>
      <c r="K4231" s="68"/>
    </row>
    <row r="4232" spans="1:11" ht="12.75">
      <c r="A4232" s="69">
        <f ca="1">IFERROR(__xludf.DUMMYFUNCTION("""COMPUTED_VALUE"""),103558)</f>
        <v>103558</v>
      </c>
      <c r="B4232" s="4">
        <f ca="1">IFERROR(__xludf.DUMMYFUNCTION("""COMPUTED_VALUE"""),44783)</f>
        <v>44783</v>
      </c>
      <c r="C4232" t="str">
        <f ca="1">IFERROR(__xludf.DUMMYFUNCTION("""COMPUTED_VALUE"""),"ООО ""СПК ""СИБЦЕНТРОСТРОЙ"" 165-СТР от 09.08.2022")</f>
        <v>ООО "СПК "СИБЦЕНТРОСТРОЙ" 165-СТР от 09.08.2022</v>
      </c>
      <c r="D42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2" t="str">
        <f ca="1">IFERROR(__xludf.DUMMYFUNCTION("""COMPUTED_VALUE"""),"Новый")</f>
        <v>Новый</v>
      </c>
      <c r="G4232" s="68"/>
      <c r="K4232" s="68"/>
    </row>
    <row r="4233" spans="1:11" ht="12.75">
      <c r="A4233" s="69">
        <f ca="1">IFERROR(__xludf.DUMMYFUNCTION("""COMPUTED_VALUE"""),103559)</f>
        <v>103559</v>
      </c>
      <c r="B4233" s="4">
        <f ca="1">IFERROR(__xludf.DUMMYFUNCTION("""COMPUTED_VALUE"""),44783)</f>
        <v>44783</v>
      </c>
      <c r="C4233" t="str">
        <f ca="1">IFERROR(__xludf.DUMMYFUNCTION("""COMPUTED_VALUE"""),"ООО ""СПК ""СИБЦЕНТРОСТРОЙ"" 165-СТР от 09.08.2022")</f>
        <v>ООО "СПК "СИБЦЕНТРОСТРОЙ" 165-СТР от 09.08.2022</v>
      </c>
      <c r="D42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3" t="str">
        <f ca="1">IFERROR(__xludf.DUMMYFUNCTION("""COMPUTED_VALUE"""),"Новый")</f>
        <v>Новый</v>
      </c>
      <c r="G4233" s="68"/>
      <c r="K4233" s="68"/>
    </row>
    <row r="4234" spans="1:11" ht="12.75">
      <c r="A4234" s="69">
        <f ca="1">IFERROR(__xludf.DUMMYFUNCTION("""COMPUTED_VALUE"""),103560)</f>
        <v>103560</v>
      </c>
      <c r="B4234" s="4">
        <f ca="1">IFERROR(__xludf.DUMMYFUNCTION("""COMPUTED_VALUE"""),44783)</f>
        <v>44783</v>
      </c>
      <c r="C4234" t="str">
        <f ca="1">IFERROR(__xludf.DUMMYFUNCTION("""COMPUTED_VALUE"""),"ООО ""СПК ""СИБЦЕНТРОСТРОЙ"" 165-СТР от 09.08.2022")</f>
        <v>ООО "СПК "СИБЦЕНТРОСТРОЙ" 165-СТР от 09.08.2022</v>
      </c>
      <c r="D42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4" t="str">
        <f ca="1">IFERROR(__xludf.DUMMYFUNCTION("""COMPUTED_VALUE"""),"Новый")</f>
        <v>Новый</v>
      </c>
      <c r="G4234" s="68"/>
      <c r="K4234" s="68"/>
    </row>
    <row r="4235" spans="1:11" ht="12.75">
      <c r="A4235" s="69">
        <f ca="1">IFERROR(__xludf.DUMMYFUNCTION("""COMPUTED_VALUE"""),103561)</f>
        <v>103561</v>
      </c>
      <c r="B4235" s="4">
        <f ca="1">IFERROR(__xludf.DUMMYFUNCTION("""COMPUTED_VALUE"""),44783)</f>
        <v>44783</v>
      </c>
      <c r="C4235" t="str">
        <f ca="1">IFERROR(__xludf.DUMMYFUNCTION("""COMPUTED_VALUE"""),"ООО ""СПК ""СИБЦЕНТРОСТРОЙ"" 165-СТР от 09.08.2022")</f>
        <v>ООО "СПК "СИБЦЕНТРОСТРОЙ" 165-СТР от 09.08.2022</v>
      </c>
      <c r="D42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5" t="str">
        <f ca="1">IFERROR(__xludf.DUMMYFUNCTION("""COMPUTED_VALUE"""),"Новый")</f>
        <v>Новый</v>
      </c>
      <c r="G4235" s="68"/>
      <c r="K4235" s="68"/>
    </row>
    <row r="4236" spans="1:11" ht="12.75">
      <c r="A4236" s="69">
        <f ca="1">IFERROR(__xludf.DUMMYFUNCTION("""COMPUTED_VALUE"""),103562)</f>
        <v>103562</v>
      </c>
      <c r="B4236" s="4">
        <f ca="1">IFERROR(__xludf.DUMMYFUNCTION("""COMPUTED_VALUE"""),44783)</f>
        <v>44783</v>
      </c>
      <c r="C4236" t="str">
        <f ca="1">IFERROR(__xludf.DUMMYFUNCTION("""COMPUTED_VALUE"""),"ООО ""СПК ""СИБЦЕНТРОСТРОЙ"" 165-СТР от 09.08.2022")</f>
        <v>ООО "СПК "СИБЦЕНТРОСТРОЙ" 165-СТР от 09.08.2022</v>
      </c>
      <c r="D42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6" t="str">
        <f ca="1">IFERROR(__xludf.DUMMYFUNCTION("""COMPUTED_VALUE"""),"Новый")</f>
        <v>Новый</v>
      </c>
      <c r="G4236" s="68"/>
      <c r="K4236" s="68"/>
    </row>
    <row r="4237" spans="1:11" ht="12.75">
      <c r="A4237" s="69">
        <f ca="1">IFERROR(__xludf.DUMMYFUNCTION("""COMPUTED_VALUE"""),103563)</f>
        <v>103563</v>
      </c>
      <c r="B4237" s="4">
        <f ca="1">IFERROR(__xludf.DUMMYFUNCTION("""COMPUTED_VALUE"""),44783)</f>
        <v>44783</v>
      </c>
      <c r="C4237" t="str">
        <f ca="1">IFERROR(__xludf.DUMMYFUNCTION("""COMPUTED_VALUE"""),"ООО ""СПК ""СИБЦЕНТРОСТРОЙ"" 165-СТР от 09.08.2022")</f>
        <v>ООО "СПК "СИБЦЕНТРОСТРОЙ" 165-СТР от 09.08.2022</v>
      </c>
      <c r="D42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7" t="str">
        <f ca="1">IFERROR(__xludf.DUMMYFUNCTION("""COMPUTED_VALUE"""),"Новый")</f>
        <v>Новый</v>
      </c>
      <c r="G4237" s="68"/>
      <c r="K4237" s="68"/>
    </row>
    <row r="4238" spans="1:11" ht="12.75">
      <c r="A4238" s="69">
        <f ca="1">IFERROR(__xludf.DUMMYFUNCTION("""COMPUTED_VALUE"""),103564)</f>
        <v>103564</v>
      </c>
      <c r="B4238" s="4">
        <f ca="1">IFERROR(__xludf.DUMMYFUNCTION("""COMPUTED_VALUE"""),44783)</f>
        <v>44783</v>
      </c>
      <c r="C4238" t="str">
        <f ca="1">IFERROR(__xludf.DUMMYFUNCTION("""COMPUTED_VALUE"""),"ООО ""СПК ""СИБЦЕНТРОСТРОЙ"" 165-СТР от 09.08.2022")</f>
        <v>ООО "СПК "СИБЦЕНТРОСТРОЙ" 165-СТР от 09.08.2022</v>
      </c>
      <c r="D42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8" t="str">
        <f ca="1">IFERROR(__xludf.DUMMYFUNCTION("""COMPUTED_VALUE"""),"Новый")</f>
        <v>Новый</v>
      </c>
      <c r="G4238" s="68"/>
      <c r="K4238" s="68"/>
    </row>
    <row r="4239" spans="1:11" ht="12.75">
      <c r="A4239" s="69">
        <f ca="1">IFERROR(__xludf.DUMMYFUNCTION("""COMPUTED_VALUE"""),103565)</f>
        <v>103565</v>
      </c>
      <c r="B4239" s="4">
        <f ca="1">IFERROR(__xludf.DUMMYFUNCTION("""COMPUTED_VALUE"""),44783)</f>
        <v>44783</v>
      </c>
      <c r="C4239" t="str">
        <f ca="1">IFERROR(__xludf.DUMMYFUNCTION("""COMPUTED_VALUE"""),"ООО ""СПК ""СИБЦЕНТРОСТРОЙ"" 165-СТР от 09.08.2022")</f>
        <v>ООО "СПК "СИБЦЕНТРОСТРОЙ" 165-СТР от 09.08.2022</v>
      </c>
      <c r="D42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39" t="str">
        <f ca="1">IFERROR(__xludf.DUMMYFUNCTION("""COMPUTED_VALUE"""),"Новый")</f>
        <v>Новый</v>
      </c>
      <c r="G4239" s="68"/>
      <c r="K4239" s="68"/>
    </row>
    <row r="4240" spans="1:11" ht="12.75">
      <c r="A4240" s="69">
        <f ca="1">IFERROR(__xludf.DUMMYFUNCTION("""COMPUTED_VALUE"""),103566)</f>
        <v>103566</v>
      </c>
      <c r="B4240" s="4">
        <f ca="1">IFERROR(__xludf.DUMMYFUNCTION("""COMPUTED_VALUE"""),44783)</f>
        <v>44783</v>
      </c>
      <c r="C4240" t="str">
        <f ca="1">IFERROR(__xludf.DUMMYFUNCTION("""COMPUTED_VALUE"""),"ООО ""СПК ""СИБЦЕНТРОСТРОЙ"" 165-СТР от 09.08.2022")</f>
        <v>ООО "СПК "СИБЦЕНТРОСТРОЙ" 165-СТР от 09.08.2022</v>
      </c>
      <c r="D42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40" t="str">
        <f ca="1">IFERROR(__xludf.DUMMYFUNCTION("""COMPUTED_VALUE"""),"Новый")</f>
        <v>Новый</v>
      </c>
      <c r="G4240" s="68"/>
      <c r="K4240" s="68"/>
    </row>
    <row r="4241" spans="1:11" ht="12.75">
      <c r="A4241" s="69">
        <f ca="1">IFERROR(__xludf.DUMMYFUNCTION("""COMPUTED_VALUE"""),103567)</f>
        <v>103567</v>
      </c>
      <c r="B4241" s="4">
        <f ca="1">IFERROR(__xludf.DUMMYFUNCTION("""COMPUTED_VALUE"""),44783)</f>
        <v>44783</v>
      </c>
      <c r="C4241" t="str">
        <f ca="1">IFERROR(__xludf.DUMMYFUNCTION("""COMPUTED_VALUE"""),"ООО ""СПК ""СИБЦЕНТРОСТРОЙ"" 165-СТР от 09.08.2022")</f>
        <v>ООО "СПК "СИБЦЕНТРОСТРОЙ" 165-СТР от 09.08.2022</v>
      </c>
      <c r="D42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41" t="str">
        <f ca="1">IFERROR(__xludf.DUMMYFUNCTION("""COMPUTED_VALUE"""),"Новый")</f>
        <v>Новый</v>
      </c>
      <c r="G4241" s="68"/>
      <c r="K4241" s="68"/>
    </row>
    <row r="4242" spans="1:11" ht="12.75">
      <c r="A4242" s="69">
        <f ca="1">IFERROR(__xludf.DUMMYFUNCTION("""COMPUTED_VALUE"""),103568)</f>
        <v>103568</v>
      </c>
      <c r="B4242" s="4">
        <f ca="1">IFERROR(__xludf.DUMMYFUNCTION("""COMPUTED_VALUE"""),44783)</f>
        <v>44783</v>
      </c>
      <c r="C4242" t="str">
        <f ca="1">IFERROR(__xludf.DUMMYFUNCTION("""COMPUTED_VALUE"""),"ООО ""СПК ""СИБЦЕНТРОСТРОЙ"" 165-СТР от 09.08.2022")</f>
        <v>ООО "СПК "СИБЦЕНТРОСТРОЙ" 165-СТР от 09.08.2022</v>
      </c>
      <c r="D42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42" t="str">
        <f ca="1">IFERROR(__xludf.DUMMYFUNCTION("""COMPUTED_VALUE"""),"Новый")</f>
        <v>Новый</v>
      </c>
      <c r="G4242" s="68"/>
      <c r="K4242" s="68"/>
    </row>
    <row r="4243" spans="1:11" ht="12.75">
      <c r="A4243" s="69">
        <f ca="1">IFERROR(__xludf.DUMMYFUNCTION("""COMPUTED_VALUE"""),103569)</f>
        <v>103569</v>
      </c>
      <c r="B4243" s="4">
        <f ca="1">IFERROR(__xludf.DUMMYFUNCTION("""COMPUTED_VALUE"""),44783)</f>
        <v>44783</v>
      </c>
      <c r="C4243" t="str">
        <f ca="1">IFERROR(__xludf.DUMMYFUNCTION("""COMPUTED_VALUE"""),"ООО ""СПК ""СИБЦЕНТРОСТРОЙ"" 165-СТР от 09.08.2022")</f>
        <v>ООО "СПК "СИБЦЕНТРОСТРОЙ" 165-СТР от 09.08.2022</v>
      </c>
      <c r="D42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43" t="str">
        <f ca="1">IFERROR(__xludf.DUMMYFUNCTION("""COMPUTED_VALUE"""),"Новый")</f>
        <v>Новый</v>
      </c>
      <c r="G4243" s="68"/>
      <c r="K4243" s="68"/>
    </row>
    <row r="4244" spans="1:11" ht="12.75">
      <c r="A4244" s="69">
        <f ca="1">IFERROR(__xludf.DUMMYFUNCTION("""COMPUTED_VALUE"""),103590)</f>
        <v>103590</v>
      </c>
      <c r="B4244" s="4">
        <f ca="1">IFERROR(__xludf.DUMMYFUNCTION("""COMPUTED_VALUE"""),44783)</f>
        <v>44783</v>
      </c>
      <c r="C4244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4" t="str">
        <f ca="1">IFERROR(__xludf.DUMMYFUNCTION("""COMPUTED_VALUE"""),"Новый")</f>
        <v>Новый</v>
      </c>
      <c r="G4244" s="68"/>
      <c r="K4244" s="68"/>
    </row>
    <row r="4245" spans="1:11" ht="12.75">
      <c r="A4245" s="69">
        <f ca="1">IFERROR(__xludf.DUMMYFUNCTION("""COMPUTED_VALUE"""),103591)</f>
        <v>103591</v>
      </c>
      <c r="B4245" s="4">
        <f ca="1">IFERROR(__xludf.DUMMYFUNCTION("""COMPUTED_VALUE"""),44783)</f>
        <v>44783</v>
      </c>
      <c r="C4245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5" t="str">
        <f ca="1">IFERROR(__xludf.DUMMYFUNCTION("""COMPUTED_VALUE"""),"Новый")</f>
        <v>Новый</v>
      </c>
      <c r="G4245" s="68"/>
      <c r="K4245" s="68"/>
    </row>
    <row r="4246" spans="1:11" ht="12.75">
      <c r="A4246" s="69">
        <f ca="1">IFERROR(__xludf.DUMMYFUNCTION("""COMPUTED_VALUE"""),103592)</f>
        <v>103592</v>
      </c>
      <c r="B4246" s="4">
        <f ca="1">IFERROR(__xludf.DUMMYFUNCTION("""COMPUTED_VALUE"""),44783)</f>
        <v>44783</v>
      </c>
      <c r="C4246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6" t="str">
        <f ca="1">IFERROR(__xludf.DUMMYFUNCTION("""COMPUTED_VALUE"""),"Новый")</f>
        <v>Новый</v>
      </c>
      <c r="G4246" s="68"/>
      <c r="K4246" s="68"/>
    </row>
    <row r="4247" spans="1:11" ht="12.75">
      <c r="A4247" s="69">
        <f ca="1">IFERROR(__xludf.DUMMYFUNCTION("""COMPUTED_VALUE"""),103593)</f>
        <v>103593</v>
      </c>
      <c r="B4247" s="4">
        <f ca="1">IFERROR(__xludf.DUMMYFUNCTION("""COMPUTED_VALUE"""),44783)</f>
        <v>44783</v>
      </c>
      <c r="C4247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7" t="str">
        <f ca="1">IFERROR(__xludf.DUMMYFUNCTION("""COMPUTED_VALUE"""),"Новый")</f>
        <v>Новый</v>
      </c>
      <c r="G4247" s="68"/>
      <c r="K4247" s="68"/>
    </row>
    <row r="4248" spans="1:11" ht="12.75">
      <c r="A4248" s="69">
        <f ca="1">IFERROR(__xludf.DUMMYFUNCTION("""COMPUTED_VALUE"""),103594)</f>
        <v>103594</v>
      </c>
      <c r="B4248" s="4">
        <f ca="1">IFERROR(__xludf.DUMMYFUNCTION("""COMPUTED_VALUE"""),44783)</f>
        <v>44783</v>
      </c>
      <c r="C4248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8" t="str">
        <f ca="1">IFERROR(__xludf.DUMMYFUNCTION("""COMPUTED_VALUE"""),"Новый")</f>
        <v>Новый</v>
      </c>
      <c r="G4248" s="68"/>
      <c r="K4248" s="68"/>
    </row>
    <row r="4249" spans="1:11" ht="12.75">
      <c r="A4249" s="69">
        <f ca="1">IFERROR(__xludf.DUMMYFUNCTION("""COMPUTED_VALUE"""),103595)</f>
        <v>103595</v>
      </c>
      <c r="B4249" s="4">
        <f ca="1">IFERROR(__xludf.DUMMYFUNCTION("""COMPUTED_VALUE"""),44783)</f>
        <v>44783</v>
      </c>
      <c r="C4249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49" t="str">
        <f ca="1">IFERROR(__xludf.DUMMYFUNCTION("""COMPUTED_VALUE"""),"Новый")</f>
        <v>Новый</v>
      </c>
      <c r="G4249" s="68"/>
      <c r="K4249" s="68"/>
    </row>
    <row r="4250" spans="1:11" ht="12.75">
      <c r="A4250" s="69">
        <f ca="1">IFERROR(__xludf.DUMMYFUNCTION("""COMPUTED_VALUE"""),103596)</f>
        <v>103596</v>
      </c>
      <c r="B4250" s="4">
        <f ca="1">IFERROR(__xludf.DUMMYFUNCTION("""COMPUTED_VALUE"""),44783)</f>
        <v>44783</v>
      </c>
      <c r="C4250" t="str">
        <f ca="1">IFERROR(__xludf.DUMMYFUNCTION("""COMPUTED_VALUE"""),"Специализированный дом ребенка, БУЗОО 208-РДО от 10.08.2022")</f>
        <v>Специализированный дом ребенка, БУЗОО 208-РДО от 10.08.2022</v>
      </c>
      <c r="D42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50" t="str">
        <f ca="1">IFERROR(__xludf.DUMMYFUNCTION("""COMPUTED_VALUE"""),"Новый")</f>
        <v>Новый</v>
      </c>
      <c r="G4250" s="68"/>
      <c r="K4250" s="68"/>
    </row>
    <row r="4251" spans="1:11" ht="12.75">
      <c r="A4251" s="69">
        <f ca="1">IFERROR(__xludf.DUMMYFUNCTION("""COMPUTED_VALUE"""),103654)</f>
        <v>103654</v>
      </c>
      <c r="B4251" s="4">
        <f ca="1">IFERROR(__xludf.DUMMYFUNCTION("""COMPUTED_VALUE"""),44784)</f>
        <v>44784</v>
      </c>
      <c r="C4251" t="str">
        <f ca="1">IFERROR(__xludf.DUMMYFUNCTION("""COMPUTED_VALUE"""),"СОЮЗ-19 ООО СК 164-СТР от 09.08.2022")</f>
        <v>СОЮЗ-19 ООО СК 164-СТР от 09.08.2022</v>
      </c>
      <c r="D42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1" t="str">
        <f ca="1">IFERROR(__xludf.DUMMYFUNCTION("""COMPUTED_VALUE"""),"Новый")</f>
        <v>Новый</v>
      </c>
      <c r="G4251" s="68"/>
      <c r="K4251" s="68"/>
    </row>
    <row r="4252" spans="1:11" ht="12.75">
      <c r="A4252" s="69">
        <f ca="1">IFERROR(__xludf.DUMMYFUNCTION("""COMPUTED_VALUE"""),103656)</f>
        <v>103656</v>
      </c>
      <c r="B4252" s="4">
        <f ca="1">IFERROR(__xludf.DUMMYFUNCTION("""COMPUTED_VALUE"""),44784)</f>
        <v>44784</v>
      </c>
      <c r="C4252" t="str">
        <f ca="1">IFERROR(__xludf.DUMMYFUNCTION("""COMPUTED_VALUE"""),"СОЮЗ-19 ООО СК 164-СТР от 09.08.2022")</f>
        <v>СОЮЗ-19 ООО СК 164-СТР от 09.08.2022</v>
      </c>
      <c r="D42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2" t="str">
        <f ca="1">IFERROR(__xludf.DUMMYFUNCTION("""COMPUTED_VALUE"""),"Новый")</f>
        <v>Новый</v>
      </c>
      <c r="G4252" s="68"/>
      <c r="K4252" s="68"/>
    </row>
    <row r="4253" spans="1:11" ht="12.75">
      <c r="A4253" s="69">
        <f ca="1">IFERROR(__xludf.DUMMYFUNCTION("""COMPUTED_VALUE"""),103657)</f>
        <v>103657</v>
      </c>
      <c r="B4253" s="4">
        <f ca="1">IFERROR(__xludf.DUMMYFUNCTION("""COMPUTED_VALUE"""),44784)</f>
        <v>44784</v>
      </c>
      <c r="C4253" t="str">
        <f ca="1">IFERROR(__xludf.DUMMYFUNCTION("""COMPUTED_VALUE"""),"СОЮЗ-19 ООО СК 164-СТР от 09.08.2022")</f>
        <v>СОЮЗ-19 ООО СК 164-СТР от 09.08.2022</v>
      </c>
      <c r="D42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3" t="str">
        <f ca="1">IFERROR(__xludf.DUMMYFUNCTION("""COMPUTED_VALUE"""),"Новый")</f>
        <v>Новый</v>
      </c>
      <c r="G4253" s="68"/>
      <c r="K4253" s="68"/>
    </row>
    <row r="4254" spans="1:11" ht="12.75">
      <c r="A4254" s="69">
        <f ca="1">IFERROR(__xludf.DUMMYFUNCTION("""COMPUTED_VALUE"""),103658)</f>
        <v>103658</v>
      </c>
      <c r="B4254" s="4">
        <f ca="1">IFERROR(__xludf.DUMMYFUNCTION("""COMPUTED_VALUE"""),44784)</f>
        <v>44784</v>
      </c>
      <c r="C4254" t="str">
        <f ca="1">IFERROR(__xludf.DUMMYFUNCTION("""COMPUTED_VALUE"""),"СОЮЗ-19 ООО СК 164-СТР от 09.08.2022")</f>
        <v>СОЮЗ-19 ООО СК 164-СТР от 09.08.2022</v>
      </c>
      <c r="D42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4" t="str">
        <f ca="1">IFERROR(__xludf.DUMMYFUNCTION("""COMPUTED_VALUE"""),"Новый")</f>
        <v>Новый</v>
      </c>
      <c r="G4254" s="68"/>
      <c r="K4254" s="68"/>
    </row>
    <row r="4255" spans="1:11" ht="12.75">
      <c r="A4255" s="69">
        <f ca="1">IFERROR(__xludf.DUMMYFUNCTION("""COMPUTED_VALUE"""),103659)</f>
        <v>103659</v>
      </c>
      <c r="B4255" s="4">
        <f ca="1">IFERROR(__xludf.DUMMYFUNCTION("""COMPUTED_VALUE"""),44784)</f>
        <v>44784</v>
      </c>
      <c r="C4255" t="str">
        <f ca="1">IFERROR(__xludf.DUMMYFUNCTION("""COMPUTED_VALUE"""),"СОЮЗ-19 ООО СК 164-СТР от 09.08.2022")</f>
        <v>СОЮЗ-19 ООО СК 164-СТР от 09.08.2022</v>
      </c>
      <c r="D42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5" t="str">
        <f ca="1">IFERROR(__xludf.DUMMYFUNCTION("""COMPUTED_VALUE"""),"Новый")</f>
        <v>Новый</v>
      </c>
      <c r="G4255" s="68"/>
      <c r="K4255" s="68"/>
    </row>
    <row r="4256" spans="1:11" ht="12.75">
      <c r="A4256" s="69">
        <f ca="1">IFERROR(__xludf.DUMMYFUNCTION("""COMPUTED_VALUE"""),103660)</f>
        <v>103660</v>
      </c>
      <c r="B4256" s="4">
        <f ca="1">IFERROR(__xludf.DUMMYFUNCTION("""COMPUTED_VALUE"""),44784)</f>
        <v>44784</v>
      </c>
      <c r="C4256" t="str">
        <f ca="1">IFERROR(__xludf.DUMMYFUNCTION("""COMPUTED_VALUE"""),"СОЮЗ-19 ООО СК 164-СТР от 09.08.2022")</f>
        <v>СОЮЗ-19 ООО СК 164-СТР от 09.08.2022</v>
      </c>
      <c r="D42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6" t="str">
        <f ca="1">IFERROR(__xludf.DUMMYFUNCTION("""COMPUTED_VALUE"""),"Новый")</f>
        <v>Новый</v>
      </c>
      <c r="G4256" s="68"/>
      <c r="K4256" s="68"/>
    </row>
    <row r="4257" spans="1:11" ht="12.75">
      <c r="A4257" s="69">
        <f ca="1">IFERROR(__xludf.DUMMYFUNCTION("""COMPUTED_VALUE"""),103661)</f>
        <v>103661</v>
      </c>
      <c r="B4257" s="4">
        <f ca="1">IFERROR(__xludf.DUMMYFUNCTION("""COMPUTED_VALUE"""),44784)</f>
        <v>44784</v>
      </c>
      <c r="C4257" t="str">
        <f ca="1">IFERROR(__xludf.DUMMYFUNCTION("""COMPUTED_VALUE"""),"СОЮЗ-19 ООО СК 164-СТР от 09.08.2022")</f>
        <v>СОЮЗ-19 ООО СК 164-СТР от 09.08.2022</v>
      </c>
      <c r="D42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7" t="str">
        <f ca="1">IFERROR(__xludf.DUMMYFUNCTION("""COMPUTED_VALUE"""),"Новый")</f>
        <v>Новый</v>
      </c>
      <c r="G4257" s="68"/>
      <c r="K4257" s="68"/>
    </row>
    <row r="4258" spans="1:11" ht="12.75">
      <c r="A4258" s="69">
        <f ca="1">IFERROR(__xludf.DUMMYFUNCTION("""COMPUTED_VALUE"""),103662)</f>
        <v>103662</v>
      </c>
      <c r="B4258" s="4">
        <f ca="1">IFERROR(__xludf.DUMMYFUNCTION("""COMPUTED_VALUE"""),44784)</f>
        <v>44784</v>
      </c>
      <c r="C4258" t="str">
        <f ca="1">IFERROR(__xludf.DUMMYFUNCTION("""COMPUTED_VALUE"""),"СОЮЗ-19 ООО СК 164-СТР от 09.08.2022")</f>
        <v>СОЮЗ-19 ООО СК 164-СТР от 09.08.2022</v>
      </c>
      <c r="D42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8" t="str">
        <f ca="1">IFERROR(__xludf.DUMMYFUNCTION("""COMPUTED_VALUE"""),"Новый")</f>
        <v>Новый</v>
      </c>
      <c r="G4258" s="68"/>
      <c r="K4258" s="68"/>
    </row>
    <row r="4259" spans="1:11" ht="12.75">
      <c r="A4259" s="69">
        <f ca="1">IFERROR(__xludf.DUMMYFUNCTION("""COMPUTED_VALUE"""),103663)</f>
        <v>103663</v>
      </c>
      <c r="B4259" s="4">
        <f ca="1">IFERROR(__xludf.DUMMYFUNCTION("""COMPUTED_VALUE"""),44784)</f>
        <v>44784</v>
      </c>
      <c r="C4259" t="str">
        <f ca="1">IFERROR(__xludf.DUMMYFUNCTION("""COMPUTED_VALUE"""),"СОЮЗ-19 ООО СК 164-СТР от 09.08.2022")</f>
        <v>СОЮЗ-19 ООО СК 164-СТР от 09.08.2022</v>
      </c>
      <c r="D42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59" t="str">
        <f ca="1">IFERROR(__xludf.DUMMYFUNCTION("""COMPUTED_VALUE"""),"Новый")</f>
        <v>Новый</v>
      </c>
      <c r="G4259" s="68"/>
      <c r="K4259" s="68"/>
    </row>
    <row r="4260" spans="1:11" ht="12.75">
      <c r="A4260" s="69">
        <f ca="1">IFERROR(__xludf.DUMMYFUNCTION("""COMPUTED_VALUE"""),103666)</f>
        <v>103666</v>
      </c>
      <c r="B4260" s="4">
        <f ca="1">IFERROR(__xludf.DUMMYFUNCTION("""COMPUTED_VALUE"""),44784)</f>
        <v>44784</v>
      </c>
      <c r="C4260" t="str">
        <f ca="1">IFERROR(__xludf.DUMMYFUNCTION("""COMPUTED_VALUE"""),"СОЮЗ-19 ООО СК 164-СТР от 09.08.2022")</f>
        <v>СОЮЗ-19 ООО СК 164-СТР от 09.08.2022</v>
      </c>
      <c r="D42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0" t="str">
        <f ca="1">IFERROR(__xludf.DUMMYFUNCTION("""COMPUTED_VALUE"""),"Новый")</f>
        <v>Новый</v>
      </c>
      <c r="G4260" s="68"/>
      <c r="K4260" s="68"/>
    </row>
    <row r="4261" spans="1:11" ht="12.75">
      <c r="A4261" s="69">
        <f ca="1">IFERROR(__xludf.DUMMYFUNCTION("""COMPUTED_VALUE"""),103667)</f>
        <v>103667</v>
      </c>
      <c r="B4261" s="4">
        <f ca="1">IFERROR(__xludf.DUMMYFUNCTION("""COMPUTED_VALUE"""),44784)</f>
        <v>44784</v>
      </c>
      <c r="C4261" t="str">
        <f ca="1">IFERROR(__xludf.DUMMYFUNCTION("""COMPUTED_VALUE"""),"СОЮЗ-19 ООО СК 164-СТР от 09.08.2022")</f>
        <v>СОЮЗ-19 ООО СК 164-СТР от 09.08.2022</v>
      </c>
      <c r="D42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1" t="str">
        <f ca="1">IFERROR(__xludf.DUMMYFUNCTION("""COMPUTED_VALUE"""),"Новый")</f>
        <v>Новый</v>
      </c>
      <c r="G4261" s="68"/>
      <c r="K4261" s="68"/>
    </row>
    <row r="4262" spans="1:11" ht="12.75">
      <c r="A4262" s="69">
        <f ca="1">IFERROR(__xludf.DUMMYFUNCTION("""COMPUTED_VALUE"""),103668)</f>
        <v>103668</v>
      </c>
      <c r="B4262" s="4">
        <f ca="1">IFERROR(__xludf.DUMMYFUNCTION("""COMPUTED_VALUE"""),44784)</f>
        <v>44784</v>
      </c>
      <c r="C4262" t="str">
        <f ca="1">IFERROR(__xludf.DUMMYFUNCTION("""COMPUTED_VALUE"""),"СОЮЗ-19 ООО СК 164-СТР от 09.08.2022")</f>
        <v>СОЮЗ-19 ООО СК 164-СТР от 09.08.2022</v>
      </c>
      <c r="D42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2" t="str">
        <f ca="1">IFERROR(__xludf.DUMMYFUNCTION("""COMPUTED_VALUE"""),"Новый")</f>
        <v>Новый</v>
      </c>
      <c r="G4262" s="68"/>
      <c r="K4262" s="68"/>
    </row>
    <row r="4263" spans="1:11" ht="12.75">
      <c r="A4263" s="69">
        <f ca="1">IFERROR(__xludf.DUMMYFUNCTION("""COMPUTED_VALUE"""),103669)</f>
        <v>103669</v>
      </c>
      <c r="B4263" s="4">
        <f ca="1">IFERROR(__xludf.DUMMYFUNCTION("""COMPUTED_VALUE"""),44784)</f>
        <v>44784</v>
      </c>
      <c r="C4263" t="str">
        <f ca="1">IFERROR(__xludf.DUMMYFUNCTION("""COMPUTED_VALUE"""),"СОЮЗ-19 ООО СК 164-СТР от 09.08.2022")</f>
        <v>СОЮЗ-19 ООО СК 164-СТР от 09.08.2022</v>
      </c>
      <c r="D42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3" t="str">
        <f ca="1">IFERROR(__xludf.DUMMYFUNCTION("""COMPUTED_VALUE"""),"Новый")</f>
        <v>Новый</v>
      </c>
      <c r="G4263" s="68"/>
      <c r="K4263" s="68"/>
    </row>
    <row r="4264" spans="1:11" ht="12.75">
      <c r="A4264" s="69">
        <f ca="1">IFERROR(__xludf.DUMMYFUNCTION("""COMPUTED_VALUE"""),103670)</f>
        <v>103670</v>
      </c>
      <c r="B4264" s="4">
        <f ca="1">IFERROR(__xludf.DUMMYFUNCTION("""COMPUTED_VALUE"""),44784)</f>
        <v>44784</v>
      </c>
      <c r="C4264" t="str">
        <f ca="1">IFERROR(__xludf.DUMMYFUNCTION("""COMPUTED_VALUE"""),"СОЮЗ-19 ООО СК 164-СТР от 09.08.2022")</f>
        <v>СОЮЗ-19 ООО СК 164-СТР от 09.08.2022</v>
      </c>
      <c r="D42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4" t="str">
        <f ca="1">IFERROR(__xludf.DUMMYFUNCTION("""COMPUTED_VALUE"""),"Новый")</f>
        <v>Новый</v>
      </c>
      <c r="G4264" s="68"/>
      <c r="K4264" s="68"/>
    </row>
    <row r="4265" spans="1:11" ht="12.75">
      <c r="A4265" s="69">
        <f ca="1">IFERROR(__xludf.DUMMYFUNCTION("""COMPUTED_VALUE"""),103671)</f>
        <v>103671</v>
      </c>
      <c r="B4265" s="4">
        <f ca="1">IFERROR(__xludf.DUMMYFUNCTION("""COMPUTED_VALUE"""),44784)</f>
        <v>44784</v>
      </c>
      <c r="C4265" t="str">
        <f ca="1">IFERROR(__xludf.DUMMYFUNCTION("""COMPUTED_VALUE"""),"СОЮЗ-19 ООО СК 164-СТР от 09.08.2022")</f>
        <v>СОЮЗ-19 ООО СК 164-СТР от 09.08.2022</v>
      </c>
      <c r="D42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5" t="str">
        <f ca="1">IFERROR(__xludf.DUMMYFUNCTION("""COMPUTED_VALUE"""),"Новый")</f>
        <v>Новый</v>
      </c>
      <c r="G4265" s="68"/>
      <c r="K4265" s="68"/>
    </row>
    <row r="4266" spans="1:11" ht="12.75">
      <c r="A4266" s="69">
        <f ca="1">IFERROR(__xludf.DUMMYFUNCTION("""COMPUTED_VALUE"""),103672)</f>
        <v>103672</v>
      </c>
      <c r="B4266" s="4">
        <f ca="1">IFERROR(__xludf.DUMMYFUNCTION("""COMPUTED_VALUE"""),44784)</f>
        <v>44784</v>
      </c>
      <c r="C4266" t="str">
        <f ca="1">IFERROR(__xludf.DUMMYFUNCTION("""COMPUTED_VALUE"""),"СОЮЗ-19 ООО СК 164-СТР от 09.08.2022")</f>
        <v>СОЮЗ-19 ООО СК 164-СТР от 09.08.2022</v>
      </c>
      <c r="D42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6" t="str">
        <f ca="1">IFERROR(__xludf.DUMMYFUNCTION("""COMPUTED_VALUE"""),"Новый")</f>
        <v>Новый</v>
      </c>
      <c r="G4266" s="68"/>
      <c r="K4266" s="68"/>
    </row>
    <row r="4267" spans="1:11" ht="12.75">
      <c r="A4267" s="69">
        <f ca="1">IFERROR(__xludf.DUMMYFUNCTION("""COMPUTED_VALUE"""),103673)</f>
        <v>103673</v>
      </c>
      <c r="B4267" s="4">
        <f ca="1">IFERROR(__xludf.DUMMYFUNCTION("""COMPUTED_VALUE"""),44784)</f>
        <v>44784</v>
      </c>
      <c r="C4267" t="str">
        <f ca="1">IFERROR(__xludf.DUMMYFUNCTION("""COMPUTED_VALUE"""),"СОЮЗ-19 ООО СК 164-СТР от 09.08.2022")</f>
        <v>СОЮЗ-19 ООО СК 164-СТР от 09.08.2022</v>
      </c>
      <c r="D42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7" t="str">
        <f ca="1">IFERROR(__xludf.DUMMYFUNCTION("""COMPUTED_VALUE"""),"Новый")</f>
        <v>Новый</v>
      </c>
      <c r="G4267" s="68"/>
      <c r="K4267" s="68"/>
    </row>
    <row r="4268" spans="1:11" ht="12.75">
      <c r="A4268" s="69">
        <f ca="1">IFERROR(__xludf.DUMMYFUNCTION("""COMPUTED_VALUE"""),103674)</f>
        <v>103674</v>
      </c>
      <c r="B4268" s="4">
        <f ca="1">IFERROR(__xludf.DUMMYFUNCTION("""COMPUTED_VALUE"""),44784)</f>
        <v>44784</v>
      </c>
      <c r="C4268" t="str">
        <f ca="1">IFERROR(__xludf.DUMMYFUNCTION("""COMPUTED_VALUE"""),"СОЮЗ-19 ООО СК 164-СТР от 09.08.2022")</f>
        <v>СОЮЗ-19 ООО СК 164-СТР от 09.08.2022</v>
      </c>
      <c r="D42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8" t="str">
        <f ca="1">IFERROR(__xludf.DUMMYFUNCTION("""COMPUTED_VALUE"""),"Новый")</f>
        <v>Новый</v>
      </c>
      <c r="G4268" s="68"/>
      <c r="K4268" s="68"/>
    </row>
    <row r="4269" spans="1:11" ht="12.75">
      <c r="A4269" s="69">
        <f ca="1">IFERROR(__xludf.DUMMYFUNCTION("""COMPUTED_VALUE"""),103675)</f>
        <v>103675</v>
      </c>
      <c r="B4269" s="4">
        <f ca="1">IFERROR(__xludf.DUMMYFUNCTION("""COMPUTED_VALUE"""),44784)</f>
        <v>44784</v>
      </c>
      <c r="C4269" t="str">
        <f ca="1">IFERROR(__xludf.DUMMYFUNCTION("""COMPUTED_VALUE"""),"СОЮЗ-19 ООО СК 164-СТР от 09.08.2022")</f>
        <v>СОЮЗ-19 ООО СК 164-СТР от 09.08.2022</v>
      </c>
      <c r="D42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69" t="str">
        <f ca="1">IFERROR(__xludf.DUMMYFUNCTION("""COMPUTED_VALUE"""),"Новый")</f>
        <v>Новый</v>
      </c>
      <c r="G4269" s="68"/>
      <c r="K4269" s="68"/>
    </row>
    <row r="4270" spans="1:11" ht="12.75">
      <c r="A4270" s="69">
        <f ca="1">IFERROR(__xludf.DUMMYFUNCTION("""COMPUTED_VALUE"""),103676)</f>
        <v>103676</v>
      </c>
      <c r="B4270" s="4">
        <f ca="1">IFERROR(__xludf.DUMMYFUNCTION("""COMPUTED_VALUE"""),44784)</f>
        <v>44784</v>
      </c>
      <c r="C4270" t="str">
        <f ca="1">IFERROR(__xludf.DUMMYFUNCTION("""COMPUTED_VALUE"""),"СОЮЗ-19 ООО СК 164-СТР от 09.08.2022")</f>
        <v>СОЮЗ-19 ООО СК 164-СТР от 09.08.2022</v>
      </c>
      <c r="D42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0" t="str">
        <f ca="1">IFERROR(__xludf.DUMMYFUNCTION("""COMPUTED_VALUE"""),"Новый")</f>
        <v>Новый</v>
      </c>
      <c r="G4270" s="68"/>
      <c r="K4270" s="68"/>
    </row>
    <row r="4271" spans="1:11" ht="12.75">
      <c r="A4271" s="69">
        <f ca="1">IFERROR(__xludf.DUMMYFUNCTION("""COMPUTED_VALUE"""),103677)</f>
        <v>103677</v>
      </c>
      <c r="B4271" s="4">
        <f ca="1">IFERROR(__xludf.DUMMYFUNCTION("""COMPUTED_VALUE"""),44784)</f>
        <v>44784</v>
      </c>
      <c r="C4271" t="str">
        <f ca="1">IFERROR(__xludf.DUMMYFUNCTION("""COMPUTED_VALUE"""),"СОЮЗ-19 ООО СК 164-СТР от 09.08.2022")</f>
        <v>СОЮЗ-19 ООО СК 164-СТР от 09.08.2022</v>
      </c>
      <c r="D42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1" t="str">
        <f ca="1">IFERROR(__xludf.DUMMYFUNCTION("""COMPUTED_VALUE"""),"Новый")</f>
        <v>Новый</v>
      </c>
      <c r="G4271" s="68"/>
      <c r="K4271" s="68"/>
    </row>
    <row r="4272" spans="1:11" ht="12.75">
      <c r="A4272" s="69">
        <f ca="1">IFERROR(__xludf.DUMMYFUNCTION("""COMPUTED_VALUE"""),103678)</f>
        <v>103678</v>
      </c>
      <c r="B4272" s="4">
        <f ca="1">IFERROR(__xludf.DUMMYFUNCTION("""COMPUTED_VALUE"""),44784)</f>
        <v>44784</v>
      </c>
      <c r="C4272" t="str">
        <f ca="1">IFERROR(__xludf.DUMMYFUNCTION("""COMPUTED_VALUE"""),"СОЮЗ-19 ООО СК 164-СТР от 09.08.2022")</f>
        <v>СОЮЗ-19 ООО СК 164-СТР от 09.08.2022</v>
      </c>
      <c r="D42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2" t="str">
        <f ca="1">IFERROR(__xludf.DUMMYFUNCTION("""COMPUTED_VALUE"""),"Новый")</f>
        <v>Новый</v>
      </c>
      <c r="G4272" s="68"/>
      <c r="K4272" s="68"/>
    </row>
    <row r="4273" spans="1:11" ht="12.75">
      <c r="A4273" s="69">
        <f ca="1">IFERROR(__xludf.DUMMYFUNCTION("""COMPUTED_VALUE"""),103679)</f>
        <v>103679</v>
      </c>
      <c r="B4273" s="4">
        <f ca="1">IFERROR(__xludf.DUMMYFUNCTION("""COMPUTED_VALUE"""),44784)</f>
        <v>44784</v>
      </c>
      <c r="C4273" t="str">
        <f ca="1">IFERROR(__xludf.DUMMYFUNCTION("""COMPUTED_VALUE"""),"СОЮЗ-19 ООО СК 164-СТР от 09.08.2022")</f>
        <v>СОЮЗ-19 ООО СК 164-СТР от 09.08.2022</v>
      </c>
      <c r="D42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3" t="str">
        <f ca="1">IFERROR(__xludf.DUMMYFUNCTION("""COMPUTED_VALUE"""),"Новый")</f>
        <v>Новый</v>
      </c>
      <c r="G4273" s="68"/>
      <c r="K4273" s="68"/>
    </row>
    <row r="4274" spans="1:11" ht="12.75">
      <c r="A4274" s="69">
        <f ca="1">IFERROR(__xludf.DUMMYFUNCTION("""COMPUTED_VALUE"""),103680)</f>
        <v>103680</v>
      </c>
      <c r="B4274" s="4">
        <f ca="1">IFERROR(__xludf.DUMMYFUNCTION("""COMPUTED_VALUE"""),44784)</f>
        <v>44784</v>
      </c>
      <c r="C4274" t="str">
        <f ca="1">IFERROR(__xludf.DUMMYFUNCTION("""COMPUTED_VALUE"""),"СОЮЗ-19 ООО СК 164-СТР от 09.08.2022")</f>
        <v>СОЮЗ-19 ООО СК 164-СТР от 09.08.2022</v>
      </c>
      <c r="D42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4" t="str">
        <f ca="1">IFERROR(__xludf.DUMMYFUNCTION("""COMPUTED_VALUE"""),"Новый")</f>
        <v>Новый</v>
      </c>
      <c r="G4274" s="68"/>
      <c r="K4274" s="68"/>
    </row>
    <row r="4275" spans="1:11" ht="12.75">
      <c r="A4275" s="69">
        <f ca="1">IFERROR(__xludf.DUMMYFUNCTION("""COMPUTED_VALUE"""),103681)</f>
        <v>103681</v>
      </c>
      <c r="B4275" s="4">
        <f ca="1">IFERROR(__xludf.DUMMYFUNCTION("""COMPUTED_VALUE"""),44784)</f>
        <v>44784</v>
      </c>
      <c r="C4275" t="str">
        <f ca="1">IFERROR(__xludf.DUMMYFUNCTION("""COMPUTED_VALUE"""),"СОЮЗ-19 ООО СК 164-СТР от 09.08.2022")</f>
        <v>СОЮЗ-19 ООО СК 164-СТР от 09.08.2022</v>
      </c>
      <c r="D42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5" t="str">
        <f ca="1">IFERROR(__xludf.DUMMYFUNCTION("""COMPUTED_VALUE"""),"Новый")</f>
        <v>Новый</v>
      </c>
      <c r="G4275" s="68"/>
      <c r="K4275" s="68"/>
    </row>
    <row r="4276" spans="1:11" ht="12.75">
      <c r="A4276" s="69">
        <f ca="1">IFERROR(__xludf.DUMMYFUNCTION("""COMPUTED_VALUE"""),103682)</f>
        <v>103682</v>
      </c>
      <c r="B4276" s="4">
        <f ca="1">IFERROR(__xludf.DUMMYFUNCTION("""COMPUTED_VALUE"""),44784)</f>
        <v>44784</v>
      </c>
      <c r="C4276" t="str">
        <f ca="1">IFERROR(__xludf.DUMMYFUNCTION("""COMPUTED_VALUE"""),"СОЮЗ-19 ООО СК 164-СТР от 09.08.2022")</f>
        <v>СОЮЗ-19 ООО СК 164-СТР от 09.08.2022</v>
      </c>
      <c r="D42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6" t="str">
        <f ca="1">IFERROR(__xludf.DUMMYFUNCTION("""COMPUTED_VALUE"""),"Новый")</f>
        <v>Новый</v>
      </c>
      <c r="G4276" s="68"/>
      <c r="K4276" s="68"/>
    </row>
    <row r="4277" spans="1:11" ht="12.75">
      <c r="A4277" s="69">
        <f ca="1">IFERROR(__xludf.DUMMYFUNCTION("""COMPUTED_VALUE"""),103683)</f>
        <v>103683</v>
      </c>
      <c r="B4277" s="4">
        <f ca="1">IFERROR(__xludf.DUMMYFUNCTION("""COMPUTED_VALUE"""),44784)</f>
        <v>44784</v>
      </c>
      <c r="C4277" t="str">
        <f ca="1">IFERROR(__xludf.DUMMYFUNCTION("""COMPUTED_VALUE"""),"СОЮЗ-19 ООО СК 164-СТР от 09.08.2022")</f>
        <v>СОЮЗ-19 ООО СК 164-СТР от 09.08.2022</v>
      </c>
      <c r="D42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7" t="str">
        <f ca="1">IFERROR(__xludf.DUMMYFUNCTION("""COMPUTED_VALUE"""),"Новый")</f>
        <v>Новый</v>
      </c>
      <c r="G4277" s="68"/>
      <c r="K4277" s="68"/>
    </row>
    <row r="4278" spans="1:11" ht="12.75">
      <c r="A4278" s="69">
        <f ca="1">IFERROR(__xludf.DUMMYFUNCTION("""COMPUTED_VALUE"""),103684)</f>
        <v>103684</v>
      </c>
      <c r="B4278" s="4">
        <f ca="1">IFERROR(__xludf.DUMMYFUNCTION("""COMPUTED_VALUE"""),44784)</f>
        <v>44784</v>
      </c>
      <c r="C4278" t="str">
        <f ca="1">IFERROR(__xludf.DUMMYFUNCTION("""COMPUTED_VALUE"""),"СОЮЗ-19 ООО СК 164-СТР от 09.08.2022")</f>
        <v>СОЮЗ-19 ООО СК 164-СТР от 09.08.2022</v>
      </c>
      <c r="D42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8" t="str">
        <f ca="1">IFERROR(__xludf.DUMMYFUNCTION("""COMPUTED_VALUE"""),"Новый")</f>
        <v>Новый</v>
      </c>
      <c r="G4278" s="68"/>
      <c r="K4278" s="68"/>
    </row>
    <row r="4279" spans="1:11" ht="12.75">
      <c r="A4279" s="69">
        <f ca="1">IFERROR(__xludf.DUMMYFUNCTION("""COMPUTED_VALUE"""),103685)</f>
        <v>103685</v>
      </c>
      <c r="B4279" s="4">
        <f ca="1">IFERROR(__xludf.DUMMYFUNCTION("""COMPUTED_VALUE"""),44784)</f>
        <v>44784</v>
      </c>
      <c r="C4279" t="str">
        <f ca="1">IFERROR(__xludf.DUMMYFUNCTION("""COMPUTED_VALUE"""),"СОЮЗ-19 ООО СК 164-СТР от 09.08.2022")</f>
        <v>СОЮЗ-19 ООО СК 164-СТР от 09.08.2022</v>
      </c>
      <c r="D42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79" t="str">
        <f ca="1">IFERROR(__xludf.DUMMYFUNCTION("""COMPUTED_VALUE"""),"Новый")</f>
        <v>Новый</v>
      </c>
      <c r="G4279" s="68"/>
      <c r="K4279" s="68"/>
    </row>
    <row r="4280" spans="1:11" ht="12.75">
      <c r="A4280" s="69">
        <f ca="1">IFERROR(__xludf.DUMMYFUNCTION("""COMPUTED_VALUE"""),103686)</f>
        <v>103686</v>
      </c>
      <c r="B4280" s="4">
        <f ca="1">IFERROR(__xludf.DUMMYFUNCTION("""COMPUTED_VALUE"""),44784)</f>
        <v>44784</v>
      </c>
      <c r="C4280" t="str">
        <f ca="1">IFERROR(__xludf.DUMMYFUNCTION("""COMPUTED_VALUE"""),"СОЮЗ-19 ООО СК 164-СТР от 09.08.2022")</f>
        <v>СОЮЗ-19 ООО СК 164-СТР от 09.08.2022</v>
      </c>
      <c r="D42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0" t="str">
        <f ca="1">IFERROR(__xludf.DUMMYFUNCTION("""COMPUTED_VALUE"""),"Новый")</f>
        <v>Новый</v>
      </c>
      <c r="G4280" s="68"/>
      <c r="K4280" s="68"/>
    </row>
    <row r="4281" spans="1:11" ht="12.75">
      <c r="A4281" s="69">
        <f ca="1">IFERROR(__xludf.DUMMYFUNCTION("""COMPUTED_VALUE"""),103687)</f>
        <v>103687</v>
      </c>
      <c r="B4281" s="4">
        <f ca="1">IFERROR(__xludf.DUMMYFUNCTION("""COMPUTED_VALUE"""),44784)</f>
        <v>44784</v>
      </c>
      <c r="C4281" t="str">
        <f ca="1">IFERROR(__xludf.DUMMYFUNCTION("""COMPUTED_VALUE"""),"СОЮЗ-19 ООО СК 164-СТР от 09.08.2022")</f>
        <v>СОЮЗ-19 ООО СК 164-СТР от 09.08.2022</v>
      </c>
      <c r="D42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1" t="str">
        <f ca="1">IFERROR(__xludf.DUMMYFUNCTION("""COMPUTED_VALUE"""),"Новый")</f>
        <v>Новый</v>
      </c>
      <c r="G4281" s="68"/>
      <c r="K4281" s="68"/>
    </row>
    <row r="4282" spans="1:11" ht="12.75">
      <c r="A4282" s="69">
        <f ca="1">IFERROR(__xludf.DUMMYFUNCTION("""COMPUTED_VALUE"""),103688)</f>
        <v>103688</v>
      </c>
      <c r="B4282" s="4">
        <f ca="1">IFERROR(__xludf.DUMMYFUNCTION("""COMPUTED_VALUE"""),44784)</f>
        <v>44784</v>
      </c>
      <c r="C4282" t="str">
        <f ca="1">IFERROR(__xludf.DUMMYFUNCTION("""COMPUTED_VALUE"""),"СОЮЗ-19 ООО СК 164-СТР от 09.08.2022")</f>
        <v>СОЮЗ-19 ООО СК 164-СТР от 09.08.2022</v>
      </c>
      <c r="D42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2" t="str">
        <f ca="1">IFERROR(__xludf.DUMMYFUNCTION("""COMPUTED_VALUE"""),"Новый")</f>
        <v>Новый</v>
      </c>
      <c r="G4282" s="68"/>
      <c r="K4282" s="68"/>
    </row>
    <row r="4283" spans="1:11" ht="12.75">
      <c r="A4283" s="69">
        <f ca="1">IFERROR(__xludf.DUMMYFUNCTION("""COMPUTED_VALUE"""),103689)</f>
        <v>103689</v>
      </c>
      <c r="B4283" s="4">
        <f ca="1">IFERROR(__xludf.DUMMYFUNCTION("""COMPUTED_VALUE"""),44784)</f>
        <v>44784</v>
      </c>
      <c r="C4283" t="str">
        <f ca="1">IFERROR(__xludf.DUMMYFUNCTION("""COMPUTED_VALUE"""),"СОЮЗ-19 ООО СК 164-СТР от 09.08.2022")</f>
        <v>СОЮЗ-19 ООО СК 164-СТР от 09.08.2022</v>
      </c>
      <c r="D42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3" t="str">
        <f ca="1">IFERROR(__xludf.DUMMYFUNCTION("""COMPUTED_VALUE"""),"Новый")</f>
        <v>Новый</v>
      </c>
      <c r="G4283" s="68"/>
      <c r="K4283" s="68"/>
    </row>
    <row r="4284" spans="1:11" ht="12.75">
      <c r="A4284" s="69">
        <f ca="1">IFERROR(__xludf.DUMMYFUNCTION("""COMPUTED_VALUE"""),103690)</f>
        <v>103690</v>
      </c>
      <c r="B4284" s="4">
        <f ca="1">IFERROR(__xludf.DUMMYFUNCTION("""COMPUTED_VALUE"""),44784)</f>
        <v>44784</v>
      </c>
      <c r="C4284" t="str">
        <f ca="1">IFERROR(__xludf.DUMMYFUNCTION("""COMPUTED_VALUE"""),"СОЮЗ-19 ООО СК 164-СТР от 09.08.2022")</f>
        <v>СОЮЗ-19 ООО СК 164-СТР от 09.08.2022</v>
      </c>
      <c r="D42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4" t="str">
        <f ca="1">IFERROR(__xludf.DUMMYFUNCTION("""COMPUTED_VALUE"""),"Новый")</f>
        <v>Новый</v>
      </c>
      <c r="G4284" s="68"/>
      <c r="K4284" s="68"/>
    </row>
    <row r="4285" spans="1:11" ht="12.75">
      <c r="A4285" s="69">
        <f ca="1">IFERROR(__xludf.DUMMYFUNCTION("""COMPUTED_VALUE"""),103691)</f>
        <v>103691</v>
      </c>
      <c r="B4285" s="4">
        <f ca="1">IFERROR(__xludf.DUMMYFUNCTION("""COMPUTED_VALUE"""),44784)</f>
        <v>44784</v>
      </c>
      <c r="C4285" t="str">
        <f ca="1">IFERROR(__xludf.DUMMYFUNCTION("""COMPUTED_VALUE"""),"СОЮЗ-19 ООО СК 164-СТР от 09.08.2022")</f>
        <v>СОЮЗ-19 ООО СК 164-СТР от 09.08.2022</v>
      </c>
      <c r="D42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5" t="str">
        <f ca="1">IFERROR(__xludf.DUMMYFUNCTION("""COMPUTED_VALUE"""),"Новый")</f>
        <v>Новый</v>
      </c>
      <c r="G4285" s="68"/>
      <c r="K4285" s="68"/>
    </row>
    <row r="4286" spans="1:11" ht="12.75">
      <c r="A4286" s="69">
        <f ca="1">IFERROR(__xludf.DUMMYFUNCTION("""COMPUTED_VALUE"""),103692)</f>
        <v>103692</v>
      </c>
      <c r="B4286" s="4">
        <f ca="1">IFERROR(__xludf.DUMMYFUNCTION("""COMPUTED_VALUE"""),44784)</f>
        <v>44784</v>
      </c>
      <c r="C4286" t="str">
        <f ca="1">IFERROR(__xludf.DUMMYFUNCTION("""COMPUTED_VALUE"""),"СОЮЗ-19 ООО СК 164-СТР от 09.08.2022")</f>
        <v>СОЮЗ-19 ООО СК 164-СТР от 09.08.2022</v>
      </c>
      <c r="D42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6" t="str">
        <f ca="1">IFERROR(__xludf.DUMMYFUNCTION("""COMPUTED_VALUE"""),"Новый")</f>
        <v>Новый</v>
      </c>
      <c r="G4286" s="68"/>
      <c r="K4286" s="68"/>
    </row>
    <row r="4287" spans="1:11" ht="12.75">
      <c r="A4287" s="69">
        <f ca="1">IFERROR(__xludf.DUMMYFUNCTION("""COMPUTED_VALUE"""),103693)</f>
        <v>103693</v>
      </c>
      <c r="B4287" s="4">
        <f ca="1">IFERROR(__xludf.DUMMYFUNCTION("""COMPUTED_VALUE"""),44784)</f>
        <v>44784</v>
      </c>
      <c r="C4287" t="str">
        <f ca="1">IFERROR(__xludf.DUMMYFUNCTION("""COMPUTED_VALUE"""),"СОЮЗ-19 ООО СК 164-СТР от 09.08.2022")</f>
        <v>СОЮЗ-19 ООО СК 164-СТР от 09.08.2022</v>
      </c>
      <c r="D42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7" t="str">
        <f ca="1">IFERROR(__xludf.DUMMYFUNCTION("""COMPUTED_VALUE"""),"Новый")</f>
        <v>Новый</v>
      </c>
      <c r="G4287" s="68"/>
      <c r="K4287" s="68"/>
    </row>
    <row r="4288" spans="1:11" ht="12.75">
      <c r="A4288" s="69">
        <f ca="1">IFERROR(__xludf.DUMMYFUNCTION("""COMPUTED_VALUE"""),103694)</f>
        <v>103694</v>
      </c>
      <c r="B4288" s="4">
        <f ca="1">IFERROR(__xludf.DUMMYFUNCTION("""COMPUTED_VALUE"""),44784)</f>
        <v>44784</v>
      </c>
      <c r="C4288" t="str">
        <f ca="1">IFERROR(__xludf.DUMMYFUNCTION("""COMPUTED_VALUE"""),"СОЮЗ-19 ООО СК 164-СТР от 09.08.2022")</f>
        <v>СОЮЗ-19 ООО СК 164-СТР от 09.08.2022</v>
      </c>
      <c r="D42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8" t="str">
        <f ca="1">IFERROR(__xludf.DUMMYFUNCTION("""COMPUTED_VALUE"""),"Новый")</f>
        <v>Новый</v>
      </c>
      <c r="G4288" s="68"/>
      <c r="K4288" s="68"/>
    </row>
    <row r="4289" spans="1:11" ht="12.75">
      <c r="A4289" s="69">
        <f ca="1">IFERROR(__xludf.DUMMYFUNCTION("""COMPUTED_VALUE"""),103695)</f>
        <v>103695</v>
      </c>
      <c r="B4289" s="4">
        <f ca="1">IFERROR(__xludf.DUMMYFUNCTION("""COMPUTED_VALUE"""),44784)</f>
        <v>44784</v>
      </c>
      <c r="C4289" t="str">
        <f ca="1">IFERROR(__xludf.DUMMYFUNCTION("""COMPUTED_VALUE"""),"СОЮЗ-19 ООО СК 164-СТР от 09.08.2022")</f>
        <v>СОЮЗ-19 ООО СК 164-СТР от 09.08.2022</v>
      </c>
      <c r="D42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89" t="str">
        <f ca="1">IFERROR(__xludf.DUMMYFUNCTION("""COMPUTED_VALUE"""),"Новый")</f>
        <v>Новый</v>
      </c>
      <c r="G4289" s="68"/>
      <c r="K4289" s="68"/>
    </row>
    <row r="4290" spans="1:11" ht="12.75">
      <c r="A4290" s="69">
        <f ca="1">IFERROR(__xludf.DUMMYFUNCTION("""COMPUTED_VALUE"""),103696)</f>
        <v>103696</v>
      </c>
      <c r="B4290" s="4">
        <f ca="1">IFERROR(__xludf.DUMMYFUNCTION("""COMPUTED_VALUE"""),44784)</f>
        <v>44784</v>
      </c>
      <c r="C4290" t="str">
        <f ca="1">IFERROR(__xludf.DUMMYFUNCTION("""COMPUTED_VALUE"""),"СОЮЗ-19 ООО СК 164-СТР от 09.08.2022")</f>
        <v>СОЮЗ-19 ООО СК 164-СТР от 09.08.2022</v>
      </c>
      <c r="D42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90" t="str">
        <f ca="1">IFERROR(__xludf.DUMMYFUNCTION("""COMPUTED_VALUE"""),"Новый")</f>
        <v>Новый</v>
      </c>
      <c r="G4290" s="68"/>
      <c r="K4290" s="68"/>
    </row>
    <row r="4291" spans="1:11" ht="12.75">
      <c r="A4291" s="69">
        <f ca="1">IFERROR(__xludf.DUMMYFUNCTION("""COMPUTED_VALUE"""),103697)</f>
        <v>103697</v>
      </c>
      <c r="B4291" s="4">
        <f ca="1">IFERROR(__xludf.DUMMYFUNCTION("""COMPUTED_VALUE"""),44784)</f>
        <v>44784</v>
      </c>
      <c r="C4291" t="str">
        <f ca="1">IFERROR(__xludf.DUMMYFUNCTION("""COMPUTED_VALUE"""),"СОЮЗ-19 ООО СК 164-СТР от 09.08.2022")</f>
        <v>СОЮЗ-19 ООО СК 164-СТР от 09.08.2022</v>
      </c>
      <c r="D42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91" t="str">
        <f ca="1">IFERROR(__xludf.DUMMYFUNCTION("""COMPUTED_VALUE"""),"Новый")</f>
        <v>Новый</v>
      </c>
      <c r="G4291" s="68"/>
      <c r="K4291" s="68"/>
    </row>
    <row r="4292" spans="1:11" ht="12.75">
      <c r="A4292" s="69">
        <f ca="1">IFERROR(__xludf.DUMMYFUNCTION("""COMPUTED_VALUE"""),103698)</f>
        <v>103698</v>
      </c>
      <c r="B4292" s="4">
        <f ca="1">IFERROR(__xludf.DUMMYFUNCTION("""COMPUTED_VALUE"""),44784)</f>
        <v>44784</v>
      </c>
      <c r="C4292" t="str">
        <f ca="1">IFERROR(__xludf.DUMMYFUNCTION("""COMPUTED_VALUE"""),"СОЮЗ-19 ООО СК 164-СТР от 09.08.2022")</f>
        <v>СОЮЗ-19 ООО СК 164-СТР от 09.08.2022</v>
      </c>
      <c r="D42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92" t="str">
        <f ca="1">IFERROR(__xludf.DUMMYFUNCTION("""COMPUTED_VALUE"""),"Новый")</f>
        <v>Новый</v>
      </c>
      <c r="G4292" s="68"/>
      <c r="K4292" s="68"/>
    </row>
    <row r="4293" spans="1:11" ht="12.75">
      <c r="A4293" s="69">
        <f ca="1">IFERROR(__xludf.DUMMYFUNCTION("""COMPUTED_VALUE"""),103699)</f>
        <v>103699</v>
      </c>
      <c r="B4293" s="4">
        <f ca="1">IFERROR(__xludf.DUMMYFUNCTION("""COMPUTED_VALUE"""),44784)</f>
        <v>44784</v>
      </c>
      <c r="C4293" t="str">
        <f ca="1">IFERROR(__xludf.DUMMYFUNCTION("""COMPUTED_VALUE"""),"СОЮЗ-19 ООО СК 164-СТР от 09.08.2022")</f>
        <v>СОЮЗ-19 ООО СК 164-СТР от 09.08.2022</v>
      </c>
      <c r="D42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293" t="str">
        <f ca="1">IFERROR(__xludf.DUMMYFUNCTION("""COMPUTED_VALUE"""),"Новый")</f>
        <v>Новый</v>
      </c>
      <c r="G4293" s="68"/>
      <c r="K4293" s="68"/>
    </row>
    <row r="4294" spans="1:11" ht="12.75">
      <c r="A4294" s="69">
        <f ca="1">IFERROR(__xludf.DUMMYFUNCTION("""COMPUTED_VALUE"""),103724)</f>
        <v>103724</v>
      </c>
      <c r="B4294" s="4">
        <f ca="1">IFERROR(__xludf.DUMMYFUNCTION("""COMPUTED_VALUE"""),44784)</f>
        <v>44784</v>
      </c>
      <c r="C4294" t="str">
        <f ca="1">IFERROR(__xludf.DUMMYFUNCTION("""COMPUTED_VALUE"""),"БУ Г. ОМСКА ""УДХБ"" 197-РДО от 01.07.2022")</f>
        <v>БУ Г. ОМСКА "УДХБ" 197-РДО от 01.07.2022</v>
      </c>
      <c r="D42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4" t="str">
        <f ca="1">IFERROR(__xludf.DUMMYFUNCTION("""COMPUTED_VALUE"""),"Новый")</f>
        <v>Новый</v>
      </c>
      <c r="G4294" s="68"/>
      <c r="K4294" s="68"/>
    </row>
    <row r="4295" spans="1:11" ht="12.75">
      <c r="A4295" s="69">
        <f ca="1">IFERROR(__xludf.DUMMYFUNCTION("""COMPUTED_VALUE"""),103725)</f>
        <v>103725</v>
      </c>
      <c r="B4295" s="4">
        <f ca="1">IFERROR(__xludf.DUMMYFUNCTION("""COMPUTED_VALUE"""),44784)</f>
        <v>44784</v>
      </c>
      <c r="C4295" t="str">
        <f ca="1">IFERROR(__xludf.DUMMYFUNCTION("""COMPUTED_VALUE"""),"БУ Г. ОМСКА ""УДХБ"" 197-РДО от 01.07.2022")</f>
        <v>БУ Г. ОМСКА "УДХБ" 197-РДО от 01.07.2022</v>
      </c>
      <c r="D42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5" t="str">
        <f ca="1">IFERROR(__xludf.DUMMYFUNCTION("""COMPUTED_VALUE"""),"Новый")</f>
        <v>Новый</v>
      </c>
      <c r="G4295" s="68"/>
      <c r="K4295" s="68"/>
    </row>
    <row r="4296" spans="1:11" ht="12.75">
      <c r="A4296" s="69">
        <f ca="1">IFERROR(__xludf.DUMMYFUNCTION("""COMPUTED_VALUE"""),103726)</f>
        <v>103726</v>
      </c>
      <c r="B4296" s="4">
        <f ca="1">IFERROR(__xludf.DUMMYFUNCTION("""COMPUTED_VALUE"""),44784)</f>
        <v>44784</v>
      </c>
      <c r="C4296" t="str">
        <f ca="1">IFERROR(__xludf.DUMMYFUNCTION("""COMPUTED_VALUE"""),"БУ Г. ОМСКА ""УДХБ"" 197-РДО от 01.07.2022")</f>
        <v>БУ Г. ОМСКА "УДХБ" 197-РДО от 01.07.2022</v>
      </c>
      <c r="D42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6" t="str">
        <f ca="1">IFERROR(__xludf.DUMMYFUNCTION("""COMPUTED_VALUE"""),"Новый")</f>
        <v>Новый</v>
      </c>
      <c r="G4296" s="68"/>
      <c r="K4296" s="68"/>
    </row>
    <row r="4297" spans="1:11" ht="12.75">
      <c r="A4297" s="69">
        <f ca="1">IFERROR(__xludf.DUMMYFUNCTION("""COMPUTED_VALUE"""),103727)</f>
        <v>103727</v>
      </c>
      <c r="B4297" s="4">
        <f ca="1">IFERROR(__xludf.DUMMYFUNCTION("""COMPUTED_VALUE"""),44784)</f>
        <v>44784</v>
      </c>
      <c r="C4297" t="str">
        <f ca="1">IFERROR(__xludf.DUMMYFUNCTION("""COMPUTED_VALUE"""),"БУ Г. ОМСКА ""УДХБ"" 197-РДО от 01.07.2022")</f>
        <v>БУ Г. ОМСКА "УДХБ" 197-РДО от 01.07.2022</v>
      </c>
      <c r="D42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7" t="str">
        <f ca="1">IFERROR(__xludf.DUMMYFUNCTION("""COMPUTED_VALUE"""),"Новый")</f>
        <v>Новый</v>
      </c>
      <c r="G4297" s="68"/>
      <c r="K4297" s="68"/>
    </row>
    <row r="4298" spans="1:11" ht="12.75">
      <c r="A4298" s="69">
        <f ca="1">IFERROR(__xludf.DUMMYFUNCTION("""COMPUTED_VALUE"""),103728)</f>
        <v>103728</v>
      </c>
      <c r="B4298" s="4">
        <f ca="1">IFERROR(__xludf.DUMMYFUNCTION("""COMPUTED_VALUE"""),44784)</f>
        <v>44784</v>
      </c>
      <c r="C4298" t="str">
        <f ca="1">IFERROR(__xludf.DUMMYFUNCTION("""COMPUTED_VALUE"""),"БУ Г. ОМСКА ""УДХБ"" 197-РДО от 01.07.2022")</f>
        <v>БУ Г. ОМСКА "УДХБ" 197-РДО от 01.07.2022</v>
      </c>
      <c r="D42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8" t="str">
        <f ca="1">IFERROR(__xludf.DUMMYFUNCTION("""COMPUTED_VALUE"""),"Новый")</f>
        <v>Новый</v>
      </c>
      <c r="G4298" s="68"/>
      <c r="K4298" s="68"/>
    </row>
    <row r="4299" spans="1:11" ht="12.75">
      <c r="A4299" s="69">
        <f ca="1">IFERROR(__xludf.DUMMYFUNCTION("""COMPUTED_VALUE"""),103730)</f>
        <v>103730</v>
      </c>
      <c r="B4299" s="4">
        <f ca="1">IFERROR(__xludf.DUMMYFUNCTION("""COMPUTED_VALUE"""),44784)</f>
        <v>44784</v>
      </c>
      <c r="C4299" t="str">
        <f ca="1">IFERROR(__xludf.DUMMYFUNCTION("""COMPUTED_VALUE"""),"БУ Г. ОМСКА ""УДХБ"" 197-РДО от 01.07.2022")</f>
        <v>БУ Г. ОМСКА "УДХБ" 197-РДО от 01.07.2022</v>
      </c>
      <c r="D42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299" t="str">
        <f ca="1">IFERROR(__xludf.DUMMYFUNCTION("""COMPUTED_VALUE"""),"Новый")</f>
        <v>Новый</v>
      </c>
      <c r="G4299" s="68"/>
      <c r="K4299" s="68"/>
    </row>
    <row r="4300" spans="1:11" ht="12.75">
      <c r="A4300" s="69">
        <f ca="1">IFERROR(__xludf.DUMMYFUNCTION("""COMPUTED_VALUE"""),103769)</f>
        <v>103769</v>
      </c>
      <c r="B4300" s="4">
        <f ca="1">IFERROR(__xludf.DUMMYFUNCTION("""COMPUTED_VALUE"""),44784)</f>
        <v>44784</v>
      </c>
      <c r="C4300" t="str">
        <f ca="1">IFERROR(__xludf.DUMMYFUNCTION("""COMPUTED_VALUE"""),"НОВЫЙ КЛИМАТ ООО 160-СТР от 03.08.2022")</f>
        <v>НОВЫЙ КЛИМАТ ООО 160-СТР от 03.08.2022</v>
      </c>
      <c r="D43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0" t="str">
        <f ca="1">IFERROR(__xludf.DUMMYFUNCTION("""COMPUTED_VALUE"""),"Новый")</f>
        <v>Новый</v>
      </c>
      <c r="G4300" s="68"/>
      <c r="K4300" s="68"/>
    </row>
    <row r="4301" spans="1:11" ht="12.75">
      <c r="A4301" s="69">
        <f ca="1">IFERROR(__xludf.DUMMYFUNCTION("""COMPUTED_VALUE"""),103770)</f>
        <v>103770</v>
      </c>
      <c r="B4301" s="4">
        <f ca="1">IFERROR(__xludf.DUMMYFUNCTION("""COMPUTED_VALUE"""),44784)</f>
        <v>44784</v>
      </c>
      <c r="C4301" t="str">
        <f ca="1">IFERROR(__xludf.DUMMYFUNCTION("""COMPUTED_VALUE"""),"НОВЫЙ КЛИМАТ ООО 160-СТР от 03.08.2022")</f>
        <v>НОВЫЙ КЛИМАТ ООО 160-СТР от 03.08.2022</v>
      </c>
      <c r="D43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1" t="str">
        <f ca="1">IFERROR(__xludf.DUMMYFUNCTION("""COMPUTED_VALUE"""),"Новый")</f>
        <v>Новый</v>
      </c>
      <c r="G4301" s="68"/>
      <c r="K4301" s="68"/>
    </row>
    <row r="4302" spans="1:11" ht="12.75">
      <c r="A4302" s="69">
        <f ca="1">IFERROR(__xludf.DUMMYFUNCTION("""COMPUTED_VALUE"""),103771)</f>
        <v>103771</v>
      </c>
      <c r="B4302" s="4">
        <f ca="1">IFERROR(__xludf.DUMMYFUNCTION("""COMPUTED_VALUE"""),44784)</f>
        <v>44784</v>
      </c>
      <c r="C4302" t="str">
        <f ca="1">IFERROR(__xludf.DUMMYFUNCTION("""COMPUTED_VALUE"""),"НОВЫЙ КЛИМАТ ООО 160-СТР от 03.08.2022")</f>
        <v>НОВЫЙ КЛИМАТ ООО 160-СТР от 03.08.2022</v>
      </c>
      <c r="D43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2" t="str">
        <f ca="1">IFERROR(__xludf.DUMMYFUNCTION("""COMPUTED_VALUE"""),"Новый")</f>
        <v>Новый</v>
      </c>
      <c r="G4302" s="68"/>
      <c r="K4302" s="68"/>
    </row>
    <row r="4303" spans="1:11" ht="12.75">
      <c r="A4303" s="69">
        <f ca="1">IFERROR(__xludf.DUMMYFUNCTION("""COMPUTED_VALUE"""),103772)</f>
        <v>103772</v>
      </c>
      <c r="B4303" s="4">
        <f ca="1">IFERROR(__xludf.DUMMYFUNCTION("""COMPUTED_VALUE"""),44784)</f>
        <v>44784</v>
      </c>
      <c r="C4303" t="str">
        <f ca="1">IFERROR(__xludf.DUMMYFUNCTION("""COMPUTED_VALUE"""),"НОВЫЙ КЛИМАТ ООО 160-СТР от 03.08.2022")</f>
        <v>НОВЫЙ КЛИМАТ ООО 160-СТР от 03.08.2022</v>
      </c>
      <c r="D43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3" t="str">
        <f ca="1">IFERROR(__xludf.DUMMYFUNCTION("""COMPUTED_VALUE"""),"Новый")</f>
        <v>Новый</v>
      </c>
      <c r="G4303" s="68"/>
      <c r="K4303" s="68"/>
    </row>
    <row r="4304" spans="1:11" ht="12.75">
      <c r="A4304" s="69">
        <f ca="1">IFERROR(__xludf.DUMMYFUNCTION("""COMPUTED_VALUE"""),103773)</f>
        <v>103773</v>
      </c>
      <c r="B4304" s="4">
        <f ca="1">IFERROR(__xludf.DUMMYFUNCTION("""COMPUTED_VALUE"""),44784)</f>
        <v>44784</v>
      </c>
      <c r="C4304" t="str">
        <f ca="1">IFERROR(__xludf.DUMMYFUNCTION("""COMPUTED_VALUE"""),"НОВЫЙ КЛИМАТ ООО 160-СТР от 03.08.2022")</f>
        <v>НОВЫЙ КЛИМАТ ООО 160-СТР от 03.08.2022</v>
      </c>
      <c r="D43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4" t="str">
        <f ca="1">IFERROR(__xludf.DUMMYFUNCTION("""COMPUTED_VALUE"""),"Новый")</f>
        <v>Новый</v>
      </c>
      <c r="G4304" s="68"/>
      <c r="K4304" s="68"/>
    </row>
    <row r="4305" spans="1:11" ht="12.75">
      <c r="A4305" s="69">
        <f ca="1">IFERROR(__xludf.DUMMYFUNCTION("""COMPUTED_VALUE"""),103774)</f>
        <v>103774</v>
      </c>
      <c r="B4305" s="4">
        <f ca="1">IFERROR(__xludf.DUMMYFUNCTION("""COMPUTED_VALUE"""),44784)</f>
        <v>44784</v>
      </c>
      <c r="C4305" t="str">
        <f ca="1">IFERROR(__xludf.DUMMYFUNCTION("""COMPUTED_VALUE"""),"НОВЫЙ КЛИМАТ ООО 160-СТР от 03.08.2022")</f>
        <v>НОВЫЙ КЛИМАТ ООО 160-СТР от 03.08.2022</v>
      </c>
      <c r="D43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5" t="str">
        <f ca="1">IFERROR(__xludf.DUMMYFUNCTION("""COMPUTED_VALUE"""),"Новый")</f>
        <v>Новый</v>
      </c>
      <c r="G4305" s="68"/>
      <c r="K4305" s="68"/>
    </row>
    <row r="4306" spans="1:11" ht="12.75">
      <c r="A4306" s="69">
        <f ca="1">IFERROR(__xludf.DUMMYFUNCTION("""COMPUTED_VALUE"""),103775)</f>
        <v>103775</v>
      </c>
      <c r="B4306" s="4">
        <f ca="1">IFERROR(__xludf.DUMMYFUNCTION("""COMPUTED_VALUE"""),44784)</f>
        <v>44784</v>
      </c>
      <c r="C4306" t="str">
        <f ca="1">IFERROR(__xludf.DUMMYFUNCTION("""COMPUTED_VALUE"""),"НОВЫЙ КЛИМАТ ООО 160-СТР от 03.08.2022")</f>
        <v>НОВЫЙ КЛИМАТ ООО 160-СТР от 03.08.2022</v>
      </c>
      <c r="D43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6" t="str">
        <f ca="1">IFERROR(__xludf.DUMMYFUNCTION("""COMPUTED_VALUE"""),"Новый")</f>
        <v>Новый</v>
      </c>
      <c r="G4306" s="68"/>
      <c r="K4306" s="68"/>
    </row>
    <row r="4307" spans="1:11" ht="12.75">
      <c r="A4307" s="69">
        <f ca="1">IFERROR(__xludf.DUMMYFUNCTION("""COMPUTED_VALUE"""),103776)</f>
        <v>103776</v>
      </c>
      <c r="B4307" s="4">
        <f ca="1">IFERROR(__xludf.DUMMYFUNCTION("""COMPUTED_VALUE"""),44784)</f>
        <v>44784</v>
      </c>
      <c r="C4307" t="str">
        <f ca="1">IFERROR(__xludf.DUMMYFUNCTION("""COMPUTED_VALUE"""),"НОВЫЙ КЛИМАТ ООО 160-СТР от 03.08.2022")</f>
        <v>НОВЫЙ КЛИМАТ ООО 160-СТР от 03.08.2022</v>
      </c>
      <c r="D43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7" t="str">
        <f ca="1">IFERROR(__xludf.DUMMYFUNCTION("""COMPUTED_VALUE"""),"Новый")</f>
        <v>Новый</v>
      </c>
      <c r="G4307" s="68"/>
      <c r="K4307" s="68"/>
    </row>
    <row r="4308" spans="1:11" ht="12.75">
      <c r="A4308" s="69">
        <f ca="1">IFERROR(__xludf.DUMMYFUNCTION("""COMPUTED_VALUE"""),103777)</f>
        <v>103777</v>
      </c>
      <c r="B4308" s="4">
        <f ca="1">IFERROR(__xludf.DUMMYFUNCTION("""COMPUTED_VALUE"""),44784)</f>
        <v>44784</v>
      </c>
      <c r="C4308" t="str">
        <f ca="1">IFERROR(__xludf.DUMMYFUNCTION("""COMPUTED_VALUE"""),"НОВЫЙ КЛИМАТ ООО 160-СТР от 03.08.2022")</f>
        <v>НОВЫЙ КЛИМАТ ООО 160-СТР от 03.08.2022</v>
      </c>
      <c r="D43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8" t="str">
        <f ca="1">IFERROR(__xludf.DUMMYFUNCTION("""COMPUTED_VALUE"""),"Новый")</f>
        <v>Новый</v>
      </c>
      <c r="G4308" s="68"/>
      <c r="K4308" s="68"/>
    </row>
    <row r="4309" spans="1:11" ht="12.75">
      <c r="A4309" s="69">
        <f ca="1">IFERROR(__xludf.DUMMYFUNCTION("""COMPUTED_VALUE"""),103778)</f>
        <v>103778</v>
      </c>
      <c r="B4309" s="4">
        <f ca="1">IFERROR(__xludf.DUMMYFUNCTION("""COMPUTED_VALUE"""),44784)</f>
        <v>44784</v>
      </c>
      <c r="C4309" t="str">
        <f ca="1">IFERROR(__xludf.DUMMYFUNCTION("""COMPUTED_VALUE"""),"НОВЫЙ КЛИМАТ ООО 160-СТР от 03.08.2022")</f>
        <v>НОВЫЙ КЛИМАТ ООО 160-СТР от 03.08.2022</v>
      </c>
      <c r="D43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09" t="str">
        <f ca="1">IFERROR(__xludf.DUMMYFUNCTION("""COMPUTED_VALUE"""),"Новый")</f>
        <v>Новый</v>
      </c>
      <c r="G4309" s="68"/>
      <c r="K4309" s="68"/>
    </row>
    <row r="4310" spans="1:11" ht="12.75">
      <c r="A4310" s="69">
        <f ca="1">IFERROR(__xludf.DUMMYFUNCTION("""COMPUTED_VALUE"""),103779)</f>
        <v>103779</v>
      </c>
      <c r="B4310" s="4">
        <f ca="1">IFERROR(__xludf.DUMMYFUNCTION("""COMPUTED_VALUE"""),44784)</f>
        <v>44784</v>
      </c>
      <c r="C4310" t="str">
        <f ca="1">IFERROR(__xludf.DUMMYFUNCTION("""COMPUTED_VALUE"""),"НОВЫЙ КЛИМАТ ООО 160-СТР от 03.08.2022")</f>
        <v>НОВЫЙ КЛИМАТ ООО 160-СТР от 03.08.2022</v>
      </c>
      <c r="D43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0" t="str">
        <f ca="1">IFERROR(__xludf.DUMMYFUNCTION("""COMPUTED_VALUE"""),"Новый")</f>
        <v>Новый</v>
      </c>
      <c r="G4310" s="68"/>
      <c r="K4310" s="68"/>
    </row>
    <row r="4311" spans="1:11" ht="12.75">
      <c r="A4311" s="69">
        <f ca="1">IFERROR(__xludf.DUMMYFUNCTION("""COMPUTED_VALUE"""),103780)</f>
        <v>103780</v>
      </c>
      <c r="B4311" s="4">
        <f ca="1">IFERROR(__xludf.DUMMYFUNCTION("""COMPUTED_VALUE"""),44784)</f>
        <v>44784</v>
      </c>
      <c r="C4311" t="str">
        <f ca="1">IFERROR(__xludf.DUMMYFUNCTION("""COMPUTED_VALUE"""),"НОВЫЙ КЛИМАТ ООО 160-СТР от 03.08.2022")</f>
        <v>НОВЫЙ КЛИМАТ ООО 160-СТР от 03.08.2022</v>
      </c>
      <c r="D43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1" t="str">
        <f ca="1">IFERROR(__xludf.DUMMYFUNCTION("""COMPUTED_VALUE"""),"Новый")</f>
        <v>Новый</v>
      </c>
      <c r="G4311" s="68"/>
      <c r="K4311" s="68"/>
    </row>
    <row r="4312" spans="1:11" ht="12.75">
      <c r="A4312" s="69">
        <f ca="1">IFERROR(__xludf.DUMMYFUNCTION("""COMPUTED_VALUE"""),103781)</f>
        <v>103781</v>
      </c>
      <c r="B4312" s="4">
        <f ca="1">IFERROR(__xludf.DUMMYFUNCTION("""COMPUTED_VALUE"""),44784)</f>
        <v>44784</v>
      </c>
      <c r="C4312" t="str">
        <f ca="1">IFERROR(__xludf.DUMMYFUNCTION("""COMPUTED_VALUE"""),"НОВЫЙ КЛИМАТ ООО 160-СТР от 03.08.2022")</f>
        <v>НОВЫЙ КЛИМАТ ООО 160-СТР от 03.08.2022</v>
      </c>
      <c r="D43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2" t="str">
        <f ca="1">IFERROR(__xludf.DUMMYFUNCTION("""COMPUTED_VALUE"""),"Новый")</f>
        <v>Новый</v>
      </c>
      <c r="G4312" s="68"/>
      <c r="K4312" s="68"/>
    </row>
    <row r="4313" spans="1:11" ht="12.75">
      <c r="A4313" s="69">
        <f ca="1">IFERROR(__xludf.DUMMYFUNCTION("""COMPUTED_VALUE"""),103782)</f>
        <v>103782</v>
      </c>
      <c r="B4313" s="4">
        <f ca="1">IFERROR(__xludf.DUMMYFUNCTION("""COMPUTED_VALUE"""),44784)</f>
        <v>44784</v>
      </c>
      <c r="C4313" t="str">
        <f ca="1">IFERROR(__xludf.DUMMYFUNCTION("""COMPUTED_VALUE"""),"НОВЫЙ КЛИМАТ ООО 160-СТР от 03.08.2022")</f>
        <v>НОВЫЙ КЛИМАТ ООО 160-СТР от 03.08.2022</v>
      </c>
      <c r="D43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3" t="str">
        <f ca="1">IFERROR(__xludf.DUMMYFUNCTION("""COMPUTED_VALUE"""),"Новый")</f>
        <v>Новый</v>
      </c>
      <c r="G4313" s="68"/>
      <c r="K4313" s="68"/>
    </row>
    <row r="4314" spans="1:11" ht="12.75">
      <c r="A4314" s="69">
        <f ca="1">IFERROR(__xludf.DUMMYFUNCTION("""COMPUTED_VALUE"""),103783)</f>
        <v>103783</v>
      </c>
      <c r="B4314" s="4">
        <f ca="1">IFERROR(__xludf.DUMMYFUNCTION("""COMPUTED_VALUE"""),44784)</f>
        <v>44784</v>
      </c>
      <c r="C4314" t="str">
        <f ca="1">IFERROR(__xludf.DUMMYFUNCTION("""COMPUTED_VALUE"""),"НОВЫЙ КЛИМАТ ООО 160-СТР от 03.08.2022")</f>
        <v>НОВЫЙ КЛИМАТ ООО 160-СТР от 03.08.2022</v>
      </c>
      <c r="D43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4" t="str">
        <f ca="1">IFERROR(__xludf.DUMMYFUNCTION("""COMPUTED_VALUE"""),"Новый")</f>
        <v>Новый</v>
      </c>
      <c r="G4314" s="68"/>
      <c r="K4314" s="68"/>
    </row>
    <row r="4315" spans="1:11" ht="12.75">
      <c r="A4315" s="69">
        <f ca="1">IFERROR(__xludf.DUMMYFUNCTION("""COMPUTED_VALUE"""),103784)</f>
        <v>103784</v>
      </c>
      <c r="B4315" s="4">
        <f ca="1">IFERROR(__xludf.DUMMYFUNCTION("""COMPUTED_VALUE"""),44784)</f>
        <v>44784</v>
      </c>
      <c r="C4315" t="str">
        <f ca="1">IFERROR(__xludf.DUMMYFUNCTION("""COMPUTED_VALUE"""),"НОВЫЙ КЛИМАТ ООО 160-СТР от 03.08.2022")</f>
        <v>НОВЫЙ КЛИМАТ ООО 160-СТР от 03.08.2022</v>
      </c>
      <c r="D43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5" t="str">
        <f ca="1">IFERROR(__xludf.DUMMYFUNCTION("""COMPUTED_VALUE"""),"Новый")</f>
        <v>Новый</v>
      </c>
      <c r="G4315" s="68"/>
      <c r="K4315" s="68"/>
    </row>
    <row r="4316" spans="1:11" ht="12.75">
      <c r="A4316" s="69">
        <f ca="1">IFERROR(__xludf.DUMMYFUNCTION("""COMPUTED_VALUE"""),103785)</f>
        <v>103785</v>
      </c>
      <c r="B4316" s="4">
        <f ca="1">IFERROR(__xludf.DUMMYFUNCTION("""COMPUTED_VALUE"""),44784)</f>
        <v>44784</v>
      </c>
      <c r="C4316" t="str">
        <f ca="1">IFERROR(__xludf.DUMMYFUNCTION("""COMPUTED_VALUE"""),"НОВЫЙ КЛИМАТ ООО 160-СТР от 03.08.2022")</f>
        <v>НОВЫЙ КЛИМАТ ООО 160-СТР от 03.08.2022</v>
      </c>
      <c r="D43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6" t="str">
        <f ca="1">IFERROR(__xludf.DUMMYFUNCTION("""COMPUTED_VALUE"""),"Новый")</f>
        <v>Новый</v>
      </c>
      <c r="G4316" s="68"/>
      <c r="K4316" s="68"/>
    </row>
    <row r="4317" spans="1:11" ht="12.75">
      <c r="A4317" s="69">
        <f ca="1">IFERROR(__xludf.DUMMYFUNCTION("""COMPUTED_VALUE"""),103786)</f>
        <v>103786</v>
      </c>
      <c r="B4317" s="4">
        <f ca="1">IFERROR(__xludf.DUMMYFUNCTION("""COMPUTED_VALUE"""),44784)</f>
        <v>44784</v>
      </c>
      <c r="C4317" t="str">
        <f ca="1">IFERROR(__xludf.DUMMYFUNCTION("""COMPUTED_VALUE"""),"НОВЫЙ КЛИМАТ ООО 160-СТР от 03.08.2022")</f>
        <v>НОВЫЙ КЛИМАТ ООО 160-СТР от 03.08.2022</v>
      </c>
      <c r="D43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7" t="str">
        <f ca="1">IFERROR(__xludf.DUMMYFUNCTION("""COMPUTED_VALUE"""),"Новый")</f>
        <v>Новый</v>
      </c>
      <c r="G4317" s="68"/>
      <c r="K4317" s="68"/>
    </row>
    <row r="4318" spans="1:11" ht="12.75">
      <c r="A4318" s="69">
        <f ca="1">IFERROR(__xludf.DUMMYFUNCTION("""COMPUTED_VALUE"""),103787)</f>
        <v>103787</v>
      </c>
      <c r="B4318" s="4">
        <f ca="1">IFERROR(__xludf.DUMMYFUNCTION("""COMPUTED_VALUE"""),44784)</f>
        <v>44784</v>
      </c>
      <c r="C4318" t="str">
        <f ca="1">IFERROR(__xludf.DUMMYFUNCTION("""COMPUTED_VALUE"""),"НОВЫЙ КЛИМАТ ООО 160-СТР от 03.08.2022")</f>
        <v>НОВЫЙ КЛИМАТ ООО 160-СТР от 03.08.2022</v>
      </c>
      <c r="D43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8" t="str">
        <f ca="1">IFERROR(__xludf.DUMMYFUNCTION("""COMPUTED_VALUE"""),"Новый")</f>
        <v>Новый</v>
      </c>
      <c r="G4318" s="68"/>
      <c r="K4318" s="68"/>
    </row>
    <row r="4319" spans="1:11" ht="12.75">
      <c r="A4319" s="69">
        <f ca="1">IFERROR(__xludf.DUMMYFUNCTION("""COMPUTED_VALUE"""),103788)</f>
        <v>103788</v>
      </c>
      <c r="B4319" s="4">
        <f ca="1">IFERROR(__xludf.DUMMYFUNCTION("""COMPUTED_VALUE"""),44784)</f>
        <v>44784</v>
      </c>
      <c r="C4319" t="str">
        <f ca="1">IFERROR(__xludf.DUMMYFUNCTION("""COMPUTED_VALUE"""),"НОВЫЙ КЛИМАТ ООО 160-СТР от 03.08.2022")</f>
        <v>НОВЫЙ КЛИМАТ ООО 160-СТР от 03.08.2022</v>
      </c>
      <c r="D43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19" t="str">
        <f ca="1">IFERROR(__xludf.DUMMYFUNCTION("""COMPUTED_VALUE"""),"Новый")</f>
        <v>Новый</v>
      </c>
      <c r="G4319" s="68"/>
      <c r="K4319" s="68"/>
    </row>
    <row r="4320" spans="1:11" ht="12.75">
      <c r="A4320" s="69">
        <f ca="1">IFERROR(__xludf.DUMMYFUNCTION("""COMPUTED_VALUE"""),103789)</f>
        <v>103789</v>
      </c>
      <c r="B4320" s="4">
        <f ca="1">IFERROR(__xludf.DUMMYFUNCTION("""COMPUTED_VALUE"""),44784)</f>
        <v>44784</v>
      </c>
      <c r="C4320" t="str">
        <f ca="1">IFERROR(__xludf.DUMMYFUNCTION("""COMPUTED_VALUE"""),"НОВЫЙ КЛИМАТ ООО 160-СТР от 03.08.2022")</f>
        <v>НОВЫЙ КЛИМАТ ООО 160-СТР от 03.08.2022</v>
      </c>
      <c r="D43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0" t="str">
        <f ca="1">IFERROR(__xludf.DUMMYFUNCTION("""COMPUTED_VALUE"""),"Новый")</f>
        <v>Новый</v>
      </c>
      <c r="G4320" s="68"/>
      <c r="K4320" s="68"/>
    </row>
    <row r="4321" spans="1:11" ht="12.75">
      <c r="A4321" s="69">
        <f ca="1">IFERROR(__xludf.DUMMYFUNCTION("""COMPUTED_VALUE"""),103790)</f>
        <v>103790</v>
      </c>
      <c r="B4321" s="4">
        <f ca="1">IFERROR(__xludf.DUMMYFUNCTION("""COMPUTED_VALUE"""),44784)</f>
        <v>44784</v>
      </c>
      <c r="C4321" t="str">
        <f ca="1">IFERROR(__xludf.DUMMYFUNCTION("""COMPUTED_VALUE"""),"НОВЫЙ КЛИМАТ ООО 160-СТР от 03.08.2022")</f>
        <v>НОВЫЙ КЛИМАТ ООО 160-СТР от 03.08.2022</v>
      </c>
      <c r="D43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1" t="str">
        <f ca="1">IFERROR(__xludf.DUMMYFUNCTION("""COMPUTED_VALUE"""),"Новый")</f>
        <v>Новый</v>
      </c>
      <c r="G4321" s="68"/>
      <c r="K4321" s="68"/>
    </row>
    <row r="4322" spans="1:11" ht="12.75">
      <c r="A4322" s="69">
        <f ca="1">IFERROR(__xludf.DUMMYFUNCTION("""COMPUTED_VALUE"""),103791)</f>
        <v>103791</v>
      </c>
      <c r="B4322" s="4">
        <f ca="1">IFERROR(__xludf.DUMMYFUNCTION("""COMPUTED_VALUE"""),44784)</f>
        <v>44784</v>
      </c>
      <c r="C4322" t="str">
        <f ca="1">IFERROR(__xludf.DUMMYFUNCTION("""COMPUTED_VALUE"""),"НОВЫЙ КЛИМАТ ООО 160-СТР от 03.08.2022")</f>
        <v>НОВЫЙ КЛИМАТ ООО 160-СТР от 03.08.2022</v>
      </c>
      <c r="D43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2" t="str">
        <f ca="1">IFERROR(__xludf.DUMMYFUNCTION("""COMPUTED_VALUE"""),"Новый")</f>
        <v>Новый</v>
      </c>
      <c r="G4322" s="68"/>
      <c r="K4322" s="68"/>
    </row>
    <row r="4323" spans="1:11" ht="12.75">
      <c r="A4323" s="69">
        <f ca="1">IFERROR(__xludf.DUMMYFUNCTION("""COMPUTED_VALUE"""),103792)</f>
        <v>103792</v>
      </c>
      <c r="B4323" s="4">
        <f ca="1">IFERROR(__xludf.DUMMYFUNCTION("""COMPUTED_VALUE"""),44784)</f>
        <v>44784</v>
      </c>
      <c r="C4323" t="str">
        <f ca="1">IFERROR(__xludf.DUMMYFUNCTION("""COMPUTED_VALUE"""),"НОВЫЙ КЛИМАТ ООО 160-СТР от 03.08.2022")</f>
        <v>НОВЫЙ КЛИМАТ ООО 160-СТР от 03.08.2022</v>
      </c>
      <c r="D43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3" t="str">
        <f ca="1">IFERROR(__xludf.DUMMYFUNCTION("""COMPUTED_VALUE"""),"Новый")</f>
        <v>Новый</v>
      </c>
      <c r="G4323" s="68"/>
      <c r="K4323" s="68"/>
    </row>
    <row r="4324" spans="1:11" ht="12.75">
      <c r="A4324" s="69">
        <f ca="1">IFERROR(__xludf.DUMMYFUNCTION("""COMPUTED_VALUE"""),103793)</f>
        <v>103793</v>
      </c>
      <c r="B4324" s="4">
        <f ca="1">IFERROR(__xludf.DUMMYFUNCTION("""COMPUTED_VALUE"""),44784)</f>
        <v>44784</v>
      </c>
      <c r="C4324" t="str">
        <f ca="1">IFERROR(__xludf.DUMMYFUNCTION("""COMPUTED_VALUE"""),"НОВЫЙ КЛИМАТ ООО 160-СТР от 03.08.2022")</f>
        <v>НОВЫЙ КЛИМАТ ООО 160-СТР от 03.08.2022</v>
      </c>
      <c r="D43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4" t="str">
        <f ca="1">IFERROR(__xludf.DUMMYFUNCTION("""COMPUTED_VALUE"""),"Новый")</f>
        <v>Новый</v>
      </c>
      <c r="G4324" s="68"/>
      <c r="K4324" s="68"/>
    </row>
    <row r="4325" spans="1:11" ht="12.75">
      <c r="A4325" s="69">
        <f ca="1">IFERROR(__xludf.DUMMYFUNCTION("""COMPUTED_VALUE"""),103794)</f>
        <v>103794</v>
      </c>
      <c r="B4325" s="4">
        <f ca="1">IFERROR(__xludf.DUMMYFUNCTION("""COMPUTED_VALUE"""),44784)</f>
        <v>44784</v>
      </c>
      <c r="C4325" t="str">
        <f ca="1">IFERROR(__xludf.DUMMYFUNCTION("""COMPUTED_VALUE"""),"НОВЫЙ КЛИМАТ ООО 160-СТР от 03.08.2022")</f>
        <v>НОВЫЙ КЛИМАТ ООО 160-СТР от 03.08.2022</v>
      </c>
      <c r="D43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5" t="str">
        <f ca="1">IFERROR(__xludf.DUMMYFUNCTION("""COMPUTED_VALUE"""),"Новый")</f>
        <v>Новый</v>
      </c>
      <c r="G4325" s="68"/>
      <c r="K4325" s="68"/>
    </row>
    <row r="4326" spans="1:11" ht="12.75">
      <c r="A4326" s="69">
        <f ca="1">IFERROR(__xludf.DUMMYFUNCTION("""COMPUTED_VALUE"""),103795)</f>
        <v>103795</v>
      </c>
      <c r="B4326" s="4">
        <f ca="1">IFERROR(__xludf.DUMMYFUNCTION("""COMPUTED_VALUE"""),44784)</f>
        <v>44784</v>
      </c>
      <c r="C4326" t="str">
        <f ca="1">IFERROR(__xludf.DUMMYFUNCTION("""COMPUTED_VALUE"""),"НОВЫЙ КЛИМАТ ООО 160-СТР от 03.08.2022")</f>
        <v>НОВЫЙ КЛИМАТ ООО 160-СТР от 03.08.2022</v>
      </c>
      <c r="D43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26" t="str">
        <f ca="1">IFERROR(__xludf.DUMMYFUNCTION("""COMPUTED_VALUE"""),"Новый")</f>
        <v>Новый</v>
      </c>
      <c r="G4326" s="68"/>
      <c r="K4326" s="68"/>
    </row>
    <row r="4327" spans="1:11" ht="12.75">
      <c r="A4327" s="69">
        <f ca="1">IFERROR(__xludf.DUMMYFUNCTION("""COMPUTED_VALUE"""),103820)</f>
        <v>103820</v>
      </c>
      <c r="B4327" s="4">
        <f ca="1">IFERROR(__xludf.DUMMYFUNCTION("""COMPUTED_VALUE"""),44784)</f>
        <v>44784</v>
      </c>
      <c r="C4327" t="str">
        <f ca="1">IFERROR(__xludf.DUMMYFUNCTION("""COMPUTED_VALUE"""),"ООО ""БЛАГОУСТРОЙСТВО"" 152-СТР от 22.07.2022")</f>
        <v>ООО "БЛАГОУСТРОЙСТВО" 152-СТР от 22.07.2022</v>
      </c>
      <c r="D43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27" t="str">
        <f ca="1">IFERROR(__xludf.DUMMYFUNCTION("""COMPUTED_VALUE"""),"Новый")</f>
        <v>Новый</v>
      </c>
      <c r="G4327" s="68"/>
      <c r="K4327" s="68"/>
    </row>
    <row r="4328" spans="1:11" ht="12.75">
      <c r="A4328" s="69">
        <f ca="1">IFERROR(__xludf.DUMMYFUNCTION("""COMPUTED_VALUE"""),103821)</f>
        <v>103821</v>
      </c>
      <c r="B4328" s="4">
        <f ca="1">IFERROR(__xludf.DUMMYFUNCTION("""COMPUTED_VALUE"""),44784)</f>
        <v>44784</v>
      </c>
      <c r="C4328" t="str">
        <f ca="1">IFERROR(__xludf.DUMMYFUNCTION("""COMPUTED_VALUE"""),"ООО ""БЛАГОУСТРОЙСТВО"" 152-СТР от 22.07.2022")</f>
        <v>ООО "БЛАГОУСТРОЙСТВО" 152-СТР от 22.07.2022</v>
      </c>
      <c r="D43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28" t="str">
        <f ca="1">IFERROR(__xludf.DUMMYFUNCTION("""COMPUTED_VALUE"""),"Новый")</f>
        <v>Новый</v>
      </c>
      <c r="G4328" s="68"/>
      <c r="K4328" s="68"/>
    </row>
    <row r="4329" spans="1:11" ht="12.75">
      <c r="A4329" s="69">
        <f ca="1">IFERROR(__xludf.DUMMYFUNCTION("""COMPUTED_VALUE"""),103822)</f>
        <v>103822</v>
      </c>
      <c r="B4329" s="4">
        <f ca="1">IFERROR(__xludf.DUMMYFUNCTION("""COMPUTED_VALUE"""),44784)</f>
        <v>44784</v>
      </c>
      <c r="C4329" t="str">
        <f ca="1">IFERROR(__xludf.DUMMYFUNCTION("""COMPUTED_VALUE"""),"ООО ""БЛАГОУСТРОЙСТВО"" 152-СТР от 22.07.2022")</f>
        <v>ООО "БЛАГОУСТРОЙСТВО" 152-СТР от 22.07.2022</v>
      </c>
      <c r="D43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29" t="str">
        <f ca="1">IFERROR(__xludf.DUMMYFUNCTION("""COMPUTED_VALUE"""),"Новый")</f>
        <v>Новый</v>
      </c>
      <c r="G4329" s="68"/>
      <c r="K4329" s="68"/>
    </row>
    <row r="4330" spans="1:11" ht="12.75">
      <c r="A4330" s="69">
        <f ca="1">IFERROR(__xludf.DUMMYFUNCTION("""COMPUTED_VALUE"""),103823)</f>
        <v>103823</v>
      </c>
      <c r="B4330" s="4">
        <f ca="1">IFERROR(__xludf.DUMMYFUNCTION("""COMPUTED_VALUE"""),44784)</f>
        <v>44784</v>
      </c>
      <c r="C4330" t="str">
        <f ca="1">IFERROR(__xludf.DUMMYFUNCTION("""COMPUTED_VALUE"""),"ООО ""БЛАГОУСТРОЙСТВО"" 152-СТР от 22.07.2022")</f>
        <v>ООО "БЛАГОУСТРОЙСТВО" 152-СТР от 22.07.2022</v>
      </c>
      <c r="D43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0" t="str">
        <f ca="1">IFERROR(__xludf.DUMMYFUNCTION("""COMPUTED_VALUE"""),"Новый")</f>
        <v>Новый</v>
      </c>
      <c r="G4330" s="68"/>
      <c r="K4330" s="68"/>
    </row>
    <row r="4331" spans="1:11" ht="12.75">
      <c r="A4331" s="69">
        <f ca="1">IFERROR(__xludf.DUMMYFUNCTION("""COMPUTED_VALUE"""),103824)</f>
        <v>103824</v>
      </c>
      <c r="B4331" s="4">
        <f ca="1">IFERROR(__xludf.DUMMYFUNCTION("""COMPUTED_VALUE"""),44784)</f>
        <v>44784</v>
      </c>
      <c r="C4331" t="str">
        <f ca="1">IFERROR(__xludf.DUMMYFUNCTION("""COMPUTED_VALUE"""),"ООО ""БЛАГОУСТРОЙСТВО"" 152-СТР от 22.07.2022")</f>
        <v>ООО "БЛАГОУСТРОЙСТВО" 152-СТР от 22.07.2022</v>
      </c>
      <c r="D43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1" t="str">
        <f ca="1">IFERROR(__xludf.DUMMYFUNCTION("""COMPUTED_VALUE"""),"Новый")</f>
        <v>Новый</v>
      </c>
      <c r="G4331" s="68"/>
      <c r="K4331" s="68"/>
    </row>
    <row r="4332" spans="1:11" ht="12.75">
      <c r="A4332" s="69">
        <f ca="1">IFERROR(__xludf.DUMMYFUNCTION("""COMPUTED_VALUE"""),103825)</f>
        <v>103825</v>
      </c>
      <c r="B4332" s="4">
        <f ca="1">IFERROR(__xludf.DUMMYFUNCTION("""COMPUTED_VALUE"""),44784)</f>
        <v>44784</v>
      </c>
      <c r="C4332" t="str">
        <f ca="1">IFERROR(__xludf.DUMMYFUNCTION("""COMPUTED_VALUE"""),"ООО ""БЛАГОУСТРОЙСТВО"" 152-СТР от 22.07.2022")</f>
        <v>ООО "БЛАГОУСТРОЙСТВО" 152-СТР от 22.07.2022</v>
      </c>
      <c r="D43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2" t="str">
        <f ca="1">IFERROR(__xludf.DUMMYFUNCTION("""COMPUTED_VALUE"""),"Новый")</f>
        <v>Новый</v>
      </c>
      <c r="G4332" s="68"/>
      <c r="K4332" s="68"/>
    </row>
    <row r="4333" spans="1:11" ht="12.75">
      <c r="A4333" s="69">
        <f ca="1">IFERROR(__xludf.DUMMYFUNCTION("""COMPUTED_VALUE"""),103826)</f>
        <v>103826</v>
      </c>
      <c r="B4333" s="4">
        <f ca="1">IFERROR(__xludf.DUMMYFUNCTION("""COMPUTED_VALUE"""),44784)</f>
        <v>44784</v>
      </c>
      <c r="C4333" t="str">
        <f ca="1">IFERROR(__xludf.DUMMYFUNCTION("""COMPUTED_VALUE"""),"ООО ""БЛАГОУСТРОЙСТВО"" 152-СТР от 22.07.2022")</f>
        <v>ООО "БЛАГОУСТРОЙСТВО" 152-СТР от 22.07.2022</v>
      </c>
      <c r="D43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3" t="str">
        <f ca="1">IFERROR(__xludf.DUMMYFUNCTION("""COMPUTED_VALUE"""),"Новый")</f>
        <v>Новый</v>
      </c>
      <c r="G4333" s="68"/>
      <c r="K4333" s="68"/>
    </row>
    <row r="4334" spans="1:11" ht="12.75">
      <c r="A4334" s="69">
        <f ca="1">IFERROR(__xludf.DUMMYFUNCTION("""COMPUTED_VALUE"""),103827)</f>
        <v>103827</v>
      </c>
      <c r="B4334" s="4">
        <f ca="1">IFERROR(__xludf.DUMMYFUNCTION("""COMPUTED_VALUE"""),44784)</f>
        <v>44784</v>
      </c>
      <c r="C4334" t="str">
        <f ca="1">IFERROR(__xludf.DUMMYFUNCTION("""COMPUTED_VALUE"""),"ООО ""БЛАГОУСТРОЙСТВО"" 152-СТР от 22.07.2022")</f>
        <v>ООО "БЛАГОУСТРОЙСТВО" 152-СТР от 22.07.2022</v>
      </c>
      <c r="D43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4" t="str">
        <f ca="1">IFERROR(__xludf.DUMMYFUNCTION("""COMPUTED_VALUE"""),"Новый")</f>
        <v>Новый</v>
      </c>
      <c r="G4334" s="68"/>
      <c r="K4334" s="68"/>
    </row>
    <row r="4335" spans="1:11" ht="12.75">
      <c r="A4335" s="69">
        <f ca="1">IFERROR(__xludf.DUMMYFUNCTION("""COMPUTED_VALUE"""),103828)</f>
        <v>103828</v>
      </c>
      <c r="B4335" s="4">
        <f ca="1">IFERROR(__xludf.DUMMYFUNCTION("""COMPUTED_VALUE"""),44784)</f>
        <v>44784</v>
      </c>
      <c r="C4335" t="str">
        <f ca="1">IFERROR(__xludf.DUMMYFUNCTION("""COMPUTED_VALUE"""),"ООО ""БЛАГОУСТРОЙСТВО"" 152-СТР от 22.07.2022")</f>
        <v>ООО "БЛАГОУСТРОЙСТВО" 152-СТР от 22.07.2022</v>
      </c>
      <c r="D43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5" t="str">
        <f ca="1">IFERROR(__xludf.DUMMYFUNCTION("""COMPUTED_VALUE"""),"Новый")</f>
        <v>Новый</v>
      </c>
      <c r="G4335" s="68"/>
      <c r="K4335" s="68"/>
    </row>
    <row r="4336" spans="1:11" ht="12.75">
      <c r="A4336" s="69">
        <f ca="1">IFERROR(__xludf.DUMMYFUNCTION("""COMPUTED_VALUE"""),103829)</f>
        <v>103829</v>
      </c>
      <c r="B4336" s="4">
        <f ca="1">IFERROR(__xludf.DUMMYFUNCTION("""COMPUTED_VALUE"""),44784)</f>
        <v>44784</v>
      </c>
      <c r="C4336" t="str">
        <f ca="1">IFERROR(__xludf.DUMMYFUNCTION("""COMPUTED_VALUE"""),"ООО ""БЛАГОУСТРОЙСТВО"" 152-СТР от 22.07.2022")</f>
        <v>ООО "БЛАГОУСТРОЙСТВО" 152-СТР от 22.07.2022</v>
      </c>
      <c r="D43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6" t="str">
        <f ca="1">IFERROR(__xludf.DUMMYFUNCTION("""COMPUTED_VALUE"""),"Новый")</f>
        <v>Новый</v>
      </c>
      <c r="G4336" s="68"/>
      <c r="K4336" s="68"/>
    </row>
    <row r="4337" spans="1:11" ht="12.75">
      <c r="A4337" s="69">
        <f ca="1">IFERROR(__xludf.DUMMYFUNCTION("""COMPUTED_VALUE"""),103830)</f>
        <v>103830</v>
      </c>
      <c r="B4337" s="4">
        <f ca="1">IFERROR(__xludf.DUMMYFUNCTION("""COMPUTED_VALUE"""),44784)</f>
        <v>44784</v>
      </c>
      <c r="C4337" t="str">
        <f ca="1">IFERROR(__xludf.DUMMYFUNCTION("""COMPUTED_VALUE"""),"ООО ""БЛАГОУСТРОЙСТВО"" 152-СТР от 22.07.2022")</f>
        <v>ООО "БЛАГОУСТРОЙСТВО" 152-СТР от 22.07.2022</v>
      </c>
      <c r="D43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7" t="str">
        <f ca="1">IFERROR(__xludf.DUMMYFUNCTION("""COMPUTED_VALUE"""),"Новый")</f>
        <v>Новый</v>
      </c>
      <c r="G4337" s="68"/>
      <c r="K4337" s="68"/>
    </row>
    <row r="4338" spans="1:11" ht="12.75">
      <c r="A4338" s="69">
        <f ca="1">IFERROR(__xludf.DUMMYFUNCTION("""COMPUTED_VALUE"""),103831)</f>
        <v>103831</v>
      </c>
      <c r="B4338" s="4">
        <f ca="1">IFERROR(__xludf.DUMMYFUNCTION("""COMPUTED_VALUE"""),44784)</f>
        <v>44784</v>
      </c>
      <c r="C4338" t="str">
        <f ca="1">IFERROR(__xludf.DUMMYFUNCTION("""COMPUTED_VALUE"""),"ООО ""БЛАГОУСТРОЙСТВО"" 152-СТР от 22.07.2022")</f>
        <v>ООО "БЛАГОУСТРОЙСТВО" 152-СТР от 22.07.2022</v>
      </c>
      <c r="D43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8" t="str">
        <f ca="1">IFERROR(__xludf.DUMMYFUNCTION("""COMPUTED_VALUE"""),"Новый")</f>
        <v>Новый</v>
      </c>
      <c r="G4338" s="68"/>
      <c r="K4338" s="68"/>
    </row>
    <row r="4339" spans="1:11" ht="12.75">
      <c r="A4339" s="69">
        <f ca="1">IFERROR(__xludf.DUMMYFUNCTION("""COMPUTED_VALUE"""),103832)</f>
        <v>103832</v>
      </c>
      <c r="B4339" s="4">
        <f ca="1">IFERROR(__xludf.DUMMYFUNCTION("""COMPUTED_VALUE"""),44784)</f>
        <v>44784</v>
      </c>
      <c r="C4339" t="str">
        <f ca="1">IFERROR(__xludf.DUMMYFUNCTION("""COMPUTED_VALUE"""),"ООО ""БЛАГОУСТРОЙСТВО"" 152-СТР от 22.07.2022")</f>
        <v>ООО "БЛАГОУСТРОЙСТВО" 152-СТР от 22.07.2022</v>
      </c>
      <c r="D43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39" t="str">
        <f ca="1">IFERROR(__xludf.DUMMYFUNCTION("""COMPUTED_VALUE"""),"Новый")</f>
        <v>Новый</v>
      </c>
      <c r="G4339" s="68"/>
      <c r="K4339" s="68"/>
    </row>
    <row r="4340" spans="1:11" ht="12.75">
      <c r="A4340" s="69">
        <f ca="1">IFERROR(__xludf.DUMMYFUNCTION("""COMPUTED_VALUE"""),103833)</f>
        <v>103833</v>
      </c>
      <c r="B4340" s="4">
        <f ca="1">IFERROR(__xludf.DUMMYFUNCTION("""COMPUTED_VALUE"""),44784)</f>
        <v>44784</v>
      </c>
      <c r="C4340" t="str">
        <f ca="1">IFERROR(__xludf.DUMMYFUNCTION("""COMPUTED_VALUE"""),"ООО ""БЛАГОУСТРОЙСТВО"" 152-СТР от 22.07.2022")</f>
        <v>ООО "БЛАГОУСТРОЙСТВО" 152-СТР от 22.07.2022</v>
      </c>
      <c r="D43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0" t="str">
        <f ca="1">IFERROR(__xludf.DUMMYFUNCTION("""COMPUTED_VALUE"""),"Новый")</f>
        <v>Новый</v>
      </c>
      <c r="G4340" s="68"/>
      <c r="K4340" s="68"/>
    </row>
    <row r="4341" spans="1:11" ht="12.75">
      <c r="A4341" s="69">
        <f ca="1">IFERROR(__xludf.DUMMYFUNCTION("""COMPUTED_VALUE"""),103834)</f>
        <v>103834</v>
      </c>
      <c r="B4341" s="4">
        <f ca="1">IFERROR(__xludf.DUMMYFUNCTION("""COMPUTED_VALUE"""),44784)</f>
        <v>44784</v>
      </c>
      <c r="C4341" t="str">
        <f ca="1">IFERROR(__xludf.DUMMYFUNCTION("""COMPUTED_VALUE"""),"ООО ""БЛАГОУСТРОЙСТВО"" 152-СТР от 22.07.2022")</f>
        <v>ООО "БЛАГОУСТРОЙСТВО" 152-СТР от 22.07.2022</v>
      </c>
      <c r="D43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1" t="str">
        <f ca="1">IFERROR(__xludf.DUMMYFUNCTION("""COMPUTED_VALUE"""),"Новый")</f>
        <v>Новый</v>
      </c>
      <c r="G4341" s="68"/>
      <c r="K4341" s="68"/>
    </row>
    <row r="4342" spans="1:11" ht="12.75">
      <c r="A4342" s="69">
        <f ca="1">IFERROR(__xludf.DUMMYFUNCTION("""COMPUTED_VALUE"""),103835)</f>
        <v>103835</v>
      </c>
      <c r="B4342" s="4">
        <f ca="1">IFERROR(__xludf.DUMMYFUNCTION("""COMPUTED_VALUE"""),44784)</f>
        <v>44784</v>
      </c>
      <c r="C4342" t="str">
        <f ca="1">IFERROR(__xludf.DUMMYFUNCTION("""COMPUTED_VALUE"""),"ООО ""БЛАГОУСТРОЙСТВО"" 152-СТР от 22.07.2022")</f>
        <v>ООО "БЛАГОУСТРОЙСТВО" 152-СТР от 22.07.2022</v>
      </c>
      <c r="D43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2" t="str">
        <f ca="1">IFERROR(__xludf.DUMMYFUNCTION("""COMPUTED_VALUE"""),"Новый")</f>
        <v>Новый</v>
      </c>
      <c r="G4342" s="68"/>
      <c r="K4342" s="68"/>
    </row>
    <row r="4343" spans="1:11" ht="12.75">
      <c r="A4343" s="69">
        <f ca="1">IFERROR(__xludf.DUMMYFUNCTION("""COMPUTED_VALUE"""),103836)</f>
        <v>103836</v>
      </c>
      <c r="B4343" s="4">
        <f ca="1">IFERROR(__xludf.DUMMYFUNCTION("""COMPUTED_VALUE"""),44784)</f>
        <v>44784</v>
      </c>
      <c r="C4343" t="str">
        <f ca="1">IFERROR(__xludf.DUMMYFUNCTION("""COMPUTED_VALUE"""),"ООО ""БЛАГОУСТРОЙСТВО"" 152-СТР от 22.07.2022")</f>
        <v>ООО "БЛАГОУСТРОЙСТВО" 152-СТР от 22.07.2022</v>
      </c>
      <c r="D43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3" t="str">
        <f ca="1">IFERROR(__xludf.DUMMYFUNCTION("""COMPUTED_VALUE"""),"Новый")</f>
        <v>Новый</v>
      </c>
      <c r="G4343" s="68"/>
      <c r="K4343" s="68"/>
    </row>
    <row r="4344" spans="1:11" ht="12.75">
      <c r="A4344" s="69">
        <f ca="1">IFERROR(__xludf.DUMMYFUNCTION("""COMPUTED_VALUE"""),103837)</f>
        <v>103837</v>
      </c>
      <c r="B4344" s="4">
        <f ca="1">IFERROR(__xludf.DUMMYFUNCTION("""COMPUTED_VALUE"""),44784)</f>
        <v>44784</v>
      </c>
      <c r="C4344" t="str">
        <f ca="1">IFERROR(__xludf.DUMMYFUNCTION("""COMPUTED_VALUE"""),"ООО ""БЛАГОУСТРОЙСТВО"" 152-СТР от 22.07.2022")</f>
        <v>ООО "БЛАГОУСТРОЙСТВО" 152-СТР от 22.07.2022</v>
      </c>
      <c r="D43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4" t="str">
        <f ca="1">IFERROR(__xludf.DUMMYFUNCTION("""COMPUTED_VALUE"""),"Новый")</f>
        <v>Новый</v>
      </c>
      <c r="G4344" s="68"/>
      <c r="K4344" s="68"/>
    </row>
    <row r="4345" spans="1:11" ht="12.75">
      <c r="A4345" s="69">
        <f ca="1">IFERROR(__xludf.DUMMYFUNCTION("""COMPUTED_VALUE"""),103838)</f>
        <v>103838</v>
      </c>
      <c r="B4345" s="4">
        <f ca="1">IFERROR(__xludf.DUMMYFUNCTION("""COMPUTED_VALUE"""),44784)</f>
        <v>44784</v>
      </c>
      <c r="C4345" t="str">
        <f ca="1">IFERROR(__xludf.DUMMYFUNCTION("""COMPUTED_VALUE"""),"ООО ""БЛАГОУСТРОЙСТВО"" 152-СТР от 22.07.2022")</f>
        <v>ООО "БЛАГОУСТРОЙСТВО" 152-СТР от 22.07.2022</v>
      </c>
      <c r="D43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5" t="str">
        <f ca="1">IFERROR(__xludf.DUMMYFUNCTION("""COMPUTED_VALUE"""),"Новый")</f>
        <v>Новый</v>
      </c>
      <c r="G4345" s="68"/>
      <c r="K4345" s="68"/>
    </row>
    <row r="4346" spans="1:11" ht="12.75">
      <c r="A4346" s="69">
        <f ca="1">IFERROR(__xludf.DUMMYFUNCTION("""COMPUTED_VALUE"""),103839)</f>
        <v>103839</v>
      </c>
      <c r="B4346" s="4">
        <f ca="1">IFERROR(__xludf.DUMMYFUNCTION("""COMPUTED_VALUE"""),44784)</f>
        <v>44784</v>
      </c>
      <c r="C4346" t="str">
        <f ca="1">IFERROR(__xludf.DUMMYFUNCTION("""COMPUTED_VALUE"""),"ООО ""БЛАГОУСТРОЙСТВО"" 152-СТР от 22.07.2022")</f>
        <v>ООО "БЛАГОУСТРОЙСТВО" 152-СТР от 22.07.2022</v>
      </c>
      <c r="D43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46" t="str">
        <f ca="1">IFERROR(__xludf.DUMMYFUNCTION("""COMPUTED_VALUE"""),"Новый")</f>
        <v>Новый</v>
      </c>
      <c r="G4346" s="68"/>
      <c r="K4346" s="68"/>
    </row>
    <row r="4347" spans="1:11" ht="12.75">
      <c r="A4347" s="69">
        <f ca="1">IFERROR(__xludf.DUMMYFUNCTION("""COMPUTED_VALUE"""),103840)</f>
        <v>103840</v>
      </c>
      <c r="B4347" s="4">
        <f ca="1">IFERROR(__xludf.DUMMYFUNCTION("""COMPUTED_VALUE"""),44784)</f>
        <v>44784</v>
      </c>
      <c r="C4347" t="str">
        <f ca="1">IFERROR(__xludf.DUMMYFUNCTION("""COMPUTED_VALUE"""),"ООО ""БЛАГОУСТРОЙСТВО"" 152-СТР от 22.07.2022")</f>
        <v>ООО "БЛАГОУСТРОЙСТВО" 152-СТР от 22.07.2022</v>
      </c>
      <c r="D43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47" t="str">
        <f ca="1">IFERROR(__xludf.DUMMYFUNCTION("""COMPUTED_VALUE"""),"Новый")</f>
        <v>Новый</v>
      </c>
      <c r="G4347" s="68"/>
      <c r="K4347" s="68"/>
    </row>
    <row r="4348" spans="1:11" ht="12.75">
      <c r="A4348" s="69">
        <f ca="1">IFERROR(__xludf.DUMMYFUNCTION("""COMPUTED_VALUE"""),103841)</f>
        <v>103841</v>
      </c>
      <c r="B4348" s="4">
        <f ca="1">IFERROR(__xludf.DUMMYFUNCTION("""COMPUTED_VALUE"""),44784)</f>
        <v>44784</v>
      </c>
      <c r="C4348" t="str">
        <f ca="1">IFERROR(__xludf.DUMMYFUNCTION("""COMPUTED_VALUE"""),"ООО ""БЛАГОУСТРОЙСТВО"" 152-СТР от 22.07.2022")</f>
        <v>ООО "БЛАГОУСТРОЙСТВО" 152-СТР от 22.07.2022</v>
      </c>
      <c r="D43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48" t="str">
        <f ca="1">IFERROR(__xludf.DUMMYFUNCTION("""COMPUTED_VALUE"""),"Новый")</f>
        <v>Новый</v>
      </c>
      <c r="G4348" s="68"/>
      <c r="K4348" s="68"/>
    </row>
    <row r="4349" spans="1:11" ht="12.75">
      <c r="A4349" s="69">
        <f ca="1">IFERROR(__xludf.DUMMYFUNCTION("""COMPUTED_VALUE"""),103842)</f>
        <v>103842</v>
      </c>
      <c r="B4349" s="4">
        <f ca="1">IFERROR(__xludf.DUMMYFUNCTION("""COMPUTED_VALUE"""),44784)</f>
        <v>44784</v>
      </c>
      <c r="C4349" t="str">
        <f ca="1">IFERROR(__xludf.DUMMYFUNCTION("""COMPUTED_VALUE"""),"ООО ""БЛАГОУСТРОЙСТВО"" 152-СТР от 22.07.2022")</f>
        <v>ООО "БЛАГОУСТРОЙСТВО" 152-СТР от 22.07.2022</v>
      </c>
      <c r="D43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49" t="str">
        <f ca="1">IFERROR(__xludf.DUMMYFUNCTION("""COMPUTED_VALUE"""),"Новый")</f>
        <v>Новый</v>
      </c>
      <c r="G4349" s="68"/>
      <c r="K4349" s="68"/>
    </row>
    <row r="4350" spans="1:11" ht="12.75">
      <c r="A4350" s="69">
        <f ca="1">IFERROR(__xludf.DUMMYFUNCTION("""COMPUTED_VALUE"""),103843)</f>
        <v>103843</v>
      </c>
      <c r="B4350" s="4">
        <f ca="1">IFERROR(__xludf.DUMMYFUNCTION("""COMPUTED_VALUE"""),44784)</f>
        <v>44784</v>
      </c>
      <c r="C4350" t="str">
        <f ca="1">IFERROR(__xludf.DUMMYFUNCTION("""COMPUTED_VALUE"""),"ООО ""БЛАГОУСТРОЙСТВО"" 152-СТР от 22.07.2022")</f>
        <v>ООО "БЛАГОУСТРОЙСТВО" 152-СТР от 22.07.2022</v>
      </c>
      <c r="D43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0" t="str">
        <f ca="1">IFERROR(__xludf.DUMMYFUNCTION("""COMPUTED_VALUE"""),"Новый")</f>
        <v>Новый</v>
      </c>
      <c r="G4350" s="68"/>
      <c r="K4350" s="68"/>
    </row>
    <row r="4351" spans="1:11" ht="12.75">
      <c r="A4351" s="69">
        <f ca="1">IFERROR(__xludf.DUMMYFUNCTION("""COMPUTED_VALUE"""),103844)</f>
        <v>103844</v>
      </c>
      <c r="B4351" s="4">
        <f ca="1">IFERROR(__xludf.DUMMYFUNCTION("""COMPUTED_VALUE"""),44784)</f>
        <v>44784</v>
      </c>
      <c r="C4351" t="str">
        <f ca="1">IFERROR(__xludf.DUMMYFUNCTION("""COMPUTED_VALUE"""),"ООО ""БЛАГОУСТРОЙСТВО"" 152-СТР от 22.07.2022")</f>
        <v>ООО "БЛАГОУСТРОЙСТВО" 152-СТР от 22.07.2022</v>
      </c>
      <c r="D43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1" t="str">
        <f ca="1">IFERROR(__xludf.DUMMYFUNCTION("""COMPUTED_VALUE"""),"Новый")</f>
        <v>Новый</v>
      </c>
      <c r="G4351" s="68"/>
      <c r="K4351" s="68"/>
    </row>
    <row r="4352" spans="1:11" ht="12.75">
      <c r="A4352" s="69">
        <f ca="1">IFERROR(__xludf.DUMMYFUNCTION("""COMPUTED_VALUE"""),103845)</f>
        <v>103845</v>
      </c>
      <c r="B4352" s="4">
        <f ca="1">IFERROR(__xludf.DUMMYFUNCTION("""COMPUTED_VALUE"""),44784)</f>
        <v>44784</v>
      </c>
      <c r="C4352" t="str">
        <f ca="1">IFERROR(__xludf.DUMMYFUNCTION("""COMPUTED_VALUE"""),"ООО ""БЛАГОУСТРОЙСТВО"" 152-СТР от 22.07.2022")</f>
        <v>ООО "БЛАГОУСТРОЙСТВО" 152-СТР от 22.07.2022</v>
      </c>
      <c r="D43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2" t="str">
        <f ca="1">IFERROR(__xludf.DUMMYFUNCTION("""COMPUTED_VALUE"""),"Новый")</f>
        <v>Новый</v>
      </c>
      <c r="G4352" s="68"/>
      <c r="K4352" s="68"/>
    </row>
    <row r="4353" spans="1:11" ht="12.75">
      <c r="A4353" s="69">
        <f ca="1">IFERROR(__xludf.DUMMYFUNCTION("""COMPUTED_VALUE"""),103846)</f>
        <v>103846</v>
      </c>
      <c r="B4353" s="4">
        <f ca="1">IFERROR(__xludf.DUMMYFUNCTION("""COMPUTED_VALUE"""),44784)</f>
        <v>44784</v>
      </c>
      <c r="C4353" t="str">
        <f ca="1">IFERROR(__xludf.DUMMYFUNCTION("""COMPUTED_VALUE"""),"ООО ""БЛАГОУСТРОЙСТВО"" 152-СТР от 22.07.2022")</f>
        <v>ООО "БЛАГОУСТРОЙСТВО" 152-СТР от 22.07.2022</v>
      </c>
      <c r="D43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3" t="str">
        <f ca="1">IFERROR(__xludf.DUMMYFUNCTION("""COMPUTED_VALUE"""),"Новый")</f>
        <v>Новый</v>
      </c>
      <c r="G4353" s="68"/>
      <c r="K4353" s="68"/>
    </row>
    <row r="4354" spans="1:11" ht="12.75">
      <c r="A4354" s="69">
        <f ca="1">IFERROR(__xludf.DUMMYFUNCTION("""COMPUTED_VALUE"""),103847)</f>
        <v>103847</v>
      </c>
      <c r="B4354" s="4">
        <f ca="1">IFERROR(__xludf.DUMMYFUNCTION("""COMPUTED_VALUE"""),44784)</f>
        <v>44784</v>
      </c>
      <c r="C4354" t="str">
        <f ca="1">IFERROR(__xludf.DUMMYFUNCTION("""COMPUTED_VALUE"""),"ООО ""БЛАГОУСТРОЙСТВО"" 152-СТР от 22.07.2022")</f>
        <v>ООО "БЛАГОУСТРОЙСТВО" 152-СТР от 22.07.2022</v>
      </c>
      <c r="D43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4" t="str">
        <f ca="1">IFERROR(__xludf.DUMMYFUNCTION("""COMPUTED_VALUE"""),"Новый")</f>
        <v>Новый</v>
      </c>
      <c r="G4354" s="68"/>
      <c r="K4354" s="68"/>
    </row>
    <row r="4355" spans="1:11" ht="12.75">
      <c r="A4355" s="69">
        <f ca="1">IFERROR(__xludf.DUMMYFUNCTION("""COMPUTED_VALUE"""),103848)</f>
        <v>103848</v>
      </c>
      <c r="B4355" s="4">
        <f ca="1">IFERROR(__xludf.DUMMYFUNCTION("""COMPUTED_VALUE"""),44784)</f>
        <v>44784</v>
      </c>
      <c r="C4355" t="str">
        <f ca="1">IFERROR(__xludf.DUMMYFUNCTION("""COMPUTED_VALUE"""),"ООО ""БЛАГОУСТРОЙСТВО"" 152-СТР от 22.07.2022")</f>
        <v>ООО "БЛАГОУСТРОЙСТВО" 152-СТР от 22.07.2022</v>
      </c>
      <c r="D43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5" t="str">
        <f ca="1">IFERROR(__xludf.DUMMYFUNCTION("""COMPUTED_VALUE"""),"Новый")</f>
        <v>Новый</v>
      </c>
      <c r="G4355" s="68"/>
      <c r="K4355" s="68"/>
    </row>
    <row r="4356" spans="1:11" ht="12.75">
      <c r="A4356" s="69">
        <f ca="1">IFERROR(__xludf.DUMMYFUNCTION("""COMPUTED_VALUE"""),103849)</f>
        <v>103849</v>
      </c>
      <c r="B4356" s="4">
        <f ca="1">IFERROR(__xludf.DUMMYFUNCTION("""COMPUTED_VALUE"""),44784)</f>
        <v>44784</v>
      </c>
      <c r="C4356" t="str">
        <f ca="1">IFERROR(__xludf.DUMMYFUNCTION("""COMPUTED_VALUE"""),"ООО ""БЛАГОУСТРОЙСТВО"" 152-СТР от 22.07.2022")</f>
        <v>ООО "БЛАГОУСТРОЙСТВО" 152-СТР от 22.07.2022</v>
      </c>
      <c r="D43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56" t="str">
        <f ca="1">IFERROR(__xludf.DUMMYFUNCTION("""COMPUTED_VALUE"""),"Новый")</f>
        <v>Новый</v>
      </c>
      <c r="G4356" s="68"/>
      <c r="K4356" s="68"/>
    </row>
    <row r="4357" spans="1:11" ht="12.75">
      <c r="A4357" s="69">
        <f ca="1">IFERROR(__xludf.DUMMYFUNCTION("""COMPUTED_VALUE"""),103930)</f>
        <v>103930</v>
      </c>
      <c r="B4357" s="4">
        <f ca="1">IFERROR(__xludf.DUMMYFUNCTION("""COMPUTED_VALUE"""),44784)</f>
        <v>44784</v>
      </c>
      <c r="C4357" t="str">
        <f ca="1">IFERROR(__xludf.DUMMYFUNCTION("""COMPUTED_VALUE"""),"БУ Г. ОМСКА ""УДХБ"" 197-РДО от 01.07.2022")</f>
        <v>БУ Г. ОМСКА "УДХБ" 197-РДО от 01.07.2022</v>
      </c>
      <c r="D43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57" t="str">
        <f ca="1">IFERROR(__xludf.DUMMYFUNCTION("""COMPUTED_VALUE"""),"Новый")</f>
        <v>Новый</v>
      </c>
      <c r="G4357" s="68"/>
      <c r="K4357" s="68"/>
    </row>
    <row r="4358" spans="1:11" ht="12.75">
      <c r="A4358" s="69">
        <f ca="1">IFERROR(__xludf.DUMMYFUNCTION("""COMPUTED_VALUE"""),103931)</f>
        <v>103931</v>
      </c>
      <c r="B4358" s="4">
        <f ca="1">IFERROR(__xludf.DUMMYFUNCTION("""COMPUTED_VALUE"""),44784)</f>
        <v>44784</v>
      </c>
      <c r="C4358" t="str">
        <f ca="1">IFERROR(__xludf.DUMMYFUNCTION("""COMPUTED_VALUE"""),"БУ Г. ОМСКА ""УДХБ"" 197-РДО от 01.07.2022")</f>
        <v>БУ Г. ОМСКА "УДХБ" 197-РДО от 01.07.2022</v>
      </c>
      <c r="D43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58" t="str">
        <f ca="1">IFERROR(__xludf.DUMMYFUNCTION("""COMPUTED_VALUE"""),"Новый")</f>
        <v>Новый</v>
      </c>
      <c r="G4358" s="68"/>
      <c r="K4358" s="68"/>
    </row>
    <row r="4359" spans="1:11" ht="12.75">
      <c r="A4359" s="69">
        <f ca="1">IFERROR(__xludf.DUMMYFUNCTION("""COMPUTED_VALUE"""),103938)</f>
        <v>103938</v>
      </c>
      <c r="B4359" s="4">
        <f ca="1">IFERROR(__xludf.DUMMYFUNCTION("""COMPUTED_VALUE"""),44784)</f>
        <v>44784</v>
      </c>
      <c r="C4359" t="str">
        <f ca="1">IFERROR(__xludf.DUMMYFUNCTION("""COMPUTED_VALUE"""),"БУ Г. ОМСКА ""УДХБ"" 197-РДО от 01.07.2022")</f>
        <v>БУ Г. ОМСКА "УДХБ" 197-РДО от 01.07.2022</v>
      </c>
      <c r="D43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59" t="str">
        <f ca="1">IFERROR(__xludf.DUMMYFUNCTION("""COMPUTED_VALUE"""),"Новый")</f>
        <v>Новый</v>
      </c>
      <c r="G4359" s="68"/>
      <c r="K4359" s="68"/>
    </row>
    <row r="4360" spans="1:11" ht="12.75">
      <c r="A4360" s="69">
        <f ca="1">IFERROR(__xludf.DUMMYFUNCTION("""COMPUTED_VALUE"""),103979)</f>
        <v>103979</v>
      </c>
      <c r="B4360" s="4">
        <f ca="1">IFERROR(__xludf.DUMMYFUNCTION("""COMPUTED_VALUE"""),44784)</f>
        <v>44784</v>
      </c>
      <c r="C4360" t="str">
        <f ca="1">IFERROR(__xludf.DUMMYFUNCTION("""COMPUTED_VALUE"""),"БУ Г. ОМСКА ""УДХБ"" 197-РДО от 01.07.2022")</f>
        <v>БУ Г. ОМСКА "УДХБ" 197-РДО от 01.07.2022</v>
      </c>
      <c r="D43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60" t="str">
        <f ca="1">IFERROR(__xludf.DUMMYFUNCTION("""COMPUTED_VALUE"""),"Новый")</f>
        <v>Новый</v>
      </c>
      <c r="G4360" s="68"/>
      <c r="K4360" s="68"/>
    </row>
    <row r="4361" spans="1:11" ht="12.75">
      <c r="A4361" s="69">
        <f ca="1">IFERROR(__xludf.DUMMYFUNCTION("""COMPUTED_VALUE"""),104037)</f>
        <v>104037</v>
      </c>
      <c r="B4361" s="4">
        <f ca="1">IFERROR(__xludf.DUMMYFUNCTION("""COMPUTED_VALUE"""),44784)</f>
        <v>44784</v>
      </c>
      <c r="C4361" t="str">
        <f ca="1">IFERROR(__xludf.DUMMYFUNCTION("""COMPUTED_VALUE"""),"БУ Г. ОМСКА ""УДХБ"" 197-РДО от 01.07.2022")</f>
        <v>БУ Г. ОМСКА "УДХБ" 197-РДО от 01.07.2022</v>
      </c>
      <c r="D43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361" t="str">
        <f ca="1">IFERROR(__xludf.DUMMYFUNCTION("""COMPUTED_VALUE"""),"Новый")</f>
        <v>Новый</v>
      </c>
      <c r="G4361" s="68"/>
      <c r="K4361" s="68"/>
    </row>
    <row r="4362" spans="1:11" ht="12.75">
      <c r="A4362" s="69">
        <f ca="1">IFERROR(__xludf.DUMMYFUNCTION("""COMPUTED_VALUE"""),104050)</f>
        <v>104050</v>
      </c>
      <c r="B4362" s="4">
        <f ca="1">IFERROR(__xludf.DUMMYFUNCTION("""COMPUTED_VALUE"""),44785)</f>
        <v>44785</v>
      </c>
      <c r="C4362" t="str">
        <f ca="1">IFERROR(__xludf.DUMMYFUNCTION("""COMPUTED_VALUE"""),"ОЗЗА ООО 150-СТР от 20.07.2022")</f>
        <v>ОЗЗА ООО 150-СТР от 20.07.2022</v>
      </c>
      <c r="D43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2" t="str">
        <f ca="1">IFERROR(__xludf.DUMMYFUNCTION("""COMPUTED_VALUE"""),"Новый")</f>
        <v>Новый</v>
      </c>
      <c r="G4362" s="68"/>
      <c r="K4362" s="68"/>
    </row>
    <row r="4363" spans="1:11" ht="12.75">
      <c r="A4363" s="69">
        <f ca="1">IFERROR(__xludf.DUMMYFUNCTION("""COMPUTED_VALUE"""),104051)</f>
        <v>104051</v>
      </c>
      <c r="B4363" s="4">
        <f ca="1">IFERROR(__xludf.DUMMYFUNCTION("""COMPUTED_VALUE"""),44785)</f>
        <v>44785</v>
      </c>
      <c r="C4363" t="str">
        <f ca="1">IFERROR(__xludf.DUMMYFUNCTION("""COMPUTED_VALUE"""),"ОЗЗА ООО 150-СТР от 20.07.2022")</f>
        <v>ОЗЗА ООО 150-СТР от 20.07.2022</v>
      </c>
      <c r="D43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3" t="str">
        <f ca="1">IFERROR(__xludf.DUMMYFUNCTION("""COMPUTED_VALUE"""),"Новый")</f>
        <v>Новый</v>
      </c>
      <c r="G4363" s="68"/>
      <c r="K4363" s="68"/>
    </row>
    <row r="4364" spans="1:11" ht="12.75">
      <c r="A4364" s="69">
        <f ca="1">IFERROR(__xludf.DUMMYFUNCTION("""COMPUTED_VALUE"""),104052)</f>
        <v>104052</v>
      </c>
      <c r="B4364" s="4">
        <f ca="1">IFERROR(__xludf.DUMMYFUNCTION("""COMPUTED_VALUE"""),44785)</f>
        <v>44785</v>
      </c>
      <c r="C4364" t="str">
        <f ca="1">IFERROR(__xludf.DUMMYFUNCTION("""COMPUTED_VALUE"""),"ОЗЗА ООО 150-СТР от 20.07.2022")</f>
        <v>ОЗЗА ООО 150-СТР от 20.07.2022</v>
      </c>
      <c r="D43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4" t="str">
        <f ca="1">IFERROR(__xludf.DUMMYFUNCTION("""COMPUTED_VALUE"""),"Новый")</f>
        <v>Новый</v>
      </c>
      <c r="G4364" s="68"/>
      <c r="K4364" s="68"/>
    </row>
    <row r="4365" spans="1:11" ht="12.75">
      <c r="A4365" s="69">
        <f ca="1">IFERROR(__xludf.DUMMYFUNCTION("""COMPUTED_VALUE"""),104053)</f>
        <v>104053</v>
      </c>
      <c r="B4365" s="4">
        <f ca="1">IFERROR(__xludf.DUMMYFUNCTION("""COMPUTED_VALUE"""),44785)</f>
        <v>44785</v>
      </c>
      <c r="C4365" t="str">
        <f ca="1">IFERROR(__xludf.DUMMYFUNCTION("""COMPUTED_VALUE"""),"ОЗЗА ООО 150-СТР от 20.07.2022")</f>
        <v>ОЗЗА ООО 150-СТР от 20.07.2022</v>
      </c>
      <c r="D43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5" t="str">
        <f ca="1">IFERROR(__xludf.DUMMYFUNCTION("""COMPUTED_VALUE"""),"Новый")</f>
        <v>Новый</v>
      </c>
      <c r="G4365" s="68"/>
      <c r="K4365" s="68"/>
    </row>
    <row r="4366" spans="1:11" ht="12.75">
      <c r="A4366" s="69">
        <f ca="1">IFERROR(__xludf.DUMMYFUNCTION("""COMPUTED_VALUE"""),104054)</f>
        <v>104054</v>
      </c>
      <c r="B4366" s="4">
        <f ca="1">IFERROR(__xludf.DUMMYFUNCTION("""COMPUTED_VALUE"""),44785)</f>
        <v>44785</v>
      </c>
      <c r="C4366" t="str">
        <f ca="1">IFERROR(__xludf.DUMMYFUNCTION("""COMPUTED_VALUE"""),"ОЗЗА ООО 150-СТР от 20.07.2022")</f>
        <v>ОЗЗА ООО 150-СТР от 20.07.2022</v>
      </c>
      <c r="D43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6" t="str">
        <f ca="1">IFERROR(__xludf.DUMMYFUNCTION("""COMPUTED_VALUE"""),"Новый")</f>
        <v>Новый</v>
      </c>
      <c r="G4366" s="68"/>
      <c r="K4366" s="68"/>
    </row>
    <row r="4367" spans="1:11" ht="12.75">
      <c r="A4367" s="69">
        <f ca="1">IFERROR(__xludf.DUMMYFUNCTION("""COMPUTED_VALUE"""),104055)</f>
        <v>104055</v>
      </c>
      <c r="B4367" s="4">
        <f ca="1">IFERROR(__xludf.DUMMYFUNCTION("""COMPUTED_VALUE"""),44785)</f>
        <v>44785</v>
      </c>
      <c r="C4367" t="str">
        <f ca="1">IFERROR(__xludf.DUMMYFUNCTION("""COMPUTED_VALUE"""),"ОЗЗА ООО 150-СТР от 20.07.2022")</f>
        <v>ОЗЗА ООО 150-СТР от 20.07.2022</v>
      </c>
      <c r="D43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7" t="str">
        <f ca="1">IFERROR(__xludf.DUMMYFUNCTION("""COMPUTED_VALUE"""),"Новый")</f>
        <v>Новый</v>
      </c>
      <c r="G4367" s="68"/>
      <c r="K4367" s="68"/>
    </row>
    <row r="4368" spans="1:11" ht="12.75">
      <c r="A4368" s="69">
        <f ca="1">IFERROR(__xludf.DUMMYFUNCTION("""COMPUTED_VALUE"""),104056)</f>
        <v>104056</v>
      </c>
      <c r="B4368" s="4">
        <f ca="1">IFERROR(__xludf.DUMMYFUNCTION("""COMPUTED_VALUE"""),44785)</f>
        <v>44785</v>
      </c>
      <c r="C4368" t="str">
        <f ca="1">IFERROR(__xludf.DUMMYFUNCTION("""COMPUTED_VALUE"""),"ОЗЗА ООО 150-СТР от 20.07.2022")</f>
        <v>ОЗЗА ООО 150-СТР от 20.07.2022</v>
      </c>
      <c r="D43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8" t="str">
        <f ca="1">IFERROR(__xludf.DUMMYFUNCTION("""COMPUTED_VALUE"""),"Новый")</f>
        <v>Новый</v>
      </c>
      <c r="G4368" s="68"/>
      <c r="K4368" s="68"/>
    </row>
    <row r="4369" spans="1:11" ht="12.75">
      <c r="A4369" s="69">
        <f ca="1">IFERROR(__xludf.DUMMYFUNCTION("""COMPUTED_VALUE"""),104057)</f>
        <v>104057</v>
      </c>
      <c r="B4369" s="4">
        <f ca="1">IFERROR(__xludf.DUMMYFUNCTION("""COMPUTED_VALUE"""),44785)</f>
        <v>44785</v>
      </c>
      <c r="C4369" t="str">
        <f ca="1">IFERROR(__xludf.DUMMYFUNCTION("""COMPUTED_VALUE"""),"ОЗЗА ООО 150-СТР от 20.07.2022")</f>
        <v>ОЗЗА ООО 150-СТР от 20.07.2022</v>
      </c>
      <c r="D43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69" t="str">
        <f ca="1">IFERROR(__xludf.DUMMYFUNCTION("""COMPUTED_VALUE"""),"Новый")</f>
        <v>Новый</v>
      </c>
      <c r="G4369" s="68"/>
      <c r="K4369" s="68"/>
    </row>
    <row r="4370" spans="1:11" ht="12.75">
      <c r="A4370" s="69">
        <f ca="1">IFERROR(__xludf.DUMMYFUNCTION("""COMPUTED_VALUE"""),104058)</f>
        <v>104058</v>
      </c>
      <c r="B4370" s="4">
        <f ca="1">IFERROR(__xludf.DUMMYFUNCTION("""COMPUTED_VALUE"""),44785)</f>
        <v>44785</v>
      </c>
      <c r="C4370" t="str">
        <f ca="1">IFERROR(__xludf.DUMMYFUNCTION("""COMPUTED_VALUE"""),"ОЗЗА ООО 150-СТР от 20.07.2022")</f>
        <v>ОЗЗА ООО 150-СТР от 20.07.2022</v>
      </c>
      <c r="D43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0" t="str">
        <f ca="1">IFERROR(__xludf.DUMMYFUNCTION("""COMPUTED_VALUE"""),"Новый")</f>
        <v>Новый</v>
      </c>
      <c r="G4370" s="68"/>
      <c r="K4370" s="68"/>
    </row>
    <row r="4371" spans="1:11" ht="12.75">
      <c r="A4371" s="69">
        <f ca="1">IFERROR(__xludf.DUMMYFUNCTION("""COMPUTED_VALUE"""),104060)</f>
        <v>104060</v>
      </c>
      <c r="B4371" s="4">
        <f ca="1">IFERROR(__xludf.DUMMYFUNCTION("""COMPUTED_VALUE"""),44785)</f>
        <v>44785</v>
      </c>
      <c r="C4371" t="str">
        <f ca="1">IFERROR(__xludf.DUMMYFUNCTION("""COMPUTED_VALUE"""),"ООО ""ПФК Сибметалл-Омск"" 149-СТР от 20.07.2022")</f>
        <v>ООО "ПФК Сибметалл-Омск" 149-СТР от 20.07.2022</v>
      </c>
      <c r="D43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1" t="str">
        <f ca="1">IFERROR(__xludf.DUMMYFUNCTION("""COMPUTED_VALUE"""),"Новый")</f>
        <v>Новый</v>
      </c>
      <c r="G4371" s="68"/>
      <c r="K4371" s="68"/>
    </row>
    <row r="4372" spans="1:11" ht="12.75">
      <c r="A4372" s="69">
        <f ca="1">IFERROR(__xludf.DUMMYFUNCTION("""COMPUTED_VALUE"""),104061)</f>
        <v>104061</v>
      </c>
      <c r="B4372" s="4">
        <f ca="1">IFERROR(__xludf.DUMMYFUNCTION("""COMPUTED_VALUE"""),44785)</f>
        <v>44785</v>
      </c>
      <c r="C4372" t="str">
        <f ca="1">IFERROR(__xludf.DUMMYFUNCTION("""COMPUTED_VALUE"""),"ООО ""ПФК Сибметалл-Омск"" 149-СТР от 20.07.2022")</f>
        <v>ООО "ПФК Сибметалл-Омск" 149-СТР от 20.07.2022</v>
      </c>
      <c r="D43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2" t="str">
        <f ca="1">IFERROR(__xludf.DUMMYFUNCTION("""COMPUTED_VALUE"""),"Новый")</f>
        <v>Новый</v>
      </c>
      <c r="G4372" s="68"/>
      <c r="K4372" s="68"/>
    </row>
    <row r="4373" spans="1:11" ht="12.75">
      <c r="A4373" s="69">
        <f ca="1">IFERROR(__xludf.DUMMYFUNCTION("""COMPUTED_VALUE"""),104062)</f>
        <v>104062</v>
      </c>
      <c r="B4373" s="4">
        <f ca="1">IFERROR(__xludf.DUMMYFUNCTION("""COMPUTED_VALUE"""),44785)</f>
        <v>44785</v>
      </c>
      <c r="C4373" t="str">
        <f ca="1">IFERROR(__xludf.DUMMYFUNCTION("""COMPUTED_VALUE"""),"ООО ""ПФК Сибметалл-Омск"" 149-СТР от 20.07.2022")</f>
        <v>ООО "ПФК Сибметалл-Омск" 149-СТР от 20.07.2022</v>
      </c>
      <c r="D43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3" t="str">
        <f ca="1">IFERROR(__xludf.DUMMYFUNCTION("""COMPUTED_VALUE"""),"Новый")</f>
        <v>Новый</v>
      </c>
      <c r="G4373" s="68"/>
      <c r="K4373" s="68"/>
    </row>
    <row r="4374" spans="1:11" ht="12.75">
      <c r="A4374" s="69">
        <f ca="1">IFERROR(__xludf.DUMMYFUNCTION("""COMPUTED_VALUE"""),104063)</f>
        <v>104063</v>
      </c>
      <c r="B4374" s="4">
        <f ca="1">IFERROR(__xludf.DUMMYFUNCTION("""COMPUTED_VALUE"""),44785)</f>
        <v>44785</v>
      </c>
      <c r="C4374" t="str">
        <f ca="1">IFERROR(__xludf.DUMMYFUNCTION("""COMPUTED_VALUE"""),"ООО ""ПФК Сибметалл-Омск"" 149-СТР от 20.07.2022")</f>
        <v>ООО "ПФК Сибметалл-Омск" 149-СТР от 20.07.2022</v>
      </c>
      <c r="D43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4" t="str">
        <f ca="1">IFERROR(__xludf.DUMMYFUNCTION("""COMPUTED_VALUE"""),"Новый")</f>
        <v>Новый</v>
      </c>
      <c r="G4374" s="68"/>
      <c r="K4374" s="68"/>
    </row>
    <row r="4375" spans="1:11" ht="12.75">
      <c r="A4375" s="69">
        <f ca="1">IFERROR(__xludf.DUMMYFUNCTION("""COMPUTED_VALUE"""),104064)</f>
        <v>104064</v>
      </c>
      <c r="B4375" s="4">
        <f ca="1">IFERROR(__xludf.DUMMYFUNCTION("""COMPUTED_VALUE"""),44785)</f>
        <v>44785</v>
      </c>
      <c r="C4375" t="str">
        <f ca="1">IFERROR(__xludf.DUMMYFUNCTION("""COMPUTED_VALUE"""),"ООО ""ПФК Сибметалл-Омск"" 149-СТР от 20.07.2022")</f>
        <v>ООО "ПФК Сибметалл-Омск" 149-СТР от 20.07.2022</v>
      </c>
      <c r="D43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5" t="str">
        <f ca="1">IFERROR(__xludf.DUMMYFUNCTION("""COMPUTED_VALUE"""),"Новый")</f>
        <v>Новый</v>
      </c>
      <c r="G4375" s="68"/>
      <c r="K4375" s="68"/>
    </row>
    <row r="4376" spans="1:11" ht="12.75">
      <c r="A4376" s="69">
        <f ca="1">IFERROR(__xludf.DUMMYFUNCTION("""COMPUTED_VALUE"""),104065)</f>
        <v>104065</v>
      </c>
      <c r="B4376" s="4">
        <f ca="1">IFERROR(__xludf.DUMMYFUNCTION("""COMPUTED_VALUE"""),44785)</f>
        <v>44785</v>
      </c>
      <c r="C4376" t="str">
        <f ca="1">IFERROR(__xludf.DUMMYFUNCTION("""COMPUTED_VALUE"""),"ООО ""ПФК Сибметалл-Омск"" 149-СТР от 20.07.2022")</f>
        <v>ООО "ПФК Сибметалл-Омск" 149-СТР от 20.07.2022</v>
      </c>
      <c r="D43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6" t="str">
        <f ca="1">IFERROR(__xludf.DUMMYFUNCTION("""COMPUTED_VALUE"""),"Новый")</f>
        <v>Новый</v>
      </c>
      <c r="G4376" s="68"/>
      <c r="K4376" s="68"/>
    </row>
    <row r="4377" spans="1:11" ht="12.75">
      <c r="A4377" s="69">
        <f ca="1">IFERROR(__xludf.DUMMYFUNCTION("""COMPUTED_VALUE"""),104066)</f>
        <v>104066</v>
      </c>
      <c r="B4377" s="4">
        <f ca="1">IFERROR(__xludf.DUMMYFUNCTION("""COMPUTED_VALUE"""),44785)</f>
        <v>44785</v>
      </c>
      <c r="C4377" t="str">
        <f ca="1">IFERROR(__xludf.DUMMYFUNCTION("""COMPUTED_VALUE"""),"ООО ""ПФК Сибметалл-Омск"" 149-СТР от 20.07.2022")</f>
        <v>ООО "ПФК Сибметалл-Омск" 149-СТР от 20.07.2022</v>
      </c>
      <c r="D43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7" t="str">
        <f ca="1">IFERROR(__xludf.DUMMYFUNCTION("""COMPUTED_VALUE"""),"Новый")</f>
        <v>Новый</v>
      </c>
      <c r="G4377" s="68"/>
      <c r="K4377" s="68"/>
    </row>
    <row r="4378" spans="1:11" ht="12.75">
      <c r="A4378" s="69">
        <f ca="1">IFERROR(__xludf.DUMMYFUNCTION("""COMPUTED_VALUE"""),104067)</f>
        <v>104067</v>
      </c>
      <c r="B4378" s="4">
        <f ca="1">IFERROR(__xludf.DUMMYFUNCTION("""COMPUTED_VALUE"""),44785)</f>
        <v>44785</v>
      </c>
      <c r="C4378" t="str">
        <f ca="1">IFERROR(__xludf.DUMMYFUNCTION("""COMPUTED_VALUE"""),"ООО ""ПФК Сибметалл-Омск"" 149-СТР от 20.07.2022")</f>
        <v>ООО "ПФК Сибметалл-Омск" 149-СТР от 20.07.2022</v>
      </c>
      <c r="D43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8" t="str">
        <f ca="1">IFERROR(__xludf.DUMMYFUNCTION("""COMPUTED_VALUE"""),"Новый")</f>
        <v>Новый</v>
      </c>
      <c r="G4378" s="68"/>
      <c r="K4378" s="68"/>
    </row>
    <row r="4379" spans="1:11" ht="12.75">
      <c r="A4379" s="69">
        <f ca="1">IFERROR(__xludf.DUMMYFUNCTION("""COMPUTED_VALUE"""),104068)</f>
        <v>104068</v>
      </c>
      <c r="B4379" s="4">
        <f ca="1">IFERROR(__xludf.DUMMYFUNCTION("""COMPUTED_VALUE"""),44785)</f>
        <v>44785</v>
      </c>
      <c r="C4379" t="str">
        <f ca="1">IFERROR(__xludf.DUMMYFUNCTION("""COMPUTED_VALUE"""),"ООО ""ПФК Сибметалл-Омск"" 149-СТР от 20.07.2022")</f>
        <v>ООО "ПФК Сибметалл-Омск" 149-СТР от 20.07.2022</v>
      </c>
      <c r="D43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79" t="str">
        <f ca="1">IFERROR(__xludf.DUMMYFUNCTION("""COMPUTED_VALUE"""),"Новый")</f>
        <v>Новый</v>
      </c>
      <c r="G4379" s="68"/>
      <c r="K4379" s="68"/>
    </row>
    <row r="4380" spans="1:11" ht="12.75">
      <c r="A4380" s="69">
        <f ca="1">IFERROR(__xludf.DUMMYFUNCTION("""COMPUTED_VALUE"""),104069)</f>
        <v>104069</v>
      </c>
      <c r="B4380" s="4">
        <f ca="1">IFERROR(__xludf.DUMMYFUNCTION("""COMPUTED_VALUE"""),44785)</f>
        <v>44785</v>
      </c>
      <c r="C4380" t="str">
        <f ca="1">IFERROR(__xludf.DUMMYFUNCTION("""COMPUTED_VALUE"""),"ООО ""ПФК Сибметалл-Омск"" 149-СТР от 20.07.2022")</f>
        <v>ООО "ПФК Сибметалл-Омск" 149-СТР от 20.07.2022</v>
      </c>
      <c r="D43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0" t="str">
        <f ca="1">IFERROR(__xludf.DUMMYFUNCTION("""COMPUTED_VALUE"""),"Новый")</f>
        <v>Новый</v>
      </c>
      <c r="G4380" s="68"/>
      <c r="K4380" s="68"/>
    </row>
    <row r="4381" spans="1:11" ht="12.75">
      <c r="A4381" s="69">
        <f ca="1">IFERROR(__xludf.DUMMYFUNCTION("""COMPUTED_VALUE"""),104090)</f>
        <v>104090</v>
      </c>
      <c r="B4381" s="4">
        <f ca="1">IFERROR(__xludf.DUMMYFUNCTION("""COMPUTED_VALUE"""),44785)</f>
        <v>44785</v>
      </c>
      <c r="C4381" t="str">
        <f ca="1">IFERROR(__xludf.DUMMYFUNCTION("""COMPUTED_VALUE"""),"ООО СК Магистраль плюс 151-СТР от 21.07.2022")</f>
        <v>ООО СК Магистраль плюс 151-СТР от 21.07.2022</v>
      </c>
      <c r="D43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1" t="str">
        <f ca="1">IFERROR(__xludf.DUMMYFUNCTION("""COMPUTED_VALUE"""),"Новый")</f>
        <v>Новый</v>
      </c>
      <c r="G4381" s="68"/>
      <c r="K4381" s="68"/>
    </row>
    <row r="4382" spans="1:11" ht="12.75">
      <c r="A4382" s="69">
        <f ca="1">IFERROR(__xludf.DUMMYFUNCTION("""COMPUTED_VALUE"""),104091)</f>
        <v>104091</v>
      </c>
      <c r="B4382" s="4">
        <f ca="1">IFERROR(__xludf.DUMMYFUNCTION("""COMPUTED_VALUE"""),44785)</f>
        <v>44785</v>
      </c>
      <c r="C4382" t="str">
        <f ca="1">IFERROR(__xludf.DUMMYFUNCTION("""COMPUTED_VALUE"""),"ООО СК Магистраль плюс 151-СТР от 21.07.2022")</f>
        <v>ООО СК Магистраль плюс 151-СТР от 21.07.2022</v>
      </c>
      <c r="D43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2" t="str">
        <f ca="1">IFERROR(__xludf.DUMMYFUNCTION("""COMPUTED_VALUE"""),"Новый")</f>
        <v>Новый</v>
      </c>
      <c r="G4382" s="68"/>
      <c r="K4382" s="68"/>
    </row>
    <row r="4383" spans="1:11" ht="12.75">
      <c r="A4383" s="69">
        <f ca="1">IFERROR(__xludf.DUMMYFUNCTION("""COMPUTED_VALUE"""),104092)</f>
        <v>104092</v>
      </c>
      <c r="B4383" s="4">
        <f ca="1">IFERROR(__xludf.DUMMYFUNCTION("""COMPUTED_VALUE"""),44785)</f>
        <v>44785</v>
      </c>
      <c r="C4383" t="str">
        <f ca="1">IFERROR(__xludf.DUMMYFUNCTION("""COMPUTED_VALUE"""),"ООО СК Магистраль плюс 151-СТР от 21.07.2022")</f>
        <v>ООО СК Магистраль плюс 151-СТР от 21.07.2022</v>
      </c>
      <c r="D43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3" t="str">
        <f ca="1">IFERROR(__xludf.DUMMYFUNCTION("""COMPUTED_VALUE"""),"Новый")</f>
        <v>Новый</v>
      </c>
      <c r="G4383" s="68"/>
      <c r="K4383" s="68"/>
    </row>
    <row r="4384" spans="1:11" ht="12.75">
      <c r="A4384" s="69">
        <f ca="1">IFERROR(__xludf.DUMMYFUNCTION("""COMPUTED_VALUE"""),104093)</f>
        <v>104093</v>
      </c>
      <c r="B4384" s="4">
        <f ca="1">IFERROR(__xludf.DUMMYFUNCTION("""COMPUTED_VALUE"""),44785)</f>
        <v>44785</v>
      </c>
      <c r="C4384" t="str">
        <f ca="1">IFERROR(__xludf.DUMMYFUNCTION("""COMPUTED_VALUE"""),"ООО СК Магистраль плюс 151-СТР от 21.07.2022")</f>
        <v>ООО СК Магистраль плюс 151-СТР от 21.07.2022</v>
      </c>
      <c r="D43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4" t="str">
        <f ca="1">IFERROR(__xludf.DUMMYFUNCTION("""COMPUTED_VALUE"""),"Новый")</f>
        <v>Новый</v>
      </c>
      <c r="G4384" s="68"/>
      <c r="K4384" s="68"/>
    </row>
    <row r="4385" spans="1:11" ht="12.75">
      <c r="A4385" s="69">
        <f ca="1">IFERROR(__xludf.DUMMYFUNCTION("""COMPUTED_VALUE"""),104094)</f>
        <v>104094</v>
      </c>
      <c r="B4385" s="4">
        <f ca="1">IFERROR(__xludf.DUMMYFUNCTION("""COMPUTED_VALUE"""),44785)</f>
        <v>44785</v>
      </c>
      <c r="C4385" t="str">
        <f ca="1">IFERROR(__xludf.DUMMYFUNCTION("""COMPUTED_VALUE"""),"ООО СК Магистраль плюс 151-СТР от 21.07.2022")</f>
        <v>ООО СК Магистраль плюс 151-СТР от 21.07.2022</v>
      </c>
      <c r="D43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5" t="str">
        <f ca="1">IFERROR(__xludf.DUMMYFUNCTION("""COMPUTED_VALUE"""),"Новый")</f>
        <v>Новый</v>
      </c>
      <c r="G4385" s="68"/>
      <c r="K4385" s="68"/>
    </row>
    <row r="4386" spans="1:11" ht="12.75">
      <c r="A4386" s="69">
        <f ca="1">IFERROR(__xludf.DUMMYFUNCTION("""COMPUTED_VALUE"""),104095)</f>
        <v>104095</v>
      </c>
      <c r="B4386" s="4">
        <f ca="1">IFERROR(__xludf.DUMMYFUNCTION("""COMPUTED_VALUE"""),44785)</f>
        <v>44785</v>
      </c>
      <c r="C4386" t="str">
        <f ca="1">IFERROR(__xludf.DUMMYFUNCTION("""COMPUTED_VALUE"""),"ООО СК Магистраль плюс 151-СТР от 21.07.2022")</f>
        <v>ООО СК Магистраль плюс 151-СТР от 21.07.2022</v>
      </c>
      <c r="D43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6" t="str">
        <f ca="1">IFERROR(__xludf.DUMMYFUNCTION("""COMPUTED_VALUE"""),"Новый")</f>
        <v>Новый</v>
      </c>
      <c r="G4386" s="68"/>
      <c r="K4386" s="68"/>
    </row>
    <row r="4387" spans="1:11" ht="12.75">
      <c r="A4387" s="69">
        <f ca="1">IFERROR(__xludf.DUMMYFUNCTION("""COMPUTED_VALUE"""),104096)</f>
        <v>104096</v>
      </c>
      <c r="B4387" s="4">
        <f ca="1">IFERROR(__xludf.DUMMYFUNCTION("""COMPUTED_VALUE"""),44785)</f>
        <v>44785</v>
      </c>
      <c r="C4387" t="str">
        <f ca="1">IFERROR(__xludf.DUMMYFUNCTION("""COMPUTED_VALUE"""),"ООО СК Магистраль плюс 151-СТР от 21.07.2022")</f>
        <v>ООО СК Магистраль плюс 151-СТР от 21.07.2022</v>
      </c>
      <c r="D43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7" t="str">
        <f ca="1">IFERROR(__xludf.DUMMYFUNCTION("""COMPUTED_VALUE"""),"Новый")</f>
        <v>Новый</v>
      </c>
      <c r="G4387" s="68"/>
      <c r="K4387" s="68"/>
    </row>
    <row r="4388" spans="1:11" ht="12.75">
      <c r="A4388" s="69">
        <f ca="1">IFERROR(__xludf.DUMMYFUNCTION("""COMPUTED_VALUE"""),104097)</f>
        <v>104097</v>
      </c>
      <c r="B4388" s="4">
        <f ca="1">IFERROR(__xludf.DUMMYFUNCTION("""COMPUTED_VALUE"""),44785)</f>
        <v>44785</v>
      </c>
      <c r="C4388" t="str">
        <f ca="1">IFERROR(__xludf.DUMMYFUNCTION("""COMPUTED_VALUE"""),"ООО СК Магистраль плюс 151-СТР от 21.07.2022")</f>
        <v>ООО СК Магистраль плюс 151-СТР от 21.07.2022</v>
      </c>
      <c r="D43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8" t="str">
        <f ca="1">IFERROR(__xludf.DUMMYFUNCTION("""COMPUTED_VALUE"""),"Новый")</f>
        <v>Новый</v>
      </c>
      <c r="G4388" s="68"/>
      <c r="K4388" s="68"/>
    </row>
    <row r="4389" spans="1:11" ht="12.75">
      <c r="A4389" s="69">
        <f ca="1">IFERROR(__xludf.DUMMYFUNCTION("""COMPUTED_VALUE"""),104098)</f>
        <v>104098</v>
      </c>
      <c r="B4389" s="4">
        <f ca="1">IFERROR(__xludf.DUMMYFUNCTION("""COMPUTED_VALUE"""),44785)</f>
        <v>44785</v>
      </c>
      <c r="C4389" t="str">
        <f ca="1">IFERROR(__xludf.DUMMYFUNCTION("""COMPUTED_VALUE"""),"ООО СК Магистраль плюс 151-СТР от 21.07.2022")</f>
        <v>ООО СК Магистраль плюс 151-СТР от 21.07.2022</v>
      </c>
      <c r="D43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89" t="str">
        <f ca="1">IFERROR(__xludf.DUMMYFUNCTION("""COMPUTED_VALUE"""),"Новый")</f>
        <v>Новый</v>
      </c>
      <c r="G4389" s="68"/>
      <c r="K4389" s="68"/>
    </row>
    <row r="4390" spans="1:11" ht="12.75">
      <c r="A4390" s="69">
        <f ca="1">IFERROR(__xludf.DUMMYFUNCTION("""COMPUTED_VALUE"""),104099)</f>
        <v>104099</v>
      </c>
      <c r="B4390" s="4">
        <f ca="1">IFERROR(__xludf.DUMMYFUNCTION("""COMPUTED_VALUE"""),44785)</f>
        <v>44785</v>
      </c>
      <c r="C4390" t="str">
        <f ca="1">IFERROR(__xludf.DUMMYFUNCTION("""COMPUTED_VALUE"""),"ООО СК Магистраль плюс 151-СТР от 21.07.2022")</f>
        <v>ООО СК Магистраль плюс 151-СТР от 21.07.2022</v>
      </c>
      <c r="D43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0" t="str">
        <f ca="1">IFERROR(__xludf.DUMMYFUNCTION("""COMPUTED_VALUE"""),"Новый")</f>
        <v>Новый</v>
      </c>
      <c r="G4390" s="68"/>
      <c r="K4390" s="68"/>
    </row>
    <row r="4391" spans="1:11" ht="12.75">
      <c r="A4391" s="69">
        <f ca="1">IFERROR(__xludf.DUMMYFUNCTION("""COMPUTED_VALUE"""),104100)</f>
        <v>104100</v>
      </c>
      <c r="B4391" s="4">
        <f ca="1">IFERROR(__xludf.DUMMYFUNCTION("""COMPUTED_VALUE"""),44785)</f>
        <v>44785</v>
      </c>
      <c r="C4391" t="str">
        <f ca="1">IFERROR(__xludf.DUMMYFUNCTION("""COMPUTED_VALUE"""),"ООО СК Магистраль плюс 151-СТР от 21.07.2022")</f>
        <v>ООО СК Магистраль плюс 151-СТР от 21.07.2022</v>
      </c>
      <c r="D43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1" t="str">
        <f ca="1">IFERROR(__xludf.DUMMYFUNCTION("""COMPUTED_VALUE"""),"Новый")</f>
        <v>Новый</v>
      </c>
      <c r="G4391" s="68"/>
      <c r="K4391" s="68"/>
    </row>
    <row r="4392" spans="1:11" ht="12.75">
      <c r="A4392" s="69">
        <f ca="1">IFERROR(__xludf.DUMMYFUNCTION("""COMPUTED_VALUE"""),104101)</f>
        <v>104101</v>
      </c>
      <c r="B4392" s="4">
        <f ca="1">IFERROR(__xludf.DUMMYFUNCTION("""COMPUTED_VALUE"""),44785)</f>
        <v>44785</v>
      </c>
      <c r="C4392" t="str">
        <f ca="1">IFERROR(__xludf.DUMMYFUNCTION("""COMPUTED_VALUE"""),"ООО СК Магистраль плюс 151-СТР от 21.07.2022")</f>
        <v>ООО СК Магистраль плюс 151-СТР от 21.07.2022</v>
      </c>
      <c r="D43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2" t="str">
        <f ca="1">IFERROR(__xludf.DUMMYFUNCTION("""COMPUTED_VALUE"""),"Новый")</f>
        <v>Новый</v>
      </c>
      <c r="G4392" s="68"/>
      <c r="K4392" s="68"/>
    </row>
    <row r="4393" spans="1:11" ht="12.75">
      <c r="A4393" s="69">
        <f ca="1">IFERROR(__xludf.DUMMYFUNCTION("""COMPUTED_VALUE"""),104102)</f>
        <v>104102</v>
      </c>
      <c r="B4393" s="4">
        <f ca="1">IFERROR(__xludf.DUMMYFUNCTION("""COMPUTED_VALUE"""),44785)</f>
        <v>44785</v>
      </c>
      <c r="C4393" t="str">
        <f ca="1">IFERROR(__xludf.DUMMYFUNCTION("""COMPUTED_VALUE"""),"ООО СК Магистраль плюс 151-СТР от 21.07.2022")</f>
        <v>ООО СК Магистраль плюс 151-СТР от 21.07.2022</v>
      </c>
      <c r="D43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3" t="str">
        <f ca="1">IFERROR(__xludf.DUMMYFUNCTION("""COMPUTED_VALUE"""),"Новый")</f>
        <v>Новый</v>
      </c>
      <c r="G4393" s="68"/>
      <c r="K4393" s="68"/>
    </row>
    <row r="4394" spans="1:11" ht="12.75">
      <c r="A4394" s="69">
        <f ca="1">IFERROR(__xludf.DUMMYFUNCTION("""COMPUTED_VALUE"""),104103)</f>
        <v>104103</v>
      </c>
      <c r="B4394" s="4">
        <f ca="1">IFERROR(__xludf.DUMMYFUNCTION("""COMPUTED_VALUE"""),44785)</f>
        <v>44785</v>
      </c>
      <c r="C4394" t="str">
        <f ca="1">IFERROR(__xludf.DUMMYFUNCTION("""COMPUTED_VALUE"""),"ООО СК Магистраль плюс 151-СТР от 21.07.2022")</f>
        <v>ООО СК Магистраль плюс 151-СТР от 21.07.2022</v>
      </c>
      <c r="D43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4" t="str">
        <f ca="1">IFERROR(__xludf.DUMMYFUNCTION("""COMPUTED_VALUE"""),"Новый")</f>
        <v>Новый</v>
      </c>
      <c r="G4394" s="68"/>
      <c r="K4394" s="68"/>
    </row>
    <row r="4395" spans="1:11" ht="12.75">
      <c r="A4395" s="69">
        <f ca="1">IFERROR(__xludf.DUMMYFUNCTION("""COMPUTED_VALUE"""),104104)</f>
        <v>104104</v>
      </c>
      <c r="B4395" s="4">
        <f ca="1">IFERROR(__xludf.DUMMYFUNCTION("""COMPUTED_VALUE"""),44785)</f>
        <v>44785</v>
      </c>
      <c r="C4395" t="str">
        <f ca="1">IFERROR(__xludf.DUMMYFUNCTION("""COMPUTED_VALUE"""),"ООО СК Магистраль плюс 151-СТР от 21.07.2022")</f>
        <v>ООО СК Магистраль плюс 151-СТР от 21.07.2022</v>
      </c>
      <c r="D43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5" t="str">
        <f ca="1">IFERROR(__xludf.DUMMYFUNCTION("""COMPUTED_VALUE"""),"Новый")</f>
        <v>Новый</v>
      </c>
      <c r="G4395" s="68"/>
      <c r="K4395" s="68"/>
    </row>
    <row r="4396" spans="1:11" ht="12.75">
      <c r="A4396" s="69">
        <f ca="1">IFERROR(__xludf.DUMMYFUNCTION("""COMPUTED_VALUE"""),104105)</f>
        <v>104105</v>
      </c>
      <c r="B4396" s="4">
        <f ca="1">IFERROR(__xludf.DUMMYFUNCTION("""COMPUTED_VALUE"""),44785)</f>
        <v>44785</v>
      </c>
      <c r="C4396" t="str">
        <f ca="1">IFERROR(__xludf.DUMMYFUNCTION("""COMPUTED_VALUE"""),"ООО СК Магистраль плюс 151-СТР от 21.07.2022")</f>
        <v>ООО СК Магистраль плюс 151-СТР от 21.07.2022</v>
      </c>
      <c r="D43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6" t="str">
        <f ca="1">IFERROR(__xludf.DUMMYFUNCTION("""COMPUTED_VALUE"""),"Новый")</f>
        <v>Новый</v>
      </c>
      <c r="G4396" s="68"/>
      <c r="K4396" s="68"/>
    </row>
    <row r="4397" spans="1:11" ht="12.75">
      <c r="A4397" s="69">
        <f ca="1">IFERROR(__xludf.DUMMYFUNCTION("""COMPUTED_VALUE"""),104106)</f>
        <v>104106</v>
      </c>
      <c r="B4397" s="4">
        <f ca="1">IFERROR(__xludf.DUMMYFUNCTION("""COMPUTED_VALUE"""),44785)</f>
        <v>44785</v>
      </c>
      <c r="C4397" t="str">
        <f ca="1">IFERROR(__xludf.DUMMYFUNCTION("""COMPUTED_VALUE"""),"ООО СК Магистраль плюс 151-СТР от 21.07.2022")</f>
        <v>ООО СК Магистраль плюс 151-СТР от 21.07.2022</v>
      </c>
      <c r="D43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7" t="str">
        <f ca="1">IFERROR(__xludf.DUMMYFUNCTION("""COMPUTED_VALUE"""),"Новый")</f>
        <v>Новый</v>
      </c>
      <c r="G4397" s="68"/>
      <c r="K4397" s="68"/>
    </row>
    <row r="4398" spans="1:11" ht="12.75">
      <c r="A4398" s="69">
        <f ca="1">IFERROR(__xludf.DUMMYFUNCTION("""COMPUTED_VALUE"""),104107)</f>
        <v>104107</v>
      </c>
      <c r="B4398" s="4">
        <f ca="1">IFERROR(__xludf.DUMMYFUNCTION("""COMPUTED_VALUE"""),44785)</f>
        <v>44785</v>
      </c>
      <c r="C4398" t="str">
        <f ca="1">IFERROR(__xludf.DUMMYFUNCTION("""COMPUTED_VALUE"""),"ООО СК Магистраль плюс 151-СТР от 21.07.2022")</f>
        <v>ООО СК Магистраль плюс 151-СТР от 21.07.2022</v>
      </c>
      <c r="D43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8" t="str">
        <f ca="1">IFERROR(__xludf.DUMMYFUNCTION("""COMPUTED_VALUE"""),"Новый")</f>
        <v>Новый</v>
      </c>
      <c r="G4398" s="68"/>
      <c r="K4398" s="68"/>
    </row>
    <row r="4399" spans="1:11" ht="12.75">
      <c r="A4399" s="69">
        <f ca="1">IFERROR(__xludf.DUMMYFUNCTION("""COMPUTED_VALUE"""),104108)</f>
        <v>104108</v>
      </c>
      <c r="B4399" s="4">
        <f ca="1">IFERROR(__xludf.DUMMYFUNCTION("""COMPUTED_VALUE"""),44785)</f>
        <v>44785</v>
      </c>
      <c r="C4399" t="str">
        <f ca="1">IFERROR(__xludf.DUMMYFUNCTION("""COMPUTED_VALUE"""),"ООО СК Магистраль плюс 151-СТР от 21.07.2022")</f>
        <v>ООО СК Магистраль плюс 151-СТР от 21.07.2022</v>
      </c>
      <c r="D43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399" t="str">
        <f ca="1">IFERROR(__xludf.DUMMYFUNCTION("""COMPUTED_VALUE"""),"Новый")</f>
        <v>Новый</v>
      </c>
      <c r="G4399" s="68"/>
      <c r="K4399" s="68"/>
    </row>
    <row r="4400" spans="1:11" ht="12.75">
      <c r="A4400" s="69">
        <f ca="1">IFERROR(__xludf.DUMMYFUNCTION("""COMPUTED_VALUE"""),104109)</f>
        <v>104109</v>
      </c>
      <c r="B4400" s="4">
        <f ca="1">IFERROR(__xludf.DUMMYFUNCTION("""COMPUTED_VALUE"""),44785)</f>
        <v>44785</v>
      </c>
      <c r="C4400" t="str">
        <f ca="1">IFERROR(__xludf.DUMMYFUNCTION("""COMPUTED_VALUE"""),"ООО СК Магистраль плюс 151-СТР от 21.07.2022")</f>
        <v>ООО СК Магистраль плюс 151-СТР от 21.07.2022</v>
      </c>
      <c r="D44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0" t="str">
        <f ca="1">IFERROR(__xludf.DUMMYFUNCTION("""COMPUTED_VALUE"""),"Новый")</f>
        <v>Новый</v>
      </c>
      <c r="G4400" s="68"/>
      <c r="K4400" s="68"/>
    </row>
    <row r="4401" spans="1:11" ht="12.75">
      <c r="A4401" s="69">
        <f ca="1">IFERROR(__xludf.DUMMYFUNCTION("""COMPUTED_VALUE"""),104120)</f>
        <v>104120</v>
      </c>
      <c r="B4401" s="4">
        <f ca="1">IFERROR(__xludf.DUMMYFUNCTION("""COMPUTED_VALUE"""),44788)</f>
        <v>44788</v>
      </c>
      <c r="C4401" t="str">
        <f ca="1">IFERROR(__xludf.DUMMYFUNCTION("""COMPUTED_VALUE"""),"АО ЗСЖБ 167-СТР от 12.08.2022")</f>
        <v>АО ЗСЖБ 167-СТР от 12.08.2022</v>
      </c>
      <c r="D44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1" t="str">
        <f ca="1">IFERROR(__xludf.DUMMYFUNCTION("""COMPUTED_VALUE"""),"Новый")</f>
        <v>Новый</v>
      </c>
      <c r="G4401" s="68"/>
      <c r="K4401" s="68"/>
    </row>
    <row r="4402" spans="1:11" ht="12.75">
      <c r="A4402" s="69">
        <f ca="1">IFERROR(__xludf.DUMMYFUNCTION("""COMPUTED_VALUE"""),104121)</f>
        <v>104121</v>
      </c>
      <c r="B4402" s="4">
        <f ca="1">IFERROR(__xludf.DUMMYFUNCTION("""COMPUTED_VALUE"""),44788)</f>
        <v>44788</v>
      </c>
      <c r="C4402" t="str">
        <f ca="1">IFERROR(__xludf.DUMMYFUNCTION("""COMPUTED_VALUE"""),"АО ЗСЖБ 167-СТР от 12.08.2022")</f>
        <v>АО ЗСЖБ 167-СТР от 12.08.2022</v>
      </c>
      <c r="D44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2" t="str">
        <f ca="1">IFERROR(__xludf.DUMMYFUNCTION("""COMPUTED_VALUE"""),"Новый")</f>
        <v>Новый</v>
      </c>
      <c r="G4402" s="68"/>
      <c r="K4402" s="68"/>
    </row>
    <row r="4403" spans="1:11" ht="12.75">
      <c r="A4403" s="69">
        <f ca="1">IFERROR(__xludf.DUMMYFUNCTION("""COMPUTED_VALUE"""),104122)</f>
        <v>104122</v>
      </c>
      <c r="B4403" s="4">
        <f ca="1">IFERROR(__xludf.DUMMYFUNCTION("""COMPUTED_VALUE"""),44788)</f>
        <v>44788</v>
      </c>
      <c r="C4403" t="str">
        <f ca="1">IFERROR(__xludf.DUMMYFUNCTION("""COMPUTED_VALUE"""),"АО ЗСЖБ 167-СТР от 12.08.2022")</f>
        <v>АО ЗСЖБ 167-СТР от 12.08.2022</v>
      </c>
      <c r="D44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3" t="str">
        <f ca="1">IFERROR(__xludf.DUMMYFUNCTION("""COMPUTED_VALUE"""),"Новый")</f>
        <v>Новый</v>
      </c>
      <c r="G4403" s="68"/>
      <c r="K4403" s="68"/>
    </row>
    <row r="4404" spans="1:11" ht="12.75">
      <c r="A4404" s="69">
        <f ca="1">IFERROR(__xludf.DUMMYFUNCTION("""COMPUTED_VALUE"""),104123)</f>
        <v>104123</v>
      </c>
      <c r="B4404" s="4">
        <f ca="1">IFERROR(__xludf.DUMMYFUNCTION("""COMPUTED_VALUE"""),44788)</f>
        <v>44788</v>
      </c>
      <c r="C4404" t="str">
        <f ca="1">IFERROR(__xludf.DUMMYFUNCTION("""COMPUTED_VALUE"""),"АО ЗСЖБ 167-СТР от 12.08.2022")</f>
        <v>АО ЗСЖБ 167-СТР от 12.08.2022</v>
      </c>
      <c r="D44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4" t="str">
        <f ca="1">IFERROR(__xludf.DUMMYFUNCTION("""COMPUTED_VALUE"""),"Новый")</f>
        <v>Новый</v>
      </c>
      <c r="G4404" s="68"/>
      <c r="K4404" s="68"/>
    </row>
    <row r="4405" spans="1:11" ht="12.75">
      <c r="A4405" s="69">
        <f ca="1">IFERROR(__xludf.DUMMYFUNCTION("""COMPUTED_VALUE"""),104124)</f>
        <v>104124</v>
      </c>
      <c r="B4405" s="4">
        <f ca="1">IFERROR(__xludf.DUMMYFUNCTION("""COMPUTED_VALUE"""),44788)</f>
        <v>44788</v>
      </c>
      <c r="C4405" t="str">
        <f ca="1">IFERROR(__xludf.DUMMYFUNCTION("""COMPUTED_VALUE"""),"АО ЗСЖБ 167-СТР от 12.08.2022")</f>
        <v>АО ЗСЖБ 167-СТР от 12.08.2022</v>
      </c>
      <c r="D44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5" t="str">
        <f ca="1">IFERROR(__xludf.DUMMYFUNCTION("""COMPUTED_VALUE"""),"Новый")</f>
        <v>Новый</v>
      </c>
      <c r="G4405" s="68"/>
      <c r="K4405" s="68"/>
    </row>
    <row r="4406" spans="1:11" ht="12.75">
      <c r="A4406" s="69">
        <f ca="1">IFERROR(__xludf.DUMMYFUNCTION("""COMPUTED_VALUE"""),104125)</f>
        <v>104125</v>
      </c>
      <c r="B4406" s="4">
        <f ca="1">IFERROR(__xludf.DUMMYFUNCTION("""COMPUTED_VALUE"""),44788)</f>
        <v>44788</v>
      </c>
      <c r="C4406" t="str">
        <f ca="1">IFERROR(__xludf.DUMMYFUNCTION("""COMPUTED_VALUE"""),"АО ЗСЖБ 167-СТР от 12.08.2022")</f>
        <v>АО ЗСЖБ 167-СТР от 12.08.2022</v>
      </c>
      <c r="D44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6" t="str">
        <f ca="1">IFERROR(__xludf.DUMMYFUNCTION("""COMPUTED_VALUE"""),"Новый")</f>
        <v>Новый</v>
      </c>
      <c r="G4406" s="68"/>
      <c r="K4406" s="68"/>
    </row>
    <row r="4407" spans="1:11" ht="12.75">
      <c r="A4407" s="69">
        <f ca="1">IFERROR(__xludf.DUMMYFUNCTION("""COMPUTED_VALUE"""),104126)</f>
        <v>104126</v>
      </c>
      <c r="B4407" s="4">
        <f ca="1">IFERROR(__xludf.DUMMYFUNCTION("""COMPUTED_VALUE"""),44788)</f>
        <v>44788</v>
      </c>
      <c r="C4407" t="str">
        <f ca="1">IFERROR(__xludf.DUMMYFUNCTION("""COMPUTED_VALUE"""),"АО ЗСЖБ 167-СТР от 12.08.2022")</f>
        <v>АО ЗСЖБ 167-СТР от 12.08.2022</v>
      </c>
      <c r="D44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7" t="str">
        <f ca="1">IFERROR(__xludf.DUMMYFUNCTION("""COMPUTED_VALUE"""),"Новый")</f>
        <v>Новый</v>
      </c>
      <c r="G4407" s="68"/>
      <c r="K4407" s="68"/>
    </row>
    <row r="4408" spans="1:11" ht="12.75">
      <c r="A4408" s="69">
        <f ca="1">IFERROR(__xludf.DUMMYFUNCTION("""COMPUTED_VALUE"""),104127)</f>
        <v>104127</v>
      </c>
      <c r="B4408" s="4">
        <f ca="1">IFERROR(__xludf.DUMMYFUNCTION("""COMPUTED_VALUE"""),44788)</f>
        <v>44788</v>
      </c>
      <c r="C4408" t="str">
        <f ca="1">IFERROR(__xludf.DUMMYFUNCTION("""COMPUTED_VALUE"""),"АО ЗСЖБ 167-СТР от 12.08.2022")</f>
        <v>АО ЗСЖБ 167-СТР от 12.08.2022</v>
      </c>
      <c r="D44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8" t="str">
        <f ca="1">IFERROR(__xludf.DUMMYFUNCTION("""COMPUTED_VALUE"""),"Новый")</f>
        <v>Новый</v>
      </c>
      <c r="G4408" s="68"/>
      <c r="K4408" s="68"/>
    </row>
    <row r="4409" spans="1:11" ht="12.75">
      <c r="A4409" s="69">
        <f ca="1">IFERROR(__xludf.DUMMYFUNCTION("""COMPUTED_VALUE"""),104128)</f>
        <v>104128</v>
      </c>
      <c r="B4409" s="4">
        <f ca="1">IFERROR(__xludf.DUMMYFUNCTION("""COMPUTED_VALUE"""),44788)</f>
        <v>44788</v>
      </c>
      <c r="C4409" t="str">
        <f ca="1">IFERROR(__xludf.DUMMYFUNCTION("""COMPUTED_VALUE"""),"АО ЗСЖБ 167-СТР от 12.08.2022")</f>
        <v>АО ЗСЖБ 167-СТР от 12.08.2022</v>
      </c>
      <c r="D44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09" t="str">
        <f ca="1">IFERROR(__xludf.DUMMYFUNCTION("""COMPUTED_VALUE"""),"Новый")</f>
        <v>Новый</v>
      </c>
      <c r="G4409" s="68"/>
      <c r="K4409" s="68"/>
    </row>
    <row r="4410" spans="1:11" ht="12.75">
      <c r="A4410" s="69">
        <f ca="1">IFERROR(__xludf.DUMMYFUNCTION("""COMPUTED_VALUE"""),104129)</f>
        <v>104129</v>
      </c>
      <c r="B4410" s="4">
        <f ca="1">IFERROR(__xludf.DUMMYFUNCTION("""COMPUTED_VALUE"""),44788)</f>
        <v>44788</v>
      </c>
      <c r="C4410" t="str">
        <f ca="1">IFERROR(__xludf.DUMMYFUNCTION("""COMPUTED_VALUE"""),"АО ЗСЖБ 167-СТР от 12.08.2022")</f>
        <v>АО ЗСЖБ 167-СТР от 12.08.2022</v>
      </c>
      <c r="D44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0" t="str">
        <f ca="1">IFERROR(__xludf.DUMMYFUNCTION("""COMPUTED_VALUE"""),"Новый")</f>
        <v>Новый</v>
      </c>
      <c r="G4410" s="68"/>
      <c r="K4410" s="68"/>
    </row>
    <row r="4411" spans="1:11" ht="12.75">
      <c r="A4411" s="69">
        <f ca="1">IFERROR(__xludf.DUMMYFUNCTION("""COMPUTED_VALUE"""),104130)</f>
        <v>104130</v>
      </c>
      <c r="B4411" s="4">
        <f ca="1">IFERROR(__xludf.DUMMYFUNCTION("""COMPUTED_VALUE"""),44788)</f>
        <v>44788</v>
      </c>
      <c r="C4411" t="str">
        <f ca="1">IFERROR(__xludf.DUMMYFUNCTION("""COMPUTED_VALUE"""),"АО ЗСЖБ 167-СТР от 12.08.2022")</f>
        <v>АО ЗСЖБ 167-СТР от 12.08.2022</v>
      </c>
      <c r="D44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1" t="str">
        <f ca="1">IFERROR(__xludf.DUMMYFUNCTION("""COMPUTED_VALUE"""),"Новый")</f>
        <v>Новый</v>
      </c>
      <c r="G4411" s="68"/>
      <c r="K4411" s="68"/>
    </row>
    <row r="4412" spans="1:11" ht="12.75">
      <c r="A4412" s="69">
        <f ca="1">IFERROR(__xludf.DUMMYFUNCTION("""COMPUTED_VALUE"""),104131)</f>
        <v>104131</v>
      </c>
      <c r="B4412" s="4">
        <f ca="1">IFERROR(__xludf.DUMMYFUNCTION("""COMPUTED_VALUE"""),44788)</f>
        <v>44788</v>
      </c>
      <c r="C4412" t="str">
        <f ca="1">IFERROR(__xludf.DUMMYFUNCTION("""COMPUTED_VALUE"""),"АО ЗСЖБ 167-СТР от 12.08.2022")</f>
        <v>АО ЗСЖБ 167-СТР от 12.08.2022</v>
      </c>
      <c r="D44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2" t="str">
        <f ca="1">IFERROR(__xludf.DUMMYFUNCTION("""COMPUTED_VALUE"""),"Новый")</f>
        <v>Новый</v>
      </c>
      <c r="G4412" s="68"/>
      <c r="K4412" s="68"/>
    </row>
    <row r="4413" spans="1:11" ht="12.75">
      <c r="A4413" s="69">
        <f ca="1">IFERROR(__xludf.DUMMYFUNCTION("""COMPUTED_VALUE"""),104132)</f>
        <v>104132</v>
      </c>
      <c r="B4413" s="4">
        <f ca="1">IFERROR(__xludf.DUMMYFUNCTION("""COMPUTED_VALUE"""),44788)</f>
        <v>44788</v>
      </c>
      <c r="C4413" t="str">
        <f ca="1">IFERROR(__xludf.DUMMYFUNCTION("""COMPUTED_VALUE"""),"АО ЗСЖБ 167-СТР от 12.08.2022")</f>
        <v>АО ЗСЖБ 167-СТР от 12.08.2022</v>
      </c>
      <c r="D44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3" t="str">
        <f ca="1">IFERROR(__xludf.DUMMYFUNCTION("""COMPUTED_VALUE"""),"Новый")</f>
        <v>Новый</v>
      </c>
      <c r="G4413" s="68"/>
      <c r="K4413" s="68"/>
    </row>
    <row r="4414" spans="1:11" ht="12.75">
      <c r="A4414" s="69">
        <f ca="1">IFERROR(__xludf.DUMMYFUNCTION("""COMPUTED_VALUE"""),104133)</f>
        <v>104133</v>
      </c>
      <c r="B4414" s="4">
        <f ca="1">IFERROR(__xludf.DUMMYFUNCTION("""COMPUTED_VALUE"""),44788)</f>
        <v>44788</v>
      </c>
      <c r="C4414" t="str">
        <f ca="1">IFERROR(__xludf.DUMMYFUNCTION("""COMPUTED_VALUE"""),"АО ЗСЖБ 167-СТР от 12.08.2022")</f>
        <v>АО ЗСЖБ 167-СТР от 12.08.2022</v>
      </c>
      <c r="D44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4" t="str">
        <f ca="1">IFERROR(__xludf.DUMMYFUNCTION("""COMPUTED_VALUE"""),"Новый")</f>
        <v>Новый</v>
      </c>
      <c r="G4414" s="68"/>
      <c r="K4414" s="68"/>
    </row>
    <row r="4415" spans="1:11" ht="12.75">
      <c r="A4415" s="69">
        <f ca="1">IFERROR(__xludf.DUMMYFUNCTION("""COMPUTED_VALUE"""),104134)</f>
        <v>104134</v>
      </c>
      <c r="B4415" s="4">
        <f ca="1">IFERROR(__xludf.DUMMYFUNCTION("""COMPUTED_VALUE"""),44788)</f>
        <v>44788</v>
      </c>
      <c r="C4415" t="str">
        <f ca="1">IFERROR(__xludf.DUMMYFUNCTION("""COMPUTED_VALUE"""),"АО ЗСЖБ 167-СТР от 12.08.2022")</f>
        <v>АО ЗСЖБ 167-СТР от 12.08.2022</v>
      </c>
      <c r="D44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5" t="str">
        <f ca="1">IFERROR(__xludf.DUMMYFUNCTION("""COMPUTED_VALUE"""),"Новый")</f>
        <v>Новый</v>
      </c>
      <c r="G4415" s="68"/>
      <c r="K4415" s="68"/>
    </row>
    <row r="4416" spans="1:11" ht="12.75">
      <c r="A4416" s="69">
        <f ca="1">IFERROR(__xludf.DUMMYFUNCTION("""COMPUTED_VALUE"""),104135)</f>
        <v>104135</v>
      </c>
      <c r="B4416" s="4">
        <f ca="1">IFERROR(__xludf.DUMMYFUNCTION("""COMPUTED_VALUE"""),44788)</f>
        <v>44788</v>
      </c>
      <c r="C4416" t="str">
        <f ca="1">IFERROR(__xludf.DUMMYFUNCTION("""COMPUTED_VALUE"""),"АО ЗСЖБ 167-СТР от 12.08.2022")</f>
        <v>АО ЗСЖБ 167-СТР от 12.08.2022</v>
      </c>
      <c r="D44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6" t="str">
        <f ca="1">IFERROR(__xludf.DUMMYFUNCTION("""COMPUTED_VALUE"""),"Новый")</f>
        <v>Новый</v>
      </c>
      <c r="G4416" s="68"/>
      <c r="K4416" s="68"/>
    </row>
    <row r="4417" spans="1:11" ht="12.75">
      <c r="A4417" s="69">
        <f ca="1">IFERROR(__xludf.DUMMYFUNCTION("""COMPUTED_VALUE"""),104136)</f>
        <v>104136</v>
      </c>
      <c r="B4417" s="4">
        <f ca="1">IFERROR(__xludf.DUMMYFUNCTION("""COMPUTED_VALUE"""),44788)</f>
        <v>44788</v>
      </c>
      <c r="C4417" t="str">
        <f ca="1">IFERROR(__xludf.DUMMYFUNCTION("""COMPUTED_VALUE"""),"АО ЗСЖБ 167-СТР от 12.08.2022")</f>
        <v>АО ЗСЖБ 167-СТР от 12.08.2022</v>
      </c>
      <c r="D44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7" t="str">
        <f ca="1">IFERROR(__xludf.DUMMYFUNCTION("""COMPUTED_VALUE"""),"Новый")</f>
        <v>Новый</v>
      </c>
      <c r="G4417" s="68"/>
      <c r="K4417" s="68"/>
    </row>
    <row r="4418" spans="1:11" ht="12.75">
      <c r="A4418" s="69">
        <f ca="1">IFERROR(__xludf.DUMMYFUNCTION("""COMPUTED_VALUE"""),104137)</f>
        <v>104137</v>
      </c>
      <c r="B4418" s="4">
        <f ca="1">IFERROR(__xludf.DUMMYFUNCTION("""COMPUTED_VALUE"""),44788)</f>
        <v>44788</v>
      </c>
      <c r="C4418" t="str">
        <f ca="1">IFERROR(__xludf.DUMMYFUNCTION("""COMPUTED_VALUE"""),"АО ЗСЖБ 167-СТР от 12.08.2022")</f>
        <v>АО ЗСЖБ 167-СТР от 12.08.2022</v>
      </c>
      <c r="D44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8" t="str">
        <f ca="1">IFERROR(__xludf.DUMMYFUNCTION("""COMPUTED_VALUE"""),"Новый")</f>
        <v>Новый</v>
      </c>
      <c r="G4418" s="68"/>
      <c r="K4418" s="68"/>
    </row>
    <row r="4419" spans="1:11" ht="12.75">
      <c r="A4419" s="69">
        <f ca="1">IFERROR(__xludf.DUMMYFUNCTION("""COMPUTED_VALUE"""),104138)</f>
        <v>104138</v>
      </c>
      <c r="B4419" s="4">
        <f ca="1">IFERROR(__xludf.DUMMYFUNCTION("""COMPUTED_VALUE"""),44788)</f>
        <v>44788</v>
      </c>
      <c r="C4419" t="str">
        <f ca="1">IFERROR(__xludf.DUMMYFUNCTION("""COMPUTED_VALUE"""),"АО ЗСЖБ 167-СТР от 12.08.2022")</f>
        <v>АО ЗСЖБ 167-СТР от 12.08.2022</v>
      </c>
      <c r="D44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19" t="str">
        <f ca="1">IFERROR(__xludf.DUMMYFUNCTION("""COMPUTED_VALUE"""),"Новый")</f>
        <v>Новый</v>
      </c>
      <c r="G4419" s="68"/>
      <c r="K4419" s="68"/>
    </row>
    <row r="4420" spans="1:11" ht="12.75">
      <c r="A4420" s="69">
        <f ca="1">IFERROR(__xludf.DUMMYFUNCTION("""COMPUTED_VALUE"""),104139)</f>
        <v>104139</v>
      </c>
      <c r="B4420" s="4">
        <f ca="1">IFERROR(__xludf.DUMMYFUNCTION("""COMPUTED_VALUE"""),44788)</f>
        <v>44788</v>
      </c>
      <c r="C4420" t="str">
        <f ca="1">IFERROR(__xludf.DUMMYFUNCTION("""COMPUTED_VALUE"""),"АО ЗСЖБ 167-СТР от 12.08.2022")</f>
        <v>АО ЗСЖБ 167-СТР от 12.08.2022</v>
      </c>
      <c r="D44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20" t="str">
        <f ca="1">IFERROR(__xludf.DUMMYFUNCTION("""COMPUTED_VALUE"""),"Новый")</f>
        <v>Новый</v>
      </c>
      <c r="G4420" s="68"/>
      <c r="K4420" s="68"/>
    </row>
    <row r="4421" spans="1:11" ht="12.75">
      <c r="A4421" s="69">
        <f ca="1">IFERROR(__xludf.DUMMYFUNCTION("""COMPUTED_VALUE"""),104160)</f>
        <v>104160</v>
      </c>
      <c r="B4421" s="4">
        <f ca="1">IFERROR(__xludf.DUMMYFUNCTION("""COMPUTED_VALUE"""),44788)</f>
        <v>44788</v>
      </c>
      <c r="C4421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1" t="str">
        <f ca="1">IFERROR(__xludf.DUMMYFUNCTION("""COMPUTED_VALUE"""),"Новый")</f>
        <v>Новый</v>
      </c>
      <c r="G4421" s="68"/>
      <c r="K4421" s="68"/>
    </row>
    <row r="4422" spans="1:11" ht="12.75">
      <c r="A4422" s="69">
        <f ca="1">IFERROR(__xludf.DUMMYFUNCTION("""COMPUTED_VALUE"""),104162)</f>
        <v>104162</v>
      </c>
      <c r="B4422" s="4">
        <f ca="1">IFERROR(__xludf.DUMMYFUNCTION("""COMPUTED_VALUE"""),44788)</f>
        <v>44788</v>
      </c>
      <c r="C4422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2" t="str">
        <f ca="1">IFERROR(__xludf.DUMMYFUNCTION("""COMPUTED_VALUE"""),"Новый")</f>
        <v>Новый</v>
      </c>
      <c r="G4422" s="68"/>
      <c r="K4422" s="68"/>
    </row>
    <row r="4423" spans="1:11" ht="12.75">
      <c r="A4423" s="69">
        <f ca="1">IFERROR(__xludf.DUMMYFUNCTION("""COMPUTED_VALUE"""),104163)</f>
        <v>104163</v>
      </c>
      <c r="B4423" s="4">
        <f ca="1">IFERROR(__xludf.DUMMYFUNCTION("""COMPUTED_VALUE"""),44788)</f>
        <v>44788</v>
      </c>
      <c r="C4423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3" t="str">
        <f ca="1">IFERROR(__xludf.DUMMYFUNCTION("""COMPUTED_VALUE"""),"Новый")</f>
        <v>Новый</v>
      </c>
      <c r="G4423" s="68"/>
      <c r="K4423" s="68"/>
    </row>
    <row r="4424" spans="1:11" ht="12.75">
      <c r="A4424" s="69">
        <f ca="1">IFERROR(__xludf.DUMMYFUNCTION("""COMPUTED_VALUE"""),104164)</f>
        <v>104164</v>
      </c>
      <c r="B4424" s="4">
        <f ca="1">IFERROR(__xludf.DUMMYFUNCTION("""COMPUTED_VALUE"""),44788)</f>
        <v>44788</v>
      </c>
      <c r="C4424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4" t="str">
        <f ca="1">IFERROR(__xludf.DUMMYFUNCTION("""COMPUTED_VALUE"""),"Новый")</f>
        <v>Новый</v>
      </c>
      <c r="G4424" s="68"/>
      <c r="K4424" s="68"/>
    </row>
    <row r="4425" spans="1:11" ht="12.75">
      <c r="A4425" s="69">
        <f ca="1">IFERROR(__xludf.DUMMYFUNCTION("""COMPUTED_VALUE"""),104165)</f>
        <v>104165</v>
      </c>
      <c r="B4425" s="4">
        <f ca="1">IFERROR(__xludf.DUMMYFUNCTION("""COMPUTED_VALUE"""),44788)</f>
        <v>44788</v>
      </c>
      <c r="C4425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5" t="str">
        <f ca="1">IFERROR(__xludf.DUMMYFUNCTION("""COMPUTED_VALUE"""),"Новый")</f>
        <v>Новый</v>
      </c>
      <c r="G4425" s="68"/>
      <c r="K4425" s="68"/>
    </row>
    <row r="4426" spans="1:11" ht="12.75">
      <c r="A4426" s="69">
        <f ca="1">IFERROR(__xludf.DUMMYFUNCTION("""COMPUTED_VALUE"""),104166)</f>
        <v>104166</v>
      </c>
      <c r="B4426" s="4">
        <f ca="1">IFERROR(__xludf.DUMMYFUNCTION("""COMPUTED_VALUE"""),44788)</f>
        <v>44788</v>
      </c>
      <c r="C4426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6" t="str">
        <f ca="1">IFERROR(__xludf.DUMMYFUNCTION("""COMPUTED_VALUE"""),"Новый")</f>
        <v>Новый</v>
      </c>
      <c r="G4426" s="68"/>
      <c r="K4426" s="68"/>
    </row>
    <row r="4427" spans="1:11" ht="12.75">
      <c r="A4427" s="69">
        <f ca="1">IFERROR(__xludf.DUMMYFUNCTION("""COMPUTED_VALUE"""),104167)</f>
        <v>104167</v>
      </c>
      <c r="B4427" s="4">
        <f ca="1">IFERROR(__xludf.DUMMYFUNCTION("""COMPUTED_VALUE"""),44788)</f>
        <v>44788</v>
      </c>
      <c r="C4427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7" t="str">
        <f ca="1">IFERROR(__xludf.DUMMYFUNCTION("""COMPUTED_VALUE"""),"Новый")</f>
        <v>Новый</v>
      </c>
      <c r="G4427" s="68"/>
      <c r="K4427" s="68"/>
    </row>
    <row r="4428" spans="1:11" ht="12.75">
      <c r="A4428" s="69">
        <f ca="1">IFERROR(__xludf.DUMMYFUNCTION("""COMPUTED_VALUE"""),104168)</f>
        <v>104168</v>
      </c>
      <c r="B4428" s="4">
        <f ca="1">IFERROR(__xludf.DUMMYFUNCTION("""COMPUTED_VALUE"""),44788)</f>
        <v>44788</v>
      </c>
      <c r="C4428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8" t="str">
        <f ca="1">IFERROR(__xludf.DUMMYFUNCTION("""COMPUTED_VALUE"""),"Новый")</f>
        <v>Новый</v>
      </c>
      <c r="G4428" s="68"/>
      <c r="K4428" s="68"/>
    </row>
    <row r="4429" spans="1:11" ht="12.75">
      <c r="A4429" s="69">
        <f ca="1">IFERROR(__xludf.DUMMYFUNCTION("""COMPUTED_VALUE"""),104169)</f>
        <v>104169</v>
      </c>
      <c r="B4429" s="4">
        <f ca="1">IFERROR(__xludf.DUMMYFUNCTION("""COMPUTED_VALUE"""),44788)</f>
        <v>44788</v>
      </c>
      <c r="C4429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44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429" t="str">
        <f ca="1">IFERROR(__xludf.DUMMYFUNCTION("""COMPUTED_VALUE"""),"Новый")</f>
        <v>Новый</v>
      </c>
      <c r="G4429" s="68"/>
      <c r="K4429" s="68"/>
    </row>
    <row r="4430" spans="1:11" ht="12.75">
      <c r="A4430" s="69">
        <f ca="1">IFERROR(__xludf.DUMMYFUNCTION("""COMPUTED_VALUE"""),104170)</f>
        <v>104170</v>
      </c>
      <c r="B4430" s="4">
        <f ca="1">IFERROR(__xludf.DUMMYFUNCTION("""COMPUTED_VALUE"""),44788)</f>
        <v>44788</v>
      </c>
      <c r="C4430" t="str">
        <f ca="1">IFERROR(__xludf.DUMMYFUNCTION("""COMPUTED_VALUE"""),"ООО ""СибКом"" 162-СТР от 08.08.2022")</f>
        <v>ООО "СибКом" 162-СТР от 08.08.2022</v>
      </c>
      <c r="D44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0" t="str">
        <f ca="1">IFERROR(__xludf.DUMMYFUNCTION("""COMPUTED_VALUE"""),"Новый")</f>
        <v>Новый</v>
      </c>
      <c r="G4430" s="68"/>
      <c r="K4430" s="68"/>
    </row>
    <row r="4431" spans="1:11" ht="12.75">
      <c r="A4431" s="69">
        <f ca="1">IFERROR(__xludf.DUMMYFUNCTION("""COMPUTED_VALUE"""),104171)</f>
        <v>104171</v>
      </c>
      <c r="B4431" s="4">
        <f ca="1">IFERROR(__xludf.DUMMYFUNCTION("""COMPUTED_VALUE"""),44788)</f>
        <v>44788</v>
      </c>
      <c r="C4431" t="str">
        <f ca="1">IFERROR(__xludf.DUMMYFUNCTION("""COMPUTED_VALUE"""),"ООО ""СибКом"" 162-СТР от 08.08.2022")</f>
        <v>ООО "СибКом" 162-СТР от 08.08.2022</v>
      </c>
      <c r="D44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1" t="str">
        <f ca="1">IFERROR(__xludf.DUMMYFUNCTION("""COMPUTED_VALUE"""),"Новый")</f>
        <v>Новый</v>
      </c>
      <c r="G4431" s="68"/>
      <c r="K4431" s="68"/>
    </row>
    <row r="4432" spans="1:11" ht="12.75">
      <c r="A4432" s="69">
        <f ca="1">IFERROR(__xludf.DUMMYFUNCTION("""COMPUTED_VALUE"""),104172)</f>
        <v>104172</v>
      </c>
      <c r="B4432" s="4">
        <f ca="1">IFERROR(__xludf.DUMMYFUNCTION("""COMPUTED_VALUE"""),44788)</f>
        <v>44788</v>
      </c>
      <c r="C4432" t="str">
        <f ca="1">IFERROR(__xludf.DUMMYFUNCTION("""COMPUTED_VALUE"""),"ООО ""СибКом"" 162-СТР от 08.08.2022")</f>
        <v>ООО "СибКом" 162-СТР от 08.08.2022</v>
      </c>
      <c r="D44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2" t="str">
        <f ca="1">IFERROR(__xludf.DUMMYFUNCTION("""COMPUTED_VALUE"""),"Новый")</f>
        <v>Новый</v>
      </c>
      <c r="G4432" s="68"/>
      <c r="K4432" s="68"/>
    </row>
    <row r="4433" spans="1:11" ht="12.75">
      <c r="A4433" s="69">
        <f ca="1">IFERROR(__xludf.DUMMYFUNCTION("""COMPUTED_VALUE"""),104173)</f>
        <v>104173</v>
      </c>
      <c r="B4433" s="4">
        <f ca="1">IFERROR(__xludf.DUMMYFUNCTION("""COMPUTED_VALUE"""),44788)</f>
        <v>44788</v>
      </c>
      <c r="C4433" t="str">
        <f ca="1">IFERROR(__xludf.DUMMYFUNCTION("""COMPUTED_VALUE"""),"ООО ""СибКом"" 162-СТР от 08.08.2022")</f>
        <v>ООО "СибКом" 162-СТР от 08.08.2022</v>
      </c>
      <c r="D44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3" t="str">
        <f ca="1">IFERROR(__xludf.DUMMYFUNCTION("""COMPUTED_VALUE"""),"Новый")</f>
        <v>Новый</v>
      </c>
      <c r="G4433" s="68"/>
      <c r="K4433" s="68"/>
    </row>
    <row r="4434" spans="1:11" ht="12.75">
      <c r="A4434" s="69">
        <f ca="1">IFERROR(__xludf.DUMMYFUNCTION("""COMPUTED_VALUE"""),104174)</f>
        <v>104174</v>
      </c>
      <c r="B4434" s="4">
        <f ca="1">IFERROR(__xludf.DUMMYFUNCTION("""COMPUTED_VALUE"""),44788)</f>
        <v>44788</v>
      </c>
      <c r="C4434" t="str">
        <f ca="1">IFERROR(__xludf.DUMMYFUNCTION("""COMPUTED_VALUE"""),"ООО ""СибКом"" 162-СТР от 08.08.2022")</f>
        <v>ООО "СибКом" 162-СТР от 08.08.2022</v>
      </c>
      <c r="D44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4" t="str">
        <f ca="1">IFERROR(__xludf.DUMMYFUNCTION("""COMPUTED_VALUE"""),"Новый")</f>
        <v>Новый</v>
      </c>
      <c r="G4434" s="68"/>
      <c r="K4434" s="68"/>
    </row>
    <row r="4435" spans="1:11" ht="12.75">
      <c r="A4435" s="69">
        <f ca="1">IFERROR(__xludf.DUMMYFUNCTION("""COMPUTED_VALUE"""),104175)</f>
        <v>104175</v>
      </c>
      <c r="B4435" s="4">
        <f ca="1">IFERROR(__xludf.DUMMYFUNCTION("""COMPUTED_VALUE"""),44788)</f>
        <v>44788</v>
      </c>
      <c r="C4435" t="str">
        <f ca="1">IFERROR(__xludf.DUMMYFUNCTION("""COMPUTED_VALUE"""),"ООО ""СибКом"" 162-СТР от 08.08.2022")</f>
        <v>ООО "СибКом" 162-СТР от 08.08.2022</v>
      </c>
      <c r="D44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5" t="str">
        <f ca="1">IFERROR(__xludf.DUMMYFUNCTION("""COMPUTED_VALUE"""),"Новый")</f>
        <v>Новый</v>
      </c>
      <c r="G4435" s="68"/>
      <c r="K4435" s="68"/>
    </row>
    <row r="4436" spans="1:11" ht="12.75">
      <c r="A4436" s="69">
        <f ca="1">IFERROR(__xludf.DUMMYFUNCTION("""COMPUTED_VALUE"""),104176)</f>
        <v>104176</v>
      </c>
      <c r="B4436" s="4">
        <f ca="1">IFERROR(__xludf.DUMMYFUNCTION("""COMPUTED_VALUE"""),44788)</f>
        <v>44788</v>
      </c>
      <c r="C4436" t="str">
        <f ca="1">IFERROR(__xludf.DUMMYFUNCTION("""COMPUTED_VALUE"""),"ООО ""СибКом"" 162-СТР от 08.08.2022")</f>
        <v>ООО "СибКом" 162-СТР от 08.08.2022</v>
      </c>
      <c r="D44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6" t="str">
        <f ca="1">IFERROR(__xludf.DUMMYFUNCTION("""COMPUTED_VALUE"""),"Новый")</f>
        <v>Новый</v>
      </c>
      <c r="G4436" s="68"/>
      <c r="K4436" s="68"/>
    </row>
    <row r="4437" spans="1:11" ht="12.75">
      <c r="A4437" s="69">
        <f ca="1">IFERROR(__xludf.DUMMYFUNCTION("""COMPUTED_VALUE"""),104177)</f>
        <v>104177</v>
      </c>
      <c r="B4437" s="4">
        <f ca="1">IFERROR(__xludf.DUMMYFUNCTION("""COMPUTED_VALUE"""),44788)</f>
        <v>44788</v>
      </c>
      <c r="C4437" t="str">
        <f ca="1">IFERROR(__xludf.DUMMYFUNCTION("""COMPUTED_VALUE"""),"ООО ""СибКом"" 162-СТР от 08.08.2022")</f>
        <v>ООО "СибКом" 162-СТР от 08.08.2022</v>
      </c>
      <c r="D44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7" t="str">
        <f ca="1">IFERROR(__xludf.DUMMYFUNCTION("""COMPUTED_VALUE"""),"Новый")</f>
        <v>Новый</v>
      </c>
      <c r="G4437" s="68"/>
      <c r="K4437" s="68"/>
    </row>
    <row r="4438" spans="1:11" ht="12.75">
      <c r="A4438" s="69">
        <f ca="1">IFERROR(__xludf.DUMMYFUNCTION("""COMPUTED_VALUE"""),104178)</f>
        <v>104178</v>
      </c>
      <c r="B4438" s="4">
        <f ca="1">IFERROR(__xludf.DUMMYFUNCTION("""COMPUTED_VALUE"""),44788)</f>
        <v>44788</v>
      </c>
      <c r="C4438" t="str">
        <f ca="1">IFERROR(__xludf.DUMMYFUNCTION("""COMPUTED_VALUE"""),"ООО ""СибКом"" 162-СТР от 08.08.2022")</f>
        <v>ООО "СибКом" 162-СТР от 08.08.2022</v>
      </c>
      <c r="D44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8" t="str">
        <f ca="1">IFERROR(__xludf.DUMMYFUNCTION("""COMPUTED_VALUE"""),"Новый")</f>
        <v>Новый</v>
      </c>
      <c r="G4438" s="68"/>
      <c r="K4438" s="68"/>
    </row>
    <row r="4439" spans="1:11" ht="12.75">
      <c r="A4439" s="69">
        <f ca="1">IFERROR(__xludf.DUMMYFUNCTION("""COMPUTED_VALUE"""),104179)</f>
        <v>104179</v>
      </c>
      <c r="B4439" s="4">
        <f ca="1">IFERROR(__xludf.DUMMYFUNCTION("""COMPUTED_VALUE"""),44788)</f>
        <v>44788</v>
      </c>
      <c r="C4439" t="str">
        <f ca="1">IFERROR(__xludf.DUMMYFUNCTION("""COMPUTED_VALUE"""),"ООО ""СибКом"" 162-СТР от 08.08.2022")</f>
        <v>ООО "СибКом" 162-СТР от 08.08.2022</v>
      </c>
      <c r="D44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39" t="str">
        <f ca="1">IFERROR(__xludf.DUMMYFUNCTION("""COMPUTED_VALUE"""),"Новый")</f>
        <v>Новый</v>
      </c>
      <c r="G4439" s="68"/>
      <c r="K4439" s="68"/>
    </row>
    <row r="4440" spans="1:11" ht="12.75">
      <c r="A4440" s="69">
        <f ca="1">IFERROR(__xludf.DUMMYFUNCTION("""COMPUTED_VALUE"""),104180)</f>
        <v>104180</v>
      </c>
      <c r="B4440" s="4">
        <f ca="1">IFERROR(__xludf.DUMMYFUNCTION("""COMPUTED_VALUE"""),44788)</f>
        <v>44788</v>
      </c>
      <c r="C4440" t="str">
        <f ca="1">IFERROR(__xludf.DUMMYFUNCTION("""COMPUTED_VALUE"""),"ООО ""СибКом"" 162-СТР от 08.08.2022")</f>
        <v>ООО "СибКом" 162-СТР от 08.08.2022</v>
      </c>
      <c r="D44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0" t="str">
        <f ca="1">IFERROR(__xludf.DUMMYFUNCTION("""COMPUTED_VALUE"""),"Новый")</f>
        <v>Новый</v>
      </c>
      <c r="G4440" s="68"/>
      <c r="K4440" s="68"/>
    </row>
    <row r="4441" spans="1:11" ht="12.75">
      <c r="A4441" s="69">
        <f ca="1">IFERROR(__xludf.DUMMYFUNCTION("""COMPUTED_VALUE"""),104181)</f>
        <v>104181</v>
      </c>
      <c r="B4441" s="4">
        <f ca="1">IFERROR(__xludf.DUMMYFUNCTION("""COMPUTED_VALUE"""),44788)</f>
        <v>44788</v>
      </c>
      <c r="C4441" t="str">
        <f ca="1">IFERROR(__xludf.DUMMYFUNCTION("""COMPUTED_VALUE"""),"ООО ""СибКом"" 162-СТР от 08.08.2022")</f>
        <v>ООО "СибКом" 162-СТР от 08.08.2022</v>
      </c>
      <c r="D44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1" t="str">
        <f ca="1">IFERROR(__xludf.DUMMYFUNCTION("""COMPUTED_VALUE"""),"Новый")</f>
        <v>Новый</v>
      </c>
      <c r="G4441" s="68"/>
      <c r="K4441" s="68"/>
    </row>
    <row r="4442" spans="1:11" ht="12.75">
      <c r="A4442" s="69">
        <f ca="1">IFERROR(__xludf.DUMMYFUNCTION("""COMPUTED_VALUE"""),104182)</f>
        <v>104182</v>
      </c>
      <c r="B4442" s="4">
        <f ca="1">IFERROR(__xludf.DUMMYFUNCTION("""COMPUTED_VALUE"""),44788)</f>
        <v>44788</v>
      </c>
      <c r="C4442" t="str">
        <f ca="1">IFERROR(__xludf.DUMMYFUNCTION("""COMPUTED_VALUE"""),"ООО ""СибКом"" 162-СТР от 08.08.2022")</f>
        <v>ООО "СибКом" 162-СТР от 08.08.2022</v>
      </c>
      <c r="D44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2" t="str">
        <f ca="1">IFERROR(__xludf.DUMMYFUNCTION("""COMPUTED_VALUE"""),"Новый")</f>
        <v>Новый</v>
      </c>
      <c r="G4442" s="68"/>
      <c r="K4442" s="68"/>
    </row>
    <row r="4443" spans="1:11" ht="12.75">
      <c r="A4443" s="69">
        <f ca="1">IFERROR(__xludf.DUMMYFUNCTION("""COMPUTED_VALUE"""),104183)</f>
        <v>104183</v>
      </c>
      <c r="B4443" s="4">
        <f ca="1">IFERROR(__xludf.DUMMYFUNCTION("""COMPUTED_VALUE"""),44788)</f>
        <v>44788</v>
      </c>
      <c r="C4443" t="str">
        <f ca="1">IFERROR(__xludf.DUMMYFUNCTION("""COMPUTED_VALUE"""),"ООО ""СибКом"" 162-СТР от 08.08.2022")</f>
        <v>ООО "СибКом" 162-СТР от 08.08.2022</v>
      </c>
      <c r="D44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3" t="str">
        <f ca="1">IFERROR(__xludf.DUMMYFUNCTION("""COMPUTED_VALUE"""),"Новый")</f>
        <v>Новый</v>
      </c>
      <c r="G4443" s="68"/>
      <c r="K4443" s="68"/>
    </row>
    <row r="4444" spans="1:11" ht="12.75">
      <c r="A4444" s="69">
        <f ca="1">IFERROR(__xludf.DUMMYFUNCTION("""COMPUTED_VALUE"""),104184)</f>
        <v>104184</v>
      </c>
      <c r="B4444" s="4">
        <f ca="1">IFERROR(__xludf.DUMMYFUNCTION("""COMPUTED_VALUE"""),44788)</f>
        <v>44788</v>
      </c>
      <c r="C4444" t="str">
        <f ca="1">IFERROR(__xludf.DUMMYFUNCTION("""COMPUTED_VALUE"""),"ООО ""СибКом"" 162-СТР от 08.08.2022")</f>
        <v>ООО "СибКом" 162-СТР от 08.08.2022</v>
      </c>
      <c r="D44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4" t="str">
        <f ca="1">IFERROR(__xludf.DUMMYFUNCTION("""COMPUTED_VALUE"""),"Новый")</f>
        <v>Новый</v>
      </c>
      <c r="G4444" s="68"/>
      <c r="K4444" s="68"/>
    </row>
    <row r="4445" spans="1:11" ht="12.75">
      <c r="A4445" s="69">
        <f ca="1">IFERROR(__xludf.DUMMYFUNCTION("""COMPUTED_VALUE"""),104185)</f>
        <v>104185</v>
      </c>
      <c r="B4445" s="4">
        <f ca="1">IFERROR(__xludf.DUMMYFUNCTION("""COMPUTED_VALUE"""),44788)</f>
        <v>44788</v>
      </c>
      <c r="C4445" t="str">
        <f ca="1">IFERROR(__xludf.DUMMYFUNCTION("""COMPUTED_VALUE"""),"ООО ""СибКом"" 162-СТР от 08.08.2022")</f>
        <v>ООО "СибКом" 162-СТР от 08.08.2022</v>
      </c>
      <c r="D44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5" t="str">
        <f ca="1">IFERROR(__xludf.DUMMYFUNCTION("""COMPUTED_VALUE"""),"Новый")</f>
        <v>Новый</v>
      </c>
      <c r="G4445" s="68"/>
      <c r="K4445" s="68"/>
    </row>
    <row r="4446" spans="1:11" ht="12.75">
      <c r="A4446" s="69">
        <f ca="1">IFERROR(__xludf.DUMMYFUNCTION("""COMPUTED_VALUE"""),104186)</f>
        <v>104186</v>
      </c>
      <c r="B4446" s="4">
        <f ca="1">IFERROR(__xludf.DUMMYFUNCTION("""COMPUTED_VALUE"""),44788)</f>
        <v>44788</v>
      </c>
      <c r="C4446" t="str">
        <f ca="1">IFERROR(__xludf.DUMMYFUNCTION("""COMPUTED_VALUE"""),"ООО ""СибКом"" 162-СТР от 08.08.2022")</f>
        <v>ООО "СибКом" 162-СТР от 08.08.2022</v>
      </c>
      <c r="D44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6" t="str">
        <f ca="1">IFERROR(__xludf.DUMMYFUNCTION("""COMPUTED_VALUE"""),"Новый")</f>
        <v>Новый</v>
      </c>
      <c r="G4446" s="68"/>
      <c r="K4446" s="68"/>
    </row>
    <row r="4447" spans="1:11" ht="12.75">
      <c r="A4447" s="69">
        <f ca="1">IFERROR(__xludf.DUMMYFUNCTION("""COMPUTED_VALUE"""),104187)</f>
        <v>104187</v>
      </c>
      <c r="B4447" s="4">
        <f ca="1">IFERROR(__xludf.DUMMYFUNCTION("""COMPUTED_VALUE"""),44788)</f>
        <v>44788</v>
      </c>
      <c r="C4447" t="str">
        <f ca="1">IFERROR(__xludf.DUMMYFUNCTION("""COMPUTED_VALUE"""),"ООО ""СибКом"" 162-СТР от 08.08.2022")</f>
        <v>ООО "СибКом" 162-СТР от 08.08.2022</v>
      </c>
      <c r="D44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7" t="str">
        <f ca="1">IFERROR(__xludf.DUMMYFUNCTION("""COMPUTED_VALUE"""),"Новый")</f>
        <v>Новый</v>
      </c>
      <c r="G4447" s="68"/>
      <c r="K4447" s="68"/>
    </row>
    <row r="4448" spans="1:11" ht="12.75">
      <c r="A4448" s="69">
        <f ca="1">IFERROR(__xludf.DUMMYFUNCTION("""COMPUTED_VALUE"""),104188)</f>
        <v>104188</v>
      </c>
      <c r="B4448" s="4">
        <f ca="1">IFERROR(__xludf.DUMMYFUNCTION("""COMPUTED_VALUE"""),44788)</f>
        <v>44788</v>
      </c>
      <c r="C4448" t="str">
        <f ca="1">IFERROR(__xludf.DUMMYFUNCTION("""COMPUTED_VALUE"""),"ООО ""СибКом"" 162-СТР от 08.08.2022")</f>
        <v>ООО "СибКом" 162-СТР от 08.08.2022</v>
      </c>
      <c r="D44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8" t="str">
        <f ca="1">IFERROR(__xludf.DUMMYFUNCTION("""COMPUTED_VALUE"""),"Новый")</f>
        <v>Новый</v>
      </c>
      <c r="G4448" s="68"/>
      <c r="K4448" s="68"/>
    </row>
    <row r="4449" spans="1:11" ht="12.75">
      <c r="A4449" s="69">
        <f ca="1">IFERROR(__xludf.DUMMYFUNCTION("""COMPUTED_VALUE"""),104189)</f>
        <v>104189</v>
      </c>
      <c r="B4449" s="4">
        <f ca="1">IFERROR(__xludf.DUMMYFUNCTION("""COMPUTED_VALUE"""),44788)</f>
        <v>44788</v>
      </c>
      <c r="C4449" t="str">
        <f ca="1">IFERROR(__xludf.DUMMYFUNCTION("""COMPUTED_VALUE"""),"ООО ""СибКом"" 162-СТР от 08.08.2022")</f>
        <v>ООО "СибКом" 162-СТР от 08.08.2022</v>
      </c>
      <c r="D44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49" t="str">
        <f ca="1">IFERROR(__xludf.DUMMYFUNCTION("""COMPUTED_VALUE"""),"Новый")</f>
        <v>Новый</v>
      </c>
      <c r="G4449" s="68"/>
      <c r="K4449" s="68"/>
    </row>
    <row r="4450" spans="1:11" ht="12.75">
      <c r="A4450" s="69">
        <f ca="1">IFERROR(__xludf.DUMMYFUNCTION("""COMPUTED_VALUE"""),104190)</f>
        <v>104190</v>
      </c>
      <c r="B4450" s="4">
        <f ca="1">IFERROR(__xludf.DUMMYFUNCTION("""COMPUTED_VALUE"""),44788)</f>
        <v>44788</v>
      </c>
      <c r="C4450" t="str">
        <f ca="1">IFERROR(__xludf.DUMMYFUNCTION("""COMPUTED_VALUE"""),"ООО Контакт 168-СТР от 15.08.2022")</f>
        <v>ООО Контакт 168-СТР от 15.08.2022</v>
      </c>
      <c r="D44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0" t="str">
        <f ca="1">IFERROR(__xludf.DUMMYFUNCTION("""COMPUTED_VALUE"""),"Новый")</f>
        <v>Новый</v>
      </c>
      <c r="G4450" s="68"/>
      <c r="K4450" s="68"/>
    </row>
    <row r="4451" spans="1:11" ht="12.75">
      <c r="A4451" s="69">
        <f ca="1">IFERROR(__xludf.DUMMYFUNCTION("""COMPUTED_VALUE"""),104191)</f>
        <v>104191</v>
      </c>
      <c r="B4451" s="4">
        <f ca="1">IFERROR(__xludf.DUMMYFUNCTION("""COMPUTED_VALUE"""),44788)</f>
        <v>44788</v>
      </c>
      <c r="C4451" t="str">
        <f ca="1">IFERROR(__xludf.DUMMYFUNCTION("""COMPUTED_VALUE"""),"ООО Контакт 168-СТР от 15.08.2022")</f>
        <v>ООО Контакт 168-СТР от 15.08.2022</v>
      </c>
      <c r="D44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1" t="str">
        <f ca="1">IFERROR(__xludf.DUMMYFUNCTION("""COMPUTED_VALUE"""),"Новый")</f>
        <v>Новый</v>
      </c>
      <c r="G4451" s="68"/>
      <c r="K4451" s="68"/>
    </row>
    <row r="4452" spans="1:11" ht="12.75">
      <c r="A4452" s="69">
        <f ca="1">IFERROR(__xludf.DUMMYFUNCTION("""COMPUTED_VALUE"""),104192)</f>
        <v>104192</v>
      </c>
      <c r="B4452" s="4">
        <f ca="1">IFERROR(__xludf.DUMMYFUNCTION("""COMPUTED_VALUE"""),44788)</f>
        <v>44788</v>
      </c>
      <c r="C4452" t="str">
        <f ca="1">IFERROR(__xludf.DUMMYFUNCTION("""COMPUTED_VALUE"""),"ООО Контакт 168-СТР от 15.08.2022")</f>
        <v>ООО Контакт 168-СТР от 15.08.2022</v>
      </c>
      <c r="D44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2" t="str">
        <f ca="1">IFERROR(__xludf.DUMMYFUNCTION("""COMPUTED_VALUE"""),"Новый")</f>
        <v>Новый</v>
      </c>
      <c r="G4452" s="68"/>
      <c r="K4452" s="68"/>
    </row>
    <row r="4453" spans="1:11" ht="12.75">
      <c r="A4453" s="69">
        <f ca="1">IFERROR(__xludf.DUMMYFUNCTION("""COMPUTED_VALUE"""),104193)</f>
        <v>104193</v>
      </c>
      <c r="B4453" s="4">
        <f ca="1">IFERROR(__xludf.DUMMYFUNCTION("""COMPUTED_VALUE"""),44788)</f>
        <v>44788</v>
      </c>
      <c r="C4453" t="str">
        <f ca="1">IFERROR(__xludf.DUMMYFUNCTION("""COMPUTED_VALUE"""),"ООО Контакт 168-СТР от 15.08.2022")</f>
        <v>ООО Контакт 168-СТР от 15.08.2022</v>
      </c>
      <c r="D44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3" t="str">
        <f ca="1">IFERROR(__xludf.DUMMYFUNCTION("""COMPUTED_VALUE"""),"Новый")</f>
        <v>Новый</v>
      </c>
      <c r="G4453" s="68"/>
      <c r="K4453" s="68"/>
    </row>
    <row r="4454" spans="1:11" ht="12.75">
      <c r="A4454" s="69">
        <f ca="1">IFERROR(__xludf.DUMMYFUNCTION("""COMPUTED_VALUE"""),104194)</f>
        <v>104194</v>
      </c>
      <c r="B4454" s="4">
        <f ca="1">IFERROR(__xludf.DUMMYFUNCTION("""COMPUTED_VALUE"""),44788)</f>
        <v>44788</v>
      </c>
      <c r="C4454" t="str">
        <f ca="1">IFERROR(__xludf.DUMMYFUNCTION("""COMPUTED_VALUE"""),"ООО Контакт 168-СТР от 15.08.2022")</f>
        <v>ООО Контакт 168-СТР от 15.08.2022</v>
      </c>
      <c r="D44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4" t="str">
        <f ca="1">IFERROR(__xludf.DUMMYFUNCTION("""COMPUTED_VALUE"""),"Новый")</f>
        <v>Новый</v>
      </c>
      <c r="G4454" s="68"/>
      <c r="K4454" s="68"/>
    </row>
    <row r="4455" spans="1:11" ht="12.75">
      <c r="A4455" s="69">
        <f ca="1">IFERROR(__xludf.DUMMYFUNCTION("""COMPUTED_VALUE"""),104195)</f>
        <v>104195</v>
      </c>
      <c r="B4455" s="4">
        <f ca="1">IFERROR(__xludf.DUMMYFUNCTION("""COMPUTED_VALUE"""),44788)</f>
        <v>44788</v>
      </c>
      <c r="C4455" t="str">
        <f ca="1">IFERROR(__xludf.DUMMYFUNCTION("""COMPUTED_VALUE"""),"ООО Контакт 168-СТР от 15.08.2022")</f>
        <v>ООО Контакт 168-СТР от 15.08.2022</v>
      </c>
      <c r="D44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5" t="str">
        <f ca="1">IFERROR(__xludf.DUMMYFUNCTION("""COMPUTED_VALUE"""),"Новый")</f>
        <v>Новый</v>
      </c>
      <c r="G4455" s="68"/>
      <c r="K4455" s="68"/>
    </row>
    <row r="4456" spans="1:11" ht="12.75">
      <c r="A4456" s="69">
        <f ca="1">IFERROR(__xludf.DUMMYFUNCTION("""COMPUTED_VALUE"""),104196)</f>
        <v>104196</v>
      </c>
      <c r="B4456" s="4">
        <f ca="1">IFERROR(__xludf.DUMMYFUNCTION("""COMPUTED_VALUE"""),44788)</f>
        <v>44788</v>
      </c>
      <c r="C4456" t="str">
        <f ca="1">IFERROR(__xludf.DUMMYFUNCTION("""COMPUTED_VALUE"""),"ООО Контакт 168-СТР от 15.08.2022")</f>
        <v>ООО Контакт 168-СТР от 15.08.2022</v>
      </c>
      <c r="D44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6" t="str">
        <f ca="1">IFERROR(__xludf.DUMMYFUNCTION("""COMPUTED_VALUE"""),"Новый")</f>
        <v>Новый</v>
      </c>
      <c r="G4456" s="68"/>
      <c r="K4456" s="68"/>
    </row>
    <row r="4457" spans="1:11" ht="12.75">
      <c r="A4457" s="69">
        <f ca="1">IFERROR(__xludf.DUMMYFUNCTION("""COMPUTED_VALUE"""),104250)</f>
        <v>104250</v>
      </c>
      <c r="B4457" s="4">
        <f ca="1">IFERROR(__xludf.DUMMYFUNCTION("""COMPUTED_VALUE"""),44790)</f>
        <v>44790</v>
      </c>
      <c r="C4457" t="str">
        <f ca="1">IFERROR(__xludf.DUMMYFUNCTION("""COMPUTED_VALUE"""),"ООО Лидер 163-СТР от 08.08.2022")</f>
        <v>ООО Лидер 163-СТР от 08.08.2022</v>
      </c>
      <c r="D44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7" t="str">
        <f ca="1">IFERROR(__xludf.DUMMYFUNCTION("""COMPUTED_VALUE"""),"Новый")</f>
        <v>Новый</v>
      </c>
      <c r="G4457" s="68"/>
      <c r="K4457" s="68"/>
    </row>
    <row r="4458" spans="1:11" ht="12.75">
      <c r="A4458" s="69">
        <f ca="1">IFERROR(__xludf.DUMMYFUNCTION("""COMPUTED_VALUE"""),104251)</f>
        <v>104251</v>
      </c>
      <c r="B4458" s="4">
        <f ca="1">IFERROR(__xludf.DUMMYFUNCTION("""COMPUTED_VALUE"""),44790)</f>
        <v>44790</v>
      </c>
      <c r="C4458" t="str">
        <f ca="1">IFERROR(__xludf.DUMMYFUNCTION("""COMPUTED_VALUE"""),"ООО Лидер 163-СТР от 08.08.2022")</f>
        <v>ООО Лидер 163-СТР от 08.08.2022</v>
      </c>
      <c r="D44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8" t="str">
        <f ca="1">IFERROR(__xludf.DUMMYFUNCTION("""COMPUTED_VALUE"""),"Новый")</f>
        <v>Новый</v>
      </c>
      <c r="G4458" s="68"/>
      <c r="K4458" s="68"/>
    </row>
    <row r="4459" spans="1:11" ht="12.75">
      <c r="A4459" s="69">
        <f ca="1">IFERROR(__xludf.DUMMYFUNCTION("""COMPUTED_VALUE"""),104252)</f>
        <v>104252</v>
      </c>
      <c r="B4459" s="4">
        <f ca="1">IFERROR(__xludf.DUMMYFUNCTION("""COMPUTED_VALUE"""),44790)</f>
        <v>44790</v>
      </c>
      <c r="C4459" t="str">
        <f ca="1">IFERROR(__xludf.DUMMYFUNCTION("""COMPUTED_VALUE"""),"ООО Лидер 163-СТР от 08.08.2022")</f>
        <v>ООО Лидер 163-СТР от 08.08.2022</v>
      </c>
      <c r="D44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59" t="str">
        <f ca="1">IFERROR(__xludf.DUMMYFUNCTION("""COMPUTED_VALUE"""),"Новый")</f>
        <v>Новый</v>
      </c>
      <c r="G4459" s="68"/>
      <c r="K4459" s="68"/>
    </row>
    <row r="4460" spans="1:11" ht="12.75">
      <c r="A4460" s="69">
        <f ca="1">IFERROR(__xludf.DUMMYFUNCTION("""COMPUTED_VALUE"""),104253)</f>
        <v>104253</v>
      </c>
      <c r="B4460" s="4">
        <f ca="1">IFERROR(__xludf.DUMMYFUNCTION("""COMPUTED_VALUE"""),44790)</f>
        <v>44790</v>
      </c>
      <c r="C4460" t="str">
        <f ca="1">IFERROR(__xludf.DUMMYFUNCTION("""COMPUTED_VALUE"""),"ООО Лидер 163-СТР от 08.08.2022")</f>
        <v>ООО Лидер 163-СТР от 08.08.2022</v>
      </c>
      <c r="D44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0" t="str">
        <f ca="1">IFERROR(__xludf.DUMMYFUNCTION("""COMPUTED_VALUE"""),"Новый")</f>
        <v>Новый</v>
      </c>
      <c r="G4460" s="68"/>
      <c r="K4460" s="68"/>
    </row>
    <row r="4461" spans="1:11" ht="12.75">
      <c r="A4461" s="69">
        <f ca="1">IFERROR(__xludf.DUMMYFUNCTION("""COMPUTED_VALUE"""),104254)</f>
        <v>104254</v>
      </c>
      <c r="B4461" s="4">
        <f ca="1">IFERROR(__xludf.DUMMYFUNCTION("""COMPUTED_VALUE"""),44790)</f>
        <v>44790</v>
      </c>
      <c r="C4461" t="str">
        <f ca="1">IFERROR(__xludf.DUMMYFUNCTION("""COMPUTED_VALUE"""),"ООО Лидер 163-СТР от 08.08.2022")</f>
        <v>ООО Лидер 163-СТР от 08.08.2022</v>
      </c>
      <c r="D44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1" t="str">
        <f ca="1">IFERROR(__xludf.DUMMYFUNCTION("""COMPUTED_VALUE"""),"Новый")</f>
        <v>Новый</v>
      </c>
      <c r="G4461" s="68"/>
      <c r="K4461" s="68"/>
    </row>
    <row r="4462" spans="1:11" ht="12.75">
      <c r="A4462" s="69">
        <f ca="1">IFERROR(__xludf.DUMMYFUNCTION("""COMPUTED_VALUE"""),104255)</f>
        <v>104255</v>
      </c>
      <c r="B4462" s="4">
        <f ca="1">IFERROR(__xludf.DUMMYFUNCTION("""COMPUTED_VALUE"""),44790)</f>
        <v>44790</v>
      </c>
      <c r="C4462" t="str">
        <f ca="1">IFERROR(__xludf.DUMMYFUNCTION("""COMPUTED_VALUE"""),"ООО Лидер 163-СТР от 08.08.2022")</f>
        <v>ООО Лидер 163-СТР от 08.08.2022</v>
      </c>
      <c r="D44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2" t="str">
        <f ca="1">IFERROR(__xludf.DUMMYFUNCTION("""COMPUTED_VALUE"""),"Новый")</f>
        <v>Новый</v>
      </c>
      <c r="G4462" s="68"/>
      <c r="K4462" s="68"/>
    </row>
    <row r="4463" spans="1:11" ht="12.75">
      <c r="A4463" s="69">
        <f ca="1">IFERROR(__xludf.DUMMYFUNCTION("""COMPUTED_VALUE"""),104256)</f>
        <v>104256</v>
      </c>
      <c r="B4463" s="4">
        <f ca="1">IFERROR(__xludf.DUMMYFUNCTION("""COMPUTED_VALUE"""),44790)</f>
        <v>44790</v>
      </c>
      <c r="C4463" t="str">
        <f ca="1">IFERROR(__xludf.DUMMYFUNCTION("""COMPUTED_VALUE"""),"ООО Лидер 163-СТР от 08.08.2022")</f>
        <v>ООО Лидер 163-СТР от 08.08.2022</v>
      </c>
      <c r="D44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3" t="str">
        <f ca="1">IFERROR(__xludf.DUMMYFUNCTION("""COMPUTED_VALUE"""),"Новый")</f>
        <v>Новый</v>
      </c>
      <c r="G4463" s="68"/>
      <c r="K4463" s="68"/>
    </row>
    <row r="4464" spans="1:11" ht="12.75">
      <c r="A4464" s="69">
        <f ca="1">IFERROR(__xludf.DUMMYFUNCTION("""COMPUTED_VALUE"""),104257)</f>
        <v>104257</v>
      </c>
      <c r="B4464" s="4">
        <f ca="1">IFERROR(__xludf.DUMMYFUNCTION("""COMPUTED_VALUE"""),44790)</f>
        <v>44790</v>
      </c>
      <c r="C4464" t="str">
        <f ca="1">IFERROR(__xludf.DUMMYFUNCTION("""COMPUTED_VALUE"""),"ООО Лидер 163-СТР от 08.08.2022")</f>
        <v>ООО Лидер 163-СТР от 08.08.2022</v>
      </c>
      <c r="D44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4" t="str">
        <f ca="1">IFERROR(__xludf.DUMMYFUNCTION("""COMPUTED_VALUE"""),"Новый")</f>
        <v>Новый</v>
      </c>
      <c r="G4464" s="68"/>
      <c r="K4464" s="68"/>
    </row>
    <row r="4465" spans="1:11" ht="12.75">
      <c r="A4465" s="69">
        <f ca="1">IFERROR(__xludf.DUMMYFUNCTION("""COMPUTED_VALUE"""),104258)</f>
        <v>104258</v>
      </c>
      <c r="B4465" s="4">
        <f ca="1">IFERROR(__xludf.DUMMYFUNCTION("""COMPUTED_VALUE"""),44790)</f>
        <v>44790</v>
      </c>
      <c r="C4465" t="str">
        <f ca="1">IFERROR(__xludf.DUMMYFUNCTION("""COMPUTED_VALUE"""),"ООО Лидер 163-СТР от 08.08.2022")</f>
        <v>ООО Лидер 163-СТР от 08.08.2022</v>
      </c>
      <c r="D44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5" t="str">
        <f ca="1">IFERROR(__xludf.DUMMYFUNCTION("""COMPUTED_VALUE"""),"Новый")</f>
        <v>Новый</v>
      </c>
      <c r="G4465" s="68"/>
      <c r="K4465" s="68"/>
    </row>
    <row r="4466" spans="1:11" ht="12.75">
      <c r="A4466" s="69">
        <f ca="1">IFERROR(__xludf.DUMMYFUNCTION("""COMPUTED_VALUE"""),104259)</f>
        <v>104259</v>
      </c>
      <c r="B4466" s="4">
        <f ca="1">IFERROR(__xludf.DUMMYFUNCTION("""COMPUTED_VALUE"""),44790)</f>
        <v>44790</v>
      </c>
      <c r="C4466" t="str">
        <f ca="1">IFERROR(__xludf.DUMMYFUNCTION("""COMPUTED_VALUE"""),"ООО Лидер 163-СТР от 08.08.2022")</f>
        <v>ООО Лидер 163-СТР от 08.08.2022</v>
      </c>
      <c r="D44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6" t="str">
        <f ca="1">IFERROR(__xludf.DUMMYFUNCTION("""COMPUTED_VALUE"""),"Новый")</f>
        <v>Новый</v>
      </c>
      <c r="G4466" s="68"/>
      <c r="K4466" s="68"/>
    </row>
    <row r="4467" spans="1:11" ht="12.75">
      <c r="A4467" s="69">
        <f ca="1">IFERROR(__xludf.DUMMYFUNCTION("""COMPUTED_VALUE"""),104260)</f>
        <v>104260</v>
      </c>
      <c r="B4467" s="4">
        <f ca="1">IFERROR(__xludf.DUMMYFUNCTION("""COMPUTED_VALUE"""),44790)</f>
        <v>44790</v>
      </c>
      <c r="C4467" t="str">
        <f ca="1">IFERROR(__xludf.DUMMYFUNCTION("""COMPUTED_VALUE"""),"ООО Лидер 163-СТР от 08.08.2022")</f>
        <v>ООО Лидер 163-СТР от 08.08.2022</v>
      </c>
      <c r="D44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7" t="str">
        <f ca="1">IFERROR(__xludf.DUMMYFUNCTION("""COMPUTED_VALUE"""),"Новый")</f>
        <v>Новый</v>
      </c>
      <c r="G4467" s="68"/>
      <c r="K4467" s="68"/>
    </row>
    <row r="4468" spans="1:11" ht="12.75">
      <c r="A4468" s="69">
        <f ca="1">IFERROR(__xludf.DUMMYFUNCTION("""COMPUTED_VALUE"""),104261)</f>
        <v>104261</v>
      </c>
      <c r="B4468" s="4">
        <f ca="1">IFERROR(__xludf.DUMMYFUNCTION("""COMPUTED_VALUE"""),44790)</f>
        <v>44790</v>
      </c>
      <c r="C4468" t="str">
        <f ca="1">IFERROR(__xludf.DUMMYFUNCTION("""COMPUTED_VALUE"""),"ООО Лидер 163-СТР от 08.08.2022")</f>
        <v>ООО Лидер 163-СТР от 08.08.2022</v>
      </c>
      <c r="D44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8" t="str">
        <f ca="1">IFERROR(__xludf.DUMMYFUNCTION("""COMPUTED_VALUE"""),"Новый")</f>
        <v>Новый</v>
      </c>
      <c r="G4468" s="68"/>
      <c r="K4468" s="68"/>
    </row>
    <row r="4469" spans="1:11" ht="12.75">
      <c r="A4469" s="69">
        <f ca="1">IFERROR(__xludf.DUMMYFUNCTION("""COMPUTED_VALUE"""),104262)</f>
        <v>104262</v>
      </c>
      <c r="B4469" s="4">
        <f ca="1">IFERROR(__xludf.DUMMYFUNCTION("""COMPUTED_VALUE"""),44790)</f>
        <v>44790</v>
      </c>
      <c r="C4469" t="str">
        <f ca="1">IFERROR(__xludf.DUMMYFUNCTION("""COMPUTED_VALUE"""),"ООО Лидер 163-СТР от 08.08.2022")</f>
        <v>ООО Лидер 163-СТР от 08.08.2022</v>
      </c>
      <c r="D44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69" t="str">
        <f ca="1">IFERROR(__xludf.DUMMYFUNCTION("""COMPUTED_VALUE"""),"Новый")</f>
        <v>Новый</v>
      </c>
      <c r="G4469" s="68"/>
      <c r="K4469" s="68"/>
    </row>
    <row r="4470" spans="1:11" ht="12.75">
      <c r="A4470" s="69">
        <f ca="1">IFERROR(__xludf.DUMMYFUNCTION("""COMPUTED_VALUE"""),104263)</f>
        <v>104263</v>
      </c>
      <c r="B4470" s="4">
        <f ca="1">IFERROR(__xludf.DUMMYFUNCTION("""COMPUTED_VALUE"""),44790)</f>
        <v>44790</v>
      </c>
      <c r="C4470" t="str">
        <f ca="1">IFERROR(__xludf.DUMMYFUNCTION("""COMPUTED_VALUE"""),"ООО Лидер 163-СТР от 08.08.2022")</f>
        <v>ООО Лидер 163-СТР от 08.08.2022</v>
      </c>
      <c r="D44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0" t="str">
        <f ca="1">IFERROR(__xludf.DUMMYFUNCTION("""COMPUTED_VALUE"""),"Новый")</f>
        <v>Новый</v>
      </c>
      <c r="G4470" s="68"/>
      <c r="K4470" s="68"/>
    </row>
    <row r="4471" spans="1:11" ht="12.75">
      <c r="A4471" s="69">
        <f ca="1">IFERROR(__xludf.DUMMYFUNCTION("""COMPUTED_VALUE"""),104264)</f>
        <v>104264</v>
      </c>
      <c r="B4471" s="4">
        <f ca="1">IFERROR(__xludf.DUMMYFUNCTION("""COMPUTED_VALUE"""),44790)</f>
        <v>44790</v>
      </c>
      <c r="C4471" t="str">
        <f ca="1">IFERROR(__xludf.DUMMYFUNCTION("""COMPUTED_VALUE"""),"ООО Лидер 163-СТР от 08.08.2022")</f>
        <v>ООО Лидер 163-СТР от 08.08.2022</v>
      </c>
      <c r="D44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1" t="str">
        <f ca="1">IFERROR(__xludf.DUMMYFUNCTION("""COMPUTED_VALUE"""),"Новый")</f>
        <v>Новый</v>
      </c>
      <c r="G4471" s="68"/>
      <c r="K4471" s="68"/>
    </row>
    <row r="4472" spans="1:11" ht="12.75">
      <c r="A4472" s="69">
        <f ca="1">IFERROR(__xludf.DUMMYFUNCTION("""COMPUTED_VALUE"""),104265)</f>
        <v>104265</v>
      </c>
      <c r="B4472" s="4">
        <f ca="1">IFERROR(__xludf.DUMMYFUNCTION("""COMPUTED_VALUE"""),44790)</f>
        <v>44790</v>
      </c>
      <c r="C4472" t="str">
        <f ca="1">IFERROR(__xludf.DUMMYFUNCTION("""COMPUTED_VALUE"""),"ООО Лидер 163-СТР от 08.08.2022")</f>
        <v>ООО Лидер 163-СТР от 08.08.2022</v>
      </c>
      <c r="D44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2" t="str">
        <f ca="1">IFERROR(__xludf.DUMMYFUNCTION("""COMPUTED_VALUE"""),"Новый")</f>
        <v>Новый</v>
      </c>
      <c r="G4472" s="68"/>
      <c r="K4472" s="68"/>
    </row>
    <row r="4473" spans="1:11" ht="12.75">
      <c r="A4473" s="69">
        <f ca="1">IFERROR(__xludf.DUMMYFUNCTION("""COMPUTED_VALUE"""),104266)</f>
        <v>104266</v>
      </c>
      <c r="B4473" s="4">
        <f ca="1">IFERROR(__xludf.DUMMYFUNCTION("""COMPUTED_VALUE"""),44790)</f>
        <v>44790</v>
      </c>
      <c r="C4473" t="str">
        <f ca="1">IFERROR(__xludf.DUMMYFUNCTION("""COMPUTED_VALUE"""),"ООО Лидер 163-СТР от 08.08.2022")</f>
        <v>ООО Лидер 163-СТР от 08.08.2022</v>
      </c>
      <c r="D44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3" t="str">
        <f ca="1">IFERROR(__xludf.DUMMYFUNCTION("""COMPUTED_VALUE"""),"Новый")</f>
        <v>Новый</v>
      </c>
      <c r="G4473" s="68"/>
      <c r="K4473" s="68"/>
    </row>
    <row r="4474" spans="1:11" ht="12.75">
      <c r="A4474" s="69">
        <f ca="1">IFERROR(__xludf.DUMMYFUNCTION("""COMPUTED_VALUE"""),104267)</f>
        <v>104267</v>
      </c>
      <c r="B4474" s="4">
        <f ca="1">IFERROR(__xludf.DUMMYFUNCTION("""COMPUTED_VALUE"""),44790)</f>
        <v>44790</v>
      </c>
      <c r="C4474" t="str">
        <f ca="1">IFERROR(__xludf.DUMMYFUNCTION("""COMPUTED_VALUE"""),"ООО Лидер 163-СТР от 08.08.2022")</f>
        <v>ООО Лидер 163-СТР от 08.08.2022</v>
      </c>
      <c r="D44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4" t="str">
        <f ca="1">IFERROR(__xludf.DUMMYFUNCTION("""COMPUTED_VALUE"""),"Новый")</f>
        <v>Новый</v>
      </c>
      <c r="G4474" s="68"/>
      <c r="K4474" s="68"/>
    </row>
    <row r="4475" spans="1:11" ht="12.75">
      <c r="A4475" s="69">
        <f ca="1">IFERROR(__xludf.DUMMYFUNCTION("""COMPUTED_VALUE"""),104268)</f>
        <v>104268</v>
      </c>
      <c r="B4475" s="4">
        <f ca="1">IFERROR(__xludf.DUMMYFUNCTION("""COMPUTED_VALUE"""),44790)</f>
        <v>44790</v>
      </c>
      <c r="C4475" t="str">
        <f ca="1">IFERROR(__xludf.DUMMYFUNCTION("""COMPUTED_VALUE"""),"ООО Лидер 163-СТР от 08.08.2022")</f>
        <v>ООО Лидер 163-СТР от 08.08.2022</v>
      </c>
      <c r="D44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5" t="str">
        <f ca="1">IFERROR(__xludf.DUMMYFUNCTION("""COMPUTED_VALUE"""),"Новый")</f>
        <v>Новый</v>
      </c>
      <c r="G4475" s="68"/>
      <c r="K4475" s="68"/>
    </row>
    <row r="4476" spans="1:11" ht="12.75">
      <c r="A4476" s="69">
        <f ca="1">IFERROR(__xludf.DUMMYFUNCTION("""COMPUTED_VALUE"""),104269)</f>
        <v>104269</v>
      </c>
      <c r="B4476" s="4">
        <f ca="1">IFERROR(__xludf.DUMMYFUNCTION("""COMPUTED_VALUE"""),44790)</f>
        <v>44790</v>
      </c>
      <c r="C4476" t="str">
        <f ca="1">IFERROR(__xludf.DUMMYFUNCTION("""COMPUTED_VALUE"""),"ООО Лидер 163-СТР от 08.08.2022")</f>
        <v>ООО Лидер 163-СТР от 08.08.2022</v>
      </c>
      <c r="D44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6" t="str">
        <f ca="1">IFERROR(__xludf.DUMMYFUNCTION("""COMPUTED_VALUE"""),"Новый")</f>
        <v>Новый</v>
      </c>
      <c r="G4476" s="68"/>
      <c r="K4476" s="68"/>
    </row>
    <row r="4477" spans="1:11" ht="12.75">
      <c r="A4477" s="69">
        <f ca="1">IFERROR(__xludf.DUMMYFUNCTION("""COMPUTED_VALUE"""),104270)</f>
        <v>104270</v>
      </c>
      <c r="B4477" s="4">
        <f ca="1">IFERROR(__xludf.DUMMYFUNCTION("""COMPUTED_VALUE"""),44790)</f>
        <v>44790</v>
      </c>
      <c r="C4477" t="str">
        <f ca="1">IFERROR(__xludf.DUMMYFUNCTION("""COMPUTED_VALUE"""),"ООО Лидер 163-СТР от 08.08.2022")</f>
        <v>ООО Лидер 163-СТР от 08.08.2022</v>
      </c>
      <c r="D44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7" t="str">
        <f ca="1">IFERROR(__xludf.DUMMYFUNCTION("""COMPUTED_VALUE"""),"Новый")</f>
        <v>Новый</v>
      </c>
      <c r="G4477" s="68"/>
      <c r="K4477" s="68"/>
    </row>
    <row r="4478" spans="1:11" ht="12.75">
      <c r="A4478" s="69">
        <f ca="1">IFERROR(__xludf.DUMMYFUNCTION("""COMPUTED_VALUE"""),104271)</f>
        <v>104271</v>
      </c>
      <c r="B4478" s="4">
        <f ca="1">IFERROR(__xludf.DUMMYFUNCTION("""COMPUTED_VALUE"""),44790)</f>
        <v>44790</v>
      </c>
      <c r="C4478" t="str">
        <f ca="1">IFERROR(__xludf.DUMMYFUNCTION("""COMPUTED_VALUE"""),"ООО Лидер 163-СТР от 08.08.2022")</f>
        <v>ООО Лидер 163-СТР от 08.08.2022</v>
      </c>
      <c r="D44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8" t="str">
        <f ca="1">IFERROR(__xludf.DUMMYFUNCTION("""COMPUTED_VALUE"""),"Новый")</f>
        <v>Новый</v>
      </c>
      <c r="G4478" s="68"/>
      <c r="K4478" s="68"/>
    </row>
    <row r="4479" spans="1:11" ht="12.75">
      <c r="A4479" s="69">
        <f ca="1">IFERROR(__xludf.DUMMYFUNCTION("""COMPUTED_VALUE"""),104272)</f>
        <v>104272</v>
      </c>
      <c r="B4479" s="4">
        <f ca="1">IFERROR(__xludf.DUMMYFUNCTION("""COMPUTED_VALUE"""),44790)</f>
        <v>44790</v>
      </c>
      <c r="C4479" t="str">
        <f ca="1">IFERROR(__xludf.DUMMYFUNCTION("""COMPUTED_VALUE"""),"ООО Лидер 163-СТР от 08.08.2022")</f>
        <v>ООО Лидер 163-СТР от 08.08.2022</v>
      </c>
      <c r="D44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79" t="str">
        <f ca="1">IFERROR(__xludf.DUMMYFUNCTION("""COMPUTED_VALUE"""),"Новый")</f>
        <v>Новый</v>
      </c>
      <c r="G4479" s="68"/>
      <c r="K4479" s="68"/>
    </row>
    <row r="4480" spans="1:11" ht="12.75">
      <c r="A4480" s="69">
        <f ca="1">IFERROR(__xludf.DUMMYFUNCTION("""COMPUTED_VALUE"""),104273)</f>
        <v>104273</v>
      </c>
      <c r="B4480" s="4">
        <f ca="1">IFERROR(__xludf.DUMMYFUNCTION("""COMPUTED_VALUE"""),44790)</f>
        <v>44790</v>
      </c>
      <c r="C4480" t="str">
        <f ca="1">IFERROR(__xludf.DUMMYFUNCTION("""COMPUTED_VALUE"""),"ООО Лидер 163-СТР от 08.08.2022")</f>
        <v>ООО Лидер 163-СТР от 08.08.2022</v>
      </c>
      <c r="D44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0" t="str">
        <f ca="1">IFERROR(__xludf.DUMMYFUNCTION("""COMPUTED_VALUE"""),"Новый")</f>
        <v>Новый</v>
      </c>
      <c r="G4480" s="68"/>
      <c r="K4480" s="68"/>
    </row>
    <row r="4481" spans="1:11" ht="12.75">
      <c r="A4481" s="69">
        <f ca="1">IFERROR(__xludf.DUMMYFUNCTION("""COMPUTED_VALUE"""),104274)</f>
        <v>104274</v>
      </c>
      <c r="B4481" s="4">
        <f ca="1">IFERROR(__xludf.DUMMYFUNCTION("""COMPUTED_VALUE"""),44790)</f>
        <v>44790</v>
      </c>
      <c r="C4481" t="str">
        <f ca="1">IFERROR(__xludf.DUMMYFUNCTION("""COMPUTED_VALUE"""),"ООО Лидер 163-СТР от 08.08.2022")</f>
        <v>ООО Лидер 163-СТР от 08.08.2022</v>
      </c>
      <c r="D44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1" t="str">
        <f ca="1">IFERROR(__xludf.DUMMYFUNCTION("""COMPUTED_VALUE"""),"Новый")</f>
        <v>Новый</v>
      </c>
      <c r="G4481" s="68"/>
      <c r="K4481" s="68"/>
    </row>
    <row r="4482" spans="1:11" ht="12.75">
      <c r="A4482" s="69">
        <f ca="1">IFERROR(__xludf.DUMMYFUNCTION("""COMPUTED_VALUE"""),104275)</f>
        <v>104275</v>
      </c>
      <c r="B4482" s="4">
        <f ca="1">IFERROR(__xludf.DUMMYFUNCTION("""COMPUTED_VALUE"""),44790)</f>
        <v>44790</v>
      </c>
      <c r="C4482" t="str">
        <f ca="1">IFERROR(__xludf.DUMMYFUNCTION("""COMPUTED_VALUE"""),"ООО Лидер 163-СТР от 08.08.2022")</f>
        <v>ООО Лидер 163-СТР от 08.08.2022</v>
      </c>
      <c r="D44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2" t="str">
        <f ca="1">IFERROR(__xludf.DUMMYFUNCTION("""COMPUTED_VALUE"""),"Новый")</f>
        <v>Новый</v>
      </c>
      <c r="G4482" s="68"/>
      <c r="K4482" s="68"/>
    </row>
    <row r="4483" spans="1:11" ht="12.75">
      <c r="A4483" s="69">
        <f ca="1">IFERROR(__xludf.DUMMYFUNCTION("""COMPUTED_VALUE"""),104276)</f>
        <v>104276</v>
      </c>
      <c r="B4483" s="4">
        <f ca="1">IFERROR(__xludf.DUMMYFUNCTION("""COMPUTED_VALUE"""),44790)</f>
        <v>44790</v>
      </c>
      <c r="C4483" t="str">
        <f ca="1">IFERROR(__xludf.DUMMYFUNCTION("""COMPUTED_VALUE"""),"ООО Лидер 163-СТР от 08.08.2022")</f>
        <v>ООО Лидер 163-СТР от 08.08.2022</v>
      </c>
      <c r="D44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3" t="str">
        <f ca="1">IFERROR(__xludf.DUMMYFUNCTION("""COMPUTED_VALUE"""),"Новый")</f>
        <v>Новый</v>
      </c>
      <c r="G4483" s="68"/>
      <c r="K4483" s="68"/>
    </row>
    <row r="4484" spans="1:11" ht="12.75">
      <c r="A4484" s="69">
        <f ca="1">IFERROR(__xludf.DUMMYFUNCTION("""COMPUTED_VALUE"""),104277)</f>
        <v>104277</v>
      </c>
      <c r="B4484" s="4">
        <f ca="1">IFERROR(__xludf.DUMMYFUNCTION("""COMPUTED_VALUE"""),44790)</f>
        <v>44790</v>
      </c>
      <c r="C4484" t="str">
        <f ca="1">IFERROR(__xludf.DUMMYFUNCTION("""COMPUTED_VALUE"""),"ООО Лидер 163-СТР от 08.08.2022")</f>
        <v>ООО Лидер 163-СТР от 08.08.2022</v>
      </c>
      <c r="D44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4" t="str">
        <f ca="1">IFERROR(__xludf.DUMMYFUNCTION("""COMPUTED_VALUE"""),"Новый")</f>
        <v>Новый</v>
      </c>
      <c r="G4484" s="68"/>
      <c r="K4484" s="68"/>
    </row>
    <row r="4485" spans="1:11" ht="12.75">
      <c r="A4485" s="69">
        <f ca="1">IFERROR(__xludf.DUMMYFUNCTION("""COMPUTED_VALUE"""),104278)</f>
        <v>104278</v>
      </c>
      <c r="B4485" s="4">
        <f ca="1">IFERROR(__xludf.DUMMYFUNCTION("""COMPUTED_VALUE"""),44790)</f>
        <v>44790</v>
      </c>
      <c r="C4485" t="str">
        <f ca="1">IFERROR(__xludf.DUMMYFUNCTION("""COMPUTED_VALUE"""),"ООО Лидер 163-СТР от 08.08.2022")</f>
        <v>ООО Лидер 163-СТР от 08.08.2022</v>
      </c>
      <c r="D44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5" t="str">
        <f ca="1">IFERROR(__xludf.DUMMYFUNCTION("""COMPUTED_VALUE"""),"Новый")</f>
        <v>Новый</v>
      </c>
      <c r="G4485" s="68"/>
      <c r="K4485" s="68"/>
    </row>
    <row r="4486" spans="1:11" ht="12.75">
      <c r="A4486" s="69">
        <f ca="1">IFERROR(__xludf.DUMMYFUNCTION("""COMPUTED_VALUE"""),104279)</f>
        <v>104279</v>
      </c>
      <c r="B4486" s="4">
        <f ca="1">IFERROR(__xludf.DUMMYFUNCTION("""COMPUTED_VALUE"""),44790)</f>
        <v>44790</v>
      </c>
      <c r="C4486" t="str">
        <f ca="1">IFERROR(__xludf.DUMMYFUNCTION("""COMPUTED_VALUE"""),"ООО Лидер 163-СТР от 08.08.2022")</f>
        <v>ООО Лидер 163-СТР от 08.08.2022</v>
      </c>
      <c r="D44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6" t="str">
        <f ca="1">IFERROR(__xludf.DUMMYFUNCTION("""COMPUTED_VALUE"""),"Новый")</f>
        <v>Новый</v>
      </c>
      <c r="G4486" s="68"/>
      <c r="K4486" s="68"/>
    </row>
    <row r="4487" spans="1:11" ht="12.75">
      <c r="A4487" s="69">
        <f ca="1">IFERROR(__xludf.DUMMYFUNCTION("""COMPUTED_VALUE"""),104280)</f>
        <v>104280</v>
      </c>
      <c r="B4487" s="4">
        <f ca="1">IFERROR(__xludf.DUMMYFUNCTION("""COMPUTED_VALUE"""),44790)</f>
        <v>44790</v>
      </c>
      <c r="C4487" t="str">
        <f ca="1">IFERROR(__xludf.DUMMYFUNCTION("""COMPUTED_VALUE"""),"ООО Лидер 163-СТР от 08.08.2022")</f>
        <v>ООО Лидер 163-СТР от 08.08.2022</v>
      </c>
      <c r="D44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7" t="str">
        <f ca="1">IFERROR(__xludf.DUMMYFUNCTION("""COMPUTED_VALUE"""),"Новый")</f>
        <v>Новый</v>
      </c>
      <c r="G4487" s="68"/>
      <c r="K4487" s="68"/>
    </row>
    <row r="4488" spans="1:11" ht="12.75">
      <c r="A4488" s="69">
        <f ca="1">IFERROR(__xludf.DUMMYFUNCTION("""COMPUTED_VALUE"""),104281)</f>
        <v>104281</v>
      </c>
      <c r="B4488" s="4">
        <f ca="1">IFERROR(__xludf.DUMMYFUNCTION("""COMPUTED_VALUE"""),44790)</f>
        <v>44790</v>
      </c>
      <c r="C4488" t="str">
        <f ca="1">IFERROR(__xludf.DUMMYFUNCTION("""COMPUTED_VALUE"""),"ООО Лидер 163-СТР от 08.08.2022")</f>
        <v>ООО Лидер 163-СТР от 08.08.2022</v>
      </c>
      <c r="D44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8" t="str">
        <f ca="1">IFERROR(__xludf.DUMMYFUNCTION("""COMPUTED_VALUE"""),"Новый")</f>
        <v>Новый</v>
      </c>
      <c r="G4488" s="68"/>
      <c r="K4488" s="68"/>
    </row>
    <row r="4489" spans="1:11" ht="12.75">
      <c r="A4489" s="69">
        <f ca="1">IFERROR(__xludf.DUMMYFUNCTION("""COMPUTED_VALUE"""),104282)</f>
        <v>104282</v>
      </c>
      <c r="B4489" s="4">
        <f ca="1">IFERROR(__xludf.DUMMYFUNCTION("""COMPUTED_VALUE"""),44790)</f>
        <v>44790</v>
      </c>
      <c r="C4489" t="str">
        <f ca="1">IFERROR(__xludf.DUMMYFUNCTION("""COMPUTED_VALUE"""),"ООО Лидер 163-СТР от 08.08.2022")</f>
        <v>ООО Лидер 163-СТР от 08.08.2022</v>
      </c>
      <c r="D44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89" t="str">
        <f ca="1">IFERROR(__xludf.DUMMYFUNCTION("""COMPUTED_VALUE"""),"Новый")</f>
        <v>Новый</v>
      </c>
      <c r="G4489" s="68"/>
      <c r="K4489" s="68"/>
    </row>
    <row r="4490" spans="1:11" ht="12.75">
      <c r="A4490" s="69">
        <f ca="1">IFERROR(__xludf.DUMMYFUNCTION("""COMPUTED_VALUE"""),104283)</f>
        <v>104283</v>
      </c>
      <c r="B4490" s="4">
        <f ca="1">IFERROR(__xludf.DUMMYFUNCTION("""COMPUTED_VALUE"""),44790)</f>
        <v>44790</v>
      </c>
      <c r="C4490" t="str">
        <f ca="1">IFERROR(__xludf.DUMMYFUNCTION("""COMPUTED_VALUE"""),"ООО Лидер 163-СТР от 08.08.2022")</f>
        <v>ООО Лидер 163-СТР от 08.08.2022</v>
      </c>
      <c r="D44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0" t="str">
        <f ca="1">IFERROR(__xludf.DUMMYFUNCTION("""COMPUTED_VALUE"""),"Новый")</f>
        <v>Новый</v>
      </c>
      <c r="G4490" s="68"/>
      <c r="K4490" s="68"/>
    </row>
    <row r="4491" spans="1:11" ht="12.75">
      <c r="A4491" s="69">
        <f ca="1">IFERROR(__xludf.DUMMYFUNCTION("""COMPUTED_VALUE"""),104284)</f>
        <v>104284</v>
      </c>
      <c r="B4491" s="4">
        <f ca="1">IFERROR(__xludf.DUMMYFUNCTION("""COMPUTED_VALUE"""),44790)</f>
        <v>44790</v>
      </c>
      <c r="C4491" t="str">
        <f ca="1">IFERROR(__xludf.DUMMYFUNCTION("""COMPUTED_VALUE"""),"ООО Лидер 163-СТР от 08.08.2022")</f>
        <v>ООО Лидер 163-СТР от 08.08.2022</v>
      </c>
      <c r="D44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1" t="str">
        <f ca="1">IFERROR(__xludf.DUMMYFUNCTION("""COMPUTED_VALUE"""),"Новый")</f>
        <v>Новый</v>
      </c>
      <c r="G4491" s="68"/>
      <c r="K4491" s="68"/>
    </row>
    <row r="4492" spans="1:11" ht="12.75">
      <c r="A4492" s="69">
        <f ca="1">IFERROR(__xludf.DUMMYFUNCTION("""COMPUTED_VALUE"""),104285)</f>
        <v>104285</v>
      </c>
      <c r="B4492" s="4">
        <f ca="1">IFERROR(__xludf.DUMMYFUNCTION("""COMPUTED_VALUE"""),44790)</f>
        <v>44790</v>
      </c>
      <c r="C4492" t="str">
        <f ca="1">IFERROR(__xludf.DUMMYFUNCTION("""COMPUTED_VALUE"""),"ООО Лидер 163-СТР от 08.08.2022")</f>
        <v>ООО Лидер 163-СТР от 08.08.2022</v>
      </c>
      <c r="D44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2" t="str">
        <f ca="1">IFERROR(__xludf.DUMMYFUNCTION("""COMPUTED_VALUE"""),"Новый")</f>
        <v>Новый</v>
      </c>
      <c r="G4492" s="68"/>
      <c r="K4492" s="68"/>
    </row>
    <row r="4493" spans="1:11" ht="12.75">
      <c r="A4493" s="69">
        <f ca="1">IFERROR(__xludf.DUMMYFUNCTION("""COMPUTED_VALUE"""),104286)</f>
        <v>104286</v>
      </c>
      <c r="B4493" s="4">
        <f ca="1">IFERROR(__xludf.DUMMYFUNCTION("""COMPUTED_VALUE"""),44790)</f>
        <v>44790</v>
      </c>
      <c r="C4493" t="str">
        <f ca="1">IFERROR(__xludf.DUMMYFUNCTION("""COMPUTED_VALUE"""),"ООО Лидер 163-СТР от 08.08.2022")</f>
        <v>ООО Лидер 163-СТР от 08.08.2022</v>
      </c>
      <c r="D44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3" t="str">
        <f ca="1">IFERROR(__xludf.DUMMYFUNCTION("""COMPUTED_VALUE"""),"Новый")</f>
        <v>Новый</v>
      </c>
      <c r="G4493" s="68"/>
      <c r="K4493" s="68"/>
    </row>
    <row r="4494" spans="1:11" ht="12.75">
      <c r="A4494" s="69">
        <f ca="1">IFERROR(__xludf.DUMMYFUNCTION("""COMPUTED_VALUE"""),104287)</f>
        <v>104287</v>
      </c>
      <c r="B4494" s="4">
        <f ca="1">IFERROR(__xludf.DUMMYFUNCTION("""COMPUTED_VALUE"""),44790)</f>
        <v>44790</v>
      </c>
      <c r="C4494" t="str">
        <f ca="1">IFERROR(__xludf.DUMMYFUNCTION("""COMPUTED_VALUE"""),"ООО Лидер 163-СТР от 08.08.2022")</f>
        <v>ООО Лидер 163-СТР от 08.08.2022</v>
      </c>
      <c r="D44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4" t="str">
        <f ca="1">IFERROR(__xludf.DUMMYFUNCTION("""COMPUTED_VALUE"""),"Новый")</f>
        <v>Новый</v>
      </c>
      <c r="G4494" s="68"/>
      <c r="K4494" s="68"/>
    </row>
    <row r="4495" spans="1:11" ht="12.75">
      <c r="A4495" s="69">
        <f ca="1">IFERROR(__xludf.DUMMYFUNCTION("""COMPUTED_VALUE"""),104288)</f>
        <v>104288</v>
      </c>
      <c r="B4495" s="4">
        <f ca="1">IFERROR(__xludf.DUMMYFUNCTION("""COMPUTED_VALUE"""),44790)</f>
        <v>44790</v>
      </c>
      <c r="C4495" t="str">
        <f ca="1">IFERROR(__xludf.DUMMYFUNCTION("""COMPUTED_VALUE"""),"ООО Лидер 163-СТР от 08.08.2022")</f>
        <v>ООО Лидер 163-СТР от 08.08.2022</v>
      </c>
      <c r="D44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5" t="str">
        <f ca="1">IFERROR(__xludf.DUMMYFUNCTION("""COMPUTED_VALUE"""),"Новый")</f>
        <v>Новый</v>
      </c>
      <c r="G4495" s="68"/>
      <c r="K4495" s="68"/>
    </row>
    <row r="4496" spans="1:11" ht="12.75">
      <c r="A4496" s="69">
        <f ca="1">IFERROR(__xludf.DUMMYFUNCTION("""COMPUTED_VALUE"""),104289)</f>
        <v>104289</v>
      </c>
      <c r="B4496" s="4">
        <f ca="1">IFERROR(__xludf.DUMMYFUNCTION("""COMPUTED_VALUE"""),44790)</f>
        <v>44790</v>
      </c>
      <c r="C4496" t="str">
        <f ca="1">IFERROR(__xludf.DUMMYFUNCTION("""COMPUTED_VALUE"""),"ООО Лидер 163-СТР от 08.08.2022")</f>
        <v>ООО Лидер 163-СТР от 08.08.2022</v>
      </c>
      <c r="D44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6" t="str">
        <f ca="1">IFERROR(__xludf.DUMMYFUNCTION("""COMPUTED_VALUE"""),"Новый")</f>
        <v>Новый</v>
      </c>
      <c r="G4496" s="68"/>
      <c r="K4496" s="68"/>
    </row>
    <row r="4497" spans="1:11" ht="12.75">
      <c r="A4497" s="69">
        <f ca="1">IFERROR(__xludf.DUMMYFUNCTION("""COMPUTED_VALUE"""),104290)</f>
        <v>104290</v>
      </c>
      <c r="B4497" s="4">
        <f ca="1">IFERROR(__xludf.DUMMYFUNCTION("""COMPUTED_VALUE"""),44790)</f>
        <v>44790</v>
      </c>
      <c r="C4497" t="str">
        <f ca="1">IFERROR(__xludf.DUMMYFUNCTION("""COMPUTED_VALUE"""),"ООО Лидер 163-СТР от 08.08.2022")</f>
        <v>ООО Лидер 163-СТР от 08.08.2022</v>
      </c>
      <c r="D44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7" t="str">
        <f ca="1">IFERROR(__xludf.DUMMYFUNCTION("""COMPUTED_VALUE"""),"Новый")</f>
        <v>Новый</v>
      </c>
      <c r="G4497" s="68"/>
      <c r="K4497" s="68"/>
    </row>
    <row r="4498" spans="1:11" ht="12.75">
      <c r="A4498" s="69">
        <f ca="1">IFERROR(__xludf.DUMMYFUNCTION("""COMPUTED_VALUE"""),104291)</f>
        <v>104291</v>
      </c>
      <c r="B4498" s="4">
        <f ca="1">IFERROR(__xludf.DUMMYFUNCTION("""COMPUTED_VALUE"""),44790)</f>
        <v>44790</v>
      </c>
      <c r="C4498" t="str">
        <f ca="1">IFERROR(__xludf.DUMMYFUNCTION("""COMPUTED_VALUE"""),"ООО Лидер 163-СТР от 08.08.2022")</f>
        <v>ООО Лидер 163-СТР от 08.08.2022</v>
      </c>
      <c r="D44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8" t="str">
        <f ca="1">IFERROR(__xludf.DUMMYFUNCTION("""COMPUTED_VALUE"""),"Новый")</f>
        <v>Новый</v>
      </c>
      <c r="G4498" s="68"/>
      <c r="K4498" s="68"/>
    </row>
    <row r="4499" spans="1:11" ht="12.75">
      <c r="A4499" s="69">
        <f ca="1">IFERROR(__xludf.DUMMYFUNCTION("""COMPUTED_VALUE"""),104292)</f>
        <v>104292</v>
      </c>
      <c r="B4499" s="4">
        <f ca="1">IFERROR(__xludf.DUMMYFUNCTION("""COMPUTED_VALUE"""),44790)</f>
        <v>44790</v>
      </c>
      <c r="C4499" t="str">
        <f ca="1">IFERROR(__xludf.DUMMYFUNCTION("""COMPUTED_VALUE"""),"ООО Лидер 163-СТР от 08.08.2022")</f>
        <v>ООО Лидер 163-СТР от 08.08.2022</v>
      </c>
      <c r="D44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499" t="str">
        <f ca="1">IFERROR(__xludf.DUMMYFUNCTION("""COMPUTED_VALUE"""),"Новый")</f>
        <v>Новый</v>
      </c>
      <c r="G4499" s="68"/>
      <c r="K4499" s="68"/>
    </row>
    <row r="4500" spans="1:11" ht="12.75">
      <c r="A4500" s="69">
        <f ca="1">IFERROR(__xludf.DUMMYFUNCTION("""COMPUTED_VALUE"""),104293)</f>
        <v>104293</v>
      </c>
      <c r="B4500" s="4">
        <f ca="1">IFERROR(__xludf.DUMMYFUNCTION("""COMPUTED_VALUE"""),44790)</f>
        <v>44790</v>
      </c>
      <c r="C4500" t="str">
        <f ca="1">IFERROR(__xludf.DUMMYFUNCTION("""COMPUTED_VALUE"""),"ООО Лидер 163-СТР от 08.08.2022")</f>
        <v>ООО Лидер 163-СТР от 08.08.2022</v>
      </c>
      <c r="D45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0" t="str">
        <f ca="1">IFERROR(__xludf.DUMMYFUNCTION("""COMPUTED_VALUE"""),"Новый")</f>
        <v>Новый</v>
      </c>
      <c r="G4500" s="68"/>
      <c r="K4500" s="68"/>
    </row>
    <row r="4501" spans="1:11" ht="12.75">
      <c r="A4501" s="69">
        <f ca="1">IFERROR(__xludf.DUMMYFUNCTION("""COMPUTED_VALUE"""),104294)</f>
        <v>104294</v>
      </c>
      <c r="B4501" s="4">
        <f ca="1">IFERROR(__xludf.DUMMYFUNCTION("""COMPUTED_VALUE"""),44790)</f>
        <v>44790</v>
      </c>
      <c r="C4501" t="str">
        <f ca="1">IFERROR(__xludf.DUMMYFUNCTION("""COMPUTED_VALUE"""),"ООО Лидер 163-СТР от 08.08.2022")</f>
        <v>ООО Лидер 163-СТР от 08.08.2022</v>
      </c>
      <c r="D45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1" t="str">
        <f ca="1">IFERROR(__xludf.DUMMYFUNCTION("""COMPUTED_VALUE"""),"Новый")</f>
        <v>Новый</v>
      </c>
      <c r="G4501" s="68"/>
      <c r="K4501" s="68"/>
    </row>
    <row r="4502" spans="1:11" ht="12.75">
      <c r="A4502" s="69">
        <f ca="1">IFERROR(__xludf.DUMMYFUNCTION("""COMPUTED_VALUE"""),104295)</f>
        <v>104295</v>
      </c>
      <c r="B4502" s="4">
        <f ca="1">IFERROR(__xludf.DUMMYFUNCTION("""COMPUTED_VALUE"""),44790)</f>
        <v>44790</v>
      </c>
      <c r="C4502" t="str">
        <f ca="1">IFERROR(__xludf.DUMMYFUNCTION("""COMPUTED_VALUE"""),"ООО Лидер 163-СТР от 08.08.2022")</f>
        <v>ООО Лидер 163-СТР от 08.08.2022</v>
      </c>
      <c r="D45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2" t="str">
        <f ca="1">IFERROR(__xludf.DUMMYFUNCTION("""COMPUTED_VALUE"""),"Новый")</f>
        <v>Новый</v>
      </c>
      <c r="G4502" s="68"/>
      <c r="K4502" s="68"/>
    </row>
    <row r="4503" spans="1:11" ht="12.75">
      <c r="A4503" s="69">
        <f ca="1">IFERROR(__xludf.DUMMYFUNCTION("""COMPUTED_VALUE"""),104296)</f>
        <v>104296</v>
      </c>
      <c r="B4503" s="4">
        <f ca="1">IFERROR(__xludf.DUMMYFUNCTION("""COMPUTED_VALUE"""),44790)</f>
        <v>44790</v>
      </c>
      <c r="C4503" t="str">
        <f ca="1">IFERROR(__xludf.DUMMYFUNCTION("""COMPUTED_VALUE"""),"ООО Лидер 163-СТР от 08.08.2022")</f>
        <v>ООО Лидер 163-СТР от 08.08.2022</v>
      </c>
      <c r="D45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3" t="str">
        <f ca="1">IFERROR(__xludf.DUMMYFUNCTION("""COMPUTED_VALUE"""),"Новый")</f>
        <v>Новый</v>
      </c>
      <c r="G4503" s="68"/>
      <c r="K4503" s="68"/>
    </row>
    <row r="4504" spans="1:11" ht="12.75">
      <c r="A4504" s="69">
        <f ca="1">IFERROR(__xludf.DUMMYFUNCTION("""COMPUTED_VALUE"""),104297)</f>
        <v>104297</v>
      </c>
      <c r="B4504" s="4">
        <f ca="1">IFERROR(__xludf.DUMMYFUNCTION("""COMPUTED_VALUE"""),44790)</f>
        <v>44790</v>
      </c>
      <c r="C4504" t="str">
        <f ca="1">IFERROR(__xludf.DUMMYFUNCTION("""COMPUTED_VALUE"""),"ООО Лидер 163-СТР от 08.08.2022")</f>
        <v>ООО Лидер 163-СТР от 08.08.2022</v>
      </c>
      <c r="D45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4" t="str">
        <f ca="1">IFERROR(__xludf.DUMMYFUNCTION("""COMPUTED_VALUE"""),"Новый")</f>
        <v>Новый</v>
      </c>
      <c r="G4504" s="68"/>
      <c r="K4504" s="68"/>
    </row>
    <row r="4505" spans="1:11" ht="12.75">
      <c r="A4505" s="69">
        <f ca="1">IFERROR(__xludf.DUMMYFUNCTION("""COMPUTED_VALUE"""),104298)</f>
        <v>104298</v>
      </c>
      <c r="B4505" s="4">
        <f ca="1">IFERROR(__xludf.DUMMYFUNCTION("""COMPUTED_VALUE"""),44790)</f>
        <v>44790</v>
      </c>
      <c r="C4505" t="str">
        <f ca="1">IFERROR(__xludf.DUMMYFUNCTION("""COMPUTED_VALUE"""),"ООО Лидер 163-СТР от 08.08.2022")</f>
        <v>ООО Лидер 163-СТР от 08.08.2022</v>
      </c>
      <c r="D45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5" t="str">
        <f ca="1">IFERROR(__xludf.DUMMYFUNCTION("""COMPUTED_VALUE"""),"Новый")</f>
        <v>Новый</v>
      </c>
      <c r="G4505" s="68"/>
      <c r="K4505" s="68"/>
    </row>
    <row r="4506" spans="1:11" ht="12.75">
      <c r="A4506" s="69">
        <f ca="1">IFERROR(__xludf.DUMMYFUNCTION("""COMPUTED_VALUE"""),104299)</f>
        <v>104299</v>
      </c>
      <c r="B4506" s="4">
        <f ca="1">IFERROR(__xludf.DUMMYFUNCTION("""COMPUTED_VALUE"""),44790)</f>
        <v>44790</v>
      </c>
      <c r="C4506" t="str">
        <f ca="1">IFERROR(__xludf.DUMMYFUNCTION("""COMPUTED_VALUE"""),"ООО Лидер 163-СТР от 08.08.2022")</f>
        <v>ООО Лидер 163-СТР от 08.08.2022</v>
      </c>
      <c r="D45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6" t="str">
        <f ca="1">IFERROR(__xludf.DUMMYFUNCTION("""COMPUTED_VALUE"""),"Новый")</f>
        <v>Новый</v>
      </c>
      <c r="G4506" s="68"/>
      <c r="K4506" s="68"/>
    </row>
    <row r="4507" spans="1:11" ht="12.75">
      <c r="A4507" s="69">
        <f ca="1">IFERROR(__xludf.DUMMYFUNCTION("""COMPUTED_VALUE"""),104300)</f>
        <v>104300</v>
      </c>
      <c r="B4507" s="4">
        <f ca="1">IFERROR(__xludf.DUMMYFUNCTION("""COMPUTED_VALUE"""),44790)</f>
        <v>44790</v>
      </c>
      <c r="C4507" t="str">
        <f ca="1">IFERROR(__xludf.DUMMYFUNCTION("""COMPUTED_VALUE"""),"ООО Лидер 163-СТР от 08.08.2022")</f>
        <v>ООО Лидер 163-СТР от 08.08.2022</v>
      </c>
      <c r="D45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7" t="str">
        <f ca="1">IFERROR(__xludf.DUMMYFUNCTION("""COMPUTED_VALUE"""),"Новый")</f>
        <v>Новый</v>
      </c>
      <c r="G4507" s="68"/>
      <c r="K4507" s="68"/>
    </row>
    <row r="4508" spans="1:11" ht="12.75">
      <c r="A4508" s="69">
        <f ca="1">IFERROR(__xludf.DUMMYFUNCTION("""COMPUTED_VALUE"""),104301)</f>
        <v>104301</v>
      </c>
      <c r="B4508" s="4">
        <f ca="1">IFERROR(__xludf.DUMMYFUNCTION("""COMPUTED_VALUE"""),44790)</f>
        <v>44790</v>
      </c>
      <c r="C4508" t="str">
        <f ca="1">IFERROR(__xludf.DUMMYFUNCTION("""COMPUTED_VALUE"""),"ООО Лидер 163-СТР от 08.08.2022")</f>
        <v>ООО Лидер 163-СТР от 08.08.2022</v>
      </c>
      <c r="D45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8" t="str">
        <f ca="1">IFERROR(__xludf.DUMMYFUNCTION("""COMPUTED_VALUE"""),"Новый")</f>
        <v>Новый</v>
      </c>
      <c r="G4508" s="68"/>
      <c r="K4508" s="68"/>
    </row>
    <row r="4509" spans="1:11" ht="12.75">
      <c r="A4509" s="69">
        <f ca="1">IFERROR(__xludf.DUMMYFUNCTION("""COMPUTED_VALUE"""),104302)</f>
        <v>104302</v>
      </c>
      <c r="B4509" s="4">
        <f ca="1">IFERROR(__xludf.DUMMYFUNCTION("""COMPUTED_VALUE"""),44790)</f>
        <v>44790</v>
      </c>
      <c r="C4509" t="str">
        <f ca="1">IFERROR(__xludf.DUMMYFUNCTION("""COMPUTED_VALUE"""),"ООО Лидер 163-СТР от 08.08.2022")</f>
        <v>ООО Лидер 163-СТР от 08.08.2022</v>
      </c>
      <c r="D45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09" t="str">
        <f ca="1">IFERROR(__xludf.DUMMYFUNCTION("""COMPUTED_VALUE"""),"Новый")</f>
        <v>Новый</v>
      </c>
      <c r="G4509" s="68"/>
      <c r="K4509" s="68"/>
    </row>
    <row r="4510" spans="1:11" ht="12.75">
      <c r="A4510" s="69">
        <f ca="1">IFERROR(__xludf.DUMMYFUNCTION("""COMPUTED_VALUE"""),104303)</f>
        <v>104303</v>
      </c>
      <c r="B4510" s="4">
        <f ca="1">IFERROR(__xludf.DUMMYFUNCTION("""COMPUTED_VALUE"""),44790)</f>
        <v>44790</v>
      </c>
      <c r="C4510" t="str">
        <f ca="1">IFERROR(__xludf.DUMMYFUNCTION("""COMPUTED_VALUE"""),"ООО Лидер 163-СТР от 08.08.2022")</f>
        <v>ООО Лидер 163-СТР от 08.08.2022</v>
      </c>
      <c r="D45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0" t="str">
        <f ca="1">IFERROR(__xludf.DUMMYFUNCTION("""COMPUTED_VALUE"""),"Новый")</f>
        <v>Новый</v>
      </c>
      <c r="G4510" s="68"/>
      <c r="K4510" s="68"/>
    </row>
    <row r="4511" spans="1:11" ht="12.75">
      <c r="A4511" s="69">
        <f ca="1">IFERROR(__xludf.DUMMYFUNCTION("""COMPUTED_VALUE"""),104314)</f>
        <v>104314</v>
      </c>
      <c r="B4511" s="4">
        <f ca="1">IFERROR(__xludf.DUMMYFUNCTION("""COMPUTED_VALUE"""),44790)</f>
        <v>44790</v>
      </c>
      <c r="C4511" t="str">
        <f ca="1">IFERROR(__xludf.DUMMYFUNCTION("""COMPUTED_VALUE"""),"ООО Лидер 163-СТР от 08.08.2022")</f>
        <v>ООО Лидер 163-СТР от 08.08.2022</v>
      </c>
      <c r="D45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1" t="str">
        <f ca="1">IFERROR(__xludf.DUMMYFUNCTION("""COMPUTED_VALUE"""),"Новый")</f>
        <v>Новый</v>
      </c>
      <c r="G4511" s="68"/>
      <c r="K4511" s="68"/>
    </row>
    <row r="4512" spans="1:11" ht="12.75">
      <c r="A4512" s="69">
        <f ca="1">IFERROR(__xludf.DUMMYFUNCTION("""COMPUTED_VALUE"""),104316)</f>
        <v>104316</v>
      </c>
      <c r="B4512" s="4">
        <f ca="1">IFERROR(__xludf.DUMMYFUNCTION("""COMPUTED_VALUE"""),44790)</f>
        <v>44790</v>
      </c>
      <c r="C4512" t="str">
        <f ca="1">IFERROR(__xludf.DUMMYFUNCTION("""COMPUTED_VALUE"""),"ООО Лидер 163-СТР от 08.08.2022")</f>
        <v>ООО Лидер 163-СТР от 08.08.2022</v>
      </c>
      <c r="D45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2" t="str">
        <f ca="1">IFERROR(__xludf.DUMMYFUNCTION("""COMPUTED_VALUE"""),"Новый")</f>
        <v>Новый</v>
      </c>
      <c r="G4512" s="68"/>
      <c r="K4512" s="68"/>
    </row>
    <row r="4513" spans="1:11" ht="12.75">
      <c r="A4513" s="69">
        <f ca="1">IFERROR(__xludf.DUMMYFUNCTION("""COMPUTED_VALUE"""),104317)</f>
        <v>104317</v>
      </c>
      <c r="B4513" s="4">
        <f ca="1">IFERROR(__xludf.DUMMYFUNCTION("""COMPUTED_VALUE"""),44790)</f>
        <v>44790</v>
      </c>
      <c r="C4513" t="str">
        <f ca="1">IFERROR(__xludf.DUMMYFUNCTION("""COMPUTED_VALUE"""),"ООО Лидер 163-СТР от 08.08.2022")</f>
        <v>ООО Лидер 163-СТР от 08.08.2022</v>
      </c>
      <c r="D45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3" t="str">
        <f ca="1">IFERROR(__xludf.DUMMYFUNCTION("""COMPUTED_VALUE"""),"Новый")</f>
        <v>Новый</v>
      </c>
      <c r="G4513" s="68"/>
      <c r="K4513" s="68"/>
    </row>
    <row r="4514" spans="1:11" ht="12.75">
      <c r="A4514" s="69">
        <f ca="1">IFERROR(__xludf.DUMMYFUNCTION("""COMPUTED_VALUE"""),104318)</f>
        <v>104318</v>
      </c>
      <c r="B4514" s="4">
        <f ca="1">IFERROR(__xludf.DUMMYFUNCTION("""COMPUTED_VALUE"""),44790)</f>
        <v>44790</v>
      </c>
      <c r="C4514" t="str">
        <f ca="1">IFERROR(__xludf.DUMMYFUNCTION("""COMPUTED_VALUE"""),"ООО Лидер 163-СТР от 08.08.2022")</f>
        <v>ООО Лидер 163-СТР от 08.08.2022</v>
      </c>
      <c r="D45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4" t="str">
        <f ca="1">IFERROR(__xludf.DUMMYFUNCTION("""COMPUTED_VALUE"""),"Новый")</f>
        <v>Новый</v>
      </c>
      <c r="G4514" s="68"/>
      <c r="K4514" s="68"/>
    </row>
    <row r="4515" spans="1:11" ht="12.75">
      <c r="A4515" s="69">
        <f ca="1">IFERROR(__xludf.DUMMYFUNCTION("""COMPUTED_VALUE"""),104319)</f>
        <v>104319</v>
      </c>
      <c r="B4515" s="4">
        <f ca="1">IFERROR(__xludf.DUMMYFUNCTION("""COMPUTED_VALUE"""),44790)</f>
        <v>44790</v>
      </c>
      <c r="C4515" t="str">
        <f ca="1">IFERROR(__xludf.DUMMYFUNCTION("""COMPUTED_VALUE"""),"ООО Лидер 163-СТР от 08.08.2022")</f>
        <v>ООО Лидер 163-СТР от 08.08.2022</v>
      </c>
      <c r="D45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5" t="str">
        <f ca="1">IFERROR(__xludf.DUMMYFUNCTION("""COMPUTED_VALUE"""),"Новый")</f>
        <v>Новый</v>
      </c>
      <c r="G4515" s="68"/>
      <c r="K4515" s="68"/>
    </row>
    <row r="4516" spans="1:11" ht="12.75">
      <c r="A4516" s="69">
        <f ca="1">IFERROR(__xludf.DUMMYFUNCTION("""COMPUTED_VALUE"""),104320)</f>
        <v>104320</v>
      </c>
      <c r="B4516" s="4">
        <f ca="1">IFERROR(__xludf.DUMMYFUNCTION("""COMPUTED_VALUE"""),44790)</f>
        <v>44790</v>
      </c>
      <c r="C4516" t="str">
        <f ca="1">IFERROR(__xludf.DUMMYFUNCTION("""COMPUTED_VALUE"""),"ООО Лидер 163-СТР от 08.08.2022")</f>
        <v>ООО Лидер 163-СТР от 08.08.2022</v>
      </c>
      <c r="D45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6" t="str">
        <f ca="1">IFERROR(__xludf.DUMMYFUNCTION("""COMPUTED_VALUE"""),"Новый")</f>
        <v>Новый</v>
      </c>
      <c r="G4516" s="68"/>
      <c r="K4516" s="68"/>
    </row>
    <row r="4517" spans="1:11" ht="12.75">
      <c r="A4517" s="69">
        <f ca="1">IFERROR(__xludf.DUMMYFUNCTION("""COMPUTED_VALUE"""),104321)</f>
        <v>104321</v>
      </c>
      <c r="B4517" s="4">
        <f ca="1">IFERROR(__xludf.DUMMYFUNCTION("""COMPUTED_VALUE"""),44790)</f>
        <v>44790</v>
      </c>
      <c r="C4517" t="str">
        <f ca="1">IFERROR(__xludf.DUMMYFUNCTION("""COMPUTED_VALUE"""),"ООО Лидер 163-СТР от 08.08.2022")</f>
        <v>ООО Лидер 163-СТР от 08.08.2022</v>
      </c>
      <c r="D45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7" t="str">
        <f ca="1">IFERROR(__xludf.DUMMYFUNCTION("""COMPUTED_VALUE"""),"Новый")</f>
        <v>Новый</v>
      </c>
      <c r="G4517" s="68"/>
      <c r="K4517" s="68"/>
    </row>
    <row r="4518" spans="1:11" ht="12.75">
      <c r="A4518" s="69">
        <f ca="1">IFERROR(__xludf.DUMMYFUNCTION("""COMPUTED_VALUE"""),104323)</f>
        <v>104323</v>
      </c>
      <c r="B4518" s="4">
        <f ca="1">IFERROR(__xludf.DUMMYFUNCTION("""COMPUTED_VALUE"""),44790)</f>
        <v>44790</v>
      </c>
      <c r="C4518" t="str">
        <f ca="1">IFERROR(__xludf.DUMMYFUNCTION("""COMPUTED_VALUE"""),"ООО Лидер 163-СТР от 08.08.2022")</f>
        <v>ООО Лидер 163-СТР от 08.08.2022</v>
      </c>
      <c r="D45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8" t="str">
        <f ca="1">IFERROR(__xludf.DUMMYFUNCTION("""COMPUTED_VALUE"""),"Новый")</f>
        <v>Новый</v>
      </c>
      <c r="G4518" s="68"/>
      <c r="K4518" s="68"/>
    </row>
    <row r="4519" spans="1:11" ht="12.75">
      <c r="A4519" s="69">
        <f ca="1">IFERROR(__xludf.DUMMYFUNCTION("""COMPUTED_VALUE"""),104325)</f>
        <v>104325</v>
      </c>
      <c r="B4519" s="4">
        <f ca="1">IFERROR(__xludf.DUMMYFUNCTION("""COMPUTED_VALUE"""),44790)</f>
        <v>44790</v>
      </c>
      <c r="C4519" t="str">
        <f ca="1">IFERROR(__xludf.DUMMYFUNCTION("""COMPUTED_VALUE"""),"ООО Лидер 163-СТР от 08.08.2022")</f>
        <v>ООО Лидер 163-СТР от 08.08.2022</v>
      </c>
      <c r="D45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19" t="str">
        <f ca="1">IFERROR(__xludf.DUMMYFUNCTION("""COMPUTED_VALUE"""),"Новый")</f>
        <v>Новый</v>
      </c>
      <c r="G4519" s="68"/>
      <c r="K4519" s="68"/>
    </row>
    <row r="4520" spans="1:11" ht="12.75">
      <c r="A4520" s="69">
        <f ca="1">IFERROR(__xludf.DUMMYFUNCTION("""COMPUTED_VALUE"""),104327)</f>
        <v>104327</v>
      </c>
      <c r="B4520" s="4">
        <f ca="1">IFERROR(__xludf.DUMMYFUNCTION("""COMPUTED_VALUE"""),44790)</f>
        <v>44790</v>
      </c>
      <c r="C4520" t="str">
        <f ca="1">IFERROR(__xludf.DUMMYFUNCTION("""COMPUTED_VALUE"""),"ООО Лидер 163-СТР от 08.08.2022")</f>
        <v>ООО Лидер 163-СТР от 08.08.2022</v>
      </c>
      <c r="D45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0" t="str">
        <f ca="1">IFERROR(__xludf.DUMMYFUNCTION("""COMPUTED_VALUE"""),"Новый")</f>
        <v>Новый</v>
      </c>
      <c r="G4520" s="68"/>
      <c r="K4520" s="68"/>
    </row>
    <row r="4521" spans="1:11" ht="12.75">
      <c r="A4521" s="69">
        <f ca="1">IFERROR(__xludf.DUMMYFUNCTION("""COMPUTED_VALUE"""),104329)</f>
        <v>104329</v>
      </c>
      <c r="B4521" s="4">
        <f ca="1">IFERROR(__xludf.DUMMYFUNCTION("""COMPUTED_VALUE"""),44790)</f>
        <v>44790</v>
      </c>
      <c r="C4521" t="str">
        <f ca="1">IFERROR(__xludf.DUMMYFUNCTION("""COMPUTED_VALUE"""),"ООО Лидер 163-СТР от 08.08.2022")</f>
        <v>ООО Лидер 163-СТР от 08.08.2022</v>
      </c>
      <c r="D45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1" t="str">
        <f ca="1">IFERROR(__xludf.DUMMYFUNCTION("""COMPUTED_VALUE"""),"Новый")</f>
        <v>Новый</v>
      </c>
      <c r="G4521" s="68"/>
      <c r="K4521" s="68"/>
    </row>
    <row r="4522" spans="1:11" ht="12.75">
      <c r="A4522" s="69">
        <f ca="1">IFERROR(__xludf.DUMMYFUNCTION("""COMPUTED_VALUE"""),104350)</f>
        <v>104350</v>
      </c>
      <c r="B4522" s="4">
        <f ca="1">IFERROR(__xludf.DUMMYFUNCTION("""COMPUTED_VALUE"""),44791)</f>
        <v>44791</v>
      </c>
      <c r="C4522" t="str">
        <f ca="1">IFERROR(__xludf.DUMMYFUNCTION("""COMPUTED_VALUE"""),"ООО УК ""МИКРОРАЙОН ""РАДУГА"" 203-РДО от 26.07.2022")</f>
        <v>ООО УК "МИКРОРАЙОН "РАДУГА" 203-РДО от 26.07.2022</v>
      </c>
      <c r="D45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22" t="str">
        <f ca="1">IFERROR(__xludf.DUMMYFUNCTION("""COMPUTED_VALUE"""),"Новый")</f>
        <v>Новый</v>
      </c>
      <c r="G4522" s="68"/>
      <c r="K4522" s="68"/>
    </row>
    <row r="4523" spans="1:11" ht="12.75">
      <c r="A4523" s="69">
        <f ca="1">IFERROR(__xludf.DUMMYFUNCTION("""COMPUTED_VALUE"""),104351)</f>
        <v>104351</v>
      </c>
      <c r="B4523" s="4">
        <f ca="1">IFERROR(__xludf.DUMMYFUNCTION("""COMPUTED_VALUE"""),44791)</f>
        <v>44791</v>
      </c>
      <c r="C4523" t="str">
        <f ca="1">IFERROR(__xludf.DUMMYFUNCTION("""COMPUTED_VALUE"""),"ООО УК ""МИКРОРАЙОН ""РАДУГА"" 203-РДО от 26.07.2022")</f>
        <v>ООО УК "МИКРОРАЙОН "РАДУГА" 203-РДО от 26.07.2022</v>
      </c>
      <c r="D45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23" t="str">
        <f ca="1">IFERROR(__xludf.DUMMYFUNCTION("""COMPUTED_VALUE"""),"Новый")</f>
        <v>Новый</v>
      </c>
      <c r="G4523" s="68"/>
      <c r="K4523" s="68"/>
    </row>
    <row r="4524" spans="1:11" ht="12.75">
      <c r="A4524" s="69">
        <f ca="1">IFERROR(__xludf.DUMMYFUNCTION("""COMPUTED_VALUE"""),104352)</f>
        <v>104352</v>
      </c>
      <c r="B4524" s="4">
        <f ca="1">IFERROR(__xludf.DUMMYFUNCTION("""COMPUTED_VALUE"""),44791)</f>
        <v>44791</v>
      </c>
      <c r="C4524" t="str">
        <f ca="1">IFERROR(__xludf.DUMMYFUNCTION("""COMPUTED_VALUE"""),"ООО УК ""МИКРОРАЙОН ""РАДУГА"" 203-РДО от 26.07.2022")</f>
        <v>ООО УК "МИКРОРАЙОН "РАДУГА" 203-РДО от 26.07.2022</v>
      </c>
      <c r="D45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24" t="str">
        <f ca="1">IFERROR(__xludf.DUMMYFUNCTION("""COMPUTED_VALUE"""),"Новый")</f>
        <v>Новый</v>
      </c>
      <c r="G4524" s="68"/>
      <c r="K4524" s="68"/>
    </row>
    <row r="4525" spans="1:11" ht="12.75">
      <c r="A4525" s="69">
        <f ca="1">IFERROR(__xludf.DUMMYFUNCTION("""COMPUTED_VALUE"""),104353)</f>
        <v>104353</v>
      </c>
      <c r="B4525" s="4">
        <f ca="1">IFERROR(__xludf.DUMMYFUNCTION("""COMPUTED_VALUE"""),44791)</f>
        <v>44791</v>
      </c>
      <c r="C4525" t="str">
        <f ca="1">IFERROR(__xludf.DUMMYFUNCTION("""COMPUTED_VALUE"""),"ООО УК ""МИКРОРАЙОН ""РАДУГА"" 203-РДО от 26.07.2022")</f>
        <v>ООО УК "МИКРОРАЙОН "РАДУГА" 203-РДО от 26.07.2022</v>
      </c>
      <c r="D45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25" t="str">
        <f ca="1">IFERROR(__xludf.DUMMYFUNCTION("""COMPUTED_VALUE"""),"Новый")</f>
        <v>Новый</v>
      </c>
      <c r="G4525" s="68"/>
      <c r="K4525" s="68"/>
    </row>
    <row r="4526" spans="1:11" ht="12.75">
      <c r="A4526" s="69">
        <f ca="1">IFERROR(__xludf.DUMMYFUNCTION("""COMPUTED_VALUE"""),104370)</f>
        <v>104370</v>
      </c>
      <c r="B4526" s="4">
        <f ca="1">IFERROR(__xludf.DUMMYFUNCTION("""COMPUTED_VALUE"""),44792)</f>
        <v>44792</v>
      </c>
      <c r="C4526" t="str">
        <f ca="1">IFERROR(__xludf.DUMMYFUNCTION("""COMPUTED_VALUE"""),"ООО СМУ-2 169-СТР от 16.08.2022")</f>
        <v>ООО СМУ-2 169-СТР от 16.08.2022</v>
      </c>
      <c r="D45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6" t="str">
        <f ca="1">IFERROR(__xludf.DUMMYFUNCTION("""COMPUTED_VALUE"""),"Новый")</f>
        <v>Новый</v>
      </c>
      <c r="G4526" s="68"/>
      <c r="K4526" s="68"/>
    </row>
    <row r="4527" spans="1:11" ht="12.75">
      <c r="A4527" s="69">
        <f ca="1">IFERROR(__xludf.DUMMYFUNCTION("""COMPUTED_VALUE"""),104371)</f>
        <v>104371</v>
      </c>
      <c r="B4527" s="4">
        <f ca="1">IFERROR(__xludf.DUMMYFUNCTION("""COMPUTED_VALUE"""),44792)</f>
        <v>44792</v>
      </c>
      <c r="C4527" t="str">
        <f ca="1">IFERROR(__xludf.DUMMYFUNCTION("""COMPUTED_VALUE"""),"ООО СМУ-2 169-СТР от 16.08.2022")</f>
        <v>ООО СМУ-2 169-СТР от 16.08.2022</v>
      </c>
      <c r="D45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7" t="str">
        <f ca="1">IFERROR(__xludf.DUMMYFUNCTION("""COMPUTED_VALUE"""),"Новый")</f>
        <v>Новый</v>
      </c>
      <c r="G4527" s="68"/>
      <c r="K4527" s="68"/>
    </row>
    <row r="4528" spans="1:11" ht="12.75">
      <c r="A4528" s="69">
        <f ca="1">IFERROR(__xludf.DUMMYFUNCTION("""COMPUTED_VALUE"""),104372)</f>
        <v>104372</v>
      </c>
      <c r="B4528" s="4">
        <f ca="1">IFERROR(__xludf.DUMMYFUNCTION("""COMPUTED_VALUE"""),44792)</f>
        <v>44792</v>
      </c>
      <c r="C4528" t="str">
        <f ca="1">IFERROR(__xludf.DUMMYFUNCTION("""COMPUTED_VALUE"""),"ООО СМУ-2 169-СТР от 16.08.2022")</f>
        <v>ООО СМУ-2 169-СТР от 16.08.2022</v>
      </c>
      <c r="D45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8" t="str">
        <f ca="1">IFERROR(__xludf.DUMMYFUNCTION("""COMPUTED_VALUE"""),"Новый")</f>
        <v>Новый</v>
      </c>
      <c r="G4528" s="68"/>
      <c r="K4528" s="68"/>
    </row>
    <row r="4529" spans="1:11" ht="12.75">
      <c r="A4529" s="69">
        <f ca="1">IFERROR(__xludf.DUMMYFUNCTION("""COMPUTED_VALUE"""),104373)</f>
        <v>104373</v>
      </c>
      <c r="B4529" s="4">
        <f ca="1">IFERROR(__xludf.DUMMYFUNCTION("""COMPUTED_VALUE"""),44792)</f>
        <v>44792</v>
      </c>
      <c r="C4529" t="str">
        <f ca="1">IFERROR(__xludf.DUMMYFUNCTION("""COMPUTED_VALUE"""),"ООО СМУ-2 169-СТР от 16.08.2022")</f>
        <v>ООО СМУ-2 169-СТР от 16.08.2022</v>
      </c>
      <c r="D45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29" t="str">
        <f ca="1">IFERROR(__xludf.DUMMYFUNCTION("""COMPUTED_VALUE"""),"Новый")</f>
        <v>Новый</v>
      </c>
      <c r="G4529" s="68"/>
      <c r="K4529" s="68"/>
    </row>
    <row r="4530" spans="1:11" ht="12.75">
      <c r="A4530" s="69">
        <f ca="1">IFERROR(__xludf.DUMMYFUNCTION("""COMPUTED_VALUE"""),104374)</f>
        <v>104374</v>
      </c>
      <c r="B4530" s="4">
        <f ca="1">IFERROR(__xludf.DUMMYFUNCTION("""COMPUTED_VALUE"""),44792)</f>
        <v>44792</v>
      </c>
      <c r="C4530" t="str">
        <f ca="1">IFERROR(__xludf.DUMMYFUNCTION("""COMPUTED_VALUE"""),"ООО СМУ-2 169-СТР от 16.08.2022")</f>
        <v>ООО СМУ-2 169-СТР от 16.08.2022</v>
      </c>
      <c r="D45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0" t="str">
        <f ca="1">IFERROR(__xludf.DUMMYFUNCTION("""COMPUTED_VALUE"""),"Новый")</f>
        <v>Новый</v>
      </c>
      <c r="G4530" s="68"/>
      <c r="K4530" s="68"/>
    </row>
    <row r="4531" spans="1:11" ht="12.75">
      <c r="A4531" s="69">
        <f ca="1">IFERROR(__xludf.DUMMYFUNCTION("""COMPUTED_VALUE"""),104375)</f>
        <v>104375</v>
      </c>
      <c r="B4531" s="4">
        <f ca="1">IFERROR(__xludf.DUMMYFUNCTION("""COMPUTED_VALUE"""),44792)</f>
        <v>44792</v>
      </c>
      <c r="C4531" t="str">
        <f ca="1">IFERROR(__xludf.DUMMYFUNCTION("""COMPUTED_VALUE"""),"ООО СМУ-2 169-СТР от 16.08.2022")</f>
        <v>ООО СМУ-2 169-СТР от 16.08.2022</v>
      </c>
      <c r="D45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1" t="str">
        <f ca="1">IFERROR(__xludf.DUMMYFUNCTION("""COMPUTED_VALUE"""),"Новый")</f>
        <v>Новый</v>
      </c>
      <c r="G4531" s="68"/>
      <c r="K4531" s="68"/>
    </row>
    <row r="4532" spans="1:11" ht="12.75">
      <c r="A4532" s="69">
        <f ca="1">IFERROR(__xludf.DUMMYFUNCTION("""COMPUTED_VALUE"""),104376)</f>
        <v>104376</v>
      </c>
      <c r="B4532" s="4">
        <f ca="1">IFERROR(__xludf.DUMMYFUNCTION("""COMPUTED_VALUE"""),44792)</f>
        <v>44792</v>
      </c>
      <c r="C4532" t="str">
        <f ca="1">IFERROR(__xludf.DUMMYFUNCTION("""COMPUTED_VALUE"""),"ООО СМУ-2 169-СТР от 16.08.2022")</f>
        <v>ООО СМУ-2 169-СТР от 16.08.2022</v>
      </c>
      <c r="D45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2" t="str">
        <f ca="1">IFERROR(__xludf.DUMMYFUNCTION("""COMPUTED_VALUE"""),"Новый")</f>
        <v>Новый</v>
      </c>
      <c r="G4532" s="68"/>
      <c r="K4532" s="68"/>
    </row>
    <row r="4533" spans="1:11" ht="12.75">
      <c r="A4533" s="69">
        <f ca="1">IFERROR(__xludf.DUMMYFUNCTION("""COMPUTED_VALUE"""),104377)</f>
        <v>104377</v>
      </c>
      <c r="B4533" s="4">
        <f ca="1">IFERROR(__xludf.DUMMYFUNCTION("""COMPUTED_VALUE"""),44792)</f>
        <v>44792</v>
      </c>
      <c r="C4533" t="str">
        <f ca="1">IFERROR(__xludf.DUMMYFUNCTION("""COMPUTED_VALUE"""),"ООО СМУ-2 169-СТР от 16.08.2022")</f>
        <v>ООО СМУ-2 169-СТР от 16.08.2022</v>
      </c>
      <c r="D45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3" t="str">
        <f ca="1">IFERROR(__xludf.DUMMYFUNCTION("""COMPUTED_VALUE"""),"Новый")</f>
        <v>Новый</v>
      </c>
      <c r="G4533" s="68"/>
      <c r="K4533" s="68"/>
    </row>
    <row r="4534" spans="1:11" ht="12.75">
      <c r="A4534" s="69">
        <f ca="1">IFERROR(__xludf.DUMMYFUNCTION("""COMPUTED_VALUE"""),104378)</f>
        <v>104378</v>
      </c>
      <c r="B4534" s="4">
        <f ca="1">IFERROR(__xludf.DUMMYFUNCTION("""COMPUTED_VALUE"""),44792)</f>
        <v>44792</v>
      </c>
      <c r="C4534" t="str">
        <f ca="1">IFERROR(__xludf.DUMMYFUNCTION("""COMPUTED_VALUE"""),"ООО СМУ-2 169-СТР от 16.08.2022")</f>
        <v>ООО СМУ-2 169-СТР от 16.08.2022</v>
      </c>
      <c r="D45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4" t="str">
        <f ca="1">IFERROR(__xludf.DUMMYFUNCTION("""COMPUTED_VALUE"""),"Новый")</f>
        <v>Новый</v>
      </c>
      <c r="G4534" s="68"/>
      <c r="K4534" s="68"/>
    </row>
    <row r="4535" spans="1:11" ht="12.75">
      <c r="A4535" s="69">
        <f ca="1">IFERROR(__xludf.DUMMYFUNCTION("""COMPUTED_VALUE"""),104379)</f>
        <v>104379</v>
      </c>
      <c r="B4535" s="4">
        <f ca="1">IFERROR(__xludf.DUMMYFUNCTION("""COMPUTED_VALUE"""),44792)</f>
        <v>44792</v>
      </c>
      <c r="C4535" t="str">
        <f ca="1">IFERROR(__xludf.DUMMYFUNCTION("""COMPUTED_VALUE"""),"ООО СМУ-2 169-СТР от 16.08.2022")</f>
        <v>ООО СМУ-2 169-СТР от 16.08.2022</v>
      </c>
      <c r="D45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5" t="str">
        <f ca="1">IFERROR(__xludf.DUMMYFUNCTION("""COMPUTED_VALUE"""),"Новый")</f>
        <v>Новый</v>
      </c>
      <c r="G4535" s="68"/>
      <c r="K4535" s="68"/>
    </row>
    <row r="4536" spans="1:11" ht="12.75">
      <c r="A4536" s="69">
        <f ca="1">IFERROR(__xludf.DUMMYFUNCTION("""COMPUTED_VALUE"""),104380)</f>
        <v>104380</v>
      </c>
      <c r="B4536" s="4">
        <f ca="1">IFERROR(__xludf.DUMMYFUNCTION("""COMPUTED_VALUE"""),44792)</f>
        <v>44792</v>
      </c>
      <c r="C4536" t="str">
        <f ca="1">IFERROR(__xludf.DUMMYFUNCTION("""COMPUTED_VALUE"""),"ООО СМУ-2 169-СТР от 16.08.2022")</f>
        <v>ООО СМУ-2 169-СТР от 16.08.2022</v>
      </c>
      <c r="D45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6" t="str">
        <f ca="1">IFERROR(__xludf.DUMMYFUNCTION("""COMPUTED_VALUE"""),"Новый")</f>
        <v>Новый</v>
      </c>
      <c r="G4536" s="68"/>
      <c r="K4536" s="68"/>
    </row>
    <row r="4537" spans="1:11" ht="12.75">
      <c r="A4537" s="69">
        <f ca="1">IFERROR(__xludf.DUMMYFUNCTION("""COMPUTED_VALUE"""),104381)</f>
        <v>104381</v>
      </c>
      <c r="B4537" s="4">
        <f ca="1">IFERROR(__xludf.DUMMYFUNCTION("""COMPUTED_VALUE"""),44792)</f>
        <v>44792</v>
      </c>
      <c r="C4537" t="str">
        <f ca="1">IFERROR(__xludf.DUMMYFUNCTION("""COMPUTED_VALUE"""),"ООО СМУ-2 169-СТР от 16.08.2022")</f>
        <v>ООО СМУ-2 169-СТР от 16.08.2022</v>
      </c>
      <c r="D45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7" t="str">
        <f ca="1">IFERROR(__xludf.DUMMYFUNCTION("""COMPUTED_VALUE"""),"Новый")</f>
        <v>Новый</v>
      </c>
      <c r="G4537" s="68"/>
      <c r="K4537" s="68"/>
    </row>
    <row r="4538" spans="1:11" ht="12.75">
      <c r="A4538" s="69">
        <f ca="1">IFERROR(__xludf.DUMMYFUNCTION("""COMPUTED_VALUE"""),104382)</f>
        <v>104382</v>
      </c>
      <c r="B4538" s="4">
        <f ca="1">IFERROR(__xludf.DUMMYFUNCTION("""COMPUTED_VALUE"""),44792)</f>
        <v>44792</v>
      </c>
      <c r="C4538" t="str">
        <f ca="1">IFERROR(__xludf.DUMMYFUNCTION("""COMPUTED_VALUE"""),"ООО СМУ-2 169-СТР от 16.08.2022")</f>
        <v>ООО СМУ-2 169-СТР от 16.08.2022</v>
      </c>
      <c r="D45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8" t="str">
        <f ca="1">IFERROR(__xludf.DUMMYFUNCTION("""COMPUTED_VALUE"""),"Новый")</f>
        <v>Новый</v>
      </c>
      <c r="G4538" s="68"/>
      <c r="K4538" s="68"/>
    </row>
    <row r="4539" spans="1:11" ht="12.75">
      <c r="A4539" s="69">
        <f ca="1">IFERROR(__xludf.DUMMYFUNCTION("""COMPUTED_VALUE"""),104383)</f>
        <v>104383</v>
      </c>
      <c r="B4539" s="4">
        <f ca="1">IFERROR(__xludf.DUMMYFUNCTION("""COMPUTED_VALUE"""),44792)</f>
        <v>44792</v>
      </c>
      <c r="C4539" t="str">
        <f ca="1">IFERROR(__xludf.DUMMYFUNCTION("""COMPUTED_VALUE"""),"ООО СМУ-2 169-СТР от 16.08.2022")</f>
        <v>ООО СМУ-2 169-СТР от 16.08.2022</v>
      </c>
      <c r="D45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39" t="str">
        <f ca="1">IFERROR(__xludf.DUMMYFUNCTION("""COMPUTED_VALUE"""),"Новый")</f>
        <v>Новый</v>
      </c>
      <c r="G4539" s="68"/>
      <c r="K4539" s="68"/>
    </row>
    <row r="4540" spans="1:11" ht="12.75">
      <c r="A4540" s="69">
        <f ca="1">IFERROR(__xludf.DUMMYFUNCTION("""COMPUTED_VALUE"""),104384)</f>
        <v>104384</v>
      </c>
      <c r="B4540" s="4">
        <f ca="1">IFERROR(__xludf.DUMMYFUNCTION("""COMPUTED_VALUE"""),44792)</f>
        <v>44792</v>
      </c>
      <c r="C4540" t="str">
        <f ca="1">IFERROR(__xludf.DUMMYFUNCTION("""COMPUTED_VALUE"""),"ООО СМУ-2 169-СТР от 16.08.2022")</f>
        <v>ООО СМУ-2 169-СТР от 16.08.2022</v>
      </c>
      <c r="D45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0" t="str">
        <f ca="1">IFERROR(__xludf.DUMMYFUNCTION("""COMPUTED_VALUE"""),"Новый")</f>
        <v>Новый</v>
      </c>
      <c r="G4540" s="68"/>
      <c r="K4540" s="68"/>
    </row>
    <row r="4541" spans="1:11" ht="12.75">
      <c r="A4541" s="69">
        <f ca="1">IFERROR(__xludf.DUMMYFUNCTION("""COMPUTED_VALUE"""),104385)</f>
        <v>104385</v>
      </c>
      <c r="B4541" s="4">
        <f ca="1">IFERROR(__xludf.DUMMYFUNCTION("""COMPUTED_VALUE"""),44792)</f>
        <v>44792</v>
      </c>
      <c r="C4541" t="str">
        <f ca="1">IFERROR(__xludf.DUMMYFUNCTION("""COMPUTED_VALUE"""),"ООО СМУ-2 169-СТР от 16.08.2022")</f>
        <v>ООО СМУ-2 169-СТР от 16.08.2022</v>
      </c>
      <c r="D45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1" t="str">
        <f ca="1">IFERROR(__xludf.DUMMYFUNCTION("""COMPUTED_VALUE"""),"Новый")</f>
        <v>Новый</v>
      </c>
      <c r="G4541" s="68"/>
      <c r="K4541" s="68"/>
    </row>
    <row r="4542" spans="1:11" ht="12.75">
      <c r="A4542" s="69">
        <f ca="1">IFERROR(__xludf.DUMMYFUNCTION("""COMPUTED_VALUE"""),104386)</f>
        <v>104386</v>
      </c>
      <c r="B4542" s="4">
        <f ca="1">IFERROR(__xludf.DUMMYFUNCTION("""COMPUTED_VALUE"""),44792)</f>
        <v>44792</v>
      </c>
      <c r="C4542" t="str">
        <f ca="1">IFERROR(__xludf.DUMMYFUNCTION("""COMPUTED_VALUE"""),"ООО СМУ-2 169-СТР от 16.08.2022")</f>
        <v>ООО СМУ-2 169-СТР от 16.08.2022</v>
      </c>
      <c r="D45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2" t="str">
        <f ca="1">IFERROR(__xludf.DUMMYFUNCTION("""COMPUTED_VALUE"""),"Новый")</f>
        <v>Новый</v>
      </c>
      <c r="G4542" s="68"/>
      <c r="K4542" s="68"/>
    </row>
    <row r="4543" spans="1:11" ht="12.75">
      <c r="A4543" s="69">
        <f ca="1">IFERROR(__xludf.DUMMYFUNCTION("""COMPUTED_VALUE"""),104387)</f>
        <v>104387</v>
      </c>
      <c r="B4543" s="4">
        <f ca="1">IFERROR(__xludf.DUMMYFUNCTION("""COMPUTED_VALUE"""),44792)</f>
        <v>44792</v>
      </c>
      <c r="C4543" t="str">
        <f ca="1">IFERROR(__xludf.DUMMYFUNCTION("""COMPUTED_VALUE"""),"ООО СМУ-2 169-СТР от 16.08.2022")</f>
        <v>ООО СМУ-2 169-СТР от 16.08.2022</v>
      </c>
      <c r="D45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3" t="str">
        <f ca="1">IFERROR(__xludf.DUMMYFUNCTION("""COMPUTED_VALUE"""),"Новый")</f>
        <v>Новый</v>
      </c>
      <c r="G4543" s="68"/>
      <c r="K4543" s="68"/>
    </row>
    <row r="4544" spans="1:11" ht="12.75">
      <c r="A4544" s="69">
        <f ca="1">IFERROR(__xludf.DUMMYFUNCTION("""COMPUTED_VALUE"""),104388)</f>
        <v>104388</v>
      </c>
      <c r="B4544" s="4">
        <f ca="1">IFERROR(__xludf.DUMMYFUNCTION("""COMPUTED_VALUE"""),44792)</f>
        <v>44792</v>
      </c>
      <c r="C4544" t="str">
        <f ca="1">IFERROR(__xludf.DUMMYFUNCTION("""COMPUTED_VALUE"""),"ООО СМУ-2 169-СТР от 16.08.2022")</f>
        <v>ООО СМУ-2 169-СТР от 16.08.2022</v>
      </c>
      <c r="D45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4" t="str">
        <f ca="1">IFERROR(__xludf.DUMMYFUNCTION("""COMPUTED_VALUE"""),"Новый")</f>
        <v>Новый</v>
      </c>
      <c r="G4544" s="68"/>
      <c r="K4544" s="68"/>
    </row>
    <row r="4545" spans="1:11" ht="12.75">
      <c r="A4545" s="69">
        <f ca="1">IFERROR(__xludf.DUMMYFUNCTION("""COMPUTED_VALUE"""),104389)</f>
        <v>104389</v>
      </c>
      <c r="B4545" s="4">
        <f ca="1">IFERROR(__xludf.DUMMYFUNCTION("""COMPUTED_VALUE"""),44792)</f>
        <v>44792</v>
      </c>
      <c r="C4545" t="str">
        <f ca="1">IFERROR(__xludf.DUMMYFUNCTION("""COMPUTED_VALUE"""),"ООО СМУ-2 169-СТР от 16.08.2022")</f>
        <v>ООО СМУ-2 169-СТР от 16.08.2022</v>
      </c>
      <c r="D45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5" t="str">
        <f ca="1">IFERROR(__xludf.DUMMYFUNCTION("""COMPUTED_VALUE"""),"Новый")</f>
        <v>Новый</v>
      </c>
      <c r="G4545" s="68"/>
      <c r="K4545" s="68"/>
    </row>
    <row r="4546" spans="1:11" ht="12.75">
      <c r="A4546" s="69">
        <f ca="1">IFERROR(__xludf.DUMMYFUNCTION("""COMPUTED_VALUE"""),104390)</f>
        <v>104390</v>
      </c>
      <c r="B4546" s="4">
        <f ca="1">IFERROR(__xludf.DUMMYFUNCTION("""COMPUTED_VALUE"""),44792)</f>
        <v>44792</v>
      </c>
      <c r="C4546" t="str">
        <f ca="1">IFERROR(__xludf.DUMMYFUNCTION("""COMPUTED_VALUE"""),"ООО СМУ-2 169-СТР от 16.08.2022")</f>
        <v>ООО СМУ-2 169-СТР от 16.08.2022</v>
      </c>
      <c r="D45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6" t="str">
        <f ca="1">IFERROR(__xludf.DUMMYFUNCTION("""COMPUTED_VALUE"""),"Новый")</f>
        <v>Новый</v>
      </c>
      <c r="G4546" s="68"/>
      <c r="K4546" s="68"/>
    </row>
    <row r="4547" spans="1:11" ht="12.75">
      <c r="A4547" s="69">
        <f ca="1">IFERROR(__xludf.DUMMYFUNCTION("""COMPUTED_VALUE"""),104391)</f>
        <v>104391</v>
      </c>
      <c r="B4547" s="4">
        <f ca="1">IFERROR(__xludf.DUMMYFUNCTION("""COMPUTED_VALUE"""),44792)</f>
        <v>44792</v>
      </c>
      <c r="C4547" t="str">
        <f ca="1">IFERROR(__xludf.DUMMYFUNCTION("""COMPUTED_VALUE"""),"ООО СМУ-2 169-СТР от 16.08.2022")</f>
        <v>ООО СМУ-2 169-СТР от 16.08.2022</v>
      </c>
      <c r="D45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7" t="str">
        <f ca="1">IFERROR(__xludf.DUMMYFUNCTION("""COMPUTED_VALUE"""),"Новый")</f>
        <v>Новый</v>
      </c>
      <c r="G4547" s="68"/>
      <c r="K4547" s="68"/>
    </row>
    <row r="4548" spans="1:11" ht="12.75">
      <c r="A4548" s="69">
        <f ca="1">IFERROR(__xludf.DUMMYFUNCTION("""COMPUTED_VALUE"""),104392)</f>
        <v>104392</v>
      </c>
      <c r="B4548" s="4">
        <f ca="1">IFERROR(__xludf.DUMMYFUNCTION("""COMPUTED_VALUE"""),44792)</f>
        <v>44792</v>
      </c>
      <c r="C4548" t="str">
        <f ca="1">IFERROR(__xludf.DUMMYFUNCTION("""COMPUTED_VALUE"""),"ООО СМУ-2 169-СТР от 16.08.2022")</f>
        <v>ООО СМУ-2 169-СТР от 16.08.2022</v>
      </c>
      <c r="D45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8" t="str">
        <f ca="1">IFERROR(__xludf.DUMMYFUNCTION("""COMPUTED_VALUE"""),"Новый")</f>
        <v>Новый</v>
      </c>
      <c r="G4548" s="68"/>
      <c r="K4548" s="68"/>
    </row>
    <row r="4549" spans="1:11" ht="12.75">
      <c r="A4549" s="69">
        <f ca="1">IFERROR(__xludf.DUMMYFUNCTION("""COMPUTED_VALUE"""),104393)</f>
        <v>104393</v>
      </c>
      <c r="B4549" s="4">
        <f ca="1">IFERROR(__xludf.DUMMYFUNCTION("""COMPUTED_VALUE"""),44792)</f>
        <v>44792</v>
      </c>
      <c r="C4549" t="str">
        <f ca="1">IFERROR(__xludf.DUMMYFUNCTION("""COMPUTED_VALUE"""),"ООО СМУ-2 169-СТР от 16.08.2022")</f>
        <v>ООО СМУ-2 169-СТР от 16.08.2022</v>
      </c>
      <c r="D45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49" t="str">
        <f ca="1">IFERROR(__xludf.DUMMYFUNCTION("""COMPUTED_VALUE"""),"Новый")</f>
        <v>Новый</v>
      </c>
      <c r="G4549" s="68"/>
      <c r="K4549" s="68"/>
    </row>
    <row r="4550" spans="1:11" ht="12.75">
      <c r="A4550" s="69">
        <f ca="1">IFERROR(__xludf.DUMMYFUNCTION("""COMPUTED_VALUE"""),104394)</f>
        <v>104394</v>
      </c>
      <c r="B4550" s="4">
        <f ca="1">IFERROR(__xludf.DUMMYFUNCTION("""COMPUTED_VALUE"""),44792)</f>
        <v>44792</v>
      </c>
      <c r="C4550" t="str">
        <f ca="1">IFERROR(__xludf.DUMMYFUNCTION("""COMPUTED_VALUE"""),"ООО СМУ-2 169-СТР от 16.08.2022")</f>
        <v>ООО СМУ-2 169-СТР от 16.08.2022</v>
      </c>
      <c r="D45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0" t="str">
        <f ca="1">IFERROR(__xludf.DUMMYFUNCTION("""COMPUTED_VALUE"""),"Новый")</f>
        <v>Новый</v>
      </c>
      <c r="G4550" s="68"/>
      <c r="K4550" s="68"/>
    </row>
    <row r="4551" spans="1:11" ht="12.75">
      <c r="A4551" s="69">
        <f ca="1">IFERROR(__xludf.DUMMYFUNCTION("""COMPUTED_VALUE"""),104395)</f>
        <v>104395</v>
      </c>
      <c r="B4551" s="4">
        <f ca="1">IFERROR(__xludf.DUMMYFUNCTION("""COMPUTED_VALUE"""),44792)</f>
        <v>44792</v>
      </c>
      <c r="C4551" t="str">
        <f ca="1">IFERROR(__xludf.DUMMYFUNCTION("""COMPUTED_VALUE"""),"ООО СМУ-2 169-СТР от 16.08.2022")</f>
        <v>ООО СМУ-2 169-СТР от 16.08.2022</v>
      </c>
      <c r="D45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1" t="str">
        <f ca="1">IFERROR(__xludf.DUMMYFUNCTION("""COMPUTED_VALUE"""),"Новый")</f>
        <v>Новый</v>
      </c>
      <c r="G4551" s="68"/>
      <c r="K4551" s="68"/>
    </row>
    <row r="4552" spans="1:11" ht="12.75">
      <c r="A4552" s="69">
        <f ca="1">IFERROR(__xludf.DUMMYFUNCTION("""COMPUTED_VALUE"""),104396)</f>
        <v>104396</v>
      </c>
      <c r="B4552" s="4">
        <f ca="1">IFERROR(__xludf.DUMMYFUNCTION("""COMPUTED_VALUE"""),44792)</f>
        <v>44792</v>
      </c>
      <c r="C4552" t="str">
        <f ca="1">IFERROR(__xludf.DUMMYFUNCTION("""COMPUTED_VALUE"""),"ООО СМУ-2 169-СТР от 16.08.2022")</f>
        <v>ООО СМУ-2 169-СТР от 16.08.2022</v>
      </c>
      <c r="D45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2" t="str">
        <f ca="1">IFERROR(__xludf.DUMMYFUNCTION("""COMPUTED_VALUE"""),"Новый")</f>
        <v>Новый</v>
      </c>
      <c r="G4552" s="68"/>
      <c r="K4552" s="68"/>
    </row>
    <row r="4553" spans="1:11" ht="12.75">
      <c r="A4553" s="69">
        <f ca="1">IFERROR(__xludf.DUMMYFUNCTION("""COMPUTED_VALUE"""),104397)</f>
        <v>104397</v>
      </c>
      <c r="B4553" s="4">
        <f ca="1">IFERROR(__xludf.DUMMYFUNCTION("""COMPUTED_VALUE"""),44792)</f>
        <v>44792</v>
      </c>
      <c r="C4553" t="str">
        <f ca="1">IFERROR(__xludf.DUMMYFUNCTION("""COMPUTED_VALUE"""),"ООО СМУ-2 169-СТР от 16.08.2022")</f>
        <v>ООО СМУ-2 169-СТР от 16.08.2022</v>
      </c>
      <c r="D45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3" t="str">
        <f ca="1">IFERROR(__xludf.DUMMYFUNCTION("""COMPUTED_VALUE"""),"Новый")</f>
        <v>Новый</v>
      </c>
      <c r="G4553" s="68"/>
      <c r="K4553" s="68"/>
    </row>
    <row r="4554" spans="1:11" ht="12.75">
      <c r="A4554" s="69">
        <f ca="1">IFERROR(__xludf.DUMMYFUNCTION("""COMPUTED_VALUE"""),104398)</f>
        <v>104398</v>
      </c>
      <c r="B4554" s="4">
        <f ca="1">IFERROR(__xludf.DUMMYFUNCTION("""COMPUTED_VALUE"""),44792)</f>
        <v>44792</v>
      </c>
      <c r="C4554" t="str">
        <f ca="1">IFERROR(__xludf.DUMMYFUNCTION("""COMPUTED_VALUE"""),"ООО СМУ-2 169-СТР от 16.08.2022")</f>
        <v>ООО СМУ-2 169-СТР от 16.08.2022</v>
      </c>
      <c r="D45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4" t="str">
        <f ca="1">IFERROR(__xludf.DUMMYFUNCTION("""COMPUTED_VALUE"""),"Новый")</f>
        <v>Новый</v>
      </c>
      <c r="G4554" s="68"/>
      <c r="K4554" s="68"/>
    </row>
    <row r="4555" spans="1:11" ht="12.75">
      <c r="A4555" s="69">
        <f ca="1">IFERROR(__xludf.DUMMYFUNCTION("""COMPUTED_VALUE"""),104399)</f>
        <v>104399</v>
      </c>
      <c r="B4555" s="4">
        <f ca="1">IFERROR(__xludf.DUMMYFUNCTION("""COMPUTED_VALUE"""),44792)</f>
        <v>44792</v>
      </c>
      <c r="C4555" t="str">
        <f ca="1">IFERROR(__xludf.DUMMYFUNCTION("""COMPUTED_VALUE"""),"ООО СМУ-2 169-СТР от 16.08.2022")</f>
        <v>ООО СМУ-2 169-СТР от 16.08.2022</v>
      </c>
      <c r="D45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5" t="str">
        <f ca="1">IFERROR(__xludf.DUMMYFUNCTION("""COMPUTED_VALUE"""),"Новый")</f>
        <v>Новый</v>
      </c>
      <c r="G4555" s="68"/>
      <c r="K4555" s="68"/>
    </row>
    <row r="4556" spans="1:11" ht="12.75">
      <c r="A4556" s="69">
        <f ca="1">IFERROR(__xludf.DUMMYFUNCTION("""COMPUTED_VALUE"""),104401)</f>
        <v>104401</v>
      </c>
      <c r="B4556" s="4">
        <f ca="1">IFERROR(__xludf.DUMMYFUNCTION("""COMPUTED_VALUE"""),44792)</f>
        <v>44792</v>
      </c>
      <c r="C4556" t="str">
        <f ca="1">IFERROR(__xludf.DUMMYFUNCTION("""COMPUTED_VALUE"""),"ООО СМУ-2 169-СТР от 16.08.2022")</f>
        <v>ООО СМУ-2 169-СТР от 16.08.2022</v>
      </c>
      <c r="D45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6" t="str">
        <f ca="1">IFERROR(__xludf.DUMMYFUNCTION("""COMPUTED_VALUE"""),"Новый")</f>
        <v>Новый</v>
      </c>
      <c r="G4556" s="68"/>
      <c r="K4556" s="68"/>
    </row>
    <row r="4557" spans="1:11" ht="12.75">
      <c r="A4557" s="69">
        <f ca="1">IFERROR(__xludf.DUMMYFUNCTION("""COMPUTED_VALUE"""),104402)</f>
        <v>104402</v>
      </c>
      <c r="B4557" s="4">
        <f ca="1">IFERROR(__xludf.DUMMYFUNCTION("""COMPUTED_VALUE"""),44792)</f>
        <v>44792</v>
      </c>
      <c r="C4557" t="str">
        <f ca="1">IFERROR(__xludf.DUMMYFUNCTION("""COMPUTED_VALUE"""),"ООО СМУ-2 169-СТР от 16.08.2022")</f>
        <v>ООО СМУ-2 169-СТР от 16.08.2022</v>
      </c>
      <c r="D45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7" t="str">
        <f ca="1">IFERROR(__xludf.DUMMYFUNCTION("""COMPUTED_VALUE"""),"Новый")</f>
        <v>Новый</v>
      </c>
      <c r="G4557" s="68"/>
      <c r="K4557" s="68"/>
    </row>
    <row r="4558" spans="1:11" ht="12.75">
      <c r="A4558" s="69">
        <f ca="1">IFERROR(__xludf.DUMMYFUNCTION("""COMPUTED_VALUE"""),104403)</f>
        <v>104403</v>
      </c>
      <c r="B4558" s="4">
        <f ca="1">IFERROR(__xludf.DUMMYFUNCTION("""COMPUTED_VALUE"""),44792)</f>
        <v>44792</v>
      </c>
      <c r="C4558" t="str">
        <f ca="1">IFERROR(__xludf.DUMMYFUNCTION("""COMPUTED_VALUE"""),"ООО СМУ-2 169-СТР от 16.08.2022")</f>
        <v>ООО СМУ-2 169-СТР от 16.08.2022</v>
      </c>
      <c r="D45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8" t="str">
        <f ca="1">IFERROR(__xludf.DUMMYFUNCTION("""COMPUTED_VALUE"""),"Новый")</f>
        <v>Новый</v>
      </c>
      <c r="G4558" s="68"/>
      <c r="K4558" s="68"/>
    </row>
    <row r="4559" spans="1:11" ht="12.75">
      <c r="A4559" s="69">
        <f ca="1">IFERROR(__xludf.DUMMYFUNCTION("""COMPUTED_VALUE"""),104404)</f>
        <v>104404</v>
      </c>
      <c r="B4559" s="4">
        <f ca="1">IFERROR(__xludf.DUMMYFUNCTION("""COMPUTED_VALUE"""),44792)</f>
        <v>44792</v>
      </c>
      <c r="C4559" t="str">
        <f ca="1">IFERROR(__xludf.DUMMYFUNCTION("""COMPUTED_VALUE"""),"ООО СМУ-2 169-СТР от 16.08.2022")</f>
        <v>ООО СМУ-2 169-СТР от 16.08.2022</v>
      </c>
      <c r="D45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59" t="str">
        <f ca="1">IFERROR(__xludf.DUMMYFUNCTION("""COMPUTED_VALUE"""),"Новый")</f>
        <v>Новый</v>
      </c>
      <c r="G4559" s="68"/>
      <c r="K4559" s="68"/>
    </row>
    <row r="4560" spans="1:11" ht="12.75">
      <c r="A4560" s="69">
        <f ca="1">IFERROR(__xludf.DUMMYFUNCTION("""COMPUTED_VALUE"""),104405)</f>
        <v>104405</v>
      </c>
      <c r="B4560" s="4">
        <f ca="1">IFERROR(__xludf.DUMMYFUNCTION("""COMPUTED_VALUE"""),44792)</f>
        <v>44792</v>
      </c>
      <c r="C4560" t="str">
        <f ca="1">IFERROR(__xludf.DUMMYFUNCTION("""COMPUTED_VALUE"""),"ООО СМУ-2 169-СТР от 16.08.2022")</f>
        <v>ООО СМУ-2 169-СТР от 16.08.2022</v>
      </c>
      <c r="D45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0" t="str">
        <f ca="1">IFERROR(__xludf.DUMMYFUNCTION("""COMPUTED_VALUE"""),"Новый")</f>
        <v>Новый</v>
      </c>
      <c r="G4560" s="68"/>
      <c r="K4560" s="68"/>
    </row>
    <row r="4561" spans="1:11" ht="12.75">
      <c r="A4561" s="69">
        <f ca="1">IFERROR(__xludf.DUMMYFUNCTION("""COMPUTED_VALUE"""),104406)</f>
        <v>104406</v>
      </c>
      <c r="B4561" s="4">
        <f ca="1">IFERROR(__xludf.DUMMYFUNCTION("""COMPUTED_VALUE"""),44792)</f>
        <v>44792</v>
      </c>
      <c r="C4561" t="str">
        <f ca="1">IFERROR(__xludf.DUMMYFUNCTION("""COMPUTED_VALUE"""),"ООО СМУ-2 169-СТР от 16.08.2022")</f>
        <v>ООО СМУ-2 169-СТР от 16.08.2022</v>
      </c>
      <c r="D45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1" t="str">
        <f ca="1">IFERROR(__xludf.DUMMYFUNCTION("""COMPUTED_VALUE"""),"Новый")</f>
        <v>Новый</v>
      </c>
      <c r="G4561" s="68"/>
      <c r="K4561" s="68"/>
    </row>
    <row r="4562" spans="1:11" ht="12.75">
      <c r="A4562" s="69">
        <f ca="1">IFERROR(__xludf.DUMMYFUNCTION("""COMPUTED_VALUE"""),104407)</f>
        <v>104407</v>
      </c>
      <c r="B4562" s="4">
        <f ca="1">IFERROR(__xludf.DUMMYFUNCTION("""COMPUTED_VALUE"""),44792)</f>
        <v>44792</v>
      </c>
      <c r="C4562" t="str">
        <f ca="1">IFERROR(__xludf.DUMMYFUNCTION("""COMPUTED_VALUE"""),"ООО СМУ-2 169-СТР от 16.08.2022")</f>
        <v>ООО СМУ-2 169-СТР от 16.08.2022</v>
      </c>
      <c r="D45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2" t="str">
        <f ca="1">IFERROR(__xludf.DUMMYFUNCTION("""COMPUTED_VALUE"""),"Новый")</f>
        <v>Новый</v>
      </c>
      <c r="G4562" s="68"/>
      <c r="K4562" s="68"/>
    </row>
    <row r="4563" spans="1:11" ht="12.75">
      <c r="A4563" s="69">
        <f ca="1">IFERROR(__xludf.DUMMYFUNCTION("""COMPUTED_VALUE"""),104408)</f>
        <v>104408</v>
      </c>
      <c r="B4563" s="4">
        <f ca="1">IFERROR(__xludf.DUMMYFUNCTION("""COMPUTED_VALUE"""),44792)</f>
        <v>44792</v>
      </c>
      <c r="C4563" t="str">
        <f ca="1">IFERROR(__xludf.DUMMYFUNCTION("""COMPUTED_VALUE"""),"ООО СМУ-2 169-СТР от 16.08.2022")</f>
        <v>ООО СМУ-2 169-СТР от 16.08.2022</v>
      </c>
      <c r="D45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3" t="str">
        <f ca="1">IFERROR(__xludf.DUMMYFUNCTION("""COMPUTED_VALUE"""),"Новый")</f>
        <v>Новый</v>
      </c>
      <c r="G4563" s="68"/>
      <c r="K4563" s="68"/>
    </row>
    <row r="4564" spans="1:11" ht="12.75">
      <c r="A4564" s="69">
        <f ca="1">IFERROR(__xludf.DUMMYFUNCTION("""COMPUTED_VALUE"""),104409)</f>
        <v>104409</v>
      </c>
      <c r="B4564" s="4">
        <f ca="1">IFERROR(__xludf.DUMMYFUNCTION("""COMPUTED_VALUE"""),44792)</f>
        <v>44792</v>
      </c>
      <c r="C4564" t="str">
        <f ca="1">IFERROR(__xludf.DUMMYFUNCTION("""COMPUTED_VALUE"""),"ООО СМУ-2 169-СТР от 16.08.2022")</f>
        <v>ООО СМУ-2 169-СТР от 16.08.2022</v>
      </c>
      <c r="D45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4" t="str">
        <f ca="1">IFERROR(__xludf.DUMMYFUNCTION("""COMPUTED_VALUE"""),"Новый")</f>
        <v>Новый</v>
      </c>
      <c r="G4564" s="68"/>
      <c r="K4564" s="68"/>
    </row>
    <row r="4565" spans="1:11" ht="12.75">
      <c r="A4565" s="69">
        <f ca="1">IFERROR(__xludf.DUMMYFUNCTION("""COMPUTED_VALUE"""),104410)</f>
        <v>104410</v>
      </c>
      <c r="B4565" s="4">
        <f ca="1">IFERROR(__xludf.DUMMYFUNCTION("""COMPUTED_VALUE"""),44792)</f>
        <v>44792</v>
      </c>
      <c r="C4565" t="str">
        <f ca="1">IFERROR(__xludf.DUMMYFUNCTION("""COMPUTED_VALUE"""),"ООО СМУ-2 169-СТР от 16.08.2022")</f>
        <v>ООО СМУ-2 169-СТР от 16.08.2022</v>
      </c>
      <c r="D45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5" t="str">
        <f ca="1">IFERROR(__xludf.DUMMYFUNCTION("""COMPUTED_VALUE"""),"Новый")</f>
        <v>Новый</v>
      </c>
      <c r="G4565" s="68"/>
      <c r="K4565" s="68"/>
    </row>
    <row r="4566" spans="1:11" ht="12.75">
      <c r="A4566" s="69">
        <f ca="1">IFERROR(__xludf.DUMMYFUNCTION("""COMPUTED_VALUE"""),104411)</f>
        <v>104411</v>
      </c>
      <c r="B4566" s="4">
        <f ca="1">IFERROR(__xludf.DUMMYFUNCTION("""COMPUTED_VALUE"""),44792)</f>
        <v>44792</v>
      </c>
      <c r="C4566" t="str">
        <f ca="1">IFERROR(__xludf.DUMMYFUNCTION("""COMPUTED_VALUE"""),"ООО СМУ-2 169-СТР от 16.08.2022")</f>
        <v>ООО СМУ-2 169-СТР от 16.08.2022</v>
      </c>
      <c r="D45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6" t="str">
        <f ca="1">IFERROR(__xludf.DUMMYFUNCTION("""COMPUTED_VALUE"""),"Новый")</f>
        <v>Новый</v>
      </c>
      <c r="G4566" s="68"/>
      <c r="K4566" s="68"/>
    </row>
    <row r="4567" spans="1:11" ht="12.75">
      <c r="A4567" s="69">
        <f ca="1">IFERROR(__xludf.DUMMYFUNCTION("""COMPUTED_VALUE"""),104412)</f>
        <v>104412</v>
      </c>
      <c r="B4567" s="4">
        <f ca="1">IFERROR(__xludf.DUMMYFUNCTION("""COMPUTED_VALUE"""),44792)</f>
        <v>44792</v>
      </c>
      <c r="C4567" t="str">
        <f ca="1">IFERROR(__xludf.DUMMYFUNCTION("""COMPUTED_VALUE"""),"ООО СМУ-2 169-СТР от 16.08.2022")</f>
        <v>ООО СМУ-2 169-СТР от 16.08.2022</v>
      </c>
      <c r="D45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7" t="str">
        <f ca="1">IFERROR(__xludf.DUMMYFUNCTION("""COMPUTED_VALUE"""),"Новый")</f>
        <v>Новый</v>
      </c>
      <c r="G4567" s="68"/>
      <c r="K4567" s="68"/>
    </row>
    <row r="4568" spans="1:11" ht="12.75">
      <c r="A4568" s="69">
        <f ca="1">IFERROR(__xludf.DUMMYFUNCTION("""COMPUTED_VALUE"""),104413)</f>
        <v>104413</v>
      </c>
      <c r="B4568" s="4">
        <f ca="1">IFERROR(__xludf.DUMMYFUNCTION("""COMPUTED_VALUE"""),44792)</f>
        <v>44792</v>
      </c>
      <c r="C4568" t="str">
        <f ca="1">IFERROR(__xludf.DUMMYFUNCTION("""COMPUTED_VALUE"""),"ООО СМУ-2 169-СТР от 16.08.2022")</f>
        <v>ООО СМУ-2 169-СТР от 16.08.2022</v>
      </c>
      <c r="D45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8" t="str">
        <f ca="1">IFERROR(__xludf.DUMMYFUNCTION("""COMPUTED_VALUE"""),"Новый")</f>
        <v>Новый</v>
      </c>
      <c r="G4568" s="68"/>
      <c r="K4568" s="68"/>
    </row>
    <row r="4569" spans="1:11" ht="12.75">
      <c r="A4569" s="69">
        <f ca="1">IFERROR(__xludf.DUMMYFUNCTION("""COMPUTED_VALUE"""),104414)</f>
        <v>104414</v>
      </c>
      <c r="B4569" s="4">
        <f ca="1">IFERROR(__xludf.DUMMYFUNCTION("""COMPUTED_VALUE"""),44792)</f>
        <v>44792</v>
      </c>
      <c r="C4569" t="str">
        <f ca="1">IFERROR(__xludf.DUMMYFUNCTION("""COMPUTED_VALUE"""),"ООО СМУ-2 169-СТР от 16.08.2022")</f>
        <v>ООО СМУ-2 169-СТР от 16.08.2022</v>
      </c>
      <c r="D45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69" t="str">
        <f ca="1">IFERROR(__xludf.DUMMYFUNCTION("""COMPUTED_VALUE"""),"Новый")</f>
        <v>Новый</v>
      </c>
      <c r="G4569" s="68"/>
      <c r="K4569" s="68"/>
    </row>
    <row r="4570" spans="1:11" ht="12.75">
      <c r="A4570" s="69">
        <f ca="1">IFERROR(__xludf.DUMMYFUNCTION("""COMPUTED_VALUE"""),104415)</f>
        <v>104415</v>
      </c>
      <c r="B4570" s="4">
        <f ca="1">IFERROR(__xludf.DUMMYFUNCTION("""COMPUTED_VALUE"""),44792)</f>
        <v>44792</v>
      </c>
      <c r="C4570" t="str">
        <f ca="1">IFERROR(__xludf.DUMMYFUNCTION("""COMPUTED_VALUE"""),"ООО СМУ-2 169-СТР от 16.08.2022")</f>
        <v>ООО СМУ-2 169-СТР от 16.08.2022</v>
      </c>
      <c r="D45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0" t="str">
        <f ca="1">IFERROR(__xludf.DUMMYFUNCTION("""COMPUTED_VALUE"""),"Новый")</f>
        <v>Новый</v>
      </c>
      <c r="G4570" s="68"/>
      <c r="K4570" s="68"/>
    </row>
    <row r="4571" spans="1:11" ht="12.75">
      <c r="A4571" s="69">
        <f ca="1">IFERROR(__xludf.DUMMYFUNCTION("""COMPUTED_VALUE"""),104417)</f>
        <v>104417</v>
      </c>
      <c r="B4571" s="4">
        <f ca="1">IFERROR(__xludf.DUMMYFUNCTION("""COMPUTED_VALUE"""),44792)</f>
        <v>44792</v>
      </c>
      <c r="C4571" t="str">
        <f ca="1">IFERROR(__xludf.DUMMYFUNCTION("""COMPUTED_VALUE"""),"ООО СМУ-2 169-СТР от 16.08.2022")</f>
        <v>ООО СМУ-2 169-СТР от 16.08.2022</v>
      </c>
      <c r="D45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1" t="str">
        <f ca="1">IFERROR(__xludf.DUMMYFUNCTION("""COMPUTED_VALUE"""),"Новый")</f>
        <v>Новый</v>
      </c>
      <c r="G4571" s="68"/>
      <c r="K4571" s="68"/>
    </row>
    <row r="4572" spans="1:11" ht="12.75">
      <c r="A4572" s="69">
        <f ca="1">IFERROR(__xludf.DUMMYFUNCTION("""COMPUTED_VALUE"""),104418)</f>
        <v>104418</v>
      </c>
      <c r="B4572" s="4">
        <f ca="1">IFERROR(__xludf.DUMMYFUNCTION("""COMPUTED_VALUE"""),44792)</f>
        <v>44792</v>
      </c>
      <c r="C4572" t="str">
        <f ca="1">IFERROR(__xludf.DUMMYFUNCTION("""COMPUTED_VALUE"""),"ООО СМУ-2 169-СТР от 16.08.2022")</f>
        <v>ООО СМУ-2 169-СТР от 16.08.2022</v>
      </c>
      <c r="D45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2" t="str">
        <f ca="1">IFERROR(__xludf.DUMMYFUNCTION("""COMPUTED_VALUE"""),"Новый")</f>
        <v>Новый</v>
      </c>
      <c r="G4572" s="68"/>
      <c r="K4572" s="68"/>
    </row>
    <row r="4573" spans="1:11" ht="12.75">
      <c r="A4573" s="69">
        <f ca="1">IFERROR(__xludf.DUMMYFUNCTION("""COMPUTED_VALUE"""),104419)</f>
        <v>104419</v>
      </c>
      <c r="B4573" s="4">
        <f ca="1">IFERROR(__xludf.DUMMYFUNCTION("""COMPUTED_VALUE"""),44792)</f>
        <v>44792</v>
      </c>
      <c r="C4573" t="str">
        <f ca="1">IFERROR(__xludf.DUMMYFUNCTION("""COMPUTED_VALUE"""),"ООО СМУ-2 169-СТР от 16.08.2022")</f>
        <v>ООО СМУ-2 169-СТР от 16.08.2022</v>
      </c>
      <c r="D45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3" t="str">
        <f ca="1">IFERROR(__xludf.DUMMYFUNCTION("""COMPUTED_VALUE"""),"Новый")</f>
        <v>Новый</v>
      </c>
      <c r="G4573" s="68"/>
      <c r="K4573" s="68"/>
    </row>
    <row r="4574" spans="1:11" ht="12.75">
      <c r="A4574" s="69">
        <f ca="1">IFERROR(__xludf.DUMMYFUNCTION("""COMPUTED_VALUE"""),104420)</f>
        <v>104420</v>
      </c>
      <c r="B4574" s="4">
        <f ca="1">IFERROR(__xludf.DUMMYFUNCTION("""COMPUTED_VALUE"""),44795)</f>
        <v>44795</v>
      </c>
      <c r="C4574" t="str">
        <f ca="1">IFERROR(__xludf.DUMMYFUNCTION("""COMPUTED_VALUE"""),"ООО ""ТРАНССЕРВИС"" 159-СТР от 01.08.2022")</f>
        <v>ООО "ТРАНССЕРВИС" 159-СТР от 01.08.2022</v>
      </c>
      <c r="D45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4" t="str">
        <f ca="1">IFERROR(__xludf.DUMMYFUNCTION("""COMPUTED_VALUE"""),"Новый")</f>
        <v>Новый</v>
      </c>
      <c r="G4574" s="68"/>
      <c r="K4574" s="68"/>
    </row>
    <row r="4575" spans="1:11" ht="12.75">
      <c r="A4575" s="69">
        <f ca="1">IFERROR(__xludf.DUMMYFUNCTION("""COMPUTED_VALUE"""),104421)</f>
        <v>104421</v>
      </c>
      <c r="B4575" s="4">
        <f ca="1">IFERROR(__xludf.DUMMYFUNCTION("""COMPUTED_VALUE"""),44795)</f>
        <v>44795</v>
      </c>
      <c r="C4575" t="str">
        <f ca="1">IFERROR(__xludf.DUMMYFUNCTION("""COMPUTED_VALUE"""),"ООО ""ТРАНССЕРВИС"" 159-СТР от 01.08.2022")</f>
        <v>ООО "ТРАНССЕРВИС" 159-СТР от 01.08.2022</v>
      </c>
      <c r="D45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5" t="str">
        <f ca="1">IFERROR(__xludf.DUMMYFUNCTION("""COMPUTED_VALUE"""),"Новый")</f>
        <v>Новый</v>
      </c>
      <c r="G4575" s="68"/>
      <c r="K4575" s="68"/>
    </row>
    <row r="4576" spans="1:11" ht="12.75">
      <c r="A4576" s="69">
        <f ca="1">IFERROR(__xludf.DUMMYFUNCTION("""COMPUTED_VALUE"""),104422)</f>
        <v>104422</v>
      </c>
      <c r="B4576" s="4">
        <f ca="1">IFERROR(__xludf.DUMMYFUNCTION("""COMPUTED_VALUE"""),44795)</f>
        <v>44795</v>
      </c>
      <c r="C4576" t="str">
        <f ca="1">IFERROR(__xludf.DUMMYFUNCTION("""COMPUTED_VALUE"""),"ООО ""ТРАНССЕРВИС"" 159-СТР от 01.08.2022")</f>
        <v>ООО "ТРАНССЕРВИС" 159-СТР от 01.08.2022</v>
      </c>
      <c r="D45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6" t="str">
        <f ca="1">IFERROR(__xludf.DUMMYFUNCTION("""COMPUTED_VALUE"""),"Новый")</f>
        <v>Новый</v>
      </c>
      <c r="G4576" s="68"/>
      <c r="K4576" s="68"/>
    </row>
    <row r="4577" spans="1:11" ht="12.75">
      <c r="A4577" s="69">
        <f ca="1">IFERROR(__xludf.DUMMYFUNCTION("""COMPUTED_VALUE"""),104423)</f>
        <v>104423</v>
      </c>
      <c r="B4577" s="4">
        <f ca="1">IFERROR(__xludf.DUMMYFUNCTION("""COMPUTED_VALUE"""),44795)</f>
        <v>44795</v>
      </c>
      <c r="C4577" t="str">
        <f ca="1">IFERROR(__xludf.DUMMYFUNCTION("""COMPUTED_VALUE"""),"ООО ""ТРАНССЕРВИС"" 159-СТР от 01.08.2022")</f>
        <v>ООО "ТРАНССЕРВИС" 159-СТР от 01.08.2022</v>
      </c>
      <c r="D45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7" t="str">
        <f ca="1">IFERROR(__xludf.DUMMYFUNCTION("""COMPUTED_VALUE"""),"Новый")</f>
        <v>Новый</v>
      </c>
      <c r="G4577" s="68"/>
      <c r="K4577" s="68"/>
    </row>
    <row r="4578" spans="1:11" ht="12.75">
      <c r="A4578" s="69">
        <f ca="1">IFERROR(__xludf.DUMMYFUNCTION("""COMPUTED_VALUE"""),104434)</f>
        <v>104434</v>
      </c>
      <c r="B4578" s="4">
        <f ca="1">IFERROR(__xludf.DUMMYFUNCTION("""COMPUTED_VALUE"""),44795)</f>
        <v>44795</v>
      </c>
      <c r="C4578" t="str">
        <f ca="1">IFERROR(__xludf.DUMMYFUNCTION("""COMPUTED_VALUE"""),"ООО ""ТРАНССЕРВИС"" 159-СТР от 01.08.2022")</f>
        <v>ООО "ТРАНССЕРВИС" 159-СТР от 01.08.2022</v>
      </c>
      <c r="D45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8" t="str">
        <f ca="1">IFERROR(__xludf.DUMMYFUNCTION("""COMPUTED_VALUE"""),"Новый")</f>
        <v>Новый</v>
      </c>
      <c r="G4578" s="68"/>
      <c r="K4578" s="68"/>
    </row>
    <row r="4579" spans="1:11" ht="12.75">
      <c r="A4579" s="69">
        <f ca="1">IFERROR(__xludf.DUMMYFUNCTION("""COMPUTED_VALUE"""),104460)</f>
        <v>104460</v>
      </c>
      <c r="B4579" s="4">
        <f ca="1">IFERROR(__xludf.DUMMYFUNCTION("""COMPUTED_VALUE"""),44795)</f>
        <v>44795</v>
      </c>
      <c r="C4579" t="str">
        <f ca="1">IFERROR(__xludf.DUMMYFUNCTION("""COMPUTED_VALUE"""),"ООО ""ТРАНССЕРВИС"" 159-СТР от 01.08.2022")</f>
        <v>ООО "ТРАНССЕРВИС" 159-СТР от 01.08.2022</v>
      </c>
      <c r="D45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579" t="str">
        <f ca="1">IFERROR(__xludf.DUMMYFUNCTION("""COMPUTED_VALUE"""),"Новый")</f>
        <v>Новый</v>
      </c>
      <c r="G4579" s="68"/>
      <c r="K4579" s="68"/>
    </row>
    <row r="4580" spans="1:11" ht="12.75">
      <c r="A4580" s="69">
        <f ca="1">IFERROR(__xludf.DUMMYFUNCTION("""COMPUTED_VALUE"""),104490)</f>
        <v>104490</v>
      </c>
      <c r="B4580" s="4">
        <f ca="1">IFERROR(__xludf.DUMMYFUNCTION("""COMPUTED_VALUE"""),44795)</f>
        <v>44795</v>
      </c>
      <c r="C4580" t="str">
        <f ca="1">IFERROR(__xludf.DUMMYFUNCTION("""COMPUTED_VALUE"""),"ООО «КОНТАКТ-АВТО» 135-РДО от 17.03.2022")</f>
        <v>ООО «КОНТАКТ-АВТО» 135-РДО от 17.03.2022</v>
      </c>
      <c r="D45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0" t="str">
        <f ca="1">IFERROR(__xludf.DUMMYFUNCTION("""COMPUTED_VALUE"""),"Новый")</f>
        <v>Новый</v>
      </c>
      <c r="G4580" s="68"/>
      <c r="K4580" s="68"/>
    </row>
    <row r="4581" spans="1:11" ht="12.75">
      <c r="A4581" s="69">
        <f ca="1">IFERROR(__xludf.DUMMYFUNCTION("""COMPUTED_VALUE"""),104491)</f>
        <v>104491</v>
      </c>
      <c r="B4581" s="4">
        <f ca="1">IFERROR(__xludf.DUMMYFUNCTION("""COMPUTED_VALUE"""),44795)</f>
        <v>44795</v>
      </c>
      <c r="C4581" t="str">
        <f ca="1">IFERROR(__xludf.DUMMYFUNCTION("""COMPUTED_VALUE"""),"ООО «КОНТАКТ-АВТО» 135-РДО от 17.03.2022")</f>
        <v>ООО «КОНТАКТ-АВТО» 135-РДО от 17.03.2022</v>
      </c>
      <c r="D45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1" t="str">
        <f ca="1">IFERROR(__xludf.DUMMYFUNCTION("""COMPUTED_VALUE"""),"Новый")</f>
        <v>Новый</v>
      </c>
      <c r="G4581" s="68"/>
      <c r="K4581" s="68"/>
    </row>
    <row r="4582" spans="1:11" ht="12.75">
      <c r="A4582" s="69">
        <f ca="1">IFERROR(__xludf.DUMMYFUNCTION("""COMPUTED_VALUE"""),104492)</f>
        <v>104492</v>
      </c>
      <c r="B4582" s="4">
        <f ca="1">IFERROR(__xludf.DUMMYFUNCTION("""COMPUTED_VALUE"""),44795)</f>
        <v>44795</v>
      </c>
      <c r="C4582" t="str">
        <f ca="1">IFERROR(__xludf.DUMMYFUNCTION("""COMPUTED_VALUE"""),"ООО «КОНТАКТ-АВТО» 135-РДО от 17.03.2022")</f>
        <v>ООО «КОНТАКТ-АВТО» 135-РДО от 17.03.2022</v>
      </c>
      <c r="D45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2" t="str">
        <f ca="1">IFERROR(__xludf.DUMMYFUNCTION("""COMPUTED_VALUE"""),"Новый")</f>
        <v>Новый</v>
      </c>
      <c r="G4582" s="68"/>
      <c r="K4582" s="68"/>
    </row>
    <row r="4583" spans="1:11" ht="12.75">
      <c r="A4583" s="69">
        <f ca="1">IFERROR(__xludf.DUMMYFUNCTION("""COMPUTED_VALUE"""),104493)</f>
        <v>104493</v>
      </c>
      <c r="B4583" s="4">
        <f ca="1">IFERROR(__xludf.DUMMYFUNCTION("""COMPUTED_VALUE"""),44795)</f>
        <v>44795</v>
      </c>
      <c r="C4583" t="str">
        <f ca="1">IFERROR(__xludf.DUMMYFUNCTION("""COMPUTED_VALUE"""),"ООО «КОНТАКТ-АВТО» 135-РДО от 17.03.2022")</f>
        <v>ООО «КОНТАКТ-АВТО» 135-РДО от 17.03.2022</v>
      </c>
      <c r="D45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3" t="str">
        <f ca="1">IFERROR(__xludf.DUMMYFUNCTION("""COMPUTED_VALUE"""),"Новый")</f>
        <v>Новый</v>
      </c>
      <c r="G4583" s="68"/>
      <c r="K4583" s="68"/>
    </row>
    <row r="4584" spans="1:11" ht="12.75">
      <c r="A4584" s="69">
        <f ca="1">IFERROR(__xludf.DUMMYFUNCTION("""COMPUTED_VALUE"""),104497)</f>
        <v>104497</v>
      </c>
      <c r="B4584" s="4">
        <f ca="1">IFERROR(__xludf.DUMMYFUNCTION("""COMPUTED_VALUE"""),44795)</f>
        <v>44795</v>
      </c>
      <c r="C4584" t="str">
        <f ca="1">IFERROR(__xludf.DUMMYFUNCTION("""COMPUTED_VALUE"""),"ООО «КОНТАКТ-АВТО» 135-РДО от 17.03.2022")</f>
        <v>ООО «КОНТАКТ-АВТО» 135-РДО от 17.03.2022</v>
      </c>
      <c r="D45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4" t="str">
        <f ca="1">IFERROR(__xludf.DUMMYFUNCTION("""COMPUTED_VALUE"""),"Новый")</f>
        <v>Новый</v>
      </c>
      <c r="G4584" s="68"/>
      <c r="K4584" s="68"/>
    </row>
    <row r="4585" spans="1:11" ht="12.75">
      <c r="A4585" s="69">
        <f ca="1">IFERROR(__xludf.DUMMYFUNCTION("""COMPUTED_VALUE"""),104498)</f>
        <v>104498</v>
      </c>
      <c r="B4585" s="4">
        <f ca="1">IFERROR(__xludf.DUMMYFUNCTION("""COMPUTED_VALUE"""),44795)</f>
        <v>44795</v>
      </c>
      <c r="C4585" t="str">
        <f ca="1">IFERROR(__xludf.DUMMYFUNCTION("""COMPUTED_VALUE"""),"ООО «КОНТАКТ-АВТО» 135-РДО от 17.03.2022")</f>
        <v>ООО «КОНТАКТ-АВТО» 135-РДО от 17.03.2022</v>
      </c>
      <c r="D45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5" t="str">
        <f ca="1">IFERROR(__xludf.DUMMYFUNCTION("""COMPUTED_VALUE"""),"Новый")</f>
        <v>Новый</v>
      </c>
      <c r="G4585" s="68"/>
      <c r="K4585" s="68"/>
    </row>
    <row r="4586" spans="1:11" ht="12.75">
      <c r="A4586" s="69">
        <f ca="1">IFERROR(__xludf.DUMMYFUNCTION("""COMPUTED_VALUE"""),104499)</f>
        <v>104499</v>
      </c>
      <c r="B4586" s="4">
        <f ca="1">IFERROR(__xludf.DUMMYFUNCTION("""COMPUTED_VALUE"""),44795)</f>
        <v>44795</v>
      </c>
      <c r="C4586" t="str">
        <f ca="1">IFERROR(__xludf.DUMMYFUNCTION("""COMPUTED_VALUE"""),"ООО «КОНТАКТ-АВТО» 135-РДО от 17.03.2022")</f>
        <v>ООО «КОНТАКТ-АВТО» 135-РДО от 17.03.2022</v>
      </c>
      <c r="D45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6" t="str">
        <f ca="1">IFERROR(__xludf.DUMMYFUNCTION("""COMPUTED_VALUE"""),"Новый")</f>
        <v>Новый</v>
      </c>
      <c r="G4586" s="68"/>
      <c r="K4586" s="68"/>
    </row>
    <row r="4587" spans="1:11" ht="12.75">
      <c r="A4587" s="69">
        <f ca="1">IFERROR(__xludf.DUMMYFUNCTION("""COMPUTED_VALUE"""),104500)</f>
        <v>104500</v>
      </c>
      <c r="B4587" s="4">
        <f ca="1">IFERROR(__xludf.DUMMYFUNCTION("""COMPUTED_VALUE"""),44795)</f>
        <v>44795</v>
      </c>
      <c r="C4587" t="str">
        <f ca="1">IFERROR(__xludf.DUMMYFUNCTION("""COMPUTED_VALUE"""),"БУ Г. ОМСКА ""УДХБ"" 197-РДО от 01.07.2022")</f>
        <v>БУ Г. ОМСКА "УДХБ" 197-РДО от 01.07.2022</v>
      </c>
      <c r="D45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7" t="str">
        <f ca="1">IFERROR(__xludf.DUMMYFUNCTION("""COMPUTED_VALUE"""),"Новый")</f>
        <v>Новый</v>
      </c>
      <c r="G4587" s="68"/>
      <c r="K4587" s="68"/>
    </row>
    <row r="4588" spans="1:11" ht="12.75">
      <c r="A4588" s="69">
        <f ca="1">IFERROR(__xludf.DUMMYFUNCTION("""COMPUTED_VALUE"""),104501)</f>
        <v>104501</v>
      </c>
      <c r="B4588" s="4">
        <f ca="1">IFERROR(__xludf.DUMMYFUNCTION("""COMPUTED_VALUE"""),44795)</f>
        <v>44795</v>
      </c>
      <c r="C4588" t="str">
        <f ca="1">IFERROR(__xludf.DUMMYFUNCTION("""COMPUTED_VALUE"""),"БУ Г. ОМСКА ""УДХБ"" 197-РДО от 01.07.2022")</f>
        <v>БУ Г. ОМСКА "УДХБ" 197-РДО от 01.07.2022</v>
      </c>
      <c r="D45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8" t="str">
        <f ca="1">IFERROR(__xludf.DUMMYFUNCTION("""COMPUTED_VALUE"""),"Новый")</f>
        <v>Новый</v>
      </c>
      <c r="G4588" s="68"/>
      <c r="K4588" s="68"/>
    </row>
    <row r="4589" spans="1:11" ht="12.75">
      <c r="A4589" s="69">
        <f ca="1">IFERROR(__xludf.DUMMYFUNCTION("""COMPUTED_VALUE"""),104502)</f>
        <v>104502</v>
      </c>
      <c r="B4589" s="4">
        <f ca="1">IFERROR(__xludf.DUMMYFUNCTION("""COMPUTED_VALUE"""),44795)</f>
        <v>44795</v>
      </c>
      <c r="C4589" t="str">
        <f ca="1">IFERROR(__xludf.DUMMYFUNCTION("""COMPUTED_VALUE"""),"БУ Г. ОМСКА ""УДХБ"" 197-РДО от 01.07.2022")</f>
        <v>БУ Г. ОМСКА "УДХБ" 197-РДО от 01.07.2022</v>
      </c>
      <c r="D45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89" t="str">
        <f ca="1">IFERROR(__xludf.DUMMYFUNCTION("""COMPUTED_VALUE"""),"Новый")</f>
        <v>Новый</v>
      </c>
      <c r="G4589" s="68"/>
      <c r="K4589" s="68"/>
    </row>
    <row r="4590" spans="1:11" ht="12.75">
      <c r="A4590" s="69">
        <f ca="1">IFERROR(__xludf.DUMMYFUNCTION("""COMPUTED_VALUE"""),104503)</f>
        <v>104503</v>
      </c>
      <c r="B4590" s="4">
        <f ca="1">IFERROR(__xludf.DUMMYFUNCTION("""COMPUTED_VALUE"""),44795)</f>
        <v>44795</v>
      </c>
      <c r="C4590" t="str">
        <f ca="1">IFERROR(__xludf.DUMMYFUNCTION("""COMPUTED_VALUE"""),"БУ Г. ОМСКА ""УДХБ"" 197-РДО от 01.07.2022")</f>
        <v>БУ Г. ОМСКА "УДХБ" 197-РДО от 01.07.2022</v>
      </c>
      <c r="D45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0" t="str">
        <f ca="1">IFERROR(__xludf.DUMMYFUNCTION("""COMPUTED_VALUE"""),"Новый")</f>
        <v>Новый</v>
      </c>
      <c r="G4590" s="68"/>
      <c r="K4590" s="68"/>
    </row>
    <row r="4591" spans="1:11" ht="12.75">
      <c r="A4591" s="69">
        <f ca="1">IFERROR(__xludf.DUMMYFUNCTION("""COMPUTED_VALUE"""),104504)</f>
        <v>104504</v>
      </c>
      <c r="B4591" s="4">
        <f ca="1">IFERROR(__xludf.DUMMYFUNCTION("""COMPUTED_VALUE"""),44795)</f>
        <v>44795</v>
      </c>
      <c r="C4591" t="str">
        <f ca="1">IFERROR(__xludf.DUMMYFUNCTION("""COMPUTED_VALUE"""),"БУ Г. ОМСКА ""УДХБ"" 197-РДО от 01.07.2022")</f>
        <v>БУ Г. ОМСКА "УДХБ" 197-РДО от 01.07.2022</v>
      </c>
      <c r="D45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1" t="str">
        <f ca="1">IFERROR(__xludf.DUMMYFUNCTION("""COMPUTED_VALUE"""),"Новый")</f>
        <v>Новый</v>
      </c>
      <c r="G4591" s="68"/>
      <c r="K4591" s="68"/>
    </row>
    <row r="4592" spans="1:11" ht="12.75">
      <c r="A4592" s="69">
        <f ca="1">IFERROR(__xludf.DUMMYFUNCTION("""COMPUTED_VALUE"""),104505)</f>
        <v>104505</v>
      </c>
      <c r="B4592" s="4">
        <f ca="1">IFERROR(__xludf.DUMMYFUNCTION("""COMPUTED_VALUE"""),44795)</f>
        <v>44795</v>
      </c>
      <c r="C4592" t="str">
        <f ca="1">IFERROR(__xludf.DUMMYFUNCTION("""COMPUTED_VALUE"""),"БУ Г. ОМСКА ""УДХБ"" 197-РДО от 01.07.2022")</f>
        <v>БУ Г. ОМСКА "УДХБ" 197-РДО от 01.07.2022</v>
      </c>
      <c r="D45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2" t="str">
        <f ca="1">IFERROR(__xludf.DUMMYFUNCTION("""COMPUTED_VALUE"""),"Новый")</f>
        <v>Новый</v>
      </c>
      <c r="G4592" s="68"/>
      <c r="K4592" s="68"/>
    </row>
    <row r="4593" spans="1:11" ht="12.75">
      <c r="A4593" s="69">
        <f ca="1">IFERROR(__xludf.DUMMYFUNCTION("""COMPUTED_VALUE"""),104506)</f>
        <v>104506</v>
      </c>
      <c r="B4593" s="4">
        <f ca="1">IFERROR(__xludf.DUMMYFUNCTION("""COMPUTED_VALUE"""),44795)</f>
        <v>44795</v>
      </c>
      <c r="C4593" t="str">
        <f ca="1">IFERROR(__xludf.DUMMYFUNCTION("""COMPUTED_VALUE"""),"БУ Г. ОМСКА ""УДХБ"" 197-РДО от 01.07.2022")</f>
        <v>БУ Г. ОМСКА "УДХБ" 197-РДО от 01.07.2022</v>
      </c>
      <c r="D45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3" t="str">
        <f ca="1">IFERROR(__xludf.DUMMYFUNCTION("""COMPUTED_VALUE"""),"Новый")</f>
        <v>Новый</v>
      </c>
      <c r="G4593" s="68"/>
      <c r="K4593" s="68"/>
    </row>
    <row r="4594" spans="1:11" ht="12.75">
      <c r="A4594" s="69">
        <f ca="1">IFERROR(__xludf.DUMMYFUNCTION("""COMPUTED_VALUE"""),104507)</f>
        <v>104507</v>
      </c>
      <c r="B4594" s="4">
        <f ca="1">IFERROR(__xludf.DUMMYFUNCTION("""COMPUTED_VALUE"""),44795)</f>
        <v>44795</v>
      </c>
      <c r="C4594" t="str">
        <f ca="1">IFERROR(__xludf.DUMMYFUNCTION("""COMPUTED_VALUE"""),"БУ Г. ОМСКА ""УДХБ"" 197-РДО от 01.07.2022")</f>
        <v>БУ Г. ОМСКА "УДХБ" 197-РДО от 01.07.2022</v>
      </c>
      <c r="D45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4" t="str">
        <f ca="1">IFERROR(__xludf.DUMMYFUNCTION("""COMPUTED_VALUE"""),"Новый")</f>
        <v>Новый</v>
      </c>
      <c r="G4594" s="68"/>
      <c r="K4594" s="68"/>
    </row>
    <row r="4595" spans="1:11" ht="12.75">
      <c r="A4595" s="69">
        <f ca="1">IFERROR(__xludf.DUMMYFUNCTION("""COMPUTED_VALUE"""),104508)</f>
        <v>104508</v>
      </c>
      <c r="B4595" s="4">
        <f ca="1">IFERROR(__xludf.DUMMYFUNCTION("""COMPUTED_VALUE"""),44795)</f>
        <v>44795</v>
      </c>
      <c r="C4595" t="str">
        <f ca="1">IFERROR(__xludf.DUMMYFUNCTION("""COMPUTED_VALUE"""),"БУ Г. ОМСКА ""УДХБ"" 197-РДО от 01.07.2022")</f>
        <v>БУ Г. ОМСКА "УДХБ" 197-РДО от 01.07.2022</v>
      </c>
      <c r="D45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5" t="str">
        <f ca="1">IFERROR(__xludf.DUMMYFUNCTION("""COMPUTED_VALUE"""),"Новый")</f>
        <v>Новый</v>
      </c>
      <c r="G4595" s="68"/>
      <c r="K4595" s="68"/>
    </row>
    <row r="4596" spans="1:11" ht="12.75">
      <c r="A4596" s="69">
        <f ca="1">IFERROR(__xludf.DUMMYFUNCTION("""COMPUTED_VALUE"""),104509)</f>
        <v>104509</v>
      </c>
      <c r="B4596" s="4">
        <f ca="1">IFERROR(__xludf.DUMMYFUNCTION("""COMPUTED_VALUE"""),44795)</f>
        <v>44795</v>
      </c>
      <c r="C4596" t="str">
        <f ca="1">IFERROR(__xludf.DUMMYFUNCTION("""COMPUTED_VALUE"""),"БУ Г. ОМСКА ""УДХБ"" 197-РДО от 01.07.2022")</f>
        <v>БУ Г. ОМСКА "УДХБ" 197-РДО от 01.07.2022</v>
      </c>
      <c r="D45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6" t="str">
        <f ca="1">IFERROR(__xludf.DUMMYFUNCTION("""COMPUTED_VALUE"""),"Новый")</f>
        <v>Новый</v>
      </c>
      <c r="G4596" s="68"/>
      <c r="K4596" s="68"/>
    </row>
    <row r="4597" spans="1:11" ht="12.75">
      <c r="A4597" s="69">
        <f ca="1">IFERROR(__xludf.DUMMYFUNCTION("""COMPUTED_VALUE"""),104510)</f>
        <v>104510</v>
      </c>
      <c r="B4597" s="4">
        <f ca="1">IFERROR(__xludf.DUMMYFUNCTION("""COMPUTED_VALUE"""),44795)</f>
        <v>44795</v>
      </c>
      <c r="C4597" t="str">
        <f ca="1">IFERROR(__xludf.DUMMYFUNCTION("""COMPUTED_VALUE"""),"БУ Г. ОМСКА ""УДХБ"" 197-РДО от 01.07.2022")</f>
        <v>БУ Г. ОМСКА "УДХБ" 197-РДО от 01.07.2022</v>
      </c>
      <c r="D45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7" t="str">
        <f ca="1">IFERROR(__xludf.DUMMYFUNCTION("""COMPUTED_VALUE"""),"Новый")</f>
        <v>Новый</v>
      </c>
      <c r="G4597" s="68"/>
      <c r="K4597" s="68"/>
    </row>
    <row r="4598" spans="1:11" ht="12.75">
      <c r="A4598" s="69">
        <f ca="1">IFERROR(__xludf.DUMMYFUNCTION("""COMPUTED_VALUE"""),104511)</f>
        <v>104511</v>
      </c>
      <c r="B4598" s="4">
        <f ca="1">IFERROR(__xludf.DUMMYFUNCTION("""COMPUTED_VALUE"""),44795)</f>
        <v>44795</v>
      </c>
      <c r="C4598" t="str">
        <f ca="1">IFERROR(__xludf.DUMMYFUNCTION("""COMPUTED_VALUE"""),"БУ Г. ОМСКА ""УДХБ"" 197-РДО от 01.07.2022")</f>
        <v>БУ Г. ОМСКА "УДХБ" 197-РДО от 01.07.2022</v>
      </c>
      <c r="D45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8" t="str">
        <f ca="1">IFERROR(__xludf.DUMMYFUNCTION("""COMPUTED_VALUE"""),"Новый")</f>
        <v>Новый</v>
      </c>
      <c r="G4598" s="68"/>
      <c r="K4598" s="68"/>
    </row>
    <row r="4599" spans="1:11" ht="12.75">
      <c r="A4599" s="69">
        <f ca="1">IFERROR(__xludf.DUMMYFUNCTION("""COMPUTED_VALUE"""),104512)</f>
        <v>104512</v>
      </c>
      <c r="B4599" s="4">
        <f ca="1">IFERROR(__xludf.DUMMYFUNCTION("""COMPUTED_VALUE"""),44795)</f>
        <v>44795</v>
      </c>
      <c r="C4599" t="str">
        <f ca="1">IFERROR(__xludf.DUMMYFUNCTION("""COMPUTED_VALUE"""),"БУ Г. ОМСКА ""УДХБ"" 197-РДО от 01.07.2022")</f>
        <v>БУ Г. ОМСКА "УДХБ" 197-РДО от 01.07.2022</v>
      </c>
      <c r="D45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599" t="str">
        <f ca="1">IFERROR(__xludf.DUMMYFUNCTION("""COMPUTED_VALUE"""),"Новый")</f>
        <v>Новый</v>
      </c>
      <c r="G4599" s="68"/>
      <c r="K4599" s="68"/>
    </row>
    <row r="4600" spans="1:11" ht="12.75">
      <c r="A4600" s="69">
        <f ca="1">IFERROR(__xludf.DUMMYFUNCTION("""COMPUTED_VALUE"""),104513)</f>
        <v>104513</v>
      </c>
      <c r="B4600" s="4">
        <f ca="1">IFERROR(__xludf.DUMMYFUNCTION("""COMPUTED_VALUE"""),44795)</f>
        <v>44795</v>
      </c>
      <c r="C4600" t="str">
        <f ca="1">IFERROR(__xludf.DUMMYFUNCTION("""COMPUTED_VALUE"""),"БУ Г. ОМСКА ""УДХБ"" 197-РДО от 01.07.2022")</f>
        <v>БУ Г. ОМСКА "УДХБ" 197-РДО от 01.07.2022</v>
      </c>
      <c r="D46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0" t="str">
        <f ca="1">IFERROR(__xludf.DUMMYFUNCTION("""COMPUTED_VALUE"""),"Новый")</f>
        <v>Новый</v>
      </c>
      <c r="G4600" s="68"/>
      <c r="K4600" s="68"/>
    </row>
    <row r="4601" spans="1:11" ht="12.75">
      <c r="A4601" s="69">
        <f ca="1">IFERROR(__xludf.DUMMYFUNCTION("""COMPUTED_VALUE"""),104514)</f>
        <v>104514</v>
      </c>
      <c r="B4601" s="4">
        <f ca="1">IFERROR(__xludf.DUMMYFUNCTION("""COMPUTED_VALUE"""),44795)</f>
        <v>44795</v>
      </c>
      <c r="C4601" t="str">
        <f ca="1">IFERROR(__xludf.DUMMYFUNCTION("""COMPUTED_VALUE"""),"БУ Г. ОМСКА ""УДХБ"" 197-РДО от 01.07.2022")</f>
        <v>БУ Г. ОМСКА "УДХБ" 197-РДО от 01.07.2022</v>
      </c>
      <c r="D46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1" t="str">
        <f ca="1">IFERROR(__xludf.DUMMYFUNCTION("""COMPUTED_VALUE"""),"Новый")</f>
        <v>Новый</v>
      </c>
      <c r="G4601" s="68"/>
      <c r="K4601" s="68"/>
    </row>
    <row r="4602" spans="1:11" ht="12.75">
      <c r="A4602" s="69">
        <f ca="1">IFERROR(__xludf.DUMMYFUNCTION("""COMPUTED_VALUE"""),104515)</f>
        <v>104515</v>
      </c>
      <c r="B4602" s="4">
        <f ca="1">IFERROR(__xludf.DUMMYFUNCTION("""COMPUTED_VALUE"""),44795)</f>
        <v>44795</v>
      </c>
      <c r="C4602" t="str">
        <f ca="1">IFERROR(__xludf.DUMMYFUNCTION("""COMPUTED_VALUE"""),"БУ Г. ОМСКА ""УДХБ"" 197-РДО от 01.07.2022")</f>
        <v>БУ Г. ОМСКА "УДХБ" 197-РДО от 01.07.2022</v>
      </c>
      <c r="D46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2" t="str">
        <f ca="1">IFERROR(__xludf.DUMMYFUNCTION("""COMPUTED_VALUE"""),"Новый")</f>
        <v>Новый</v>
      </c>
      <c r="G4602" s="68"/>
      <c r="K4602" s="68"/>
    </row>
    <row r="4603" spans="1:11" ht="12.75">
      <c r="A4603" s="69">
        <f ca="1">IFERROR(__xludf.DUMMYFUNCTION("""COMPUTED_VALUE"""),104516)</f>
        <v>104516</v>
      </c>
      <c r="B4603" s="4">
        <f ca="1">IFERROR(__xludf.DUMMYFUNCTION("""COMPUTED_VALUE"""),44795)</f>
        <v>44795</v>
      </c>
      <c r="C4603" t="str">
        <f ca="1">IFERROR(__xludf.DUMMYFUNCTION("""COMPUTED_VALUE"""),"БУ Г. ОМСКА ""УДХБ"" 197-РДО от 01.07.2022")</f>
        <v>БУ Г. ОМСКА "УДХБ" 197-РДО от 01.07.2022</v>
      </c>
      <c r="D46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3" t="str">
        <f ca="1">IFERROR(__xludf.DUMMYFUNCTION("""COMPUTED_VALUE"""),"Новый")</f>
        <v>Новый</v>
      </c>
      <c r="G4603" s="68"/>
      <c r="K4603" s="68"/>
    </row>
    <row r="4604" spans="1:11" ht="12.75">
      <c r="A4604" s="69">
        <f ca="1">IFERROR(__xludf.DUMMYFUNCTION("""COMPUTED_VALUE"""),104517)</f>
        <v>104517</v>
      </c>
      <c r="B4604" s="4">
        <f ca="1">IFERROR(__xludf.DUMMYFUNCTION("""COMPUTED_VALUE"""),44795)</f>
        <v>44795</v>
      </c>
      <c r="C4604" t="str">
        <f ca="1">IFERROR(__xludf.DUMMYFUNCTION("""COMPUTED_VALUE"""),"БУ Г. ОМСКА ""УДХБ"" 197-РДО от 01.07.2022")</f>
        <v>БУ Г. ОМСКА "УДХБ" 197-РДО от 01.07.2022</v>
      </c>
      <c r="D46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4" t="str">
        <f ca="1">IFERROR(__xludf.DUMMYFUNCTION("""COMPUTED_VALUE"""),"Новый")</f>
        <v>Новый</v>
      </c>
      <c r="G4604" s="68"/>
      <c r="K4604" s="68"/>
    </row>
    <row r="4605" spans="1:11" ht="12.75">
      <c r="A4605" s="69">
        <f ca="1">IFERROR(__xludf.DUMMYFUNCTION("""COMPUTED_VALUE"""),104518)</f>
        <v>104518</v>
      </c>
      <c r="B4605" s="4">
        <f ca="1">IFERROR(__xludf.DUMMYFUNCTION("""COMPUTED_VALUE"""),44795)</f>
        <v>44795</v>
      </c>
      <c r="C4605" t="str">
        <f ca="1">IFERROR(__xludf.DUMMYFUNCTION("""COMPUTED_VALUE"""),"БУ Г. ОМСКА ""УДХБ"" 197-РДО от 01.07.2022")</f>
        <v>БУ Г. ОМСКА "УДХБ" 197-РДО от 01.07.2022</v>
      </c>
      <c r="D46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5" t="str">
        <f ca="1">IFERROR(__xludf.DUMMYFUNCTION("""COMPUTED_VALUE"""),"Новый")</f>
        <v>Новый</v>
      </c>
      <c r="G4605" s="68"/>
      <c r="K4605" s="68"/>
    </row>
    <row r="4606" spans="1:11" ht="12.75">
      <c r="A4606" s="69">
        <f ca="1">IFERROR(__xludf.DUMMYFUNCTION("""COMPUTED_VALUE"""),104519)</f>
        <v>104519</v>
      </c>
      <c r="B4606" s="4">
        <f ca="1">IFERROR(__xludf.DUMMYFUNCTION("""COMPUTED_VALUE"""),44795)</f>
        <v>44795</v>
      </c>
      <c r="C4606" t="str">
        <f ca="1">IFERROR(__xludf.DUMMYFUNCTION("""COMPUTED_VALUE"""),"БУ Г. ОМСКА ""УДХБ"" 197-РДО от 01.07.2022")</f>
        <v>БУ Г. ОМСКА "УДХБ" 197-РДО от 01.07.2022</v>
      </c>
      <c r="D46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6" t="str">
        <f ca="1">IFERROR(__xludf.DUMMYFUNCTION("""COMPUTED_VALUE"""),"Новый")</f>
        <v>Новый</v>
      </c>
      <c r="G4606" s="68"/>
      <c r="K4606" s="68"/>
    </row>
    <row r="4607" spans="1:11" ht="12.75">
      <c r="A4607" s="69">
        <f ca="1">IFERROR(__xludf.DUMMYFUNCTION("""COMPUTED_VALUE"""),104520)</f>
        <v>104520</v>
      </c>
      <c r="B4607" s="4">
        <f ca="1">IFERROR(__xludf.DUMMYFUNCTION("""COMPUTED_VALUE"""),44795)</f>
        <v>44795</v>
      </c>
      <c r="C4607" t="str">
        <f ca="1">IFERROR(__xludf.DUMMYFUNCTION("""COMPUTED_VALUE"""),"БУ Г. ОМСКА ""УДХБ"" 197-РДО от 01.07.2022")</f>
        <v>БУ Г. ОМСКА "УДХБ" 197-РДО от 01.07.2022</v>
      </c>
      <c r="D46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7" t="str">
        <f ca="1">IFERROR(__xludf.DUMMYFUNCTION("""COMPUTED_VALUE"""),"Новый")</f>
        <v>Новый</v>
      </c>
      <c r="G4607" s="68"/>
      <c r="K4607" s="68"/>
    </row>
    <row r="4608" spans="1:11" ht="12.75">
      <c r="A4608" s="69">
        <f ca="1">IFERROR(__xludf.DUMMYFUNCTION("""COMPUTED_VALUE"""),104521)</f>
        <v>104521</v>
      </c>
      <c r="B4608" s="4">
        <f ca="1">IFERROR(__xludf.DUMMYFUNCTION("""COMPUTED_VALUE"""),44795)</f>
        <v>44795</v>
      </c>
      <c r="C4608" t="str">
        <f ca="1">IFERROR(__xludf.DUMMYFUNCTION("""COMPUTED_VALUE"""),"БУ Г. ОМСКА ""УДХБ"" 197-РДО от 01.07.2022")</f>
        <v>БУ Г. ОМСКА "УДХБ" 197-РДО от 01.07.2022</v>
      </c>
      <c r="D46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8" t="str">
        <f ca="1">IFERROR(__xludf.DUMMYFUNCTION("""COMPUTED_VALUE"""),"Новый")</f>
        <v>Новый</v>
      </c>
      <c r="G4608" s="68"/>
      <c r="K4608" s="68"/>
    </row>
    <row r="4609" spans="1:11" ht="12.75">
      <c r="A4609" s="69">
        <f ca="1">IFERROR(__xludf.DUMMYFUNCTION("""COMPUTED_VALUE"""),104522)</f>
        <v>104522</v>
      </c>
      <c r="B4609" s="4">
        <f ca="1">IFERROR(__xludf.DUMMYFUNCTION("""COMPUTED_VALUE"""),44795)</f>
        <v>44795</v>
      </c>
      <c r="C4609" t="str">
        <f ca="1">IFERROR(__xludf.DUMMYFUNCTION("""COMPUTED_VALUE"""),"БУ Г. ОМСКА ""УДХБ"" 197-РДО от 01.07.2022")</f>
        <v>БУ Г. ОМСКА "УДХБ" 197-РДО от 01.07.2022</v>
      </c>
      <c r="D46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09" t="str">
        <f ca="1">IFERROR(__xludf.DUMMYFUNCTION("""COMPUTED_VALUE"""),"Новый")</f>
        <v>Новый</v>
      </c>
      <c r="G4609" s="68"/>
      <c r="K4609" s="68"/>
    </row>
    <row r="4610" spans="1:11" ht="12.75">
      <c r="A4610" s="69">
        <f ca="1">IFERROR(__xludf.DUMMYFUNCTION("""COMPUTED_VALUE"""),104523)</f>
        <v>104523</v>
      </c>
      <c r="B4610" s="4">
        <f ca="1">IFERROR(__xludf.DUMMYFUNCTION("""COMPUTED_VALUE"""),44795)</f>
        <v>44795</v>
      </c>
      <c r="C4610" t="str">
        <f ca="1">IFERROR(__xludf.DUMMYFUNCTION("""COMPUTED_VALUE"""),"БУ Г. ОМСКА ""УДХБ"" 197-РДО от 01.07.2022")</f>
        <v>БУ Г. ОМСКА "УДХБ" 197-РДО от 01.07.2022</v>
      </c>
      <c r="D46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0" t="str">
        <f ca="1">IFERROR(__xludf.DUMMYFUNCTION("""COMPUTED_VALUE"""),"Новый")</f>
        <v>Новый</v>
      </c>
      <c r="G4610" s="68"/>
      <c r="K4610" s="68"/>
    </row>
    <row r="4611" spans="1:11" ht="12.75">
      <c r="A4611" s="69">
        <f ca="1">IFERROR(__xludf.DUMMYFUNCTION("""COMPUTED_VALUE"""),104524)</f>
        <v>104524</v>
      </c>
      <c r="B4611" s="4">
        <f ca="1">IFERROR(__xludf.DUMMYFUNCTION("""COMPUTED_VALUE"""),44795)</f>
        <v>44795</v>
      </c>
      <c r="C4611" t="str">
        <f ca="1">IFERROR(__xludf.DUMMYFUNCTION("""COMPUTED_VALUE"""),"БУ Г. ОМСКА ""УДХБ"" 197-РДО от 01.07.2022")</f>
        <v>БУ Г. ОМСКА "УДХБ" 197-РДО от 01.07.2022</v>
      </c>
      <c r="D46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1" t="str">
        <f ca="1">IFERROR(__xludf.DUMMYFUNCTION("""COMPUTED_VALUE"""),"Новый")</f>
        <v>Новый</v>
      </c>
      <c r="G4611" s="68"/>
      <c r="K4611" s="68"/>
    </row>
    <row r="4612" spans="1:11" ht="12.75">
      <c r="A4612" s="69">
        <f ca="1">IFERROR(__xludf.DUMMYFUNCTION("""COMPUTED_VALUE"""),104525)</f>
        <v>104525</v>
      </c>
      <c r="B4612" s="4">
        <f ca="1">IFERROR(__xludf.DUMMYFUNCTION("""COMPUTED_VALUE"""),44795)</f>
        <v>44795</v>
      </c>
      <c r="C4612" t="str">
        <f ca="1">IFERROR(__xludf.DUMMYFUNCTION("""COMPUTED_VALUE"""),"БУ Г. ОМСКА ""УДХБ"" 197-РДО от 01.07.2022")</f>
        <v>БУ Г. ОМСКА "УДХБ" 197-РДО от 01.07.2022</v>
      </c>
      <c r="D46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2" t="str">
        <f ca="1">IFERROR(__xludf.DUMMYFUNCTION("""COMPUTED_VALUE"""),"Новый")</f>
        <v>Новый</v>
      </c>
      <c r="G4612" s="68"/>
      <c r="K4612" s="68"/>
    </row>
    <row r="4613" spans="1:11" ht="12.75">
      <c r="A4613" s="69">
        <f ca="1">IFERROR(__xludf.DUMMYFUNCTION("""COMPUTED_VALUE"""),104526)</f>
        <v>104526</v>
      </c>
      <c r="B4613" s="4">
        <f ca="1">IFERROR(__xludf.DUMMYFUNCTION("""COMPUTED_VALUE"""),44795)</f>
        <v>44795</v>
      </c>
      <c r="C4613" t="str">
        <f ca="1">IFERROR(__xludf.DUMMYFUNCTION("""COMPUTED_VALUE"""),"БУ Г. ОМСКА ""УДХБ"" 197-РДО от 01.07.2022")</f>
        <v>БУ Г. ОМСКА "УДХБ" 197-РДО от 01.07.2022</v>
      </c>
      <c r="D46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3" t="str">
        <f ca="1">IFERROR(__xludf.DUMMYFUNCTION("""COMPUTED_VALUE"""),"Новый")</f>
        <v>Новый</v>
      </c>
      <c r="G4613" s="68"/>
      <c r="K4613" s="68"/>
    </row>
    <row r="4614" spans="1:11" ht="12.75">
      <c r="A4614" s="69">
        <f ca="1">IFERROR(__xludf.DUMMYFUNCTION("""COMPUTED_VALUE"""),104527)</f>
        <v>104527</v>
      </c>
      <c r="B4614" s="4">
        <f ca="1">IFERROR(__xludf.DUMMYFUNCTION("""COMPUTED_VALUE"""),44795)</f>
        <v>44795</v>
      </c>
      <c r="C4614" t="str">
        <f ca="1">IFERROR(__xludf.DUMMYFUNCTION("""COMPUTED_VALUE"""),"БУ Г. ОМСКА ""УДХБ"" 197-РДО от 01.07.2022")</f>
        <v>БУ Г. ОМСКА "УДХБ" 197-РДО от 01.07.2022</v>
      </c>
      <c r="D46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4" t="str">
        <f ca="1">IFERROR(__xludf.DUMMYFUNCTION("""COMPUTED_VALUE"""),"Новый")</f>
        <v>Новый</v>
      </c>
      <c r="G4614" s="68"/>
      <c r="K4614" s="68"/>
    </row>
    <row r="4615" spans="1:11" ht="12.75">
      <c r="A4615" s="69">
        <f ca="1">IFERROR(__xludf.DUMMYFUNCTION("""COMPUTED_VALUE"""),104528)</f>
        <v>104528</v>
      </c>
      <c r="B4615" s="4">
        <f ca="1">IFERROR(__xludf.DUMMYFUNCTION("""COMPUTED_VALUE"""),44795)</f>
        <v>44795</v>
      </c>
      <c r="C4615" t="str">
        <f ca="1">IFERROR(__xludf.DUMMYFUNCTION("""COMPUTED_VALUE"""),"БУ Г. ОМСКА ""УДХБ"" 197-РДО от 01.07.2022")</f>
        <v>БУ Г. ОМСКА "УДХБ" 197-РДО от 01.07.2022</v>
      </c>
      <c r="D46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5" t="str">
        <f ca="1">IFERROR(__xludf.DUMMYFUNCTION("""COMPUTED_VALUE"""),"Новый")</f>
        <v>Новый</v>
      </c>
      <c r="G4615" s="68"/>
      <c r="K4615" s="68"/>
    </row>
    <row r="4616" spans="1:11" ht="12.75">
      <c r="A4616" s="69">
        <f ca="1">IFERROR(__xludf.DUMMYFUNCTION("""COMPUTED_VALUE"""),104529)</f>
        <v>104529</v>
      </c>
      <c r="B4616" s="4">
        <f ca="1">IFERROR(__xludf.DUMMYFUNCTION("""COMPUTED_VALUE"""),44795)</f>
        <v>44795</v>
      </c>
      <c r="C4616" t="str">
        <f ca="1">IFERROR(__xludf.DUMMYFUNCTION("""COMPUTED_VALUE"""),"БУ Г. ОМСКА ""УДХБ"" 197-РДО от 01.07.2022")</f>
        <v>БУ Г. ОМСКА "УДХБ" 197-РДО от 01.07.2022</v>
      </c>
      <c r="D46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6" t="str">
        <f ca="1">IFERROR(__xludf.DUMMYFUNCTION("""COMPUTED_VALUE"""),"Новый")</f>
        <v>Новый</v>
      </c>
      <c r="G4616" s="68"/>
      <c r="K4616" s="68"/>
    </row>
    <row r="4617" spans="1:11" ht="12.75">
      <c r="A4617" s="69">
        <f ca="1">IFERROR(__xludf.DUMMYFUNCTION("""COMPUTED_VALUE"""),104530)</f>
        <v>104530</v>
      </c>
      <c r="B4617" s="4">
        <f ca="1">IFERROR(__xludf.DUMMYFUNCTION("""COMPUTED_VALUE"""),44795)</f>
        <v>44795</v>
      </c>
      <c r="C4617" t="str">
        <f ca="1">IFERROR(__xludf.DUMMYFUNCTION("""COMPUTED_VALUE"""),"БУ Г. ОМСКА ""УДХБ"" 197-РДО от 01.07.2022")</f>
        <v>БУ Г. ОМСКА "УДХБ" 197-РДО от 01.07.2022</v>
      </c>
      <c r="D46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7" t="str">
        <f ca="1">IFERROR(__xludf.DUMMYFUNCTION("""COMPUTED_VALUE"""),"Новый")</f>
        <v>Новый</v>
      </c>
      <c r="G4617" s="68"/>
      <c r="K4617" s="68"/>
    </row>
    <row r="4618" spans="1:11" ht="12.75">
      <c r="A4618" s="69">
        <f ca="1">IFERROR(__xludf.DUMMYFUNCTION("""COMPUTED_VALUE"""),104531)</f>
        <v>104531</v>
      </c>
      <c r="B4618" s="4">
        <f ca="1">IFERROR(__xludf.DUMMYFUNCTION("""COMPUTED_VALUE"""),44795)</f>
        <v>44795</v>
      </c>
      <c r="C4618" t="str">
        <f ca="1">IFERROR(__xludf.DUMMYFUNCTION("""COMPUTED_VALUE"""),"БУ Г. ОМСКА ""УДХБ"" 197-РДО от 01.07.2022")</f>
        <v>БУ Г. ОМСКА "УДХБ" 197-РДО от 01.07.2022</v>
      </c>
      <c r="D46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8" t="str">
        <f ca="1">IFERROR(__xludf.DUMMYFUNCTION("""COMPUTED_VALUE"""),"Новый")</f>
        <v>Новый</v>
      </c>
      <c r="G4618" s="68"/>
      <c r="K4618" s="68"/>
    </row>
    <row r="4619" spans="1:11" ht="12.75">
      <c r="A4619" s="69">
        <f ca="1">IFERROR(__xludf.DUMMYFUNCTION("""COMPUTED_VALUE"""),104532)</f>
        <v>104532</v>
      </c>
      <c r="B4619" s="4">
        <f ca="1">IFERROR(__xludf.DUMMYFUNCTION("""COMPUTED_VALUE"""),44795)</f>
        <v>44795</v>
      </c>
      <c r="C4619" t="str">
        <f ca="1">IFERROR(__xludf.DUMMYFUNCTION("""COMPUTED_VALUE"""),"БУ Г. ОМСКА ""УДХБ"" 197-РДО от 01.07.2022")</f>
        <v>БУ Г. ОМСКА "УДХБ" 197-РДО от 01.07.2022</v>
      </c>
      <c r="D46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19" t="str">
        <f ca="1">IFERROR(__xludf.DUMMYFUNCTION("""COMPUTED_VALUE"""),"Новый")</f>
        <v>Новый</v>
      </c>
      <c r="G4619" s="68"/>
      <c r="K4619" s="68"/>
    </row>
    <row r="4620" spans="1:11" ht="12.75">
      <c r="A4620" s="69">
        <f ca="1">IFERROR(__xludf.DUMMYFUNCTION("""COMPUTED_VALUE"""),104533)</f>
        <v>104533</v>
      </c>
      <c r="B4620" s="4">
        <f ca="1">IFERROR(__xludf.DUMMYFUNCTION("""COMPUTED_VALUE"""),44795)</f>
        <v>44795</v>
      </c>
      <c r="C4620" t="str">
        <f ca="1">IFERROR(__xludf.DUMMYFUNCTION("""COMPUTED_VALUE"""),"БУ Г. ОМСКА ""УДХБ"" 197-РДО от 01.07.2022")</f>
        <v>БУ Г. ОМСКА "УДХБ" 197-РДО от 01.07.2022</v>
      </c>
      <c r="D46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0" t="str">
        <f ca="1">IFERROR(__xludf.DUMMYFUNCTION("""COMPUTED_VALUE"""),"Новый")</f>
        <v>Новый</v>
      </c>
      <c r="G4620" s="68"/>
      <c r="K4620" s="68"/>
    </row>
    <row r="4621" spans="1:11" ht="12.75">
      <c r="A4621" s="69">
        <f ca="1">IFERROR(__xludf.DUMMYFUNCTION("""COMPUTED_VALUE"""),104534)</f>
        <v>104534</v>
      </c>
      <c r="B4621" s="4">
        <f ca="1">IFERROR(__xludf.DUMMYFUNCTION("""COMPUTED_VALUE"""),44795)</f>
        <v>44795</v>
      </c>
      <c r="C4621" t="str">
        <f ca="1">IFERROR(__xludf.DUMMYFUNCTION("""COMPUTED_VALUE"""),"БУ Г. ОМСКА ""УДХБ"" 197-РДО от 01.07.2022")</f>
        <v>БУ Г. ОМСКА "УДХБ" 197-РДО от 01.07.2022</v>
      </c>
      <c r="D46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1" t="str">
        <f ca="1">IFERROR(__xludf.DUMMYFUNCTION("""COMPUTED_VALUE"""),"Новый")</f>
        <v>Новый</v>
      </c>
      <c r="G4621" s="68"/>
      <c r="K4621" s="68"/>
    </row>
    <row r="4622" spans="1:11" ht="12.75">
      <c r="A4622" s="69">
        <f ca="1">IFERROR(__xludf.DUMMYFUNCTION("""COMPUTED_VALUE"""),104535)</f>
        <v>104535</v>
      </c>
      <c r="B4622" s="4">
        <f ca="1">IFERROR(__xludf.DUMMYFUNCTION("""COMPUTED_VALUE"""),44795)</f>
        <v>44795</v>
      </c>
      <c r="C4622" t="str">
        <f ca="1">IFERROR(__xludf.DUMMYFUNCTION("""COMPUTED_VALUE"""),"БУ Г. ОМСКА ""УДХБ"" 197-РДО от 01.07.2022")</f>
        <v>БУ Г. ОМСКА "УДХБ" 197-РДО от 01.07.2022</v>
      </c>
      <c r="D46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2" t="str">
        <f ca="1">IFERROR(__xludf.DUMMYFUNCTION("""COMPUTED_VALUE"""),"Новый")</f>
        <v>Новый</v>
      </c>
      <c r="G4622" s="68"/>
      <c r="K4622" s="68"/>
    </row>
    <row r="4623" spans="1:11" ht="12.75">
      <c r="A4623" s="69">
        <f ca="1">IFERROR(__xludf.DUMMYFUNCTION("""COMPUTED_VALUE"""),104536)</f>
        <v>104536</v>
      </c>
      <c r="B4623" s="4">
        <f ca="1">IFERROR(__xludf.DUMMYFUNCTION("""COMPUTED_VALUE"""),44795)</f>
        <v>44795</v>
      </c>
      <c r="C4623" t="str">
        <f ca="1">IFERROR(__xludf.DUMMYFUNCTION("""COMPUTED_VALUE"""),"БУ Г. ОМСКА ""УДХБ"" 197-РДО от 01.07.2022")</f>
        <v>БУ Г. ОМСКА "УДХБ" 197-РДО от 01.07.2022</v>
      </c>
      <c r="D46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3" t="str">
        <f ca="1">IFERROR(__xludf.DUMMYFUNCTION("""COMPUTED_VALUE"""),"Новый")</f>
        <v>Новый</v>
      </c>
      <c r="G4623" s="68"/>
      <c r="K4623" s="68"/>
    </row>
    <row r="4624" spans="1:11" ht="12.75">
      <c r="A4624" s="69">
        <f ca="1">IFERROR(__xludf.DUMMYFUNCTION("""COMPUTED_VALUE"""),104537)</f>
        <v>104537</v>
      </c>
      <c r="B4624" s="4">
        <f ca="1">IFERROR(__xludf.DUMMYFUNCTION("""COMPUTED_VALUE"""),44795)</f>
        <v>44795</v>
      </c>
      <c r="C4624" t="str">
        <f ca="1">IFERROR(__xludf.DUMMYFUNCTION("""COMPUTED_VALUE"""),"БУ Г. ОМСКА ""УДХБ"" 197-РДО от 01.07.2022")</f>
        <v>БУ Г. ОМСКА "УДХБ" 197-РДО от 01.07.2022</v>
      </c>
      <c r="D46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4" t="str">
        <f ca="1">IFERROR(__xludf.DUMMYFUNCTION("""COMPUTED_VALUE"""),"Новый")</f>
        <v>Новый</v>
      </c>
      <c r="G4624" s="68"/>
      <c r="K4624" s="68"/>
    </row>
    <row r="4625" spans="1:11" ht="12.75">
      <c r="A4625" s="69">
        <f ca="1">IFERROR(__xludf.DUMMYFUNCTION("""COMPUTED_VALUE"""),104538)</f>
        <v>104538</v>
      </c>
      <c r="B4625" s="4">
        <f ca="1">IFERROR(__xludf.DUMMYFUNCTION("""COMPUTED_VALUE"""),44795)</f>
        <v>44795</v>
      </c>
      <c r="C4625" t="str">
        <f ca="1">IFERROR(__xludf.DUMMYFUNCTION("""COMPUTED_VALUE"""),"БУ Г. ОМСКА ""УДХБ"" 197-РДО от 01.07.2022")</f>
        <v>БУ Г. ОМСКА "УДХБ" 197-РДО от 01.07.2022</v>
      </c>
      <c r="D46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5" t="str">
        <f ca="1">IFERROR(__xludf.DUMMYFUNCTION("""COMPUTED_VALUE"""),"Новый")</f>
        <v>Новый</v>
      </c>
      <c r="G4625" s="68"/>
      <c r="K4625" s="68"/>
    </row>
    <row r="4626" spans="1:11" ht="12.75">
      <c r="A4626" s="69">
        <f ca="1">IFERROR(__xludf.DUMMYFUNCTION("""COMPUTED_VALUE"""),104539)</f>
        <v>104539</v>
      </c>
      <c r="B4626" s="4">
        <f ca="1">IFERROR(__xludf.DUMMYFUNCTION("""COMPUTED_VALUE"""),44795)</f>
        <v>44795</v>
      </c>
      <c r="C4626" t="str">
        <f ca="1">IFERROR(__xludf.DUMMYFUNCTION("""COMPUTED_VALUE"""),"БУ Г. ОМСКА ""УДХБ"" 197-РДО от 01.07.2022")</f>
        <v>БУ Г. ОМСКА "УДХБ" 197-РДО от 01.07.2022</v>
      </c>
      <c r="D46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26" t="str">
        <f ca="1">IFERROR(__xludf.DUMMYFUNCTION("""COMPUTED_VALUE"""),"Новый")</f>
        <v>Новый</v>
      </c>
      <c r="G4626" s="68"/>
      <c r="K4626" s="68"/>
    </row>
    <row r="4627" spans="1:11" ht="12.75">
      <c r="A4627" s="69">
        <f ca="1">IFERROR(__xludf.DUMMYFUNCTION("""COMPUTED_VALUE"""),104580)</f>
        <v>104580</v>
      </c>
      <c r="B4627" s="4">
        <f ca="1">IFERROR(__xludf.DUMMYFUNCTION("""COMPUTED_VALUE"""),44795)</f>
        <v>44795</v>
      </c>
      <c r="C4627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27" t="str">
        <f ca="1">IFERROR(__xludf.DUMMYFUNCTION("""COMPUTED_VALUE"""),"Новый")</f>
        <v>Новый</v>
      </c>
      <c r="G4627" s="68"/>
      <c r="K4627" s="68"/>
    </row>
    <row r="4628" spans="1:11" ht="12.75">
      <c r="A4628" s="69">
        <f ca="1">IFERROR(__xludf.DUMMYFUNCTION("""COMPUTED_VALUE"""),104581)</f>
        <v>104581</v>
      </c>
      <c r="B4628" s="4">
        <f ca="1">IFERROR(__xludf.DUMMYFUNCTION("""COMPUTED_VALUE"""),44795)</f>
        <v>44795</v>
      </c>
      <c r="C4628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28" t="str">
        <f ca="1">IFERROR(__xludf.DUMMYFUNCTION("""COMPUTED_VALUE"""),"Новый")</f>
        <v>Новый</v>
      </c>
      <c r="G4628" s="68"/>
      <c r="K4628" s="68"/>
    </row>
    <row r="4629" spans="1:11" ht="12.75">
      <c r="A4629" s="69">
        <f ca="1">IFERROR(__xludf.DUMMYFUNCTION("""COMPUTED_VALUE"""),104582)</f>
        <v>104582</v>
      </c>
      <c r="B4629" s="4">
        <f ca="1">IFERROR(__xludf.DUMMYFUNCTION("""COMPUTED_VALUE"""),44795)</f>
        <v>44795</v>
      </c>
      <c r="C4629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29" t="str">
        <f ca="1">IFERROR(__xludf.DUMMYFUNCTION("""COMPUTED_VALUE"""),"Новый")</f>
        <v>Новый</v>
      </c>
      <c r="G4629" s="68"/>
      <c r="K4629" s="68"/>
    </row>
    <row r="4630" spans="1:11" ht="12.75">
      <c r="A4630" s="69">
        <f ca="1">IFERROR(__xludf.DUMMYFUNCTION("""COMPUTED_VALUE"""),104583)</f>
        <v>104583</v>
      </c>
      <c r="B4630" s="4">
        <f ca="1">IFERROR(__xludf.DUMMYFUNCTION("""COMPUTED_VALUE"""),44795)</f>
        <v>44795</v>
      </c>
      <c r="C4630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0" t="str">
        <f ca="1">IFERROR(__xludf.DUMMYFUNCTION("""COMPUTED_VALUE"""),"Новый")</f>
        <v>Новый</v>
      </c>
      <c r="G4630" s="68"/>
      <c r="K4630" s="68"/>
    </row>
    <row r="4631" spans="1:11" ht="12.75">
      <c r="A4631" s="69">
        <f ca="1">IFERROR(__xludf.DUMMYFUNCTION("""COMPUTED_VALUE"""),104584)</f>
        <v>104584</v>
      </c>
      <c r="B4631" s="4">
        <f ca="1">IFERROR(__xludf.DUMMYFUNCTION("""COMPUTED_VALUE"""),44795)</f>
        <v>44795</v>
      </c>
      <c r="C4631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1" t="str">
        <f ca="1">IFERROR(__xludf.DUMMYFUNCTION("""COMPUTED_VALUE"""),"Новый")</f>
        <v>Новый</v>
      </c>
      <c r="G4631" s="68"/>
      <c r="K4631" s="68"/>
    </row>
    <row r="4632" spans="1:11" ht="12.75">
      <c r="A4632" s="69">
        <f ca="1">IFERROR(__xludf.DUMMYFUNCTION("""COMPUTED_VALUE"""),104585)</f>
        <v>104585</v>
      </c>
      <c r="B4632" s="4">
        <f ca="1">IFERROR(__xludf.DUMMYFUNCTION("""COMPUTED_VALUE"""),44795)</f>
        <v>44795</v>
      </c>
      <c r="C4632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2" t="str">
        <f ca="1">IFERROR(__xludf.DUMMYFUNCTION("""COMPUTED_VALUE"""),"Новый")</f>
        <v>Новый</v>
      </c>
      <c r="G4632" s="68"/>
      <c r="K4632" s="68"/>
    </row>
    <row r="4633" spans="1:11" ht="12.75">
      <c r="A4633" s="69">
        <f ca="1">IFERROR(__xludf.DUMMYFUNCTION("""COMPUTED_VALUE"""),104586)</f>
        <v>104586</v>
      </c>
      <c r="B4633" s="4">
        <f ca="1">IFERROR(__xludf.DUMMYFUNCTION("""COMPUTED_VALUE"""),44795)</f>
        <v>44795</v>
      </c>
      <c r="C4633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3" t="str">
        <f ca="1">IFERROR(__xludf.DUMMYFUNCTION("""COMPUTED_VALUE"""),"Новый")</f>
        <v>Новый</v>
      </c>
      <c r="G4633" s="68"/>
      <c r="K4633" s="68"/>
    </row>
    <row r="4634" spans="1:11" ht="12.75">
      <c r="A4634" s="69">
        <f ca="1">IFERROR(__xludf.DUMMYFUNCTION("""COMPUTED_VALUE"""),104587)</f>
        <v>104587</v>
      </c>
      <c r="B4634" s="4">
        <f ca="1">IFERROR(__xludf.DUMMYFUNCTION("""COMPUTED_VALUE"""),44795)</f>
        <v>44795</v>
      </c>
      <c r="C4634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4" t="str">
        <f ca="1">IFERROR(__xludf.DUMMYFUNCTION("""COMPUTED_VALUE"""),"Новый")</f>
        <v>Новый</v>
      </c>
      <c r="G4634" s="68"/>
      <c r="K4634" s="68"/>
    </row>
    <row r="4635" spans="1:11" ht="12.75">
      <c r="A4635" s="69">
        <f ca="1">IFERROR(__xludf.DUMMYFUNCTION("""COMPUTED_VALUE"""),104588)</f>
        <v>104588</v>
      </c>
      <c r="B4635" s="4">
        <f ca="1">IFERROR(__xludf.DUMMYFUNCTION("""COMPUTED_VALUE"""),44795)</f>
        <v>44795</v>
      </c>
      <c r="C4635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5" t="str">
        <f ca="1">IFERROR(__xludf.DUMMYFUNCTION("""COMPUTED_VALUE"""),"Новый")</f>
        <v>Новый</v>
      </c>
      <c r="G4635" s="68"/>
      <c r="K4635" s="68"/>
    </row>
    <row r="4636" spans="1:11" ht="12.75">
      <c r="A4636" s="69">
        <f ca="1">IFERROR(__xludf.DUMMYFUNCTION("""COMPUTED_VALUE"""),104589)</f>
        <v>104589</v>
      </c>
      <c r="B4636" s="4">
        <f ca="1">IFERROR(__xludf.DUMMYFUNCTION("""COMPUTED_VALUE"""),44795)</f>
        <v>44795</v>
      </c>
      <c r="C4636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46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36" t="str">
        <f ca="1">IFERROR(__xludf.DUMMYFUNCTION("""COMPUTED_VALUE"""),"Новый")</f>
        <v>Новый</v>
      </c>
      <c r="G4636" s="68"/>
      <c r="K4636" s="68"/>
    </row>
    <row r="4637" spans="1:11" ht="12.75">
      <c r="A4637" s="69">
        <f ca="1">IFERROR(__xludf.DUMMYFUNCTION("""COMPUTED_VALUE"""),104630)</f>
        <v>104630</v>
      </c>
      <c r="B4637" s="4">
        <f ca="1">IFERROR(__xludf.DUMMYFUNCTION("""COMPUTED_VALUE"""),44796)</f>
        <v>44796</v>
      </c>
      <c r="C4637" t="str">
        <f ca="1">IFERROR(__xludf.DUMMYFUNCTION("""COMPUTED_VALUE"""),"БУ Г. ОМСКА ""УДХБ"" 197-РДО от 01.07.2022")</f>
        <v>БУ Г. ОМСКА "УДХБ" 197-РДО от 01.07.2022</v>
      </c>
      <c r="D46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37" t="str">
        <f ca="1">IFERROR(__xludf.DUMMYFUNCTION("""COMPUTED_VALUE"""),"Новый")</f>
        <v>Новый</v>
      </c>
      <c r="G4637" s="68"/>
      <c r="K4637" s="68"/>
    </row>
    <row r="4638" spans="1:11" ht="12.75">
      <c r="A4638" s="69">
        <f ca="1">IFERROR(__xludf.DUMMYFUNCTION("""COMPUTED_VALUE"""),104760)</f>
        <v>104760</v>
      </c>
      <c r="B4638" s="4">
        <f ca="1">IFERROR(__xludf.DUMMYFUNCTION("""COMPUTED_VALUE"""),44796)</f>
        <v>44796</v>
      </c>
      <c r="C4638" t="str">
        <f ca="1">IFERROR(__xludf.DUMMYFUNCTION("""COMPUTED_VALUE"""),"Омскэлектро, АО 207-РДО от 08.08.2022")</f>
        <v>Омскэлектро, АО 207-РДО от 08.08.2022</v>
      </c>
      <c r="D46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38" t="str">
        <f ca="1">IFERROR(__xludf.DUMMYFUNCTION("""COMPUTED_VALUE"""),"Новый")</f>
        <v>Новый</v>
      </c>
      <c r="G4638" s="68"/>
      <c r="K4638" s="68"/>
    </row>
    <row r="4639" spans="1:11" ht="12.75">
      <c r="A4639" s="69">
        <f ca="1">IFERROR(__xludf.DUMMYFUNCTION("""COMPUTED_VALUE"""),104761)</f>
        <v>104761</v>
      </c>
      <c r="B4639" s="4">
        <f ca="1">IFERROR(__xludf.DUMMYFUNCTION("""COMPUTED_VALUE"""),44796)</f>
        <v>44796</v>
      </c>
      <c r="C4639" t="str">
        <f ca="1">IFERROR(__xludf.DUMMYFUNCTION("""COMPUTED_VALUE"""),"Омскэлектро, АО 207-РДО от 08.08.2022")</f>
        <v>Омскэлектро, АО 207-РДО от 08.08.2022</v>
      </c>
      <c r="D46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39" t="str">
        <f ca="1">IFERROR(__xludf.DUMMYFUNCTION("""COMPUTED_VALUE"""),"Новый")</f>
        <v>Новый</v>
      </c>
      <c r="G4639" s="68"/>
      <c r="K4639" s="68"/>
    </row>
    <row r="4640" spans="1:11" ht="12.75">
      <c r="A4640" s="69">
        <f ca="1">IFERROR(__xludf.DUMMYFUNCTION("""COMPUTED_VALUE"""),104762)</f>
        <v>104762</v>
      </c>
      <c r="B4640" s="4">
        <f ca="1">IFERROR(__xludf.DUMMYFUNCTION("""COMPUTED_VALUE"""),44796)</f>
        <v>44796</v>
      </c>
      <c r="C4640" t="str">
        <f ca="1">IFERROR(__xludf.DUMMYFUNCTION("""COMPUTED_VALUE"""),"Омскэлектро, АО 207-РДО от 08.08.2022")</f>
        <v>Омскэлектро, АО 207-РДО от 08.08.2022</v>
      </c>
      <c r="D46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0" t="str">
        <f ca="1">IFERROR(__xludf.DUMMYFUNCTION("""COMPUTED_VALUE"""),"Новый")</f>
        <v>Новый</v>
      </c>
      <c r="G4640" s="68"/>
      <c r="K4640" s="68"/>
    </row>
    <row r="4641" spans="1:11" ht="12.75">
      <c r="A4641" s="69">
        <f ca="1">IFERROR(__xludf.DUMMYFUNCTION("""COMPUTED_VALUE"""),104763)</f>
        <v>104763</v>
      </c>
      <c r="B4641" s="4">
        <f ca="1">IFERROR(__xludf.DUMMYFUNCTION("""COMPUTED_VALUE"""),44796)</f>
        <v>44796</v>
      </c>
      <c r="C4641" t="str">
        <f ca="1">IFERROR(__xludf.DUMMYFUNCTION("""COMPUTED_VALUE"""),"Омскэлектро, АО 207-РДО от 08.08.2022")</f>
        <v>Омскэлектро, АО 207-РДО от 08.08.2022</v>
      </c>
      <c r="D46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1" t="str">
        <f ca="1">IFERROR(__xludf.DUMMYFUNCTION("""COMPUTED_VALUE"""),"Новый")</f>
        <v>Новый</v>
      </c>
      <c r="G4641" s="68"/>
      <c r="K4641" s="68"/>
    </row>
    <row r="4642" spans="1:11" ht="12.75">
      <c r="A4642" s="69">
        <f ca="1">IFERROR(__xludf.DUMMYFUNCTION("""COMPUTED_VALUE"""),104764)</f>
        <v>104764</v>
      </c>
      <c r="B4642" s="4">
        <f ca="1">IFERROR(__xludf.DUMMYFUNCTION("""COMPUTED_VALUE"""),44796)</f>
        <v>44796</v>
      </c>
      <c r="C4642" t="str">
        <f ca="1">IFERROR(__xludf.DUMMYFUNCTION("""COMPUTED_VALUE"""),"Омскэлектро, АО 207-РДО от 08.08.2022")</f>
        <v>Омскэлектро, АО 207-РДО от 08.08.2022</v>
      </c>
      <c r="D46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2" t="str">
        <f ca="1">IFERROR(__xludf.DUMMYFUNCTION("""COMPUTED_VALUE"""),"Новый")</f>
        <v>Новый</v>
      </c>
      <c r="G4642" s="68"/>
      <c r="K4642" s="68"/>
    </row>
    <row r="4643" spans="1:11" ht="12.75">
      <c r="A4643" s="69">
        <f ca="1">IFERROR(__xludf.DUMMYFUNCTION("""COMPUTED_VALUE"""),104765)</f>
        <v>104765</v>
      </c>
      <c r="B4643" s="4">
        <f ca="1">IFERROR(__xludf.DUMMYFUNCTION("""COMPUTED_VALUE"""),44796)</f>
        <v>44796</v>
      </c>
      <c r="C4643" t="str">
        <f ca="1">IFERROR(__xludf.DUMMYFUNCTION("""COMPUTED_VALUE"""),"Омскэлектро, АО 207-РДО от 08.08.2022")</f>
        <v>Омскэлектро, АО 207-РДО от 08.08.2022</v>
      </c>
      <c r="D46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3" t="str">
        <f ca="1">IFERROR(__xludf.DUMMYFUNCTION("""COMPUTED_VALUE"""),"Новый")</f>
        <v>Новый</v>
      </c>
      <c r="G4643" s="68"/>
      <c r="K4643" s="68"/>
    </row>
    <row r="4644" spans="1:11" ht="12.75">
      <c r="A4644" s="69">
        <f ca="1">IFERROR(__xludf.DUMMYFUNCTION("""COMPUTED_VALUE"""),104766)</f>
        <v>104766</v>
      </c>
      <c r="B4644" s="4">
        <f ca="1">IFERROR(__xludf.DUMMYFUNCTION("""COMPUTED_VALUE"""),44796)</f>
        <v>44796</v>
      </c>
      <c r="C4644" t="str">
        <f ca="1">IFERROR(__xludf.DUMMYFUNCTION("""COMPUTED_VALUE"""),"Омскэлектро, АО 207-РДО от 08.08.2022")</f>
        <v>Омскэлектро, АО 207-РДО от 08.08.2022</v>
      </c>
      <c r="D46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4" t="str">
        <f ca="1">IFERROR(__xludf.DUMMYFUNCTION("""COMPUTED_VALUE"""),"Новый")</f>
        <v>Новый</v>
      </c>
      <c r="G4644" s="68"/>
      <c r="K4644" s="68"/>
    </row>
    <row r="4645" spans="1:11" ht="12.75">
      <c r="A4645" s="69">
        <f ca="1">IFERROR(__xludf.DUMMYFUNCTION("""COMPUTED_VALUE"""),104767)</f>
        <v>104767</v>
      </c>
      <c r="B4645" s="4">
        <f ca="1">IFERROR(__xludf.DUMMYFUNCTION("""COMPUTED_VALUE"""),44796)</f>
        <v>44796</v>
      </c>
      <c r="C4645" t="str">
        <f ca="1">IFERROR(__xludf.DUMMYFUNCTION("""COMPUTED_VALUE"""),"Омскэлектро, АО 207-РДО от 08.08.2022")</f>
        <v>Омскэлектро, АО 207-РДО от 08.08.2022</v>
      </c>
      <c r="D46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5" t="str">
        <f ca="1">IFERROR(__xludf.DUMMYFUNCTION("""COMPUTED_VALUE"""),"Новый")</f>
        <v>Новый</v>
      </c>
      <c r="G4645" s="68"/>
      <c r="K4645" s="68"/>
    </row>
    <row r="4646" spans="1:11" ht="12.75">
      <c r="A4646" s="69">
        <f ca="1">IFERROR(__xludf.DUMMYFUNCTION("""COMPUTED_VALUE"""),104768)</f>
        <v>104768</v>
      </c>
      <c r="B4646" s="4">
        <f ca="1">IFERROR(__xludf.DUMMYFUNCTION("""COMPUTED_VALUE"""),44796)</f>
        <v>44796</v>
      </c>
      <c r="C4646" t="str">
        <f ca="1">IFERROR(__xludf.DUMMYFUNCTION("""COMPUTED_VALUE"""),"Омскэлектро, АО 207-РДО от 08.08.2022")</f>
        <v>Омскэлектро, АО 207-РДО от 08.08.2022</v>
      </c>
      <c r="D46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6" t="str">
        <f ca="1">IFERROR(__xludf.DUMMYFUNCTION("""COMPUTED_VALUE"""),"Новый")</f>
        <v>Новый</v>
      </c>
      <c r="G4646" s="68"/>
      <c r="K4646" s="68"/>
    </row>
    <row r="4647" spans="1:11" ht="12.75">
      <c r="A4647" s="69">
        <f ca="1">IFERROR(__xludf.DUMMYFUNCTION("""COMPUTED_VALUE"""),104769)</f>
        <v>104769</v>
      </c>
      <c r="B4647" s="4">
        <f ca="1">IFERROR(__xludf.DUMMYFUNCTION("""COMPUTED_VALUE"""),44796)</f>
        <v>44796</v>
      </c>
      <c r="C4647" t="str">
        <f ca="1">IFERROR(__xludf.DUMMYFUNCTION("""COMPUTED_VALUE"""),"Омскэлектро, АО 207-РДО от 08.08.2022")</f>
        <v>Омскэлектро, АО 207-РДО от 08.08.2022</v>
      </c>
      <c r="D46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7" t="str">
        <f ca="1">IFERROR(__xludf.DUMMYFUNCTION("""COMPUTED_VALUE"""),"Новый")</f>
        <v>Новый</v>
      </c>
      <c r="G4647" s="68"/>
      <c r="K4647" s="68"/>
    </row>
    <row r="4648" spans="1:11" ht="12.75">
      <c r="A4648" s="69">
        <f ca="1">IFERROR(__xludf.DUMMYFUNCTION("""COMPUTED_VALUE"""),104770)</f>
        <v>104770</v>
      </c>
      <c r="B4648" s="4">
        <f ca="1">IFERROR(__xludf.DUMMYFUNCTION("""COMPUTED_VALUE"""),44796)</f>
        <v>44796</v>
      </c>
      <c r="C4648" t="str">
        <f ca="1">IFERROR(__xludf.DUMMYFUNCTION("""COMPUTED_VALUE"""),"Омскэлектро, АО 207-РДО от 08.08.2022")</f>
        <v>Омскэлектро, АО 207-РДО от 08.08.2022</v>
      </c>
      <c r="D46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8" t="str">
        <f ca="1">IFERROR(__xludf.DUMMYFUNCTION("""COMPUTED_VALUE"""),"Новый")</f>
        <v>Новый</v>
      </c>
      <c r="G4648" s="68"/>
      <c r="K4648" s="68"/>
    </row>
    <row r="4649" spans="1:11" ht="12.75">
      <c r="A4649" s="69">
        <f ca="1">IFERROR(__xludf.DUMMYFUNCTION("""COMPUTED_VALUE"""),104771)</f>
        <v>104771</v>
      </c>
      <c r="B4649" s="4">
        <f ca="1">IFERROR(__xludf.DUMMYFUNCTION("""COMPUTED_VALUE"""),44796)</f>
        <v>44796</v>
      </c>
      <c r="C4649" t="str">
        <f ca="1">IFERROR(__xludf.DUMMYFUNCTION("""COMPUTED_VALUE"""),"Омскэлектро, АО 207-РДО от 08.08.2022")</f>
        <v>Омскэлектро, АО 207-РДО от 08.08.2022</v>
      </c>
      <c r="D46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49" t="str">
        <f ca="1">IFERROR(__xludf.DUMMYFUNCTION("""COMPUTED_VALUE"""),"Новый")</f>
        <v>Новый</v>
      </c>
      <c r="G4649" s="68"/>
      <c r="K4649" s="68"/>
    </row>
    <row r="4650" spans="1:11" ht="12.75">
      <c r="A4650" s="69">
        <f ca="1">IFERROR(__xludf.DUMMYFUNCTION("""COMPUTED_VALUE"""),104772)</f>
        <v>104772</v>
      </c>
      <c r="B4650" s="4">
        <f ca="1">IFERROR(__xludf.DUMMYFUNCTION("""COMPUTED_VALUE"""),44796)</f>
        <v>44796</v>
      </c>
      <c r="C4650" t="str">
        <f ca="1">IFERROR(__xludf.DUMMYFUNCTION("""COMPUTED_VALUE"""),"Омскэлектро, АО 207-РДО от 08.08.2022")</f>
        <v>Омскэлектро, АО 207-РДО от 08.08.2022</v>
      </c>
      <c r="D46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0" t="str">
        <f ca="1">IFERROR(__xludf.DUMMYFUNCTION("""COMPUTED_VALUE"""),"Новый")</f>
        <v>Новый</v>
      </c>
      <c r="G4650" s="68"/>
      <c r="K4650" s="68"/>
    </row>
    <row r="4651" spans="1:11" ht="12.75">
      <c r="A4651" s="69">
        <f ca="1">IFERROR(__xludf.DUMMYFUNCTION("""COMPUTED_VALUE"""),104773)</f>
        <v>104773</v>
      </c>
      <c r="B4651" s="4">
        <f ca="1">IFERROR(__xludf.DUMMYFUNCTION("""COMPUTED_VALUE"""),44796)</f>
        <v>44796</v>
      </c>
      <c r="C4651" t="str">
        <f ca="1">IFERROR(__xludf.DUMMYFUNCTION("""COMPUTED_VALUE"""),"Омскэлектро, АО 207-РДО от 08.08.2022")</f>
        <v>Омскэлектро, АО 207-РДО от 08.08.2022</v>
      </c>
      <c r="D46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1" t="str">
        <f ca="1">IFERROR(__xludf.DUMMYFUNCTION("""COMPUTED_VALUE"""),"Новый")</f>
        <v>Новый</v>
      </c>
      <c r="G4651" s="68"/>
      <c r="K4651" s="68"/>
    </row>
    <row r="4652" spans="1:11" ht="12.75">
      <c r="A4652" s="69">
        <f ca="1">IFERROR(__xludf.DUMMYFUNCTION("""COMPUTED_VALUE"""),104774)</f>
        <v>104774</v>
      </c>
      <c r="B4652" s="4">
        <f ca="1">IFERROR(__xludf.DUMMYFUNCTION("""COMPUTED_VALUE"""),44796)</f>
        <v>44796</v>
      </c>
      <c r="C4652" t="str">
        <f ca="1">IFERROR(__xludf.DUMMYFUNCTION("""COMPUTED_VALUE"""),"Омскэлектро, АО 207-РДО от 08.08.2022")</f>
        <v>Омскэлектро, АО 207-РДО от 08.08.2022</v>
      </c>
      <c r="D46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2" t="str">
        <f ca="1">IFERROR(__xludf.DUMMYFUNCTION("""COMPUTED_VALUE"""),"Новый")</f>
        <v>Новый</v>
      </c>
      <c r="G4652" s="68"/>
      <c r="K4652" s="68"/>
    </row>
    <row r="4653" spans="1:11" ht="12.75">
      <c r="A4653" s="69">
        <f ca="1">IFERROR(__xludf.DUMMYFUNCTION("""COMPUTED_VALUE"""),104775)</f>
        <v>104775</v>
      </c>
      <c r="B4653" s="4">
        <f ca="1">IFERROR(__xludf.DUMMYFUNCTION("""COMPUTED_VALUE"""),44796)</f>
        <v>44796</v>
      </c>
      <c r="C4653" t="str">
        <f ca="1">IFERROR(__xludf.DUMMYFUNCTION("""COMPUTED_VALUE"""),"Омскэлектро, АО 207-РДО от 08.08.2022")</f>
        <v>Омскэлектро, АО 207-РДО от 08.08.2022</v>
      </c>
      <c r="D46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3" t="str">
        <f ca="1">IFERROR(__xludf.DUMMYFUNCTION("""COMPUTED_VALUE"""),"Новый")</f>
        <v>Новый</v>
      </c>
      <c r="G4653" s="68"/>
      <c r="K4653" s="68"/>
    </row>
    <row r="4654" spans="1:11" ht="12.75">
      <c r="A4654" s="69">
        <f ca="1">IFERROR(__xludf.DUMMYFUNCTION("""COMPUTED_VALUE"""),104776)</f>
        <v>104776</v>
      </c>
      <c r="B4654" s="4">
        <f ca="1">IFERROR(__xludf.DUMMYFUNCTION("""COMPUTED_VALUE"""),44796)</f>
        <v>44796</v>
      </c>
      <c r="C4654" t="str">
        <f ca="1">IFERROR(__xludf.DUMMYFUNCTION("""COMPUTED_VALUE"""),"Омскэлектро, АО 207-РДО от 08.08.2022")</f>
        <v>Омскэлектро, АО 207-РДО от 08.08.2022</v>
      </c>
      <c r="D46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4" t="str">
        <f ca="1">IFERROR(__xludf.DUMMYFUNCTION("""COMPUTED_VALUE"""),"Новый")</f>
        <v>Новый</v>
      </c>
      <c r="G4654" s="68"/>
      <c r="K4654" s="68"/>
    </row>
    <row r="4655" spans="1:11" ht="12.75">
      <c r="A4655" s="69">
        <f ca="1">IFERROR(__xludf.DUMMYFUNCTION("""COMPUTED_VALUE"""),104777)</f>
        <v>104777</v>
      </c>
      <c r="B4655" s="4">
        <f ca="1">IFERROR(__xludf.DUMMYFUNCTION("""COMPUTED_VALUE"""),44796)</f>
        <v>44796</v>
      </c>
      <c r="C4655" t="str">
        <f ca="1">IFERROR(__xludf.DUMMYFUNCTION("""COMPUTED_VALUE"""),"Омскэлектро, АО 207-РДО от 08.08.2022")</f>
        <v>Омскэлектро, АО 207-РДО от 08.08.2022</v>
      </c>
      <c r="D46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5" t="str">
        <f ca="1">IFERROR(__xludf.DUMMYFUNCTION("""COMPUTED_VALUE"""),"Новый")</f>
        <v>Новый</v>
      </c>
      <c r="G4655" s="68"/>
      <c r="K4655" s="68"/>
    </row>
    <row r="4656" spans="1:11" ht="12.75">
      <c r="A4656" s="69">
        <f ca="1">IFERROR(__xludf.DUMMYFUNCTION("""COMPUTED_VALUE"""),104778)</f>
        <v>104778</v>
      </c>
      <c r="B4656" s="4">
        <f ca="1">IFERROR(__xludf.DUMMYFUNCTION("""COMPUTED_VALUE"""),44796)</f>
        <v>44796</v>
      </c>
      <c r="C4656" t="str">
        <f ca="1">IFERROR(__xludf.DUMMYFUNCTION("""COMPUTED_VALUE"""),"Омскэлектро, АО 207-РДО от 08.08.2022")</f>
        <v>Омскэлектро, АО 207-РДО от 08.08.2022</v>
      </c>
      <c r="D46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6" t="str">
        <f ca="1">IFERROR(__xludf.DUMMYFUNCTION("""COMPUTED_VALUE"""),"Новый")</f>
        <v>Новый</v>
      </c>
      <c r="G4656" s="68"/>
      <c r="K4656" s="68"/>
    </row>
    <row r="4657" spans="1:11" ht="12.75">
      <c r="A4657" s="69">
        <f ca="1">IFERROR(__xludf.DUMMYFUNCTION("""COMPUTED_VALUE"""),104779)</f>
        <v>104779</v>
      </c>
      <c r="B4657" s="4">
        <f ca="1">IFERROR(__xludf.DUMMYFUNCTION("""COMPUTED_VALUE"""),44796)</f>
        <v>44796</v>
      </c>
      <c r="C4657" t="str">
        <f ca="1">IFERROR(__xludf.DUMMYFUNCTION("""COMPUTED_VALUE"""),"Омскэлектро, АО 207-РДО от 08.08.2022")</f>
        <v>Омскэлектро, АО 207-РДО от 08.08.2022</v>
      </c>
      <c r="D46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7" t="str">
        <f ca="1">IFERROR(__xludf.DUMMYFUNCTION("""COMPUTED_VALUE"""),"Новый")</f>
        <v>Новый</v>
      </c>
      <c r="G4657" s="68"/>
      <c r="K4657" s="68"/>
    </row>
    <row r="4658" spans="1:11" ht="12.75">
      <c r="A4658" s="69">
        <f ca="1">IFERROR(__xludf.DUMMYFUNCTION("""COMPUTED_VALUE"""),104785)</f>
        <v>104785</v>
      </c>
      <c r="B4658" s="4">
        <f ca="1">IFERROR(__xludf.DUMMYFUNCTION("""COMPUTED_VALUE"""),44796)</f>
        <v>44796</v>
      </c>
      <c r="C4658" t="str">
        <f ca="1">IFERROR(__xludf.DUMMYFUNCTION("""COMPUTED_VALUE"""),"Омскэлектро, АО 207-РДО от 08.08.2022")</f>
        <v>Омскэлектро, АО 207-РДО от 08.08.2022</v>
      </c>
      <c r="D46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8" t="str">
        <f ca="1">IFERROR(__xludf.DUMMYFUNCTION("""COMPUTED_VALUE"""),"Новый")</f>
        <v>Новый</v>
      </c>
      <c r="G4658" s="68"/>
      <c r="K4658" s="68"/>
    </row>
    <row r="4659" spans="1:11" ht="12.75">
      <c r="A4659" s="69">
        <f ca="1">IFERROR(__xludf.DUMMYFUNCTION("""COMPUTED_VALUE"""),104804)</f>
        <v>104804</v>
      </c>
      <c r="B4659" s="4">
        <f ca="1">IFERROR(__xludf.DUMMYFUNCTION("""COMPUTED_VALUE"""),44796)</f>
        <v>44796</v>
      </c>
      <c r="C4659" t="str">
        <f ca="1">IFERROR(__xludf.DUMMYFUNCTION("""COMPUTED_VALUE"""),"Омскэлектро, АО 207-РДО от 08.08.2022")</f>
        <v>Омскэлектро, АО 207-РДО от 08.08.2022</v>
      </c>
      <c r="D46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59" t="str">
        <f ca="1">IFERROR(__xludf.DUMMYFUNCTION("""COMPUTED_VALUE"""),"Новый")</f>
        <v>Новый</v>
      </c>
      <c r="G4659" s="68"/>
      <c r="K4659" s="68"/>
    </row>
    <row r="4660" spans="1:11" ht="12.75">
      <c r="A4660" s="69">
        <f ca="1">IFERROR(__xludf.DUMMYFUNCTION("""COMPUTED_VALUE"""),104807)</f>
        <v>104807</v>
      </c>
      <c r="B4660" s="4">
        <f ca="1">IFERROR(__xludf.DUMMYFUNCTION("""COMPUTED_VALUE"""),44796)</f>
        <v>44796</v>
      </c>
      <c r="C4660" t="str">
        <f ca="1">IFERROR(__xludf.DUMMYFUNCTION("""COMPUTED_VALUE"""),"Омскэлектро, АО 207-РДО от 08.08.2022")</f>
        <v>Омскэлектро, АО 207-РДО от 08.08.2022</v>
      </c>
      <c r="D46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0" t="str">
        <f ca="1">IFERROR(__xludf.DUMMYFUNCTION("""COMPUTED_VALUE"""),"Новый")</f>
        <v>Новый</v>
      </c>
      <c r="G4660" s="68"/>
      <c r="K4660" s="68"/>
    </row>
    <row r="4661" spans="1:11" ht="12.75">
      <c r="A4661" s="69">
        <f ca="1">IFERROR(__xludf.DUMMYFUNCTION("""COMPUTED_VALUE"""),104810)</f>
        <v>104810</v>
      </c>
      <c r="B4661" s="4">
        <f ca="1">IFERROR(__xludf.DUMMYFUNCTION("""COMPUTED_VALUE"""),44796)</f>
        <v>44796</v>
      </c>
      <c r="C4661" t="str">
        <f ca="1">IFERROR(__xludf.DUMMYFUNCTION("""COMPUTED_VALUE"""),"Омскэлектро, АО 207-РДО от 08.08.2022")</f>
        <v>Омскэлектро, АО 207-РДО от 08.08.2022</v>
      </c>
      <c r="D46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1" t="str">
        <f ca="1">IFERROR(__xludf.DUMMYFUNCTION("""COMPUTED_VALUE"""),"Новый")</f>
        <v>Новый</v>
      </c>
      <c r="G4661" s="68"/>
      <c r="K4661" s="68"/>
    </row>
    <row r="4662" spans="1:11" ht="12.75">
      <c r="A4662" s="69">
        <f ca="1">IFERROR(__xludf.DUMMYFUNCTION("""COMPUTED_VALUE"""),104811)</f>
        <v>104811</v>
      </c>
      <c r="B4662" s="4">
        <f ca="1">IFERROR(__xludf.DUMMYFUNCTION("""COMPUTED_VALUE"""),44796)</f>
        <v>44796</v>
      </c>
      <c r="C4662" t="str">
        <f ca="1">IFERROR(__xludf.DUMMYFUNCTION("""COMPUTED_VALUE"""),"Омскэлектро, АО 207-РДО от 08.08.2022")</f>
        <v>Омскэлектро, АО 207-РДО от 08.08.2022</v>
      </c>
      <c r="D46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2" t="str">
        <f ca="1">IFERROR(__xludf.DUMMYFUNCTION("""COMPUTED_VALUE"""),"Новый")</f>
        <v>Новый</v>
      </c>
      <c r="G4662" s="68"/>
      <c r="K4662" s="68"/>
    </row>
    <row r="4663" spans="1:11" ht="12.75">
      <c r="A4663" s="69">
        <f ca="1">IFERROR(__xludf.DUMMYFUNCTION("""COMPUTED_VALUE"""),104820)</f>
        <v>104820</v>
      </c>
      <c r="B4663" s="4">
        <f ca="1">IFERROR(__xludf.DUMMYFUNCTION("""COMPUTED_VALUE"""),44796)</f>
        <v>44796</v>
      </c>
      <c r="C4663" t="str">
        <f ca="1">IFERROR(__xludf.DUMMYFUNCTION("""COMPUTED_VALUE"""),"ООО СПС 209-РДО от 17.08.2022")</f>
        <v>ООО СПС 209-РДО от 17.08.2022</v>
      </c>
      <c r="D46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3" t="str">
        <f ca="1">IFERROR(__xludf.DUMMYFUNCTION("""COMPUTED_VALUE"""),"Новый")</f>
        <v>Новый</v>
      </c>
      <c r="G4663" s="68"/>
      <c r="K4663" s="68"/>
    </row>
    <row r="4664" spans="1:11" ht="12.75">
      <c r="A4664" s="69">
        <f ca="1">IFERROR(__xludf.DUMMYFUNCTION("""COMPUTED_VALUE"""),104821)</f>
        <v>104821</v>
      </c>
      <c r="B4664" s="4">
        <f ca="1">IFERROR(__xludf.DUMMYFUNCTION("""COMPUTED_VALUE"""),44796)</f>
        <v>44796</v>
      </c>
      <c r="C4664" t="str">
        <f ca="1">IFERROR(__xludf.DUMMYFUNCTION("""COMPUTED_VALUE"""),"ООО СПС 209-РДО от 17.08.2022")</f>
        <v>ООО СПС 209-РДО от 17.08.2022</v>
      </c>
      <c r="D46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4" t="str">
        <f ca="1">IFERROR(__xludf.DUMMYFUNCTION("""COMPUTED_VALUE"""),"Новый")</f>
        <v>Новый</v>
      </c>
      <c r="G4664" s="68"/>
      <c r="K4664" s="68"/>
    </row>
    <row r="4665" spans="1:11" ht="12.75">
      <c r="A4665" s="69">
        <f ca="1">IFERROR(__xludf.DUMMYFUNCTION("""COMPUTED_VALUE"""),104822)</f>
        <v>104822</v>
      </c>
      <c r="B4665" s="4">
        <f ca="1">IFERROR(__xludf.DUMMYFUNCTION("""COMPUTED_VALUE"""),44796)</f>
        <v>44796</v>
      </c>
      <c r="C4665" t="str">
        <f ca="1">IFERROR(__xludf.DUMMYFUNCTION("""COMPUTED_VALUE"""),"ООО СПС 209-РДО от 17.08.2022")</f>
        <v>ООО СПС 209-РДО от 17.08.2022</v>
      </c>
      <c r="D46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5" t="str">
        <f ca="1">IFERROR(__xludf.DUMMYFUNCTION("""COMPUTED_VALUE"""),"Новый")</f>
        <v>Новый</v>
      </c>
      <c r="G4665" s="68"/>
      <c r="K4665" s="68"/>
    </row>
    <row r="4666" spans="1:11" ht="12.75">
      <c r="A4666" s="69">
        <f ca="1">IFERROR(__xludf.DUMMYFUNCTION("""COMPUTED_VALUE"""),104823)</f>
        <v>104823</v>
      </c>
      <c r="B4666" s="4">
        <f ca="1">IFERROR(__xludf.DUMMYFUNCTION("""COMPUTED_VALUE"""),44796)</f>
        <v>44796</v>
      </c>
      <c r="C4666" t="str">
        <f ca="1">IFERROR(__xludf.DUMMYFUNCTION("""COMPUTED_VALUE"""),"ООО СПС 209-РДО от 17.08.2022")</f>
        <v>ООО СПС 209-РДО от 17.08.2022</v>
      </c>
      <c r="D46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6" t="str">
        <f ca="1">IFERROR(__xludf.DUMMYFUNCTION("""COMPUTED_VALUE"""),"Новый")</f>
        <v>Новый</v>
      </c>
      <c r="G4666" s="68"/>
      <c r="K4666" s="68"/>
    </row>
    <row r="4667" spans="1:11" ht="12.75">
      <c r="A4667" s="69">
        <f ca="1">IFERROR(__xludf.DUMMYFUNCTION("""COMPUTED_VALUE"""),104824)</f>
        <v>104824</v>
      </c>
      <c r="B4667" s="4">
        <f ca="1">IFERROR(__xludf.DUMMYFUNCTION("""COMPUTED_VALUE"""),44796)</f>
        <v>44796</v>
      </c>
      <c r="C4667" t="str">
        <f ca="1">IFERROR(__xludf.DUMMYFUNCTION("""COMPUTED_VALUE"""),"ООО СПС 209-РДО от 17.08.2022")</f>
        <v>ООО СПС 209-РДО от 17.08.2022</v>
      </c>
      <c r="D46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7" t="str">
        <f ca="1">IFERROR(__xludf.DUMMYFUNCTION("""COMPUTED_VALUE"""),"Новый")</f>
        <v>Новый</v>
      </c>
      <c r="G4667" s="68"/>
      <c r="K4667" s="68"/>
    </row>
    <row r="4668" spans="1:11" ht="12.75">
      <c r="A4668" s="69">
        <f ca="1">IFERROR(__xludf.DUMMYFUNCTION("""COMPUTED_VALUE"""),104825)</f>
        <v>104825</v>
      </c>
      <c r="B4668" s="4">
        <f ca="1">IFERROR(__xludf.DUMMYFUNCTION("""COMPUTED_VALUE"""),44796)</f>
        <v>44796</v>
      </c>
      <c r="C4668" t="str">
        <f ca="1">IFERROR(__xludf.DUMMYFUNCTION("""COMPUTED_VALUE"""),"ООО СПС 209-РДО от 17.08.2022")</f>
        <v>ООО СПС 209-РДО от 17.08.2022</v>
      </c>
      <c r="D46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8" t="str">
        <f ca="1">IFERROR(__xludf.DUMMYFUNCTION("""COMPUTED_VALUE"""),"Новый")</f>
        <v>Новый</v>
      </c>
      <c r="G4668" s="68"/>
      <c r="K4668" s="68"/>
    </row>
    <row r="4669" spans="1:11" ht="12.75">
      <c r="A4669" s="69">
        <f ca="1">IFERROR(__xludf.DUMMYFUNCTION("""COMPUTED_VALUE"""),104826)</f>
        <v>104826</v>
      </c>
      <c r="B4669" s="4">
        <f ca="1">IFERROR(__xludf.DUMMYFUNCTION("""COMPUTED_VALUE"""),44796)</f>
        <v>44796</v>
      </c>
      <c r="C4669" t="str">
        <f ca="1">IFERROR(__xludf.DUMMYFUNCTION("""COMPUTED_VALUE"""),"ООО СПС 209-РДО от 17.08.2022")</f>
        <v>ООО СПС 209-РДО от 17.08.2022</v>
      </c>
      <c r="D46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69" t="str">
        <f ca="1">IFERROR(__xludf.DUMMYFUNCTION("""COMPUTED_VALUE"""),"Новый")</f>
        <v>Новый</v>
      </c>
      <c r="G4669" s="68"/>
      <c r="K4669" s="68"/>
    </row>
    <row r="4670" spans="1:11" ht="12.75">
      <c r="A4670" s="69">
        <f ca="1">IFERROR(__xludf.DUMMYFUNCTION("""COMPUTED_VALUE"""),104827)</f>
        <v>104827</v>
      </c>
      <c r="B4670" s="4">
        <f ca="1">IFERROR(__xludf.DUMMYFUNCTION("""COMPUTED_VALUE"""),44796)</f>
        <v>44796</v>
      </c>
      <c r="C4670" t="str">
        <f ca="1">IFERROR(__xludf.DUMMYFUNCTION("""COMPUTED_VALUE"""),"ООО СПС 209-РДО от 17.08.2022")</f>
        <v>ООО СПС 209-РДО от 17.08.2022</v>
      </c>
      <c r="D46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0" t="str">
        <f ca="1">IFERROR(__xludf.DUMMYFUNCTION("""COMPUTED_VALUE"""),"Новый")</f>
        <v>Новый</v>
      </c>
      <c r="G4670" s="68"/>
      <c r="K4670" s="68"/>
    </row>
    <row r="4671" spans="1:11" ht="12.75">
      <c r="A4671" s="69">
        <f ca="1">IFERROR(__xludf.DUMMYFUNCTION("""COMPUTED_VALUE"""),104828)</f>
        <v>104828</v>
      </c>
      <c r="B4671" s="4">
        <f ca="1">IFERROR(__xludf.DUMMYFUNCTION("""COMPUTED_VALUE"""),44796)</f>
        <v>44796</v>
      </c>
      <c r="C4671" t="str">
        <f ca="1">IFERROR(__xludf.DUMMYFUNCTION("""COMPUTED_VALUE"""),"ООО СПС 209-РДО от 17.08.2022")</f>
        <v>ООО СПС 209-РДО от 17.08.2022</v>
      </c>
      <c r="D46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1" t="str">
        <f ca="1">IFERROR(__xludf.DUMMYFUNCTION("""COMPUTED_VALUE"""),"Новый")</f>
        <v>Новый</v>
      </c>
      <c r="G4671" s="68"/>
      <c r="K4671" s="68"/>
    </row>
    <row r="4672" spans="1:11" ht="12.75">
      <c r="A4672" s="69">
        <f ca="1">IFERROR(__xludf.DUMMYFUNCTION("""COMPUTED_VALUE"""),104829)</f>
        <v>104829</v>
      </c>
      <c r="B4672" s="4">
        <f ca="1">IFERROR(__xludf.DUMMYFUNCTION("""COMPUTED_VALUE"""),44796)</f>
        <v>44796</v>
      </c>
      <c r="C4672" t="str">
        <f ca="1">IFERROR(__xludf.DUMMYFUNCTION("""COMPUTED_VALUE"""),"ООО СПС 209-РДО от 17.08.2022")</f>
        <v>ООО СПС 209-РДО от 17.08.2022</v>
      </c>
      <c r="D46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2" t="str">
        <f ca="1">IFERROR(__xludf.DUMMYFUNCTION("""COMPUTED_VALUE"""),"Новый")</f>
        <v>Новый</v>
      </c>
      <c r="G4672" s="68"/>
      <c r="K4672" s="68"/>
    </row>
    <row r="4673" spans="1:11" ht="12.75">
      <c r="A4673" s="69">
        <f ca="1">IFERROR(__xludf.DUMMYFUNCTION("""COMPUTED_VALUE"""),104830)</f>
        <v>104830</v>
      </c>
      <c r="B4673" s="4">
        <f ca="1">IFERROR(__xludf.DUMMYFUNCTION("""COMPUTED_VALUE"""),44796)</f>
        <v>44796</v>
      </c>
      <c r="C4673" t="str">
        <f ca="1">IFERROR(__xludf.DUMMYFUNCTION("""COMPUTED_VALUE"""),"ООО СПС 209-РДО от 17.08.2022")</f>
        <v>ООО СПС 209-РДО от 17.08.2022</v>
      </c>
      <c r="D46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3" t="str">
        <f ca="1">IFERROR(__xludf.DUMMYFUNCTION("""COMPUTED_VALUE"""),"Новый")</f>
        <v>Новый</v>
      </c>
      <c r="G4673" s="68"/>
      <c r="K4673" s="68"/>
    </row>
    <row r="4674" spans="1:11" ht="12.75">
      <c r="A4674" s="69">
        <f ca="1">IFERROR(__xludf.DUMMYFUNCTION("""COMPUTED_VALUE"""),104831)</f>
        <v>104831</v>
      </c>
      <c r="B4674" s="4">
        <f ca="1">IFERROR(__xludf.DUMMYFUNCTION("""COMPUTED_VALUE"""),44796)</f>
        <v>44796</v>
      </c>
      <c r="C4674" t="str">
        <f ca="1">IFERROR(__xludf.DUMMYFUNCTION("""COMPUTED_VALUE"""),"ООО СПС 209-РДО от 17.08.2022")</f>
        <v>ООО СПС 209-РДО от 17.08.2022</v>
      </c>
      <c r="D46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4" t="str">
        <f ca="1">IFERROR(__xludf.DUMMYFUNCTION("""COMPUTED_VALUE"""),"Новый")</f>
        <v>Новый</v>
      </c>
      <c r="G4674" s="68"/>
      <c r="K4674" s="68"/>
    </row>
    <row r="4675" spans="1:11" ht="12.75">
      <c r="A4675" s="69">
        <f ca="1">IFERROR(__xludf.DUMMYFUNCTION("""COMPUTED_VALUE"""),104832)</f>
        <v>104832</v>
      </c>
      <c r="B4675" s="4">
        <f ca="1">IFERROR(__xludf.DUMMYFUNCTION("""COMPUTED_VALUE"""),44796)</f>
        <v>44796</v>
      </c>
      <c r="C4675" t="str">
        <f ca="1">IFERROR(__xludf.DUMMYFUNCTION("""COMPUTED_VALUE"""),"ООО СПС 209-РДО от 17.08.2022")</f>
        <v>ООО СПС 209-РДО от 17.08.2022</v>
      </c>
      <c r="D46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5" t="str">
        <f ca="1">IFERROR(__xludf.DUMMYFUNCTION("""COMPUTED_VALUE"""),"Новый")</f>
        <v>Новый</v>
      </c>
      <c r="G4675" s="68"/>
      <c r="K4675" s="68"/>
    </row>
    <row r="4676" spans="1:11" ht="12.75">
      <c r="A4676" s="69">
        <f ca="1">IFERROR(__xludf.DUMMYFUNCTION("""COMPUTED_VALUE"""),104833)</f>
        <v>104833</v>
      </c>
      <c r="B4676" s="4">
        <f ca="1">IFERROR(__xludf.DUMMYFUNCTION("""COMPUTED_VALUE"""),44796)</f>
        <v>44796</v>
      </c>
      <c r="C4676" t="str">
        <f ca="1">IFERROR(__xludf.DUMMYFUNCTION("""COMPUTED_VALUE"""),"ООО СПС 209-РДО от 17.08.2022")</f>
        <v>ООО СПС 209-РДО от 17.08.2022</v>
      </c>
      <c r="D46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6" t="str">
        <f ca="1">IFERROR(__xludf.DUMMYFUNCTION("""COMPUTED_VALUE"""),"Новый")</f>
        <v>Новый</v>
      </c>
      <c r="G4676" s="68"/>
      <c r="K4676" s="68"/>
    </row>
    <row r="4677" spans="1:11" ht="12.75">
      <c r="A4677" s="69">
        <f ca="1">IFERROR(__xludf.DUMMYFUNCTION("""COMPUTED_VALUE"""),104834)</f>
        <v>104834</v>
      </c>
      <c r="B4677" s="4">
        <f ca="1">IFERROR(__xludf.DUMMYFUNCTION("""COMPUTED_VALUE"""),44796)</f>
        <v>44796</v>
      </c>
      <c r="C4677" t="str">
        <f ca="1">IFERROR(__xludf.DUMMYFUNCTION("""COMPUTED_VALUE"""),"ООО СПС 209-РДО от 17.08.2022")</f>
        <v>ООО СПС 209-РДО от 17.08.2022</v>
      </c>
      <c r="D46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7" t="str">
        <f ca="1">IFERROR(__xludf.DUMMYFUNCTION("""COMPUTED_VALUE"""),"Новый")</f>
        <v>Новый</v>
      </c>
      <c r="G4677" s="68"/>
      <c r="K4677" s="68"/>
    </row>
    <row r="4678" spans="1:11" ht="12.75">
      <c r="A4678" s="69">
        <f ca="1">IFERROR(__xludf.DUMMYFUNCTION("""COMPUTED_VALUE"""),104835)</f>
        <v>104835</v>
      </c>
      <c r="B4678" s="4">
        <f ca="1">IFERROR(__xludf.DUMMYFUNCTION("""COMPUTED_VALUE"""),44796)</f>
        <v>44796</v>
      </c>
      <c r="C4678" t="str">
        <f ca="1">IFERROR(__xludf.DUMMYFUNCTION("""COMPUTED_VALUE"""),"ООО СПС 209-РДО от 17.08.2022")</f>
        <v>ООО СПС 209-РДО от 17.08.2022</v>
      </c>
      <c r="D46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8" t="str">
        <f ca="1">IFERROR(__xludf.DUMMYFUNCTION("""COMPUTED_VALUE"""),"Новый")</f>
        <v>Новый</v>
      </c>
      <c r="G4678" s="68"/>
      <c r="K4678" s="68"/>
    </row>
    <row r="4679" spans="1:11" ht="12.75">
      <c r="A4679" s="69">
        <f ca="1">IFERROR(__xludf.DUMMYFUNCTION("""COMPUTED_VALUE"""),104836)</f>
        <v>104836</v>
      </c>
      <c r="B4679" s="4">
        <f ca="1">IFERROR(__xludf.DUMMYFUNCTION("""COMPUTED_VALUE"""),44796)</f>
        <v>44796</v>
      </c>
      <c r="C4679" t="str">
        <f ca="1">IFERROR(__xludf.DUMMYFUNCTION("""COMPUTED_VALUE"""),"ООО СПС 209-РДО от 17.08.2022")</f>
        <v>ООО СПС 209-РДО от 17.08.2022</v>
      </c>
      <c r="D46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79" t="str">
        <f ca="1">IFERROR(__xludf.DUMMYFUNCTION("""COMPUTED_VALUE"""),"Новый")</f>
        <v>Новый</v>
      </c>
      <c r="G4679" s="68"/>
      <c r="K4679" s="68"/>
    </row>
    <row r="4680" spans="1:11" ht="12.75">
      <c r="A4680" s="69">
        <f ca="1">IFERROR(__xludf.DUMMYFUNCTION("""COMPUTED_VALUE"""),104837)</f>
        <v>104837</v>
      </c>
      <c r="B4680" s="4">
        <f ca="1">IFERROR(__xludf.DUMMYFUNCTION("""COMPUTED_VALUE"""),44796)</f>
        <v>44796</v>
      </c>
      <c r="C4680" t="str">
        <f ca="1">IFERROR(__xludf.DUMMYFUNCTION("""COMPUTED_VALUE"""),"ООО СПС 209-РДО от 17.08.2022")</f>
        <v>ООО СПС 209-РДО от 17.08.2022</v>
      </c>
      <c r="D46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80" t="str">
        <f ca="1">IFERROR(__xludf.DUMMYFUNCTION("""COMPUTED_VALUE"""),"Новый")</f>
        <v>Новый</v>
      </c>
      <c r="G4680" s="68"/>
      <c r="K4680" s="68"/>
    </row>
    <row r="4681" spans="1:11" ht="12.75">
      <c r="A4681" s="69">
        <f ca="1">IFERROR(__xludf.DUMMYFUNCTION("""COMPUTED_VALUE"""),104838)</f>
        <v>104838</v>
      </c>
      <c r="B4681" s="4">
        <f ca="1">IFERROR(__xludf.DUMMYFUNCTION("""COMPUTED_VALUE"""),44796)</f>
        <v>44796</v>
      </c>
      <c r="C4681" t="str">
        <f ca="1">IFERROR(__xludf.DUMMYFUNCTION("""COMPUTED_VALUE"""),"ООО СПС 209-РДО от 17.08.2022")</f>
        <v>ООО СПС 209-РДО от 17.08.2022</v>
      </c>
      <c r="D46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81" t="str">
        <f ca="1">IFERROR(__xludf.DUMMYFUNCTION("""COMPUTED_VALUE"""),"Новый")</f>
        <v>Новый</v>
      </c>
      <c r="G4681" s="68"/>
      <c r="K4681" s="68"/>
    </row>
    <row r="4682" spans="1:11" ht="12.75">
      <c r="A4682" s="69">
        <f ca="1">IFERROR(__xludf.DUMMYFUNCTION("""COMPUTED_VALUE"""),104839)</f>
        <v>104839</v>
      </c>
      <c r="B4682" s="4">
        <f ca="1">IFERROR(__xludf.DUMMYFUNCTION("""COMPUTED_VALUE"""),44796)</f>
        <v>44796</v>
      </c>
      <c r="C4682" t="str">
        <f ca="1">IFERROR(__xludf.DUMMYFUNCTION("""COMPUTED_VALUE"""),"ООО СПС 209-РДО от 17.08.2022")</f>
        <v>ООО СПС 209-РДО от 17.08.2022</v>
      </c>
      <c r="D46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82" t="str">
        <f ca="1">IFERROR(__xludf.DUMMYFUNCTION("""COMPUTED_VALUE"""),"Новый")</f>
        <v>Новый</v>
      </c>
      <c r="G4682" s="68"/>
      <c r="K4682" s="68"/>
    </row>
    <row r="4683" spans="1:11" ht="12.75">
      <c r="A4683" s="69">
        <f ca="1">IFERROR(__xludf.DUMMYFUNCTION("""COMPUTED_VALUE"""),104840)</f>
        <v>104840</v>
      </c>
      <c r="B4683" s="4">
        <f ca="1">IFERROR(__xludf.DUMMYFUNCTION("""COMPUTED_VALUE"""),44796)</f>
        <v>44796</v>
      </c>
      <c r="C4683" t="str">
        <f ca="1">IFERROR(__xludf.DUMMYFUNCTION("""COMPUTED_VALUE"""),"АО ЗСЖБ 167-СТР от 12.08.2022")</f>
        <v>АО ЗСЖБ 167-СТР от 12.08.2022</v>
      </c>
      <c r="D46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3" t="str">
        <f ca="1">IFERROR(__xludf.DUMMYFUNCTION("""COMPUTED_VALUE"""),"Новый")</f>
        <v>Новый</v>
      </c>
      <c r="G4683" s="68"/>
      <c r="K4683" s="68"/>
    </row>
    <row r="4684" spans="1:11" ht="12.75">
      <c r="A4684" s="69">
        <f ca="1">IFERROR(__xludf.DUMMYFUNCTION("""COMPUTED_VALUE"""),104841)</f>
        <v>104841</v>
      </c>
      <c r="B4684" s="4">
        <f ca="1">IFERROR(__xludf.DUMMYFUNCTION("""COMPUTED_VALUE"""),44796)</f>
        <v>44796</v>
      </c>
      <c r="C4684" t="str">
        <f ca="1">IFERROR(__xludf.DUMMYFUNCTION("""COMPUTED_VALUE"""),"АО ЗСЖБ 167-СТР от 12.08.2022")</f>
        <v>АО ЗСЖБ 167-СТР от 12.08.2022</v>
      </c>
      <c r="D46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4" t="str">
        <f ca="1">IFERROR(__xludf.DUMMYFUNCTION("""COMPUTED_VALUE"""),"Новый")</f>
        <v>Новый</v>
      </c>
      <c r="G4684" s="68"/>
      <c r="K4684" s="68"/>
    </row>
    <row r="4685" spans="1:11" ht="12.75">
      <c r="A4685" s="69">
        <f ca="1">IFERROR(__xludf.DUMMYFUNCTION("""COMPUTED_VALUE"""),104842)</f>
        <v>104842</v>
      </c>
      <c r="B4685" s="4">
        <f ca="1">IFERROR(__xludf.DUMMYFUNCTION("""COMPUTED_VALUE"""),44796)</f>
        <v>44796</v>
      </c>
      <c r="C4685" t="str">
        <f ca="1">IFERROR(__xludf.DUMMYFUNCTION("""COMPUTED_VALUE"""),"АО ЗСЖБ 167-СТР от 12.08.2022")</f>
        <v>АО ЗСЖБ 167-СТР от 12.08.2022</v>
      </c>
      <c r="D46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5" t="str">
        <f ca="1">IFERROR(__xludf.DUMMYFUNCTION("""COMPUTED_VALUE"""),"Новый")</f>
        <v>Новый</v>
      </c>
      <c r="G4685" s="68"/>
      <c r="K4685" s="68"/>
    </row>
    <row r="4686" spans="1:11" ht="12.75">
      <c r="A4686" s="69">
        <f ca="1">IFERROR(__xludf.DUMMYFUNCTION("""COMPUTED_VALUE"""),104843)</f>
        <v>104843</v>
      </c>
      <c r="B4686" s="4">
        <f ca="1">IFERROR(__xludf.DUMMYFUNCTION("""COMPUTED_VALUE"""),44796)</f>
        <v>44796</v>
      </c>
      <c r="C4686" t="str">
        <f ca="1">IFERROR(__xludf.DUMMYFUNCTION("""COMPUTED_VALUE"""),"АО ЗСЖБ 167-СТР от 12.08.2022")</f>
        <v>АО ЗСЖБ 167-СТР от 12.08.2022</v>
      </c>
      <c r="D46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6" t="str">
        <f ca="1">IFERROR(__xludf.DUMMYFUNCTION("""COMPUTED_VALUE"""),"Новый")</f>
        <v>Новый</v>
      </c>
      <c r="G4686" s="68"/>
      <c r="K4686" s="68"/>
    </row>
    <row r="4687" spans="1:11" ht="12.75">
      <c r="A4687" s="69">
        <f ca="1">IFERROR(__xludf.DUMMYFUNCTION("""COMPUTED_VALUE"""),104844)</f>
        <v>104844</v>
      </c>
      <c r="B4687" s="4">
        <f ca="1">IFERROR(__xludf.DUMMYFUNCTION("""COMPUTED_VALUE"""),44796)</f>
        <v>44796</v>
      </c>
      <c r="C4687" t="str">
        <f ca="1">IFERROR(__xludf.DUMMYFUNCTION("""COMPUTED_VALUE"""),"АО ЗСЖБ 167-СТР от 12.08.2022")</f>
        <v>АО ЗСЖБ 167-СТР от 12.08.2022</v>
      </c>
      <c r="D46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7" t="str">
        <f ca="1">IFERROR(__xludf.DUMMYFUNCTION("""COMPUTED_VALUE"""),"Новый")</f>
        <v>Новый</v>
      </c>
      <c r="G4687" s="68"/>
      <c r="K4687" s="68"/>
    </row>
    <row r="4688" spans="1:11" ht="12.75">
      <c r="A4688" s="69">
        <f ca="1">IFERROR(__xludf.DUMMYFUNCTION("""COMPUTED_VALUE"""),104845)</f>
        <v>104845</v>
      </c>
      <c r="B4688" s="4">
        <f ca="1">IFERROR(__xludf.DUMMYFUNCTION("""COMPUTED_VALUE"""),44796)</f>
        <v>44796</v>
      </c>
      <c r="C4688" t="str">
        <f ca="1">IFERROR(__xludf.DUMMYFUNCTION("""COMPUTED_VALUE"""),"АО ЗСЖБ 167-СТР от 12.08.2022")</f>
        <v>АО ЗСЖБ 167-СТР от 12.08.2022</v>
      </c>
      <c r="D46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8" t="str">
        <f ca="1">IFERROR(__xludf.DUMMYFUNCTION("""COMPUTED_VALUE"""),"Новый")</f>
        <v>Новый</v>
      </c>
      <c r="G4688" s="68"/>
      <c r="K4688" s="68"/>
    </row>
    <row r="4689" spans="1:11" ht="12.75">
      <c r="A4689" s="69">
        <f ca="1">IFERROR(__xludf.DUMMYFUNCTION("""COMPUTED_VALUE"""),104846)</f>
        <v>104846</v>
      </c>
      <c r="B4689" s="4">
        <f ca="1">IFERROR(__xludf.DUMMYFUNCTION("""COMPUTED_VALUE"""),44796)</f>
        <v>44796</v>
      </c>
      <c r="C4689" t="str">
        <f ca="1">IFERROR(__xludf.DUMMYFUNCTION("""COMPUTED_VALUE"""),"АО ЗСЖБ 167-СТР от 12.08.2022")</f>
        <v>АО ЗСЖБ 167-СТР от 12.08.2022</v>
      </c>
      <c r="D46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89" t="str">
        <f ca="1">IFERROR(__xludf.DUMMYFUNCTION("""COMPUTED_VALUE"""),"Новый")</f>
        <v>Новый</v>
      </c>
      <c r="G4689" s="68"/>
      <c r="K4689" s="68"/>
    </row>
    <row r="4690" spans="1:11" ht="12.75">
      <c r="A4690" s="69">
        <f ca="1">IFERROR(__xludf.DUMMYFUNCTION("""COMPUTED_VALUE"""),104847)</f>
        <v>104847</v>
      </c>
      <c r="B4690" s="4">
        <f ca="1">IFERROR(__xludf.DUMMYFUNCTION("""COMPUTED_VALUE"""),44796)</f>
        <v>44796</v>
      </c>
      <c r="C4690" t="str">
        <f ca="1">IFERROR(__xludf.DUMMYFUNCTION("""COMPUTED_VALUE"""),"АО ЗСЖБ 167-СТР от 12.08.2022")</f>
        <v>АО ЗСЖБ 167-СТР от 12.08.2022</v>
      </c>
      <c r="D46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90" t="str">
        <f ca="1">IFERROR(__xludf.DUMMYFUNCTION("""COMPUTED_VALUE"""),"Новый")</f>
        <v>Новый</v>
      </c>
      <c r="G4690" s="68"/>
      <c r="K4690" s="68"/>
    </row>
    <row r="4691" spans="1:11" ht="12.75">
      <c r="A4691" s="69">
        <f ca="1">IFERROR(__xludf.DUMMYFUNCTION("""COMPUTED_VALUE"""),104848)</f>
        <v>104848</v>
      </c>
      <c r="B4691" s="4">
        <f ca="1">IFERROR(__xludf.DUMMYFUNCTION("""COMPUTED_VALUE"""),44796)</f>
        <v>44796</v>
      </c>
      <c r="C4691" t="str">
        <f ca="1">IFERROR(__xludf.DUMMYFUNCTION("""COMPUTED_VALUE"""),"АО ЗСЖБ 167-СТР от 12.08.2022")</f>
        <v>АО ЗСЖБ 167-СТР от 12.08.2022</v>
      </c>
      <c r="D46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91" t="str">
        <f ca="1">IFERROR(__xludf.DUMMYFUNCTION("""COMPUTED_VALUE"""),"Новый")</f>
        <v>Новый</v>
      </c>
      <c r="G4691" s="68"/>
      <c r="K4691" s="68"/>
    </row>
    <row r="4692" spans="1:11" ht="12.75">
      <c r="A4692" s="69">
        <f ca="1">IFERROR(__xludf.DUMMYFUNCTION("""COMPUTED_VALUE"""),104849)</f>
        <v>104849</v>
      </c>
      <c r="B4692" s="4">
        <f ca="1">IFERROR(__xludf.DUMMYFUNCTION("""COMPUTED_VALUE"""),44796)</f>
        <v>44796</v>
      </c>
      <c r="C4692" t="str">
        <f ca="1">IFERROR(__xludf.DUMMYFUNCTION("""COMPUTED_VALUE"""),"АО ЗСЖБ 167-СТР от 12.08.2022")</f>
        <v>АО ЗСЖБ 167-СТР от 12.08.2022</v>
      </c>
      <c r="D46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692" t="str">
        <f ca="1">IFERROR(__xludf.DUMMYFUNCTION("""COMPUTED_VALUE"""),"Новый")</f>
        <v>Новый</v>
      </c>
      <c r="G4692" s="68"/>
      <c r="K4692" s="68"/>
    </row>
    <row r="4693" spans="1:11" ht="12.75">
      <c r="A4693" s="69">
        <f ca="1">IFERROR(__xludf.DUMMYFUNCTION("""COMPUTED_VALUE"""),104860)</f>
        <v>104860</v>
      </c>
      <c r="B4693" s="4">
        <f ca="1">IFERROR(__xludf.DUMMYFUNCTION("""COMPUTED_VALUE"""),44797)</f>
        <v>44797</v>
      </c>
      <c r="C4693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3" t="str">
        <f ca="1">IFERROR(__xludf.DUMMYFUNCTION("""COMPUTED_VALUE"""),"Новый")</f>
        <v>Новый</v>
      </c>
      <c r="G4693" s="68"/>
      <c r="K4693" s="68"/>
    </row>
    <row r="4694" spans="1:11" ht="12.75">
      <c r="A4694" s="69">
        <f ca="1">IFERROR(__xludf.DUMMYFUNCTION("""COMPUTED_VALUE"""),104861)</f>
        <v>104861</v>
      </c>
      <c r="B4694" s="4">
        <f ca="1">IFERROR(__xludf.DUMMYFUNCTION("""COMPUTED_VALUE"""),44797)</f>
        <v>44797</v>
      </c>
      <c r="C4694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4" t="str">
        <f ca="1">IFERROR(__xludf.DUMMYFUNCTION("""COMPUTED_VALUE"""),"Новый")</f>
        <v>Новый</v>
      </c>
      <c r="G4694" s="68"/>
      <c r="K4694" s="68"/>
    </row>
    <row r="4695" spans="1:11" ht="12.75">
      <c r="A4695" s="69">
        <f ca="1">IFERROR(__xludf.DUMMYFUNCTION("""COMPUTED_VALUE"""),104862)</f>
        <v>104862</v>
      </c>
      <c r="B4695" s="4">
        <f ca="1">IFERROR(__xludf.DUMMYFUNCTION("""COMPUTED_VALUE"""),44797)</f>
        <v>44797</v>
      </c>
      <c r="C4695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5" t="str">
        <f ca="1">IFERROR(__xludf.DUMMYFUNCTION("""COMPUTED_VALUE"""),"Новый")</f>
        <v>Новый</v>
      </c>
      <c r="G4695" s="68"/>
      <c r="K4695" s="68"/>
    </row>
    <row r="4696" spans="1:11" ht="12.75">
      <c r="A4696" s="69">
        <f ca="1">IFERROR(__xludf.DUMMYFUNCTION("""COMPUTED_VALUE"""),104863)</f>
        <v>104863</v>
      </c>
      <c r="B4696" s="4">
        <f ca="1">IFERROR(__xludf.DUMMYFUNCTION("""COMPUTED_VALUE"""),44797)</f>
        <v>44797</v>
      </c>
      <c r="C4696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6" t="str">
        <f ca="1">IFERROR(__xludf.DUMMYFUNCTION("""COMPUTED_VALUE"""),"Новый")</f>
        <v>Новый</v>
      </c>
      <c r="G4696" s="68"/>
      <c r="K4696" s="68"/>
    </row>
    <row r="4697" spans="1:11" ht="12.75">
      <c r="A4697" s="69">
        <f ca="1">IFERROR(__xludf.DUMMYFUNCTION("""COMPUTED_VALUE"""),104864)</f>
        <v>104864</v>
      </c>
      <c r="B4697" s="4">
        <f ca="1">IFERROR(__xludf.DUMMYFUNCTION("""COMPUTED_VALUE"""),44797)</f>
        <v>44797</v>
      </c>
      <c r="C4697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7" t="str">
        <f ca="1">IFERROR(__xludf.DUMMYFUNCTION("""COMPUTED_VALUE"""),"Новый")</f>
        <v>Новый</v>
      </c>
      <c r="G4697" s="68"/>
      <c r="K4697" s="68"/>
    </row>
    <row r="4698" spans="1:11" ht="12.75">
      <c r="A4698" s="69">
        <f ca="1">IFERROR(__xludf.DUMMYFUNCTION("""COMPUTED_VALUE"""),104865)</f>
        <v>104865</v>
      </c>
      <c r="B4698" s="4">
        <f ca="1">IFERROR(__xludf.DUMMYFUNCTION("""COMPUTED_VALUE"""),44797)</f>
        <v>44797</v>
      </c>
      <c r="C4698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8" t="str">
        <f ca="1">IFERROR(__xludf.DUMMYFUNCTION("""COMPUTED_VALUE"""),"Новый")</f>
        <v>Новый</v>
      </c>
      <c r="G4698" s="68"/>
      <c r="K4698" s="68"/>
    </row>
    <row r="4699" spans="1:11" ht="12.75">
      <c r="A4699" s="69">
        <f ca="1">IFERROR(__xludf.DUMMYFUNCTION("""COMPUTED_VALUE"""),104866)</f>
        <v>104866</v>
      </c>
      <c r="B4699" s="4">
        <f ca="1">IFERROR(__xludf.DUMMYFUNCTION("""COMPUTED_VALUE"""),44797)</f>
        <v>44797</v>
      </c>
      <c r="C4699" t="str">
        <f ca="1">IFERROR(__xludf.DUMMYFUNCTION("""COMPUTED_VALUE"""),"ИП Зюлин Егор Геннадьевич 118-РДО от 24.08.2021")</f>
        <v>ИП Зюлин Егор Геннадьевич 118-РДО от 24.08.2021</v>
      </c>
      <c r="D46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699" t="str">
        <f ca="1">IFERROR(__xludf.DUMMYFUNCTION("""COMPUTED_VALUE"""),"Новый")</f>
        <v>Новый</v>
      </c>
      <c r="G4699" s="68"/>
      <c r="K4699" s="68"/>
    </row>
    <row r="4700" spans="1:11" ht="12.75">
      <c r="A4700" s="69">
        <f ca="1">IFERROR(__xludf.DUMMYFUNCTION("""COMPUTED_VALUE"""),104868)</f>
        <v>104868</v>
      </c>
      <c r="B4700" s="4">
        <f ca="1">IFERROR(__xludf.DUMMYFUNCTION("""COMPUTED_VALUE"""),44797)</f>
        <v>44797</v>
      </c>
      <c r="C4700" t="str">
        <f ca="1">IFERROR(__xludf.DUMMYFUNCTION("""COMPUTED_VALUE"""),"ИП Зюлин Егор Геннадьевич 118-РДО от 24.08.2021")</f>
        <v>ИП Зюлин Егор Геннадьевич 118-РДО от 24.08.2021</v>
      </c>
      <c r="D47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700" t="str">
        <f ca="1">IFERROR(__xludf.DUMMYFUNCTION("""COMPUTED_VALUE"""),"Новый")</f>
        <v>Новый</v>
      </c>
      <c r="G4700" s="68"/>
      <c r="K4700" s="68"/>
    </row>
    <row r="4701" spans="1:11" ht="12.75">
      <c r="A4701" s="69">
        <f ca="1">IFERROR(__xludf.DUMMYFUNCTION("""COMPUTED_VALUE"""),104869)</f>
        <v>104869</v>
      </c>
      <c r="B4701" s="4">
        <f ca="1">IFERROR(__xludf.DUMMYFUNCTION("""COMPUTED_VALUE"""),44797)</f>
        <v>44797</v>
      </c>
      <c r="C4701" t="str">
        <f ca="1">IFERROR(__xludf.DUMMYFUNCTION("""COMPUTED_VALUE"""),"ИП Зюлин Егор Геннадьевич 118-РДО от 24.08.2021")</f>
        <v>ИП Зюлин Егор Геннадьевич 118-РДО от 24.08.2021</v>
      </c>
      <c r="D47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701" t="str">
        <f ca="1">IFERROR(__xludf.DUMMYFUNCTION("""COMPUTED_VALUE"""),"Новый")</f>
        <v>Новый</v>
      </c>
      <c r="G4701" s="68"/>
      <c r="K4701" s="68"/>
    </row>
    <row r="4702" spans="1:11" ht="12.75">
      <c r="A4702" s="69">
        <f ca="1">IFERROR(__xludf.DUMMYFUNCTION("""COMPUTED_VALUE"""),104870)</f>
        <v>104870</v>
      </c>
      <c r="B4702" s="4">
        <f ca="1">IFERROR(__xludf.DUMMYFUNCTION("""COMPUTED_VALUE"""),44797)</f>
        <v>44797</v>
      </c>
      <c r="C4702" t="str">
        <f ca="1">IFERROR(__xludf.DUMMYFUNCTION("""COMPUTED_VALUE"""),"ООО Лидер 163-СТР от 08.08.2022")</f>
        <v>ООО Лидер 163-СТР от 08.08.2022</v>
      </c>
      <c r="D47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2" t="str">
        <f ca="1">IFERROR(__xludf.DUMMYFUNCTION("""COMPUTED_VALUE"""),"Новый")</f>
        <v>Новый</v>
      </c>
      <c r="G4702" s="68"/>
      <c r="K4702" s="68"/>
    </row>
    <row r="4703" spans="1:11" ht="12.75">
      <c r="A4703" s="69">
        <f ca="1">IFERROR(__xludf.DUMMYFUNCTION("""COMPUTED_VALUE"""),104871)</f>
        <v>104871</v>
      </c>
      <c r="B4703" s="4">
        <f ca="1">IFERROR(__xludf.DUMMYFUNCTION("""COMPUTED_VALUE"""),44797)</f>
        <v>44797</v>
      </c>
      <c r="C4703" t="str">
        <f ca="1">IFERROR(__xludf.DUMMYFUNCTION("""COMPUTED_VALUE"""),"ООО Лидер 163-СТР от 08.08.2022")</f>
        <v>ООО Лидер 163-СТР от 08.08.2022</v>
      </c>
      <c r="D47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3" t="str">
        <f ca="1">IFERROR(__xludf.DUMMYFUNCTION("""COMPUTED_VALUE"""),"Новый")</f>
        <v>Новый</v>
      </c>
      <c r="G4703" s="68"/>
      <c r="K4703" s="68"/>
    </row>
    <row r="4704" spans="1:11" ht="12.75">
      <c r="A4704" s="69">
        <f ca="1">IFERROR(__xludf.DUMMYFUNCTION("""COMPUTED_VALUE"""),104872)</f>
        <v>104872</v>
      </c>
      <c r="B4704" s="4">
        <f ca="1">IFERROR(__xludf.DUMMYFUNCTION("""COMPUTED_VALUE"""),44797)</f>
        <v>44797</v>
      </c>
      <c r="C4704" t="str">
        <f ca="1">IFERROR(__xludf.DUMMYFUNCTION("""COMPUTED_VALUE"""),"ООО Лидер 163-СТР от 08.08.2022")</f>
        <v>ООО Лидер 163-СТР от 08.08.2022</v>
      </c>
      <c r="D47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4" t="str">
        <f ca="1">IFERROR(__xludf.DUMMYFUNCTION("""COMPUTED_VALUE"""),"Новый")</f>
        <v>Новый</v>
      </c>
      <c r="G4704" s="68"/>
      <c r="K4704" s="68"/>
    </row>
    <row r="4705" spans="1:11" ht="12.75">
      <c r="A4705" s="69">
        <f ca="1">IFERROR(__xludf.DUMMYFUNCTION("""COMPUTED_VALUE"""),104873)</f>
        <v>104873</v>
      </c>
      <c r="B4705" s="4">
        <f ca="1">IFERROR(__xludf.DUMMYFUNCTION("""COMPUTED_VALUE"""),44797)</f>
        <v>44797</v>
      </c>
      <c r="C4705" t="str">
        <f ca="1">IFERROR(__xludf.DUMMYFUNCTION("""COMPUTED_VALUE"""),"ООО Лидер 163-СТР от 08.08.2022")</f>
        <v>ООО Лидер 163-СТР от 08.08.2022</v>
      </c>
      <c r="D47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5" t="str">
        <f ca="1">IFERROR(__xludf.DUMMYFUNCTION("""COMPUTED_VALUE"""),"Новый")</f>
        <v>Новый</v>
      </c>
      <c r="G4705" s="68"/>
      <c r="K4705" s="68"/>
    </row>
    <row r="4706" spans="1:11" ht="12.75">
      <c r="A4706" s="69">
        <f ca="1">IFERROR(__xludf.DUMMYFUNCTION("""COMPUTED_VALUE"""),104874)</f>
        <v>104874</v>
      </c>
      <c r="B4706" s="4">
        <f ca="1">IFERROR(__xludf.DUMMYFUNCTION("""COMPUTED_VALUE"""),44797)</f>
        <v>44797</v>
      </c>
      <c r="C4706" t="str">
        <f ca="1">IFERROR(__xludf.DUMMYFUNCTION("""COMPUTED_VALUE"""),"ООО Лидер 163-СТР от 08.08.2022")</f>
        <v>ООО Лидер 163-СТР от 08.08.2022</v>
      </c>
      <c r="D47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6" t="str">
        <f ca="1">IFERROR(__xludf.DUMMYFUNCTION("""COMPUTED_VALUE"""),"Новый")</f>
        <v>Новый</v>
      </c>
      <c r="G4706" s="68"/>
      <c r="K4706" s="68"/>
    </row>
    <row r="4707" spans="1:11" ht="12.75">
      <c r="A4707" s="69">
        <f ca="1">IFERROR(__xludf.DUMMYFUNCTION("""COMPUTED_VALUE"""),104875)</f>
        <v>104875</v>
      </c>
      <c r="B4707" s="4">
        <f ca="1">IFERROR(__xludf.DUMMYFUNCTION("""COMPUTED_VALUE"""),44797)</f>
        <v>44797</v>
      </c>
      <c r="C4707" t="str">
        <f ca="1">IFERROR(__xludf.DUMMYFUNCTION("""COMPUTED_VALUE"""),"ООО Лидер 163-СТР от 08.08.2022")</f>
        <v>ООО Лидер 163-СТР от 08.08.2022</v>
      </c>
      <c r="D47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7" t="str">
        <f ca="1">IFERROR(__xludf.DUMMYFUNCTION("""COMPUTED_VALUE"""),"Новый")</f>
        <v>Новый</v>
      </c>
      <c r="G4707" s="68"/>
      <c r="K4707" s="68"/>
    </row>
    <row r="4708" spans="1:11" ht="12.75">
      <c r="A4708" s="69">
        <f ca="1">IFERROR(__xludf.DUMMYFUNCTION("""COMPUTED_VALUE"""),104876)</f>
        <v>104876</v>
      </c>
      <c r="B4708" s="4">
        <f ca="1">IFERROR(__xludf.DUMMYFUNCTION("""COMPUTED_VALUE"""),44797)</f>
        <v>44797</v>
      </c>
      <c r="C4708" t="str">
        <f ca="1">IFERROR(__xludf.DUMMYFUNCTION("""COMPUTED_VALUE"""),"ООО Лидер 163-СТР от 08.08.2022")</f>
        <v>ООО Лидер 163-СТР от 08.08.2022</v>
      </c>
      <c r="D47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8" t="str">
        <f ca="1">IFERROR(__xludf.DUMMYFUNCTION("""COMPUTED_VALUE"""),"Новый")</f>
        <v>Новый</v>
      </c>
      <c r="G4708" s="68"/>
      <c r="K4708" s="68"/>
    </row>
    <row r="4709" spans="1:11" ht="12.75">
      <c r="A4709" s="69">
        <f ca="1">IFERROR(__xludf.DUMMYFUNCTION("""COMPUTED_VALUE"""),104877)</f>
        <v>104877</v>
      </c>
      <c r="B4709" s="4">
        <f ca="1">IFERROR(__xludf.DUMMYFUNCTION("""COMPUTED_VALUE"""),44797)</f>
        <v>44797</v>
      </c>
      <c r="C4709" t="str">
        <f ca="1">IFERROR(__xludf.DUMMYFUNCTION("""COMPUTED_VALUE"""),"ООО Лидер 163-СТР от 08.08.2022")</f>
        <v>ООО Лидер 163-СТР от 08.08.2022</v>
      </c>
      <c r="D47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09" t="str">
        <f ca="1">IFERROR(__xludf.DUMMYFUNCTION("""COMPUTED_VALUE"""),"Новый")</f>
        <v>Новый</v>
      </c>
      <c r="G4709" s="68"/>
      <c r="K4709" s="68"/>
    </row>
    <row r="4710" spans="1:11" ht="12.75">
      <c r="A4710" s="69">
        <f ca="1">IFERROR(__xludf.DUMMYFUNCTION("""COMPUTED_VALUE"""),104878)</f>
        <v>104878</v>
      </c>
      <c r="B4710" s="4">
        <f ca="1">IFERROR(__xludf.DUMMYFUNCTION("""COMPUTED_VALUE"""),44797)</f>
        <v>44797</v>
      </c>
      <c r="C4710" t="str">
        <f ca="1">IFERROR(__xludf.DUMMYFUNCTION("""COMPUTED_VALUE"""),"ООО Лидер 163-СТР от 08.08.2022")</f>
        <v>ООО Лидер 163-СТР от 08.08.2022</v>
      </c>
      <c r="D47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0" t="str">
        <f ca="1">IFERROR(__xludf.DUMMYFUNCTION("""COMPUTED_VALUE"""),"Новый")</f>
        <v>Новый</v>
      </c>
      <c r="G4710" s="68"/>
      <c r="K4710" s="68"/>
    </row>
    <row r="4711" spans="1:11" ht="12.75">
      <c r="A4711" s="69">
        <f ca="1">IFERROR(__xludf.DUMMYFUNCTION("""COMPUTED_VALUE"""),104879)</f>
        <v>104879</v>
      </c>
      <c r="B4711" s="4">
        <f ca="1">IFERROR(__xludf.DUMMYFUNCTION("""COMPUTED_VALUE"""),44797)</f>
        <v>44797</v>
      </c>
      <c r="C4711" t="str">
        <f ca="1">IFERROR(__xludf.DUMMYFUNCTION("""COMPUTED_VALUE"""),"ООО Лидер 163-СТР от 08.08.2022")</f>
        <v>ООО Лидер 163-СТР от 08.08.2022</v>
      </c>
      <c r="D47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1" t="str">
        <f ca="1">IFERROR(__xludf.DUMMYFUNCTION("""COMPUTED_VALUE"""),"Новый")</f>
        <v>Новый</v>
      </c>
      <c r="G4711" s="68"/>
      <c r="K4711" s="68"/>
    </row>
    <row r="4712" spans="1:11" ht="12.75">
      <c r="A4712" s="69">
        <f ca="1">IFERROR(__xludf.DUMMYFUNCTION("""COMPUTED_VALUE"""),104880)</f>
        <v>104880</v>
      </c>
      <c r="B4712" s="4">
        <f ca="1">IFERROR(__xludf.DUMMYFUNCTION("""COMPUTED_VALUE"""),44797)</f>
        <v>44797</v>
      </c>
      <c r="C4712" t="str">
        <f ca="1">IFERROR(__xludf.DUMMYFUNCTION("""COMPUTED_VALUE"""),"ООО Лидер 163-СТР от 08.08.2022")</f>
        <v>ООО Лидер 163-СТР от 08.08.2022</v>
      </c>
      <c r="D47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2" t="str">
        <f ca="1">IFERROR(__xludf.DUMMYFUNCTION("""COMPUTED_VALUE"""),"Новый")</f>
        <v>Новый</v>
      </c>
      <c r="G4712" s="68"/>
      <c r="K4712" s="68"/>
    </row>
    <row r="4713" spans="1:11" ht="12.75">
      <c r="A4713" s="69">
        <f ca="1">IFERROR(__xludf.DUMMYFUNCTION("""COMPUTED_VALUE"""),104881)</f>
        <v>104881</v>
      </c>
      <c r="B4713" s="4">
        <f ca="1">IFERROR(__xludf.DUMMYFUNCTION("""COMPUTED_VALUE"""),44797)</f>
        <v>44797</v>
      </c>
      <c r="C4713" t="str">
        <f ca="1">IFERROR(__xludf.DUMMYFUNCTION("""COMPUTED_VALUE"""),"ООО Лидер 163-СТР от 08.08.2022")</f>
        <v>ООО Лидер 163-СТР от 08.08.2022</v>
      </c>
      <c r="D47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3" t="str">
        <f ca="1">IFERROR(__xludf.DUMMYFUNCTION("""COMPUTED_VALUE"""),"Новый")</f>
        <v>Новый</v>
      </c>
      <c r="G4713" s="68"/>
      <c r="K4713" s="68"/>
    </row>
    <row r="4714" spans="1:11" ht="12.75">
      <c r="A4714" s="69">
        <f ca="1">IFERROR(__xludf.DUMMYFUNCTION("""COMPUTED_VALUE"""),104882)</f>
        <v>104882</v>
      </c>
      <c r="B4714" s="4">
        <f ca="1">IFERROR(__xludf.DUMMYFUNCTION("""COMPUTED_VALUE"""),44797)</f>
        <v>44797</v>
      </c>
      <c r="C4714" t="str">
        <f ca="1">IFERROR(__xludf.DUMMYFUNCTION("""COMPUTED_VALUE"""),"ООО Лидер 163-СТР от 08.08.2022")</f>
        <v>ООО Лидер 163-СТР от 08.08.2022</v>
      </c>
      <c r="D47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4" t="str">
        <f ca="1">IFERROR(__xludf.DUMMYFUNCTION("""COMPUTED_VALUE"""),"Новый")</f>
        <v>Новый</v>
      </c>
      <c r="G4714" s="68"/>
      <c r="K4714" s="68"/>
    </row>
    <row r="4715" spans="1:11" ht="12.75">
      <c r="A4715" s="69">
        <f ca="1">IFERROR(__xludf.DUMMYFUNCTION("""COMPUTED_VALUE"""),104883)</f>
        <v>104883</v>
      </c>
      <c r="B4715" s="4">
        <f ca="1">IFERROR(__xludf.DUMMYFUNCTION("""COMPUTED_VALUE"""),44797)</f>
        <v>44797</v>
      </c>
      <c r="C4715" t="str">
        <f ca="1">IFERROR(__xludf.DUMMYFUNCTION("""COMPUTED_VALUE"""),"ООО Лидер 163-СТР от 08.08.2022")</f>
        <v>ООО Лидер 163-СТР от 08.08.2022</v>
      </c>
      <c r="D47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5" t="str">
        <f ca="1">IFERROR(__xludf.DUMMYFUNCTION("""COMPUTED_VALUE"""),"Новый")</f>
        <v>Новый</v>
      </c>
      <c r="G4715" s="68"/>
      <c r="K4715" s="68"/>
    </row>
    <row r="4716" spans="1:11" ht="12.75">
      <c r="A4716" s="69">
        <f ca="1">IFERROR(__xludf.DUMMYFUNCTION("""COMPUTED_VALUE"""),104884)</f>
        <v>104884</v>
      </c>
      <c r="B4716" s="4">
        <f ca="1">IFERROR(__xludf.DUMMYFUNCTION("""COMPUTED_VALUE"""),44797)</f>
        <v>44797</v>
      </c>
      <c r="C4716" t="str">
        <f ca="1">IFERROR(__xludf.DUMMYFUNCTION("""COMPUTED_VALUE"""),"ООО Лидер 163-СТР от 08.08.2022")</f>
        <v>ООО Лидер 163-СТР от 08.08.2022</v>
      </c>
      <c r="D47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6" t="str">
        <f ca="1">IFERROR(__xludf.DUMMYFUNCTION("""COMPUTED_VALUE"""),"Новый")</f>
        <v>Новый</v>
      </c>
      <c r="G4716" s="68"/>
      <c r="K4716" s="68"/>
    </row>
    <row r="4717" spans="1:11" ht="12.75">
      <c r="A4717" s="69">
        <f ca="1">IFERROR(__xludf.DUMMYFUNCTION("""COMPUTED_VALUE"""),104885)</f>
        <v>104885</v>
      </c>
      <c r="B4717" s="4">
        <f ca="1">IFERROR(__xludf.DUMMYFUNCTION("""COMPUTED_VALUE"""),44797)</f>
        <v>44797</v>
      </c>
      <c r="C4717" t="str">
        <f ca="1">IFERROR(__xludf.DUMMYFUNCTION("""COMPUTED_VALUE"""),"ООО Лидер 163-СТР от 08.08.2022")</f>
        <v>ООО Лидер 163-СТР от 08.08.2022</v>
      </c>
      <c r="D47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7" t="str">
        <f ca="1">IFERROR(__xludf.DUMMYFUNCTION("""COMPUTED_VALUE"""),"Новый")</f>
        <v>Новый</v>
      </c>
      <c r="G4717" s="68"/>
      <c r="K4717" s="68"/>
    </row>
    <row r="4718" spans="1:11" ht="12.75">
      <c r="A4718" s="69">
        <f ca="1">IFERROR(__xludf.DUMMYFUNCTION("""COMPUTED_VALUE"""),104886)</f>
        <v>104886</v>
      </c>
      <c r="B4718" s="4">
        <f ca="1">IFERROR(__xludf.DUMMYFUNCTION("""COMPUTED_VALUE"""),44797)</f>
        <v>44797</v>
      </c>
      <c r="C4718" t="str">
        <f ca="1">IFERROR(__xludf.DUMMYFUNCTION("""COMPUTED_VALUE"""),"ООО Лидер 163-СТР от 08.08.2022")</f>
        <v>ООО Лидер 163-СТР от 08.08.2022</v>
      </c>
      <c r="D47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8" t="str">
        <f ca="1">IFERROR(__xludf.DUMMYFUNCTION("""COMPUTED_VALUE"""),"Новый")</f>
        <v>Новый</v>
      </c>
      <c r="G4718" s="68"/>
      <c r="K4718" s="68"/>
    </row>
    <row r="4719" spans="1:11" ht="12.75">
      <c r="A4719" s="69">
        <f ca="1">IFERROR(__xludf.DUMMYFUNCTION("""COMPUTED_VALUE"""),104887)</f>
        <v>104887</v>
      </c>
      <c r="B4719" s="4">
        <f ca="1">IFERROR(__xludf.DUMMYFUNCTION("""COMPUTED_VALUE"""),44797)</f>
        <v>44797</v>
      </c>
      <c r="C4719" t="str">
        <f ca="1">IFERROR(__xludf.DUMMYFUNCTION("""COMPUTED_VALUE"""),"ООО Лидер 163-СТР от 08.08.2022")</f>
        <v>ООО Лидер 163-СТР от 08.08.2022</v>
      </c>
      <c r="D47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19" t="str">
        <f ca="1">IFERROR(__xludf.DUMMYFUNCTION("""COMPUTED_VALUE"""),"Новый")</f>
        <v>Новый</v>
      </c>
      <c r="G4719" s="68"/>
      <c r="K4719" s="68"/>
    </row>
    <row r="4720" spans="1:11" ht="12.75">
      <c r="A4720" s="69">
        <f ca="1">IFERROR(__xludf.DUMMYFUNCTION("""COMPUTED_VALUE"""),104888)</f>
        <v>104888</v>
      </c>
      <c r="B4720" s="4">
        <f ca="1">IFERROR(__xludf.DUMMYFUNCTION("""COMPUTED_VALUE"""),44797)</f>
        <v>44797</v>
      </c>
      <c r="C4720" t="str">
        <f ca="1">IFERROR(__xludf.DUMMYFUNCTION("""COMPUTED_VALUE"""),"ООО Лидер 163-СТР от 08.08.2022")</f>
        <v>ООО Лидер 163-СТР от 08.08.2022</v>
      </c>
      <c r="D47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0" t="str">
        <f ca="1">IFERROR(__xludf.DUMMYFUNCTION("""COMPUTED_VALUE"""),"Новый")</f>
        <v>Новый</v>
      </c>
      <c r="G4720" s="68"/>
      <c r="K4720" s="68"/>
    </row>
    <row r="4721" spans="1:11" ht="12.75">
      <c r="A4721" s="69">
        <f ca="1">IFERROR(__xludf.DUMMYFUNCTION("""COMPUTED_VALUE"""),104889)</f>
        <v>104889</v>
      </c>
      <c r="B4721" s="4">
        <f ca="1">IFERROR(__xludf.DUMMYFUNCTION("""COMPUTED_VALUE"""),44797)</f>
        <v>44797</v>
      </c>
      <c r="C4721" t="str">
        <f ca="1">IFERROR(__xludf.DUMMYFUNCTION("""COMPUTED_VALUE"""),"ООО Лидер 163-СТР от 08.08.2022")</f>
        <v>ООО Лидер 163-СТР от 08.08.2022</v>
      </c>
      <c r="D47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1" t="str">
        <f ca="1">IFERROR(__xludf.DUMMYFUNCTION("""COMPUTED_VALUE"""),"Новый")</f>
        <v>Новый</v>
      </c>
      <c r="G4721" s="68"/>
      <c r="K4721" s="68"/>
    </row>
    <row r="4722" spans="1:11" ht="12.75">
      <c r="A4722" s="69">
        <f ca="1">IFERROR(__xludf.DUMMYFUNCTION("""COMPUTED_VALUE"""),104890)</f>
        <v>104890</v>
      </c>
      <c r="B4722" s="4">
        <f ca="1">IFERROR(__xludf.DUMMYFUNCTION("""COMPUTED_VALUE"""),44797)</f>
        <v>44797</v>
      </c>
      <c r="C4722" t="str">
        <f ca="1">IFERROR(__xludf.DUMMYFUNCTION("""COMPUTED_VALUE"""),"ООО Лидер 163-СТР от 08.08.2022")</f>
        <v>ООО Лидер 163-СТР от 08.08.2022</v>
      </c>
      <c r="D47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2" t="str">
        <f ca="1">IFERROR(__xludf.DUMMYFUNCTION("""COMPUTED_VALUE"""),"Новый")</f>
        <v>Новый</v>
      </c>
      <c r="G4722" s="68"/>
      <c r="K4722" s="68"/>
    </row>
    <row r="4723" spans="1:11" ht="12.75">
      <c r="A4723" s="69">
        <f ca="1">IFERROR(__xludf.DUMMYFUNCTION("""COMPUTED_VALUE"""),104891)</f>
        <v>104891</v>
      </c>
      <c r="B4723" s="4">
        <f ca="1">IFERROR(__xludf.DUMMYFUNCTION("""COMPUTED_VALUE"""),44797)</f>
        <v>44797</v>
      </c>
      <c r="C4723" t="str">
        <f ca="1">IFERROR(__xludf.DUMMYFUNCTION("""COMPUTED_VALUE"""),"ООО Лидер 163-СТР от 08.08.2022")</f>
        <v>ООО Лидер 163-СТР от 08.08.2022</v>
      </c>
      <c r="D47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3" t="str">
        <f ca="1">IFERROR(__xludf.DUMMYFUNCTION("""COMPUTED_VALUE"""),"Новый")</f>
        <v>Новый</v>
      </c>
      <c r="G4723" s="68"/>
      <c r="K4723" s="68"/>
    </row>
    <row r="4724" spans="1:11" ht="12.75">
      <c r="A4724" s="69">
        <f ca="1">IFERROR(__xludf.DUMMYFUNCTION("""COMPUTED_VALUE"""),104892)</f>
        <v>104892</v>
      </c>
      <c r="B4724" s="4">
        <f ca="1">IFERROR(__xludf.DUMMYFUNCTION("""COMPUTED_VALUE"""),44797)</f>
        <v>44797</v>
      </c>
      <c r="C4724" t="str">
        <f ca="1">IFERROR(__xludf.DUMMYFUNCTION("""COMPUTED_VALUE"""),"ООО Лидер 163-СТР от 08.08.2022")</f>
        <v>ООО Лидер 163-СТР от 08.08.2022</v>
      </c>
      <c r="D47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4" t="str">
        <f ca="1">IFERROR(__xludf.DUMMYFUNCTION("""COMPUTED_VALUE"""),"Новый")</f>
        <v>Новый</v>
      </c>
      <c r="G4724" s="68"/>
      <c r="K4724" s="68"/>
    </row>
    <row r="4725" spans="1:11" ht="12.75">
      <c r="A4725" s="69">
        <f ca="1">IFERROR(__xludf.DUMMYFUNCTION("""COMPUTED_VALUE"""),104893)</f>
        <v>104893</v>
      </c>
      <c r="B4725" s="4">
        <f ca="1">IFERROR(__xludf.DUMMYFUNCTION("""COMPUTED_VALUE"""),44797)</f>
        <v>44797</v>
      </c>
      <c r="C4725" t="str">
        <f ca="1">IFERROR(__xludf.DUMMYFUNCTION("""COMPUTED_VALUE"""),"ООО Лидер 163-СТР от 08.08.2022")</f>
        <v>ООО Лидер 163-СТР от 08.08.2022</v>
      </c>
      <c r="D47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5" t="str">
        <f ca="1">IFERROR(__xludf.DUMMYFUNCTION("""COMPUTED_VALUE"""),"Новый")</f>
        <v>Новый</v>
      </c>
      <c r="G4725" s="68"/>
      <c r="K4725" s="68"/>
    </row>
    <row r="4726" spans="1:11" ht="12.75">
      <c r="A4726" s="69">
        <f ca="1">IFERROR(__xludf.DUMMYFUNCTION("""COMPUTED_VALUE"""),104894)</f>
        <v>104894</v>
      </c>
      <c r="B4726" s="4">
        <f ca="1">IFERROR(__xludf.DUMMYFUNCTION("""COMPUTED_VALUE"""),44797)</f>
        <v>44797</v>
      </c>
      <c r="C4726" t="str">
        <f ca="1">IFERROR(__xludf.DUMMYFUNCTION("""COMPUTED_VALUE"""),"ООО Лидер 163-СТР от 08.08.2022")</f>
        <v>ООО Лидер 163-СТР от 08.08.2022</v>
      </c>
      <c r="D47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6" t="str">
        <f ca="1">IFERROR(__xludf.DUMMYFUNCTION("""COMPUTED_VALUE"""),"Новый")</f>
        <v>Новый</v>
      </c>
      <c r="G4726" s="68"/>
      <c r="K4726" s="68"/>
    </row>
    <row r="4727" spans="1:11" ht="12.75">
      <c r="A4727" s="69">
        <f ca="1">IFERROR(__xludf.DUMMYFUNCTION("""COMPUTED_VALUE"""),104895)</f>
        <v>104895</v>
      </c>
      <c r="B4727" s="4">
        <f ca="1">IFERROR(__xludf.DUMMYFUNCTION("""COMPUTED_VALUE"""),44797)</f>
        <v>44797</v>
      </c>
      <c r="C4727" t="str">
        <f ca="1">IFERROR(__xludf.DUMMYFUNCTION("""COMPUTED_VALUE"""),"ООО Лидер 163-СТР от 08.08.2022")</f>
        <v>ООО Лидер 163-СТР от 08.08.2022</v>
      </c>
      <c r="D47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7" t="str">
        <f ca="1">IFERROR(__xludf.DUMMYFUNCTION("""COMPUTED_VALUE"""),"Новый")</f>
        <v>Новый</v>
      </c>
      <c r="G4727" s="68"/>
      <c r="K4727" s="68"/>
    </row>
    <row r="4728" spans="1:11" ht="12.75">
      <c r="A4728" s="69">
        <f ca="1">IFERROR(__xludf.DUMMYFUNCTION("""COMPUTED_VALUE"""),104896)</f>
        <v>104896</v>
      </c>
      <c r="B4728" s="4">
        <f ca="1">IFERROR(__xludf.DUMMYFUNCTION("""COMPUTED_VALUE"""),44797)</f>
        <v>44797</v>
      </c>
      <c r="C4728" t="str">
        <f ca="1">IFERROR(__xludf.DUMMYFUNCTION("""COMPUTED_VALUE"""),"ООО Лидер 163-СТР от 08.08.2022")</f>
        <v>ООО Лидер 163-СТР от 08.08.2022</v>
      </c>
      <c r="D47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8" t="str">
        <f ca="1">IFERROR(__xludf.DUMMYFUNCTION("""COMPUTED_VALUE"""),"Новый")</f>
        <v>Новый</v>
      </c>
      <c r="G4728" s="68"/>
      <c r="K4728" s="68"/>
    </row>
    <row r="4729" spans="1:11" ht="12.75">
      <c r="A4729" s="69">
        <f ca="1">IFERROR(__xludf.DUMMYFUNCTION("""COMPUTED_VALUE"""),104897)</f>
        <v>104897</v>
      </c>
      <c r="B4729" s="4">
        <f ca="1">IFERROR(__xludf.DUMMYFUNCTION("""COMPUTED_VALUE"""),44797)</f>
        <v>44797</v>
      </c>
      <c r="C4729" t="str">
        <f ca="1">IFERROR(__xludf.DUMMYFUNCTION("""COMPUTED_VALUE"""),"ООО Лидер 163-СТР от 08.08.2022")</f>
        <v>ООО Лидер 163-СТР от 08.08.2022</v>
      </c>
      <c r="D47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29" t="str">
        <f ca="1">IFERROR(__xludf.DUMMYFUNCTION("""COMPUTED_VALUE"""),"Новый")</f>
        <v>Новый</v>
      </c>
      <c r="G4729" s="68"/>
      <c r="K4729" s="68"/>
    </row>
    <row r="4730" spans="1:11" ht="12.75">
      <c r="A4730" s="69">
        <f ca="1">IFERROR(__xludf.DUMMYFUNCTION("""COMPUTED_VALUE"""),104898)</f>
        <v>104898</v>
      </c>
      <c r="B4730" s="4">
        <f ca="1">IFERROR(__xludf.DUMMYFUNCTION("""COMPUTED_VALUE"""),44797)</f>
        <v>44797</v>
      </c>
      <c r="C4730" t="str">
        <f ca="1">IFERROR(__xludf.DUMMYFUNCTION("""COMPUTED_VALUE"""),"ООО Лидер 163-СТР от 08.08.2022")</f>
        <v>ООО Лидер 163-СТР от 08.08.2022</v>
      </c>
      <c r="D47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0" t="str">
        <f ca="1">IFERROR(__xludf.DUMMYFUNCTION("""COMPUTED_VALUE"""),"Новый")</f>
        <v>Новый</v>
      </c>
      <c r="G4730" s="68"/>
      <c r="K4730" s="68"/>
    </row>
    <row r="4731" spans="1:11" ht="12.75">
      <c r="A4731" s="69">
        <f ca="1">IFERROR(__xludf.DUMMYFUNCTION("""COMPUTED_VALUE"""),104899)</f>
        <v>104899</v>
      </c>
      <c r="B4731" s="4">
        <f ca="1">IFERROR(__xludf.DUMMYFUNCTION("""COMPUTED_VALUE"""),44797)</f>
        <v>44797</v>
      </c>
      <c r="C4731" t="str">
        <f ca="1">IFERROR(__xludf.DUMMYFUNCTION("""COMPUTED_VALUE"""),"ООО Лидер 163-СТР от 08.08.2022")</f>
        <v>ООО Лидер 163-СТР от 08.08.2022</v>
      </c>
      <c r="D47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1" t="str">
        <f ca="1">IFERROR(__xludf.DUMMYFUNCTION("""COMPUTED_VALUE"""),"Новый")</f>
        <v>Новый</v>
      </c>
      <c r="G4731" s="68"/>
      <c r="K4731" s="68"/>
    </row>
    <row r="4732" spans="1:11" ht="12.75">
      <c r="A4732" s="69">
        <f ca="1">IFERROR(__xludf.DUMMYFUNCTION("""COMPUTED_VALUE"""),104900)</f>
        <v>104900</v>
      </c>
      <c r="B4732" s="4">
        <f ca="1">IFERROR(__xludf.DUMMYFUNCTION("""COMPUTED_VALUE"""),44797)</f>
        <v>44797</v>
      </c>
      <c r="C4732" t="str">
        <f ca="1">IFERROR(__xludf.DUMMYFUNCTION("""COMPUTED_VALUE"""),"ООО Лидер 163-СТР от 08.08.2022")</f>
        <v>ООО Лидер 163-СТР от 08.08.2022</v>
      </c>
      <c r="D47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2" t="str">
        <f ca="1">IFERROR(__xludf.DUMMYFUNCTION("""COMPUTED_VALUE"""),"Новый")</f>
        <v>Новый</v>
      </c>
      <c r="G4732" s="68"/>
      <c r="K4732" s="68"/>
    </row>
    <row r="4733" spans="1:11" ht="12.75">
      <c r="A4733" s="69">
        <f ca="1">IFERROR(__xludf.DUMMYFUNCTION("""COMPUTED_VALUE"""),104901)</f>
        <v>104901</v>
      </c>
      <c r="B4733" s="4">
        <f ca="1">IFERROR(__xludf.DUMMYFUNCTION("""COMPUTED_VALUE"""),44797)</f>
        <v>44797</v>
      </c>
      <c r="C4733" t="str">
        <f ca="1">IFERROR(__xludf.DUMMYFUNCTION("""COMPUTED_VALUE"""),"ООО Лидер 163-СТР от 08.08.2022")</f>
        <v>ООО Лидер 163-СТР от 08.08.2022</v>
      </c>
      <c r="D47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3" t="str">
        <f ca="1">IFERROR(__xludf.DUMMYFUNCTION("""COMPUTED_VALUE"""),"Новый")</f>
        <v>Новый</v>
      </c>
      <c r="G4733" s="68"/>
      <c r="K4733" s="68"/>
    </row>
    <row r="4734" spans="1:11" ht="12.75">
      <c r="A4734" s="69">
        <f ca="1">IFERROR(__xludf.DUMMYFUNCTION("""COMPUTED_VALUE"""),104902)</f>
        <v>104902</v>
      </c>
      <c r="B4734" s="4">
        <f ca="1">IFERROR(__xludf.DUMMYFUNCTION("""COMPUTED_VALUE"""),44797)</f>
        <v>44797</v>
      </c>
      <c r="C4734" t="str">
        <f ca="1">IFERROR(__xludf.DUMMYFUNCTION("""COMPUTED_VALUE"""),"ООО Лидер 163-СТР от 08.08.2022")</f>
        <v>ООО Лидер 163-СТР от 08.08.2022</v>
      </c>
      <c r="D47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4" t="str">
        <f ca="1">IFERROR(__xludf.DUMMYFUNCTION("""COMPUTED_VALUE"""),"Новый")</f>
        <v>Новый</v>
      </c>
      <c r="G4734" s="68"/>
      <c r="K4734" s="68"/>
    </row>
    <row r="4735" spans="1:11" ht="12.75">
      <c r="A4735" s="69">
        <f ca="1">IFERROR(__xludf.DUMMYFUNCTION("""COMPUTED_VALUE"""),104903)</f>
        <v>104903</v>
      </c>
      <c r="B4735" s="4">
        <f ca="1">IFERROR(__xludf.DUMMYFUNCTION("""COMPUTED_VALUE"""),44797)</f>
        <v>44797</v>
      </c>
      <c r="C4735" t="str">
        <f ca="1">IFERROR(__xludf.DUMMYFUNCTION("""COMPUTED_VALUE"""),"ООО Лидер 163-СТР от 08.08.2022")</f>
        <v>ООО Лидер 163-СТР от 08.08.2022</v>
      </c>
      <c r="D47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5" t="str">
        <f ca="1">IFERROR(__xludf.DUMMYFUNCTION("""COMPUTED_VALUE"""),"Новый")</f>
        <v>Новый</v>
      </c>
      <c r="G4735" s="68"/>
      <c r="K4735" s="68"/>
    </row>
    <row r="4736" spans="1:11" ht="12.75">
      <c r="A4736" s="69">
        <f ca="1">IFERROR(__xludf.DUMMYFUNCTION("""COMPUTED_VALUE"""),104904)</f>
        <v>104904</v>
      </c>
      <c r="B4736" s="4">
        <f ca="1">IFERROR(__xludf.DUMMYFUNCTION("""COMPUTED_VALUE"""),44797)</f>
        <v>44797</v>
      </c>
      <c r="C4736" t="str">
        <f ca="1">IFERROR(__xludf.DUMMYFUNCTION("""COMPUTED_VALUE"""),"ООО Лидер 163-СТР от 08.08.2022")</f>
        <v>ООО Лидер 163-СТР от 08.08.2022</v>
      </c>
      <c r="D47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6" t="str">
        <f ca="1">IFERROR(__xludf.DUMMYFUNCTION("""COMPUTED_VALUE"""),"Новый")</f>
        <v>Новый</v>
      </c>
      <c r="G4736" s="68"/>
      <c r="K4736" s="68"/>
    </row>
    <row r="4737" spans="1:11" ht="12.75">
      <c r="A4737" s="69">
        <f ca="1">IFERROR(__xludf.DUMMYFUNCTION("""COMPUTED_VALUE"""),104905)</f>
        <v>104905</v>
      </c>
      <c r="B4737" s="4">
        <f ca="1">IFERROR(__xludf.DUMMYFUNCTION("""COMPUTED_VALUE"""),44797)</f>
        <v>44797</v>
      </c>
      <c r="C4737" t="str">
        <f ca="1">IFERROR(__xludf.DUMMYFUNCTION("""COMPUTED_VALUE"""),"ООО Лидер 163-СТР от 08.08.2022")</f>
        <v>ООО Лидер 163-СТР от 08.08.2022</v>
      </c>
      <c r="D47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7" t="str">
        <f ca="1">IFERROR(__xludf.DUMMYFUNCTION("""COMPUTED_VALUE"""),"Новый")</f>
        <v>Новый</v>
      </c>
      <c r="G4737" s="68"/>
      <c r="K4737" s="68"/>
    </row>
    <row r="4738" spans="1:11" ht="12.75">
      <c r="A4738" s="69">
        <f ca="1">IFERROR(__xludf.DUMMYFUNCTION("""COMPUTED_VALUE"""),104906)</f>
        <v>104906</v>
      </c>
      <c r="B4738" s="4">
        <f ca="1">IFERROR(__xludf.DUMMYFUNCTION("""COMPUTED_VALUE"""),44797)</f>
        <v>44797</v>
      </c>
      <c r="C4738" t="str">
        <f ca="1">IFERROR(__xludf.DUMMYFUNCTION("""COMPUTED_VALUE"""),"ООО Лидер 163-СТР от 08.08.2022")</f>
        <v>ООО Лидер 163-СТР от 08.08.2022</v>
      </c>
      <c r="D47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8" t="str">
        <f ca="1">IFERROR(__xludf.DUMMYFUNCTION("""COMPUTED_VALUE"""),"Новый")</f>
        <v>Новый</v>
      </c>
      <c r="G4738" s="68"/>
      <c r="K4738" s="68"/>
    </row>
    <row r="4739" spans="1:11" ht="12.75">
      <c r="A4739" s="69">
        <f ca="1">IFERROR(__xludf.DUMMYFUNCTION("""COMPUTED_VALUE"""),104907)</f>
        <v>104907</v>
      </c>
      <c r="B4739" s="4">
        <f ca="1">IFERROR(__xludf.DUMMYFUNCTION("""COMPUTED_VALUE"""),44797)</f>
        <v>44797</v>
      </c>
      <c r="C4739" t="str">
        <f ca="1">IFERROR(__xludf.DUMMYFUNCTION("""COMPUTED_VALUE"""),"ООО Лидер 163-СТР от 08.08.2022")</f>
        <v>ООО Лидер 163-СТР от 08.08.2022</v>
      </c>
      <c r="D47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39" t="str">
        <f ca="1">IFERROR(__xludf.DUMMYFUNCTION("""COMPUTED_VALUE"""),"Новый")</f>
        <v>Новый</v>
      </c>
      <c r="G4739" s="68"/>
      <c r="K4739" s="68"/>
    </row>
    <row r="4740" spans="1:11" ht="12.75">
      <c r="A4740" s="69">
        <f ca="1">IFERROR(__xludf.DUMMYFUNCTION("""COMPUTED_VALUE"""),104908)</f>
        <v>104908</v>
      </c>
      <c r="B4740" s="4">
        <f ca="1">IFERROR(__xludf.DUMMYFUNCTION("""COMPUTED_VALUE"""),44797)</f>
        <v>44797</v>
      </c>
      <c r="C4740" t="str">
        <f ca="1">IFERROR(__xludf.DUMMYFUNCTION("""COMPUTED_VALUE"""),"ООО Лидер 163-СТР от 08.08.2022")</f>
        <v>ООО Лидер 163-СТР от 08.08.2022</v>
      </c>
      <c r="D47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0" t="str">
        <f ca="1">IFERROR(__xludf.DUMMYFUNCTION("""COMPUTED_VALUE"""),"Новый")</f>
        <v>Новый</v>
      </c>
      <c r="G4740" s="68"/>
      <c r="K4740" s="68"/>
    </row>
    <row r="4741" spans="1:11" ht="12.75">
      <c r="A4741" s="69">
        <f ca="1">IFERROR(__xludf.DUMMYFUNCTION("""COMPUTED_VALUE"""),104909)</f>
        <v>104909</v>
      </c>
      <c r="B4741" s="4">
        <f ca="1">IFERROR(__xludf.DUMMYFUNCTION("""COMPUTED_VALUE"""),44797)</f>
        <v>44797</v>
      </c>
      <c r="C4741" t="str">
        <f ca="1">IFERROR(__xludf.DUMMYFUNCTION("""COMPUTED_VALUE"""),"ООО Лидер 163-СТР от 08.08.2022")</f>
        <v>ООО Лидер 163-СТР от 08.08.2022</v>
      </c>
      <c r="D47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1" t="str">
        <f ca="1">IFERROR(__xludf.DUMMYFUNCTION("""COMPUTED_VALUE"""),"Новый")</f>
        <v>Новый</v>
      </c>
      <c r="G4741" s="68"/>
      <c r="K4741" s="68"/>
    </row>
    <row r="4742" spans="1:11" ht="12.75">
      <c r="A4742" s="69">
        <f ca="1">IFERROR(__xludf.DUMMYFUNCTION("""COMPUTED_VALUE"""),104910)</f>
        <v>104910</v>
      </c>
      <c r="B4742" s="4">
        <f ca="1">IFERROR(__xludf.DUMMYFUNCTION("""COMPUTED_VALUE"""),44797)</f>
        <v>44797</v>
      </c>
      <c r="C4742" t="str">
        <f ca="1">IFERROR(__xludf.DUMMYFUNCTION("""COMPUTED_VALUE"""),"ООО Лидер 163-СТР от 08.08.2022")</f>
        <v>ООО Лидер 163-СТР от 08.08.2022</v>
      </c>
      <c r="D47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2" t="str">
        <f ca="1">IFERROR(__xludf.DUMMYFUNCTION("""COMPUTED_VALUE"""),"Новый")</f>
        <v>Новый</v>
      </c>
      <c r="G4742" s="68"/>
      <c r="K4742" s="68"/>
    </row>
    <row r="4743" spans="1:11" ht="12.75">
      <c r="A4743" s="69">
        <f ca="1">IFERROR(__xludf.DUMMYFUNCTION("""COMPUTED_VALUE"""),104911)</f>
        <v>104911</v>
      </c>
      <c r="B4743" s="4">
        <f ca="1">IFERROR(__xludf.DUMMYFUNCTION("""COMPUTED_VALUE"""),44797)</f>
        <v>44797</v>
      </c>
      <c r="C4743" t="str">
        <f ca="1">IFERROR(__xludf.DUMMYFUNCTION("""COMPUTED_VALUE"""),"ООО Лидер 163-СТР от 08.08.2022")</f>
        <v>ООО Лидер 163-СТР от 08.08.2022</v>
      </c>
      <c r="D47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3" t="str">
        <f ca="1">IFERROR(__xludf.DUMMYFUNCTION("""COMPUTED_VALUE"""),"Новый")</f>
        <v>Новый</v>
      </c>
      <c r="G4743" s="68"/>
      <c r="K4743" s="68"/>
    </row>
    <row r="4744" spans="1:11" ht="12.75">
      <c r="A4744" s="69">
        <f ca="1">IFERROR(__xludf.DUMMYFUNCTION("""COMPUTED_VALUE"""),104912)</f>
        <v>104912</v>
      </c>
      <c r="B4744" s="4">
        <f ca="1">IFERROR(__xludf.DUMMYFUNCTION("""COMPUTED_VALUE"""),44797)</f>
        <v>44797</v>
      </c>
      <c r="C4744" t="str">
        <f ca="1">IFERROR(__xludf.DUMMYFUNCTION("""COMPUTED_VALUE"""),"ООО Лидер 163-СТР от 08.08.2022")</f>
        <v>ООО Лидер 163-СТР от 08.08.2022</v>
      </c>
      <c r="D47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4" t="str">
        <f ca="1">IFERROR(__xludf.DUMMYFUNCTION("""COMPUTED_VALUE"""),"Новый")</f>
        <v>Новый</v>
      </c>
      <c r="G4744" s="68"/>
      <c r="K4744" s="68"/>
    </row>
    <row r="4745" spans="1:11" ht="12.75">
      <c r="A4745" s="69">
        <f ca="1">IFERROR(__xludf.DUMMYFUNCTION("""COMPUTED_VALUE"""),104913)</f>
        <v>104913</v>
      </c>
      <c r="B4745" s="4">
        <f ca="1">IFERROR(__xludf.DUMMYFUNCTION("""COMPUTED_VALUE"""),44797)</f>
        <v>44797</v>
      </c>
      <c r="C4745" t="str">
        <f ca="1">IFERROR(__xludf.DUMMYFUNCTION("""COMPUTED_VALUE"""),"ООО Лидер 163-СТР от 08.08.2022")</f>
        <v>ООО Лидер 163-СТР от 08.08.2022</v>
      </c>
      <c r="D47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5" t="str">
        <f ca="1">IFERROR(__xludf.DUMMYFUNCTION("""COMPUTED_VALUE"""),"Новый")</f>
        <v>Новый</v>
      </c>
      <c r="G4745" s="68"/>
      <c r="K4745" s="68"/>
    </row>
    <row r="4746" spans="1:11" ht="12.75">
      <c r="A4746" s="69">
        <f ca="1">IFERROR(__xludf.DUMMYFUNCTION("""COMPUTED_VALUE"""),104914)</f>
        <v>104914</v>
      </c>
      <c r="B4746" s="4">
        <f ca="1">IFERROR(__xludf.DUMMYFUNCTION("""COMPUTED_VALUE"""),44797)</f>
        <v>44797</v>
      </c>
      <c r="C4746" t="str">
        <f ca="1">IFERROR(__xludf.DUMMYFUNCTION("""COMPUTED_VALUE"""),"ООО Лидер 163-СТР от 08.08.2022")</f>
        <v>ООО Лидер 163-СТР от 08.08.2022</v>
      </c>
      <c r="D47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6" t="str">
        <f ca="1">IFERROR(__xludf.DUMMYFUNCTION("""COMPUTED_VALUE"""),"Новый")</f>
        <v>Новый</v>
      </c>
      <c r="G4746" s="68"/>
      <c r="K4746" s="68"/>
    </row>
    <row r="4747" spans="1:11" ht="12.75">
      <c r="A4747" s="69">
        <f ca="1">IFERROR(__xludf.DUMMYFUNCTION("""COMPUTED_VALUE"""),104915)</f>
        <v>104915</v>
      </c>
      <c r="B4747" s="4">
        <f ca="1">IFERROR(__xludf.DUMMYFUNCTION("""COMPUTED_VALUE"""),44797)</f>
        <v>44797</v>
      </c>
      <c r="C4747" t="str">
        <f ca="1">IFERROR(__xludf.DUMMYFUNCTION("""COMPUTED_VALUE"""),"ООО Лидер 163-СТР от 08.08.2022")</f>
        <v>ООО Лидер 163-СТР от 08.08.2022</v>
      </c>
      <c r="D47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7" t="str">
        <f ca="1">IFERROR(__xludf.DUMMYFUNCTION("""COMPUTED_VALUE"""),"Новый")</f>
        <v>Новый</v>
      </c>
      <c r="G4747" s="68"/>
      <c r="K4747" s="68"/>
    </row>
    <row r="4748" spans="1:11" ht="12.75">
      <c r="A4748" s="69">
        <f ca="1">IFERROR(__xludf.DUMMYFUNCTION("""COMPUTED_VALUE"""),104916)</f>
        <v>104916</v>
      </c>
      <c r="B4748" s="4">
        <f ca="1">IFERROR(__xludf.DUMMYFUNCTION("""COMPUTED_VALUE"""),44797)</f>
        <v>44797</v>
      </c>
      <c r="C4748" t="str">
        <f ca="1">IFERROR(__xludf.DUMMYFUNCTION("""COMPUTED_VALUE"""),"ООО Лидер 163-СТР от 08.08.2022")</f>
        <v>ООО Лидер 163-СТР от 08.08.2022</v>
      </c>
      <c r="D47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8" t="str">
        <f ca="1">IFERROR(__xludf.DUMMYFUNCTION("""COMPUTED_VALUE"""),"Новый")</f>
        <v>Новый</v>
      </c>
      <c r="G4748" s="68"/>
      <c r="K4748" s="68"/>
    </row>
    <row r="4749" spans="1:11" ht="12.75">
      <c r="A4749" s="69">
        <f ca="1">IFERROR(__xludf.DUMMYFUNCTION("""COMPUTED_VALUE"""),104917)</f>
        <v>104917</v>
      </c>
      <c r="B4749" s="4">
        <f ca="1">IFERROR(__xludf.DUMMYFUNCTION("""COMPUTED_VALUE"""),44797)</f>
        <v>44797</v>
      </c>
      <c r="C4749" t="str">
        <f ca="1">IFERROR(__xludf.DUMMYFUNCTION("""COMPUTED_VALUE"""),"ООО Лидер 163-СТР от 08.08.2022")</f>
        <v>ООО Лидер 163-СТР от 08.08.2022</v>
      </c>
      <c r="D47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49" t="str">
        <f ca="1">IFERROR(__xludf.DUMMYFUNCTION("""COMPUTED_VALUE"""),"Новый")</f>
        <v>Новый</v>
      </c>
      <c r="G4749" s="68"/>
      <c r="K4749" s="68"/>
    </row>
    <row r="4750" spans="1:11" ht="12.75">
      <c r="A4750" s="69">
        <f ca="1">IFERROR(__xludf.DUMMYFUNCTION("""COMPUTED_VALUE"""),104918)</f>
        <v>104918</v>
      </c>
      <c r="B4750" s="4">
        <f ca="1">IFERROR(__xludf.DUMMYFUNCTION("""COMPUTED_VALUE"""),44797)</f>
        <v>44797</v>
      </c>
      <c r="C4750" t="str">
        <f ca="1">IFERROR(__xludf.DUMMYFUNCTION("""COMPUTED_VALUE"""),"ООО Лидер 163-СТР от 08.08.2022")</f>
        <v>ООО Лидер 163-СТР от 08.08.2022</v>
      </c>
      <c r="D47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0" t="str">
        <f ca="1">IFERROR(__xludf.DUMMYFUNCTION("""COMPUTED_VALUE"""),"Новый")</f>
        <v>Новый</v>
      </c>
      <c r="G4750" s="68"/>
      <c r="K4750" s="68"/>
    </row>
    <row r="4751" spans="1:11" ht="12.75">
      <c r="A4751" s="69">
        <f ca="1">IFERROR(__xludf.DUMMYFUNCTION("""COMPUTED_VALUE"""),104919)</f>
        <v>104919</v>
      </c>
      <c r="B4751" s="4">
        <f ca="1">IFERROR(__xludf.DUMMYFUNCTION("""COMPUTED_VALUE"""),44797)</f>
        <v>44797</v>
      </c>
      <c r="C4751" t="str">
        <f ca="1">IFERROR(__xludf.DUMMYFUNCTION("""COMPUTED_VALUE"""),"ООО Лидер 163-СТР от 08.08.2022")</f>
        <v>ООО Лидер 163-СТР от 08.08.2022</v>
      </c>
      <c r="D47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1" t="str">
        <f ca="1">IFERROR(__xludf.DUMMYFUNCTION("""COMPUTED_VALUE"""),"Новый")</f>
        <v>Новый</v>
      </c>
      <c r="G4751" s="68"/>
      <c r="K4751" s="68"/>
    </row>
    <row r="4752" spans="1:11" ht="12.75">
      <c r="A4752" s="69">
        <f ca="1">IFERROR(__xludf.DUMMYFUNCTION("""COMPUTED_VALUE"""),104920)</f>
        <v>104920</v>
      </c>
      <c r="B4752" s="4">
        <f ca="1">IFERROR(__xludf.DUMMYFUNCTION("""COMPUTED_VALUE"""),44797)</f>
        <v>44797</v>
      </c>
      <c r="C4752" t="str">
        <f ca="1">IFERROR(__xludf.DUMMYFUNCTION("""COMPUTED_VALUE"""),"ООО Лидер 163-СТР от 08.08.2022")</f>
        <v>ООО Лидер 163-СТР от 08.08.2022</v>
      </c>
      <c r="D47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2" t="str">
        <f ca="1">IFERROR(__xludf.DUMMYFUNCTION("""COMPUTED_VALUE"""),"Новый")</f>
        <v>Новый</v>
      </c>
      <c r="G4752" s="68"/>
      <c r="K4752" s="68"/>
    </row>
    <row r="4753" spans="1:11" ht="12.75">
      <c r="A4753" s="69">
        <f ca="1">IFERROR(__xludf.DUMMYFUNCTION("""COMPUTED_VALUE"""),104921)</f>
        <v>104921</v>
      </c>
      <c r="B4753" s="4">
        <f ca="1">IFERROR(__xludf.DUMMYFUNCTION("""COMPUTED_VALUE"""),44797)</f>
        <v>44797</v>
      </c>
      <c r="C4753" t="str">
        <f ca="1">IFERROR(__xludf.DUMMYFUNCTION("""COMPUTED_VALUE"""),"ООО Лидер 163-СТР от 08.08.2022")</f>
        <v>ООО Лидер 163-СТР от 08.08.2022</v>
      </c>
      <c r="D47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3" t="str">
        <f ca="1">IFERROR(__xludf.DUMMYFUNCTION("""COMPUTED_VALUE"""),"Новый")</f>
        <v>Новый</v>
      </c>
      <c r="G4753" s="68"/>
      <c r="K4753" s="68"/>
    </row>
    <row r="4754" spans="1:11" ht="12.75">
      <c r="A4754" s="69">
        <f ca="1">IFERROR(__xludf.DUMMYFUNCTION("""COMPUTED_VALUE"""),104922)</f>
        <v>104922</v>
      </c>
      <c r="B4754" s="4">
        <f ca="1">IFERROR(__xludf.DUMMYFUNCTION("""COMPUTED_VALUE"""),44797)</f>
        <v>44797</v>
      </c>
      <c r="C4754" t="str">
        <f ca="1">IFERROR(__xludf.DUMMYFUNCTION("""COMPUTED_VALUE"""),"ООО Лидер 163-СТР от 08.08.2022")</f>
        <v>ООО Лидер 163-СТР от 08.08.2022</v>
      </c>
      <c r="D47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4" t="str">
        <f ca="1">IFERROR(__xludf.DUMMYFUNCTION("""COMPUTED_VALUE"""),"Новый")</f>
        <v>Новый</v>
      </c>
      <c r="G4754" s="68"/>
      <c r="K4754" s="68"/>
    </row>
    <row r="4755" spans="1:11" ht="12.75">
      <c r="A4755" s="69">
        <f ca="1">IFERROR(__xludf.DUMMYFUNCTION("""COMPUTED_VALUE"""),104923)</f>
        <v>104923</v>
      </c>
      <c r="B4755" s="4">
        <f ca="1">IFERROR(__xludf.DUMMYFUNCTION("""COMPUTED_VALUE"""),44797)</f>
        <v>44797</v>
      </c>
      <c r="C4755" t="str">
        <f ca="1">IFERROR(__xludf.DUMMYFUNCTION("""COMPUTED_VALUE"""),"ООО Лидер 163-СТР от 08.08.2022")</f>
        <v>ООО Лидер 163-СТР от 08.08.2022</v>
      </c>
      <c r="D47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5" t="str">
        <f ca="1">IFERROR(__xludf.DUMMYFUNCTION("""COMPUTED_VALUE"""),"Новый")</f>
        <v>Новый</v>
      </c>
      <c r="G4755" s="68"/>
      <c r="K4755" s="68"/>
    </row>
    <row r="4756" spans="1:11" ht="12.75">
      <c r="A4756" s="69">
        <f ca="1">IFERROR(__xludf.DUMMYFUNCTION("""COMPUTED_VALUE"""),104924)</f>
        <v>104924</v>
      </c>
      <c r="B4756" s="4">
        <f ca="1">IFERROR(__xludf.DUMMYFUNCTION("""COMPUTED_VALUE"""),44797)</f>
        <v>44797</v>
      </c>
      <c r="C4756" t="str">
        <f ca="1">IFERROR(__xludf.DUMMYFUNCTION("""COMPUTED_VALUE"""),"ООО Лидер 163-СТР от 08.08.2022")</f>
        <v>ООО Лидер 163-СТР от 08.08.2022</v>
      </c>
      <c r="D47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6" t="str">
        <f ca="1">IFERROR(__xludf.DUMMYFUNCTION("""COMPUTED_VALUE"""),"Новый")</f>
        <v>Новый</v>
      </c>
      <c r="G4756" s="68"/>
      <c r="K4756" s="68"/>
    </row>
    <row r="4757" spans="1:11" ht="12.75">
      <c r="A4757" s="69">
        <f ca="1">IFERROR(__xludf.DUMMYFUNCTION("""COMPUTED_VALUE"""),104925)</f>
        <v>104925</v>
      </c>
      <c r="B4757" s="4">
        <f ca="1">IFERROR(__xludf.DUMMYFUNCTION("""COMPUTED_VALUE"""),44797)</f>
        <v>44797</v>
      </c>
      <c r="C4757" t="str">
        <f ca="1">IFERROR(__xludf.DUMMYFUNCTION("""COMPUTED_VALUE"""),"ООО Лидер 163-СТР от 08.08.2022")</f>
        <v>ООО Лидер 163-СТР от 08.08.2022</v>
      </c>
      <c r="D47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7" t="str">
        <f ca="1">IFERROR(__xludf.DUMMYFUNCTION("""COMPUTED_VALUE"""),"Новый")</f>
        <v>Новый</v>
      </c>
      <c r="G4757" s="68"/>
      <c r="K4757" s="68"/>
    </row>
    <row r="4758" spans="1:11" ht="12.75">
      <c r="A4758" s="69">
        <f ca="1">IFERROR(__xludf.DUMMYFUNCTION("""COMPUTED_VALUE"""),104926)</f>
        <v>104926</v>
      </c>
      <c r="B4758" s="4">
        <f ca="1">IFERROR(__xludf.DUMMYFUNCTION("""COMPUTED_VALUE"""),44797)</f>
        <v>44797</v>
      </c>
      <c r="C4758" t="str">
        <f ca="1">IFERROR(__xludf.DUMMYFUNCTION("""COMPUTED_VALUE"""),"ООО Лидер 163-СТР от 08.08.2022")</f>
        <v>ООО Лидер 163-СТР от 08.08.2022</v>
      </c>
      <c r="D47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8" t="str">
        <f ca="1">IFERROR(__xludf.DUMMYFUNCTION("""COMPUTED_VALUE"""),"Новый")</f>
        <v>Новый</v>
      </c>
      <c r="G4758" s="68"/>
      <c r="K4758" s="68"/>
    </row>
    <row r="4759" spans="1:11" ht="12.75">
      <c r="A4759" s="69">
        <f ca="1">IFERROR(__xludf.DUMMYFUNCTION("""COMPUTED_VALUE"""),104927)</f>
        <v>104927</v>
      </c>
      <c r="B4759" s="4">
        <f ca="1">IFERROR(__xludf.DUMMYFUNCTION("""COMPUTED_VALUE"""),44797)</f>
        <v>44797</v>
      </c>
      <c r="C4759" t="str">
        <f ca="1">IFERROR(__xludf.DUMMYFUNCTION("""COMPUTED_VALUE"""),"ООО Лидер 163-СТР от 08.08.2022")</f>
        <v>ООО Лидер 163-СТР от 08.08.2022</v>
      </c>
      <c r="D47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59" t="str">
        <f ca="1">IFERROR(__xludf.DUMMYFUNCTION("""COMPUTED_VALUE"""),"Новый")</f>
        <v>Новый</v>
      </c>
      <c r="G4759" s="68"/>
      <c r="K4759" s="68"/>
    </row>
    <row r="4760" spans="1:11" ht="12.75">
      <c r="A4760" s="69">
        <f ca="1">IFERROR(__xludf.DUMMYFUNCTION("""COMPUTED_VALUE"""),104928)</f>
        <v>104928</v>
      </c>
      <c r="B4760" s="4">
        <f ca="1">IFERROR(__xludf.DUMMYFUNCTION("""COMPUTED_VALUE"""),44797)</f>
        <v>44797</v>
      </c>
      <c r="C4760" t="str">
        <f ca="1">IFERROR(__xludf.DUMMYFUNCTION("""COMPUTED_VALUE"""),"ООО Лидер 163-СТР от 08.08.2022")</f>
        <v>ООО Лидер 163-СТР от 08.08.2022</v>
      </c>
      <c r="D47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0" t="str">
        <f ca="1">IFERROR(__xludf.DUMMYFUNCTION("""COMPUTED_VALUE"""),"Новый")</f>
        <v>Новый</v>
      </c>
      <c r="G4760" s="68"/>
      <c r="K4760" s="68"/>
    </row>
    <row r="4761" spans="1:11" ht="12.75">
      <c r="A4761" s="69">
        <f ca="1">IFERROR(__xludf.DUMMYFUNCTION("""COMPUTED_VALUE"""),104929)</f>
        <v>104929</v>
      </c>
      <c r="B4761" s="4">
        <f ca="1">IFERROR(__xludf.DUMMYFUNCTION("""COMPUTED_VALUE"""),44797)</f>
        <v>44797</v>
      </c>
      <c r="C4761" t="str">
        <f ca="1">IFERROR(__xludf.DUMMYFUNCTION("""COMPUTED_VALUE"""),"ООО Лидер 163-СТР от 08.08.2022")</f>
        <v>ООО Лидер 163-СТР от 08.08.2022</v>
      </c>
      <c r="D47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1" t="str">
        <f ca="1">IFERROR(__xludf.DUMMYFUNCTION("""COMPUTED_VALUE"""),"Новый")</f>
        <v>Новый</v>
      </c>
      <c r="G4761" s="68"/>
      <c r="K4761" s="68"/>
    </row>
    <row r="4762" spans="1:11" ht="12.75">
      <c r="A4762" s="69">
        <f ca="1">IFERROR(__xludf.DUMMYFUNCTION("""COMPUTED_VALUE"""),104930)</f>
        <v>104930</v>
      </c>
      <c r="B4762" s="4">
        <f ca="1">IFERROR(__xludf.DUMMYFUNCTION("""COMPUTED_VALUE"""),44797)</f>
        <v>44797</v>
      </c>
      <c r="C4762" t="str">
        <f ca="1">IFERROR(__xludf.DUMMYFUNCTION("""COMPUTED_VALUE"""),"ООО Лидер 163-СТР от 08.08.2022")</f>
        <v>ООО Лидер 163-СТР от 08.08.2022</v>
      </c>
      <c r="D47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2" t="str">
        <f ca="1">IFERROR(__xludf.DUMMYFUNCTION("""COMPUTED_VALUE"""),"Новый")</f>
        <v>Новый</v>
      </c>
      <c r="G4762" s="68"/>
      <c r="K4762" s="68"/>
    </row>
    <row r="4763" spans="1:11" ht="12.75">
      <c r="A4763" s="69">
        <f ca="1">IFERROR(__xludf.DUMMYFUNCTION("""COMPUTED_VALUE"""),104931)</f>
        <v>104931</v>
      </c>
      <c r="B4763" s="4">
        <f ca="1">IFERROR(__xludf.DUMMYFUNCTION("""COMPUTED_VALUE"""),44797)</f>
        <v>44797</v>
      </c>
      <c r="C4763" t="str">
        <f ca="1">IFERROR(__xludf.DUMMYFUNCTION("""COMPUTED_VALUE"""),"ООО Лидер 163-СТР от 08.08.2022")</f>
        <v>ООО Лидер 163-СТР от 08.08.2022</v>
      </c>
      <c r="D47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3" t="str">
        <f ca="1">IFERROR(__xludf.DUMMYFUNCTION("""COMPUTED_VALUE"""),"Новый")</f>
        <v>Новый</v>
      </c>
      <c r="G4763" s="68"/>
      <c r="K4763" s="68"/>
    </row>
    <row r="4764" spans="1:11" ht="12.75">
      <c r="A4764" s="69">
        <f ca="1">IFERROR(__xludf.DUMMYFUNCTION("""COMPUTED_VALUE"""),104932)</f>
        <v>104932</v>
      </c>
      <c r="B4764" s="4">
        <f ca="1">IFERROR(__xludf.DUMMYFUNCTION("""COMPUTED_VALUE"""),44797)</f>
        <v>44797</v>
      </c>
      <c r="C4764" t="str">
        <f ca="1">IFERROR(__xludf.DUMMYFUNCTION("""COMPUTED_VALUE"""),"ООО Лидер 163-СТР от 08.08.2022")</f>
        <v>ООО Лидер 163-СТР от 08.08.2022</v>
      </c>
      <c r="D47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4" t="str">
        <f ca="1">IFERROR(__xludf.DUMMYFUNCTION("""COMPUTED_VALUE"""),"Новый")</f>
        <v>Новый</v>
      </c>
      <c r="G4764" s="68"/>
      <c r="K4764" s="68"/>
    </row>
    <row r="4765" spans="1:11" ht="12.75">
      <c r="A4765" s="69">
        <f ca="1">IFERROR(__xludf.DUMMYFUNCTION("""COMPUTED_VALUE"""),104933)</f>
        <v>104933</v>
      </c>
      <c r="B4765" s="4">
        <f ca="1">IFERROR(__xludf.DUMMYFUNCTION("""COMPUTED_VALUE"""),44797)</f>
        <v>44797</v>
      </c>
      <c r="C4765" t="str">
        <f ca="1">IFERROR(__xludf.DUMMYFUNCTION("""COMPUTED_VALUE"""),"ООО Лидер 163-СТР от 08.08.2022")</f>
        <v>ООО Лидер 163-СТР от 08.08.2022</v>
      </c>
      <c r="D47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5" t="str">
        <f ca="1">IFERROR(__xludf.DUMMYFUNCTION("""COMPUTED_VALUE"""),"Новый")</f>
        <v>Новый</v>
      </c>
      <c r="G4765" s="68"/>
      <c r="K4765" s="68"/>
    </row>
    <row r="4766" spans="1:11" ht="12.75">
      <c r="A4766" s="69">
        <f ca="1">IFERROR(__xludf.DUMMYFUNCTION("""COMPUTED_VALUE"""),104934)</f>
        <v>104934</v>
      </c>
      <c r="B4766" s="4">
        <f ca="1">IFERROR(__xludf.DUMMYFUNCTION("""COMPUTED_VALUE"""),44797)</f>
        <v>44797</v>
      </c>
      <c r="C4766" t="str">
        <f ca="1">IFERROR(__xludf.DUMMYFUNCTION("""COMPUTED_VALUE"""),"ООО Лидер 163-СТР от 08.08.2022")</f>
        <v>ООО Лидер 163-СТР от 08.08.2022</v>
      </c>
      <c r="D47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6" t="str">
        <f ca="1">IFERROR(__xludf.DUMMYFUNCTION("""COMPUTED_VALUE"""),"Новый")</f>
        <v>Новый</v>
      </c>
      <c r="G4766" s="68"/>
      <c r="K4766" s="68"/>
    </row>
    <row r="4767" spans="1:11" ht="12.75">
      <c r="A4767" s="69">
        <f ca="1">IFERROR(__xludf.DUMMYFUNCTION("""COMPUTED_VALUE"""),104935)</f>
        <v>104935</v>
      </c>
      <c r="B4767" s="4">
        <f ca="1">IFERROR(__xludf.DUMMYFUNCTION("""COMPUTED_VALUE"""),44797)</f>
        <v>44797</v>
      </c>
      <c r="C4767" t="str">
        <f ca="1">IFERROR(__xludf.DUMMYFUNCTION("""COMPUTED_VALUE"""),"ООО Лидер 163-СТР от 08.08.2022")</f>
        <v>ООО Лидер 163-СТР от 08.08.2022</v>
      </c>
      <c r="D47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7" t="str">
        <f ca="1">IFERROR(__xludf.DUMMYFUNCTION("""COMPUTED_VALUE"""),"Новый")</f>
        <v>Новый</v>
      </c>
      <c r="G4767" s="68"/>
      <c r="K4767" s="68"/>
    </row>
    <row r="4768" spans="1:11" ht="12.75">
      <c r="A4768" s="69">
        <f ca="1">IFERROR(__xludf.DUMMYFUNCTION("""COMPUTED_VALUE"""),104936)</f>
        <v>104936</v>
      </c>
      <c r="B4768" s="4">
        <f ca="1">IFERROR(__xludf.DUMMYFUNCTION("""COMPUTED_VALUE"""),44797)</f>
        <v>44797</v>
      </c>
      <c r="C4768" t="str">
        <f ca="1">IFERROR(__xludf.DUMMYFUNCTION("""COMPUTED_VALUE"""),"ООО Лидер 163-СТР от 08.08.2022")</f>
        <v>ООО Лидер 163-СТР от 08.08.2022</v>
      </c>
      <c r="D47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8" t="str">
        <f ca="1">IFERROR(__xludf.DUMMYFUNCTION("""COMPUTED_VALUE"""),"Новый")</f>
        <v>Новый</v>
      </c>
      <c r="G4768" s="68"/>
      <c r="K4768" s="68"/>
    </row>
    <row r="4769" spans="1:11" ht="12.75">
      <c r="A4769" s="69">
        <f ca="1">IFERROR(__xludf.DUMMYFUNCTION("""COMPUTED_VALUE"""),104937)</f>
        <v>104937</v>
      </c>
      <c r="B4769" s="4">
        <f ca="1">IFERROR(__xludf.DUMMYFUNCTION("""COMPUTED_VALUE"""),44797)</f>
        <v>44797</v>
      </c>
      <c r="C4769" t="str">
        <f ca="1">IFERROR(__xludf.DUMMYFUNCTION("""COMPUTED_VALUE"""),"ООО Лидер 163-СТР от 08.08.2022")</f>
        <v>ООО Лидер 163-СТР от 08.08.2022</v>
      </c>
      <c r="D47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69" t="str">
        <f ca="1">IFERROR(__xludf.DUMMYFUNCTION("""COMPUTED_VALUE"""),"Новый")</f>
        <v>Новый</v>
      </c>
      <c r="G4769" s="68"/>
      <c r="K4769" s="68"/>
    </row>
    <row r="4770" spans="1:11" ht="12.75">
      <c r="A4770" s="69">
        <f ca="1">IFERROR(__xludf.DUMMYFUNCTION("""COMPUTED_VALUE"""),104938)</f>
        <v>104938</v>
      </c>
      <c r="B4770" s="4">
        <f ca="1">IFERROR(__xludf.DUMMYFUNCTION("""COMPUTED_VALUE"""),44797)</f>
        <v>44797</v>
      </c>
      <c r="C4770" t="str">
        <f ca="1">IFERROR(__xludf.DUMMYFUNCTION("""COMPUTED_VALUE"""),"ООО Лидер 163-СТР от 08.08.2022")</f>
        <v>ООО Лидер 163-СТР от 08.08.2022</v>
      </c>
      <c r="D47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0" t="str">
        <f ca="1">IFERROR(__xludf.DUMMYFUNCTION("""COMPUTED_VALUE"""),"Новый")</f>
        <v>Новый</v>
      </c>
      <c r="G4770" s="68"/>
      <c r="K4770" s="68"/>
    </row>
    <row r="4771" spans="1:11" ht="12.75">
      <c r="A4771" s="69">
        <f ca="1">IFERROR(__xludf.DUMMYFUNCTION("""COMPUTED_VALUE"""),104939)</f>
        <v>104939</v>
      </c>
      <c r="B4771" s="4">
        <f ca="1">IFERROR(__xludf.DUMMYFUNCTION("""COMPUTED_VALUE"""),44797)</f>
        <v>44797</v>
      </c>
      <c r="C4771" t="str">
        <f ca="1">IFERROR(__xludf.DUMMYFUNCTION("""COMPUTED_VALUE"""),"ООО Лидер 163-СТР от 08.08.2022")</f>
        <v>ООО Лидер 163-СТР от 08.08.2022</v>
      </c>
      <c r="D47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1" t="str">
        <f ca="1">IFERROR(__xludf.DUMMYFUNCTION("""COMPUTED_VALUE"""),"Новый")</f>
        <v>Новый</v>
      </c>
      <c r="G4771" s="68"/>
      <c r="K4771" s="68"/>
    </row>
    <row r="4772" spans="1:11" ht="12.75">
      <c r="A4772" s="69">
        <f ca="1">IFERROR(__xludf.DUMMYFUNCTION("""COMPUTED_VALUE"""),104940)</f>
        <v>104940</v>
      </c>
      <c r="B4772" s="4">
        <f ca="1">IFERROR(__xludf.DUMMYFUNCTION("""COMPUTED_VALUE"""),44797)</f>
        <v>44797</v>
      </c>
      <c r="C4772" t="str">
        <f ca="1">IFERROR(__xludf.DUMMYFUNCTION("""COMPUTED_VALUE"""),"ООО Лидер 163-СТР от 08.08.2022")</f>
        <v>ООО Лидер 163-СТР от 08.08.2022</v>
      </c>
      <c r="D47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2" t="str">
        <f ca="1">IFERROR(__xludf.DUMMYFUNCTION("""COMPUTED_VALUE"""),"Новый")</f>
        <v>Новый</v>
      </c>
      <c r="G4772" s="68"/>
      <c r="K4772" s="68"/>
    </row>
    <row r="4773" spans="1:11" ht="12.75">
      <c r="A4773" s="69">
        <f ca="1">IFERROR(__xludf.DUMMYFUNCTION("""COMPUTED_VALUE"""),104941)</f>
        <v>104941</v>
      </c>
      <c r="B4773" s="4">
        <f ca="1">IFERROR(__xludf.DUMMYFUNCTION("""COMPUTED_VALUE"""),44797)</f>
        <v>44797</v>
      </c>
      <c r="C4773" t="str">
        <f ca="1">IFERROR(__xludf.DUMMYFUNCTION("""COMPUTED_VALUE"""),"ООО Лидер 163-СТР от 08.08.2022")</f>
        <v>ООО Лидер 163-СТР от 08.08.2022</v>
      </c>
      <c r="D47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3" t="str">
        <f ca="1">IFERROR(__xludf.DUMMYFUNCTION("""COMPUTED_VALUE"""),"Новый")</f>
        <v>Новый</v>
      </c>
      <c r="G4773" s="68"/>
      <c r="K4773" s="68"/>
    </row>
    <row r="4774" spans="1:11" ht="12.75">
      <c r="A4774" s="69">
        <f ca="1">IFERROR(__xludf.DUMMYFUNCTION("""COMPUTED_VALUE"""),104942)</f>
        <v>104942</v>
      </c>
      <c r="B4774" s="4">
        <f ca="1">IFERROR(__xludf.DUMMYFUNCTION("""COMPUTED_VALUE"""),44797)</f>
        <v>44797</v>
      </c>
      <c r="C4774" t="str">
        <f ca="1">IFERROR(__xludf.DUMMYFUNCTION("""COMPUTED_VALUE"""),"ООО Лидер 163-СТР от 08.08.2022")</f>
        <v>ООО Лидер 163-СТР от 08.08.2022</v>
      </c>
      <c r="D47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4" t="str">
        <f ca="1">IFERROR(__xludf.DUMMYFUNCTION("""COMPUTED_VALUE"""),"Новый")</f>
        <v>Новый</v>
      </c>
      <c r="G4774" s="68"/>
      <c r="K4774" s="68"/>
    </row>
    <row r="4775" spans="1:11" ht="12.75">
      <c r="A4775" s="69">
        <f ca="1">IFERROR(__xludf.DUMMYFUNCTION("""COMPUTED_VALUE"""),104943)</f>
        <v>104943</v>
      </c>
      <c r="B4775" s="4">
        <f ca="1">IFERROR(__xludf.DUMMYFUNCTION("""COMPUTED_VALUE"""),44797)</f>
        <v>44797</v>
      </c>
      <c r="C4775" t="str">
        <f ca="1">IFERROR(__xludf.DUMMYFUNCTION("""COMPUTED_VALUE"""),"ООО Лидер 163-СТР от 08.08.2022")</f>
        <v>ООО Лидер 163-СТР от 08.08.2022</v>
      </c>
      <c r="D47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5" t="str">
        <f ca="1">IFERROR(__xludf.DUMMYFUNCTION("""COMPUTED_VALUE"""),"Новый")</f>
        <v>Новый</v>
      </c>
      <c r="G4775" s="68"/>
      <c r="K4775" s="68"/>
    </row>
    <row r="4776" spans="1:11" ht="12.75">
      <c r="A4776" s="69">
        <f ca="1">IFERROR(__xludf.DUMMYFUNCTION("""COMPUTED_VALUE"""),104944)</f>
        <v>104944</v>
      </c>
      <c r="B4776" s="4">
        <f ca="1">IFERROR(__xludf.DUMMYFUNCTION("""COMPUTED_VALUE"""),44797)</f>
        <v>44797</v>
      </c>
      <c r="C4776" t="str">
        <f ca="1">IFERROR(__xludf.DUMMYFUNCTION("""COMPUTED_VALUE"""),"ООО Лидер 163-СТР от 08.08.2022")</f>
        <v>ООО Лидер 163-СТР от 08.08.2022</v>
      </c>
      <c r="D47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6" t="str">
        <f ca="1">IFERROR(__xludf.DUMMYFUNCTION("""COMPUTED_VALUE"""),"Новый")</f>
        <v>Новый</v>
      </c>
      <c r="G4776" s="68"/>
      <c r="K4776" s="68"/>
    </row>
    <row r="4777" spans="1:11" ht="12.75">
      <c r="A4777" s="69">
        <f ca="1">IFERROR(__xludf.DUMMYFUNCTION("""COMPUTED_VALUE"""),104945)</f>
        <v>104945</v>
      </c>
      <c r="B4777" s="4">
        <f ca="1">IFERROR(__xludf.DUMMYFUNCTION("""COMPUTED_VALUE"""),44797)</f>
        <v>44797</v>
      </c>
      <c r="C4777" t="str">
        <f ca="1">IFERROR(__xludf.DUMMYFUNCTION("""COMPUTED_VALUE"""),"ООО Лидер 163-СТР от 08.08.2022")</f>
        <v>ООО Лидер 163-СТР от 08.08.2022</v>
      </c>
      <c r="D47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7" t="str">
        <f ca="1">IFERROR(__xludf.DUMMYFUNCTION("""COMPUTED_VALUE"""),"Новый")</f>
        <v>Новый</v>
      </c>
      <c r="G4777" s="68"/>
      <c r="K4777" s="68"/>
    </row>
    <row r="4778" spans="1:11" ht="12.75">
      <c r="A4778" s="69">
        <f ca="1">IFERROR(__xludf.DUMMYFUNCTION("""COMPUTED_VALUE"""),104946)</f>
        <v>104946</v>
      </c>
      <c r="B4778" s="4">
        <f ca="1">IFERROR(__xludf.DUMMYFUNCTION("""COMPUTED_VALUE"""),44797)</f>
        <v>44797</v>
      </c>
      <c r="C4778" t="str">
        <f ca="1">IFERROR(__xludf.DUMMYFUNCTION("""COMPUTED_VALUE"""),"ООО Лидер 163-СТР от 08.08.2022")</f>
        <v>ООО Лидер 163-СТР от 08.08.2022</v>
      </c>
      <c r="D47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8" t="str">
        <f ca="1">IFERROR(__xludf.DUMMYFUNCTION("""COMPUTED_VALUE"""),"Новый")</f>
        <v>Новый</v>
      </c>
      <c r="G4778" s="68"/>
      <c r="K4778" s="68"/>
    </row>
    <row r="4779" spans="1:11" ht="12.75">
      <c r="A4779" s="69">
        <f ca="1">IFERROR(__xludf.DUMMYFUNCTION("""COMPUTED_VALUE"""),104947)</f>
        <v>104947</v>
      </c>
      <c r="B4779" s="4">
        <f ca="1">IFERROR(__xludf.DUMMYFUNCTION("""COMPUTED_VALUE"""),44797)</f>
        <v>44797</v>
      </c>
      <c r="C4779" t="str">
        <f ca="1">IFERROR(__xludf.DUMMYFUNCTION("""COMPUTED_VALUE"""),"ООО Лидер 163-СТР от 08.08.2022")</f>
        <v>ООО Лидер 163-СТР от 08.08.2022</v>
      </c>
      <c r="D47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79" t="str">
        <f ca="1">IFERROR(__xludf.DUMMYFUNCTION("""COMPUTED_VALUE"""),"Новый")</f>
        <v>Новый</v>
      </c>
      <c r="G4779" s="68"/>
      <c r="K4779" s="68"/>
    </row>
    <row r="4780" spans="1:11" ht="12.75">
      <c r="A4780" s="69">
        <f ca="1">IFERROR(__xludf.DUMMYFUNCTION("""COMPUTED_VALUE"""),104948)</f>
        <v>104948</v>
      </c>
      <c r="B4780" s="4">
        <f ca="1">IFERROR(__xludf.DUMMYFUNCTION("""COMPUTED_VALUE"""),44797)</f>
        <v>44797</v>
      </c>
      <c r="C4780" t="str">
        <f ca="1">IFERROR(__xludf.DUMMYFUNCTION("""COMPUTED_VALUE"""),"ООО Лидер 163-СТР от 08.08.2022")</f>
        <v>ООО Лидер 163-СТР от 08.08.2022</v>
      </c>
      <c r="D47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0" t="str">
        <f ca="1">IFERROR(__xludf.DUMMYFUNCTION("""COMPUTED_VALUE"""),"Новый")</f>
        <v>Новый</v>
      </c>
      <c r="G4780" s="68"/>
      <c r="K4780" s="68"/>
    </row>
    <row r="4781" spans="1:11" ht="12.75">
      <c r="A4781" s="69">
        <f ca="1">IFERROR(__xludf.DUMMYFUNCTION("""COMPUTED_VALUE"""),104949)</f>
        <v>104949</v>
      </c>
      <c r="B4781" s="4">
        <f ca="1">IFERROR(__xludf.DUMMYFUNCTION("""COMPUTED_VALUE"""),44797)</f>
        <v>44797</v>
      </c>
      <c r="C4781" t="str">
        <f ca="1">IFERROR(__xludf.DUMMYFUNCTION("""COMPUTED_VALUE"""),"ООО Лидер 163-СТР от 08.08.2022")</f>
        <v>ООО Лидер 163-СТР от 08.08.2022</v>
      </c>
      <c r="D47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1" t="str">
        <f ca="1">IFERROR(__xludf.DUMMYFUNCTION("""COMPUTED_VALUE"""),"Новый")</f>
        <v>Новый</v>
      </c>
      <c r="G4781" s="68"/>
      <c r="K4781" s="68"/>
    </row>
    <row r="4782" spans="1:11" ht="12.75">
      <c r="A4782" s="69">
        <f ca="1">IFERROR(__xludf.DUMMYFUNCTION("""COMPUTED_VALUE"""),104950)</f>
        <v>104950</v>
      </c>
      <c r="B4782" s="4">
        <f ca="1">IFERROR(__xludf.DUMMYFUNCTION("""COMPUTED_VALUE"""),44797)</f>
        <v>44797</v>
      </c>
      <c r="C4782" t="str">
        <f ca="1">IFERROR(__xludf.DUMMYFUNCTION("""COMPUTED_VALUE"""),"ООО Лидер 163-СТР от 08.08.2022")</f>
        <v>ООО Лидер 163-СТР от 08.08.2022</v>
      </c>
      <c r="D47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2" t="str">
        <f ca="1">IFERROR(__xludf.DUMMYFUNCTION("""COMPUTED_VALUE"""),"Новый")</f>
        <v>Новый</v>
      </c>
      <c r="G4782" s="68"/>
      <c r="K4782" s="68"/>
    </row>
    <row r="4783" spans="1:11" ht="12.75">
      <c r="A4783" s="69">
        <f ca="1">IFERROR(__xludf.DUMMYFUNCTION("""COMPUTED_VALUE"""),104951)</f>
        <v>104951</v>
      </c>
      <c r="B4783" s="4">
        <f ca="1">IFERROR(__xludf.DUMMYFUNCTION("""COMPUTED_VALUE"""),44797)</f>
        <v>44797</v>
      </c>
      <c r="C4783" t="str">
        <f ca="1">IFERROR(__xludf.DUMMYFUNCTION("""COMPUTED_VALUE"""),"ООО Лидер 163-СТР от 08.08.2022")</f>
        <v>ООО Лидер 163-СТР от 08.08.2022</v>
      </c>
      <c r="D47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3" t="str">
        <f ca="1">IFERROR(__xludf.DUMMYFUNCTION("""COMPUTED_VALUE"""),"Новый")</f>
        <v>Новый</v>
      </c>
      <c r="G4783" s="68"/>
      <c r="K4783" s="68"/>
    </row>
    <row r="4784" spans="1:11" ht="12.75">
      <c r="A4784" s="69">
        <f ca="1">IFERROR(__xludf.DUMMYFUNCTION("""COMPUTED_VALUE"""),104952)</f>
        <v>104952</v>
      </c>
      <c r="B4784" s="4">
        <f ca="1">IFERROR(__xludf.DUMMYFUNCTION("""COMPUTED_VALUE"""),44797)</f>
        <v>44797</v>
      </c>
      <c r="C4784" t="str">
        <f ca="1">IFERROR(__xludf.DUMMYFUNCTION("""COMPUTED_VALUE"""),"ООО Лидер 163-СТР от 08.08.2022")</f>
        <v>ООО Лидер 163-СТР от 08.08.2022</v>
      </c>
      <c r="D47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4" t="str">
        <f ca="1">IFERROR(__xludf.DUMMYFUNCTION("""COMPUTED_VALUE"""),"Новый")</f>
        <v>Новый</v>
      </c>
      <c r="G4784" s="68"/>
      <c r="K4784" s="68"/>
    </row>
    <row r="4785" spans="1:11" ht="12.75">
      <c r="A4785" s="69">
        <f ca="1">IFERROR(__xludf.DUMMYFUNCTION("""COMPUTED_VALUE"""),104953)</f>
        <v>104953</v>
      </c>
      <c r="B4785" s="4">
        <f ca="1">IFERROR(__xludf.DUMMYFUNCTION("""COMPUTED_VALUE"""),44797)</f>
        <v>44797</v>
      </c>
      <c r="C4785" t="str">
        <f ca="1">IFERROR(__xludf.DUMMYFUNCTION("""COMPUTED_VALUE"""),"ООО Лидер 163-СТР от 08.08.2022")</f>
        <v>ООО Лидер 163-СТР от 08.08.2022</v>
      </c>
      <c r="D47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5" t="str">
        <f ca="1">IFERROR(__xludf.DUMMYFUNCTION("""COMPUTED_VALUE"""),"Новый")</f>
        <v>Новый</v>
      </c>
      <c r="G4785" s="68"/>
      <c r="K4785" s="68"/>
    </row>
    <row r="4786" spans="1:11" ht="12.75">
      <c r="A4786" s="69">
        <f ca="1">IFERROR(__xludf.DUMMYFUNCTION("""COMPUTED_VALUE"""),104954)</f>
        <v>104954</v>
      </c>
      <c r="B4786" s="4">
        <f ca="1">IFERROR(__xludf.DUMMYFUNCTION("""COMPUTED_VALUE"""),44797)</f>
        <v>44797</v>
      </c>
      <c r="C4786" t="str">
        <f ca="1">IFERROR(__xludf.DUMMYFUNCTION("""COMPUTED_VALUE"""),"ООО Лидер 163-СТР от 08.08.2022")</f>
        <v>ООО Лидер 163-СТР от 08.08.2022</v>
      </c>
      <c r="D47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6" t="str">
        <f ca="1">IFERROR(__xludf.DUMMYFUNCTION("""COMPUTED_VALUE"""),"Новый")</f>
        <v>Новый</v>
      </c>
      <c r="G4786" s="68"/>
      <c r="K4786" s="68"/>
    </row>
    <row r="4787" spans="1:11" ht="12.75">
      <c r="A4787" s="69">
        <f ca="1">IFERROR(__xludf.DUMMYFUNCTION("""COMPUTED_VALUE"""),104955)</f>
        <v>104955</v>
      </c>
      <c r="B4787" s="4">
        <f ca="1">IFERROR(__xludf.DUMMYFUNCTION("""COMPUTED_VALUE"""),44797)</f>
        <v>44797</v>
      </c>
      <c r="C4787" t="str">
        <f ca="1">IFERROR(__xludf.DUMMYFUNCTION("""COMPUTED_VALUE"""),"ООО Лидер 163-СТР от 08.08.2022")</f>
        <v>ООО Лидер 163-СТР от 08.08.2022</v>
      </c>
      <c r="D47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7" t="str">
        <f ca="1">IFERROR(__xludf.DUMMYFUNCTION("""COMPUTED_VALUE"""),"Новый")</f>
        <v>Новый</v>
      </c>
      <c r="G4787" s="68"/>
      <c r="K4787" s="68"/>
    </row>
    <row r="4788" spans="1:11" ht="12.75">
      <c r="A4788" s="69">
        <f ca="1">IFERROR(__xludf.DUMMYFUNCTION("""COMPUTED_VALUE"""),104956)</f>
        <v>104956</v>
      </c>
      <c r="B4788" s="4">
        <f ca="1">IFERROR(__xludf.DUMMYFUNCTION("""COMPUTED_VALUE"""),44797)</f>
        <v>44797</v>
      </c>
      <c r="C4788" t="str">
        <f ca="1">IFERROR(__xludf.DUMMYFUNCTION("""COMPUTED_VALUE"""),"ООО Лидер 163-СТР от 08.08.2022")</f>
        <v>ООО Лидер 163-СТР от 08.08.2022</v>
      </c>
      <c r="D47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8" t="str">
        <f ca="1">IFERROR(__xludf.DUMMYFUNCTION("""COMPUTED_VALUE"""),"Новый")</f>
        <v>Новый</v>
      </c>
      <c r="G4788" s="68"/>
      <c r="K4788" s="68"/>
    </row>
    <row r="4789" spans="1:11" ht="12.75">
      <c r="A4789" s="69">
        <f ca="1">IFERROR(__xludf.DUMMYFUNCTION("""COMPUTED_VALUE"""),104957)</f>
        <v>104957</v>
      </c>
      <c r="B4789" s="4">
        <f ca="1">IFERROR(__xludf.DUMMYFUNCTION("""COMPUTED_VALUE"""),44797)</f>
        <v>44797</v>
      </c>
      <c r="C4789" t="str">
        <f ca="1">IFERROR(__xludf.DUMMYFUNCTION("""COMPUTED_VALUE"""),"ООО Лидер 163-СТР от 08.08.2022")</f>
        <v>ООО Лидер 163-СТР от 08.08.2022</v>
      </c>
      <c r="D47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89" t="str">
        <f ca="1">IFERROR(__xludf.DUMMYFUNCTION("""COMPUTED_VALUE"""),"Новый")</f>
        <v>Новый</v>
      </c>
      <c r="G4789" s="68"/>
      <c r="K4789" s="68"/>
    </row>
    <row r="4790" spans="1:11" ht="12.75">
      <c r="A4790" s="69">
        <f ca="1">IFERROR(__xludf.DUMMYFUNCTION("""COMPUTED_VALUE"""),104958)</f>
        <v>104958</v>
      </c>
      <c r="B4790" s="4">
        <f ca="1">IFERROR(__xludf.DUMMYFUNCTION("""COMPUTED_VALUE"""),44797)</f>
        <v>44797</v>
      </c>
      <c r="C4790" t="str">
        <f ca="1">IFERROR(__xludf.DUMMYFUNCTION("""COMPUTED_VALUE"""),"ООО Лидер 163-СТР от 08.08.2022")</f>
        <v>ООО Лидер 163-СТР от 08.08.2022</v>
      </c>
      <c r="D47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0" t="str">
        <f ca="1">IFERROR(__xludf.DUMMYFUNCTION("""COMPUTED_VALUE"""),"Новый")</f>
        <v>Новый</v>
      </c>
      <c r="G4790" s="68"/>
      <c r="K4790" s="68"/>
    </row>
    <row r="4791" spans="1:11" ht="12.75">
      <c r="A4791" s="69">
        <f ca="1">IFERROR(__xludf.DUMMYFUNCTION("""COMPUTED_VALUE"""),104959)</f>
        <v>104959</v>
      </c>
      <c r="B4791" s="4">
        <f ca="1">IFERROR(__xludf.DUMMYFUNCTION("""COMPUTED_VALUE"""),44797)</f>
        <v>44797</v>
      </c>
      <c r="C4791" t="str">
        <f ca="1">IFERROR(__xludf.DUMMYFUNCTION("""COMPUTED_VALUE"""),"ООО Лидер 163-СТР от 08.08.2022")</f>
        <v>ООО Лидер 163-СТР от 08.08.2022</v>
      </c>
      <c r="D47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1" t="str">
        <f ca="1">IFERROR(__xludf.DUMMYFUNCTION("""COMPUTED_VALUE"""),"Новый")</f>
        <v>Новый</v>
      </c>
      <c r="G4791" s="68"/>
      <c r="K4791" s="68"/>
    </row>
    <row r="4792" spans="1:11" ht="12.75">
      <c r="A4792" s="69">
        <f ca="1">IFERROR(__xludf.DUMMYFUNCTION("""COMPUTED_VALUE"""),104960)</f>
        <v>104960</v>
      </c>
      <c r="B4792" s="4">
        <f ca="1">IFERROR(__xludf.DUMMYFUNCTION("""COMPUTED_VALUE"""),44797)</f>
        <v>44797</v>
      </c>
      <c r="C4792" t="str">
        <f ca="1">IFERROR(__xludf.DUMMYFUNCTION("""COMPUTED_VALUE"""),"ООО Лидер 163-СТР от 08.08.2022")</f>
        <v>ООО Лидер 163-СТР от 08.08.2022</v>
      </c>
      <c r="D47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2" t="str">
        <f ca="1">IFERROR(__xludf.DUMMYFUNCTION("""COMPUTED_VALUE"""),"Новый")</f>
        <v>Новый</v>
      </c>
      <c r="G4792" s="68"/>
      <c r="K4792" s="68"/>
    </row>
    <row r="4793" spans="1:11" ht="12.75">
      <c r="A4793" s="69">
        <f ca="1">IFERROR(__xludf.DUMMYFUNCTION("""COMPUTED_VALUE"""),104961)</f>
        <v>104961</v>
      </c>
      <c r="B4793" s="4">
        <f ca="1">IFERROR(__xludf.DUMMYFUNCTION("""COMPUTED_VALUE"""),44797)</f>
        <v>44797</v>
      </c>
      <c r="C4793" t="str">
        <f ca="1">IFERROR(__xludf.DUMMYFUNCTION("""COMPUTED_VALUE"""),"ООО Лидер 163-СТР от 08.08.2022")</f>
        <v>ООО Лидер 163-СТР от 08.08.2022</v>
      </c>
      <c r="D47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3" t="str">
        <f ca="1">IFERROR(__xludf.DUMMYFUNCTION("""COMPUTED_VALUE"""),"Новый")</f>
        <v>Новый</v>
      </c>
      <c r="G4793" s="68"/>
      <c r="K4793" s="68"/>
    </row>
    <row r="4794" spans="1:11" ht="12.75">
      <c r="A4794" s="69">
        <f ca="1">IFERROR(__xludf.DUMMYFUNCTION("""COMPUTED_VALUE"""),104962)</f>
        <v>104962</v>
      </c>
      <c r="B4794" s="4">
        <f ca="1">IFERROR(__xludf.DUMMYFUNCTION("""COMPUTED_VALUE"""),44797)</f>
        <v>44797</v>
      </c>
      <c r="C4794" t="str">
        <f ca="1">IFERROR(__xludf.DUMMYFUNCTION("""COMPUTED_VALUE"""),"ООО Лидер 163-СТР от 08.08.2022")</f>
        <v>ООО Лидер 163-СТР от 08.08.2022</v>
      </c>
      <c r="D47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4" t="str">
        <f ca="1">IFERROR(__xludf.DUMMYFUNCTION("""COMPUTED_VALUE"""),"Новый")</f>
        <v>Новый</v>
      </c>
      <c r="G4794" s="68"/>
      <c r="K4794" s="68"/>
    </row>
    <row r="4795" spans="1:11" ht="12.75">
      <c r="A4795" s="69">
        <f ca="1">IFERROR(__xludf.DUMMYFUNCTION("""COMPUTED_VALUE"""),104963)</f>
        <v>104963</v>
      </c>
      <c r="B4795" s="4">
        <f ca="1">IFERROR(__xludf.DUMMYFUNCTION("""COMPUTED_VALUE"""),44797)</f>
        <v>44797</v>
      </c>
      <c r="C4795" t="str">
        <f ca="1">IFERROR(__xludf.DUMMYFUNCTION("""COMPUTED_VALUE"""),"ООО Лидер 163-СТР от 08.08.2022")</f>
        <v>ООО Лидер 163-СТР от 08.08.2022</v>
      </c>
      <c r="D47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5" t="str">
        <f ca="1">IFERROR(__xludf.DUMMYFUNCTION("""COMPUTED_VALUE"""),"Новый")</f>
        <v>Новый</v>
      </c>
      <c r="G4795" s="68"/>
      <c r="K4795" s="68"/>
    </row>
    <row r="4796" spans="1:11" ht="12.75">
      <c r="A4796" s="69">
        <f ca="1">IFERROR(__xludf.DUMMYFUNCTION("""COMPUTED_VALUE"""),104964)</f>
        <v>104964</v>
      </c>
      <c r="B4796" s="4">
        <f ca="1">IFERROR(__xludf.DUMMYFUNCTION("""COMPUTED_VALUE"""),44797)</f>
        <v>44797</v>
      </c>
      <c r="C4796" t="str">
        <f ca="1">IFERROR(__xludf.DUMMYFUNCTION("""COMPUTED_VALUE"""),"ООО Лидер 163-СТР от 08.08.2022")</f>
        <v>ООО Лидер 163-СТР от 08.08.2022</v>
      </c>
      <c r="D47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6" t="str">
        <f ca="1">IFERROR(__xludf.DUMMYFUNCTION("""COMPUTED_VALUE"""),"Новый")</f>
        <v>Новый</v>
      </c>
      <c r="G4796" s="68"/>
      <c r="K4796" s="68"/>
    </row>
    <row r="4797" spans="1:11" ht="12.75">
      <c r="A4797" s="69">
        <f ca="1">IFERROR(__xludf.DUMMYFUNCTION("""COMPUTED_VALUE"""),104965)</f>
        <v>104965</v>
      </c>
      <c r="B4797" s="4">
        <f ca="1">IFERROR(__xludf.DUMMYFUNCTION("""COMPUTED_VALUE"""),44797)</f>
        <v>44797</v>
      </c>
      <c r="C4797" t="str">
        <f ca="1">IFERROR(__xludf.DUMMYFUNCTION("""COMPUTED_VALUE"""),"ООО Лидер 163-СТР от 08.08.2022")</f>
        <v>ООО Лидер 163-СТР от 08.08.2022</v>
      </c>
      <c r="D47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7" t="str">
        <f ca="1">IFERROR(__xludf.DUMMYFUNCTION("""COMPUTED_VALUE"""),"Новый")</f>
        <v>Новый</v>
      </c>
      <c r="G4797" s="68"/>
      <c r="K4797" s="68"/>
    </row>
    <row r="4798" spans="1:11" ht="12.75">
      <c r="A4798" s="69">
        <f ca="1">IFERROR(__xludf.DUMMYFUNCTION("""COMPUTED_VALUE"""),104966)</f>
        <v>104966</v>
      </c>
      <c r="B4798" s="4">
        <f ca="1">IFERROR(__xludf.DUMMYFUNCTION("""COMPUTED_VALUE"""),44797)</f>
        <v>44797</v>
      </c>
      <c r="C4798" t="str">
        <f ca="1">IFERROR(__xludf.DUMMYFUNCTION("""COMPUTED_VALUE"""),"ООО Лидер 163-СТР от 08.08.2022")</f>
        <v>ООО Лидер 163-СТР от 08.08.2022</v>
      </c>
      <c r="D47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8" t="str">
        <f ca="1">IFERROR(__xludf.DUMMYFUNCTION("""COMPUTED_VALUE"""),"Новый")</f>
        <v>Новый</v>
      </c>
      <c r="G4798" s="68"/>
      <c r="K4798" s="68"/>
    </row>
    <row r="4799" spans="1:11" ht="12.75">
      <c r="A4799" s="69">
        <f ca="1">IFERROR(__xludf.DUMMYFUNCTION("""COMPUTED_VALUE"""),104967)</f>
        <v>104967</v>
      </c>
      <c r="B4799" s="4">
        <f ca="1">IFERROR(__xludf.DUMMYFUNCTION("""COMPUTED_VALUE"""),44797)</f>
        <v>44797</v>
      </c>
      <c r="C4799" t="str">
        <f ca="1">IFERROR(__xludf.DUMMYFUNCTION("""COMPUTED_VALUE"""),"ООО Лидер 163-СТР от 08.08.2022")</f>
        <v>ООО Лидер 163-СТР от 08.08.2022</v>
      </c>
      <c r="D47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799" t="str">
        <f ca="1">IFERROR(__xludf.DUMMYFUNCTION("""COMPUTED_VALUE"""),"Новый")</f>
        <v>Новый</v>
      </c>
      <c r="G4799" s="68"/>
      <c r="K4799" s="68"/>
    </row>
    <row r="4800" spans="1:11" ht="12.75">
      <c r="A4800" s="69">
        <f ca="1">IFERROR(__xludf.DUMMYFUNCTION("""COMPUTED_VALUE"""),104968)</f>
        <v>104968</v>
      </c>
      <c r="B4800" s="4">
        <f ca="1">IFERROR(__xludf.DUMMYFUNCTION("""COMPUTED_VALUE"""),44797)</f>
        <v>44797</v>
      </c>
      <c r="C4800" t="str">
        <f ca="1">IFERROR(__xludf.DUMMYFUNCTION("""COMPUTED_VALUE"""),"ООО Лидер 163-СТР от 08.08.2022")</f>
        <v>ООО Лидер 163-СТР от 08.08.2022</v>
      </c>
      <c r="D48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0" t="str">
        <f ca="1">IFERROR(__xludf.DUMMYFUNCTION("""COMPUTED_VALUE"""),"Новый")</f>
        <v>Новый</v>
      </c>
      <c r="G4800" s="68"/>
      <c r="K4800" s="68"/>
    </row>
    <row r="4801" spans="1:11" ht="12.75">
      <c r="A4801" s="69">
        <f ca="1">IFERROR(__xludf.DUMMYFUNCTION("""COMPUTED_VALUE"""),104969)</f>
        <v>104969</v>
      </c>
      <c r="B4801" s="4">
        <f ca="1">IFERROR(__xludf.DUMMYFUNCTION("""COMPUTED_VALUE"""),44797)</f>
        <v>44797</v>
      </c>
      <c r="C4801" t="str">
        <f ca="1">IFERROR(__xludf.DUMMYFUNCTION("""COMPUTED_VALUE"""),"ООО Лидер 163-СТР от 08.08.2022")</f>
        <v>ООО Лидер 163-СТР от 08.08.2022</v>
      </c>
      <c r="D48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1" t="str">
        <f ca="1">IFERROR(__xludf.DUMMYFUNCTION("""COMPUTED_VALUE"""),"Новый")</f>
        <v>Новый</v>
      </c>
      <c r="G4801" s="68"/>
      <c r="K4801" s="68"/>
    </row>
    <row r="4802" spans="1:11" ht="12.75">
      <c r="A4802" s="69">
        <f ca="1">IFERROR(__xludf.DUMMYFUNCTION("""COMPUTED_VALUE"""),105032)</f>
        <v>105032</v>
      </c>
      <c r="B4802" s="4">
        <f ca="1">IFERROR(__xludf.DUMMYFUNCTION("""COMPUTED_VALUE"""),44797)</f>
        <v>44797</v>
      </c>
      <c r="C4802" t="str">
        <f ca="1">IFERROR(__xludf.DUMMYFUNCTION("""COMPUTED_VALUE"""),"ООО Лидер 163-СТР от 08.08.2022")</f>
        <v>ООО Лидер 163-СТР от 08.08.2022</v>
      </c>
      <c r="D48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2" t="str">
        <f ca="1">IFERROR(__xludf.DUMMYFUNCTION("""COMPUTED_VALUE"""),"Новый")</f>
        <v>Новый</v>
      </c>
      <c r="G4802" s="68"/>
      <c r="K4802" s="68"/>
    </row>
    <row r="4803" spans="1:11" ht="12.75">
      <c r="A4803" s="69">
        <f ca="1">IFERROR(__xludf.DUMMYFUNCTION("""COMPUTED_VALUE"""),105033)</f>
        <v>105033</v>
      </c>
      <c r="B4803" s="4">
        <f ca="1">IFERROR(__xludf.DUMMYFUNCTION("""COMPUTED_VALUE"""),44797)</f>
        <v>44797</v>
      </c>
      <c r="C4803" t="str">
        <f ca="1">IFERROR(__xludf.DUMMYFUNCTION("""COMPUTED_VALUE"""),"ООО Лидер 163-СТР от 08.08.2022")</f>
        <v>ООО Лидер 163-СТР от 08.08.2022</v>
      </c>
      <c r="D48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3" t="str">
        <f ca="1">IFERROR(__xludf.DUMMYFUNCTION("""COMPUTED_VALUE"""),"Новый")</f>
        <v>Новый</v>
      </c>
      <c r="G4803" s="68"/>
      <c r="K4803" s="68"/>
    </row>
    <row r="4804" spans="1:11" ht="12.75">
      <c r="A4804" s="69">
        <f ca="1">IFERROR(__xludf.DUMMYFUNCTION("""COMPUTED_VALUE"""),105034)</f>
        <v>105034</v>
      </c>
      <c r="B4804" s="4">
        <f ca="1">IFERROR(__xludf.DUMMYFUNCTION("""COMPUTED_VALUE"""),44797)</f>
        <v>44797</v>
      </c>
      <c r="C4804" t="str">
        <f ca="1">IFERROR(__xludf.DUMMYFUNCTION("""COMPUTED_VALUE"""),"ООО Лидер 163-СТР от 08.08.2022")</f>
        <v>ООО Лидер 163-СТР от 08.08.2022</v>
      </c>
      <c r="D48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4" t="str">
        <f ca="1">IFERROR(__xludf.DUMMYFUNCTION("""COMPUTED_VALUE"""),"Новый")</f>
        <v>Новый</v>
      </c>
      <c r="G4804" s="68"/>
      <c r="K4804" s="68"/>
    </row>
    <row r="4805" spans="1:11" ht="12.75">
      <c r="A4805" s="69">
        <f ca="1">IFERROR(__xludf.DUMMYFUNCTION("""COMPUTED_VALUE"""),105035)</f>
        <v>105035</v>
      </c>
      <c r="B4805" s="4">
        <f ca="1">IFERROR(__xludf.DUMMYFUNCTION("""COMPUTED_VALUE"""),44797)</f>
        <v>44797</v>
      </c>
      <c r="C4805" t="str">
        <f ca="1">IFERROR(__xludf.DUMMYFUNCTION("""COMPUTED_VALUE"""),"ООО Лидер 163-СТР от 08.08.2022")</f>
        <v>ООО Лидер 163-СТР от 08.08.2022</v>
      </c>
      <c r="D48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5" t="str">
        <f ca="1">IFERROR(__xludf.DUMMYFUNCTION("""COMPUTED_VALUE"""),"Новый")</f>
        <v>Новый</v>
      </c>
      <c r="G4805" s="68"/>
      <c r="K4805" s="68"/>
    </row>
    <row r="4806" spans="1:11" ht="12.75">
      <c r="A4806" s="69">
        <f ca="1">IFERROR(__xludf.DUMMYFUNCTION("""COMPUTED_VALUE"""),105036)</f>
        <v>105036</v>
      </c>
      <c r="B4806" s="4">
        <f ca="1">IFERROR(__xludf.DUMMYFUNCTION("""COMPUTED_VALUE"""),44797)</f>
        <v>44797</v>
      </c>
      <c r="C4806" t="str">
        <f ca="1">IFERROR(__xludf.DUMMYFUNCTION("""COMPUTED_VALUE"""),"ООО Лидер 163-СТР от 08.08.2022")</f>
        <v>ООО Лидер 163-СТР от 08.08.2022</v>
      </c>
      <c r="D48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6" t="str">
        <f ca="1">IFERROR(__xludf.DUMMYFUNCTION("""COMPUTED_VALUE"""),"Новый")</f>
        <v>Новый</v>
      </c>
      <c r="G4806" s="68"/>
      <c r="K4806" s="68"/>
    </row>
    <row r="4807" spans="1:11" ht="12.75">
      <c r="A4807" s="69">
        <f ca="1">IFERROR(__xludf.DUMMYFUNCTION("""COMPUTED_VALUE"""),105037)</f>
        <v>105037</v>
      </c>
      <c r="B4807" s="4">
        <f ca="1">IFERROR(__xludf.DUMMYFUNCTION("""COMPUTED_VALUE"""),44797)</f>
        <v>44797</v>
      </c>
      <c r="C4807" t="str">
        <f ca="1">IFERROR(__xludf.DUMMYFUNCTION("""COMPUTED_VALUE"""),"ООО Лидер 163-СТР от 08.08.2022")</f>
        <v>ООО Лидер 163-СТР от 08.08.2022</v>
      </c>
      <c r="D48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7" t="str">
        <f ca="1">IFERROR(__xludf.DUMMYFUNCTION("""COMPUTED_VALUE"""),"Новый")</f>
        <v>Новый</v>
      </c>
      <c r="G4807" s="68"/>
      <c r="K4807" s="68"/>
    </row>
    <row r="4808" spans="1:11" ht="12.75">
      <c r="A4808" s="69">
        <f ca="1">IFERROR(__xludf.DUMMYFUNCTION("""COMPUTED_VALUE"""),105038)</f>
        <v>105038</v>
      </c>
      <c r="B4808" s="4">
        <f ca="1">IFERROR(__xludf.DUMMYFUNCTION("""COMPUTED_VALUE"""),44797)</f>
        <v>44797</v>
      </c>
      <c r="C4808" t="str">
        <f ca="1">IFERROR(__xludf.DUMMYFUNCTION("""COMPUTED_VALUE"""),"ООО Лидер 163-СТР от 08.08.2022")</f>
        <v>ООО Лидер 163-СТР от 08.08.2022</v>
      </c>
      <c r="D48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8" t="str">
        <f ca="1">IFERROR(__xludf.DUMMYFUNCTION("""COMPUTED_VALUE"""),"Новый")</f>
        <v>Новый</v>
      </c>
      <c r="G4808" s="68"/>
      <c r="K4808" s="68"/>
    </row>
    <row r="4809" spans="1:11" ht="12.75">
      <c r="A4809" s="69">
        <f ca="1">IFERROR(__xludf.DUMMYFUNCTION("""COMPUTED_VALUE"""),105039)</f>
        <v>105039</v>
      </c>
      <c r="B4809" s="4">
        <f ca="1">IFERROR(__xludf.DUMMYFUNCTION("""COMPUTED_VALUE"""),44797)</f>
        <v>44797</v>
      </c>
      <c r="C4809" t="str">
        <f ca="1">IFERROR(__xludf.DUMMYFUNCTION("""COMPUTED_VALUE"""),"ООО Лидер 163-СТР от 08.08.2022")</f>
        <v>ООО Лидер 163-СТР от 08.08.2022</v>
      </c>
      <c r="D48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09" t="str">
        <f ca="1">IFERROR(__xludf.DUMMYFUNCTION("""COMPUTED_VALUE"""),"Новый")</f>
        <v>Новый</v>
      </c>
      <c r="G4809" s="68"/>
      <c r="K4809" s="68"/>
    </row>
    <row r="4810" spans="1:11" ht="12.75">
      <c r="A4810" s="69">
        <f ca="1">IFERROR(__xludf.DUMMYFUNCTION("""COMPUTED_VALUE"""),105040)</f>
        <v>105040</v>
      </c>
      <c r="B4810" s="4">
        <f ca="1">IFERROR(__xludf.DUMMYFUNCTION("""COMPUTED_VALUE"""),44797)</f>
        <v>44797</v>
      </c>
      <c r="C4810" t="str">
        <f ca="1">IFERROR(__xludf.DUMMYFUNCTION("""COMPUTED_VALUE"""),"ООО Лидер 163-СТР от 08.08.2022")</f>
        <v>ООО Лидер 163-СТР от 08.08.2022</v>
      </c>
      <c r="D48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0" t="str">
        <f ca="1">IFERROR(__xludf.DUMMYFUNCTION("""COMPUTED_VALUE"""),"Новый")</f>
        <v>Новый</v>
      </c>
      <c r="G4810" s="68"/>
      <c r="K4810" s="68"/>
    </row>
    <row r="4811" spans="1:11" ht="12.75">
      <c r="A4811" s="69">
        <f ca="1">IFERROR(__xludf.DUMMYFUNCTION("""COMPUTED_VALUE"""),105041)</f>
        <v>105041</v>
      </c>
      <c r="B4811" s="4">
        <f ca="1">IFERROR(__xludf.DUMMYFUNCTION("""COMPUTED_VALUE"""),44797)</f>
        <v>44797</v>
      </c>
      <c r="C4811" t="str">
        <f ca="1">IFERROR(__xludf.DUMMYFUNCTION("""COMPUTED_VALUE"""),"ООО Лидер 163-СТР от 08.08.2022")</f>
        <v>ООО Лидер 163-СТР от 08.08.2022</v>
      </c>
      <c r="D48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1" t="str">
        <f ca="1">IFERROR(__xludf.DUMMYFUNCTION("""COMPUTED_VALUE"""),"Новый")</f>
        <v>Новый</v>
      </c>
      <c r="G4811" s="68"/>
      <c r="K4811" s="68"/>
    </row>
    <row r="4812" spans="1:11" ht="12.75">
      <c r="A4812" s="69">
        <f ca="1">IFERROR(__xludf.DUMMYFUNCTION("""COMPUTED_VALUE"""),105042)</f>
        <v>105042</v>
      </c>
      <c r="B4812" s="4">
        <f ca="1">IFERROR(__xludf.DUMMYFUNCTION("""COMPUTED_VALUE"""),44797)</f>
        <v>44797</v>
      </c>
      <c r="C4812" t="str">
        <f ca="1">IFERROR(__xludf.DUMMYFUNCTION("""COMPUTED_VALUE"""),"ООО Лидер 163-СТР от 08.08.2022")</f>
        <v>ООО Лидер 163-СТР от 08.08.2022</v>
      </c>
      <c r="D48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2" t="str">
        <f ca="1">IFERROR(__xludf.DUMMYFUNCTION("""COMPUTED_VALUE"""),"Новый")</f>
        <v>Новый</v>
      </c>
      <c r="G4812" s="68"/>
      <c r="K4812" s="68"/>
    </row>
    <row r="4813" spans="1:11" ht="12.75">
      <c r="A4813" s="69">
        <f ca="1">IFERROR(__xludf.DUMMYFUNCTION("""COMPUTED_VALUE"""),105043)</f>
        <v>105043</v>
      </c>
      <c r="B4813" s="4">
        <f ca="1">IFERROR(__xludf.DUMMYFUNCTION("""COMPUTED_VALUE"""),44797)</f>
        <v>44797</v>
      </c>
      <c r="C4813" t="str">
        <f ca="1">IFERROR(__xludf.DUMMYFUNCTION("""COMPUTED_VALUE"""),"ООО Лидер 163-СТР от 08.08.2022")</f>
        <v>ООО Лидер 163-СТР от 08.08.2022</v>
      </c>
      <c r="D48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3" t="str">
        <f ca="1">IFERROR(__xludf.DUMMYFUNCTION("""COMPUTED_VALUE"""),"Новый")</f>
        <v>Новый</v>
      </c>
      <c r="G4813" s="68"/>
      <c r="K4813" s="68"/>
    </row>
    <row r="4814" spans="1:11" ht="12.75">
      <c r="A4814" s="69">
        <f ca="1">IFERROR(__xludf.DUMMYFUNCTION("""COMPUTED_VALUE"""),105044)</f>
        <v>105044</v>
      </c>
      <c r="B4814" s="4">
        <f ca="1">IFERROR(__xludf.DUMMYFUNCTION("""COMPUTED_VALUE"""),44797)</f>
        <v>44797</v>
      </c>
      <c r="C4814" t="str">
        <f ca="1">IFERROR(__xludf.DUMMYFUNCTION("""COMPUTED_VALUE"""),"ООО Лидер 163-СТР от 08.08.2022")</f>
        <v>ООО Лидер 163-СТР от 08.08.2022</v>
      </c>
      <c r="D48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4" t="str">
        <f ca="1">IFERROR(__xludf.DUMMYFUNCTION("""COMPUTED_VALUE"""),"Новый")</f>
        <v>Новый</v>
      </c>
      <c r="G4814" s="68"/>
      <c r="K4814" s="68"/>
    </row>
    <row r="4815" spans="1:11" ht="12.75">
      <c r="A4815" s="69">
        <f ca="1">IFERROR(__xludf.DUMMYFUNCTION("""COMPUTED_VALUE"""),105045)</f>
        <v>105045</v>
      </c>
      <c r="B4815" s="4">
        <f ca="1">IFERROR(__xludf.DUMMYFUNCTION("""COMPUTED_VALUE"""),44797)</f>
        <v>44797</v>
      </c>
      <c r="C4815" t="str">
        <f ca="1">IFERROR(__xludf.DUMMYFUNCTION("""COMPUTED_VALUE"""),"ООО Лидер 163-СТР от 08.08.2022")</f>
        <v>ООО Лидер 163-СТР от 08.08.2022</v>
      </c>
      <c r="D48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5" t="str">
        <f ca="1">IFERROR(__xludf.DUMMYFUNCTION("""COMPUTED_VALUE"""),"Новый")</f>
        <v>Новый</v>
      </c>
      <c r="G4815" s="68"/>
      <c r="K4815" s="68"/>
    </row>
    <row r="4816" spans="1:11" ht="12.75">
      <c r="A4816" s="69">
        <f ca="1">IFERROR(__xludf.DUMMYFUNCTION("""COMPUTED_VALUE"""),105046)</f>
        <v>105046</v>
      </c>
      <c r="B4816" s="4">
        <f ca="1">IFERROR(__xludf.DUMMYFUNCTION("""COMPUTED_VALUE"""),44797)</f>
        <v>44797</v>
      </c>
      <c r="C4816" t="str">
        <f ca="1">IFERROR(__xludf.DUMMYFUNCTION("""COMPUTED_VALUE"""),"ООО Лидер 163-СТР от 08.08.2022")</f>
        <v>ООО Лидер 163-СТР от 08.08.2022</v>
      </c>
      <c r="D48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6" t="str">
        <f ca="1">IFERROR(__xludf.DUMMYFUNCTION("""COMPUTED_VALUE"""),"Новый")</f>
        <v>Новый</v>
      </c>
      <c r="G4816" s="68"/>
      <c r="K4816" s="68"/>
    </row>
    <row r="4817" spans="1:11" ht="12.75">
      <c r="A4817" s="69">
        <f ca="1">IFERROR(__xludf.DUMMYFUNCTION("""COMPUTED_VALUE"""),105047)</f>
        <v>105047</v>
      </c>
      <c r="B4817" s="4">
        <f ca="1">IFERROR(__xludf.DUMMYFUNCTION("""COMPUTED_VALUE"""),44797)</f>
        <v>44797</v>
      </c>
      <c r="C4817" t="str">
        <f ca="1">IFERROR(__xludf.DUMMYFUNCTION("""COMPUTED_VALUE"""),"ООО Лидер 163-СТР от 08.08.2022")</f>
        <v>ООО Лидер 163-СТР от 08.08.2022</v>
      </c>
      <c r="D48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7" t="str">
        <f ca="1">IFERROR(__xludf.DUMMYFUNCTION("""COMPUTED_VALUE"""),"Новый")</f>
        <v>Новый</v>
      </c>
      <c r="G4817" s="68"/>
      <c r="K4817" s="68"/>
    </row>
    <row r="4818" spans="1:11" ht="12.75">
      <c r="A4818" s="69">
        <f ca="1">IFERROR(__xludf.DUMMYFUNCTION("""COMPUTED_VALUE"""),105048)</f>
        <v>105048</v>
      </c>
      <c r="B4818" s="4">
        <f ca="1">IFERROR(__xludf.DUMMYFUNCTION("""COMPUTED_VALUE"""),44797)</f>
        <v>44797</v>
      </c>
      <c r="C4818" t="str">
        <f ca="1">IFERROR(__xludf.DUMMYFUNCTION("""COMPUTED_VALUE"""),"ООО Лидер 163-СТР от 08.08.2022")</f>
        <v>ООО Лидер 163-СТР от 08.08.2022</v>
      </c>
      <c r="D48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8" t="str">
        <f ca="1">IFERROR(__xludf.DUMMYFUNCTION("""COMPUTED_VALUE"""),"Новый")</f>
        <v>Новый</v>
      </c>
      <c r="G4818" s="68"/>
      <c r="K4818" s="68"/>
    </row>
    <row r="4819" spans="1:11" ht="12.75">
      <c r="A4819" s="69">
        <f ca="1">IFERROR(__xludf.DUMMYFUNCTION("""COMPUTED_VALUE"""),105049)</f>
        <v>105049</v>
      </c>
      <c r="B4819" s="4">
        <f ca="1">IFERROR(__xludf.DUMMYFUNCTION("""COMPUTED_VALUE"""),44797)</f>
        <v>44797</v>
      </c>
      <c r="C4819" t="str">
        <f ca="1">IFERROR(__xludf.DUMMYFUNCTION("""COMPUTED_VALUE"""),"ООО Лидер 163-СТР от 08.08.2022")</f>
        <v>ООО Лидер 163-СТР от 08.08.2022</v>
      </c>
      <c r="D48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19" t="str">
        <f ca="1">IFERROR(__xludf.DUMMYFUNCTION("""COMPUTED_VALUE"""),"Новый")</f>
        <v>Новый</v>
      </c>
      <c r="G4819" s="68"/>
      <c r="K4819" s="68"/>
    </row>
    <row r="4820" spans="1:11" ht="12.75">
      <c r="A4820" s="69">
        <f ca="1">IFERROR(__xludf.DUMMYFUNCTION("""COMPUTED_VALUE"""),105066)</f>
        <v>105066</v>
      </c>
      <c r="B4820" s="4">
        <f ca="1">IFERROR(__xludf.DUMMYFUNCTION("""COMPUTED_VALUE"""),44797)</f>
        <v>44797</v>
      </c>
      <c r="C4820" t="str">
        <f ca="1">IFERROR(__xludf.DUMMYFUNCTION("""COMPUTED_VALUE"""),"ООО Лидер 163-СТР от 08.08.2022")</f>
        <v>ООО Лидер 163-СТР от 08.08.2022</v>
      </c>
      <c r="D48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0" t="str">
        <f ca="1">IFERROR(__xludf.DUMMYFUNCTION("""COMPUTED_VALUE"""),"Новый")</f>
        <v>Новый</v>
      </c>
      <c r="G4820" s="68"/>
      <c r="K4820" s="68"/>
    </row>
    <row r="4821" spans="1:11" ht="12.75">
      <c r="A4821" s="69">
        <f ca="1">IFERROR(__xludf.DUMMYFUNCTION("""COMPUTED_VALUE"""),105067)</f>
        <v>105067</v>
      </c>
      <c r="B4821" s="4">
        <f ca="1">IFERROR(__xludf.DUMMYFUNCTION("""COMPUTED_VALUE"""),44797)</f>
        <v>44797</v>
      </c>
      <c r="C4821" t="str">
        <f ca="1">IFERROR(__xludf.DUMMYFUNCTION("""COMPUTED_VALUE"""),"ООО Лидер 163-СТР от 08.08.2022")</f>
        <v>ООО Лидер 163-СТР от 08.08.2022</v>
      </c>
      <c r="D48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1" t="str">
        <f ca="1">IFERROR(__xludf.DUMMYFUNCTION("""COMPUTED_VALUE"""),"Новый")</f>
        <v>Новый</v>
      </c>
      <c r="G4821" s="68"/>
      <c r="K4821" s="68"/>
    </row>
    <row r="4822" spans="1:11" ht="12.75">
      <c r="A4822" s="69">
        <f ca="1">IFERROR(__xludf.DUMMYFUNCTION("""COMPUTED_VALUE"""),105068)</f>
        <v>105068</v>
      </c>
      <c r="B4822" s="4">
        <f ca="1">IFERROR(__xludf.DUMMYFUNCTION("""COMPUTED_VALUE"""),44797)</f>
        <v>44797</v>
      </c>
      <c r="C4822" t="str">
        <f ca="1">IFERROR(__xludf.DUMMYFUNCTION("""COMPUTED_VALUE"""),"ООО Лидер 163-СТР от 08.08.2022")</f>
        <v>ООО Лидер 163-СТР от 08.08.2022</v>
      </c>
      <c r="D48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2" t="str">
        <f ca="1">IFERROR(__xludf.DUMMYFUNCTION("""COMPUTED_VALUE"""),"Новый")</f>
        <v>Новый</v>
      </c>
      <c r="G4822" s="68"/>
      <c r="K4822" s="68"/>
    </row>
    <row r="4823" spans="1:11" ht="12.75">
      <c r="A4823" s="69">
        <f ca="1">IFERROR(__xludf.DUMMYFUNCTION("""COMPUTED_VALUE"""),105069)</f>
        <v>105069</v>
      </c>
      <c r="B4823" s="4">
        <f ca="1">IFERROR(__xludf.DUMMYFUNCTION("""COMPUTED_VALUE"""),44797)</f>
        <v>44797</v>
      </c>
      <c r="C4823" t="str">
        <f ca="1">IFERROR(__xludf.DUMMYFUNCTION("""COMPUTED_VALUE"""),"ООО Лидер 163-СТР от 08.08.2022")</f>
        <v>ООО Лидер 163-СТР от 08.08.2022</v>
      </c>
      <c r="D48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3" t="str">
        <f ca="1">IFERROR(__xludf.DUMMYFUNCTION("""COMPUTED_VALUE"""),"Новый")</f>
        <v>Новый</v>
      </c>
      <c r="G4823" s="68"/>
      <c r="K4823" s="68"/>
    </row>
    <row r="4824" spans="1:11" ht="12.75">
      <c r="A4824" s="69">
        <f ca="1">IFERROR(__xludf.DUMMYFUNCTION("""COMPUTED_VALUE"""),105070)</f>
        <v>105070</v>
      </c>
      <c r="B4824" s="4">
        <f ca="1">IFERROR(__xludf.DUMMYFUNCTION("""COMPUTED_VALUE"""),44797)</f>
        <v>44797</v>
      </c>
      <c r="C4824" t="str">
        <f ca="1">IFERROR(__xludf.DUMMYFUNCTION("""COMPUTED_VALUE"""),"ООО Лидер 163-СТР от 08.08.2022")</f>
        <v>ООО Лидер 163-СТР от 08.08.2022</v>
      </c>
      <c r="D48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4" t="str">
        <f ca="1">IFERROR(__xludf.DUMMYFUNCTION("""COMPUTED_VALUE"""),"Новый")</f>
        <v>Новый</v>
      </c>
      <c r="G4824" s="68"/>
      <c r="K4824" s="68"/>
    </row>
    <row r="4825" spans="1:11" ht="12.75">
      <c r="A4825" s="69">
        <f ca="1">IFERROR(__xludf.DUMMYFUNCTION("""COMPUTED_VALUE"""),105071)</f>
        <v>105071</v>
      </c>
      <c r="B4825" s="4">
        <f ca="1">IFERROR(__xludf.DUMMYFUNCTION("""COMPUTED_VALUE"""),44797)</f>
        <v>44797</v>
      </c>
      <c r="C4825" t="str">
        <f ca="1">IFERROR(__xludf.DUMMYFUNCTION("""COMPUTED_VALUE"""),"ООО Лидер 163-СТР от 08.08.2022")</f>
        <v>ООО Лидер 163-СТР от 08.08.2022</v>
      </c>
      <c r="D48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5" t="str">
        <f ca="1">IFERROR(__xludf.DUMMYFUNCTION("""COMPUTED_VALUE"""),"Новый")</f>
        <v>Новый</v>
      </c>
      <c r="G4825" s="68"/>
      <c r="K4825" s="68"/>
    </row>
    <row r="4826" spans="1:11" ht="12.75">
      <c r="A4826" s="69">
        <f ca="1">IFERROR(__xludf.DUMMYFUNCTION("""COMPUTED_VALUE"""),105072)</f>
        <v>105072</v>
      </c>
      <c r="B4826" s="4">
        <f ca="1">IFERROR(__xludf.DUMMYFUNCTION("""COMPUTED_VALUE"""),44797)</f>
        <v>44797</v>
      </c>
      <c r="C4826" t="str">
        <f ca="1">IFERROR(__xludf.DUMMYFUNCTION("""COMPUTED_VALUE"""),"ООО Лидер 163-СТР от 08.08.2022")</f>
        <v>ООО Лидер 163-СТР от 08.08.2022</v>
      </c>
      <c r="D48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6" t="str">
        <f ca="1">IFERROR(__xludf.DUMMYFUNCTION("""COMPUTED_VALUE"""),"Новый")</f>
        <v>Новый</v>
      </c>
      <c r="G4826" s="68"/>
      <c r="K4826" s="68"/>
    </row>
    <row r="4827" spans="1:11" ht="12.75">
      <c r="A4827" s="69">
        <f ca="1">IFERROR(__xludf.DUMMYFUNCTION("""COMPUTED_VALUE"""),105073)</f>
        <v>105073</v>
      </c>
      <c r="B4827" s="4">
        <f ca="1">IFERROR(__xludf.DUMMYFUNCTION("""COMPUTED_VALUE"""),44797)</f>
        <v>44797</v>
      </c>
      <c r="C4827" t="str">
        <f ca="1">IFERROR(__xludf.DUMMYFUNCTION("""COMPUTED_VALUE"""),"ООО Лидер 163-СТР от 08.08.2022")</f>
        <v>ООО Лидер 163-СТР от 08.08.2022</v>
      </c>
      <c r="D48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7" t="str">
        <f ca="1">IFERROR(__xludf.DUMMYFUNCTION("""COMPUTED_VALUE"""),"Новый")</f>
        <v>Новый</v>
      </c>
      <c r="G4827" s="68"/>
      <c r="K4827" s="68"/>
    </row>
    <row r="4828" spans="1:11" ht="12.75">
      <c r="A4828" s="69">
        <f ca="1">IFERROR(__xludf.DUMMYFUNCTION("""COMPUTED_VALUE"""),105074)</f>
        <v>105074</v>
      </c>
      <c r="B4828" s="4">
        <f ca="1">IFERROR(__xludf.DUMMYFUNCTION("""COMPUTED_VALUE"""),44797)</f>
        <v>44797</v>
      </c>
      <c r="C4828" t="str">
        <f ca="1">IFERROR(__xludf.DUMMYFUNCTION("""COMPUTED_VALUE"""),"ООО Лидер 163-СТР от 08.08.2022")</f>
        <v>ООО Лидер 163-СТР от 08.08.2022</v>
      </c>
      <c r="D48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8" t="str">
        <f ca="1">IFERROR(__xludf.DUMMYFUNCTION("""COMPUTED_VALUE"""),"Новый")</f>
        <v>Новый</v>
      </c>
      <c r="G4828" s="68"/>
      <c r="K4828" s="68"/>
    </row>
    <row r="4829" spans="1:11" ht="12.75">
      <c r="A4829" s="69">
        <f ca="1">IFERROR(__xludf.DUMMYFUNCTION("""COMPUTED_VALUE"""),105075)</f>
        <v>105075</v>
      </c>
      <c r="B4829" s="4">
        <f ca="1">IFERROR(__xludf.DUMMYFUNCTION("""COMPUTED_VALUE"""),44797)</f>
        <v>44797</v>
      </c>
      <c r="C4829" t="str">
        <f ca="1">IFERROR(__xludf.DUMMYFUNCTION("""COMPUTED_VALUE"""),"ООО Лидер 163-СТР от 08.08.2022")</f>
        <v>ООО Лидер 163-СТР от 08.08.2022</v>
      </c>
      <c r="D48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29" t="str">
        <f ca="1">IFERROR(__xludf.DUMMYFUNCTION("""COMPUTED_VALUE"""),"Новый")</f>
        <v>Новый</v>
      </c>
      <c r="G4829" s="68"/>
      <c r="K4829" s="68"/>
    </row>
    <row r="4830" spans="1:11" ht="12.75">
      <c r="A4830" s="69">
        <f ca="1">IFERROR(__xludf.DUMMYFUNCTION("""COMPUTED_VALUE"""),105076)</f>
        <v>105076</v>
      </c>
      <c r="B4830" s="4">
        <f ca="1">IFERROR(__xludf.DUMMYFUNCTION("""COMPUTED_VALUE"""),44797)</f>
        <v>44797</v>
      </c>
      <c r="C4830" t="str">
        <f ca="1">IFERROR(__xludf.DUMMYFUNCTION("""COMPUTED_VALUE"""),"ООО Лидер 163-СТР от 08.08.2022")</f>
        <v>ООО Лидер 163-СТР от 08.08.2022</v>
      </c>
      <c r="D48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0" t="str">
        <f ca="1">IFERROR(__xludf.DUMMYFUNCTION("""COMPUTED_VALUE"""),"Новый")</f>
        <v>Новый</v>
      </c>
      <c r="G4830" s="68"/>
      <c r="K4830" s="68"/>
    </row>
    <row r="4831" spans="1:11" ht="12.75">
      <c r="A4831" s="69">
        <f ca="1">IFERROR(__xludf.DUMMYFUNCTION("""COMPUTED_VALUE"""),105077)</f>
        <v>105077</v>
      </c>
      <c r="B4831" s="4">
        <f ca="1">IFERROR(__xludf.DUMMYFUNCTION("""COMPUTED_VALUE"""),44797)</f>
        <v>44797</v>
      </c>
      <c r="C4831" t="str">
        <f ca="1">IFERROR(__xludf.DUMMYFUNCTION("""COMPUTED_VALUE"""),"ООО Лидер 163-СТР от 08.08.2022")</f>
        <v>ООО Лидер 163-СТР от 08.08.2022</v>
      </c>
      <c r="D48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1" t="str">
        <f ca="1">IFERROR(__xludf.DUMMYFUNCTION("""COMPUTED_VALUE"""),"Новый")</f>
        <v>Новый</v>
      </c>
      <c r="G4831" s="68"/>
      <c r="K4831" s="68"/>
    </row>
    <row r="4832" spans="1:11" ht="12.75">
      <c r="A4832" s="69">
        <f ca="1">IFERROR(__xludf.DUMMYFUNCTION("""COMPUTED_VALUE"""),105078)</f>
        <v>105078</v>
      </c>
      <c r="B4832" s="4">
        <f ca="1">IFERROR(__xludf.DUMMYFUNCTION("""COMPUTED_VALUE"""),44797)</f>
        <v>44797</v>
      </c>
      <c r="C4832" t="str">
        <f ca="1">IFERROR(__xludf.DUMMYFUNCTION("""COMPUTED_VALUE"""),"ООО Лидер 163-СТР от 08.08.2022")</f>
        <v>ООО Лидер 163-СТР от 08.08.2022</v>
      </c>
      <c r="D48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2" t="str">
        <f ca="1">IFERROR(__xludf.DUMMYFUNCTION("""COMPUTED_VALUE"""),"Новый")</f>
        <v>Новый</v>
      </c>
      <c r="G4832" s="68"/>
      <c r="K4832" s="68"/>
    </row>
    <row r="4833" spans="1:11" ht="12.75">
      <c r="A4833" s="69">
        <f ca="1">IFERROR(__xludf.DUMMYFUNCTION("""COMPUTED_VALUE"""),105079)</f>
        <v>105079</v>
      </c>
      <c r="B4833" s="4">
        <f ca="1">IFERROR(__xludf.DUMMYFUNCTION("""COMPUTED_VALUE"""),44797)</f>
        <v>44797</v>
      </c>
      <c r="C4833" t="str">
        <f ca="1">IFERROR(__xludf.DUMMYFUNCTION("""COMPUTED_VALUE"""),"ООО Лидер 163-СТР от 08.08.2022")</f>
        <v>ООО Лидер 163-СТР от 08.08.2022</v>
      </c>
      <c r="D48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3" t="str">
        <f ca="1">IFERROR(__xludf.DUMMYFUNCTION("""COMPUTED_VALUE"""),"Новый")</f>
        <v>Новый</v>
      </c>
      <c r="G4833" s="68"/>
      <c r="K4833" s="68"/>
    </row>
    <row r="4834" spans="1:11" ht="12.75">
      <c r="A4834" s="69">
        <f ca="1">IFERROR(__xludf.DUMMYFUNCTION("""COMPUTED_VALUE"""),105080)</f>
        <v>105080</v>
      </c>
      <c r="B4834" s="4">
        <f ca="1">IFERROR(__xludf.DUMMYFUNCTION("""COMPUTED_VALUE"""),44797)</f>
        <v>44797</v>
      </c>
      <c r="C4834" t="str">
        <f ca="1">IFERROR(__xludf.DUMMYFUNCTION("""COMPUTED_VALUE"""),"ООО Лидер 163-СТР от 08.08.2022")</f>
        <v>ООО Лидер 163-СТР от 08.08.2022</v>
      </c>
      <c r="D48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4" t="str">
        <f ca="1">IFERROR(__xludf.DUMMYFUNCTION("""COMPUTED_VALUE"""),"Новый")</f>
        <v>Новый</v>
      </c>
      <c r="G4834" s="68"/>
      <c r="K4834" s="68"/>
    </row>
    <row r="4835" spans="1:11" ht="12.75">
      <c r="A4835" s="69">
        <f ca="1">IFERROR(__xludf.DUMMYFUNCTION("""COMPUTED_VALUE"""),105081)</f>
        <v>105081</v>
      </c>
      <c r="B4835" s="4">
        <f ca="1">IFERROR(__xludf.DUMMYFUNCTION("""COMPUTED_VALUE"""),44797)</f>
        <v>44797</v>
      </c>
      <c r="C4835" t="str">
        <f ca="1">IFERROR(__xludf.DUMMYFUNCTION("""COMPUTED_VALUE"""),"ООО Лидер 163-СТР от 08.08.2022")</f>
        <v>ООО Лидер 163-СТР от 08.08.2022</v>
      </c>
      <c r="D48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5" t="str">
        <f ca="1">IFERROR(__xludf.DUMMYFUNCTION("""COMPUTED_VALUE"""),"Новый")</f>
        <v>Новый</v>
      </c>
      <c r="G4835" s="68"/>
      <c r="K4835" s="68"/>
    </row>
    <row r="4836" spans="1:11" ht="12.75">
      <c r="A4836" s="69">
        <f ca="1">IFERROR(__xludf.DUMMYFUNCTION("""COMPUTED_VALUE"""),105082)</f>
        <v>105082</v>
      </c>
      <c r="B4836" s="4">
        <f ca="1">IFERROR(__xludf.DUMMYFUNCTION("""COMPUTED_VALUE"""),44797)</f>
        <v>44797</v>
      </c>
      <c r="C4836" t="str">
        <f ca="1">IFERROR(__xludf.DUMMYFUNCTION("""COMPUTED_VALUE"""),"ООО Лидер 163-СТР от 08.08.2022")</f>
        <v>ООО Лидер 163-СТР от 08.08.2022</v>
      </c>
      <c r="D48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6" t="str">
        <f ca="1">IFERROR(__xludf.DUMMYFUNCTION("""COMPUTED_VALUE"""),"Новый")</f>
        <v>Новый</v>
      </c>
      <c r="G4836" s="68"/>
      <c r="K4836" s="68"/>
    </row>
    <row r="4837" spans="1:11" ht="12.75">
      <c r="A4837" s="69">
        <f ca="1">IFERROR(__xludf.DUMMYFUNCTION("""COMPUTED_VALUE"""),105083)</f>
        <v>105083</v>
      </c>
      <c r="B4837" s="4">
        <f ca="1">IFERROR(__xludf.DUMMYFUNCTION("""COMPUTED_VALUE"""),44797)</f>
        <v>44797</v>
      </c>
      <c r="C4837" t="str">
        <f ca="1">IFERROR(__xludf.DUMMYFUNCTION("""COMPUTED_VALUE"""),"ООО Лидер 163-СТР от 08.08.2022")</f>
        <v>ООО Лидер 163-СТР от 08.08.2022</v>
      </c>
      <c r="D48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7" t="str">
        <f ca="1">IFERROR(__xludf.DUMMYFUNCTION("""COMPUTED_VALUE"""),"Новый")</f>
        <v>Новый</v>
      </c>
      <c r="G4837" s="68"/>
      <c r="K4837" s="68"/>
    </row>
    <row r="4838" spans="1:11" ht="12.75">
      <c r="A4838" s="69">
        <f ca="1">IFERROR(__xludf.DUMMYFUNCTION("""COMPUTED_VALUE"""),105084)</f>
        <v>105084</v>
      </c>
      <c r="B4838" s="4">
        <f ca="1">IFERROR(__xludf.DUMMYFUNCTION("""COMPUTED_VALUE"""),44797)</f>
        <v>44797</v>
      </c>
      <c r="C4838" t="str">
        <f ca="1">IFERROR(__xludf.DUMMYFUNCTION("""COMPUTED_VALUE"""),"ООО Лидер 163-СТР от 08.08.2022")</f>
        <v>ООО Лидер 163-СТР от 08.08.2022</v>
      </c>
      <c r="D48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8" t="str">
        <f ca="1">IFERROR(__xludf.DUMMYFUNCTION("""COMPUTED_VALUE"""),"Новый")</f>
        <v>Новый</v>
      </c>
      <c r="G4838" s="68"/>
      <c r="K4838" s="68"/>
    </row>
    <row r="4839" spans="1:11" ht="12.75">
      <c r="A4839" s="69">
        <f ca="1">IFERROR(__xludf.DUMMYFUNCTION("""COMPUTED_VALUE"""),105085)</f>
        <v>105085</v>
      </c>
      <c r="B4839" s="4">
        <f ca="1">IFERROR(__xludf.DUMMYFUNCTION("""COMPUTED_VALUE"""),44797)</f>
        <v>44797</v>
      </c>
      <c r="C4839" t="str">
        <f ca="1">IFERROR(__xludf.DUMMYFUNCTION("""COMPUTED_VALUE"""),"ООО Лидер 163-СТР от 08.08.2022")</f>
        <v>ООО Лидер 163-СТР от 08.08.2022</v>
      </c>
      <c r="D48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39" t="str">
        <f ca="1">IFERROR(__xludf.DUMMYFUNCTION("""COMPUTED_VALUE"""),"Новый")</f>
        <v>Новый</v>
      </c>
      <c r="G4839" s="68"/>
      <c r="K4839" s="68"/>
    </row>
    <row r="4840" spans="1:11" ht="12.75">
      <c r="A4840" s="69">
        <f ca="1">IFERROR(__xludf.DUMMYFUNCTION("""COMPUTED_VALUE"""),105086)</f>
        <v>105086</v>
      </c>
      <c r="B4840" s="4">
        <f ca="1">IFERROR(__xludf.DUMMYFUNCTION("""COMPUTED_VALUE"""),44797)</f>
        <v>44797</v>
      </c>
      <c r="C4840" t="str">
        <f ca="1">IFERROR(__xludf.DUMMYFUNCTION("""COMPUTED_VALUE"""),"ООО Лидер 163-СТР от 08.08.2022")</f>
        <v>ООО Лидер 163-СТР от 08.08.2022</v>
      </c>
      <c r="D48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0" t="str">
        <f ca="1">IFERROR(__xludf.DUMMYFUNCTION("""COMPUTED_VALUE"""),"Новый")</f>
        <v>Новый</v>
      </c>
      <c r="G4840" s="68"/>
      <c r="K4840" s="68"/>
    </row>
    <row r="4841" spans="1:11" ht="12.75">
      <c r="A4841" s="69">
        <f ca="1">IFERROR(__xludf.DUMMYFUNCTION("""COMPUTED_VALUE"""),105087)</f>
        <v>105087</v>
      </c>
      <c r="B4841" s="4">
        <f ca="1">IFERROR(__xludf.DUMMYFUNCTION("""COMPUTED_VALUE"""),44797)</f>
        <v>44797</v>
      </c>
      <c r="C4841" t="str">
        <f ca="1">IFERROR(__xludf.DUMMYFUNCTION("""COMPUTED_VALUE"""),"ООО Лидер 163-СТР от 08.08.2022")</f>
        <v>ООО Лидер 163-СТР от 08.08.2022</v>
      </c>
      <c r="D48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1" t="str">
        <f ca="1">IFERROR(__xludf.DUMMYFUNCTION("""COMPUTED_VALUE"""),"Новый")</f>
        <v>Новый</v>
      </c>
      <c r="G4841" s="68"/>
      <c r="K4841" s="68"/>
    </row>
    <row r="4842" spans="1:11" ht="12.75">
      <c r="A4842" s="69">
        <f ca="1">IFERROR(__xludf.DUMMYFUNCTION("""COMPUTED_VALUE"""),105088)</f>
        <v>105088</v>
      </c>
      <c r="B4842" s="4">
        <f ca="1">IFERROR(__xludf.DUMMYFUNCTION("""COMPUTED_VALUE"""),44797)</f>
        <v>44797</v>
      </c>
      <c r="C4842" t="str">
        <f ca="1">IFERROR(__xludf.DUMMYFUNCTION("""COMPUTED_VALUE"""),"ООО Лидер 163-СТР от 08.08.2022")</f>
        <v>ООО Лидер 163-СТР от 08.08.2022</v>
      </c>
      <c r="D48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2" t="str">
        <f ca="1">IFERROR(__xludf.DUMMYFUNCTION("""COMPUTED_VALUE"""),"Новый")</f>
        <v>Новый</v>
      </c>
      <c r="G4842" s="68"/>
      <c r="K4842" s="68"/>
    </row>
    <row r="4843" spans="1:11" ht="12.75">
      <c r="A4843" s="69">
        <f ca="1">IFERROR(__xludf.DUMMYFUNCTION("""COMPUTED_VALUE"""),105089)</f>
        <v>105089</v>
      </c>
      <c r="B4843" s="4">
        <f ca="1">IFERROR(__xludf.DUMMYFUNCTION("""COMPUTED_VALUE"""),44797)</f>
        <v>44797</v>
      </c>
      <c r="C4843" t="str">
        <f ca="1">IFERROR(__xludf.DUMMYFUNCTION("""COMPUTED_VALUE"""),"ООО Лидер 163-СТР от 08.08.2022")</f>
        <v>ООО Лидер 163-СТР от 08.08.2022</v>
      </c>
      <c r="D48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3" t="str">
        <f ca="1">IFERROR(__xludf.DUMMYFUNCTION("""COMPUTED_VALUE"""),"Новый")</f>
        <v>Новый</v>
      </c>
      <c r="G4843" s="68"/>
      <c r="K4843" s="68"/>
    </row>
    <row r="4844" spans="1:11" ht="12.75">
      <c r="A4844" s="69">
        <f ca="1">IFERROR(__xludf.DUMMYFUNCTION("""COMPUTED_VALUE"""),105090)</f>
        <v>105090</v>
      </c>
      <c r="B4844" s="4">
        <f ca="1">IFERROR(__xludf.DUMMYFUNCTION("""COMPUTED_VALUE"""),44797)</f>
        <v>44797</v>
      </c>
      <c r="C4844" t="str">
        <f ca="1">IFERROR(__xludf.DUMMYFUNCTION("""COMPUTED_VALUE"""),"ООО Лидер 163-СТР от 08.08.2022")</f>
        <v>ООО Лидер 163-СТР от 08.08.2022</v>
      </c>
      <c r="D48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4" t="str">
        <f ca="1">IFERROR(__xludf.DUMMYFUNCTION("""COMPUTED_VALUE"""),"Новый")</f>
        <v>Новый</v>
      </c>
      <c r="G4844" s="68"/>
      <c r="K4844" s="68"/>
    </row>
    <row r="4845" spans="1:11" ht="12.75">
      <c r="A4845" s="69">
        <f ca="1">IFERROR(__xludf.DUMMYFUNCTION("""COMPUTED_VALUE"""),105091)</f>
        <v>105091</v>
      </c>
      <c r="B4845" s="4">
        <f ca="1">IFERROR(__xludf.DUMMYFUNCTION("""COMPUTED_VALUE"""),44797)</f>
        <v>44797</v>
      </c>
      <c r="C4845" t="str">
        <f ca="1">IFERROR(__xludf.DUMMYFUNCTION("""COMPUTED_VALUE"""),"ООО Лидер 163-СТР от 08.08.2022")</f>
        <v>ООО Лидер 163-СТР от 08.08.2022</v>
      </c>
      <c r="D48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5" t="str">
        <f ca="1">IFERROR(__xludf.DUMMYFUNCTION("""COMPUTED_VALUE"""),"Новый")</f>
        <v>Новый</v>
      </c>
      <c r="G4845" s="68"/>
      <c r="K4845" s="68"/>
    </row>
    <row r="4846" spans="1:11" ht="12.75">
      <c r="A4846" s="69">
        <f ca="1">IFERROR(__xludf.DUMMYFUNCTION("""COMPUTED_VALUE"""),105092)</f>
        <v>105092</v>
      </c>
      <c r="B4846" s="4">
        <f ca="1">IFERROR(__xludf.DUMMYFUNCTION("""COMPUTED_VALUE"""),44797)</f>
        <v>44797</v>
      </c>
      <c r="C4846" t="str">
        <f ca="1">IFERROR(__xludf.DUMMYFUNCTION("""COMPUTED_VALUE"""),"ООО Лидер 163-СТР от 08.08.2022")</f>
        <v>ООО Лидер 163-СТР от 08.08.2022</v>
      </c>
      <c r="D48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6" t="str">
        <f ca="1">IFERROR(__xludf.DUMMYFUNCTION("""COMPUTED_VALUE"""),"Новый")</f>
        <v>Новый</v>
      </c>
      <c r="G4846" s="68"/>
      <c r="K4846" s="68"/>
    </row>
    <row r="4847" spans="1:11" ht="12.75">
      <c r="A4847" s="69">
        <f ca="1">IFERROR(__xludf.DUMMYFUNCTION("""COMPUTED_VALUE"""),105093)</f>
        <v>105093</v>
      </c>
      <c r="B4847" s="4">
        <f ca="1">IFERROR(__xludf.DUMMYFUNCTION("""COMPUTED_VALUE"""),44797)</f>
        <v>44797</v>
      </c>
      <c r="C4847" t="str">
        <f ca="1">IFERROR(__xludf.DUMMYFUNCTION("""COMPUTED_VALUE"""),"ООО Лидер 163-СТР от 08.08.2022")</f>
        <v>ООО Лидер 163-СТР от 08.08.2022</v>
      </c>
      <c r="D48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7" t="str">
        <f ca="1">IFERROR(__xludf.DUMMYFUNCTION("""COMPUTED_VALUE"""),"Новый")</f>
        <v>Новый</v>
      </c>
      <c r="G4847" s="68"/>
      <c r="K4847" s="68"/>
    </row>
    <row r="4848" spans="1:11" ht="12.75">
      <c r="A4848" s="69">
        <f ca="1">IFERROR(__xludf.DUMMYFUNCTION("""COMPUTED_VALUE"""),105094)</f>
        <v>105094</v>
      </c>
      <c r="B4848" s="4">
        <f ca="1">IFERROR(__xludf.DUMMYFUNCTION("""COMPUTED_VALUE"""),44797)</f>
        <v>44797</v>
      </c>
      <c r="C4848" t="str">
        <f ca="1">IFERROR(__xludf.DUMMYFUNCTION("""COMPUTED_VALUE"""),"ООО Лидер 163-СТР от 08.08.2022")</f>
        <v>ООО Лидер 163-СТР от 08.08.2022</v>
      </c>
      <c r="D48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8" t="str">
        <f ca="1">IFERROR(__xludf.DUMMYFUNCTION("""COMPUTED_VALUE"""),"Новый")</f>
        <v>Новый</v>
      </c>
      <c r="G4848" s="68"/>
      <c r="K4848" s="68"/>
    </row>
    <row r="4849" spans="1:11" ht="12.75">
      <c r="A4849" s="69">
        <f ca="1">IFERROR(__xludf.DUMMYFUNCTION("""COMPUTED_VALUE"""),105095)</f>
        <v>105095</v>
      </c>
      <c r="B4849" s="4">
        <f ca="1">IFERROR(__xludf.DUMMYFUNCTION("""COMPUTED_VALUE"""),44797)</f>
        <v>44797</v>
      </c>
      <c r="C4849" t="str">
        <f ca="1">IFERROR(__xludf.DUMMYFUNCTION("""COMPUTED_VALUE"""),"ООО Лидер 163-СТР от 08.08.2022")</f>
        <v>ООО Лидер 163-СТР от 08.08.2022</v>
      </c>
      <c r="D48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49" t="str">
        <f ca="1">IFERROR(__xludf.DUMMYFUNCTION("""COMPUTED_VALUE"""),"Новый")</f>
        <v>Новый</v>
      </c>
      <c r="G4849" s="68"/>
      <c r="K4849" s="68"/>
    </row>
    <row r="4850" spans="1:11" ht="12.75">
      <c r="A4850" s="69">
        <f ca="1">IFERROR(__xludf.DUMMYFUNCTION("""COMPUTED_VALUE"""),105096)</f>
        <v>105096</v>
      </c>
      <c r="B4850" s="4">
        <f ca="1">IFERROR(__xludf.DUMMYFUNCTION("""COMPUTED_VALUE"""),44797)</f>
        <v>44797</v>
      </c>
      <c r="C4850" t="str">
        <f ca="1">IFERROR(__xludf.DUMMYFUNCTION("""COMPUTED_VALUE"""),"ООО Лидер 163-СТР от 08.08.2022")</f>
        <v>ООО Лидер 163-СТР от 08.08.2022</v>
      </c>
      <c r="D48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0" t="str">
        <f ca="1">IFERROR(__xludf.DUMMYFUNCTION("""COMPUTED_VALUE"""),"Новый")</f>
        <v>Новый</v>
      </c>
      <c r="G4850" s="68"/>
      <c r="K4850" s="68"/>
    </row>
    <row r="4851" spans="1:11" ht="12.75">
      <c r="A4851" s="69">
        <f ca="1">IFERROR(__xludf.DUMMYFUNCTION("""COMPUTED_VALUE"""),105097)</f>
        <v>105097</v>
      </c>
      <c r="B4851" s="4">
        <f ca="1">IFERROR(__xludf.DUMMYFUNCTION("""COMPUTED_VALUE"""),44797)</f>
        <v>44797</v>
      </c>
      <c r="C4851" t="str">
        <f ca="1">IFERROR(__xludf.DUMMYFUNCTION("""COMPUTED_VALUE"""),"ООО Лидер 163-СТР от 08.08.2022")</f>
        <v>ООО Лидер 163-СТР от 08.08.2022</v>
      </c>
      <c r="D48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1" t="str">
        <f ca="1">IFERROR(__xludf.DUMMYFUNCTION("""COMPUTED_VALUE"""),"Новый")</f>
        <v>Новый</v>
      </c>
      <c r="G4851" s="68"/>
      <c r="K4851" s="68"/>
    </row>
    <row r="4852" spans="1:11" ht="12.75">
      <c r="A4852" s="69">
        <f ca="1">IFERROR(__xludf.DUMMYFUNCTION("""COMPUTED_VALUE"""),105098)</f>
        <v>105098</v>
      </c>
      <c r="B4852" s="4">
        <f ca="1">IFERROR(__xludf.DUMMYFUNCTION("""COMPUTED_VALUE"""),44797)</f>
        <v>44797</v>
      </c>
      <c r="C4852" t="str">
        <f ca="1">IFERROR(__xludf.DUMMYFUNCTION("""COMPUTED_VALUE"""),"ООО Лидер 163-СТР от 08.08.2022")</f>
        <v>ООО Лидер 163-СТР от 08.08.2022</v>
      </c>
      <c r="D48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2" t="str">
        <f ca="1">IFERROR(__xludf.DUMMYFUNCTION("""COMPUTED_VALUE"""),"Новый")</f>
        <v>Новый</v>
      </c>
      <c r="G4852" s="68"/>
      <c r="K4852" s="68"/>
    </row>
    <row r="4853" spans="1:11" ht="12.75">
      <c r="A4853" s="69">
        <f ca="1">IFERROR(__xludf.DUMMYFUNCTION("""COMPUTED_VALUE"""),105099)</f>
        <v>105099</v>
      </c>
      <c r="B4853" s="4">
        <f ca="1">IFERROR(__xludf.DUMMYFUNCTION("""COMPUTED_VALUE"""),44797)</f>
        <v>44797</v>
      </c>
      <c r="C4853" t="str">
        <f ca="1">IFERROR(__xludf.DUMMYFUNCTION("""COMPUTED_VALUE"""),"ООО Лидер 163-СТР от 08.08.2022")</f>
        <v>ООО Лидер 163-СТР от 08.08.2022</v>
      </c>
      <c r="D48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3" t="str">
        <f ca="1">IFERROR(__xludf.DUMMYFUNCTION("""COMPUTED_VALUE"""),"Новый")</f>
        <v>Новый</v>
      </c>
      <c r="G4853" s="68"/>
      <c r="K4853" s="68"/>
    </row>
    <row r="4854" spans="1:11" ht="12.75">
      <c r="A4854" s="69">
        <f ca="1">IFERROR(__xludf.DUMMYFUNCTION("""COMPUTED_VALUE"""),105100)</f>
        <v>105100</v>
      </c>
      <c r="B4854" s="4">
        <f ca="1">IFERROR(__xludf.DUMMYFUNCTION("""COMPUTED_VALUE"""),44797)</f>
        <v>44797</v>
      </c>
      <c r="C4854" t="str">
        <f ca="1">IFERROR(__xludf.DUMMYFUNCTION("""COMPUTED_VALUE"""),"ООО Лидер 163-СТР от 08.08.2022")</f>
        <v>ООО Лидер 163-СТР от 08.08.2022</v>
      </c>
      <c r="D48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4" t="str">
        <f ca="1">IFERROR(__xludf.DUMMYFUNCTION("""COMPUTED_VALUE"""),"Новый")</f>
        <v>Новый</v>
      </c>
      <c r="G4854" s="68"/>
      <c r="K4854" s="68"/>
    </row>
    <row r="4855" spans="1:11" ht="12.75">
      <c r="A4855" s="69">
        <f ca="1">IFERROR(__xludf.DUMMYFUNCTION("""COMPUTED_VALUE"""),105101)</f>
        <v>105101</v>
      </c>
      <c r="B4855" s="4">
        <f ca="1">IFERROR(__xludf.DUMMYFUNCTION("""COMPUTED_VALUE"""),44797)</f>
        <v>44797</v>
      </c>
      <c r="C4855" t="str">
        <f ca="1">IFERROR(__xludf.DUMMYFUNCTION("""COMPUTED_VALUE"""),"ООО Лидер 163-СТР от 08.08.2022")</f>
        <v>ООО Лидер 163-СТР от 08.08.2022</v>
      </c>
      <c r="D48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5" t="str">
        <f ca="1">IFERROR(__xludf.DUMMYFUNCTION("""COMPUTED_VALUE"""),"Новый")</f>
        <v>Новый</v>
      </c>
      <c r="G4855" s="68"/>
      <c r="K4855" s="68"/>
    </row>
    <row r="4856" spans="1:11" ht="12.75">
      <c r="A4856" s="69">
        <f ca="1">IFERROR(__xludf.DUMMYFUNCTION("""COMPUTED_VALUE"""),105102)</f>
        <v>105102</v>
      </c>
      <c r="B4856" s="4">
        <f ca="1">IFERROR(__xludf.DUMMYFUNCTION("""COMPUTED_VALUE"""),44797)</f>
        <v>44797</v>
      </c>
      <c r="C4856" t="str">
        <f ca="1">IFERROR(__xludf.DUMMYFUNCTION("""COMPUTED_VALUE"""),"ООО Лидер 163-СТР от 08.08.2022")</f>
        <v>ООО Лидер 163-СТР от 08.08.2022</v>
      </c>
      <c r="D48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6" t="str">
        <f ca="1">IFERROR(__xludf.DUMMYFUNCTION("""COMPUTED_VALUE"""),"Новый")</f>
        <v>Новый</v>
      </c>
      <c r="G4856" s="68"/>
      <c r="K4856" s="68"/>
    </row>
    <row r="4857" spans="1:11" ht="12.75">
      <c r="A4857" s="69">
        <f ca="1">IFERROR(__xludf.DUMMYFUNCTION("""COMPUTED_VALUE"""),105103)</f>
        <v>105103</v>
      </c>
      <c r="B4857" s="4">
        <f ca="1">IFERROR(__xludf.DUMMYFUNCTION("""COMPUTED_VALUE"""),44797)</f>
        <v>44797</v>
      </c>
      <c r="C4857" t="str">
        <f ca="1">IFERROR(__xludf.DUMMYFUNCTION("""COMPUTED_VALUE"""),"ООО Лидер 163-СТР от 08.08.2022")</f>
        <v>ООО Лидер 163-СТР от 08.08.2022</v>
      </c>
      <c r="D48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7" t="str">
        <f ca="1">IFERROR(__xludf.DUMMYFUNCTION("""COMPUTED_VALUE"""),"Новый")</f>
        <v>Новый</v>
      </c>
      <c r="G4857" s="68"/>
      <c r="K4857" s="68"/>
    </row>
    <row r="4858" spans="1:11" ht="12.75">
      <c r="A4858" s="69">
        <f ca="1">IFERROR(__xludf.DUMMYFUNCTION("""COMPUTED_VALUE"""),105104)</f>
        <v>105104</v>
      </c>
      <c r="B4858" s="4">
        <f ca="1">IFERROR(__xludf.DUMMYFUNCTION("""COMPUTED_VALUE"""),44797)</f>
        <v>44797</v>
      </c>
      <c r="C4858" t="str">
        <f ca="1">IFERROR(__xludf.DUMMYFUNCTION("""COMPUTED_VALUE"""),"ООО Лидер 163-СТР от 08.08.2022")</f>
        <v>ООО Лидер 163-СТР от 08.08.2022</v>
      </c>
      <c r="D48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8" t="str">
        <f ca="1">IFERROR(__xludf.DUMMYFUNCTION("""COMPUTED_VALUE"""),"Новый")</f>
        <v>Новый</v>
      </c>
      <c r="G4858" s="68"/>
      <c r="K4858" s="68"/>
    </row>
    <row r="4859" spans="1:11" ht="12.75">
      <c r="A4859" s="69">
        <f ca="1">IFERROR(__xludf.DUMMYFUNCTION("""COMPUTED_VALUE"""),105105)</f>
        <v>105105</v>
      </c>
      <c r="B4859" s="4">
        <f ca="1">IFERROR(__xludf.DUMMYFUNCTION("""COMPUTED_VALUE"""),44797)</f>
        <v>44797</v>
      </c>
      <c r="C4859" t="str">
        <f ca="1">IFERROR(__xludf.DUMMYFUNCTION("""COMPUTED_VALUE"""),"ООО Лидер 163-СТР от 08.08.2022")</f>
        <v>ООО Лидер 163-СТР от 08.08.2022</v>
      </c>
      <c r="D48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59" t="str">
        <f ca="1">IFERROR(__xludf.DUMMYFUNCTION("""COMPUTED_VALUE"""),"Новый")</f>
        <v>Новый</v>
      </c>
      <c r="G4859" s="68"/>
      <c r="K4859" s="68"/>
    </row>
    <row r="4860" spans="1:11" ht="12.75">
      <c r="A4860" s="69">
        <f ca="1">IFERROR(__xludf.DUMMYFUNCTION("""COMPUTED_VALUE"""),105106)</f>
        <v>105106</v>
      </c>
      <c r="B4860" s="4">
        <f ca="1">IFERROR(__xludf.DUMMYFUNCTION("""COMPUTED_VALUE"""),44797)</f>
        <v>44797</v>
      </c>
      <c r="C4860" t="str">
        <f ca="1">IFERROR(__xludf.DUMMYFUNCTION("""COMPUTED_VALUE"""),"ООО Лидер 163-СТР от 08.08.2022")</f>
        <v>ООО Лидер 163-СТР от 08.08.2022</v>
      </c>
      <c r="D48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0" t="str">
        <f ca="1">IFERROR(__xludf.DUMMYFUNCTION("""COMPUTED_VALUE"""),"Новый")</f>
        <v>Новый</v>
      </c>
      <c r="G4860" s="68"/>
      <c r="K4860" s="68"/>
    </row>
    <row r="4861" spans="1:11" ht="12.75">
      <c r="A4861" s="69">
        <f ca="1">IFERROR(__xludf.DUMMYFUNCTION("""COMPUTED_VALUE"""),105107)</f>
        <v>105107</v>
      </c>
      <c r="B4861" s="4">
        <f ca="1">IFERROR(__xludf.DUMMYFUNCTION("""COMPUTED_VALUE"""),44797)</f>
        <v>44797</v>
      </c>
      <c r="C4861" t="str">
        <f ca="1">IFERROR(__xludf.DUMMYFUNCTION("""COMPUTED_VALUE"""),"ООО Лидер 163-СТР от 08.08.2022")</f>
        <v>ООО Лидер 163-СТР от 08.08.2022</v>
      </c>
      <c r="D48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1" t="str">
        <f ca="1">IFERROR(__xludf.DUMMYFUNCTION("""COMPUTED_VALUE"""),"Новый")</f>
        <v>Новый</v>
      </c>
      <c r="G4861" s="68"/>
      <c r="K4861" s="68"/>
    </row>
    <row r="4862" spans="1:11" ht="12.75">
      <c r="A4862" s="69">
        <f ca="1">IFERROR(__xludf.DUMMYFUNCTION("""COMPUTED_VALUE"""),105108)</f>
        <v>105108</v>
      </c>
      <c r="B4862" s="4">
        <f ca="1">IFERROR(__xludf.DUMMYFUNCTION("""COMPUTED_VALUE"""),44797)</f>
        <v>44797</v>
      </c>
      <c r="C4862" t="str">
        <f ca="1">IFERROR(__xludf.DUMMYFUNCTION("""COMPUTED_VALUE"""),"ООО Лидер 163-СТР от 08.08.2022")</f>
        <v>ООО Лидер 163-СТР от 08.08.2022</v>
      </c>
      <c r="D48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2" t="str">
        <f ca="1">IFERROR(__xludf.DUMMYFUNCTION("""COMPUTED_VALUE"""),"Новый")</f>
        <v>Новый</v>
      </c>
      <c r="G4862" s="68"/>
      <c r="K4862" s="68"/>
    </row>
    <row r="4863" spans="1:11" ht="12.75">
      <c r="A4863" s="69">
        <f ca="1">IFERROR(__xludf.DUMMYFUNCTION("""COMPUTED_VALUE"""),105109)</f>
        <v>105109</v>
      </c>
      <c r="B4863" s="4">
        <f ca="1">IFERROR(__xludf.DUMMYFUNCTION("""COMPUTED_VALUE"""),44797)</f>
        <v>44797</v>
      </c>
      <c r="C4863" t="str">
        <f ca="1">IFERROR(__xludf.DUMMYFUNCTION("""COMPUTED_VALUE"""),"ООО Лидер 163-СТР от 08.08.2022")</f>
        <v>ООО Лидер 163-СТР от 08.08.2022</v>
      </c>
      <c r="D48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3" t="str">
        <f ca="1">IFERROR(__xludf.DUMMYFUNCTION("""COMPUTED_VALUE"""),"Новый")</f>
        <v>Новый</v>
      </c>
      <c r="G4863" s="68"/>
      <c r="K4863" s="68"/>
    </row>
    <row r="4864" spans="1:11" ht="12.75">
      <c r="A4864" s="69">
        <f ca="1">IFERROR(__xludf.DUMMYFUNCTION("""COMPUTED_VALUE"""),105110)</f>
        <v>105110</v>
      </c>
      <c r="B4864" s="4">
        <f ca="1">IFERROR(__xludf.DUMMYFUNCTION("""COMPUTED_VALUE"""),44797)</f>
        <v>44797</v>
      </c>
      <c r="C4864" t="str">
        <f ca="1">IFERROR(__xludf.DUMMYFUNCTION("""COMPUTED_VALUE"""),"ООО Лидер 163-СТР от 08.08.2022")</f>
        <v>ООО Лидер 163-СТР от 08.08.2022</v>
      </c>
      <c r="D48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4" t="str">
        <f ca="1">IFERROR(__xludf.DUMMYFUNCTION("""COMPUTED_VALUE"""),"Новый")</f>
        <v>Новый</v>
      </c>
      <c r="G4864" s="68"/>
      <c r="K4864" s="68"/>
    </row>
    <row r="4865" spans="1:11" ht="12.75">
      <c r="A4865" s="69">
        <f ca="1">IFERROR(__xludf.DUMMYFUNCTION("""COMPUTED_VALUE"""),105111)</f>
        <v>105111</v>
      </c>
      <c r="B4865" s="4">
        <f ca="1">IFERROR(__xludf.DUMMYFUNCTION("""COMPUTED_VALUE"""),44797)</f>
        <v>44797</v>
      </c>
      <c r="C4865" t="str">
        <f ca="1">IFERROR(__xludf.DUMMYFUNCTION("""COMPUTED_VALUE"""),"ООО Лидер 163-СТР от 08.08.2022")</f>
        <v>ООО Лидер 163-СТР от 08.08.2022</v>
      </c>
      <c r="D48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5" t="str">
        <f ca="1">IFERROR(__xludf.DUMMYFUNCTION("""COMPUTED_VALUE"""),"Новый")</f>
        <v>Новый</v>
      </c>
      <c r="G4865" s="68"/>
      <c r="K4865" s="68"/>
    </row>
    <row r="4866" spans="1:11" ht="12.75">
      <c r="A4866" s="69">
        <f ca="1">IFERROR(__xludf.DUMMYFUNCTION("""COMPUTED_VALUE"""),105112)</f>
        <v>105112</v>
      </c>
      <c r="B4866" s="4">
        <f ca="1">IFERROR(__xludf.DUMMYFUNCTION("""COMPUTED_VALUE"""),44797)</f>
        <v>44797</v>
      </c>
      <c r="C4866" t="str">
        <f ca="1">IFERROR(__xludf.DUMMYFUNCTION("""COMPUTED_VALUE"""),"ООО Лидер 163-СТР от 08.08.2022")</f>
        <v>ООО Лидер 163-СТР от 08.08.2022</v>
      </c>
      <c r="D48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6" t="str">
        <f ca="1">IFERROR(__xludf.DUMMYFUNCTION("""COMPUTED_VALUE"""),"Новый")</f>
        <v>Новый</v>
      </c>
      <c r="G4866" s="68"/>
      <c r="K4866" s="68"/>
    </row>
    <row r="4867" spans="1:11" ht="12.75">
      <c r="A4867" s="69">
        <f ca="1">IFERROR(__xludf.DUMMYFUNCTION("""COMPUTED_VALUE"""),105113)</f>
        <v>105113</v>
      </c>
      <c r="B4867" s="4">
        <f ca="1">IFERROR(__xludf.DUMMYFUNCTION("""COMPUTED_VALUE"""),44797)</f>
        <v>44797</v>
      </c>
      <c r="C4867" t="str">
        <f ca="1">IFERROR(__xludf.DUMMYFUNCTION("""COMPUTED_VALUE"""),"ООО Лидер 163-СТР от 08.08.2022")</f>
        <v>ООО Лидер 163-СТР от 08.08.2022</v>
      </c>
      <c r="D48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7" t="str">
        <f ca="1">IFERROR(__xludf.DUMMYFUNCTION("""COMPUTED_VALUE"""),"Новый")</f>
        <v>Новый</v>
      </c>
      <c r="G4867" s="68"/>
      <c r="K4867" s="68"/>
    </row>
    <row r="4868" spans="1:11" ht="12.75">
      <c r="A4868" s="69">
        <f ca="1">IFERROR(__xludf.DUMMYFUNCTION("""COMPUTED_VALUE"""),105114)</f>
        <v>105114</v>
      </c>
      <c r="B4868" s="4">
        <f ca="1">IFERROR(__xludf.DUMMYFUNCTION("""COMPUTED_VALUE"""),44797)</f>
        <v>44797</v>
      </c>
      <c r="C4868" t="str">
        <f ca="1">IFERROR(__xludf.DUMMYFUNCTION("""COMPUTED_VALUE"""),"ООО Лидер 163-СТР от 08.08.2022")</f>
        <v>ООО Лидер 163-СТР от 08.08.2022</v>
      </c>
      <c r="D48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8" t="str">
        <f ca="1">IFERROR(__xludf.DUMMYFUNCTION("""COMPUTED_VALUE"""),"Новый")</f>
        <v>Новый</v>
      </c>
      <c r="G4868" s="68"/>
      <c r="K4868" s="68"/>
    </row>
    <row r="4869" spans="1:11" ht="12.75">
      <c r="A4869" s="69">
        <f ca="1">IFERROR(__xludf.DUMMYFUNCTION("""COMPUTED_VALUE"""),105115)</f>
        <v>105115</v>
      </c>
      <c r="B4869" s="4">
        <f ca="1">IFERROR(__xludf.DUMMYFUNCTION("""COMPUTED_VALUE"""),44797)</f>
        <v>44797</v>
      </c>
      <c r="C4869" t="str">
        <f ca="1">IFERROR(__xludf.DUMMYFUNCTION("""COMPUTED_VALUE"""),"ООО Лидер 163-СТР от 08.08.2022")</f>
        <v>ООО Лидер 163-СТР от 08.08.2022</v>
      </c>
      <c r="D48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69" t="str">
        <f ca="1">IFERROR(__xludf.DUMMYFUNCTION("""COMPUTED_VALUE"""),"Новый")</f>
        <v>Новый</v>
      </c>
      <c r="G4869" s="68"/>
      <c r="K4869" s="68"/>
    </row>
    <row r="4870" spans="1:11" ht="12.75">
      <c r="A4870" s="69">
        <f ca="1">IFERROR(__xludf.DUMMYFUNCTION("""COMPUTED_VALUE"""),105116)</f>
        <v>105116</v>
      </c>
      <c r="B4870" s="4">
        <f ca="1">IFERROR(__xludf.DUMMYFUNCTION("""COMPUTED_VALUE"""),44797)</f>
        <v>44797</v>
      </c>
      <c r="C4870" t="str">
        <f ca="1">IFERROR(__xludf.DUMMYFUNCTION("""COMPUTED_VALUE"""),"ООО Лидер 163-СТР от 08.08.2022")</f>
        <v>ООО Лидер 163-СТР от 08.08.2022</v>
      </c>
      <c r="D48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0" t="str">
        <f ca="1">IFERROR(__xludf.DUMMYFUNCTION("""COMPUTED_VALUE"""),"Новый")</f>
        <v>Новый</v>
      </c>
      <c r="G4870" s="68"/>
      <c r="K4870" s="68"/>
    </row>
    <row r="4871" spans="1:11" ht="12.75">
      <c r="A4871" s="69">
        <f ca="1">IFERROR(__xludf.DUMMYFUNCTION("""COMPUTED_VALUE"""),105117)</f>
        <v>105117</v>
      </c>
      <c r="B4871" s="4">
        <f ca="1">IFERROR(__xludf.DUMMYFUNCTION("""COMPUTED_VALUE"""),44797)</f>
        <v>44797</v>
      </c>
      <c r="C4871" t="str">
        <f ca="1">IFERROR(__xludf.DUMMYFUNCTION("""COMPUTED_VALUE"""),"ООО Лидер 163-СТР от 08.08.2022")</f>
        <v>ООО Лидер 163-СТР от 08.08.2022</v>
      </c>
      <c r="D48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1" t="str">
        <f ca="1">IFERROR(__xludf.DUMMYFUNCTION("""COMPUTED_VALUE"""),"Новый")</f>
        <v>Новый</v>
      </c>
      <c r="G4871" s="68"/>
      <c r="K4871" s="68"/>
    </row>
    <row r="4872" spans="1:11" ht="12.75">
      <c r="A4872" s="69">
        <f ca="1">IFERROR(__xludf.DUMMYFUNCTION("""COMPUTED_VALUE"""),105118)</f>
        <v>105118</v>
      </c>
      <c r="B4872" s="4">
        <f ca="1">IFERROR(__xludf.DUMMYFUNCTION("""COMPUTED_VALUE"""),44797)</f>
        <v>44797</v>
      </c>
      <c r="C4872" t="str">
        <f ca="1">IFERROR(__xludf.DUMMYFUNCTION("""COMPUTED_VALUE"""),"ООО Лидер 163-СТР от 08.08.2022")</f>
        <v>ООО Лидер 163-СТР от 08.08.2022</v>
      </c>
      <c r="D48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2" t="str">
        <f ca="1">IFERROR(__xludf.DUMMYFUNCTION("""COMPUTED_VALUE"""),"Новый")</f>
        <v>Новый</v>
      </c>
      <c r="G4872" s="68"/>
      <c r="K4872" s="68"/>
    </row>
    <row r="4873" spans="1:11" ht="12.75">
      <c r="A4873" s="69">
        <f ca="1">IFERROR(__xludf.DUMMYFUNCTION("""COMPUTED_VALUE"""),105119)</f>
        <v>105119</v>
      </c>
      <c r="B4873" s="4">
        <f ca="1">IFERROR(__xludf.DUMMYFUNCTION("""COMPUTED_VALUE"""),44797)</f>
        <v>44797</v>
      </c>
      <c r="C4873" t="str">
        <f ca="1">IFERROR(__xludf.DUMMYFUNCTION("""COMPUTED_VALUE"""),"ООО Лидер 163-СТР от 08.08.2022")</f>
        <v>ООО Лидер 163-СТР от 08.08.2022</v>
      </c>
      <c r="D48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3" t="str">
        <f ca="1">IFERROR(__xludf.DUMMYFUNCTION("""COMPUTED_VALUE"""),"Новый")</f>
        <v>Новый</v>
      </c>
      <c r="G4873" s="68"/>
      <c r="K4873" s="68"/>
    </row>
    <row r="4874" spans="1:11" ht="12.75">
      <c r="A4874" s="69">
        <f ca="1">IFERROR(__xludf.DUMMYFUNCTION("""COMPUTED_VALUE"""),105120)</f>
        <v>105120</v>
      </c>
      <c r="B4874" s="4">
        <f ca="1">IFERROR(__xludf.DUMMYFUNCTION("""COMPUTED_VALUE"""),44797)</f>
        <v>44797</v>
      </c>
      <c r="C4874" t="str">
        <f ca="1">IFERROR(__xludf.DUMMYFUNCTION("""COMPUTED_VALUE"""),"ООО Лидер 163-СТР от 08.08.2022")</f>
        <v>ООО Лидер 163-СТР от 08.08.2022</v>
      </c>
      <c r="D48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4" t="str">
        <f ca="1">IFERROR(__xludf.DUMMYFUNCTION("""COMPUTED_VALUE"""),"Новый")</f>
        <v>Новый</v>
      </c>
      <c r="G4874" s="68"/>
      <c r="K4874" s="68"/>
    </row>
    <row r="4875" spans="1:11" ht="12.75">
      <c r="A4875" s="69">
        <f ca="1">IFERROR(__xludf.DUMMYFUNCTION("""COMPUTED_VALUE"""),105121)</f>
        <v>105121</v>
      </c>
      <c r="B4875" s="4">
        <f ca="1">IFERROR(__xludf.DUMMYFUNCTION("""COMPUTED_VALUE"""),44797)</f>
        <v>44797</v>
      </c>
      <c r="C4875" t="str">
        <f ca="1">IFERROR(__xludf.DUMMYFUNCTION("""COMPUTED_VALUE"""),"ООО Лидер 163-СТР от 08.08.2022")</f>
        <v>ООО Лидер 163-СТР от 08.08.2022</v>
      </c>
      <c r="D48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5" t="str">
        <f ca="1">IFERROR(__xludf.DUMMYFUNCTION("""COMPUTED_VALUE"""),"Новый")</f>
        <v>Новый</v>
      </c>
      <c r="G4875" s="68"/>
      <c r="K4875" s="68"/>
    </row>
    <row r="4876" spans="1:11" ht="12.75">
      <c r="A4876" s="69">
        <f ca="1">IFERROR(__xludf.DUMMYFUNCTION("""COMPUTED_VALUE"""),105122)</f>
        <v>105122</v>
      </c>
      <c r="B4876" s="4">
        <f ca="1">IFERROR(__xludf.DUMMYFUNCTION("""COMPUTED_VALUE"""),44797)</f>
        <v>44797</v>
      </c>
      <c r="C4876" t="str">
        <f ca="1">IFERROR(__xludf.DUMMYFUNCTION("""COMPUTED_VALUE"""),"ООО Лидер 163-СТР от 08.08.2022")</f>
        <v>ООО Лидер 163-СТР от 08.08.2022</v>
      </c>
      <c r="D48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6" t="str">
        <f ca="1">IFERROR(__xludf.DUMMYFUNCTION("""COMPUTED_VALUE"""),"Новый")</f>
        <v>Новый</v>
      </c>
      <c r="G4876" s="68"/>
      <c r="K4876" s="68"/>
    </row>
    <row r="4877" spans="1:11" ht="12.75">
      <c r="A4877" s="69">
        <f ca="1">IFERROR(__xludf.DUMMYFUNCTION("""COMPUTED_VALUE"""),105123)</f>
        <v>105123</v>
      </c>
      <c r="B4877" s="4">
        <f ca="1">IFERROR(__xludf.DUMMYFUNCTION("""COMPUTED_VALUE"""),44797)</f>
        <v>44797</v>
      </c>
      <c r="C4877" t="str">
        <f ca="1">IFERROR(__xludf.DUMMYFUNCTION("""COMPUTED_VALUE"""),"ООО Лидер 163-СТР от 08.08.2022")</f>
        <v>ООО Лидер 163-СТР от 08.08.2022</v>
      </c>
      <c r="D48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7" t="str">
        <f ca="1">IFERROR(__xludf.DUMMYFUNCTION("""COMPUTED_VALUE"""),"Новый")</f>
        <v>Новый</v>
      </c>
      <c r="G4877" s="68"/>
      <c r="K4877" s="68"/>
    </row>
    <row r="4878" spans="1:11" ht="12.75">
      <c r="A4878" s="69">
        <f ca="1">IFERROR(__xludf.DUMMYFUNCTION("""COMPUTED_VALUE"""),105124)</f>
        <v>105124</v>
      </c>
      <c r="B4878" s="4">
        <f ca="1">IFERROR(__xludf.DUMMYFUNCTION("""COMPUTED_VALUE"""),44797)</f>
        <v>44797</v>
      </c>
      <c r="C4878" t="str">
        <f ca="1">IFERROR(__xludf.DUMMYFUNCTION("""COMPUTED_VALUE"""),"ООО Лидер 163-СТР от 08.08.2022")</f>
        <v>ООО Лидер 163-СТР от 08.08.2022</v>
      </c>
      <c r="D48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8" t="str">
        <f ca="1">IFERROR(__xludf.DUMMYFUNCTION("""COMPUTED_VALUE"""),"Новый")</f>
        <v>Новый</v>
      </c>
      <c r="G4878" s="68"/>
      <c r="K4878" s="68"/>
    </row>
    <row r="4879" spans="1:11" ht="12.75">
      <c r="A4879" s="69">
        <f ca="1">IFERROR(__xludf.DUMMYFUNCTION("""COMPUTED_VALUE"""),105125)</f>
        <v>105125</v>
      </c>
      <c r="B4879" s="4">
        <f ca="1">IFERROR(__xludf.DUMMYFUNCTION("""COMPUTED_VALUE"""),44797)</f>
        <v>44797</v>
      </c>
      <c r="C4879" t="str">
        <f ca="1">IFERROR(__xludf.DUMMYFUNCTION("""COMPUTED_VALUE"""),"ООО Лидер 163-СТР от 08.08.2022")</f>
        <v>ООО Лидер 163-СТР от 08.08.2022</v>
      </c>
      <c r="D48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79" t="str">
        <f ca="1">IFERROR(__xludf.DUMMYFUNCTION("""COMPUTED_VALUE"""),"Новый")</f>
        <v>Новый</v>
      </c>
      <c r="G4879" s="68"/>
      <c r="K4879" s="68"/>
    </row>
    <row r="4880" spans="1:11" ht="12.75">
      <c r="A4880" s="69">
        <f ca="1">IFERROR(__xludf.DUMMYFUNCTION("""COMPUTED_VALUE"""),105126)</f>
        <v>105126</v>
      </c>
      <c r="B4880" s="4">
        <f ca="1">IFERROR(__xludf.DUMMYFUNCTION("""COMPUTED_VALUE"""),44797)</f>
        <v>44797</v>
      </c>
      <c r="C4880" t="str">
        <f ca="1">IFERROR(__xludf.DUMMYFUNCTION("""COMPUTED_VALUE"""),"ООО Лидер 163-СТР от 08.08.2022")</f>
        <v>ООО Лидер 163-СТР от 08.08.2022</v>
      </c>
      <c r="D48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0" t="str">
        <f ca="1">IFERROR(__xludf.DUMMYFUNCTION("""COMPUTED_VALUE"""),"Новый")</f>
        <v>Новый</v>
      </c>
      <c r="G4880" s="68"/>
      <c r="K4880" s="68"/>
    </row>
    <row r="4881" spans="1:11" ht="12.75">
      <c r="A4881" s="69">
        <f ca="1">IFERROR(__xludf.DUMMYFUNCTION("""COMPUTED_VALUE"""),105127)</f>
        <v>105127</v>
      </c>
      <c r="B4881" s="4">
        <f ca="1">IFERROR(__xludf.DUMMYFUNCTION("""COMPUTED_VALUE"""),44797)</f>
        <v>44797</v>
      </c>
      <c r="C4881" t="str">
        <f ca="1">IFERROR(__xludf.DUMMYFUNCTION("""COMPUTED_VALUE"""),"ООО Лидер 163-СТР от 08.08.2022")</f>
        <v>ООО Лидер 163-СТР от 08.08.2022</v>
      </c>
      <c r="D48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1" t="str">
        <f ca="1">IFERROR(__xludf.DUMMYFUNCTION("""COMPUTED_VALUE"""),"Новый")</f>
        <v>Новый</v>
      </c>
      <c r="G4881" s="68"/>
      <c r="K4881" s="68"/>
    </row>
    <row r="4882" spans="1:11" ht="12.75">
      <c r="A4882" s="69">
        <f ca="1">IFERROR(__xludf.DUMMYFUNCTION("""COMPUTED_VALUE"""),105128)</f>
        <v>105128</v>
      </c>
      <c r="B4882" s="4">
        <f ca="1">IFERROR(__xludf.DUMMYFUNCTION("""COMPUTED_VALUE"""),44797)</f>
        <v>44797</v>
      </c>
      <c r="C4882" t="str">
        <f ca="1">IFERROR(__xludf.DUMMYFUNCTION("""COMPUTED_VALUE"""),"ООО Лидер 163-СТР от 08.08.2022")</f>
        <v>ООО Лидер 163-СТР от 08.08.2022</v>
      </c>
      <c r="D48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2" t="str">
        <f ca="1">IFERROR(__xludf.DUMMYFUNCTION("""COMPUTED_VALUE"""),"Новый")</f>
        <v>Новый</v>
      </c>
      <c r="G4882" s="68"/>
      <c r="K4882" s="68"/>
    </row>
    <row r="4883" spans="1:11" ht="12.75">
      <c r="A4883" s="69">
        <f ca="1">IFERROR(__xludf.DUMMYFUNCTION("""COMPUTED_VALUE"""),105129)</f>
        <v>105129</v>
      </c>
      <c r="B4883" s="4">
        <f ca="1">IFERROR(__xludf.DUMMYFUNCTION("""COMPUTED_VALUE"""),44797)</f>
        <v>44797</v>
      </c>
      <c r="C4883" t="str">
        <f ca="1">IFERROR(__xludf.DUMMYFUNCTION("""COMPUTED_VALUE"""),"ООО Лидер 163-СТР от 08.08.2022")</f>
        <v>ООО Лидер 163-СТР от 08.08.2022</v>
      </c>
      <c r="D48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3" t="str">
        <f ca="1">IFERROR(__xludf.DUMMYFUNCTION("""COMPUTED_VALUE"""),"Новый")</f>
        <v>Новый</v>
      </c>
      <c r="G4883" s="68"/>
      <c r="K4883" s="68"/>
    </row>
    <row r="4884" spans="1:11" ht="12.75">
      <c r="A4884" s="69">
        <f ca="1">IFERROR(__xludf.DUMMYFUNCTION("""COMPUTED_VALUE"""),105130)</f>
        <v>105130</v>
      </c>
      <c r="B4884" s="4">
        <f ca="1">IFERROR(__xludf.DUMMYFUNCTION("""COMPUTED_VALUE"""),44797)</f>
        <v>44797</v>
      </c>
      <c r="C4884" t="str">
        <f ca="1">IFERROR(__xludf.DUMMYFUNCTION("""COMPUTED_VALUE"""),"ООО Лидер 163-СТР от 08.08.2022")</f>
        <v>ООО Лидер 163-СТР от 08.08.2022</v>
      </c>
      <c r="D48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4" t="str">
        <f ca="1">IFERROR(__xludf.DUMMYFUNCTION("""COMPUTED_VALUE"""),"Новый")</f>
        <v>Новый</v>
      </c>
      <c r="G4884" s="68"/>
      <c r="K4884" s="68"/>
    </row>
    <row r="4885" spans="1:11" ht="12.75">
      <c r="A4885" s="69">
        <f ca="1">IFERROR(__xludf.DUMMYFUNCTION("""COMPUTED_VALUE"""),105131)</f>
        <v>105131</v>
      </c>
      <c r="B4885" s="4">
        <f ca="1">IFERROR(__xludf.DUMMYFUNCTION("""COMPUTED_VALUE"""),44797)</f>
        <v>44797</v>
      </c>
      <c r="C4885" t="str">
        <f ca="1">IFERROR(__xludf.DUMMYFUNCTION("""COMPUTED_VALUE"""),"ООО Лидер 163-СТР от 08.08.2022")</f>
        <v>ООО Лидер 163-СТР от 08.08.2022</v>
      </c>
      <c r="D48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5" t="str">
        <f ca="1">IFERROR(__xludf.DUMMYFUNCTION("""COMPUTED_VALUE"""),"Новый")</f>
        <v>Новый</v>
      </c>
      <c r="G4885" s="68"/>
      <c r="K4885" s="68"/>
    </row>
    <row r="4886" spans="1:11" ht="12.75">
      <c r="A4886" s="69">
        <f ca="1">IFERROR(__xludf.DUMMYFUNCTION("""COMPUTED_VALUE"""),105132)</f>
        <v>105132</v>
      </c>
      <c r="B4886" s="4">
        <f ca="1">IFERROR(__xludf.DUMMYFUNCTION("""COMPUTED_VALUE"""),44797)</f>
        <v>44797</v>
      </c>
      <c r="C4886" t="str">
        <f ca="1">IFERROR(__xludf.DUMMYFUNCTION("""COMPUTED_VALUE"""),"ООО Лидер 163-СТР от 08.08.2022")</f>
        <v>ООО Лидер 163-СТР от 08.08.2022</v>
      </c>
      <c r="D48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6" t="str">
        <f ca="1">IFERROR(__xludf.DUMMYFUNCTION("""COMPUTED_VALUE"""),"Новый")</f>
        <v>Новый</v>
      </c>
      <c r="G4886" s="68"/>
      <c r="K4886" s="68"/>
    </row>
    <row r="4887" spans="1:11" ht="12.75">
      <c r="A4887" s="69">
        <f ca="1">IFERROR(__xludf.DUMMYFUNCTION("""COMPUTED_VALUE"""),105133)</f>
        <v>105133</v>
      </c>
      <c r="B4887" s="4">
        <f ca="1">IFERROR(__xludf.DUMMYFUNCTION("""COMPUTED_VALUE"""),44797)</f>
        <v>44797</v>
      </c>
      <c r="C4887" t="str">
        <f ca="1">IFERROR(__xludf.DUMMYFUNCTION("""COMPUTED_VALUE"""),"ООО Лидер 163-СТР от 08.08.2022")</f>
        <v>ООО Лидер 163-СТР от 08.08.2022</v>
      </c>
      <c r="D48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7" t="str">
        <f ca="1">IFERROR(__xludf.DUMMYFUNCTION("""COMPUTED_VALUE"""),"Новый")</f>
        <v>Новый</v>
      </c>
      <c r="G4887" s="68"/>
      <c r="K4887" s="68"/>
    </row>
    <row r="4888" spans="1:11" ht="12.75">
      <c r="A4888" s="69">
        <f ca="1">IFERROR(__xludf.DUMMYFUNCTION("""COMPUTED_VALUE"""),105134)</f>
        <v>105134</v>
      </c>
      <c r="B4888" s="4">
        <f ca="1">IFERROR(__xludf.DUMMYFUNCTION("""COMPUTED_VALUE"""),44797)</f>
        <v>44797</v>
      </c>
      <c r="C4888" t="str">
        <f ca="1">IFERROR(__xludf.DUMMYFUNCTION("""COMPUTED_VALUE"""),"ООО Лидер 163-СТР от 08.08.2022")</f>
        <v>ООО Лидер 163-СТР от 08.08.2022</v>
      </c>
      <c r="D48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8" t="str">
        <f ca="1">IFERROR(__xludf.DUMMYFUNCTION("""COMPUTED_VALUE"""),"Новый")</f>
        <v>Новый</v>
      </c>
      <c r="G4888" s="68"/>
      <c r="K4888" s="68"/>
    </row>
    <row r="4889" spans="1:11" ht="12.75">
      <c r="A4889" s="69">
        <f ca="1">IFERROR(__xludf.DUMMYFUNCTION("""COMPUTED_VALUE"""),105135)</f>
        <v>105135</v>
      </c>
      <c r="B4889" s="4">
        <f ca="1">IFERROR(__xludf.DUMMYFUNCTION("""COMPUTED_VALUE"""),44797)</f>
        <v>44797</v>
      </c>
      <c r="C4889" t="str">
        <f ca="1">IFERROR(__xludf.DUMMYFUNCTION("""COMPUTED_VALUE"""),"ООО Лидер 163-СТР от 08.08.2022")</f>
        <v>ООО Лидер 163-СТР от 08.08.2022</v>
      </c>
      <c r="D48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89" t="str">
        <f ca="1">IFERROR(__xludf.DUMMYFUNCTION("""COMPUTED_VALUE"""),"Новый")</f>
        <v>Новый</v>
      </c>
      <c r="G4889" s="68"/>
      <c r="K4889" s="68"/>
    </row>
    <row r="4890" spans="1:11" ht="12.75">
      <c r="A4890" s="69">
        <f ca="1">IFERROR(__xludf.DUMMYFUNCTION("""COMPUTED_VALUE"""),105136)</f>
        <v>105136</v>
      </c>
      <c r="B4890" s="4">
        <f ca="1">IFERROR(__xludf.DUMMYFUNCTION("""COMPUTED_VALUE"""),44797)</f>
        <v>44797</v>
      </c>
      <c r="C4890" t="str">
        <f ca="1">IFERROR(__xludf.DUMMYFUNCTION("""COMPUTED_VALUE"""),"ООО Лидер 163-СТР от 08.08.2022")</f>
        <v>ООО Лидер 163-СТР от 08.08.2022</v>
      </c>
      <c r="D48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0" t="str">
        <f ca="1">IFERROR(__xludf.DUMMYFUNCTION("""COMPUTED_VALUE"""),"Новый")</f>
        <v>Новый</v>
      </c>
      <c r="G4890" s="68"/>
      <c r="K4890" s="68"/>
    </row>
    <row r="4891" spans="1:11" ht="12.75">
      <c r="A4891" s="69">
        <f ca="1">IFERROR(__xludf.DUMMYFUNCTION("""COMPUTED_VALUE"""),105137)</f>
        <v>105137</v>
      </c>
      <c r="B4891" s="4">
        <f ca="1">IFERROR(__xludf.DUMMYFUNCTION("""COMPUTED_VALUE"""),44797)</f>
        <v>44797</v>
      </c>
      <c r="C4891" t="str">
        <f ca="1">IFERROR(__xludf.DUMMYFUNCTION("""COMPUTED_VALUE"""),"ООО Лидер 163-СТР от 08.08.2022")</f>
        <v>ООО Лидер 163-СТР от 08.08.2022</v>
      </c>
      <c r="D48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1" t="str">
        <f ca="1">IFERROR(__xludf.DUMMYFUNCTION("""COMPUTED_VALUE"""),"Новый")</f>
        <v>Новый</v>
      </c>
      <c r="G4891" s="68"/>
      <c r="K4891" s="68"/>
    </row>
    <row r="4892" spans="1:11" ht="12.75">
      <c r="A4892" s="69">
        <f ca="1">IFERROR(__xludf.DUMMYFUNCTION("""COMPUTED_VALUE"""),105138)</f>
        <v>105138</v>
      </c>
      <c r="B4892" s="4">
        <f ca="1">IFERROR(__xludf.DUMMYFUNCTION("""COMPUTED_VALUE"""),44797)</f>
        <v>44797</v>
      </c>
      <c r="C4892" t="str">
        <f ca="1">IFERROR(__xludf.DUMMYFUNCTION("""COMPUTED_VALUE"""),"ООО Лидер 163-СТР от 08.08.2022")</f>
        <v>ООО Лидер 163-СТР от 08.08.2022</v>
      </c>
      <c r="D48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2" t="str">
        <f ca="1">IFERROR(__xludf.DUMMYFUNCTION("""COMPUTED_VALUE"""),"Новый")</f>
        <v>Новый</v>
      </c>
      <c r="G4892" s="68"/>
      <c r="K4892" s="68"/>
    </row>
    <row r="4893" spans="1:11" ht="12.75">
      <c r="A4893" s="69">
        <f ca="1">IFERROR(__xludf.DUMMYFUNCTION("""COMPUTED_VALUE"""),105139)</f>
        <v>105139</v>
      </c>
      <c r="B4893" s="4">
        <f ca="1">IFERROR(__xludf.DUMMYFUNCTION("""COMPUTED_VALUE"""),44797)</f>
        <v>44797</v>
      </c>
      <c r="C4893" t="str">
        <f ca="1">IFERROR(__xludf.DUMMYFUNCTION("""COMPUTED_VALUE"""),"ООО Лидер 163-СТР от 08.08.2022")</f>
        <v>ООО Лидер 163-СТР от 08.08.2022</v>
      </c>
      <c r="D48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3" t="str">
        <f ca="1">IFERROR(__xludf.DUMMYFUNCTION("""COMPUTED_VALUE"""),"Новый")</f>
        <v>Новый</v>
      </c>
      <c r="G4893" s="68"/>
      <c r="K4893" s="68"/>
    </row>
    <row r="4894" spans="1:11" ht="12.75">
      <c r="A4894" s="69">
        <f ca="1">IFERROR(__xludf.DUMMYFUNCTION("""COMPUTED_VALUE"""),105140)</f>
        <v>105140</v>
      </c>
      <c r="B4894" s="4">
        <f ca="1">IFERROR(__xludf.DUMMYFUNCTION("""COMPUTED_VALUE"""),44797)</f>
        <v>44797</v>
      </c>
      <c r="C4894" t="str">
        <f ca="1">IFERROR(__xludf.DUMMYFUNCTION("""COMPUTED_VALUE"""),"ООО Лидер 163-СТР от 08.08.2022")</f>
        <v>ООО Лидер 163-СТР от 08.08.2022</v>
      </c>
      <c r="D48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4" t="str">
        <f ca="1">IFERROR(__xludf.DUMMYFUNCTION("""COMPUTED_VALUE"""),"Новый")</f>
        <v>Новый</v>
      </c>
      <c r="G4894" s="68"/>
      <c r="K4894" s="68"/>
    </row>
    <row r="4895" spans="1:11" ht="12.75">
      <c r="A4895" s="69">
        <f ca="1">IFERROR(__xludf.DUMMYFUNCTION("""COMPUTED_VALUE"""),105141)</f>
        <v>105141</v>
      </c>
      <c r="B4895" s="4">
        <f ca="1">IFERROR(__xludf.DUMMYFUNCTION("""COMPUTED_VALUE"""),44797)</f>
        <v>44797</v>
      </c>
      <c r="C4895" t="str">
        <f ca="1">IFERROR(__xludf.DUMMYFUNCTION("""COMPUTED_VALUE"""),"ООО Лидер 163-СТР от 08.08.2022")</f>
        <v>ООО Лидер 163-СТР от 08.08.2022</v>
      </c>
      <c r="D48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5" t="str">
        <f ca="1">IFERROR(__xludf.DUMMYFUNCTION("""COMPUTED_VALUE"""),"Новый")</f>
        <v>Новый</v>
      </c>
      <c r="G4895" s="68"/>
      <c r="K4895" s="68"/>
    </row>
    <row r="4896" spans="1:11" ht="12.75">
      <c r="A4896" s="69">
        <f ca="1">IFERROR(__xludf.DUMMYFUNCTION("""COMPUTED_VALUE"""),105142)</f>
        <v>105142</v>
      </c>
      <c r="B4896" s="4">
        <f ca="1">IFERROR(__xludf.DUMMYFUNCTION("""COMPUTED_VALUE"""),44797)</f>
        <v>44797</v>
      </c>
      <c r="C4896" t="str">
        <f ca="1">IFERROR(__xludf.DUMMYFUNCTION("""COMPUTED_VALUE"""),"ООО Лидер 163-СТР от 08.08.2022")</f>
        <v>ООО Лидер 163-СТР от 08.08.2022</v>
      </c>
      <c r="D48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6" t="str">
        <f ca="1">IFERROR(__xludf.DUMMYFUNCTION("""COMPUTED_VALUE"""),"Новый")</f>
        <v>Новый</v>
      </c>
      <c r="G4896" s="68"/>
      <c r="K4896" s="68"/>
    </row>
    <row r="4897" spans="1:11" ht="12.75">
      <c r="A4897" s="69">
        <f ca="1">IFERROR(__xludf.DUMMYFUNCTION("""COMPUTED_VALUE"""),105143)</f>
        <v>105143</v>
      </c>
      <c r="B4897" s="4">
        <f ca="1">IFERROR(__xludf.DUMMYFUNCTION("""COMPUTED_VALUE"""),44797)</f>
        <v>44797</v>
      </c>
      <c r="C4897" t="str">
        <f ca="1">IFERROR(__xludf.DUMMYFUNCTION("""COMPUTED_VALUE"""),"ООО Лидер 163-СТР от 08.08.2022")</f>
        <v>ООО Лидер 163-СТР от 08.08.2022</v>
      </c>
      <c r="D48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7" t="str">
        <f ca="1">IFERROR(__xludf.DUMMYFUNCTION("""COMPUTED_VALUE"""),"Новый")</f>
        <v>Новый</v>
      </c>
      <c r="G4897" s="68"/>
      <c r="K4897" s="68"/>
    </row>
    <row r="4898" spans="1:11" ht="12.75">
      <c r="A4898" s="69">
        <f ca="1">IFERROR(__xludf.DUMMYFUNCTION("""COMPUTED_VALUE"""),105144)</f>
        <v>105144</v>
      </c>
      <c r="B4898" s="4">
        <f ca="1">IFERROR(__xludf.DUMMYFUNCTION("""COMPUTED_VALUE"""),44797)</f>
        <v>44797</v>
      </c>
      <c r="C4898" t="str">
        <f ca="1">IFERROR(__xludf.DUMMYFUNCTION("""COMPUTED_VALUE"""),"ООО Лидер 163-СТР от 08.08.2022")</f>
        <v>ООО Лидер 163-СТР от 08.08.2022</v>
      </c>
      <c r="D48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8" t="str">
        <f ca="1">IFERROR(__xludf.DUMMYFUNCTION("""COMPUTED_VALUE"""),"Новый")</f>
        <v>Новый</v>
      </c>
      <c r="G4898" s="68"/>
      <c r="K4898" s="68"/>
    </row>
    <row r="4899" spans="1:11" ht="12.75">
      <c r="A4899" s="69">
        <f ca="1">IFERROR(__xludf.DUMMYFUNCTION("""COMPUTED_VALUE"""),105145)</f>
        <v>105145</v>
      </c>
      <c r="B4899" s="4">
        <f ca="1">IFERROR(__xludf.DUMMYFUNCTION("""COMPUTED_VALUE"""),44797)</f>
        <v>44797</v>
      </c>
      <c r="C4899" t="str">
        <f ca="1">IFERROR(__xludf.DUMMYFUNCTION("""COMPUTED_VALUE"""),"ООО Лидер 163-СТР от 08.08.2022")</f>
        <v>ООО Лидер 163-СТР от 08.08.2022</v>
      </c>
      <c r="D48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899" t="str">
        <f ca="1">IFERROR(__xludf.DUMMYFUNCTION("""COMPUTED_VALUE"""),"Новый")</f>
        <v>Новый</v>
      </c>
      <c r="G4899" s="68"/>
      <c r="K4899" s="68"/>
    </row>
    <row r="4900" spans="1:11" ht="12.75">
      <c r="A4900" s="69">
        <f ca="1">IFERROR(__xludf.DUMMYFUNCTION("""COMPUTED_VALUE"""),105146)</f>
        <v>105146</v>
      </c>
      <c r="B4900" s="4">
        <f ca="1">IFERROR(__xludf.DUMMYFUNCTION("""COMPUTED_VALUE"""),44797)</f>
        <v>44797</v>
      </c>
      <c r="C4900" t="str">
        <f ca="1">IFERROR(__xludf.DUMMYFUNCTION("""COMPUTED_VALUE"""),"ООО Лидер 163-СТР от 08.08.2022")</f>
        <v>ООО Лидер 163-СТР от 08.08.2022</v>
      </c>
      <c r="D49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0" t="str">
        <f ca="1">IFERROR(__xludf.DUMMYFUNCTION("""COMPUTED_VALUE"""),"Новый")</f>
        <v>Новый</v>
      </c>
      <c r="G4900" s="68"/>
      <c r="K4900" s="68"/>
    </row>
    <row r="4901" spans="1:11" ht="12.75">
      <c r="A4901" s="69">
        <f ca="1">IFERROR(__xludf.DUMMYFUNCTION("""COMPUTED_VALUE"""),105147)</f>
        <v>105147</v>
      </c>
      <c r="B4901" s="4">
        <f ca="1">IFERROR(__xludf.DUMMYFUNCTION("""COMPUTED_VALUE"""),44797)</f>
        <v>44797</v>
      </c>
      <c r="C4901" t="str">
        <f ca="1">IFERROR(__xludf.DUMMYFUNCTION("""COMPUTED_VALUE"""),"ООО Лидер 163-СТР от 08.08.2022")</f>
        <v>ООО Лидер 163-СТР от 08.08.2022</v>
      </c>
      <c r="D49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1" t="str">
        <f ca="1">IFERROR(__xludf.DUMMYFUNCTION("""COMPUTED_VALUE"""),"Новый")</f>
        <v>Новый</v>
      </c>
      <c r="G4901" s="68"/>
      <c r="K4901" s="68"/>
    </row>
    <row r="4902" spans="1:11" ht="12.75">
      <c r="A4902" s="69">
        <f ca="1">IFERROR(__xludf.DUMMYFUNCTION("""COMPUTED_VALUE"""),105148)</f>
        <v>105148</v>
      </c>
      <c r="B4902" s="4">
        <f ca="1">IFERROR(__xludf.DUMMYFUNCTION("""COMPUTED_VALUE"""),44797)</f>
        <v>44797</v>
      </c>
      <c r="C4902" t="str">
        <f ca="1">IFERROR(__xludf.DUMMYFUNCTION("""COMPUTED_VALUE"""),"ООО Лидер 163-СТР от 08.08.2022")</f>
        <v>ООО Лидер 163-СТР от 08.08.2022</v>
      </c>
      <c r="D49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2" t="str">
        <f ca="1">IFERROR(__xludf.DUMMYFUNCTION("""COMPUTED_VALUE"""),"Новый")</f>
        <v>Новый</v>
      </c>
      <c r="G4902" s="68"/>
      <c r="K4902" s="68"/>
    </row>
    <row r="4903" spans="1:11" ht="12.75">
      <c r="A4903" s="69">
        <f ca="1">IFERROR(__xludf.DUMMYFUNCTION("""COMPUTED_VALUE"""),105149)</f>
        <v>105149</v>
      </c>
      <c r="B4903" s="4">
        <f ca="1">IFERROR(__xludf.DUMMYFUNCTION("""COMPUTED_VALUE"""),44797)</f>
        <v>44797</v>
      </c>
      <c r="C4903" t="str">
        <f ca="1">IFERROR(__xludf.DUMMYFUNCTION("""COMPUTED_VALUE"""),"ООО Лидер 163-СТР от 08.08.2022")</f>
        <v>ООО Лидер 163-СТР от 08.08.2022</v>
      </c>
      <c r="D49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3" t="str">
        <f ca="1">IFERROR(__xludf.DUMMYFUNCTION("""COMPUTED_VALUE"""),"Новый")</f>
        <v>Новый</v>
      </c>
      <c r="G4903" s="68"/>
      <c r="K4903" s="68"/>
    </row>
    <row r="4904" spans="1:11" ht="12.75">
      <c r="A4904" s="69">
        <f ca="1">IFERROR(__xludf.DUMMYFUNCTION("""COMPUTED_VALUE"""),105150)</f>
        <v>105150</v>
      </c>
      <c r="B4904" s="4">
        <f ca="1">IFERROR(__xludf.DUMMYFUNCTION("""COMPUTED_VALUE"""),44797)</f>
        <v>44797</v>
      </c>
      <c r="C4904" t="str">
        <f ca="1">IFERROR(__xludf.DUMMYFUNCTION("""COMPUTED_VALUE"""),"ООО Лидер 163-СТР от 08.08.2022")</f>
        <v>ООО Лидер 163-СТР от 08.08.2022</v>
      </c>
      <c r="D49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4" t="str">
        <f ca="1">IFERROR(__xludf.DUMMYFUNCTION("""COMPUTED_VALUE"""),"Новый")</f>
        <v>Новый</v>
      </c>
      <c r="G4904" s="68"/>
      <c r="K4904" s="68"/>
    </row>
    <row r="4905" spans="1:11" ht="12.75">
      <c r="A4905" s="69">
        <f ca="1">IFERROR(__xludf.DUMMYFUNCTION("""COMPUTED_VALUE"""),105151)</f>
        <v>105151</v>
      </c>
      <c r="B4905" s="4">
        <f ca="1">IFERROR(__xludf.DUMMYFUNCTION("""COMPUTED_VALUE"""),44797)</f>
        <v>44797</v>
      </c>
      <c r="C4905" t="str">
        <f ca="1">IFERROR(__xludf.DUMMYFUNCTION("""COMPUTED_VALUE"""),"ООО Лидер 163-СТР от 08.08.2022")</f>
        <v>ООО Лидер 163-СТР от 08.08.2022</v>
      </c>
      <c r="D49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5" t="str">
        <f ca="1">IFERROR(__xludf.DUMMYFUNCTION("""COMPUTED_VALUE"""),"Новый")</f>
        <v>Новый</v>
      </c>
      <c r="G4905" s="68"/>
      <c r="K4905" s="68"/>
    </row>
    <row r="4906" spans="1:11" ht="12.75">
      <c r="A4906" s="69">
        <f ca="1">IFERROR(__xludf.DUMMYFUNCTION("""COMPUTED_VALUE"""),105152)</f>
        <v>105152</v>
      </c>
      <c r="B4906" s="4">
        <f ca="1">IFERROR(__xludf.DUMMYFUNCTION("""COMPUTED_VALUE"""),44797)</f>
        <v>44797</v>
      </c>
      <c r="C4906" t="str">
        <f ca="1">IFERROR(__xludf.DUMMYFUNCTION("""COMPUTED_VALUE"""),"ООО Лидер 163-СТР от 08.08.2022")</f>
        <v>ООО Лидер 163-СТР от 08.08.2022</v>
      </c>
      <c r="D49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6" t="str">
        <f ca="1">IFERROR(__xludf.DUMMYFUNCTION("""COMPUTED_VALUE"""),"Новый")</f>
        <v>Новый</v>
      </c>
      <c r="G4906" s="68"/>
      <c r="K4906" s="68"/>
    </row>
    <row r="4907" spans="1:11" ht="12.75">
      <c r="A4907" s="69">
        <f ca="1">IFERROR(__xludf.DUMMYFUNCTION("""COMPUTED_VALUE"""),105153)</f>
        <v>105153</v>
      </c>
      <c r="B4907" s="4">
        <f ca="1">IFERROR(__xludf.DUMMYFUNCTION("""COMPUTED_VALUE"""),44797)</f>
        <v>44797</v>
      </c>
      <c r="C4907" t="str">
        <f ca="1">IFERROR(__xludf.DUMMYFUNCTION("""COMPUTED_VALUE"""),"ООО Лидер 163-СТР от 08.08.2022")</f>
        <v>ООО Лидер 163-СТР от 08.08.2022</v>
      </c>
      <c r="D49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7" t="str">
        <f ca="1">IFERROR(__xludf.DUMMYFUNCTION("""COMPUTED_VALUE"""),"Новый")</f>
        <v>Новый</v>
      </c>
      <c r="G4907" s="68"/>
      <c r="K4907" s="68"/>
    </row>
    <row r="4908" spans="1:11" ht="12.75">
      <c r="A4908" s="69">
        <f ca="1">IFERROR(__xludf.DUMMYFUNCTION("""COMPUTED_VALUE"""),105154)</f>
        <v>105154</v>
      </c>
      <c r="B4908" s="4">
        <f ca="1">IFERROR(__xludf.DUMMYFUNCTION("""COMPUTED_VALUE"""),44797)</f>
        <v>44797</v>
      </c>
      <c r="C4908" t="str">
        <f ca="1">IFERROR(__xludf.DUMMYFUNCTION("""COMPUTED_VALUE"""),"ООО Лидер 163-СТР от 08.08.2022")</f>
        <v>ООО Лидер 163-СТР от 08.08.2022</v>
      </c>
      <c r="D49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8" t="str">
        <f ca="1">IFERROR(__xludf.DUMMYFUNCTION("""COMPUTED_VALUE"""),"Новый")</f>
        <v>Новый</v>
      </c>
      <c r="G4908" s="68"/>
      <c r="K4908" s="68"/>
    </row>
    <row r="4909" spans="1:11" ht="12.75">
      <c r="A4909" s="69">
        <f ca="1">IFERROR(__xludf.DUMMYFUNCTION("""COMPUTED_VALUE"""),105155)</f>
        <v>105155</v>
      </c>
      <c r="B4909" s="4">
        <f ca="1">IFERROR(__xludf.DUMMYFUNCTION("""COMPUTED_VALUE"""),44797)</f>
        <v>44797</v>
      </c>
      <c r="C4909" t="str">
        <f ca="1">IFERROR(__xludf.DUMMYFUNCTION("""COMPUTED_VALUE"""),"ООО Лидер 163-СТР от 08.08.2022")</f>
        <v>ООО Лидер 163-СТР от 08.08.2022</v>
      </c>
      <c r="D49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09" t="str">
        <f ca="1">IFERROR(__xludf.DUMMYFUNCTION("""COMPUTED_VALUE"""),"Новый")</f>
        <v>Новый</v>
      </c>
      <c r="G4909" s="68"/>
      <c r="K4909" s="68"/>
    </row>
    <row r="4910" spans="1:11" ht="12.75">
      <c r="A4910" s="69">
        <f ca="1">IFERROR(__xludf.DUMMYFUNCTION("""COMPUTED_VALUE"""),105156)</f>
        <v>105156</v>
      </c>
      <c r="B4910" s="4">
        <f ca="1">IFERROR(__xludf.DUMMYFUNCTION("""COMPUTED_VALUE"""),44797)</f>
        <v>44797</v>
      </c>
      <c r="C4910" t="str">
        <f ca="1">IFERROR(__xludf.DUMMYFUNCTION("""COMPUTED_VALUE"""),"ООО Лидер 163-СТР от 08.08.2022")</f>
        <v>ООО Лидер 163-СТР от 08.08.2022</v>
      </c>
      <c r="D49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0" t="str">
        <f ca="1">IFERROR(__xludf.DUMMYFUNCTION("""COMPUTED_VALUE"""),"Новый")</f>
        <v>Новый</v>
      </c>
      <c r="G4910" s="68"/>
      <c r="K4910" s="68"/>
    </row>
    <row r="4911" spans="1:11" ht="12.75">
      <c r="A4911" s="69">
        <f ca="1">IFERROR(__xludf.DUMMYFUNCTION("""COMPUTED_VALUE"""),105157)</f>
        <v>105157</v>
      </c>
      <c r="B4911" s="4">
        <f ca="1">IFERROR(__xludf.DUMMYFUNCTION("""COMPUTED_VALUE"""),44797)</f>
        <v>44797</v>
      </c>
      <c r="C4911" t="str">
        <f ca="1">IFERROR(__xludf.DUMMYFUNCTION("""COMPUTED_VALUE"""),"ООО Лидер 163-СТР от 08.08.2022")</f>
        <v>ООО Лидер 163-СТР от 08.08.2022</v>
      </c>
      <c r="D49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1" t="str">
        <f ca="1">IFERROR(__xludf.DUMMYFUNCTION("""COMPUTED_VALUE"""),"Новый")</f>
        <v>Новый</v>
      </c>
      <c r="G4911" s="68"/>
      <c r="K4911" s="68"/>
    </row>
    <row r="4912" spans="1:11" ht="12.75">
      <c r="A4912" s="69">
        <f ca="1">IFERROR(__xludf.DUMMYFUNCTION("""COMPUTED_VALUE"""),105158)</f>
        <v>105158</v>
      </c>
      <c r="B4912" s="4">
        <f ca="1">IFERROR(__xludf.DUMMYFUNCTION("""COMPUTED_VALUE"""),44797)</f>
        <v>44797</v>
      </c>
      <c r="C4912" t="str">
        <f ca="1">IFERROR(__xludf.DUMMYFUNCTION("""COMPUTED_VALUE"""),"ООО Лидер 163-СТР от 08.08.2022")</f>
        <v>ООО Лидер 163-СТР от 08.08.2022</v>
      </c>
      <c r="D49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2" t="str">
        <f ca="1">IFERROR(__xludf.DUMMYFUNCTION("""COMPUTED_VALUE"""),"Новый")</f>
        <v>Новый</v>
      </c>
      <c r="G4912" s="68"/>
      <c r="K4912" s="68"/>
    </row>
    <row r="4913" spans="1:11" ht="12.75">
      <c r="A4913" s="69">
        <f ca="1">IFERROR(__xludf.DUMMYFUNCTION("""COMPUTED_VALUE"""),105159)</f>
        <v>105159</v>
      </c>
      <c r="B4913" s="4">
        <f ca="1">IFERROR(__xludf.DUMMYFUNCTION("""COMPUTED_VALUE"""),44797)</f>
        <v>44797</v>
      </c>
      <c r="C4913" t="str">
        <f ca="1">IFERROR(__xludf.DUMMYFUNCTION("""COMPUTED_VALUE"""),"ООО Лидер 163-СТР от 08.08.2022")</f>
        <v>ООО Лидер 163-СТР от 08.08.2022</v>
      </c>
      <c r="D49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3" t="str">
        <f ca="1">IFERROR(__xludf.DUMMYFUNCTION("""COMPUTED_VALUE"""),"Новый")</f>
        <v>Новый</v>
      </c>
      <c r="G4913" s="68"/>
      <c r="K4913" s="68"/>
    </row>
    <row r="4914" spans="1:11" ht="12.75">
      <c r="A4914" s="69">
        <f ca="1">IFERROR(__xludf.DUMMYFUNCTION("""COMPUTED_VALUE"""),105160)</f>
        <v>105160</v>
      </c>
      <c r="B4914" s="4">
        <f ca="1">IFERROR(__xludf.DUMMYFUNCTION("""COMPUTED_VALUE"""),44797)</f>
        <v>44797</v>
      </c>
      <c r="C4914" t="str">
        <f ca="1">IFERROR(__xludf.DUMMYFUNCTION("""COMPUTED_VALUE"""),"ООО Лидер 163-СТР от 08.08.2022")</f>
        <v>ООО Лидер 163-СТР от 08.08.2022</v>
      </c>
      <c r="D49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4" t="str">
        <f ca="1">IFERROR(__xludf.DUMMYFUNCTION("""COMPUTED_VALUE"""),"Новый")</f>
        <v>Новый</v>
      </c>
      <c r="G4914" s="68"/>
      <c r="K4914" s="68"/>
    </row>
    <row r="4915" spans="1:11" ht="12.75">
      <c r="A4915" s="69">
        <f ca="1">IFERROR(__xludf.DUMMYFUNCTION("""COMPUTED_VALUE"""),105161)</f>
        <v>105161</v>
      </c>
      <c r="B4915" s="4">
        <f ca="1">IFERROR(__xludf.DUMMYFUNCTION("""COMPUTED_VALUE"""),44797)</f>
        <v>44797</v>
      </c>
      <c r="C4915" t="str">
        <f ca="1">IFERROR(__xludf.DUMMYFUNCTION("""COMPUTED_VALUE"""),"ООО Лидер 163-СТР от 08.08.2022")</f>
        <v>ООО Лидер 163-СТР от 08.08.2022</v>
      </c>
      <c r="D49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5" t="str">
        <f ca="1">IFERROR(__xludf.DUMMYFUNCTION("""COMPUTED_VALUE"""),"Новый")</f>
        <v>Новый</v>
      </c>
      <c r="G4915" s="68"/>
      <c r="K4915" s="68"/>
    </row>
    <row r="4916" spans="1:11" ht="12.75">
      <c r="A4916" s="69">
        <f ca="1">IFERROR(__xludf.DUMMYFUNCTION("""COMPUTED_VALUE"""),105162)</f>
        <v>105162</v>
      </c>
      <c r="B4916" s="4">
        <f ca="1">IFERROR(__xludf.DUMMYFUNCTION("""COMPUTED_VALUE"""),44797)</f>
        <v>44797</v>
      </c>
      <c r="C4916" t="str">
        <f ca="1">IFERROR(__xludf.DUMMYFUNCTION("""COMPUTED_VALUE"""),"ООО Лидер 163-СТР от 08.08.2022")</f>
        <v>ООО Лидер 163-СТР от 08.08.2022</v>
      </c>
      <c r="D49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6" t="str">
        <f ca="1">IFERROR(__xludf.DUMMYFUNCTION("""COMPUTED_VALUE"""),"Новый")</f>
        <v>Новый</v>
      </c>
      <c r="G4916" s="68"/>
      <c r="K4916" s="68"/>
    </row>
    <row r="4917" spans="1:11" ht="12.75">
      <c r="A4917" s="69">
        <f ca="1">IFERROR(__xludf.DUMMYFUNCTION("""COMPUTED_VALUE"""),105163)</f>
        <v>105163</v>
      </c>
      <c r="B4917" s="4">
        <f ca="1">IFERROR(__xludf.DUMMYFUNCTION("""COMPUTED_VALUE"""),44797)</f>
        <v>44797</v>
      </c>
      <c r="C4917" t="str">
        <f ca="1">IFERROR(__xludf.DUMMYFUNCTION("""COMPUTED_VALUE"""),"ООО Лидер 163-СТР от 08.08.2022")</f>
        <v>ООО Лидер 163-СТР от 08.08.2022</v>
      </c>
      <c r="D49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7" t="str">
        <f ca="1">IFERROR(__xludf.DUMMYFUNCTION("""COMPUTED_VALUE"""),"Новый")</f>
        <v>Новый</v>
      </c>
      <c r="G4917" s="68"/>
      <c r="K4917" s="68"/>
    </row>
    <row r="4918" spans="1:11" ht="12.75">
      <c r="A4918" s="69">
        <f ca="1">IFERROR(__xludf.DUMMYFUNCTION("""COMPUTED_VALUE"""),105164)</f>
        <v>105164</v>
      </c>
      <c r="B4918" s="4">
        <f ca="1">IFERROR(__xludf.DUMMYFUNCTION("""COMPUTED_VALUE"""),44797)</f>
        <v>44797</v>
      </c>
      <c r="C4918" t="str">
        <f ca="1">IFERROR(__xludf.DUMMYFUNCTION("""COMPUTED_VALUE"""),"ООО Лидер 163-СТР от 08.08.2022")</f>
        <v>ООО Лидер 163-СТР от 08.08.2022</v>
      </c>
      <c r="D49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8" t="str">
        <f ca="1">IFERROR(__xludf.DUMMYFUNCTION("""COMPUTED_VALUE"""),"Новый")</f>
        <v>Новый</v>
      </c>
      <c r="G4918" s="68"/>
      <c r="K4918" s="68"/>
    </row>
    <row r="4919" spans="1:11" ht="12.75">
      <c r="A4919" s="69">
        <f ca="1">IFERROR(__xludf.DUMMYFUNCTION("""COMPUTED_VALUE"""),105165)</f>
        <v>105165</v>
      </c>
      <c r="B4919" s="4">
        <f ca="1">IFERROR(__xludf.DUMMYFUNCTION("""COMPUTED_VALUE"""),44797)</f>
        <v>44797</v>
      </c>
      <c r="C4919" t="str">
        <f ca="1">IFERROR(__xludf.DUMMYFUNCTION("""COMPUTED_VALUE"""),"ООО Лидер 163-СТР от 08.08.2022")</f>
        <v>ООО Лидер 163-СТР от 08.08.2022</v>
      </c>
      <c r="D49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19" t="str">
        <f ca="1">IFERROR(__xludf.DUMMYFUNCTION("""COMPUTED_VALUE"""),"Новый")</f>
        <v>Новый</v>
      </c>
      <c r="G4919" s="68"/>
      <c r="K4919" s="68"/>
    </row>
    <row r="4920" spans="1:11" ht="12.75">
      <c r="A4920" s="69">
        <f ca="1">IFERROR(__xludf.DUMMYFUNCTION("""COMPUTED_VALUE"""),105166)</f>
        <v>105166</v>
      </c>
      <c r="B4920" s="4">
        <f ca="1">IFERROR(__xludf.DUMMYFUNCTION("""COMPUTED_VALUE"""),44797)</f>
        <v>44797</v>
      </c>
      <c r="C4920" t="str">
        <f ca="1">IFERROR(__xludf.DUMMYFUNCTION("""COMPUTED_VALUE"""),"ООО Лидер 163-СТР от 08.08.2022")</f>
        <v>ООО Лидер 163-СТР от 08.08.2022</v>
      </c>
      <c r="D49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0" t="str">
        <f ca="1">IFERROR(__xludf.DUMMYFUNCTION("""COMPUTED_VALUE"""),"Новый")</f>
        <v>Новый</v>
      </c>
      <c r="G4920" s="68"/>
      <c r="K4920" s="68"/>
    </row>
    <row r="4921" spans="1:11" ht="12.75">
      <c r="A4921" s="69">
        <f ca="1">IFERROR(__xludf.DUMMYFUNCTION("""COMPUTED_VALUE"""),105167)</f>
        <v>105167</v>
      </c>
      <c r="B4921" s="4">
        <f ca="1">IFERROR(__xludf.DUMMYFUNCTION("""COMPUTED_VALUE"""),44797)</f>
        <v>44797</v>
      </c>
      <c r="C4921" t="str">
        <f ca="1">IFERROR(__xludf.DUMMYFUNCTION("""COMPUTED_VALUE"""),"ООО Лидер 163-СТР от 08.08.2022")</f>
        <v>ООО Лидер 163-СТР от 08.08.2022</v>
      </c>
      <c r="D49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1" t="str">
        <f ca="1">IFERROR(__xludf.DUMMYFUNCTION("""COMPUTED_VALUE"""),"Новый")</f>
        <v>Новый</v>
      </c>
      <c r="G4921" s="68"/>
      <c r="K4921" s="68"/>
    </row>
    <row r="4922" spans="1:11" ht="12.75">
      <c r="A4922" s="69">
        <f ca="1">IFERROR(__xludf.DUMMYFUNCTION("""COMPUTED_VALUE"""),105168)</f>
        <v>105168</v>
      </c>
      <c r="B4922" s="4">
        <f ca="1">IFERROR(__xludf.DUMMYFUNCTION("""COMPUTED_VALUE"""),44797)</f>
        <v>44797</v>
      </c>
      <c r="C4922" t="str">
        <f ca="1">IFERROR(__xludf.DUMMYFUNCTION("""COMPUTED_VALUE"""),"ООО Лидер 163-СТР от 08.08.2022")</f>
        <v>ООО Лидер 163-СТР от 08.08.2022</v>
      </c>
      <c r="D49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2" t="str">
        <f ca="1">IFERROR(__xludf.DUMMYFUNCTION("""COMPUTED_VALUE"""),"Новый")</f>
        <v>Новый</v>
      </c>
      <c r="G4922" s="68"/>
      <c r="K4922" s="68"/>
    </row>
    <row r="4923" spans="1:11" ht="12.75">
      <c r="A4923" s="69">
        <f ca="1">IFERROR(__xludf.DUMMYFUNCTION("""COMPUTED_VALUE"""),105169)</f>
        <v>105169</v>
      </c>
      <c r="B4923" s="4">
        <f ca="1">IFERROR(__xludf.DUMMYFUNCTION("""COMPUTED_VALUE"""),44797)</f>
        <v>44797</v>
      </c>
      <c r="C4923" t="str">
        <f ca="1">IFERROR(__xludf.DUMMYFUNCTION("""COMPUTED_VALUE"""),"ООО Лидер 163-СТР от 08.08.2022")</f>
        <v>ООО Лидер 163-СТР от 08.08.2022</v>
      </c>
      <c r="D49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3" t="str">
        <f ca="1">IFERROR(__xludf.DUMMYFUNCTION("""COMPUTED_VALUE"""),"Новый")</f>
        <v>Новый</v>
      </c>
      <c r="G4923" s="68"/>
      <c r="K4923" s="68"/>
    </row>
    <row r="4924" spans="1:11" ht="12.75">
      <c r="A4924" s="69">
        <f ca="1">IFERROR(__xludf.DUMMYFUNCTION("""COMPUTED_VALUE"""),105172)</f>
        <v>105172</v>
      </c>
      <c r="B4924" s="4">
        <f ca="1">IFERROR(__xludf.DUMMYFUNCTION("""COMPUTED_VALUE"""),44797)</f>
        <v>44797</v>
      </c>
      <c r="C4924" t="str">
        <f ca="1">IFERROR(__xludf.DUMMYFUNCTION("""COMPUTED_VALUE"""),"ООО ""Омскойл"" 173-СТР от 24.08.2022")</f>
        <v>ООО "Омскойл" 173-СТР от 24.08.2022</v>
      </c>
      <c r="D49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4" t="str">
        <f ca="1">IFERROR(__xludf.DUMMYFUNCTION("""COMPUTED_VALUE"""),"Новый")</f>
        <v>Новый</v>
      </c>
      <c r="G4924" s="68"/>
      <c r="K4924" s="68"/>
    </row>
    <row r="4925" spans="1:11" ht="12.75">
      <c r="A4925" s="69">
        <f ca="1">IFERROR(__xludf.DUMMYFUNCTION("""COMPUTED_VALUE"""),105174)</f>
        <v>105174</v>
      </c>
      <c r="B4925" s="4">
        <f ca="1">IFERROR(__xludf.DUMMYFUNCTION("""COMPUTED_VALUE"""),44797)</f>
        <v>44797</v>
      </c>
      <c r="C4925" t="str">
        <f ca="1">IFERROR(__xludf.DUMMYFUNCTION("""COMPUTED_VALUE"""),"ООО ""Омскойл"" 173-СТР от 24.08.2022")</f>
        <v>ООО "Омскойл" 173-СТР от 24.08.2022</v>
      </c>
      <c r="D49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5" t="str">
        <f ca="1">IFERROR(__xludf.DUMMYFUNCTION("""COMPUTED_VALUE"""),"Новый")</f>
        <v>Новый</v>
      </c>
      <c r="G4925" s="68"/>
      <c r="K4925" s="68"/>
    </row>
    <row r="4926" spans="1:11" ht="12.75">
      <c r="A4926" s="69">
        <f ca="1">IFERROR(__xludf.DUMMYFUNCTION("""COMPUTED_VALUE"""),105175)</f>
        <v>105175</v>
      </c>
      <c r="B4926" s="4">
        <f ca="1">IFERROR(__xludf.DUMMYFUNCTION("""COMPUTED_VALUE"""),44797)</f>
        <v>44797</v>
      </c>
      <c r="C4926" t="str">
        <f ca="1">IFERROR(__xludf.DUMMYFUNCTION("""COMPUTED_VALUE"""),"ООО ""Омскойл"" 173-СТР от 24.08.2022")</f>
        <v>ООО "Омскойл" 173-СТР от 24.08.2022</v>
      </c>
      <c r="D49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6" t="str">
        <f ca="1">IFERROR(__xludf.DUMMYFUNCTION("""COMPUTED_VALUE"""),"Новый")</f>
        <v>Новый</v>
      </c>
      <c r="G4926" s="68"/>
      <c r="K4926" s="68"/>
    </row>
    <row r="4927" spans="1:11" ht="12.75">
      <c r="A4927" s="69">
        <f ca="1">IFERROR(__xludf.DUMMYFUNCTION("""COMPUTED_VALUE"""),105176)</f>
        <v>105176</v>
      </c>
      <c r="B4927" s="4">
        <f ca="1">IFERROR(__xludf.DUMMYFUNCTION("""COMPUTED_VALUE"""),44797)</f>
        <v>44797</v>
      </c>
      <c r="C4927" t="str">
        <f ca="1">IFERROR(__xludf.DUMMYFUNCTION("""COMPUTED_VALUE"""),"ООО ""Омскойл"" 173-СТР от 24.08.2022")</f>
        <v>ООО "Омскойл" 173-СТР от 24.08.2022</v>
      </c>
      <c r="D49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7" t="str">
        <f ca="1">IFERROR(__xludf.DUMMYFUNCTION("""COMPUTED_VALUE"""),"Новый")</f>
        <v>Новый</v>
      </c>
      <c r="G4927" s="68"/>
      <c r="K4927" s="68"/>
    </row>
    <row r="4928" spans="1:11" ht="12.75">
      <c r="A4928" s="69">
        <f ca="1">IFERROR(__xludf.DUMMYFUNCTION("""COMPUTED_VALUE"""),105177)</f>
        <v>105177</v>
      </c>
      <c r="B4928" s="4">
        <f ca="1">IFERROR(__xludf.DUMMYFUNCTION("""COMPUTED_VALUE"""),44797)</f>
        <v>44797</v>
      </c>
      <c r="C4928" t="str">
        <f ca="1">IFERROR(__xludf.DUMMYFUNCTION("""COMPUTED_VALUE"""),"ООО ""Омскойл"" 173-СТР от 24.08.2022")</f>
        <v>ООО "Омскойл" 173-СТР от 24.08.2022</v>
      </c>
      <c r="D49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8" t="str">
        <f ca="1">IFERROR(__xludf.DUMMYFUNCTION("""COMPUTED_VALUE"""),"Новый")</f>
        <v>Новый</v>
      </c>
      <c r="G4928" s="68"/>
      <c r="K4928" s="68"/>
    </row>
    <row r="4929" spans="1:11" ht="12.75">
      <c r="A4929" s="69">
        <f ca="1">IFERROR(__xludf.DUMMYFUNCTION("""COMPUTED_VALUE"""),105178)</f>
        <v>105178</v>
      </c>
      <c r="B4929" s="4">
        <f ca="1">IFERROR(__xludf.DUMMYFUNCTION("""COMPUTED_VALUE"""),44797)</f>
        <v>44797</v>
      </c>
      <c r="C4929" t="str">
        <f ca="1">IFERROR(__xludf.DUMMYFUNCTION("""COMPUTED_VALUE"""),"ООО ""Омскойл"" 173-СТР от 24.08.2022")</f>
        <v>ООО "Омскойл" 173-СТР от 24.08.2022</v>
      </c>
      <c r="D49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29" t="str">
        <f ca="1">IFERROR(__xludf.DUMMYFUNCTION("""COMPUTED_VALUE"""),"Новый")</f>
        <v>Новый</v>
      </c>
      <c r="G4929" s="68"/>
      <c r="K4929" s="68"/>
    </row>
    <row r="4930" spans="1:11" ht="12.75">
      <c r="A4930" s="69">
        <f ca="1">IFERROR(__xludf.DUMMYFUNCTION("""COMPUTED_VALUE"""),105179)</f>
        <v>105179</v>
      </c>
      <c r="B4930" s="4">
        <f ca="1">IFERROR(__xludf.DUMMYFUNCTION("""COMPUTED_VALUE"""),44797)</f>
        <v>44797</v>
      </c>
      <c r="C4930" t="str">
        <f ca="1">IFERROR(__xludf.DUMMYFUNCTION("""COMPUTED_VALUE"""),"ООО ""Омскойл"" 173-СТР от 24.08.2022")</f>
        <v>ООО "Омскойл" 173-СТР от 24.08.2022</v>
      </c>
      <c r="D49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0" t="str">
        <f ca="1">IFERROR(__xludf.DUMMYFUNCTION("""COMPUTED_VALUE"""),"Новый")</f>
        <v>Новый</v>
      </c>
      <c r="G4930" s="68"/>
      <c r="K4930" s="68"/>
    </row>
    <row r="4931" spans="1:11" ht="12.75">
      <c r="A4931" s="69">
        <f ca="1">IFERROR(__xludf.DUMMYFUNCTION("""COMPUTED_VALUE"""),105180)</f>
        <v>105180</v>
      </c>
      <c r="B4931" s="4">
        <f ca="1">IFERROR(__xludf.DUMMYFUNCTION("""COMPUTED_VALUE"""),44797)</f>
        <v>44797</v>
      </c>
      <c r="C4931" t="str">
        <f ca="1">IFERROR(__xludf.DUMMYFUNCTION("""COMPUTED_VALUE"""),"ООО ""Омскойл"" 173-СТР от 24.08.2022")</f>
        <v>ООО "Омскойл" 173-СТР от 24.08.2022</v>
      </c>
      <c r="D49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1" t="str">
        <f ca="1">IFERROR(__xludf.DUMMYFUNCTION("""COMPUTED_VALUE"""),"Новый")</f>
        <v>Новый</v>
      </c>
      <c r="G4931" s="68"/>
      <c r="K4931" s="68"/>
    </row>
    <row r="4932" spans="1:11" ht="12.75">
      <c r="A4932" s="69">
        <f ca="1">IFERROR(__xludf.DUMMYFUNCTION("""COMPUTED_VALUE"""),105181)</f>
        <v>105181</v>
      </c>
      <c r="B4932" s="4">
        <f ca="1">IFERROR(__xludf.DUMMYFUNCTION("""COMPUTED_VALUE"""),44797)</f>
        <v>44797</v>
      </c>
      <c r="C4932" t="str">
        <f ca="1">IFERROR(__xludf.DUMMYFUNCTION("""COMPUTED_VALUE"""),"ООО ""Омскойл"" 173-СТР от 24.08.2022")</f>
        <v>ООО "Омскойл" 173-СТР от 24.08.2022</v>
      </c>
      <c r="D49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2" t="str">
        <f ca="1">IFERROR(__xludf.DUMMYFUNCTION("""COMPUTED_VALUE"""),"Новый")</f>
        <v>Новый</v>
      </c>
      <c r="G4932" s="68"/>
      <c r="K4932" s="68"/>
    </row>
    <row r="4933" spans="1:11" ht="12.75">
      <c r="A4933" s="69">
        <f ca="1">IFERROR(__xludf.DUMMYFUNCTION("""COMPUTED_VALUE"""),105182)</f>
        <v>105182</v>
      </c>
      <c r="B4933" s="4">
        <f ca="1">IFERROR(__xludf.DUMMYFUNCTION("""COMPUTED_VALUE"""),44797)</f>
        <v>44797</v>
      </c>
      <c r="C4933" t="str">
        <f ca="1">IFERROR(__xludf.DUMMYFUNCTION("""COMPUTED_VALUE"""),"ООО ""Омскойл"" 173-СТР от 24.08.2022")</f>
        <v>ООО "Омскойл" 173-СТР от 24.08.2022</v>
      </c>
      <c r="D49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3" t="str">
        <f ca="1">IFERROR(__xludf.DUMMYFUNCTION("""COMPUTED_VALUE"""),"Новый")</f>
        <v>Новый</v>
      </c>
      <c r="G4933" s="68"/>
      <c r="K4933" s="68"/>
    </row>
    <row r="4934" spans="1:11" ht="12.75">
      <c r="A4934" s="69">
        <f ca="1">IFERROR(__xludf.DUMMYFUNCTION("""COMPUTED_VALUE"""),105183)</f>
        <v>105183</v>
      </c>
      <c r="B4934" s="4">
        <f ca="1">IFERROR(__xludf.DUMMYFUNCTION("""COMPUTED_VALUE"""),44797)</f>
        <v>44797</v>
      </c>
      <c r="C4934" t="str">
        <f ca="1">IFERROR(__xludf.DUMMYFUNCTION("""COMPUTED_VALUE"""),"ООО ""Омскойл"" 173-СТР от 24.08.2022")</f>
        <v>ООО "Омскойл" 173-СТР от 24.08.2022</v>
      </c>
      <c r="D49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4" t="str">
        <f ca="1">IFERROR(__xludf.DUMMYFUNCTION("""COMPUTED_VALUE"""),"Новый")</f>
        <v>Новый</v>
      </c>
      <c r="G4934" s="68"/>
      <c r="K4934" s="68"/>
    </row>
    <row r="4935" spans="1:11" ht="12.75">
      <c r="A4935" s="69">
        <f ca="1">IFERROR(__xludf.DUMMYFUNCTION("""COMPUTED_VALUE"""),105184)</f>
        <v>105184</v>
      </c>
      <c r="B4935" s="4">
        <f ca="1">IFERROR(__xludf.DUMMYFUNCTION("""COMPUTED_VALUE"""),44797)</f>
        <v>44797</v>
      </c>
      <c r="C4935" t="str">
        <f ca="1">IFERROR(__xludf.DUMMYFUNCTION("""COMPUTED_VALUE"""),"ООО ""Омскойл"" 173-СТР от 24.08.2022")</f>
        <v>ООО "Омскойл" 173-СТР от 24.08.2022</v>
      </c>
      <c r="D49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5" t="str">
        <f ca="1">IFERROR(__xludf.DUMMYFUNCTION("""COMPUTED_VALUE"""),"Новый")</f>
        <v>Новый</v>
      </c>
      <c r="G4935" s="68"/>
      <c r="K4935" s="68"/>
    </row>
    <row r="4936" spans="1:11" ht="12.75">
      <c r="A4936" s="69">
        <f ca="1">IFERROR(__xludf.DUMMYFUNCTION("""COMPUTED_VALUE"""),105185)</f>
        <v>105185</v>
      </c>
      <c r="B4936" s="4">
        <f ca="1">IFERROR(__xludf.DUMMYFUNCTION("""COMPUTED_VALUE"""),44797)</f>
        <v>44797</v>
      </c>
      <c r="C4936" t="str">
        <f ca="1">IFERROR(__xludf.DUMMYFUNCTION("""COMPUTED_VALUE"""),"ООО ""Омскойл"" 173-СТР от 24.08.2022")</f>
        <v>ООО "Омскойл" 173-СТР от 24.08.2022</v>
      </c>
      <c r="D49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6" t="str">
        <f ca="1">IFERROR(__xludf.DUMMYFUNCTION("""COMPUTED_VALUE"""),"Новый")</f>
        <v>Новый</v>
      </c>
      <c r="G4936" s="68"/>
      <c r="K4936" s="68"/>
    </row>
    <row r="4937" spans="1:11" ht="12.75">
      <c r="A4937" s="69">
        <f ca="1">IFERROR(__xludf.DUMMYFUNCTION("""COMPUTED_VALUE"""),105186)</f>
        <v>105186</v>
      </c>
      <c r="B4937" s="4">
        <f ca="1">IFERROR(__xludf.DUMMYFUNCTION("""COMPUTED_VALUE"""),44797)</f>
        <v>44797</v>
      </c>
      <c r="C4937" t="str">
        <f ca="1">IFERROR(__xludf.DUMMYFUNCTION("""COMPUTED_VALUE"""),"ООО ""Омскойл"" 173-СТР от 24.08.2022")</f>
        <v>ООО "Омскойл" 173-СТР от 24.08.2022</v>
      </c>
      <c r="D49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7" t="str">
        <f ca="1">IFERROR(__xludf.DUMMYFUNCTION("""COMPUTED_VALUE"""),"Новый")</f>
        <v>Новый</v>
      </c>
      <c r="G4937" s="68"/>
      <c r="K4937" s="68"/>
    </row>
    <row r="4938" spans="1:11" ht="12.75">
      <c r="A4938" s="69">
        <f ca="1">IFERROR(__xludf.DUMMYFUNCTION("""COMPUTED_VALUE"""),105187)</f>
        <v>105187</v>
      </c>
      <c r="B4938" s="4">
        <f ca="1">IFERROR(__xludf.DUMMYFUNCTION("""COMPUTED_VALUE"""),44797)</f>
        <v>44797</v>
      </c>
      <c r="C4938" t="str">
        <f ca="1">IFERROR(__xludf.DUMMYFUNCTION("""COMPUTED_VALUE"""),"ООО ""Омскойл"" 173-СТР от 24.08.2022")</f>
        <v>ООО "Омскойл" 173-СТР от 24.08.2022</v>
      </c>
      <c r="D49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8" t="str">
        <f ca="1">IFERROR(__xludf.DUMMYFUNCTION("""COMPUTED_VALUE"""),"Новый")</f>
        <v>Новый</v>
      </c>
      <c r="G4938" s="68"/>
      <c r="K4938" s="68"/>
    </row>
    <row r="4939" spans="1:11" ht="12.75">
      <c r="A4939" s="69">
        <f ca="1">IFERROR(__xludf.DUMMYFUNCTION("""COMPUTED_VALUE"""),105188)</f>
        <v>105188</v>
      </c>
      <c r="B4939" s="4">
        <f ca="1">IFERROR(__xludf.DUMMYFUNCTION("""COMPUTED_VALUE"""),44797)</f>
        <v>44797</v>
      </c>
      <c r="C4939" t="str">
        <f ca="1">IFERROR(__xludf.DUMMYFUNCTION("""COMPUTED_VALUE"""),"ООО ""Омскойл"" 173-СТР от 24.08.2022")</f>
        <v>ООО "Омскойл" 173-СТР от 24.08.2022</v>
      </c>
      <c r="D49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39" t="str">
        <f ca="1">IFERROR(__xludf.DUMMYFUNCTION("""COMPUTED_VALUE"""),"Новый")</f>
        <v>Новый</v>
      </c>
      <c r="G4939" s="68"/>
      <c r="K4939" s="68"/>
    </row>
    <row r="4940" spans="1:11" ht="12.75">
      <c r="A4940" s="69">
        <f ca="1">IFERROR(__xludf.DUMMYFUNCTION("""COMPUTED_VALUE"""),105189)</f>
        <v>105189</v>
      </c>
      <c r="B4940" s="4">
        <f ca="1">IFERROR(__xludf.DUMMYFUNCTION("""COMPUTED_VALUE"""),44797)</f>
        <v>44797</v>
      </c>
      <c r="C4940" t="str">
        <f ca="1">IFERROR(__xludf.DUMMYFUNCTION("""COMPUTED_VALUE"""),"ООО ""Омскойл"" 173-СТР от 24.08.2022")</f>
        <v>ООО "Омскойл" 173-СТР от 24.08.2022</v>
      </c>
      <c r="D49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0" t="str">
        <f ca="1">IFERROR(__xludf.DUMMYFUNCTION("""COMPUTED_VALUE"""),"Новый")</f>
        <v>Новый</v>
      </c>
      <c r="G4940" s="68"/>
      <c r="K4940" s="68"/>
    </row>
    <row r="4941" spans="1:11" ht="12.75">
      <c r="A4941" s="69">
        <f ca="1">IFERROR(__xludf.DUMMYFUNCTION("""COMPUTED_VALUE"""),105191)</f>
        <v>105191</v>
      </c>
      <c r="B4941" s="4">
        <f ca="1">IFERROR(__xludf.DUMMYFUNCTION("""COMPUTED_VALUE"""),44797)</f>
        <v>44797</v>
      </c>
      <c r="C4941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1" t="str">
        <f ca="1">IFERROR(__xludf.DUMMYFUNCTION("""COMPUTED_VALUE"""),"Новый")</f>
        <v>Новый</v>
      </c>
      <c r="G4941" s="68"/>
      <c r="K4941" s="68"/>
    </row>
    <row r="4942" spans="1:11" ht="12.75">
      <c r="A4942" s="69">
        <f ca="1">IFERROR(__xludf.DUMMYFUNCTION("""COMPUTED_VALUE"""),105193)</f>
        <v>105193</v>
      </c>
      <c r="B4942" s="4">
        <f ca="1">IFERROR(__xludf.DUMMYFUNCTION("""COMPUTED_VALUE"""),44797)</f>
        <v>44797</v>
      </c>
      <c r="C4942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2" t="str">
        <f ca="1">IFERROR(__xludf.DUMMYFUNCTION("""COMPUTED_VALUE"""),"Новый")</f>
        <v>Новый</v>
      </c>
      <c r="G4942" s="68"/>
      <c r="K4942" s="68"/>
    </row>
    <row r="4943" spans="1:11" ht="12.75">
      <c r="A4943" s="69">
        <f ca="1">IFERROR(__xludf.DUMMYFUNCTION("""COMPUTED_VALUE"""),105194)</f>
        <v>105194</v>
      </c>
      <c r="B4943" s="4">
        <f ca="1">IFERROR(__xludf.DUMMYFUNCTION("""COMPUTED_VALUE"""),44797)</f>
        <v>44797</v>
      </c>
      <c r="C4943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3" t="str">
        <f ca="1">IFERROR(__xludf.DUMMYFUNCTION("""COMPUTED_VALUE"""),"Новый")</f>
        <v>Новый</v>
      </c>
      <c r="G4943" s="68"/>
      <c r="K4943" s="68"/>
    </row>
    <row r="4944" spans="1:11" ht="12.75">
      <c r="A4944" s="69">
        <f ca="1">IFERROR(__xludf.DUMMYFUNCTION("""COMPUTED_VALUE"""),105195)</f>
        <v>105195</v>
      </c>
      <c r="B4944" s="4">
        <f ca="1">IFERROR(__xludf.DUMMYFUNCTION("""COMPUTED_VALUE"""),44797)</f>
        <v>44797</v>
      </c>
      <c r="C4944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4" t="str">
        <f ca="1">IFERROR(__xludf.DUMMYFUNCTION("""COMPUTED_VALUE"""),"Новый")</f>
        <v>Новый</v>
      </c>
      <c r="G4944" s="68"/>
      <c r="K4944" s="68"/>
    </row>
    <row r="4945" spans="1:11" ht="12.75">
      <c r="A4945" s="69">
        <f ca="1">IFERROR(__xludf.DUMMYFUNCTION("""COMPUTED_VALUE"""),105196)</f>
        <v>105196</v>
      </c>
      <c r="B4945" s="4">
        <f ca="1">IFERROR(__xludf.DUMMYFUNCTION("""COMPUTED_VALUE"""),44797)</f>
        <v>44797</v>
      </c>
      <c r="C4945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5" t="str">
        <f ca="1">IFERROR(__xludf.DUMMYFUNCTION("""COMPUTED_VALUE"""),"Новый")</f>
        <v>Новый</v>
      </c>
      <c r="G4945" s="68"/>
      <c r="K4945" s="68"/>
    </row>
    <row r="4946" spans="1:11" ht="12.75">
      <c r="A4946" s="69">
        <f ca="1">IFERROR(__xludf.DUMMYFUNCTION("""COMPUTED_VALUE"""),105197)</f>
        <v>105197</v>
      </c>
      <c r="B4946" s="4">
        <f ca="1">IFERROR(__xludf.DUMMYFUNCTION("""COMPUTED_VALUE"""),44797)</f>
        <v>44797</v>
      </c>
      <c r="C4946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6" t="str">
        <f ca="1">IFERROR(__xludf.DUMMYFUNCTION("""COMPUTED_VALUE"""),"Новый")</f>
        <v>Новый</v>
      </c>
      <c r="G4946" s="68"/>
      <c r="K4946" s="68"/>
    </row>
    <row r="4947" spans="1:11" ht="12.75">
      <c r="A4947" s="69">
        <f ca="1">IFERROR(__xludf.DUMMYFUNCTION("""COMPUTED_VALUE"""),105198)</f>
        <v>105198</v>
      </c>
      <c r="B4947" s="4">
        <f ca="1">IFERROR(__xludf.DUMMYFUNCTION("""COMPUTED_VALUE"""),44797)</f>
        <v>44797</v>
      </c>
      <c r="C4947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7" t="str">
        <f ca="1">IFERROR(__xludf.DUMMYFUNCTION("""COMPUTED_VALUE"""),"Новый")</f>
        <v>Новый</v>
      </c>
      <c r="G4947" s="68"/>
      <c r="K4947" s="68"/>
    </row>
    <row r="4948" spans="1:11" ht="12.75">
      <c r="A4948" s="69">
        <f ca="1">IFERROR(__xludf.DUMMYFUNCTION("""COMPUTED_VALUE"""),105199)</f>
        <v>105199</v>
      </c>
      <c r="B4948" s="4">
        <f ca="1">IFERROR(__xludf.DUMMYFUNCTION("""COMPUTED_VALUE"""),44797)</f>
        <v>44797</v>
      </c>
      <c r="C4948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49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8" t="str">
        <f ca="1">IFERROR(__xludf.DUMMYFUNCTION("""COMPUTED_VALUE"""),"Новый")</f>
        <v>Новый</v>
      </c>
      <c r="G4948" s="68"/>
      <c r="K4948" s="68"/>
    </row>
    <row r="4949" spans="1:11" ht="12.75">
      <c r="A4949" s="69">
        <f ca="1">IFERROR(__xludf.DUMMYFUNCTION("""COMPUTED_VALUE"""),105200)</f>
        <v>105200</v>
      </c>
      <c r="B4949" s="4">
        <f ca="1">IFERROR(__xludf.DUMMYFUNCTION("""COMPUTED_VALUE"""),44797)</f>
        <v>44797</v>
      </c>
      <c r="C4949" t="str">
        <f ca="1">IFERROR(__xludf.DUMMYFUNCTION("""COMPUTED_VALUE"""),"ООО ""Сибирь"" 171-СТР от 22.08.2022")</f>
        <v>ООО "Сибирь" 171-СТР от 22.08.2022</v>
      </c>
      <c r="D49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49" t="str">
        <f ca="1">IFERROR(__xludf.DUMMYFUNCTION("""COMPUTED_VALUE"""),"Новый")</f>
        <v>Новый</v>
      </c>
      <c r="G4949" s="68"/>
      <c r="K4949" s="68"/>
    </row>
    <row r="4950" spans="1:11" ht="12.75">
      <c r="A4950" s="69">
        <f ca="1">IFERROR(__xludf.DUMMYFUNCTION("""COMPUTED_VALUE"""),105202)</f>
        <v>105202</v>
      </c>
      <c r="B4950" s="4">
        <f ca="1">IFERROR(__xludf.DUMMYFUNCTION("""COMPUTED_VALUE"""),44797)</f>
        <v>44797</v>
      </c>
      <c r="C4950" t="str">
        <f ca="1">IFERROR(__xludf.DUMMYFUNCTION("""COMPUTED_VALUE"""),"ООО ""Сибирь"" 171-СТР от 22.08.2022")</f>
        <v>ООО "Сибирь" 171-СТР от 22.08.2022</v>
      </c>
      <c r="D49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0" t="str">
        <f ca="1">IFERROR(__xludf.DUMMYFUNCTION("""COMPUTED_VALUE"""),"Новый")</f>
        <v>Новый</v>
      </c>
      <c r="G4950" s="68"/>
      <c r="K4950" s="68"/>
    </row>
    <row r="4951" spans="1:11" ht="12.75">
      <c r="A4951" s="69">
        <f ca="1">IFERROR(__xludf.DUMMYFUNCTION("""COMPUTED_VALUE"""),105203)</f>
        <v>105203</v>
      </c>
      <c r="B4951" s="4">
        <f ca="1">IFERROR(__xludf.DUMMYFUNCTION("""COMPUTED_VALUE"""),44797)</f>
        <v>44797</v>
      </c>
      <c r="C4951" t="str">
        <f ca="1">IFERROR(__xludf.DUMMYFUNCTION("""COMPUTED_VALUE"""),"ООО ""Сибирь"" 171-СТР от 22.08.2022")</f>
        <v>ООО "Сибирь" 171-СТР от 22.08.2022</v>
      </c>
      <c r="D49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1" t="str">
        <f ca="1">IFERROR(__xludf.DUMMYFUNCTION("""COMPUTED_VALUE"""),"Новый")</f>
        <v>Новый</v>
      </c>
      <c r="G4951" s="68"/>
      <c r="K4951" s="68"/>
    </row>
    <row r="4952" spans="1:11" ht="12.75">
      <c r="A4952" s="69">
        <f ca="1">IFERROR(__xludf.DUMMYFUNCTION("""COMPUTED_VALUE"""),105204)</f>
        <v>105204</v>
      </c>
      <c r="B4952" s="4">
        <f ca="1">IFERROR(__xludf.DUMMYFUNCTION("""COMPUTED_VALUE"""),44797)</f>
        <v>44797</v>
      </c>
      <c r="C4952" t="str">
        <f ca="1">IFERROR(__xludf.DUMMYFUNCTION("""COMPUTED_VALUE"""),"ООО ""Сибирь"" 171-СТР от 22.08.2022")</f>
        <v>ООО "Сибирь" 171-СТР от 22.08.2022</v>
      </c>
      <c r="D49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2" t="str">
        <f ca="1">IFERROR(__xludf.DUMMYFUNCTION("""COMPUTED_VALUE"""),"Новый")</f>
        <v>Новый</v>
      </c>
      <c r="G4952" s="68"/>
      <c r="K4952" s="68"/>
    </row>
    <row r="4953" spans="1:11" ht="12.75">
      <c r="A4953" s="69">
        <f ca="1">IFERROR(__xludf.DUMMYFUNCTION("""COMPUTED_VALUE"""),105205)</f>
        <v>105205</v>
      </c>
      <c r="B4953" s="4">
        <f ca="1">IFERROR(__xludf.DUMMYFUNCTION("""COMPUTED_VALUE"""),44797)</f>
        <v>44797</v>
      </c>
      <c r="C4953" t="str">
        <f ca="1">IFERROR(__xludf.DUMMYFUNCTION("""COMPUTED_VALUE"""),"ООО ""Сибирь"" 171-СТР от 22.08.2022")</f>
        <v>ООО "Сибирь" 171-СТР от 22.08.2022</v>
      </c>
      <c r="D49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3" t="str">
        <f ca="1">IFERROR(__xludf.DUMMYFUNCTION("""COMPUTED_VALUE"""),"Новый")</f>
        <v>Новый</v>
      </c>
      <c r="G4953" s="68"/>
      <c r="K4953" s="68"/>
    </row>
    <row r="4954" spans="1:11" ht="12.75">
      <c r="A4954" s="69">
        <f ca="1">IFERROR(__xludf.DUMMYFUNCTION("""COMPUTED_VALUE"""),105206)</f>
        <v>105206</v>
      </c>
      <c r="B4954" s="4">
        <f ca="1">IFERROR(__xludf.DUMMYFUNCTION("""COMPUTED_VALUE"""),44797)</f>
        <v>44797</v>
      </c>
      <c r="C4954" t="str">
        <f ca="1">IFERROR(__xludf.DUMMYFUNCTION("""COMPUTED_VALUE"""),"ООО ""Сибирь"" 171-СТР от 22.08.2022")</f>
        <v>ООО "Сибирь" 171-СТР от 22.08.2022</v>
      </c>
      <c r="D49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4" t="str">
        <f ca="1">IFERROR(__xludf.DUMMYFUNCTION("""COMPUTED_VALUE"""),"Новый")</f>
        <v>Новый</v>
      </c>
      <c r="G4954" s="68"/>
      <c r="K4954" s="68"/>
    </row>
    <row r="4955" spans="1:11" ht="12.75">
      <c r="A4955" s="69">
        <f ca="1">IFERROR(__xludf.DUMMYFUNCTION("""COMPUTED_VALUE"""),105207)</f>
        <v>105207</v>
      </c>
      <c r="B4955" s="4">
        <f ca="1">IFERROR(__xludf.DUMMYFUNCTION("""COMPUTED_VALUE"""),44797)</f>
        <v>44797</v>
      </c>
      <c r="C4955" t="str">
        <f ca="1">IFERROR(__xludf.DUMMYFUNCTION("""COMPUTED_VALUE"""),"ООО ""Сибирь"" 171-СТР от 22.08.2022")</f>
        <v>ООО "Сибирь" 171-СТР от 22.08.2022</v>
      </c>
      <c r="D49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5" t="str">
        <f ca="1">IFERROR(__xludf.DUMMYFUNCTION("""COMPUTED_VALUE"""),"Новый")</f>
        <v>Новый</v>
      </c>
      <c r="G4955" s="68"/>
      <c r="K4955" s="68"/>
    </row>
    <row r="4956" spans="1:11" ht="12.75">
      <c r="A4956" s="69">
        <f ca="1">IFERROR(__xludf.DUMMYFUNCTION("""COMPUTED_VALUE"""),105208)</f>
        <v>105208</v>
      </c>
      <c r="B4956" s="4">
        <f ca="1">IFERROR(__xludf.DUMMYFUNCTION("""COMPUTED_VALUE"""),44797)</f>
        <v>44797</v>
      </c>
      <c r="C4956" t="str">
        <f ca="1">IFERROR(__xludf.DUMMYFUNCTION("""COMPUTED_VALUE"""),"ООО ""Сибирь"" 171-СТР от 22.08.2022")</f>
        <v>ООО "Сибирь" 171-СТР от 22.08.2022</v>
      </c>
      <c r="D49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6" t="str">
        <f ca="1">IFERROR(__xludf.DUMMYFUNCTION("""COMPUTED_VALUE"""),"Новый")</f>
        <v>Новый</v>
      </c>
      <c r="G4956" s="68"/>
      <c r="K4956" s="68"/>
    </row>
    <row r="4957" spans="1:11" ht="12.75">
      <c r="A4957" s="69">
        <f ca="1">IFERROR(__xludf.DUMMYFUNCTION("""COMPUTED_VALUE"""),105209)</f>
        <v>105209</v>
      </c>
      <c r="B4957" s="4">
        <f ca="1">IFERROR(__xludf.DUMMYFUNCTION("""COMPUTED_VALUE"""),44797)</f>
        <v>44797</v>
      </c>
      <c r="C4957" t="str">
        <f ca="1">IFERROR(__xludf.DUMMYFUNCTION("""COMPUTED_VALUE"""),"ООО ""Сибирь"" 171-СТР от 22.08.2022")</f>
        <v>ООО "Сибирь" 171-СТР от 22.08.2022</v>
      </c>
      <c r="D49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7" t="str">
        <f ca="1">IFERROR(__xludf.DUMMYFUNCTION("""COMPUTED_VALUE"""),"Новый")</f>
        <v>Новый</v>
      </c>
      <c r="G4957" s="68"/>
      <c r="K4957" s="68"/>
    </row>
    <row r="4958" spans="1:11" ht="12.75">
      <c r="A4958" s="69">
        <f ca="1">IFERROR(__xludf.DUMMYFUNCTION("""COMPUTED_VALUE"""),105210)</f>
        <v>105210</v>
      </c>
      <c r="B4958" s="4">
        <f ca="1">IFERROR(__xludf.DUMMYFUNCTION("""COMPUTED_VALUE"""),44797)</f>
        <v>44797</v>
      </c>
      <c r="C4958" t="str">
        <f ca="1">IFERROR(__xludf.DUMMYFUNCTION("""COMPUTED_VALUE"""),"ООО ""Удача"" 172-СТР от 23.08.2022")</f>
        <v>ООО "Удача" 172-СТР от 23.08.2022</v>
      </c>
      <c r="D49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8" t="str">
        <f ca="1">IFERROR(__xludf.DUMMYFUNCTION("""COMPUTED_VALUE"""),"Новый")</f>
        <v>Новый</v>
      </c>
      <c r="G4958" s="68"/>
      <c r="K4958" s="68"/>
    </row>
    <row r="4959" spans="1:11" ht="12.75">
      <c r="A4959" s="69">
        <f ca="1">IFERROR(__xludf.DUMMYFUNCTION("""COMPUTED_VALUE"""),105211)</f>
        <v>105211</v>
      </c>
      <c r="B4959" s="4">
        <f ca="1">IFERROR(__xludf.DUMMYFUNCTION("""COMPUTED_VALUE"""),44797)</f>
        <v>44797</v>
      </c>
      <c r="C4959" t="str">
        <f ca="1">IFERROR(__xludf.DUMMYFUNCTION("""COMPUTED_VALUE"""),"ООО ""Удача"" 172-СТР от 23.08.2022")</f>
        <v>ООО "Удача" 172-СТР от 23.08.2022</v>
      </c>
      <c r="D49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59" t="str">
        <f ca="1">IFERROR(__xludf.DUMMYFUNCTION("""COMPUTED_VALUE"""),"Новый")</f>
        <v>Новый</v>
      </c>
      <c r="G4959" s="68"/>
      <c r="K4959" s="68"/>
    </row>
    <row r="4960" spans="1:11" ht="12.75">
      <c r="A4960" s="69">
        <f ca="1">IFERROR(__xludf.DUMMYFUNCTION("""COMPUTED_VALUE"""),105212)</f>
        <v>105212</v>
      </c>
      <c r="B4960" s="4">
        <f ca="1">IFERROR(__xludf.DUMMYFUNCTION("""COMPUTED_VALUE"""),44797)</f>
        <v>44797</v>
      </c>
      <c r="C4960" t="str">
        <f ca="1">IFERROR(__xludf.DUMMYFUNCTION("""COMPUTED_VALUE"""),"ООО ""Удача"" 172-СТР от 23.08.2022")</f>
        <v>ООО "Удача" 172-СТР от 23.08.2022</v>
      </c>
      <c r="D49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0" t="str">
        <f ca="1">IFERROR(__xludf.DUMMYFUNCTION("""COMPUTED_VALUE"""),"Новый")</f>
        <v>Новый</v>
      </c>
      <c r="G4960" s="68"/>
      <c r="K4960" s="68"/>
    </row>
    <row r="4961" spans="1:11" ht="12.75">
      <c r="A4961" s="69">
        <f ca="1">IFERROR(__xludf.DUMMYFUNCTION("""COMPUTED_VALUE"""),105213)</f>
        <v>105213</v>
      </c>
      <c r="B4961" s="4">
        <f ca="1">IFERROR(__xludf.DUMMYFUNCTION("""COMPUTED_VALUE"""),44797)</f>
        <v>44797</v>
      </c>
      <c r="C4961" t="str">
        <f ca="1">IFERROR(__xludf.DUMMYFUNCTION("""COMPUTED_VALUE"""),"ООО ""Удача"" 172-СТР от 23.08.2022")</f>
        <v>ООО "Удача" 172-СТР от 23.08.2022</v>
      </c>
      <c r="D49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1" t="str">
        <f ca="1">IFERROR(__xludf.DUMMYFUNCTION("""COMPUTED_VALUE"""),"Новый")</f>
        <v>Новый</v>
      </c>
      <c r="G4961" s="68"/>
      <c r="K4961" s="68"/>
    </row>
    <row r="4962" spans="1:11" ht="12.75">
      <c r="A4962" s="69">
        <f ca="1">IFERROR(__xludf.DUMMYFUNCTION("""COMPUTED_VALUE"""),105214)</f>
        <v>105214</v>
      </c>
      <c r="B4962" s="4">
        <f ca="1">IFERROR(__xludf.DUMMYFUNCTION("""COMPUTED_VALUE"""),44797)</f>
        <v>44797</v>
      </c>
      <c r="C4962" t="str">
        <f ca="1">IFERROR(__xludf.DUMMYFUNCTION("""COMPUTED_VALUE"""),"ООО ""Удача"" 172-СТР от 23.08.2022")</f>
        <v>ООО "Удача" 172-СТР от 23.08.2022</v>
      </c>
      <c r="D49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2" t="str">
        <f ca="1">IFERROR(__xludf.DUMMYFUNCTION("""COMPUTED_VALUE"""),"Новый")</f>
        <v>Новый</v>
      </c>
      <c r="G4962" s="68"/>
      <c r="K4962" s="68"/>
    </row>
    <row r="4963" spans="1:11" ht="12.75">
      <c r="A4963" s="69">
        <f ca="1">IFERROR(__xludf.DUMMYFUNCTION("""COMPUTED_VALUE"""),105215)</f>
        <v>105215</v>
      </c>
      <c r="B4963" s="4">
        <f ca="1">IFERROR(__xludf.DUMMYFUNCTION("""COMPUTED_VALUE"""),44797)</f>
        <v>44797</v>
      </c>
      <c r="C4963" t="str">
        <f ca="1">IFERROR(__xludf.DUMMYFUNCTION("""COMPUTED_VALUE"""),"ООО ""Удача"" 172-СТР от 23.08.2022")</f>
        <v>ООО "Удача" 172-СТР от 23.08.2022</v>
      </c>
      <c r="D49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3" t="str">
        <f ca="1">IFERROR(__xludf.DUMMYFUNCTION("""COMPUTED_VALUE"""),"Новый")</f>
        <v>Новый</v>
      </c>
      <c r="G4963" s="68"/>
      <c r="K4963" s="68"/>
    </row>
    <row r="4964" spans="1:11" ht="12.75">
      <c r="A4964" s="69">
        <f ca="1">IFERROR(__xludf.DUMMYFUNCTION("""COMPUTED_VALUE"""),105216)</f>
        <v>105216</v>
      </c>
      <c r="B4964" s="4">
        <f ca="1">IFERROR(__xludf.DUMMYFUNCTION("""COMPUTED_VALUE"""),44797)</f>
        <v>44797</v>
      </c>
      <c r="C4964" t="str">
        <f ca="1">IFERROR(__xludf.DUMMYFUNCTION("""COMPUTED_VALUE"""),"ООО ""Удача"" 172-СТР от 23.08.2022")</f>
        <v>ООО "Удача" 172-СТР от 23.08.2022</v>
      </c>
      <c r="D49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4" t="str">
        <f ca="1">IFERROR(__xludf.DUMMYFUNCTION("""COMPUTED_VALUE"""),"Новый")</f>
        <v>Новый</v>
      </c>
      <c r="G4964" s="68"/>
      <c r="K4964" s="68"/>
    </row>
    <row r="4965" spans="1:11" ht="12.75">
      <c r="A4965" s="69">
        <f ca="1">IFERROR(__xludf.DUMMYFUNCTION("""COMPUTED_VALUE"""),105217)</f>
        <v>105217</v>
      </c>
      <c r="B4965" s="4">
        <f ca="1">IFERROR(__xludf.DUMMYFUNCTION("""COMPUTED_VALUE"""),44797)</f>
        <v>44797</v>
      </c>
      <c r="C4965" t="str">
        <f ca="1">IFERROR(__xludf.DUMMYFUNCTION("""COMPUTED_VALUE"""),"ООО ""Удача"" 172-СТР от 23.08.2022")</f>
        <v>ООО "Удача" 172-СТР от 23.08.2022</v>
      </c>
      <c r="D49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65" t="str">
        <f ca="1">IFERROR(__xludf.DUMMYFUNCTION("""COMPUTED_VALUE"""),"Новый")</f>
        <v>Новый</v>
      </c>
      <c r="G4965" s="68"/>
      <c r="K4965" s="68"/>
    </row>
    <row r="4966" spans="1:11" ht="12.75">
      <c r="A4966" s="69">
        <f ca="1">IFERROR(__xludf.DUMMYFUNCTION("""COMPUTED_VALUE"""),105220)</f>
        <v>105220</v>
      </c>
      <c r="B4966" s="4">
        <f ca="1">IFERROR(__xludf.DUMMYFUNCTION("""COMPUTED_VALUE"""),44798)</f>
        <v>44798</v>
      </c>
      <c r="C4966" t="str">
        <f ca="1">IFERROR(__xludf.DUMMYFUNCTION("""COMPUTED_VALUE"""),"ИП Марипов А.Т. 211-РДО 23.08.2022")</f>
        <v>ИП Марипов А.Т. 211-РДО 23.08.2022</v>
      </c>
      <c r="D49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66" t="str">
        <f ca="1">IFERROR(__xludf.DUMMYFUNCTION("""COMPUTED_VALUE"""),"Новый")</f>
        <v>Новый</v>
      </c>
      <c r="G4966" s="68"/>
      <c r="K4966" s="68"/>
    </row>
    <row r="4967" spans="1:11" ht="12.75">
      <c r="A4967" s="69">
        <f ca="1">IFERROR(__xludf.DUMMYFUNCTION("""COMPUTED_VALUE"""),105221)</f>
        <v>105221</v>
      </c>
      <c r="B4967" s="4">
        <f ca="1">IFERROR(__xludf.DUMMYFUNCTION("""COMPUTED_VALUE"""),44798)</f>
        <v>44798</v>
      </c>
      <c r="C4967" t="str">
        <f ca="1">IFERROR(__xludf.DUMMYFUNCTION("""COMPUTED_VALUE"""),"ИП Марипов А.Т. 211-РДО 23.08.2022")</f>
        <v>ИП Марипов А.Т. 211-РДО 23.08.2022</v>
      </c>
      <c r="D49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67" t="str">
        <f ca="1">IFERROR(__xludf.DUMMYFUNCTION("""COMPUTED_VALUE"""),"Новый")</f>
        <v>Новый</v>
      </c>
      <c r="G4967" s="68"/>
      <c r="K4967" s="68"/>
    </row>
    <row r="4968" spans="1:11" ht="12.75">
      <c r="A4968" s="69">
        <f ca="1">IFERROR(__xludf.DUMMYFUNCTION("""COMPUTED_VALUE"""),105222)</f>
        <v>105222</v>
      </c>
      <c r="B4968" s="4">
        <f ca="1">IFERROR(__xludf.DUMMYFUNCTION("""COMPUTED_VALUE"""),44798)</f>
        <v>44798</v>
      </c>
      <c r="C4968" t="str">
        <f ca="1">IFERROR(__xludf.DUMMYFUNCTION("""COMPUTED_VALUE"""),"ИП Марипов А.Т. 211-РДО 23.08.2022")</f>
        <v>ИП Марипов А.Т. 211-РДО 23.08.2022</v>
      </c>
      <c r="D49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68" t="str">
        <f ca="1">IFERROR(__xludf.DUMMYFUNCTION("""COMPUTED_VALUE"""),"Новый")</f>
        <v>Новый</v>
      </c>
      <c r="G4968" s="68"/>
      <c r="K4968" s="68"/>
    </row>
    <row r="4969" spans="1:11" ht="12.75">
      <c r="A4969" s="69">
        <f ca="1">IFERROR(__xludf.DUMMYFUNCTION("""COMPUTED_VALUE"""),105223)</f>
        <v>105223</v>
      </c>
      <c r="B4969" s="4">
        <f ca="1">IFERROR(__xludf.DUMMYFUNCTION("""COMPUTED_VALUE"""),44798)</f>
        <v>44798</v>
      </c>
      <c r="C4969" t="str">
        <f ca="1">IFERROR(__xludf.DUMMYFUNCTION("""COMPUTED_VALUE"""),"ИП Марипов А.Т. 211-РДО 23.08.2022")</f>
        <v>ИП Марипов А.Т. 211-РДО 23.08.2022</v>
      </c>
      <c r="D49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69" t="str">
        <f ca="1">IFERROR(__xludf.DUMMYFUNCTION("""COMPUTED_VALUE"""),"Новый")</f>
        <v>Новый</v>
      </c>
      <c r="G4969" s="68"/>
      <c r="K4969" s="68"/>
    </row>
    <row r="4970" spans="1:11" ht="12.75">
      <c r="A4970" s="69">
        <f ca="1">IFERROR(__xludf.DUMMYFUNCTION("""COMPUTED_VALUE"""),105224)</f>
        <v>105224</v>
      </c>
      <c r="B4970" s="4">
        <f ca="1">IFERROR(__xludf.DUMMYFUNCTION("""COMPUTED_VALUE"""),44798)</f>
        <v>44798</v>
      </c>
      <c r="C4970" t="str">
        <f ca="1">IFERROR(__xludf.DUMMYFUNCTION("""COMPUTED_VALUE"""),"ИП Марипов А.Т. 211-РДО 23.08.2022")</f>
        <v>ИП Марипов А.Т. 211-РДО 23.08.2022</v>
      </c>
      <c r="D49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0" t="str">
        <f ca="1">IFERROR(__xludf.DUMMYFUNCTION("""COMPUTED_VALUE"""),"Новый")</f>
        <v>Новый</v>
      </c>
      <c r="G4970" s="68"/>
      <c r="K4970" s="68"/>
    </row>
    <row r="4971" spans="1:11" ht="12.75">
      <c r="A4971" s="69">
        <f ca="1">IFERROR(__xludf.DUMMYFUNCTION("""COMPUTED_VALUE"""),105225)</f>
        <v>105225</v>
      </c>
      <c r="B4971" s="4">
        <f ca="1">IFERROR(__xludf.DUMMYFUNCTION("""COMPUTED_VALUE"""),44798)</f>
        <v>44798</v>
      </c>
      <c r="C4971" t="str">
        <f ca="1">IFERROR(__xludf.DUMMYFUNCTION("""COMPUTED_VALUE"""),"ИП Марипов А.Т. 211-РДО 23.08.2022")</f>
        <v>ИП Марипов А.Т. 211-РДО 23.08.2022</v>
      </c>
      <c r="D49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1" t="str">
        <f ca="1">IFERROR(__xludf.DUMMYFUNCTION("""COMPUTED_VALUE"""),"Новый")</f>
        <v>Новый</v>
      </c>
      <c r="G4971" s="68"/>
      <c r="K4971" s="68"/>
    </row>
    <row r="4972" spans="1:11" ht="12.75">
      <c r="A4972" s="69">
        <f ca="1">IFERROR(__xludf.DUMMYFUNCTION("""COMPUTED_VALUE"""),105226)</f>
        <v>105226</v>
      </c>
      <c r="B4972" s="4">
        <f ca="1">IFERROR(__xludf.DUMMYFUNCTION("""COMPUTED_VALUE"""),44798)</f>
        <v>44798</v>
      </c>
      <c r="C4972" t="str">
        <f ca="1">IFERROR(__xludf.DUMMYFUNCTION("""COMPUTED_VALUE"""),"ИП Марипов А.Т. 211-РДО 23.08.2022")</f>
        <v>ИП Марипов А.Т. 211-РДО 23.08.2022</v>
      </c>
      <c r="D49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2" t="str">
        <f ca="1">IFERROR(__xludf.DUMMYFUNCTION("""COMPUTED_VALUE"""),"Новый")</f>
        <v>Новый</v>
      </c>
      <c r="G4972" s="68"/>
      <c r="K4972" s="68"/>
    </row>
    <row r="4973" spans="1:11" ht="12.75">
      <c r="A4973" s="69">
        <f ca="1">IFERROR(__xludf.DUMMYFUNCTION("""COMPUTED_VALUE"""),105227)</f>
        <v>105227</v>
      </c>
      <c r="B4973" s="4">
        <f ca="1">IFERROR(__xludf.DUMMYFUNCTION("""COMPUTED_VALUE"""),44798)</f>
        <v>44798</v>
      </c>
      <c r="C4973" t="str">
        <f ca="1">IFERROR(__xludf.DUMMYFUNCTION("""COMPUTED_VALUE"""),"ИП Марипов А.Т. 211-РДО 23.08.2022")</f>
        <v>ИП Марипов А.Т. 211-РДО 23.08.2022</v>
      </c>
      <c r="D49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3" t="str">
        <f ca="1">IFERROR(__xludf.DUMMYFUNCTION("""COMPUTED_VALUE"""),"Новый")</f>
        <v>Новый</v>
      </c>
      <c r="G4973" s="68"/>
      <c r="K4973" s="68"/>
    </row>
    <row r="4974" spans="1:11" ht="12.75">
      <c r="A4974" s="69">
        <f ca="1">IFERROR(__xludf.DUMMYFUNCTION("""COMPUTED_VALUE"""),105228)</f>
        <v>105228</v>
      </c>
      <c r="B4974" s="4">
        <f ca="1">IFERROR(__xludf.DUMMYFUNCTION("""COMPUTED_VALUE"""),44798)</f>
        <v>44798</v>
      </c>
      <c r="C4974" t="str">
        <f ca="1">IFERROR(__xludf.DUMMYFUNCTION("""COMPUTED_VALUE"""),"ИП Марипов А.Т. 211-РДО 23.08.2022")</f>
        <v>ИП Марипов А.Т. 211-РДО 23.08.2022</v>
      </c>
      <c r="D49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4" t="str">
        <f ca="1">IFERROR(__xludf.DUMMYFUNCTION("""COMPUTED_VALUE"""),"Новый")</f>
        <v>Новый</v>
      </c>
      <c r="G4974" s="68"/>
      <c r="K4974" s="68"/>
    </row>
    <row r="4975" spans="1:11" ht="12.75">
      <c r="A4975" s="69">
        <f ca="1">IFERROR(__xludf.DUMMYFUNCTION("""COMPUTED_VALUE"""),105229)</f>
        <v>105229</v>
      </c>
      <c r="B4975" s="4">
        <f ca="1">IFERROR(__xludf.DUMMYFUNCTION("""COMPUTED_VALUE"""),44798)</f>
        <v>44798</v>
      </c>
      <c r="C4975" t="str">
        <f ca="1">IFERROR(__xludf.DUMMYFUNCTION("""COMPUTED_VALUE"""),"ИП Марипов А.Т. 211-РДО 23.08.2022")</f>
        <v>ИП Марипов А.Т. 211-РДО 23.08.2022</v>
      </c>
      <c r="D49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4975" t="str">
        <f ca="1">IFERROR(__xludf.DUMMYFUNCTION("""COMPUTED_VALUE"""),"Новый")</f>
        <v>Новый</v>
      </c>
      <c r="G4975" s="68"/>
      <c r="K4975" s="68"/>
    </row>
    <row r="4976" spans="1:11" ht="12.75">
      <c r="A4976" s="69">
        <f ca="1">IFERROR(__xludf.DUMMYFUNCTION("""COMPUTED_VALUE"""),105230)</f>
        <v>105230</v>
      </c>
      <c r="B4976" s="4">
        <f ca="1">IFERROR(__xludf.DUMMYFUNCTION("""COMPUTED_VALUE"""),44799)</f>
        <v>44799</v>
      </c>
      <c r="C4976" t="str">
        <f ca="1">IFERROR(__xludf.DUMMYFUNCTION("""COMPUTED_VALUE"""),"БУ Г. ОМСКА ""УДХБ"" 144-СТР от 01.07.2022")</f>
        <v>БУ Г. ОМСКА "УДХБ" 144-СТР от 01.07.2022</v>
      </c>
      <c r="D49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76" t="str">
        <f ca="1">IFERROR(__xludf.DUMMYFUNCTION("""COMPUTED_VALUE"""),"Новый")</f>
        <v>Новый</v>
      </c>
      <c r="G4976" s="68"/>
      <c r="K4976" s="68"/>
    </row>
    <row r="4977" spans="1:11" ht="12.75">
      <c r="A4977" s="69">
        <f ca="1">IFERROR(__xludf.DUMMYFUNCTION("""COMPUTED_VALUE"""),105231)</f>
        <v>105231</v>
      </c>
      <c r="B4977" s="4">
        <f ca="1">IFERROR(__xludf.DUMMYFUNCTION("""COMPUTED_VALUE"""),44799)</f>
        <v>44799</v>
      </c>
      <c r="C4977" t="str">
        <f ca="1">IFERROR(__xludf.DUMMYFUNCTION("""COMPUTED_VALUE"""),"БУ Г. ОМСКА ""УДХБ"" 144-СТР от 01.07.2022")</f>
        <v>БУ Г. ОМСКА "УДХБ" 144-СТР от 01.07.2022</v>
      </c>
      <c r="D49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77" t="str">
        <f ca="1">IFERROR(__xludf.DUMMYFUNCTION("""COMPUTED_VALUE"""),"Новый")</f>
        <v>Новый</v>
      </c>
      <c r="G4977" s="68"/>
      <c r="K4977" s="68"/>
    </row>
    <row r="4978" spans="1:11" ht="12.75">
      <c r="A4978" s="69">
        <f ca="1">IFERROR(__xludf.DUMMYFUNCTION("""COMPUTED_VALUE"""),105232)</f>
        <v>105232</v>
      </c>
      <c r="B4978" s="4">
        <f ca="1">IFERROR(__xludf.DUMMYFUNCTION("""COMPUTED_VALUE"""),44799)</f>
        <v>44799</v>
      </c>
      <c r="C4978" t="str">
        <f ca="1">IFERROR(__xludf.DUMMYFUNCTION("""COMPUTED_VALUE"""),"БУ Г. ОМСКА ""УДХБ"" 144-СТР от 01.07.2022")</f>
        <v>БУ Г. ОМСКА "УДХБ" 144-СТР от 01.07.2022</v>
      </c>
      <c r="D49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78" t="str">
        <f ca="1">IFERROR(__xludf.DUMMYFUNCTION("""COMPUTED_VALUE"""),"Новый")</f>
        <v>Новый</v>
      </c>
      <c r="G4978" s="68"/>
      <c r="K4978" s="68"/>
    </row>
    <row r="4979" spans="1:11" ht="12.75">
      <c r="A4979" s="69">
        <f ca="1">IFERROR(__xludf.DUMMYFUNCTION("""COMPUTED_VALUE"""),105233)</f>
        <v>105233</v>
      </c>
      <c r="B4979" s="4">
        <f ca="1">IFERROR(__xludf.DUMMYFUNCTION("""COMPUTED_VALUE"""),44799)</f>
        <v>44799</v>
      </c>
      <c r="C4979" t="str">
        <f ca="1">IFERROR(__xludf.DUMMYFUNCTION("""COMPUTED_VALUE"""),"БУ Г. ОМСКА ""УДХБ"" 144-СТР от 01.07.2022")</f>
        <v>БУ Г. ОМСКА "УДХБ" 144-СТР от 01.07.2022</v>
      </c>
      <c r="D49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79" t="str">
        <f ca="1">IFERROR(__xludf.DUMMYFUNCTION("""COMPUTED_VALUE"""),"Новый")</f>
        <v>Новый</v>
      </c>
      <c r="G4979" s="68"/>
      <c r="K4979" s="68"/>
    </row>
    <row r="4980" spans="1:11" ht="12.75">
      <c r="A4980" s="69">
        <f ca="1">IFERROR(__xludf.DUMMYFUNCTION("""COMPUTED_VALUE"""),105234)</f>
        <v>105234</v>
      </c>
      <c r="B4980" s="4">
        <f ca="1">IFERROR(__xludf.DUMMYFUNCTION("""COMPUTED_VALUE"""),44799)</f>
        <v>44799</v>
      </c>
      <c r="C4980" t="str">
        <f ca="1">IFERROR(__xludf.DUMMYFUNCTION("""COMPUTED_VALUE"""),"БУ Г. ОМСКА ""УДХБ"" 144-СТР от 01.07.2022")</f>
        <v>БУ Г. ОМСКА "УДХБ" 144-СТР от 01.07.2022</v>
      </c>
      <c r="D49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0" t="str">
        <f ca="1">IFERROR(__xludf.DUMMYFUNCTION("""COMPUTED_VALUE"""),"Новый")</f>
        <v>Новый</v>
      </c>
      <c r="G4980" s="68"/>
      <c r="K4980" s="68"/>
    </row>
    <row r="4981" spans="1:11" ht="12.75">
      <c r="A4981" s="69">
        <f ca="1">IFERROR(__xludf.DUMMYFUNCTION("""COMPUTED_VALUE"""),105238)</f>
        <v>105238</v>
      </c>
      <c r="B4981" s="4">
        <f ca="1">IFERROR(__xludf.DUMMYFUNCTION("""COMPUTED_VALUE"""),44799)</f>
        <v>44799</v>
      </c>
      <c r="C4981" t="str">
        <f ca="1">IFERROR(__xludf.DUMMYFUNCTION("""COMPUTED_VALUE"""),"БУ Г. ОМСКА ""УДХБ"" 144-СТР от 01.07.2022")</f>
        <v>БУ Г. ОМСКА "УДХБ" 144-СТР от 01.07.2022</v>
      </c>
      <c r="D49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1" t="str">
        <f ca="1">IFERROR(__xludf.DUMMYFUNCTION("""COMPUTED_VALUE"""),"Новый")</f>
        <v>Новый</v>
      </c>
      <c r="G4981" s="68"/>
      <c r="K4981" s="68"/>
    </row>
    <row r="4982" spans="1:11" ht="12.75">
      <c r="A4982" s="69">
        <f ca="1">IFERROR(__xludf.DUMMYFUNCTION("""COMPUTED_VALUE"""),105240)</f>
        <v>105240</v>
      </c>
      <c r="B4982" s="4">
        <f ca="1">IFERROR(__xludf.DUMMYFUNCTION("""COMPUTED_VALUE"""),44799)</f>
        <v>44799</v>
      </c>
      <c r="C4982" t="str">
        <f ca="1">IFERROR(__xludf.DUMMYFUNCTION("""COMPUTED_VALUE"""),"БУ Г. ОМСКА ""УДХБ"" 144-СТР от 01.07.2022")</f>
        <v>БУ Г. ОМСКА "УДХБ" 144-СТР от 01.07.2022</v>
      </c>
      <c r="D49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2" t="str">
        <f ca="1">IFERROR(__xludf.DUMMYFUNCTION("""COMPUTED_VALUE"""),"Новый")</f>
        <v>Новый</v>
      </c>
      <c r="G4982" s="68"/>
      <c r="K4982" s="68"/>
    </row>
    <row r="4983" spans="1:11" ht="12.75">
      <c r="A4983" s="69">
        <f ca="1">IFERROR(__xludf.DUMMYFUNCTION("""COMPUTED_VALUE"""),105241)</f>
        <v>105241</v>
      </c>
      <c r="B4983" s="4">
        <f ca="1">IFERROR(__xludf.DUMMYFUNCTION("""COMPUTED_VALUE"""),44799)</f>
        <v>44799</v>
      </c>
      <c r="C4983" t="str">
        <f ca="1">IFERROR(__xludf.DUMMYFUNCTION("""COMPUTED_VALUE"""),"БУ Г. ОМСКА ""УДХБ"" 144-СТР от 01.07.2022")</f>
        <v>БУ Г. ОМСКА "УДХБ" 144-СТР от 01.07.2022</v>
      </c>
      <c r="D49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3" t="str">
        <f ca="1">IFERROR(__xludf.DUMMYFUNCTION("""COMPUTED_VALUE"""),"Новый")</f>
        <v>Новый</v>
      </c>
      <c r="G4983" s="68"/>
      <c r="K4983" s="68"/>
    </row>
    <row r="4984" spans="1:11" ht="12.75">
      <c r="A4984" s="69">
        <f ca="1">IFERROR(__xludf.DUMMYFUNCTION("""COMPUTED_VALUE"""),105242)</f>
        <v>105242</v>
      </c>
      <c r="B4984" s="4">
        <f ca="1">IFERROR(__xludf.DUMMYFUNCTION("""COMPUTED_VALUE"""),44799)</f>
        <v>44799</v>
      </c>
      <c r="C4984" t="str">
        <f ca="1">IFERROR(__xludf.DUMMYFUNCTION("""COMPUTED_VALUE"""),"БУ Г. ОМСКА ""УДХБ"" 144-СТР от 01.07.2022")</f>
        <v>БУ Г. ОМСКА "УДХБ" 144-СТР от 01.07.2022</v>
      </c>
      <c r="D49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4" t="str">
        <f ca="1">IFERROR(__xludf.DUMMYFUNCTION("""COMPUTED_VALUE"""),"Новый")</f>
        <v>Новый</v>
      </c>
      <c r="G4984" s="68"/>
      <c r="K4984" s="68"/>
    </row>
    <row r="4985" spans="1:11" ht="12.75">
      <c r="A4985" s="69">
        <f ca="1">IFERROR(__xludf.DUMMYFUNCTION("""COMPUTED_VALUE"""),105243)</f>
        <v>105243</v>
      </c>
      <c r="B4985" s="4">
        <f ca="1">IFERROR(__xludf.DUMMYFUNCTION("""COMPUTED_VALUE"""),44799)</f>
        <v>44799</v>
      </c>
      <c r="C4985" t="str">
        <f ca="1">IFERROR(__xludf.DUMMYFUNCTION("""COMPUTED_VALUE"""),"БУ Г. ОМСКА ""УДХБ"" 144-СТР от 01.07.2022")</f>
        <v>БУ Г. ОМСКА "УДХБ" 144-СТР от 01.07.2022</v>
      </c>
      <c r="D49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5" t="str">
        <f ca="1">IFERROR(__xludf.DUMMYFUNCTION("""COMPUTED_VALUE"""),"Новый")</f>
        <v>Новый</v>
      </c>
      <c r="G4985" s="68"/>
      <c r="K4985" s="68"/>
    </row>
    <row r="4986" spans="1:11" ht="12.75">
      <c r="A4986" s="69">
        <f ca="1">IFERROR(__xludf.DUMMYFUNCTION("""COMPUTED_VALUE"""),105244)</f>
        <v>105244</v>
      </c>
      <c r="B4986" s="4">
        <f ca="1">IFERROR(__xludf.DUMMYFUNCTION("""COMPUTED_VALUE"""),44799)</f>
        <v>44799</v>
      </c>
      <c r="C4986" t="str">
        <f ca="1">IFERROR(__xludf.DUMMYFUNCTION("""COMPUTED_VALUE"""),"БУ Г. ОМСКА ""УДХБ"" 144-СТР от 01.07.2022")</f>
        <v>БУ Г. ОМСКА "УДХБ" 144-СТР от 01.07.2022</v>
      </c>
      <c r="D49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6" t="str">
        <f ca="1">IFERROR(__xludf.DUMMYFUNCTION("""COMPUTED_VALUE"""),"Новый")</f>
        <v>Новый</v>
      </c>
      <c r="G4986" s="68"/>
      <c r="K4986" s="68"/>
    </row>
    <row r="4987" spans="1:11" ht="12.75">
      <c r="A4987" s="69">
        <f ca="1">IFERROR(__xludf.DUMMYFUNCTION("""COMPUTED_VALUE"""),105245)</f>
        <v>105245</v>
      </c>
      <c r="B4987" s="4">
        <f ca="1">IFERROR(__xludf.DUMMYFUNCTION("""COMPUTED_VALUE"""),44799)</f>
        <v>44799</v>
      </c>
      <c r="C4987" t="str">
        <f ca="1">IFERROR(__xludf.DUMMYFUNCTION("""COMPUTED_VALUE"""),"БУ Г. ОМСКА ""УДХБ"" 144-СТР от 01.07.2022")</f>
        <v>БУ Г. ОМСКА "УДХБ" 144-СТР от 01.07.2022</v>
      </c>
      <c r="D49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7" t="str">
        <f ca="1">IFERROR(__xludf.DUMMYFUNCTION("""COMPUTED_VALUE"""),"Новый")</f>
        <v>Новый</v>
      </c>
      <c r="G4987" s="68"/>
      <c r="K4987" s="68"/>
    </row>
    <row r="4988" spans="1:11" ht="12.75">
      <c r="A4988" s="69">
        <f ca="1">IFERROR(__xludf.DUMMYFUNCTION("""COMPUTED_VALUE"""),105246)</f>
        <v>105246</v>
      </c>
      <c r="B4988" s="4">
        <f ca="1">IFERROR(__xludf.DUMMYFUNCTION("""COMPUTED_VALUE"""),44799)</f>
        <v>44799</v>
      </c>
      <c r="C4988" t="str">
        <f ca="1">IFERROR(__xludf.DUMMYFUNCTION("""COMPUTED_VALUE"""),"БУ Г. ОМСКА ""УДХБ"" 144-СТР от 01.07.2022")</f>
        <v>БУ Г. ОМСКА "УДХБ" 144-СТР от 01.07.2022</v>
      </c>
      <c r="D49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8" t="str">
        <f ca="1">IFERROR(__xludf.DUMMYFUNCTION("""COMPUTED_VALUE"""),"Новый")</f>
        <v>Новый</v>
      </c>
      <c r="G4988" s="68"/>
      <c r="K4988" s="68"/>
    </row>
    <row r="4989" spans="1:11" ht="12.75">
      <c r="A4989" s="69">
        <f ca="1">IFERROR(__xludf.DUMMYFUNCTION("""COMPUTED_VALUE"""),105247)</f>
        <v>105247</v>
      </c>
      <c r="B4989" s="4">
        <f ca="1">IFERROR(__xludf.DUMMYFUNCTION("""COMPUTED_VALUE"""),44799)</f>
        <v>44799</v>
      </c>
      <c r="C4989" t="str">
        <f ca="1">IFERROR(__xludf.DUMMYFUNCTION("""COMPUTED_VALUE"""),"БУ Г. ОМСКА ""УДХБ"" 144-СТР от 01.07.2022")</f>
        <v>БУ Г. ОМСКА "УДХБ" 144-СТР от 01.07.2022</v>
      </c>
      <c r="D49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89" t="str">
        <f ca="1">IFERROR(__xludf.DUMMYFUNCTION("""COMPUTED_VALUE"""),"Новый")</f>
        <v>Новый</v>
      </c>
      <c r="G4989" s="68"/>
      <c r="K4989" s="68"/>
    </row>
    <row r="4990" spans="1:11" ht="12.75">
      <c r="A4990" s="69">
        <f ca="1">IFERROR(__xludf.DUMMYFUNCTION("""COMPUTED_VALUE"""),105248)</f>
        <v>105248</v>
      </c>
      <c r="B4990" s="4">
        <f ca="1">IFERROR(__xludf.DUMMYFUNCTION("""COMPUTED_VALUE"""),44799)</f>
        <v>44799</v>
      </c>
      <c r="C4990" t="str">
        <f ca="1">IFERROR(__xludf.DUMMYFUNCTION("""COMPUTED_VALUE"""),"БУ Г. ОМСКА ""УДХБ"" 144-СТР от 01.07.2022")</f>
        <v>БУ Г. ОМСКА "УДХБ" 144-СТР от 01.07.2022</v>
      </c>
      <c r="D49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0" t="str">
        <f ca="1">IFERROR(__xludf.DUMMYFUNCTION("""COMPUTED_VALUE"""),"Новый")</f>
        <v>Новый</v>
      </c>
      <c r="G4990" s="68"/>
      <c r="K4990" s="68"/>
    </row>
    <row r="4991" spans="1:11" ht="12.75">
      <c r="A4991" s="69">
        <f ca="1">IFERROR(__xludf.DUMMYFUNCTION("""COMPUTED_VALUE"""),105249)</f>
        <v>105249</v>
      </c>
      <c r="B4991" s="4">
        <f ca="1">IFERROR(__xludf.DUMMYFUNCTION("""COMPUTED_VALUE"""),44799)</f>
        <v>44799</v>
      </c>
      <c r="C4991" t="str">
        <f ca="1">IFERROR(__xludf.DUMMYFUNCTION("""COMPUTED_VALUE"""),"БУ Г. ОМСКА ""УДХБ"" 144-СТР от 01.07.2022")</f>
        <v>БУ Г. ОМСКА "УДХБ" 144-СТР от 01.07.2022</v>
      </c>
      <c r="D49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1" t="str">
        <f ca="1">IFERROR(__xludf.DUMMYFUNCTION("""COMPUTED_VALUE"""),"Новый")</f>
        <v>Новый</v>
      </c>
      <c r="G4991" s="68"/>
      <c r="K4991" s="68"/>
    </row>
    <row r="4992" spans="1:11" ht="12.75">
      <c r="A4992" s="69">
        <f ca="1">IFERROR(__xludf.DUMMYFUNCTION("""COMPUTED_VALUE"""),105260)</f>
        <v>105260</v>
      </c>
      <c r="B4992" s="4">
        <f ca="1">IFERROR(__xludf.DUMMYFUNCTION("""COMPUTED_VALUE"""),44799)</f>
        <v>44799</v>
      </c>
      <c r="C4992" t="str">
        <f ca="1">IFERROR(__xludf.DUMMYFUNCTION("""COMPUTED_VALUE"""),"БУ Г. ОМСКА ""УДХБ"" 144-СТР от 01.07.2022")</f>
        <v>БУ Г. ОМСКА "УДХБ" 144-СТР от 01.07.2022</v>
      </c>
      <c r="D49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2" t="str">
        <f ca="1">IFERROR(__xludf.DUMMYFUNCTION("""COMPUTED_VALUE"""),"Новый")</f>
        <v>Новый</v>
      </c>
      <c r="G4992" s="68"/>
      <c r="K4992" s="68"/>
    </row>
    <row r="4993" spans="1:11" ht="12.75">
      <c r="A4993" s="69">
        <f ca="1">IFERROR(__xludf.DUMMYFUNCTION("""COMPUTED_VALUE"""),105261)</f>
        <v>105261</v>
      </c>
      <c r="B4993" s="4">
        <f ca="1">IFERROR(__xludf.DUMMYFUNCTION("""COMPUTED_VALUE"""),44799)</f>
        <v>44799</v>
      </c>
      <c r="C4993" t="str">
        <f ca="1">IFERROR(__xludf.DUMMYFUNCTION("""COMPUTED_VALUE"""),"БУ Г. ОМСКА ""УДХБ"" 144-СТР от 01.07.2022")</f>
        <v>БУ Г. ОМСКА "УДХБ" 144-СТР от 01.07.2022</v>
      </c>
      <c r="D49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3" t="str">
        <f ca="1">IFERROR(__xludf.DUMMYFUNCTION("""COMPUTED_VALUE"""),"Новый")</f>
        <v>Новый</v>
      </c>
      <c r="G4993" s="68"/>
      <c r="K4993" s="68"/>
    </row>
    <row r="4994" spans="1:11" ht="12.75">
      <c r="A4994" s="69">
        <f ca="1">IFERROR(__xludf.DUMMYFUNCTION("""COMPUTED_VALUE"""),105262)</f>
        <v>105262</v>
      </c>
      <c r="B4994" s="4">
        <f ca="1">IFERROR(__xludf.DUMMYFUNCTION("""COMPUTED_VALUE"""),44799)</f>
        <v>44799</v>
      </c>
      <c r="C4994" t="str">
        <f ca="1">IFERROR(__xludf.DUMMYFUNCTION("""COMPUTED_VALUE"""),"БУ Г. ОМСКА ""УДХБ"" 144-СТР от 01.07.2022")</f>
        <v>БУ Г. ОМСКА "УДХБ" 144-СТР от 01.07.2022</v>
      </c>
      <c r="D49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4" t="str">
        <f ca="1">IFERROR(__xludf.DUMMYFUNCTION("""COMPUTED_VALUE"""),"Новый")</f>
        <v>Новый</v>
      </c>
      <c r="G4994" s="68"/>
      <c r="K4994" s="68"/>
    </row>
    <row r="4995" spans="1:11" ht="12.75">
      <c r="A4995" s="69">
        <f ca="1">IFERROR(__xludf.DUMMYFUNCTION("""COMPUTED_VALUE"""),105263)</f>
        <v>105263</v>
      </c>
      <c r="B4995" s="4">
        <f ca="1">IFERROR(__xludf.DUMMYFUNCTION("""COMPUTED_VALUE"""),44799)</f>
        <v>44799</v>
      </c>
      <c r="C4995" t="str">
        <f ca="1">IFERROR(__xludf.DUMMYFUNCTION("""COMPUTED_VALUE"""),"БУ Г. ОМСКА ""УДХБ"" 144-СТР от 01.07.2022")</f>
        <v>БУ Г. ОМСКА "УДХБ" 144-СТР от 01.07.2022</v>
      </c>
      <c r="D49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5" t="str">
        <f ca="1">IFERROR(__xludf.DUMMYFUNCTION("""COMPUTED_VALUE"""),"Новый")</f>
        <v>Новый</v>
      </c>
      <c r="G4995" s="68"/>
      <c r="K4995" s="68"/>
    </row>
    <row r="4996" spans="1:11" ht="12.75">
      <c r="A4996" s="69">
        <f ca="1">IFERROR(__xludf.DUMMYFUNCTION("""COMPUTED_VALUE"""),105264)</f>
        <v>105264</v>
      </c>
      <c r="B4996" s="4">
        <f ca="1">IFERROR(__xludf.DUMMYFUNCTION("""COMPUTED_VALUE"""),44799)</f>
        <v>44799</v>
      </c>
      <c r="C4996" t="str">
        <f ca="1">IFERROR(__xludf.DUMMYFUNCTION("""COMPUTED_VALUE"""),"БУ Г. ОМСКА ""УДХБ"" 144-СТР от 01.07.2022")</f>
        <v>БУ Г. ОМСКА "УДХБ" 144-СТР от 01.07.2022</v>
      </c>
      <c r="D49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6" t="str">
        <f ca="1">IFERROR(__xludf.DUMMYFUNCTION("""COMPUTED_VALUE"""),"Новый")</f>
        <v>Новый</v>
      </c>
      <c r="G4996" s="68"/>
      <c r="K4996" s="68"/>
    </row>
    <row r="4997" spans="1:11" ht="12.75">
      <c r="A4997" s="69">
        <f ca="1">IFERROR(__xludf.DUMMYFUNCTION("""COMPUTED_VALUE"""),105265)</f>
        <v>105265</v>
      </c>
      <c r="B4997" s="4">
        <f ca="1">IFERROR(__xludf.DUMMYFUNCTION("""COMPUTED_VALUE"""),44799)</f>
        <v>44799</v>
      </c>
      <c r="C4997" t="str">
        <f ca="1">IFERROR(__xludf.DUMMYFUNCTION("""COMPUTED_VALUE"""),"БУ Г. ОМСКА ""УДХБ"" 144-СТР от 01.07.2022")</f>
        <v>БУ Г. ОМСКА "УДХБ" 144-СТР от 01.07.2022</v>
      </c>
      <c r="D49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7" t="str">
        <f ca="1">IFERROR(__xludf.DUMMYFUNCTION("""COMPUTED_VALUE"""),"Новый")</f>
        <v>Новый</v>
      </c>
      <c r="G4997" s="68"/>
      <c r="K4997" s="68"/>
    </row>
    <row r="4998" spans="1:11" ht="12.75">
      <c r="A4998" s="69">
        <f ca="1">IFERROR(__xludf.DUMMYFUNCTION("""COMPUTED_VALUE"""),105266)</f>
        <v>105266</v>
      </c>
      <c r="B4998" s="4">
        <f ca="1">IFERROR(__xludf.DUMMYFUNCTION("""COMPUTED_VALUE"""),44799)</f>
        <v>44799</v>
      </c>
      <c r="C4998" t="str">
        <f ca="1">IFERROR(__xludf.DUMMYFUNCTION("""COMPUTED_VALUE"""),"БУ Г. ОМСКА ""УДХБ"" 144-СТР от 01.07.2022")</f>
        <v>БУ Г. ОМСКА "УДХБ" 144-СТР от 01.07.2022</v>
      </c>
      <c r="D49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8" t="str">
        <f ca="1">IFERROR(__xludf.DUMMYFUNCTION("""COMPUTED_VALUE"""),"Новый")</f>
        <v>Новый</v>
      </c>
      <c r="G4998" s="68"/>
      <c r="K4998" s="68"/>
    </row>
    <row r="4999" spans="1:11" ht="12.75">
      <c r="A4999" s="69">
        <f ca="1">IFERROR(__xludf.DUMMYFUNCTION("""COMPUTED_VALUE"""),105267)</f>
        <v>105267</v>
      </c>
      <c r="B4999" s="4">
        <f ca="1">IFERROR(__xludf.DUMMYFUNCTION("""COMPUTED_VALUE"""),44799)</f>
        <v>44799</v>
      </c>
      <c r="C4999" t="str">
        <f ca="1">IFERROR(__xludf.DUMMYFUNCTION("""COMPUTED_VALUE"""),"БУ Г. ОМСКА ""УДХБ"" 144-СТР от 01.07.2022")</f>
        <v>БУ Г. ОМСКА "УДХБ" 144-СТР от 01.07.2022</v>
      </c>
      <c r="D49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4999" t="str">
        <f ca="1">IFERROR(__xludf.DUMMYFUNCTION("""COMPUTED_VALUE"""),"Новый")</f>
        <v>Новый</v>
      </c>
      <c r="G4999" s="68"/>
      <c r="K4999" s="68"/>
    </row>
    <row r="5000" spans="1:11" ht="12.75">
      <c r="A5000" s="69">
        <f ca="1">IFERROR(__xludf.DUMMYFUNCTION("""COMPUTED_VALUE"""),105268)</f>
        <v>105268</v>
      </c>
      <c r="B5000" s="4">
        <f ca="1">IFERROR(__xludf.DUMMYFUNCTION("""COMPUTED_VALUE"""),44799)</f>
        <v>44799</v>
      </c>
      <c r="C5000" t="str">
        <f ca="1">IFERROR(__xludf.DUMMYFUNCTION("""COMPUTED_VALUE"""),"БУ Г. ОМСКА ""УДХБ"" 144-СТР от 01.07.2022")</f>
        <v>БУ Г. ОМСКА "УДХБ" 144-СТР от 01.07.2022</v>
      </c>
      <c r="D50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0" t="str">
        <f ca="1">IFERROR(__xludf.DUMMYFUNCTION("""COMPUTED_VALUE"""),"Новый")</f>
        <v>Новый</v>
      </c>
      <c r="G5000" s="68"/>
      <c r="K5000" s="68"/>
    </row>
    <row r="5001" spans="1:11" ht="12.75">
      <c r="A5001" s="69">
        <f ca="1">IFERROR(__xludf.DUMMYFUNCTION("""COMPUTED_VALUE"""),105269)</f>
        <v>105269</v>
      </c>
      <c r="B5001" s="4">
        <f ca="1">IFERROR(__xludf.DUMMYFUNCTION("""COMPUTED_VALUE"""),44799)</f>
        <v>44799</v>
      </c>
      <c r="C5001" t="str">
        <f ca="1">IFERROR(__xludf.DUMMYFUNCTION("""COMPUTED_VALUE"""),"БУ Г. ОМСКА ""УДХБ"" 144-СТР от 01.07.2022")</f>
        <v>БУ Г. ОМСКА "УДХБ" 144-СТР от 01.07.2022</v>
      </c>
      <c r="D50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1" t="str">
        <f ca="1">IFERROR(__xludf.DUMMYFUNCTION("""COMPUTED_VALUE"""),"Новый")</f>
        <v>Новый</v>
      </c>
      <c r="G5001" s="68"/>
      <c r="K5001" s="68"/>
    </row>
    <row r="5002" spans="1:11" ht="12.75">
      <c r="A5002" s="69">
        <f ca="1">IFERROR(__xludf.DUMMYFUNCTION("""COMPUTED_VALUE"""),105270)</f>
        <v>105270</v>
      </c>
      <c r="B5002" s="4">
        <f ca="1">IFERROR(__xludf.DUMMYFUNCTION("""COMPUTED_VALUE"""),44799)</f>
        <v>44799</v>
      </c>
      <c r="C5002" t="str">
        <f ca="1">IFERROR(__xludf.DUMMYFUNCTION("""COMPUTED_VALUE"""),"БУ Г. ОМСКА ""УДХБ"" 144-СТР от 01.07.2022")</f>
        <v>БУ Г. ОМСКА "УДХБ" 144-СТР от 01.07.2022</v>
      </c>
      <c r="D50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2" t="str">
        <f ca="1">IFERROR(__xludf.DUMMYFUNCTION("""COMPUTED_VALUE"""),"Новый")</f>
        <v>Новый</v>
      </c>
      <c r="G5002" s="68"/>
      <c r="K5002" s="68"/>
    </row>
    <row r="5003" spans="1:11" ht="12.75">
      <c r="A5003" s="69">
        <f ca="1">IFERROR(__xludf.DUMMYFUNCTION("""COMPUTED_VALUE"""),105271)</f>
        <v>105271</v>
      </c>
      <c r="B5003" s="4">
        <f ca="1">IFERROR(__xludf.DUMMYFUNCTION("""COMPUTED_VALUE"""),44799)</f>
        <v>44799</v>
      </c>
      <c r="C5003" t="str">
        <f ca="1">IFERROR(__xludf.DUMMYFUNCTION("""COMPUTED_VALUE"""),"БУ Г. ОМСКА ""УДХБ"" 144-СТР от 01.07.2022")</f>
        <v>БУ Г. ОМСКА "УДХБ" 144-СТР от 01.07.2022</v>
      </c>
      <c r="D50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3" t="str">
        <f ca="1">IFERROR(__xludf.DUMMYFUNCTION("""COMPUTED_VALUE"""),"Новый")</f>
        <v>Новый</v>
      </c>
      <c r="G5003" s="68"/>
      <c r="K5003" s="68"/>
    </row>
    <row r="5004" spans="1:11" ht="12.75">
      <c r="A5004" s="69">
        <f ca="1">IFERROR(__xludf.DUMMYFUNCTION("""COMPUTED_VALUE"""),105272)</f>
        <v>105272</v>
      </c>
      <c r="B5004" s="4">
        <f ca="1">IFERROR(__xludf.DUMMYFUNCTION("""COMPUTED_VALUE"""),44799)</f>
        <v>44799</v>
      </c>
      <c r="C5004" t="str">
        <f ca="1">IFERROR(__xludf.DUMMYFUNCTION("""COMPUTED_VALUE"""),"БУ Г. ОМСКА ""УДХБ"" 144-СТР от 01.07.2022")</f>
        <v>БУ Г. ОМСКА "УДХБ" 144-СТР от 01.07.2022</v>
      </c>
      <c r="D50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4" t="str">
        <f ca="1">IFERROR(__xludf.DUMMYFUNCTION("""COMPUTED_VALUE"""),"Новый")</f>
        <v>Новый</v>
      </c>
      <c r="G5004" s="68"/>
      <c r="K5004" s="68"/>
    </row>
    <row r="5005" spans="1:11" ht="12.75">
      <c r="A5005" s="69">
        <f ca="1">IFERROR(__xludf.DUMMYFUNCTION("""COMPUTED_VALUE"""),105273)</f>
        <v>105273</v>
      </c>
      <c r="B5005" s="4">
        <f ca="1">IFERROR(__xludf.DUMMYFUNCTION("""COMPUTED_VALUE"""),44799)</f>
        <v>44799</v>
      </c>
      <c r="C5005" t="str">
        <f ca="1">IFERROR(__xludf.DUMMYFUNCTION("""COMPUTED_VALUE"""),"БУ Г. ОМСКА ""УДХБ"" 144-СТР от 01.07.2022")</f>
        <v>БУ Г. ОМСКА "УДХБ" 144-СТР от 01.07.2022</v>
      </c>
      <c r="D50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5" t="str">
        <f ca="1">IFERROR(__xludf.DUMMYFUNCTION("""COMPUTED_VALUE"""),"Новый")</f>
        <v>Новый</v>
      </c>
      <c r="G5005" s="68"/>
      <c r="K5005" s="68"/>
    </row>
    <row r="5006" spans="1:11" ht="12.75">
      <c r="A5006" s="69">
        <f ca="1">IFERROR(__xludf.DUMMYFUNCTION("""COMPUTED_VALUE"""),105274)</f>
        <v>105274</v>
      </c>
      <c r="B5006" s="4">
        <f ca="1">IFERROR(__xludf.DUMMYFUNCTION("""COMPUTED_VALUE"""),44799)</f>
        <v>44799</v>
      </c>
      <c r="C5006" t="str">
        <f ca="1">IFERROR(__xludf.DUMMYFUNCTION("""COMPUTED_VALUE"""),"БУ Г. ОМСКА ""УДХБ"" 144-СТР от 01.07.2022")</f>
        <v>БУ Г. ОМСКА "УДХБ" 144-СТР от 01.07.2022</v>
      </c>
      <c r="D50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6" t="str">
        <f ca="1">IFERROR(__xludf.DUMMYFUNCTION("""COMPUTED_VALUE"""),"Новый")</f>
        <v>Новый</v>
      </c>
      <c r="G5006" s="68"/>
      <c r="K5006" s="68"/>
    </row>
    <row r="5007" spans="1:11" ht="12.75">
      <c r="A5007" s="69">
        <f ca="1">IFERROR(__xludf.DUMMYFUNCTION("""COMPUTED_VALUE"""),105275)</f>
        <v>105275</v>
      </c>
      <c r="B5007" s="4">
        <f ca="1">IFERROR(__xludf.DUMMYFUNCTION("""COMPUTED_VALUE"""),44799)</f>
        <v>44799</v>
      </c>
      <c r="C5007" t="str">
        <f ca="1">IFERROR(__xludf.DUMMYFUNCTION("""COMPUTED_VALUE"""),"БУ Г. ОМСКА ""УДХБ"" 144-СТР от 01.07.2022")</f>
        <v>БУ Г. ОМСКА "УДХБ" 144-СТР от 01.07.2022</v>
      </c>
      <c r="D50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7" t="str">
        <f ca="1">IFERROR(__xludf.DUMMYFUNCTION("""COMPUTED_VALUE"""),"Новый")</f>
        <v>Новый</v>
      </c>
      <c r="G5007" s="68"/>
      <c r="K5007" s="68"/>
    </row>
    <row r="5008" spans="1:11" ht="12.75">
      <c r="A5008" s="69">
        <f ca="1">IFERROR(__xludf.DUMMYFUNCTION("""COMPUTED_VALUE"""),105276)</f>
        <v>105276</v>
      </c>
      <c r="B5008" s="4">
        <f ca="1">IFERROR(__xludf.DUMMYFUNCTION("""COMPUTED_VALUE"""),44799)</f>
        <v>44799</v>
      </c>
      <c r="C5008" t="str">
        <f ca="1">IFERROR(__xludf.DUMMYFUNCTION("""COMPUTED_VALUE"""),"БУ Г. ОМСКА ""УДХБ"" 144-СТР от 01.07.2022")</f>
        <v>БУ Г. ОМСКА "УДХБ" 144-СТР от 01.07.2022</v>
      </c>
      <c r="D50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8" t="str">
        <f ca="1">IFERROR(__xludf.DUMMYFUNCTION("""COMPUTED_VALUE"""),"Новый")</f>
        <v>Новый</v>
      </c>
      <c r="G5008" s="68"/>
      <c r="K5008" s="68"/>
    </row>
    <row r="5009" spans="1:11" ht="12.75">
      <c r="A5009" s="69">
        <f ca="1">IFERROR(__xludf.DUMMYFUNCTION("""COMPUTED_VALUE"""),105277)</f>
        <v>105277</v>
      </c>
      <c r="B5009" s="4">
        <f ca="1">IFERROR(__xludf.DUMMYFUNCTION("""COMPUTED_VALUE"""),44799)</f>
        <v>44799</v>
      </c>
      <c r="C5009" t="str">
        <f ca="1">IFERROR(__xludf.DUMMYFUNCTION("""COMPUTED_VALUE"""),"БУ Г. ОМСКА ""УДХБ"" 144-СТР от 01.07.2022")</f>
        <v>БУ Г. ОМСКА "УДХБ" 144-СТР от 01.07.2022</v>
      </c>
      <c r="D50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09" t="str">
        <f ca="1">IFERROR(__xludf.DUMMYFUNCTION("""COMPUTED_VALUE"""),"Новый")</f>
        <v>Новый</v>
      </c>
      <c r="G5009" s="68"/>
      <c r="K5009" s="68"/>
    </row>
    <row r="5010" spans="1:11" ht="12.75">
      <c r="A5010" s="69">
        <f ca="1">IFERROR(__xludf.DUMMYFUNCTION("""COMPUTED_VALUE"""),105278)</f>
        <v>105278</v>
      </c>
      <c r="B5010" s="4">
        <f ca="1">IFERROR(__xludf.DUMMYFUNCTION("""COMPUTED_VALUE"""),44799)</f>
        <v>44799</v>
      </c>
      <c r="C5010" t="str">
        <f ca="1">IFERROR(__xludf.DUMMYFUNCTION("""COMPUTED_VALUE"""),"БУ Г. ОМСКА ""УДХБ"" 144-СТР от 01.07.2022")</f>
        <v>БУ Г. ОМСКА "УДХБ" 144-СТР от 01.07.2022</v>
      </c>
      <c r="D50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0" t="str">
        <f ca="1">IFERROR(__xludf.DUMMYFUNCTION("""COMPUTED_VALUE"""),"Новый")</f>
        <v>Новый</v>
      </c>
      <c r="G5010" s="68"/>
      <c r="K5010" s="68"/>
    </row>
    <row r="5011" spans="1:11" ht="12.75">
      <c r="A5011" s="69">
        <f ca="1">IFERROR(__xludf.DUMMYFUNCTION("""COMPUTED_VALUE"""),105279)</f>
        <v>105279</v>
      </c>
      <c r="B5011" s="4">
        <f ca="1">IFERROR(__xludf.DUMMYFUNCTION("""COMPUTED_VALUE"""),44799)</f>
        <v>44799</v>
      </c>
      <c r="C5011" t="str">
        <f ca="1">IFERROR(__xludf.DUMMYFUNCTION("""COMPUTED_VALUE"""),"БУ Г. ОМСКА ""УДХБ"" 144-СТР от 01.07.2022")</f>
        <v>БУ Г. ОМСКА "УДХБ" 144-СТР от 01.07.2022</v>
      </c>
      <c r="D50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1" t="str">
        <f ca="1">IFERROR(__xludf.DUMMYFUNCTION("""COMPUTED_VALUE"""),"Новый")</f>
        <v>Новый</v>
      </c>
      <c r="G5011" s="68"/>
      <c r="K5011" s="68"/>
    </row>
    <row r="5012" spans="1:11" ht="12.75">
      <c r="A5012" s="69">
        <f ca="1">IFERROR(__xludf.DUMMYFUNCTION("""COMPUTED_VALUE"""),105280)</f>
        <v>105280</v>
      </c>
      <c r="B5012" s="4">
        <f ca="1">IFERROR(__xludf.DUMMYFUNCTION("""COMPUTED_VALUE"""),44799)</f>
        <v>44799</v>
      </c>
      <c r="C5012" t="str">
        <f ca="1">IFERROR(__xludf.DUMMYFUNCTION("""COMPUTED_VALUE"""),"БУ Г. ОМСКА ""УДХБ"" 144-СТР от 01.07.2022")</f>
        <v>БУ Г. ОМСКА "УДХБ" 144-СТР от 01.07.2022</v>
      </c>
      <c r="D50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2" t="str">
        <f ca="1">IFERROR(__xludf.DUMMYFUNCTION("""COMPUTED_VALUE"""),"Новый")</f>
        <v>Новый</v>
      </c>
      <c r="G5012" s="68"/>
      <c r="K5012" s="68"/>
    </row>
    <row r="5013" spans="1:11" ht="12.75">
      <c r="A5013" s="69">
        <f ca="1">IFERROR(__xludf.DUMMYFUNCTION("""COMPUTED_VALUE"""),105281)</f>
        <v>105281</v>
      </c>
      <c r="B5013" s="4">
        <f ca="1">IFERROR(__xludf.DUMMYFUNCTION("""COMPUTED_VALUE"""),44799)</f>
        <v>44799</v>
      </c>
      <c r="C5013" t="str">
        <f ca="1">IFERROR(__xludf.DUMMYFUNCTION("""COMPUTED_VALUE"""),"БУ Г. ОМСКА ""УДХБ"" 144-СТР от 01.07.2022")</f>
        <v>БУ Г. ОМСКА "УДХБ" 144-СТР от 01.07.2022</v>
      </c>
      <c r="D50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3" t="str">
        <f ca="1">IFERROR(__xludf.DUMMYFUNCTION("""COMPUTED_VALUE"""),"Новый")</f>
        <v>Новый</v>
      </c>
      <c r="G5013" s="68"/>
      <c r="K5013" s="68"/>
    </row>
    <row r="5014" spans="1:11" ht="12.75">
      <c r="A5014" s="69">
        <f ca="1">IFERROR(__xludf.DUMMYFUNCTION("""COMPUTED_VALUE"""),105282)</f>
        <v>105282</v>
      </c>
      <c r="B5014" s="4">
        <f ca="1">IFERROR(__xludf.DUMMYFUNCTION("""COMPUTED_VALUE"""),44799)</f>
        <v>44799</v>
      </c>
      <c r="C5014" t="str">
        <f ca="1">IFERROR(__xludf.DUMMYFUNCTION("""COMPUTED_VALUE"""),"БУ Г. ОМСКА ""УДХБ"" 144-СТР от 01.07.2022")</f>
        <v>БУ Г. ОМСКА "УДХБ" 144-СТР от 01.07.2022</v>
      </c>
      <c r="D50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4" t="str">
        <f ca="1">IFERROR(__xludf.DUMMYFUNCTION("""COMPUTED_VALUE"""),"Новый")</f>
        <v>Новый</v>
      </c>
      <c r="G5014" s="68"/>
      <c r="K5014" s="68"/>
    </row>
    <row r="5015" spans="1:11" ht="12.75">
      <c r="A5015" s="69">
        <f ca="1">IFERROR(__xludf.DUMMYFUNCTION("""COMPUTED_VALUE"""),105283)</f>
        <v>105283</v>
      </c>
      <c r="B5015" s="4">
        <f ca="1">IFERROR(__xludf.DUMMYFUNCTION("""COMPUTED_VALUE"""),44799)</f>
        <v>44799</v>
      </c>
      <c r="C5015" t="str">
        <f ca="1">IFERROR(__xludf.DUMMYFUNCTION("""COMPUTED_VALUE"""),"БУ Г. ОМСКА ""УДХБ"" 144-СТР от 01.07.2022")</f>
        <v>БУ Г. ОМСКА "УДХБ" 144-СТР от 01.07.2022</v>
      </c>
      <c r="D50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5" t="str">
        <f ca="1">IFERROR(__xludf.DUMMYFUNCTION("""COMPUTED_VALUE"""),"Новый")</f>
        <v>Новый</v>
      </c>
      <c r="G5015" s="68"/>
      <c r="K5015" s="68"/>
    </row>
    <row r="5016" spans="1:11" ht="12.75">
      <c r="A5016" s="69">
        <f ca="1">IFERROR(__xludf.DUMMYFUNCTION("""COMPUTED_VALUE"""),105284)</f>
        <v>105284</v>
      </c>
      <c r="B5016" s="4">
        <f ca="1">IFERROR(__xludf.DUMMYFUNCTION("""COMPUTED_VALUE"""),44799)</f>
        <v>44799</v>
      </c>
      <c r="C5016" t="str">
        <f ca="1">IFERROR(__xludf.DUMMYFUNCTION("""COMPUTED_VALUE"""),"БУ Г. ОМСКА ""УДХБ"" 144-СТР от 01.07.2022")</f>
        <v>БУ Г. ОМСКА "УДХБ" 144-СТР от 01.07.2022</v>
      </c>
      <c r="D50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6" t="str">
        <f ca="1">IFERROR(__xludf.DUMMYFUNCTION("""COMPUTED_VALUE"""),"Новый")</f>
        <v>Новый</v>
      </c>
      <c r="G5016" s="68"/>
      <c r="K5016" s="68"/>
    </row>
    <row r="5017" spans="1:11" ht="12.75">
      <c r="A5017" s="69">
        <f ca="1">IFERROR(__xludf.DUMMYFUNCTION("""COMPUTED_VALUE"""),105285)</f>
        <v>105285</v>
      </c>
      <c r="B5017" s="4">
        <f ca="1">IFERROR(__xludf.DUMMYFUNCTION("""COMPUTED_VALUE"""),44799)</f>
        <v>44799</v>
      </c>
      <c r="C5017" t="str">
        <f ca="1">IFERROR(__xludf.DUMMYFUNCTION("""COMPUTED_VALUE"""),"БУ Г. ОМСКА ""УДХБ"" 144-СТР от 01.07.2022")</f>
        <v>БУ Г. ОМСКА "УДХБ" 144-СТР от 01.07.2022</v>
      </c>
      <c r="D50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7" t="str">
        <f ca="1">IFERROR(__xludf.DUMMYFUNCTION("""COMPUTED_VALUE"""),"Новый")</f>
        <v>Новый</v>
      </c>
      <c r="G5017" s="68"/>
      <c r="K5017" s="68"/>
    </row>
    <row r="5018" spans="1:11" ht="12.75">
      <c r="A5018" s="69">
        <f ca="1">IFERROR(__xludf.DUMMYFUNCTION("""COMPUTED_VALUE"""),105286)</f>
        <v>105286</v>
      </c>
      <c r="B5018" s="4">
        <f ca="1">IFERROR(__xludf.DUMMYFUNCTION("""COMPUTED_VALUE"""),44799)</f>
        <v>44799</v>
      </c>
      <c r="C5018" t="str">
        <f ca="1">IFERROR(__xludf.DUMMYFUNCTION("""COMPUTED_VALUE"""),"БУ Г. ОМСКА ""УДХБ"" 144-СТР от 01.07.2022")</f>
        <v>БУ Г. ОМСКА "УДХБ" 144-СТР от 01.07.2022</v>
      </c>
      <c r="D50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8" t="str">
        <f ca="1">IFERROR(__xludf.DUMMYFUNCTION("""COMPUTED_VALUE"""),"Новый")</f>
        <v>Новый</v>
      </c>
      <c r="G5018" s="68"/>
      <c r="K5018" s="68"/>
    </row>
    <row r="5019" spans="1:11" ht="12.75">
      <c r="A5019" s="69">
        <f ca="1">IFERROR(__xludf.DUMMYFUNCTION("""COMPUTED_VALUE"""),105287)</f>
        <v>105287</v>
      </c>
      <c r="B5019" s="4">
        <f ca="1">IFERROR(__xludf.DUMMYFUNCTION("""COMPUTED_VALUE"""),44799)</f>
        <v>44799</v>
      </c>
      <c r="C5019" t="str">
        <f ca="1">IFERROR(__xludf.DUMMYFUNCTION("""COMPUTED_VALUE"""),"БУ Г. ОМСКА ""УДХБ"" 144-СТР от 01.07.2022")</f>
        <v>БУ Г. ОМСКА "УДХБ" 144-СТР от 01.07.2022</v>
      </c>
      <c r="D50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19" t="str">
        <f ca="1">IFERROR(__xludf.DUMMYFUNCTION("""COMPUTED_VALUE"""),"Новый")</f>
        <v>Новый</v>
      </c>
      <c r="G5019" s="68"/>
      <c r="K5019" s="68"/>
    </row>
    <row r="5020" spans="1:11" ht="12.75">
      <c r="A5020" s="69">
        <f ca="1">IFERROR(__xludf.DUMMYFUNCTION("""COMPUTED_VALUE"""),105288)</f>
        <v>105288</v>
      </c>
      <c r="B5020" s="4">
        <f ca="1">IFERROR(__xludf.DUMMYFUNCTION("""COMPUTED_VALUE"""),44799)</f>
        <v>44799</v>
      </c>
      <c r="C5020" t="str">
        <f ca="1">IFERROR(__xludf.DUMMYFUNCTION("""COMPUTED_VALUE"""),"БУ Г. ОМСКА ""УДХБ"" 144-СТР от 01.07.2022")</f>
        <v>БУ Г. ОМСКА "УДХБ" 144-СТР от 01.07.2022</v>
      </c>
      <c r="D50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0" t="str">
        <f ca="1">IFERROR(__xludf.DUMMYFUNCTION("""COMPUTED_VALUE"""),"Новый")</f>
        <v>Новый</v>
      </c>
      <c r="G5020" s="68"/>
      <c r="K5020" s="68"/>
    </row>
    <row r="5021" spans="1:11" ht="12.75">
      <c r="A5021" s="69">
        <f ca="1">IFERROR(__xludf.DUMMYFUNCTION("""COMPUTED_VALUE"""),105289)</f>
        <v>105289</v>
      </c>
      <c r="B5021" s="4">
        <f ca="1">IFERROR(__xludf.DUMMYFUNCTION("""COMPUTED_VALUE"""),44799)</f>
        <v>44799</v>
      </c>
      <c r="C5021" t="str">
        <f ca="1">IFERROR(__xludf.DUMMYFUNCTION("""COMPUTED_VALUE"""),"БУ Г. ОМСКА ""УДХБ"" 144-СТР от 01.07.2022")</f>
        <v>БУ Г. ОМСКА "УДХБ" 144-СТР от 01.07.2022</v>
      </c>
      <c r="D50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1" t="str">
        <f ca="1">IFERROR(__xludf.DUMMYFUNCTION("""COMPUTED_VALUE"""),"Новый")</f>
        <v>Новый</v>
      </c>
      <c r="G5021" s="68"/>
      <c r="K5021" s="68"/>
    </row>
    <row r="5022" spans="1:11" ht="12.75">
      <c r="A5022" s="69">
        <f ca="1">IFERROR(__xludf.DUMMYFUNCTION("""COMPUTED_VALUE"""),105291)</f>
        <v>105291</v>
      </c>
      <c r="B5022" s="4">
        <f ca="1">IFERROR(__xludf.DUMMYFUNCTION("""COMPUTED_VALUE"""),44799)</f>
        <v>44799</v>
      </c>
      <c r="C5022" t="str">
        <f ca="1">IFERROR(__xludf.DUMMYFUNCTION("""COMPUTED_VALUE"""),"БУ Г. ОМСКА ""УДХБ"" 144-СТР от 01.07.2022")</f>
        <v>БУ Г. ОМСКА "УДХБ" 144-СТР от 01.07.2022</v>
      </c>
      <c r="D50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2" t="str">
        <f ca="1">IFERROR(__xludf.DUMMYFUNCTION("""COMPUTED_VALUE"""),"Новый")</f>
        <v>Новый</v>
      </c>
      <c r="G5022" s="68"/>
      <c r="K5022" s="68"/>
    </row>
    <row r="5023" spans="1:11" ht="12.75">
      <c r="A5023" s="69">
        <f ca="1">IFERROR(__xludf.DUMMYFUNCTION("""COMPUTED_VALUE"""),105297)</f>
        <v>105297</v>
      </c>
      <c r="B5023" s="4">
        <f ca="1">IFERROR(__xludf.DUMMYFUNCTION("""COMPUTED_VALUE"""),44799)</f>
        <v>44799</v>
      </c>
      <c r="C5023" t="str">
        <f ca="1">IFERROR(__xludf.DUMMYFUNCTION("""COMPUTED_VALUE"""),"БУ Г. ОМСКА ""УДХБ"" 144-СТР от 01.07.2022")</f>
        <v>БУ Г. ОМСКА "УДХБ" 144-СТР от 01.07.2022</v>
      </c>
      <c r="D50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3" t="str">
        <f ca="1">IFERROR(__xludf.DUMMYFUNCTION("""COMPUTED_VALUE"""),"Новый")</f>
        <v>Новый</v>
      </c>
      <c r="G5023" s="68"/>
      <c r="K5023" s="68"/>
    </row>
    <row r="5024" spans="1:11" ht="12.75">
      <c r="A5024" s="69">
        <f ca="1">IFERROR(__xludf.DUMMYFUNCTION("""COMPUTED_VALUE"""),105299)</f>
        <v>105299</v>
      </c>
      <c r="B5024" s="4">
        <f ca="1">IFERROR(__xludf.DUMMYFUNCTION("""COMPUTED_VALUE"""),44799)</f>
        <v>44799</v>
      </c>
      <c r="C5024" t="str">
        <f ca="1">IFERROR(__xludf.DUMMYFUNCTION("""COMPUTED_VALUE"""),"БУ Г. ОМСКА ""УДХБ"" 144-СТР от 01.07.2022")</f>
        <v>БУ Г. ОМСКА "УДХБ" 144-СТР от 01.07.2022</v>
      </c>
      <c r="D50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4" t="str">
        <f ca="1">IFERROR(__xludf.DUMMYFUNCTION("""COMPUTED_VALUE"""),"Новый")</f>
        <v>Новый</v>
      </c>
      <c r="G5024" s="68"/>
      <c r="K5024" s="68"/>
    </row>
    <row r="5025" spans="1:11" ht="12.75">
      <c r="A5025" s="69">
        <f ca="1">IFERROR(__xludf.DUMMYFUNCTION("""COMPUTED_VALUE"""),105320)</f>
        <v>105320</v>
      </c>
      <c r="B5025" s="4">
        <f ca="1">IFERROR(__xludf.DUMMYFUNCTION("""COMPUTED_VALUE"""),44799)</f>
        <v>44799</v>
      </c>
      <c r="C5025" t="str">
        <f ca="1">IFERROR(__xludf.DUMMYFUNCTION("""COMPUTED_VALUE"""),"БУ Г. ОМСКА ""УДХБ"" 144-СТР от 01.07.2022")</f>
        <v>БУ Г. ОМСКА "УДХБ" 144-СТР от 01.07.2022</v>
      </c>
      <c r="D50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5" t="str">
        <f ca="1">IFERROR(__xludf.DUMMYFUNCTION("""COMPUTED_VALUE"""),"Новый")</f>
        <v>Новый</v>
      </c>
      <c r="G5025" s="68"/>
      <c r="K5025" s="68"/>
    </row>
    <row r="5026" spans="1:11" ht="12.75">
      <c r="A5026" s="69">
        <f ca="1">IFERROR(__xludf.DUMMYFUNCTION("""COMPUTED_VALUE"""),105321)</f>
        <v>105321</v>
      </c>
      <c r="B5026" s="4">
        <f ca="1">IFERROR(__xludf.DUMMYFUNCTION("""COMPUTED_VALUE"""),44799)</f>
        <v>44799</v>
      </c>
      <c r="C5026" t="str">
        <f ca="1">IFERROR(__xludf.DUMMYFUNCTION("""COMPUTED_VALUE"""),"БУ Г. ОМСКА ""УДХБ"" 144-СТР от 01.07.2022")</f>
        <v>БУ Г. ОМСКА "УДХБ" 144-СТР от 01.07.2022</v>
      </c>
      <c r="D50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6" t="str">
        <f ca="1">IFERROR(__xludf.DUMMYFUNCTION("""COMPUTED_VALUE"""),"Новый")</f>
        <v>Новый</v>
      </c>
      <c r="G5026" s="68"/>
      <c r="K5026" s="68"/>
    </row>
    <row r="5027" spans="1:11" ht="12.75">
      <c r="A5027" s="69">
        <f ca="1">IFERROR(__xludf.DUMMYFUNCTION("""COMPUTED_VALUE"""),105322)</f>
        <v>105322</v>
      </c>
      <c r="B5027" s="4">
        <f ca="1">IFERROR(__xludf.DUMMYFUNCTION("""COMPUTED_VALUE"""),44799)</f>
        <v>44799</v>
      </c>
      <c r="C5027" t="str">
        <f ca="1">IFERROR(__xludf.DUMMYFUNCTION("""COMPUTED_VALUE"""),"БУ Г. ОМСКА ""УДХБ"" 144-СТР от 01.07.2022")</f>
        <v>БУ Г. ОМСКА "УДХБ" 144-СТР от 01.07.2022</v>
      </c>
      <c r="D50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7" t="str">
        <f ca="1">IFERROR(__xludf.DUMMYFUNCTION("""COMPUTED_VALUE"""),"Новый")</f>
        <v>Новый</v>
      </c>
      <c r="G5027" s="68"/>
      <c r="K5027" s="68"/>
    </row>
    <row r="5028" spans="1:11" ht="12.75">
      <c r="A5028" s="69">
        <f ca="1">IFERROR(__xludf.DUMMYFUNCTION("""COMPUTED_VALUE"""),105323)</f>
        <v>105323</v>
      </c>
      <c r="B5028" s="4">
        <f ca="1">IFERROR(__xludf.DUMMYFUNCTION("""COMPUTED_VALUE"""),44799)</f>
        <v>44799</v>
      </c>
      <c r="C5028" t="str">
        <f ca="1">IFERROR(__xludf.DUMMYFUNCTION("""COMPUTED_VALUE"""),"БУ Г. ОМСКА ""УДХБ"" 144-СТР от 01.07.2022")</f>
        <v>БУ Г. ОМСКА "УДХБ" 144-СТР от 01.07.2022</v>
      </c>
      <c r="D50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8" t="str">
        <f ca="1">IFERROR(__xludf.DUMMYFUNCTION("""COMPUTED_VALUE"""),"Новый")</f>
        <v>Новый</v>
      </c>
      <c r="G5028" s="68"/>
      <c r="K5028" s="68"/>
    </row>
    <row r="5029" spans="1:11" ht="12.75">
      <c r="A5029" s="69">
        <f ca="1">IFERROR(__xludf.DUMMYFUNCTION("""COMPUTED_VALUE"""),105324)</f>
        <v>105324</v>
      </c>
      <c r="B5029" s="4">
        <f ca="1">IFERROR(__xludf.DUMMYFUNCTION("""COMPUTED_VALUE"""),44799)</f>
        <v>44799</v>
      </c>
      <c r="C5029" t="str">
        <f ca="1">IFERROR(__xludf.DUMMYFUNCTION("""COMPUTED_VALUE"""),"БУ Г. ОМСКА ""УДХБ"" 144-СТР от 01.07.2022")</f>
        <v>БУ Г. ОМСКА "УДХБ" 144-СТР от 01.07.2022</v>
      </c>
      <c r="D50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29" t="str">
        <f ca="1">IFERROR(__xludf.DUMMYFUNCTION("""COMPUTED_VALUE"""),"Новый")</f>
        <v>Новый</v>
      </c>
      <c r="G5029" s="68"/>
      <c r="K5029" s="68"/>
    </row>
    <row r="5030" spans="1:11" ht="12.75">
      <c r="A5030" s="69">
        <f ca="1">IFERROR(__xludf.DUMMYFUNCTION("""COMPUTED_VALUE"""),105325)</f>
        <v>105325</v>
      </c>
      <c r="B5030" s="4">
        <f ca="1">IFERROR(__xludf.DUMMYFUNCTION("""COMPUTED_VALUE"""),44799)</f>
        <v>44799</v>
      </c>
      <c r="C5030" t="str">
        <f ca="1">IFERROR(__xludf.DUMMYFUNCTION("""COMPUTED_VALUE"""),"БУ Г. ОМСКА ""УДХБ"" 144-СТР от 01.07.2022")</f>
        <v>БУ Г. ОМСКА "УДХБ" 144-СТР от 01.07.2022</v>
      </c>
      <c r="D50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0" t="str">
        <f ca="1">IFERROR(__xludf.DUMMYFUNCTION("""COMPUTED_VALUE"""),"Новый")</f>
        <v>Новый</v>
      </c>
      <c r="G5030" s="68"/>
      <c r="K5030" s="68"/>
    </row>
    <row r="5031" spans="1:11" ht="12.75">
      <c r="A5031" s="69">
        <f ca="1">IFERROR(__xludf.DUMMYFUNCTION("""COMPUTED_VALUE"""),105326)</f>
        <v>105326</v>
      </c>
      <c r="B5031" s="4">
        <f ca="1">IFERROR(__xludf.DUMMYFUNCTION("""COMPUTED_VALUE"""),44799)</f>
        <v>44799</v>
      </c>
      <c r="C5031" t="str">
        <f ca="1">IFERROR(__xludf.DUMMYFUNCTION("""COMPUTED_VALUE"""),"БУ Г. ОМСКА ""УДХБ"" 144-СТР от 01.07.2022")</f>
        <v>БУ Г. ОМСКА "УДХБ" 144-СТР от 01.07.2022</v>
      </c>
      <c r="D50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1" t="str">
        <f ca="1">IFERROR(__xludf.DUMMYFUNCTION("""COMPUTED_VALUE"""),"Новый")</f>
        <v>Новый</v>
      </c>
      <c r="G5031" s="68"/>
      <c r="K5031" s="68"/>
    </row>
    <row r="5032" spans="1:11" ht="12.75">
      <c r="A5032" s="69">
        <f ca="1">IFERROR(__xludf.DUMMYFUNCTION("""COMPUTED_VALUE"""),105327)</f>
        <v>105327</v>
      </c>
      <c r="B5032" s="4">
        <f ca="1">IFERROR(__xludf.DUMMYFUNCTION("""COMPUTED_VALUE"""),44799)</f>
        <v>44799</v>
      </c>
      <c r="C5032" t="str">
        <f ca="1">IFERROR(__xludf.DUMMYFUNCTION("""COMPUTED_VALUE"""),"БУ Г. ОМСКА ""УДХБ"" 144-СТР от 01.07.2022")</f>
        <v>БУ Г. ОМСКА "УДХБ" 144-СТР от 01.07.2022</v>
      </c>
      <c r="D50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2" t="str">
        <f ca="1">IFERROR(__xludf.DUMMYFUNCTION("""COMPUTED_VALUE"""),"Новый")</f>
        <v>Новый</v>
      </c>
      <c r="G5032" s="68"/>
      <c r="K5032" s="68"/>
    </row>
    <row r="5033" spans="1:11" ht="12.75">
      <c r="A5033" s="69">
        <f ca="1">IFERROR(__xludf.DUMMYFUNCTION("""COMPUTED_VALUE"""),105328)</f>
        <v>105328</v>
      </c>
      <c r="B5033" s="4">
        <f ca="1">IFERROR(__xludf.DUMMYFUNCTION("""COMPUTED_VALUE"""),44799)</f>
        <v>44799</v>
      </c>
      <c r="C5033" t="str">
        <f ca="1">IFERROR(__xludf.DUMMYFUNCTION("""COMPUTED_VALUE"""),"БУ Г. ОМСКА ""УДХБ"" 144-СТР от 01.07.2022")</f>
        <v>БУ Г. ОМСКА "УДХБ" 144-СТР от 01.07.2022</v>
      </c>
      <c r="D50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3" t="str">
        <f ca="1">IFERROR(__xludf.DUMMYFUNCTION("""COMPUTED_VALUE"""),"Новый")</f>
        <v>Новый</v>
      </c>
      <c r="G5033" s="68"/>
      <c r="K5033" s="68"/>
    </row>
    <row r="5034" spans="1:11" ht="12.75">
      <c r="A5034" s="69">
        <f ca="1">IFERROR(__xludf.DUMMYFUNCTION("""COMPUTED_VALUE"""),105329)</f>
        <v>105329</v>
      </c>
      <c r="B5034" s="4">
        <f ca="1">IFERROR(__xludf.DUMMYFUNCTION("""COMPUTED_VALUE"""),44799)</f>
        <v>44799</v>
      </c>
      <c r="C5034" t="str">
        <f ca="1">IFERROR(__xludf.DUMMYFUNCTION("""COMPUTED_VALUE"""),"БУ Г. ОМСКА ""УДХБ"" 144-СТР от 01.07.2022")</f>
        <v>БУ Г. ОМСКА "УДХБ" 144-СТР от 01.07.2022</v>
      </c>
      <c r="D50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4" t="str">
        <f ca="1">IFERROR(__xludf.DUMMYFUNCTION("""COMPUTED_VALUE"""),"Новый")</f>
        <v>Новый</v>
      </c>
      <c r="G5034" s="68"/>
      <c r="K5034" s="68"/>
    </row>
    <row r="5035" spans="1:11" ht="12.75">
      <c r="A5035" s="69">
        <f ca="1">IFERROR(__xludf.DUMMYFUNCTION("""COMPUTED_VALUE"""),105330)</f>
        <v>105330</v>
      </c>
      <c r="B5035" s="4">
        <f ca="1">IFERROR(__xludf.DUMMYFUNCTION("""COMPUTED_VALUE"""),44799)</f>
        <v>44799</v>
      </c>
      <c r="C5035" t="str">
        <f ca="1">IFERROR(__xludf.DUMMYFUNCTION("""COMPUTED_VALUE"""),"БУ Г. ОМСКА ""УДХБ"" 144-СТР от 01.07.2022")</f>
        <v>БУ Г. ОМСКА "УДХБ" 144-СТР от 01.07.2022</v>
      </c>
      <c r="D50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5" t="str">
        <f ca="1">IFERROR(__xludf.DUMMYFUNCTION("""COMPUTED_VALUE"""),"Новый")</f>
        <v>Новый</v>
      </c>
      <c r="G5035" s="68"/>
      <c r="K5035" s="68"/>
    </row>
    <row r="5036" spans="1:11" ht="12.75">
      <c r="A5036" s="69">
        <f ca="1">IFERROR(__xludf.DUMMYFUNCTION("""COMPUTED_VALUE"""),105331)</f>
        <v>105331</v>
      </c>
      <c r="B5036" s="4">
        <f ca="1">IFERROR(__xludf.DUMMYFUNCTION("""COMPUTED_VALUE"""),44799)</f>
        <v>44799</v>
      </c>
      <c r="C5036" t="str">
        <f ca="1">IFERROR(__xludf.DUMMYFUNCTION("""COMPUTED_VALUE"""),"БУ Г. ОМСКА ""УДХБ"" 144-СТР от 01.07.2022")</f>
        <v>БУ Г. ОМСКА "УДХБ" 144-СТР от 01.07.2022</v>
      </c>
      <c r="D50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6" t="str">
        <f ca="1">IFERROR(__xludf.DUMMYFUNCTION("""COMPUTED_VALUE"""),"Новый")</f>
        <v>Новый</v>
      </c>
      <c r="G5036" s="68"/>
      <c r="K5036" s="68"/>
    </row>
    <row r="5037" spans="1:11" ht="12.75">
      <c r="A5037" s="69">
        <f ca="1">IFERROR(__xludf.DUMMYFUNCTION("""COMPUTED_VALUE"""),105332)</f>
        <v>105332</v>
      </c>
      <c r="B5037" s="4">
        <f ca="1">IFERROR(__xludf.DUMMYFUNCTION("""COMPUTED_VALUE"""),44799)</f>
        <v>44799</v>
      </c>
      <c r="C5037" t="str">
        <f ca="1">IFERROR(__xludf.DUMMYFUNCTION("""COMPUTED_VALUE"""),"БУ Г. ОМСКА ""УДХБ"" 144-СТР от 01.07.2022")</f>
        <v>БУ Г. ОМСКА "УДХБ" 144-СТР от 01.07.2022</v>
      </c>
      <c r="D50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7" t="str">
        <f ca="1">IFERROR(__xludf.DUMMYFUNCTION("""COMPUTED_VALUE"""),"Новый")</f>
        <v>Новый</v>
      </c>
      <c r="G5037" s="68"/>
      <c r="K5037" s="68"/>
    </row>
    <row r="5038" spans="1:11" ht="12.75">
      <c r="A5038" s="69">
        <f ca="1">IFERROR(__xludf.DUMMYFUNCTION("""COMPUTED_VALUE"""),105333)</f>
        <v>105333</v>
      </c>
      <c r="B5038" s="4">
        <f ca="1">IFERROR(__xludf.DUMMYFUNCTION("""COMPUTED_VALUE"""),44799)</f>
        <v>44799</v>
      </c>
      <c r="C5038" t="str">
        <f ca="1">IFERROR(__xludf.DUMMYFUNCTION("""COMPUTED_VALUE"""),"БУ Г. ОМСКА ""УДХБ"" 144-СТР от 01.07.2022")</f>
        <v>БУ Г. ОМСКА "УДХБ" 144-СТР от 01.07.2022</v>
      </c>
      <c r="D50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8" t="str">
        <f ca="1">IFERROR(__xludf.DUMMYFUNCTION("""COMPUTED_VALUE"""),"Новый")</f>
        <v>Новый</v>
      </c>
      <c r="G5038" s="68"/>
      <c r="K5038" s="68"/>
    </row>
    <row r="5039" spans="1:11" ht="12.75">
      <c r="A5039" s="69">
        <f ca="1">IFERROR(__xludf.DUMMYFUNCTION("""COMPUTED_VALUE"""),105334)</f>
        <v>105334</v>
      </c>
      <c r="B5039" s="4">
        <f ca="1">IFERROR(__xludf.DUMMYFUNCTION("""COMPUTED_VALUE"""),44799)</f>
        <v>44799</v>
      </c>
      <c r="C5039" t="str">
        <f ca="1">IFERROR(__xludf.DUMMYFUNCTION("""COMPUTED_VALUE"""),"БУ Г. ОМСКА ""УДХБ"" 144-СТР от 01.07.2022")</f>
        <v>БУ Г. ОМСКА "УДХБ" 144-СТР от 01.07.2022</v>
      </c>
      <c r="D50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39" t="str">
        <f ca="1">IFERROR(__xludf.DUMMYFUNCTION("""COMPUTED_VALUE"""),"Новый")</f>
        <v>Новый</v>
      </c>
      <c r="G5039" s="68"/>
      <c r="K5039" s="68"/>
    </row>
    <row r="5040" spans="1:11" ht="12.75">
      <c r="A5040" s="69">
        <f ca="1">IFERROR(__xludf.DUMMYFUNCTION("""COMPUTED_VALUE"""),105335)</f>
        <v>105335</v>
      </c>
      <c r="B5040" s="4">
        <f ca="1">IFERROR(__xludf.DUMMYFUNCTION("""COMPUTED_VALUE"""),44799)</f>
        <v>44799</v>
      </c>
      <c r="C5040" t="str">
        <f ca="1">IFERROR(__xludf.DUMMYFUNCTION("""COMPUTED_VALUE"""),"БУ Г. ОМСКА ""УДХБ"" 144-СТР от 01.07.2022")</f>
        <v>БУ Г. ОМСКА "УДХБ" 144-СТР от 01.07.2022</v>
      </c>
      <c r="D50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0" t="str">
        <f ca="1">IFERROR(__xludf.DUMMYFUNCTION("""COMPUTED_VALUE"""),"Новый")</f>
        <v>Новый</v>
      </c>
      <c r="G5040" s="68"/>
      <c r="K5040" s="68"/>
    </row>
    <row r="5041" spans="1:11" ht="12.75">
      <c r="A5041" s="69">
        <f ca="1">IFERROR(__xludf.DUMMYFUNCTION("""COMPUTED_VALUE"""),105336)</f>
        <v>105336</v>
      </c>
      <c r="B5041" s="4">
        <f ca="1">IFERROR(__xludf.DUMMYFUNCTION("""COMPUTED_VALUE"""),44799)</f>
        <v>44799</v>
      </c>
      <c r="C5041" t="str">
        <f ca="1">IFERROR(__xludf.DUMMYFUNCTION("""COMPUTED_VALUE"""),"БУ Г. ОМСКА ""УДХБ"" 144-СТР от 01.07.2022")</f>
        <v>БУ Г. ОМСКА "УДХБ" 144-СТР от 01.07.2022</v>
      </c>
      <c r="D50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1" t="str">
        <f ca="1">IFERROR(__xludf.DUMMYFUNCTION("""COMPUTED_VALUE"""),"Новый")</f>
        <v>Новый</v>
      </c>
      <c r="G5041" s="68"/>
      <c r="K5041" s="68"/>
    </row>
    <row r="5042" spans="1:11" ht="12.75">
      <c r="A5042" s="69">
        <f ca="1">IFERROR(__xludf.DUMMYFUNCTION("""COMPUTED_VALUE"""),105337)</f>
        <v>105337</v>
      </c>
      <c r="B5042" s="4">
        <f ca="1">IFERROR(__xludf.DUMMYFUNCTION("""COMPUTED_VALUE"""),44799)</f>
        <v>44799</v>
      </c>
      <c r="C5042" t="str">
        <f ca="1">IFERROR(__xludf.DUMMYFUNCTION("""COMPUTED_VALUE"""),"БУ Г. ОМСКА ""УДХБ"" 144-СТР от 01.07.2022")</f>
        <v>БУ Г. ОМСКА "УДХБ" 144-СТР от 01.07.2022</v>
      </c>
      <c r="D50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2" t="str">
        <f ca="1">IFERROR(__xludf.DUMMYFUNCTION("""COMPUTED_VALUE"""),"Новый")</f>
        <v>Новый</v>
      </c>
      <c r="G5042" s="68"/>
      <c r="K5042" s="68"/>
    </row>
    <row r="5043" spans="1:11" ht="12.75">
      <c r="A5043" s="69">
        <f ca="1">IFERROR(__xludf.DUMMYFUNCTION("""COMPUTED_VALUE"""),105338)</f>
        <v>105338</v>
      </c>
      <c r="B5043" s="4">
        <f ca="1">IFERROR(__xludf.DUMMYFUNCTION("""COMPUTED_VALUE"""),44799)</f>
        <v>44799</v>
      </c>
      <c r="C5043" t="str">
        <f ca="1">IFERROR(__xludf.DUMMYFUNCTION("""COMPUTED_VALUE"""),"БУ Г. ОМСКА ""УДХБ"" 144-СТР от 01.07.2022")</f>
        <v>БУ Г. ОМСКА "УДХБ" 144-СТР от 01.07.2022</v>
      </c>
      <c r="D50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3" t="str">
        <f ca="1">IFERROR(__xludf.DUMMYFUNCTION("""COMPUTED_VALUE"""),"Новый")</f>
        <v>Новый</v>
      </c>
      <c r="G5043" s="68"/>
      <c r="K5043" s="68"/>
    </row>
    <row r="5044" spans="1:11" ht="12.75">
      <c r="A5044" s="69">
        <f ca="1">IFERROR(__xludf.DUMMYFUNCTION("""COMPUTED_VALUE"""),105339)</f>
        <v>105339</v>
      </c>
      <c r="B5044" s="4">
        <f ca="1">IFERROR(__xludf.DUMMYFUNCTION("""COMPUTED_VALUE"""),44799)</f>
        <v>44799</v>
      </c>
      <c r="C5044" t="str">
        <f ca="1">IFERROR(__xludf.DUMMYFUNCTION("""COMPUTED_VALUE"""),"БУ Г. ОМСКА ""УДХБ"" 144-СТР от 01.07.2022")</f>
        <v>БУ Г. ОМСКА "УДХБ" 144-СТР от 01.07.2022</v>
      </c>
      <c r="D50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4" t="str">
        <f ca="1">IFERROR(__xludf.DUMMYFUNCTION("""COMPUTED_VALUE"""),"Новый")</f>
        <v>Новый</v>
      </c>
      <c r="G5044" s="68"/>
      <c r="K5044" s="68"/>
    </row>
    <row r="5045" spans="1:11" ht="12.75">
      <c r="A5045" s="69">
        <f ca="1">IFERROR(__xludf.DUMMYFUNCTION("""COMPUTED_VALUE"""),105340)</f>
        <v>105340</v>
      </c>
      <c r="B5045" s="4">
        <f ca="1">IFERROR(__xludf.DUMMYFUNCTION("""COMPUTED_VALUE"""),44799)</f>
        <v>44799</v>
      </c>
      <c r="C5045" t="str">
        <f ca="1">IFERROR(__xludf.DUMMYFUNCTION("""COMPUTED_VALUE"""),"БУ Г. ОМСКА ""УДХБ"" 144-СТР от 01.07.2022")</f>
        <v>БУ Г. ОМСКА "УДХБ" 144-СТР от 01.07.2022</v>
      </c>
      <c r="D50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5" t="str">
        <f ca="1">IFERROR(__xludf.DUMMYFUNCTION("""COMPUTED_VALUE"""),"Новый")</f>
        <v>Новый</v>
      </c>
      <c r="G5045" s="68"/>
      <c r="K5045" s="68"/>
    </row>
    <row r="5046" spans="1:11" ht="12.75">
      <c r="A5046" s="69">
        <f ca="1">IFERROR(__xludf.DUMMYFUNCTION("""COMPUTED_VALUE"""),105341)</f>
        <v>105341</v>
      </c>
      <c r="B5046" s="4">
        <f ca="1">IFERROR(__xludf.DUMMYFUNCTION("""COMPUTED_VALUE"""),44799)</f>
        <v>44799</v>
      </c>
      <c r="C5046" t="str">
        <f ca="1">IFERROR(__xludf.DUMMYFUNCTION("""COMPUTED_VALUE"""),"БУ Г. ОМСКА ""УДХБ"" 144-СТР от 01.07.2022")</f>
        <v>БУ Г. ОМСКА "УДХБ" 144-СТР от 01.07.2022</v>
      </c>
      <c r="D50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6" t="str">
        <f ca="1">IFERROR(__xludf.DUMMYFUNCTION("""COMPUTED_VALUE"""),"Новый")</f>
        <v>Новый</v>
      </c>
      <c r="G5046" s="68"/>
      <c r="K5046" s="68"/>
    </row>
    <row r="5047" spans="1:11" ht="12.75">
      <c r="A5047" s="69">
        <f ca="1">IFERROR(__xludf.DUMMYFUNCTION("""COMPUTED_VALUE"""),105342)</f>
        <v>105342</v>
      </c>
      <c r="B5047" s="4">
        <f ca="1">IFERROR(__xludf.DUMMYFUNCTION("""COMPUTED_VALUE"""),44799)</f>
        <v>44799</v>
      </c>
      <c r="C5047" t="str">
        <f ca="1">IFERROR(__xludf.DUMMYFUNCTION("""COMPUTED_VALUE"""),"БУ Г. ОМСКА ""УДХБ"" 144-СТР от 01.07.2022")</f>
        <v>БУ Г. ОМСКА "УДХБ" 144-СТР от 01.07.2022</v>
      </c>
      <c r="D50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7" t="str">
        <f ca="1">IFERROR(__xludf.DUMMYFUNCTION("""COMPUTED_VALUE"""),"Новый")</f>
        <v>Новый</v>
      </c>
      <c r="G5047" s="68"/>
      <c r="K5047" s="68"/>
    </row>
    <row r="5048" spans="1:11" ht="12.75">
      <c r="A5048" s="69">
        <f ca="1">IFERROR(__xludf.DUMMYFUNCTION("""COMPUTED_VALUE"""),105343)</f>
        <v>105343</v>
      </c>
      <c r="B5048" s="4">
        <f ca="1">IFERROR(__xludf.DUMMYFUNCTION("""COMPUTED_VALUE"""),44799)</f>
        <v>44799</v>
      </c>
      <c r="C5048" t="str">
        <f ca="1">IFERROR(__xludf.DUMMYFUNCTION("""COMPUTED_VALUE"""),"БУ Г. ОМСКА ""УДХБ"" 144-СТР от 01.07.2022")</f>
        <v>БУ Г. ОМСКА "УДХБ" 144-СТР от 01.07.2022</v>
      </c>
      <c r="D50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8" t="str">
        <f ca="1">IFERROR(__xludf.DUMMYFUNCTION("""COMPUTED_VALUE"""),"Новый")</f>
        <v>Новый</v>
      </c>
      <c r="G5048" s="68"/>
      <c r="K5048" s="68"/>
    </row>
    <row r="5049" spans="1:11" ht="12.75">
      <c r="A5049" s="69">
        <f ca="1">IFERROR(__xludf.DUMMYFUNCTION("""COMPUTED_VALUE"""),105344)</f>
        <v>105344</v>
      </c>
      <c r="B5049" s="4">
        <f ca="1">IFERROR(__xludf.DUMMYFUNCTION("""COMPUTED_VALUE"""),44799)</f>
        <v>44799</v>
      </c>
      <c r="C5049" t="str">
        <f ca="1">IFERROR(__xludf.DUMMYFUNCTION("""COMPUTED_VALUE"""),"БУ Г. ОМСКА ""УДХБ"" 144-СТР от 01.07.2022")</f>
        <v>БУ Г. ОМСКА "УДХБ" 144-СТР от 01.07.2022</v>
      </c>
      <c r="D50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49" t="str">
        <f ca="1">IFERROR(__xludf.DUMMYFUNCTION("""COMPUTED_VALUE"""),"Новый")</f>
        <v>Новый</v>
      </c>
      <c r="G5049" s="68"/>
      <c r="K5049" s="68"/>
    </row>
    <row r="5050" spans="1:11" ht="12.75">
      <c r="A5050" s="69">
        <f ca="1">IFERROR(__xludf.DUMMYFUNCTION("""COMPUTED_VALUE"""),105345)</f>
        <v>105345</v>
      </c>
      <c r="B5050" s="4">
        <f ca="1">IFERROR(__xludf.DUMMYFUNCTION("""COMPUTED_VALUE"""),44799)</f>
        <v>44799</v>
      </c>
      <c r="C5050" t="str">
        <f ca="1">IFERROR(__xludf.DUMMYFUNCTION("""COMPUTED_VALUE"""),"БУ Г. ОМСКА ""УДХБ"" 144-СТР от 01.07.2022")</f>
        <v>БУ Г. ОМСКА "УДХБ" 144-СТР от 01.07.2022</v>
      </c>
      <c r="D50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0" t="str">
        <f ca="1">IFERROR(__xludf.DUMMYFUNCTION("""COMPUTED_VALUE"""),"Новый")</f>
        <v>Новый</v>
      </c>
      <c r="G5050" s="68"/>
      <c r="K5050" s="68"/>
    </row>
    <row r="5051" spans="1:11" ht="12.75">
      <c r="A5051" s="69">
        <f ca="1">IFERROR(__xludf.DUMMYFUNCTION("""COMPUTED_VALUE"""),105346)</f>
        <v>105346</v>
      </c>
      <c r="B5051" s="4">
        <f ca="1">IFERROR(__xludf.DUMMYFUNCTION("""COMPUTED_VALUE"""),44799)</f>
        <v>44799</v>
      </c>
      <c r="C5051" t="str">
        <f ca="1">IFERROR(__xludf.DUMMYFUNCTION("""COMPUTED_VALUE"""),"БУ Г. ОМСКА ""УДХБ"" 144-СТР от 01.07.2022")</f>
        <v>БУ Г. ОМСКА "УДХБ" 144-СТР от 01.07.2022</v>
      </c>
      <c r="D50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1" t="str">
        <f ca="1">IFERROR(__xludf.DUMMYFUNCTION("""COMPUTED_VALUE"""),"Новый")</f>
        <v>Новый</v>
      </c>
      <c r="G5051" s="68"/>
      <c r="K5051" s="68"/>
    </row>
    <row r="5052" spans="1:11" ht="12.75">
      <c r="A5052" s="69">
        <f ca="1">IFERROR(__xludf.DUMMYFUNCTION("""COMPUTED_VALUE"""),105347)</f>
        <v>105347</v>
      </c>
      <c r="B5052" s="4">
        <f ca="1">IFERROR(__xludf.DUMMYFUNCTION("""COMPUTED_VALUE"""),44799)</f>
        <v>44799</v>
      </c>
      <c r="C5052" t="str">
        <f ca="1">IFERROR(__xludf.DUMMYFUNCTION("""COMPUTED_VALUE"""),"БУ Г. ОМСКА ""УДХБ"" 144-СТР от 01.07.2022")</f>
        <v>БУ Г. ОМСКА "УДХБ" 144-СТР от 01.07.2022</v>
      </c>
      <c r="D50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2" t="str">
        <f ca="1">IFERROR(__xludf.DUMMYFUNCTION("""COMPUTED_VALUE"""),"Новый")</f>
        <v>Новый</v>
      </c>
      <c r="G5052" s="68"/>
      <c r="K5052" s="68"/>
    </row>
    <row r="5053" spans="1:11" ht="12.75">
      <c r="A5053" s="69">
        <f ca="1">IFERROR(__xludf.DUMMYFUNCTION("""COMPUTED_VALUE"""),105348)</f>
        <v>105348</v>
      </c>
      <c r="B5053" s="4">
        <f ca="1">IFERROR(__xludf.DUMMYFUNCTION("""COMPUTED_VALUE"""),44799)</f>
        <v>44799</v>
      </c>
      <c r="C5053" t="str">
        <f ca="1">IFERROR(__xludf.DUMMYFUNCTION("""COMPUTED_VALUE"""),"БУ Г. ОМСКА ""УДХБ"" 144-СТР от 01.07.2022")</f>
        <v>БУ Г. ОМСКА "УДХБ" 144-СТР от 01.07.2022</v>
      </c>
      <c r="D50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3" t="str">
        <f ca="1">IFERROR(__xludf.DUMMYFUNCTION("""COMPUTED_VALUE"""),"Новый")</f>
        <v>Новый</v>
      </c>
      <c r="G5053" s="68"/>
      <c r="K5053" s="68"/>
    </row>
    <row r="5054" spans="1:11" ht="12.75">
      <c r="A5054" s="69">
        <f ca="1">IFERROR(__xludf.DUMMYFUNCTION("""COMPUTED_VALUE"""),105349)</f>
        <v>105349</v>
      </c>
      <c r="B5054" s="4">
        <f ca="1">IFERROR(__xludf.DUMMYFUNCTION("""COMPUTED_VALUE"""),44799)</f>
        <v>44799</v>
      </c>
      <c r="C5054" t="str">
        <f ca="1">IFERROR(__xludf.DUMMYFUNCTION("""COMPUTED_VALUE"""),"БУ Г. ОМСКА ""УДХБ"" 144-СТР от 01.07.2022")</f>
        <v>БУ Г. ОМСКА "УДХБ" 144-СТР от 01.07.2022</v>
      </c>
      <c r="D50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4" t="str">
        <f ca="1">IFERROR(__xludf.DUMMYFUNCTION("""COMPUTED_VALUE"""),"Новый")</f>
        <v>Новый</v>
      </c>
      <c r="G5054" s="68"/>
      <c r="K5054" s="68"/>
    </row>
    <row r="5055" spans="1:11" ht="12.75">
      <c r="A5055" s="69">
        <f ca="1">IFERROR(__xludf.DUMMYFUNCTION("""COMPUTED_VALUE"""),105352)</f>
        <v>105352</v>
      </c>
      <c r="B5055" s="4">
        <f ca="1">IFERROR(__xludf.DUMMYFUNCTION("""COMPUTED_VALUE"""),44799)</f>
        <v>44799</v>
      </c>
      <c r="C5055" t="str">
        <f ca="1">IFERROR(__xludf.DUMMYFUNCTION("""COMPUTED_VALUE"""),"БУ Г. ОМСКА ""УДХБ"" 144-СТР от 01.07.2022")</f>
        <v>БУ Г. ОМСКА "УДХБ" 144-СТР от 01.07.2022</v>
      </c>
      <c r="D50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5" t="str">
        <f ca="1">IFERROR(__xludf.DUMMYFUNCTION("""COMPUTED_VALUE"""),"Новый")</f>
        <v>Новый</v>
      </c>
      <c r="G5055" s="68"/>
      <c r="K5055" s="68"/>
    </row>
    <row r="5056" spans="1:11" ht="12.75">
      <c r="A5056" s="69">
        <f ca="1">IFERROR(__xludf.DUMMYFUNCTION("""COMPUTED_VALUE"""),105353)</f>
        <v>105353</v>
      </c>
      <c r="B5056" s="4">
        <f ca="1">IFERROR(__xludf.DUMMYFUNCTION("""COMPUTED_VALUE"""),44799)</f>
        <v>44799</v>
      </c>
      <c r="C5056" t="str">
        <f ca="1">IFERROR(__xludf.DUMMYFUNCTION("""COMPUTED_VALUE"""),"БУ Г. ОМСКА ""УДХБ"" 144-СТР от 01.07.2022")</f>
        <v>БУ Г. ОМСКА "УДХБ" 144-СТР от 01.07.2022</v>
      </c>
      <c r="D50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6" t="str">
        <f ca="1">IFERROR(__xludf.DUMMYFUNCTION("""COMPUTED_VALUE"""),"Новый")</f>
        <v>Новый</v>
      </c>
      <c r="G5056" s="68"/>
      <c r="K5056" s="68"/>
    </row>
    <row r="5057" spans="1:11" ht="12.75">
      <c r="A5057" s="69">
        <f ca="1">IFERROR(__xludf.DUMMYFUNCTION("""COMPUTED_VALUE"""),105354)</f>
        <v>105354</v>
      </c>
      <c r="B5057" s="4">
        <f ca="1">IFERROR(__xludf.DUMMYFUNCTION("""COMPUTED_VALUE"""),44799)</f>
        <v>44799</v>
      </c>
      <c r="C5057" t="str">
        <f ca="1">IFERROR(__xludf.DUMMYFUNCTION("""COMPUTED_VALUE"""),"БУ Г. ОМСКА ""УДХБ"" 144-СТР от 01.07.2022")</f>
        <v>БУ Г. ОМСКА "УДХБ" 144-СТР от 01.07.2022</v>
      </c>
      <c r="D50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7" t="str">
        <f ca="1">IFERROR(__xludf.DUMMYFUNCTION("""COMPUTED_VALUE"""),"Новый")</f>
        <v>Новый</v>
      </c>
      <c r="G5057" s="68"/>
      <c r="K5057" s="68"/>
    </row>
    <row r="5058" spans="1:11" ht="12.75">
      <c r="A5058" s="69">
        <f ca="1">IFERROR(__xludf.DUMMYFUNCTION("""COMPUTED_VALUE"""),105356)</f>
        <v>105356</v>
      </c>
      <c r="B5058" s="4">
        <f ca="1">IFERROR(__xludf.DUMMYFUNCTION("""COMPUTED_VALUE"""),44799)</f>
        <v>44799</v>
      </c>
      <c r="C5058" t="str">
        <f ca="1">IFERROR(__xludf.DUMMYFUNCTION("""COMPUTED_VALUE"""),"БУ Г. ОМСКА ""УДХБ"" 144-СТР от 01.07.2022")</f>
        <v>БУ Г. ОМСКА "УДХБ" 144-СТР от 01.07.2022</v>
      </c>
      <c r="D50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8" t="str">
        <f ca="1">IFERROR(__xludf.DUMMYFUNCTION("""COMPUTED_VALUE"""),"Новый")</f>
        <v>Новый</v>
      </c>
      <c r="G5058" s="68"/>
      <c r="K5058" s="68"/>
    </row>
    <row r="5059" spans="1:11" ht="12.75">
      <c r="A5059" s="69">
        <f ca="1">IFERROR(__xludf.DUMMYFUNCTION("""COMPUTED_VALUE"""),105357)</f>
        <v>105357</v>
      </c>
      <c r="B5059" s="4">
        <f ca="1">IFERROR(__xludf.DUMMYFUNCTION("""COMPUTED_VALUE"""),44799)</f>
        <v>44799</v>
      </c>
      <c r="C5059" t="str">
        <f ca="1">IFERROR(__xludf.DUMMYFUNCTION("""COMPUTED_VALUE"""),"БУ Г. ОМСКА ""УДХБ"" 144-СТР от 01.07.2022")</f>
        <v>БУ Г. ОМСКА "УДХБ" 144-СТР от 01.07.2022</v>
      </c>
      <c r="D50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59" t="str">
        <f ca="1">IFERROR(__xludf.DUMMYFUNCTION("""COMPUTED_VALUE"""),"Новый")</f>
        <v>Новый</v>
      </c>
      <c r="G5059" s="68"/>
      <c r="K5059" s="68"/>
    </row>
    <row r="5060" spans="1:11" ht="12.75">
      <c r="A5060" s="69">
        <f ca="1">IFERROR(__xludf.DUMMYFUNCTION("""COMPUTED_VALUE"""),105370)</f>
        <v>105370</v>
      </c>
      <c r="B5060" s="4">
        <f ca="1">IFERROR(__xludf.DUMMYFUNCTION("""COMPUTED_VALUE"""),44799)</f>
        <v>44799</v>
      </c>
      <c r="C5060" t="str">
        <f ca="1">IFERROR(__xludf.DUMMYFUNCTION("""COMPUTED_VALUE"""),"БУ Г. ОМСКА ""УДХБ"" 144-СТР от 01.07.2022")</f>
        <v>БУ Г. ОМСКА "УДХБ" 144-СТР от 01.07.2022</v>
      </c>
      <c r="D50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0" t="str">
        <f ca="1">IFERROR(__xludf.DUMMYFUNCTION("""COMPUTED_VALUE"""),"Новый")</f>
        <v>Новый</v>
      </c>
      <c r="G5060" s="68"/>
      <c r="K5060" s="68"/>
    </row>
    <row r="5061" spans="1:11" ht="12.75">
      <c r="A5061" s="69">
        <f ca="1">IFERROR(__xludf.DUMMYFUNCTION("""COMPUTED_VALUE"""),105371)</f>
        <v>105371</v>
      </c>
      <c r="B5061" s="4">
        <f ca="1">IFERROR(__xludf.DUMMYFUNCTION("""COMPUTED_VALUE"""),44799)</f>
        <v>44799</v>
      </c>
      <c r="C5061" t="str">
        <f ca="1">IFERROR(__xludf.DUMMYFUNCTION("""COMPUTED_VALUE"""),"БУ Г. ОМСКА ""УДХБ"" 144-СТР от 01.07.2022")</f>
        <v>БУ Г. ОМСКА "УДХБ" 144-СТР от 01.07.2022</v>
      </c>
      <c r="D50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1" t="str">
        <f ca="1">IFERROR(__xludf.DUMMYFUNCTION("""COMPUTED_VALUE"""),"Новый")</f>
        <v>Новый</v>
      </c>
      <c r="G5061" s="68"/>
      <c r="K5061" s="68"/>
    </row>
    <row r="5062" spans="1:11" ht="12.75">
      <c r="A5062" s="69">
        <f ca="1">IFERROR(__xludf.DUMMYFUNCTION("""COMPUTED_VALUE"""),105372)</f>
        <v>105372</v>
      </c>
      <c r="B5062" s="4">
        <f ca="1">IFERROR(__xludf.DUMMYFUNCTION("""COMPUTED_VALUE"""),44799)</f>
        <v>44799</v>
      </c>
      <c r="C5062" t="str">
        <f ca="1">IFERROR(__xludf.DUMMYFUNCTION("""COMPUTED_VALUE"""),"БУ Г. ОМСКА ""УДХБ"" 144-СТР от 01.07.2022")</f>
        <v>БУ Г. ОМСКА "УДХБ" 144-СТР от 01.07.2022</v>
      </c>
      <c r="D50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2" t="str">
        <f ca="1">IFERROR(__xludf.DUMMYFUNCTION("""COMPUTED_VALUE"""),"Новый")</f>
        <v>Новый</v>
      </c>
      <c r="G5062" s="68"/>
      <c r="K5062" s="68"/>
    </row>
    <row r="5063" spans="1:11" ht="12.75">
      <c r="A5063" s="69">
        <f ca="1">IFERROR(__xludf.DUMMYFUNCTION("""COMPUTED_VALUE"""),105373)</f>
        <v>105373</v>
      </c>
      <c r="B5063" s="4">
        <f ca="1">IFERROR(__xludf.DUMMYFUNCTION("""COMPUTED_VALUE"""),44799)</f>
        <v>44799</v>
      </c>
      <c r="C5063" t="str">
        <f ca="1">IFERROR(__xludf.DUMMYFUNCTION("""COMPUTED_VALUE"""),"БУ Г. ОМСКА ""УДХБ"" 144-СТР от 01.07.2022")</f>
        <v>БУ Г. ОМСКА "УДХБ" 144-СТР от 01.07.2022</v>
      </c>
      <c r="D50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3" t="str">
        <f ca="1">IFERROR(__xludf.DUMMYFUNCTION("""COMPUTED_VALUE"""),"Новый")</f>
        <v>Новый</v>
      </c>
      <c r="G5063" s="68"/>
      <c r="K5063" s="68"/>
    </row>
    <row r="5064" spans="1:11" ht="12.75">
      <c r="A5064" s="69">
        <f ca="1">IFERROR(__xludf.DUMMYFUNCTION("""COMPUTED_VALUE"""),105374)</f>
        <v>105374</v>
      </c>
      <c r="B5064" s="4">
        <f ca="1">IFERROR(__xludf.DUMMYFUNCTION("""COMPUTED_VALUE"""),44799)</f>
        <v>44799</v>
      </c>
      <c r="C5064" t="str">
        <f ca="1">IFERROR(__xludf.DUMMYFUNCTION("""COMPUTED_VALUE"""),"БУ Г. ОМСКА ""УДХБ"" 144-СТР от 01.07.2022")</f>
        <v>БУ Г. ОМСКА "УДХБ" 144-СТР от 01.07.2022</v>
      </c>
      <c r="D50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4" t="str">
        <f ca="1">IFERROR(__xludf.DUMMYFUNCTION("""COMPUTED_VALUE"""),"Новый")</f>
        <v>Новый</v>
      </c>
      <c r="G5064" s="68"/>
      <c r="K5064" s="68"/>
    </row>
    <row r="5065" spans="1:11" ht="12.75">
      <c r="A5065" s="69">
        <f ca="1">IFERROR(__xludf.DUMMYFUNCTION("""COMPUTED_VALUE"""),105375)</f>
        <v>105375</v>
      </c>
      <c r="B5065" s="4">
        <f ca="1">IFERROR(__xludf.DUMMYFUNCTION("""COMPUTED_VALUE"""),44799)</f>
        <v>44799</v>
      </c>
      <c r="C5065" t="str">
        <f ca="1">IFERROR(__xludf.DUMMYFUNCTION("""COMPUTED_VALUE"""),"БУ Г. ОМСКА ""УДХБ"" 144-СТР от 01.07.2022")</f>
        <v>БУ Г. ОМСКА "УДХБ" 144-СТР от 01.07.2022</v>
      </c>
      <c r="D50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5" t="str">
        <f ca="1">IFERROR(__xludf.DUMMYFUNCTION("""COMPUTED_VALUE"""),"Новый")</f>
        <v>Новый</v>
      </c>
      <c r="G5065" s="68"/>
      <c r="K5065" s="68"/>
    </row>
    <row r="5066" spans="1:11" ht="12.75">
      <c r="A5066" s="69">
        <f ca="1">IFERROR(__xludf.DUMMYFUNCTION("""COMPUTED_VALUE"""),105376)</f>
        <v>105376</v>
      </c>
      <c r="B5066" s="4">
        <f ca="1">IFERROR(__xludf.DUMMYFUNCTION("""COMPUTED_VALUE"""),44799)</f>
        <v>44799</v>
      </c>
      <c r="C5066" t="str">
        <f ca="1">IFERROR(__xludf.DUMMYFUNCTION("""COMPUTED_VALUE"""),"БУ Г. ОМСКА ""УДХБ"" 144-СТР от 01.07.2022")</f>
        <v>БУ Г. ОМСКА "УДХБ" 144-СТР от 01.07.2022</v>
      </c>
      <c r="D50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6" t="str">
        <f ca="1">IFERROR(__xludf.DUMMYFUNCTION("""COMPUTED_VALUE"""),"Новый")</f>
        <v>Новый</v>
      </c>
      <c r="G5066" s="68"/>
      <c r="K5066" s="68"/>
    </row>
    <row r="5067" spans="1:11" ht="12.75">
      <c r="A5067" s="69">
        <f ca="1">IFERROR(__xludf.DUMMYFUNCTION("""COMPUTED_VALUE"""),105377)</f>
        <v>105377</v>
      </c>
      <c r="B5067" s="4">
        <f ca="1">IFERROR(__xludf.DUMMYFUNCTION("""COMPUTED_VALUE"""),44799)</f>
        <v>44799</v>
      </c>
      <c r="C5067" t="str">
        <f ca="1">IFERROR(__xludf.DUMMYFUNCTION("""COMPUTED_VALUE"""),"БУ Г. ОМСКА ""УДХБ"" 144-СТР от 01.07.2022")</f>
        <v>БУ Г. ОМСКА "УДХБ" 144-СТР от 01.07.2022</v>
      </c>
      <c r="D50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7" t="str">
        <f ca="1">IFERROR(__xludf.DUMMYFUNCTION("""COMPUTED_VALUE"""),"Новый")</f>
        <v>Новый</v>
      </c>
      <c r="G5067" s="68"/>
      <c r="K5067" s="68"/>
    </row>
    <row r="5068" spans="1:11" ht="12.75">
      <c r="A5068" s="69">
        <f ca="1">IFERROR(__xludf.DUMMYFUNCTION("""COMPUTED_VALUE"""),105378)</f>
        <v>105378</v>
      </c>
      <c r="B5068" s="4">
        <f ca="1">IFERROR(__xludf.DUMMYFUNCTION("""COMPUTED_VALUE"""),44799)</f>
        <v>44799</v>
      </c>
      <c r="C5068" t="str">
        <f ca="1">IFERROR(__xludf.DUMMYFUNCTION("""COMPUTED_VALUE"""),"БУ Г. ОМСКА ""УДХБ"" 144-СТР от 01.07.2022")</f>
        <v>БУ Г. ОМСКА "УДХБ" 144-СТР от 01.07.2022</v>
      </c>
      <c r="D50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8" t="str">
        <f ca="1">IFERROR(__xludf.DUMMYFUNCTION("""COMPUTED_VALUE"""),"Новый")</f>
        <v>Новый</v>
      </c>
      <c r="G5068" s="68"/>
      <c r="K5068" s="68"/>
    </row>
    <row r="5069" spans="1:11" ht="12.75">
      <c r="A5069" s="69">
        <f ca="1">IFERROR(__xludf.DUMMYFUNCTION("""COMPUTED_VALUE"""),105379)</f>
        <v>105379</v>
      </c>
      <c r="B5069" s="4">
        <f ca="1">IFERROR(__xludf.DUMMYFUNCTION("""COMPUTED_VALUE"""),44799)</f>
        <v>44799</v>
      </c>
      <c r="C5069" t="str">
        <f ca="1">IFERROR(__xludf.DUMMYFUNCTION("""COMPUTED_VALUE"""),"БУ Г. ОМСКА ""УДХБ"" 144-СТР от 01.07.2022")</f>
        <v>БУ Г. ОМСКА "УДХБ" 144-СТР от 01.07.2022</v>
      </c>
      <c r="D50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69" t="str">
        <f ca="1">IFERROR(__xludf.DUMMYFUNCTION("""COMPUTED_VALUE"""),"Новый")</f>
        <v>Новый</v>
      </c>
      <c r="G5069" s="68"/>
      <c r="K5069" s="68"/>
    </row>
    <row r="5070" spans="1:11" ht="12.75">
      <c r="A5070" s="69">
        <f ca="1">IFERROR(__xludf.DUMMYFUNCTION("""COMPUTED_VALUE"""),105380)</f>
        <v>105380</v>
      </c>
      <c r="B5070" s="4">
        <f ca="1">IFERROR(__xludf.DUMMYFUNCTION("""COMPUTED_VALUE"""),44799)</f>
        <v>44799</v>
      </c>
      <c r="C5070" t="str">
        <f ca="1">IFERROR(__xludf.DUMMYFUNCTION("""COMPUTED_VALUE"""),"БУ Г. ОМСКА ""УДХБ"" 144-СТР от 01.07.2022")</f>
        <v>БУ Г. ОМСКА "УДХБ" 144-СТР от 01.07.2022</v>
      </c>
      <c r="D50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0" t="str">
        <f ca="1">IFERROR(__xludf.DUMMYFUNCTION("""COMPUTED_VALUE"""),"Новый")</f>
        <v>Новый</v>
      </c>
      <c r="G5070" s="68"/>
      <c r="K5070" s="68"/>
    </row>
    <row r="5071" spans="1:11" ht="12.75">
      <c r="A5071" s="69">
        <f ca="1">IFERROR(__xludf.DUMMYFUNCTION("""COMPUTED_VALUE"""),105381)</f>
        <v>105381</v>
      </c>
      <c r="B5071" s="4">
        <f ca="1">IFERROR(__xludf.DUMMYFUNCTION("""COMPUTED_VALUE"""),44799)</f>
        <v>44799</v>
      </c>
      <c r="C5071" t="str">
        <f ca="1">IFERROR(__xludf.DUMMYFUNCTION("""COMPUTED_VALUE"""),"БУ Г. ОМСКА ""УДХБ"" 144-СТР от 01.07.2022")</f>
        <v>БУ Г. ОМСКА "УДХБ" 144-СТР от 01.07.2022</v>
      </c>
      <c r="D50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1" t="str">
        <f ca="1">IFERROR(__xludf.DUMMYFUNCTION("""COMPUTED_VALUE"""),"Новый")</f>
        <v>Новый</v>
      </c>
      <c r="G5071" s="68"/>
      <c r="K5071" s="68"/>
    </row>
    <row r="5072" spans="1:11" ht="12.75">
      <c r="A5072" s="69">
        <f ca="1">IFERROR(__xludf.DUMMYFUNCTION("""COMPUTED_VALUE"""),105382)</f>
        <v>105382</v>
      </c>
      <c r="B5072" s="4">
        <f ca="1">IFERROR(__xludf.DUMMYFUNCTION("""COMPUTED_VALUE"""),44799)</f>
        <v>44799</v>
      </c>
      <c r="C5072" t="str">
        <f ca="1">IFERROR(__xludf.DUMMYFUNCTION("""COMPUTED_VALUE"""),"БУ Г. ОМСКА ""УДХБ"" 144-СТР от 01.07.2022")</f>
        <v>БУ Г. ОМСКА "УДХБ" 144-СТР от 01.07.2022</v>
      </c>
      <c r="D50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2" t="str">
        <f ca="1">IFERROR(__xludf.DUMMYFUNCTION("""COMPUTED_VALUE"""),"Новый")</f>
        <v>Новый</v>
      </c>
      <c r="G5072" s="68"/>
      <c r="K5072" s="68"/>
    </row>
    <row r="5073" spans="1:11" ht="12.75">
      <c r="A5073" s="69">
        <f ca="1">IFERROR(__xludf.DUMMYFUNCTION("""COMPUTED_VALUE"""),105383)</f>
        <v>105383</v>
      </c>
      <c r="B5073" s="4">
        <f ca="1">IFERROR(__xludf.DUMMYFUNCTION("""COMPUTED_VALUE"""),44799)</f>
        <v>44799</v>
      </c>
      <c r="C5073" t="str">
        <f ca="1">IFERROR(__xludf.DUMMYFUNCTION("""COMPUTED_VALUE"""),"БУ Г. ОМСКА ""УДХБ"" 144-СТР от 01.07.2022")</f>
        <v>БУ Г. ОМСКА "УДХБ" 144-СТР от 01.07.2022</v>
      </c>
      <c r="D50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3" t="str">
        <f ca="1">IFERROR(__xludf.DUMMYFUNCTION("""COMPUTED_VALUE"""),"Новый")</f>
        <v>Новый</v>
      </c>
      <c r="G5073" s="68"/>
      <c r="K5073" s="68"/>
    </row>
    <row r="5074" spans="1:11" ht="12.75">
      <c r="A5074" s="69">
        <f ca="1">IFERROR(__xludf.DUMMYFUNCTION("""COMPUTED_VALUE"""),105384)</f>
        <v>105384</v>
      </c>
      <c r="B5074" s="4">
        <f ca="1">IFERROR(__xludf.DUMMYFUNCTION("""COMPUTED_VALUE"""),44799)</f>
        <v>44799</v>
      </c>
      <c r="C5074" t="str">
        <f ca="1">IFERROR(__xludf.DUMMYFUNCTION("""COMPUTED_VALUE"""),"БУ Г. ОМСКА ""УДХБ"" 144-СТР от 01.07.2022")</f>
        <v>БУ Г. ОМСКА "УДХБ" 144-СТР от 01.07.2022</v>
      </c>
      <c r="D50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4" t="str">
        <f ca="1">IFERROR(__xludf.DUMMYFUNCTION("""COMPUTED_VALUE"""),"Новый")</f>
        <v>Новый</v>
      </c>
      <c r="G5074" s="68"/>
      <c r="K5074" s="68"/>
    </row>
    <row r="5075" spans="1:11" ht="12.75">
      <c r="A5075" s="69">
        <f ca="1">IFERROR(__xludf.DUMMYFUNCTION("""COMPUTED_VALUE"""),105385)</f>
        <v>105385</v>
      </c>
      <c r="B5075" s="4">
        <f ca="1">IFERROR(__xludf.DUMMYFUNCTION("""COMPUTED_VALUE"""),44799)</f>
        <v>44799</v>
      </c>
      <c r="C5075" t="str">
        <f ca="1">IFERROR(__xludf.DUMMYFUNCTION("""COMPUTED_VALUE"""),"БУ Г. ОМСКА ""УДХБ"" 144-СТР от 01.07.2022")</f>
        <v>БУ Г. ОМСКА "УДХБ" 144-СТР от 01.07.2022</v>
      </c>
      <c r="D50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5" t="str">
        <f ca="1">IFERROR(__xludf.DUMMYFUNCTION("""COMPUTED_VALUE"""),"Новый")</f>
        <v>Новый</v>
      </c>
      <c r="G5075" s="68"/>
      <c r="K5075" s="68"/>
    </row>
    <row r="5076" spans="1:11" ht="12.75">
      <c r="A5076" s="69">
        <f ca="1">IFERROR(__xludf.DUMMYFUNCTION("""COMPUTED_VALUE"""),105386)</f>
        <v>105386</v>
      </c>
      <c r="B5076" s="4">
        <f ca="1">IFERROR(__xludf.DUMMYFUNCTION("""COMPUTED_VALUE"""),44799)</f>
        <v>44799</v>
      </c>
      <c r="C5076" t="str">
        <f ca="1">IFERROR(__xludf.DUMMYFUNCTION("""COMPUTED_VALUE"""),"БУ Г. ОМСКА ""УДХБ"" 144-СТР от 01.07.2022")</f>
        <v>БУ Г. ОМСКА "УДХБ" 144-СТР от 01.07.2022</v>
      </c>
      <c r="D50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6" t="str">
        <f ca="1">IFERROR(__xludf.DUMMYFUNCTION("""COMPUTED_VALUE"""),"Новый")</f>
        <v>Новый</v>
      </c>
      <c r="G5076" s="68"/>
      <c r="K5076" s="68"/>
    </row>
    <row r="5077" spans="1:11" ht="12.75">
      <c r="A5077" s="69">
        <f ca="1">IFERROR(__xludf.DUMMYFUNCTION("""COMPUTED_VALUE"""),105387)</f>
        <v>105387</v>
      </c>
      <c r="B5077" s="4">
        <f ca="1">IFERROR(__xludf.DUMMYFUNCTION("""COMPUTED_VALUE"""),44799)</f>
        <v>44799</v>
      </c>
      <c r="C5077" t="str">
        <f ca="1">IFERROR(__xludf.DUMMYFUNCTION("""COMPUTED_VALUE"""),"БУ Г. ОМСКА ""УДХБ"" 144-СТР от 01.07.2022")</f>
        <v>БУ Г. ОМСКА "УДХБ" 144-СТР от 01.07.2022</v>
      </c>
      <c r="D50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7" t="str">
        <f ca="1">IFERROR(__xludf.DUMMYFUNCTION("""COMPUTED_VALUE"""),"Новый")</f>
        <v>Новый</v>
      </c>
      <c r="G5077" s="68"/>
      <c r="K5077" s="68"/>
    </row>
    <row r="5078" spans="1:11" ht="12.75">
      <c r="A5078" s="69">
        <f ca="1">IFERROR(__xludf.DUMMYFUNCTION("""COMPUTED_VALUE"""),105388)</f>
        <v>105388</v>
      </c>
      <c r="B5078" s="4">
        <f ca="1">IFERROR(__xludf.DUMMYFUNCTION("""COMPUTED_VALUE"""),44799)</f>
        <v>44799</v>
      </c>
      <c r="C5078" t="str">
        <f ca="1">IFERROR(__xludf.DUMMYFUNCTION("""COMPUTED_VALUE"""),"БУ Г. ОМСКА ""УДХБ"" 144-СТР от 01.07.2022")</f>
        <v>БУ Г. ОМСКА "УДХБ" 144-СТР от 01.07.2022</v>
      </c>
      <c r="D50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8" t="str">
        <f ca="1">IFERROR(__xludf.DUMMYFUNCTION("""COMPUTED_VALUE"""),"Новый")</f>
        <v>Новый</v>
      </c>
      <c r="G5078" s="68"/>
      <c r="K5078" s="68"/>
    </row>
    <row r="5079" spans="1:11" ht="12.75">
      <c r="A5079" s="69">
        <f ca="1">IFERROR(__xludf.DUMMYFUNCTION("""COMPUTED_VALUE"""),105389)</f>
        <v>105389</v>
      </c>
      <c r="B5079" s="4">
        <f ca="1">IFERROR(__xludf.DUMMYFUNCTION("""COMPUTED_VALUE"""),44799)</f>
        <v>44799</v>
      </c>
      <c r="C5079" t="str">
        <f ca="1">IFERROR(__xludf.DUMMYFUNCTION("""COMPUTED_VALUE"""),"БУ Г. ОМСКА ""УДХБ"" 144-СТР от 01.07.2022")</f>
        <v>БУ Г. ОМСКА "УДХБ" 144-СТР от 01.07.2022</v>
      </c>
      <c r="D50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79" t="str">
        <f ca="1">IFERROR(__xludf.DUMMYFUNCTION("""COMPUTED_VALUE"""),"Новый")</f>
        <v>Новый</v>
      </c>
      <c r="G5079" s="68"/>
      <c r="K5079" s="68"/>
    </row>
    <row r="5080" spans="1:11" ht="12.75">
      <c r="A5080" s="69">
        <f ca="1">IFERROR(__xludf.DUMMYFUNCTION("""COMPUTED_VALUE"""),105410)</f>
        <v>105410</v>
      </c>
      <c r="B5080" s="4">
        <f ca="1">IFERROR(__xludf.DUMMYFUNCTION("""COMPUTED_VALUE"""),44802)</f>
        <v>44802</v>
      </c>
      <c r="C5080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0" t="str">
        <f ca="1">IFERROR(__xludf.DUMMYFUNCTION("""COMPUTED_VALUE"""),"Новый")</f>
        <v>Новый</v>
      </c>
      <c r="G5080" s="68"/>
      <c r="K5080" s="68"/>
    </row>
    <row r="5081" spans="1:11" ht="12.75">
      <c r="A5081" s="69">
        <f ca="1">IFERROR(__xludf.DUMMYFUNCTION("""COMPUTED_VALUE"""),105411)</f>
        <v>105411</v>
      </c>
      <c r="B5081" s="4">
        <f ca="1">IFERROR(__xludf.DUMMYFUNCTION("""COMPUTED_VALUE"""),44802)</f>
        <v>44802</v>
      </c>
      <c r="C5081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1" t="str">
        <f ca="1">IFERROR(__xludf.DUMMYFUNCTION("""COMPUTED_VALUE"""),"Новый")</f>
        <v>Новый</v>
      </c>
      <c r="G5081" s="68"/>
      <c r="K5081" s="68"/>
    </row>
    <row r="5082" spans="1:11" ht="12.75">
      <c r="A5082" s="69">
        <f ca="1">IFERROR(__xludf.DUMMYFUNCTION("""COMPUTED_VALUE"""),105412)</f>
        <v>105412</v>
      </c>
      <c r="B5082" s="4">
        <f ca="1">IFERROR(__xludf.DUMMYFUNCTION("""COMPUTED_VALUE"""),44802)</f>
        <v>44802</v>
      </c>
      <c r="C5082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2" t="str">
        <f ca="1">IFERROR(__xludf.DUMMYFUNCTION("""COMPUTED_VALUE"""),"Новый")</f>
        <v>Новый</v>
      </c>
      <c r="G5082" s="68"/>
      <c r="K5082" s="68"/>
    </row>
    <row r="5083" spans="1:11" ht="12.75">
      <c r="A5083" s="69">
        <f ca="1">IFERROR(__xludf.DUMMYFUNCTION("""COMPUTED_VALUE"""),105413)</f>
        <v>105413</v>
      </c>
      <c r="B5083" s="4">
        <f ca="1">IFERROR(__xludf.DUMMYFUNCTION("""COMPUTED_VALUE"""),44802)</f>
        <v>44802</v>
      </c>
      <c r="C5083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3" t="str">
        <f ca="1">IFERROR(__xludf.DUMMYFUNCTION("""COMPUTED_VALUE"""),"Новый")</f>
        <v>Новый</v>
      </c>
      <c r="G5083" s="68"/>
      <c r="K5083" s="68"/>
    </row>
    <row r="5084" spans="1:11" ht="12.75">
      <c r="A5084" s="69">
        <f ca="1">IFERROR(__xludf.DUMMYFUNCTION("""COMPUTED_VALUE"""),105414)</f>
        <v>105414</v>
      </c>
      <c r="B5084" s="4">
        <f ca="1">IFERROR(__xludf.DUMMYFUNCTION("""COMPUTED_VALUE"""),44802)</f>
        <v>44802</v>
      </c>
      <c r="C5084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4" t="str">
        <f ca="1">IFERROR(__xludf.DUMMYFUNCTION("""COMPUTED_VALUE"""),"Новый")</f>
        <v>Новый</v>
      </c>
      <c r="G5084" s="68"/>
      <c r="K5084" s="68"/>
    </row>
    <row r="5085" spans="1:11" ht="12.75">
      <c r="A5085" s="69">
        <f ca="1">IFERROR(__xludf.DUMMYFUNCTION("""COMPUTED_VALUE"""),105415)</f>
        <v>105415</v>
      </c>
      <c r="B5085" s="4">
        <f ca="1">IFERROR(__xludf.DUMMYFUNCTION("""COMPUTED_VALUE"""),44802)</f>
        <v>44802</v>
      </c>
      <c r="C5085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5" t="str">
        <f ca="1">IFERROR(__xludf.DUMMYFUNCTION("""COMPUTED_VALUE"""),"Новый")</f>
        <v>Новый</v>
      </c>
      <c r="G5085" s="68"/>
      <c r="K5085" s="68"/>
    </row>
    <row r="5086" spans="1:11" ht="12.75">
      <c r="A5086" s="69">
        <f ca="1">IFERROR(__xludf.DUMMYFUNCTION("""COMPUTED_VALUE"""),105416)</f>
        <v>105416</v>
      </c>
      <c r="B5086" s="4">
        <f ca="1">IFERROR(__xludf.DUMMYFUNCTION("""COMPUTED_VALUE"""),44802)</f>
        <v>44802</v>
      </c>
      <c r="C5086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6" t="str">
        <f ca="1">IFERROR(__xludf.DUMMYFUNCTION("""COMPUTED_VALUE"""),"Новый")</f>
        <v>Новый</v>
      </c>
      <c r="G5086" s="68"/>
      <c r="K5086" s="68"/>
    </row>
    <row r="5087" spans="1:11" ht="12.75">
      <c r="A5087" s="69">
        <f ca="1">IFERROR(__xludf.DUMMYFUNCTION("""COMPUTED_VALUE"""),105417)</f>
        <v>105417</v>
      </c>
      <c r="B5087" s="4">
        <f ca="1">IFERROR(__xludf.DUMMYFUNCTION("""COMPUTED_VALUE"""),44802)</f>
        <v>44802</v>
      </c>
      <c r="C5087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7" t="str">
        <f ca="1">IFERROR(__xludf.DUMMYFUNCTION("""COMPUTED_VALUE"""),"Новый")</f>
        <v>Новый</v>
      </c>
      <c r="G5087" s="68"/>
      <c r="K5087" s="68"/>
    </row>
    <row r="5088" spans="1:11" ht="12.75">
      <c r="A5088" s="69">
        <f ca="1">IFERROR(__xludf.DUMMYFUNCTION("""COMPUTED_VALUE"""),105418)</f>
        <v>105418</v>
      </c>
      <c r="B5088" s="4">
        <f ca="1">IFERROR(__xludf.DUMMYFUNCTION("""COMPUTED_VALUE"""),44802)</f>
        <v>44802</v>
      </c>
      <c r="C5088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8" t="str">
        <f ca="1">IFERROR(__xludf.DUMMYFUNCTION("""COMPUTED_VALUE"""),"Новый")</f>
        <v>Новый</v>
      </c>
      <c r="G5088" s="68"/>
      <c r="K5088" s="68"/>
    </row>
    <row r="5089" spans="1:11" ht="12.75">
      <c r="A5089" s="69">
        <f ca="1">IFERROR(__xludf.DUMMYFUNCTION("""COMPUTED_VALUE"""),105419)</f>
        <v>105419</v>
      </c>
      <c r="B5089" s="4">
        <f ca="1">IFERROR(__xludf.DUMMYFUNCTION("""COMPUTED_VALUE"""),44802)</f>
        <v>44802</v>
      </c>
      <c r="C5089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89" t="str">
        <f ca="1">IFERROR(__xludf.DUMMYFUNCTION("""COMPUTED_VALUE"""),"Новый")</f>
        <v>Новый</v>
      </c>
      <c r="G5089" s="68"/>
      <c r="K5089" s="68"/>
    </row>
    <row r="5090" spans="1:11" ht="12.75">
      <c r="A5090" s="69">
        <f ca="1">IFERROR(__xludf.DUMMYFUNCTION("""COMPUTED_VALUE"""),105420)</f>
        <v>105420</v>
      </c>
      <c r="B5090" s="4">
        <f ca="1">IFERROR(__xludf.DUMMYFUNCTION("""COMPUTED_VALUE"""),44802)</f>
        <v>44802</v>
      </c>
      <c r="C5090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0" t="str">
        <f ca="1">IFERROR(__xludf.DUMMYFUNCTION("""COMPUTED_VALUE"""),"Новый")</f>
        <v>Новый</v>
      </c>
      <c r="G5090" s="68"/>
      <c r="K5090" s="68"/>
    </row>
    <row r="5091" spans="1:11" ht="12.75">
      <c r="A5091" s="69">
        <f ca="1">IFERROR(__xludf.DUMMYFUNCTION("""COMPUTED_VALUE"""),105421)</f>
        <v>105421</v>
      </c>
      <c r="B5091" s="4">
        <f ca="1">IFERROR(__xludf.DUMMYFUNCTION("""COMPUTED_VALUE"""),44802)</f>
        <v>44802</v>
      </c>
      <c r="C5091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1" t="str">
        <f ca="1">IFERROR(__xludf.DUMMYFUNCTION("""COMPUTED_VALUE"""),"Новый")</f>
        <v>Новый</v>
      </c>
      <c r="G5091" s="68"/>
      <c r="K5091" s="68"/>
    </row>
    <row r="5092" spans="1:11" ht="12.75">
      <c r="A5092" s="69">
        <f ca="1">IFERROR(__xludf.DUMMYFUNCTION("""COMPUTED_VALUE"""),105422)</f>
        <v>105422</v>
      </c>
      <c r="B5092" s="4">
        <f ca="1">IFERROR(__xludf.DUMMYFUNCTION("""COMPUTED_VALUE"""),44802)</f>
        <v>44802</v>
      </c>
      <c r="C5092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2" t="str">
        <f ca="1">IFERROR(__xludf.DUMMYFUNCTION("""COMPUTED_VALUE"""),"Новый")</f>
        <v>Новый</v>
      </c>
      <c r="G5092" s="68"/>
      <c r="K5092" s="68"/>
    </row>
    <row r="5093" spans="1:11" ht="12.75">
      <c r="A5093" s="69">
        <f ca="1">IFERROR(__xludf.DUMMYFUNCTION("""COMPUTED_VALUE"""),105423)</f>
        <v>105423</v>
      </c>
      <c r="B5093" s="4">
        <f ca="1">IFERROR(__xludf.DUMMYFUNCTION("""COMPUTED_VALUE"""),44802)</f>
        <v>44802</v>
      </c>
      <c r="C5093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3" t="str">
        <f ca="1">IFERROR(__xludf.DUMMYFUNCTION("""COMPUTED_VALUE"""),"Новый")</f>
        <v>Новый</v>
      </c>
      <c r="G5093" s="68"/>
      <c r="K5093" s="68"/>
    </row>
    <row r="5094" spans="1:11" ht="12.75">
      <c r="A5094" s="69">
        <f ca="1">IFERROR(__xludf.DUMMYFUNCTION("""COMPUTED_VALUE"""),105424)</f>
        <v>105424</v>
      </c>
      <c r="B5094" s="4">
        <f ca="1">IFERROR(__xludf.DUMMYFUNCTION("""COMPUTED_VALUE"""),44802)</f>
        <v>44802</v>
      </c>
      <c r="C5094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4" t="str">
        <f ca="1">IFERROR(__xludf.DUMMYFUNCTION("""COMPUTED_VALUE"""),"Новый")</f>
        <v>Новый</v>
      </c>
      <c r="G5094" s="68"/>
      <c r="K5094" s="68"/>
    </row>
    <row r="5095" spans="1:11" ht="12.75">
      <c r="A5095" s="69">
        <f ca="1">IFERROR(__xludf.DUMMYFUNCTION("""COMPUTED_VALUE"""),105425)</f>
        <v>105425</v>
      </c>
      <c r="B5095" s="4">
        <f ca="1">IFERROR(__xludf.DUMMYFUNCTION("""COMPUTED_VALUE"""),44802)</f>
        <v>44802</v>
      </c>
      <c r="C5095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5" t="str">
        <f ca="1">IFERROR(__xludf.DUMMYFUNCTION("""COMPUTED_VALUE"""),"Новый")</f>
        <v>Новый</v>
      </c>
      <c r="G5095" s="68"/>
      <c r="K5095" s="68"/>
    </row>
    <row r="5096" spans="1:11" ht="12.75">
      <c r="A5096" s="69">
        <f ca="1">IFERROR(__xludf.DUMMYFUNCTION("""COMPUTED_VALUE"""),105426)</f>
        <v>105426</v>
      </c>
      <c r="B5096" s="4">
        <f ca="1">IFERROR(__xludf.DUMMYFUNCTION("""COMPUTED_VALUE"""),44802)</f>
        <v>44802</v>
      </c>
      <c r="C5096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6" t="str">
        <f ca="1">IFERROR(__xludf.DUMMYFUNCTION("""COMPUTED_VALUE"""),"Новый")</f>
        <v>Новый</v>
      </c>
      <c r="G5096" s="68"/>
      <c r="K5096" s="68"/>
    </row>
    <row r="5097" spans="1:11" ht="12.75">
      <c r="A5097" s="69">
        <f ca="1">IFERROR(__xludf.DUMMYFUNCTION("""COMPUTED_VALUE"""),105427)</f>
        <v>105427</v>
      </c>
      <c r="B5097" s="4">
        <f ca="1">IFERROR(__xludf.DUMMYFUNCTION("""COMPUTED_VALUE"""),44802)</f>
        <v>44802</v>
      </c>
      <c r="C5097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7" t="str">
        <f ca="1">IFERROR(__xludf.DUMMYFUNCTION("""COMPUTED_VALUE"""),"Новый")</f>
        <v>Новый</v>
      </c>
      <c r="G5097" s="68"/>
      <c r="K5097" s="68"/>
    </row>
    <row r="5098" spans="1:11" ht="12.75">
      <c r="A5098" s="69">
        <f ca="1">IFERROR(__xludf.DUMMYFUNCTION("""COMPUTED_VALUE"""),105428)</f>
        <v>105428</v>
      </c>
      <c r="B5098" s="4">
        <f ca="1">IFERROR(__xludf.DUMMYFUNCTION("""COMPUTED_VALUE"""),44802)</f>
        <v>44802</v>
      </c>
      <c r="C5098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8" t="str">
        <f ca="1">IFERROR(__xludf.DUMMYFUNCTION("""COMPUTED_VALUE"""),"Новый")</f>
        <v>Новый</v>
      </c>
      <c r="G5098" s="68"/>
      <c r="K5098" s="68"/>
    </row>
    <row r="5099" spans="1:11" ht="12.75">
      <c r="A5099" s="69">
        <f ca="1">IFERROR(__xludf.DUMMYFUNCTION("""COMPUTED_VALUE"""),105429)</f>
        <v>105429</v>
      </c>
      <c r="B5099" s="4">
        <f ca="1">IFERROR(__xludf.DUMMYFUNCTION("""COMPUTED_VALUE"""),44802)</f>
        <v>44802</v>
      </c>
      <c r="C5099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0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099" t="str">
        <f ca="1">IFERROR(__xludf.DUMMYFUNCTION("""COMPUTED_VALUE"""),"Новый")</f>
        <v>Новый</v>
      </c>
      <c r="G5099" s="68"/>
      <c r="K5099" s="68"/>
    </row>
    <row r="5100" spans="1:11" ht="12.75">
      <c r="A5100" s="69">
        <f ca="1">IFERROR(__xludf.DUMMYFUNCTION("""COMPUTED_VALUE"""),105448)</f>
        <v>105448</v>
      </c>
      <c r="B5100" s="4">
        <f ca="1">IFERROR(__xludf.DUMMYFUNCTION("""COMPUTED_VALUE"""),44802)</f>
        <v>44802</v>
      </c>
      <c r="C5100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1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0" t="str">
        <f ca="1">IFERROR(__xludf.DUMMYFUNCTION("""COMPUTED_VALUE"""),"Новый")</f>
        <v>Новый</v>
      </c>
      <c r="G5100" s="68"/>
      <c r="K5100" s="68"/>
    </row>
    <row r="5101" spans="1:11" ht="12.75">
      <c r="A5101" s="69">
        <f ca="1">IFERROR(__xludf.DUMMYFUNCTION("""COMPUTED_VALUE"""),105449)</f>
        <v>105449</v>
      </c>
      <c r="B5101" s="4">
        <f ca="1">IFERROR(__xludf.DUMMYFUNCTION("""COMPUTED_VALUE"""),44802)</f>
        <v>44802</v>
      </c>
      <c r="C5101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51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1" t="str">
        <f ca="1">IFERROR(__xludf.DUMMYFUNCTION("""COMPUTED_VALUE"""),"Новый")</f>
        <v>Новый</v>
      </c>
      <c r="G5101" s="68"/>
      <c r="K5101" s="68"/>
    </row>
    <row r="5102" spans="1:11" ht="12.75">
      <c r="A5102" s="69">
        <f ca="1">IFERROR(__xludf.DUMMYFUNCTION("""COMPUTED_VALUE"""),105450)</f>
        <v>105450</v>
      </c>
      <c r="B5102" s="4">
        <f ca="1">IFERROR(__xludf.DUMMYFUNCTION("""COMPUTED_VALUE"""),44802)</f>
        <v>44802</v>
      </c>
      <c r="C5102" t="str">
        <f ca="1">IFERROR(__xludf.DUMMYFUNCTION("""COMPUTED_VALUE"""),"ООО НИЦ «Сертом»")</f>
        <v>ООО НИЦ «Сертом»</v>
      </c>
      <c r="D51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2" t="str">
        <f ca="1">IFERROR(__xludf.DUMMYFUNCTION("""COMPUTED_VALUE"""),"Новый")</f>
        <v>Новый</v>
      </c>
      <c r="G5102" s="68"/>
      <c r="K5102" s="68"/>
    </row>
    <row r="5103" spans="1:11" ht="12.75">
      <c r="A5103" s="69">
        <f ca="1">IFERROR(__xludf.DUMMYFUNCTION("""COMPUTED_VALUE"""),105451)</f>
        <v>105451</v>
      </c>
      <c r="B5103" s="4">
        <f ca="1">IFERROR(__xludf.DUMMYFUNCTION("""COMPUTED_VALUE"""),44802)</f>
        <v>44802</v>
      </c>
      <c r="C5103" t="str">
        <f ca="1">IFERROR(__xludf.DUMMYFUNCTION("""COMPUTED_VALUE"""),"ООО НИЦ «Сертом»")</f>
        <v>ООО НИЦ «Сертом»</v>
      </c>
      <c r="D51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3" t="str">
        <f ca="1">IFERROR(__xludf.DUMMYFUNCTION("""COMPUTED_VALUE"""),"Новый")</f>
        <v>Новый</v>
      </c>
      <c r="G5103" s="68"/>
      <c r="K5103" s="68"/>
    </row>
    <row r="5104" spans="1:11" ht="12.75">
      <c r="A5104" s="69">
        <f ca="1">IFERROR(__xludf.DUMMYFUNCTION("""COMPUTED_VALUE"""),105452)</f>
        <v>105452</v>
      </c>
      <c r="B5104" s="4">
        <f ca="1">IFERROR(__xludf.DUMMYFUNCTION("""COMPUTED_VALUE"""),44802)</f>
        <v>44802</v>
      </c>
      <c r="C5104" t="str">
        <f ca="1">IFERROR(__xludf.DUMMYFUNCTION("""COMPUTED_VALUE"""),"ООО НИЦ «Сертом»")</f>
        <v>ООО НИЦ «Сертом»</v>
      </c>
      <c r="D51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4" t="str">
        <f ca="1">IFERROR(__xludf.DUMMYFUNCTION("""COMPUTED_VALUE"""),"Новый")</f>
        <v>Новый</v>
      </c>
      <c r="G5104" s="68"/>
      <c r="K5104" s="68"/>
    </row>
    <row r="5105" spans="1:11" ht="12.75">
      <c r="A5105" s="69">
        <f ca="1">IFERROR(__xludf.DUMMYFUNCTION("""COMPUTED_VALUE"""),105453)</f>
        <v>105453</v>
      </c>
      <c r="B5105" s="4">
        <f ca="1">IFERROR(__xludf.DUMMYFUNCTION("""COMPUTED_VALUE"""),44802)</f>
        <v>44802</v>
      </c>
      <c r="C5105" t="str">
        <f ca="1">IFERROR(__xludf.DUMMYFUNCTION("""COMPUTED_VALUE"""),"ООО НИЦ «Сертом»")</f>
        <v>ООО НИЦ «Сертом»</v>
      </c>
      <c r="D51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5" t="str">
        <f ca="1">IFERROR(__xludf.DUMMYFUNCTION("""COMPUTED_VALUE"""),"Новый")</f>
        <v>Новый</v>
      </c>
      <c r="G5105" s="68"/>
      <c r="K5105" s="68"/>
    </row>
    <row r="5106" spans="1:11" ht="12.75">
      <c r="A5106" s="69">
        <f ca="1">IFERROR(__xludf.DUMMYFUNCTION("""COMPUTED_VALUE"""),105454)</f>
        <v>105454</v>
      </c>
      <c r="B5106" s="4">
        <f ca="1">IFERROR(__xludf.DUMMYFUNCTION("""COMPUTED_VALUE"""),44802)</f>
        <v>44802</v>
      </c>
      <c r="C5106" t="str">
        <f ca="1">IFERROR(__xludf.DUMMYFUNCTION("""COMPUTED_VALUE"""),"ООО НИЦ «Сертом»")</f>
        <v>ООО НИЦ «Сертом»</v>
      </c>
      <c r="D51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6" t="str">
        <f ca="1">IFERROR(__xludf.DUMMYFUNCTION("""COMPUTED_VALUE"""),"Новый")</f>
        <v>Новый</v>
      </c>
      <c r="G5106" s="68"/>
      <c r="K5106" s="68"/>
    </row>
    <row r="5107" spans="1:11" ht="12.75">
      <c r="A5107" s="69">
        <f ca="1">IFERROR(__xludf.DUMMYFUNCTION("""COMPUTED_VALUE"""),105455)</f>
        <v>105455</v>
      </c>
      <c r="B5107" s="4">
        <f ca="1">IFERROR(__xludf.DUMMYFUNCTION("""COMPUTED_VALUE"""),44802)</f>
        <v>44802</v>
      </c>
      <c r="C5107" t="str">
        <f ca="1">IFERROR(__xludf.DUMMYFUNCTION("""COMPUTED_VALUE"""),"ООО НИЦ «Сертом»")</f>
        <v>ООО НИЦ «Сертом»</v>
      </c>
      <c r="D51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7" t="str">
        <f ca="1">IFERROR(__xludf.DUMMYFUNCTION("""COMPUTED_VALUE"""),"Новый")</f>
        <v>Новый</v>
      </c>
      <c r="G5107" s="68"/>
      <c r="K5107" s="68"/>
    </row>
    <row r="5108" spans="1:11" ht="12.75">
      <c r="A5108" s="69">
        <f ca="1">IFERROR(__xludf.DUMMYFUNCTION("""COMPUTED_VALUE"""),105456)</f>
        <v>105456</v>
      </c>
      <c r="B5108" s="4">
        <f ca="1">IFERROR(__xludf.DUMMYFUNCTION("""COMPUTED_VALUE"""),44802)</f>
        <v>44802</v>
      </c>
      <c r="C5108" t="str">
        <f ca="1">IFERROR(__xludf.DUMMYFUNCTION("""COMPUTED_VALUE"""),"ООО НИЦ «Сертом»")</f>
        <v>ООО НИЦ «Сертом»</v>
      </c>
      <c r="D51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8" t="str">
        <f ca="1">IFERROR(__xludf.DUMMYFUNCTION("""COMPUTED_VALUE"""),"Новый")</f>
        <v>Новый</v>
      </c>
      <c r="G5108" s="68"/>
      <c r="K5108" s="68"/>
    </row>
    <row r="5109" spans="1:11" ht="12.75">
      <c r="A5109" s="69">
        <f ca="1">IFERROR(__xludf.DUMMYFUNCTION("""COMPUTED_VALUE"""),105457)</f>
        <v>105457</v>
      </c>
      <c r="B5109" s="4">
        <f ca="1">IFERROR(__xludf.DUMMYFUNCTION("""COMPUTED_VALUE"""),44802)</f>
        <v>44802</v>
      </c>
      <c r="C5109" t="str">
        <f ca="1">IFERROR(__xludf.DUMMYFUNCTION("""COMPUTED_VALUE"""),"ООО НИЦ «Сертом»")</f>
        <v>ООО НИЦ «Сертом»</v>
      </c>
      <c r="D51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09" t="str">
        <f ca="1">IFERROR(__xludf.DUMMYFUNCTION("""COMPUTED_VALUE"""),"Новый")</f>
        <v>Новый</v>
      </c>
      <c r="G5109" s="68"/>
      <c r="K5109" s="68"/>
    </row>
    <row r="5110" spans="1:11" ht="12.75">
      <c r="A5110" s="69">
        <f ca="1">IFERROR(__xludf.DUMMYFUNCTION("""COMPUTED_VALUE"""),105458)</f>
        <v>105458</v>
      </c>
      <c r="B5110" s="4">
        <f ca="1">IFERROR(__xludf.DUMMYFUNCTION("""COMPUTED_VALUE"""),44802)</f>
        <v>44802</v>
      </c>
      <c r="C5110" t="str">
        <f ca="1">IFERROR(__xludf.DUMMYFUNCTION("""COMPUTED_VALUE"""),"ООО НИЦ «Сертом»")</f>
        <v>ООО НИЦ «Сертом»</v>
      </c>
      <c r="D51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0" t="str">
        <f ca="1">IFERROR(__xludf.DUMMYFUNCTION("""COMPUTED_VALUE"""),"Новый")</f>
        <v>Новый</v>
      </c>
      <c r="G5110" s="68"/>
      <c r="K5110" s="68"/>
    </row>
    <row r="5111" spans="1:11" ht="12.75">
      <c r="A5111" s="69">
        <f ca="1">IFERROR(__xludf.DUMMYFUNCTION("""COMPUTED_VALUE"""),105459)</f>
        <v>105459</v>
      </c>
      <c r="B5111" s="4">
        <f ca="1">IFERROR(__xludf.DUMMYFUNCTION("""COMPUTED_VALUE"""),44802)</f>
        <v>44802</v>
      </c>
      <c r="C5111" t="str">
        <f ca="1">IFERROR(__xludf.DUMMYFUNCTION("""COMPUTED_VALUE"""),"ООО НИЦ «Сертом»")</f>
        <v>ООО НИЦ «Сертом»</v>
      </c>
      <c r="D51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1" t="str">
        <f ca="1">IFERROR(__xludf.DUMMYFUNCTION("""COMPUTED_VALUE"""),"Новый")</f>
        <v>Новый</v>
      </c>
      <c r="G5111" s="68"/>
      <c r="K5111" s="68"/>
    </row>
    <row r="5112" spans="1:11" ht="12.75">
      <c r="A5112" s="69">
        <f ca="1">IFERROR(__xludf.DUMMYFUNCTION("""COMPUTED_VALUE"""),105470)</f>
        <v>105470</v>
      </c>
      <c r="B5112" s="4">
        <f ca="1">IFERROR(__xludf.DUMMYFUNCTION("""COMPUTED_VALUE"""),44802)</f>
        <v>44802</v>
      </c>
      <c r="C5112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2" t="str">
        <f ca="1">IFERROR(__xludf.DUMMYFUNCTION("""COMPUTED_VALUE"""),"Новый")</f>
        <v>Новый</v>
      </c>
      <c r="G5112" s="68"/>
      <c r="K5112" s="68"/>
    </row>
    <row r="5113" spans="1:11" ht="12.75">
      <c r="A5113" s="69">
        <f ca="1">IFERROR(__xludf.DUMMYFUNCTION("""COMPUTED_VALUE"""),105471)</f>
        <v>105471</v>
      </c>
      <c r="B5113" s="4">
        <f ca="1">IFERROR(__xludf.DUMMYFUNCTION("""COMPUTED_VALUE"""),44802)</f>
        <v>44802</v>
      </c>
      <c r="C5113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3" t="str">
        <f ca="1">IFERROR(__xludf.DUMMYFUNCTION("""COMPUTED_VALUE"""),"Новый")</f>
        <v>Новый</v>
      </c>
      <c r="G5113" s="68"/>
      <c r="K5113" s="68"/>
    </row>
    <row r="5114" spans="1:11" ht="12.75">
      <c r="A5114" s="69">
        <f ca="1">IFERROR(__xludf.DUMMYFUNCTION("""COMPUTED_VALUE"""),105472)</f>
        <v>105472</v>
      </c>
      <c r="B5114" s="4">
        <f ca="1">IFERROR(__xludf.DUMMYFUNCTION("""COMPUTED_VALUE"""),44802)</f>
        <v>44802</v>
      </c>
      <c r="C5114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4" t="str">
        <f ca="1">IFERROR(__xludf.DUMMYFUNCTION("""COMPUTED_VALUE"""),"Новый")</f>
        <v>Новый</v>
      </c>
      <c r="G5114" s="68"/>
      <c r="K5114" s="68"/>
    </row>
    <row r="5115" spans="1:11" ht="12.75">
      <c r="A5115" s="69">
        <f ca="1">IFERROR(__xludf.DUMMYFUNCTION("""COMPUTED_VALUE"""),105473)</f>
        <v>105473</v>
      </c>
      <c r="B5115" s="4">
        <f ca="1">IFERROR(__xludf.DUMMYFUNCTION("""COMPUTED_VALUE"""),44802)</f>
        <v>44802</v>
      </c>
      <c r="C5115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5" t="str">
        <f ca="1">IFERROR(__xludf.DUMMYFUNCTION("""COMPUTED_VALUE"""),"Новый")</f>
        <v>Новый</v>
      </c>
      <c r="G5115" s="68"/>
      <c r="K5115" s="68"/>
    </row>
    <row r="5116" spans="1:11" ht="12.75">
      <c r="A5116" s="69">
        <f ca="1">IFERROR(__xludf.DUMMYFUNCTION("""COMPUTED_VALUE"""),105474)</f>
        <v>105474</v>
      </c>
      <c r="B5116" s="4">
        <f ca="1">IFERROR(__xludf.DUMMYFUNCTION("""COMPUTED_VALUE"""),44802)</f>
        <v>44802</v>
      </c>
      <c r="C5116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6" t="str">
        <f ca="1">IFERROR(__xludf.DUMMYFUNCTION("""COMPUTED_VALUE"""),"Новый")</f>
        <v>Новый</v>
      </c>
      <c r="G5116" s="68"/>
      <c r="K5116" s="68"/>
    </row>
    <row r="5117" spans="1:11" ht="12.75">
      <c r="A5117" s="69">
        <f ca="1">IFERROR(__xludf.DUMMYFUNCTION("""COMPUTED_VALUE"""),105475)</f>
        <v>105475</v>
      </c>
      <c r="B5117" s="4">
        <f ca="1">IFERROR(__xludf.DUMMYFUNCTION("""COMPUTED_VALUE"""),44802)</f>
        <v>44802</v>
      </c>
      <c r="C5117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7" t="str">
        <f ca="1">IFERROR(__xludf.DUMMYFUNCTION("""COMPUTED_VALUE"""),"Новый")</f>
        <v>Новый</v>
      </c>
      <c r="G5117" s="68"/>
      <c r="K5117" s="68"/>
    </row>
    <row r="5118" spans="1:11" ht="12.75">
      <c r="A5118" s="69">
        <f ca="1">IFERROR(__xludf.DUMMYFUNCTION("""COMPUTED_VALUE"""),105476)</f>
        <v>105476</v>
      </c>
      <c r="B5118" s="4">
        <f ca="1">IFERROR(__xludf.DUMMYFUNCTION("""COMPUTED_VALUE"""),44802)</f>
        <v>44802</v>
      </c>
      <c r="C5118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8" t="str">
        <f ca="1">IFERROR(__xludf.DUMMYFUNCTION("""COMPUTED_VALUE"""),"Новый")</f>
        <v>Новый</v>
      </c>
      <c r="G5118" s="68"/>
      <c r="K5118" s="68"/>
    </row>
    <row r="5119" spans="1:11" ht="12.75">
      <c r="A5119" s="69">
        <f ca="1">IFERROR(__xludf.DUMMYFUNCTION("""COMPUTED_VALUE"""),105477)</f>
        <v>105477</v>
      </c>
      <c r="B5119" s="4">
        <f ca="1">IFERROR(__xludf.DUMMYFUNCTION("""COMPUTED_VALUE"""),44802)</f>
        <v>44802</v>
      </c>
      <c r="C5119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19" t="str">
        <f ca="1">IFERROR(__xludf.DUMMYFUNCTION("""COMPUTED_VALUE"""),"Новый")</f>
        <v>Новый</v>
      </c>
      <c r="G5119" s="68"/>
      <c r="K5119" s="68"/>
    </row>
    <row r="5120" spans="1:11" ht="12.75">
      <c r="A5120" s="69">
        <f ca="1">IFERROR(__xludf.DUMMYFUNCTION("""COMPUTED_VALUE"""),105478)</f>
        <v>105478</v>
      </c>
      <c r="B5120" s="4">
        <f ca="1">IFERROR(__xludf.DUMMYFUNCTION("""COMPUTED_VALUE"""),44802)</f>
        <v>44802</v>
      </c>
      <c r="C5120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0" t="str">
        <f ca="1">IFERROR(__xludf.DUMMYFUNCTION("""COMPUTED_VALUE"""),"Новый")</f>
        <v>Новый</v>
      </c>
      <c r="G5120" s="68"/>
      <c r="K5120" s="68"/>
    </row>
    <row r="5121" spans="1:11" ht="12.75">
      <c r="A5121" s="69">
        <f ca="1">IFERROR(__xludf.DUMMYFUNCTION("""COMPUTED_VALUE"""),105479)</f>
        <v>105479</v>
      </c>
      <c r="B5121" s="4">
        <f ca="1">IFERROR(__xludf.DUMMYFUNCTION("""COMPUTED_VALUE"""),44802)</f>
        <v>44802</v>
      </c>
      <c r="C5121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1" t="str">
        <f ca="1">IFERROR(__xludf.DUMMYFUNCTION("""COMPUTED_VALUE"""),"Новый")</f>
        <v>Новый</v>
      </c>
      <c r="G5121" s="68"/>
      <c r="K5121" s="68"/>
    </row>
    <row r="5122" spans="1:11" ht="12.75">
      <c r="A5122" s="69">
        <f ca="1">IFERROR(__xludf.DUMMYFUNCTION("""COMPUTED_VALUE"""),105480)</f>
        <v>105480</v>
      </c>
      <c r="B5122" s="4">
        <f ca="1">IFERROR(__xludf.DUMMYFUNCTION("""COMPUTED_VALUE"""),44802)</f>
        <v>44802</v>
      </c>
      <c r="C5122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2" t="str">
        <f ca="1">IFERROR(__xludf.DUMMYFUNCTION("""COMPUTED_VALUE"""),"Новый")</f>
        <v>Новый</v>
      </c>
      <c r="G5122" s="68"/>
      <c r="K5122" s="68"/>
    </row>
    <row r="5123" spans="1:11" ht="12.75">
      <c r="A5123" s="69">
        <f ca="1">IFERROR(__xludf.DUMMYFUNCTION("""COMPUTED_VALUE"""),105481)</f>
        <v>105481</v>
      </c>
      <c r="B5123" s="4">
        <f ca="1">IFERROR(__xludf.DUMMYFUNCTION("""COMPUTED_VALUE"""),44802)</f>
        <v>44802</v>
      </c>
      <c r="C5123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3" t="str">
        <f ca="1">IFERROR(__xludf.DUMMYFUNCTION("""COMPUTED_VALUE"""),"Новый")</f>
        <v>Новый</v>
      </c>
      <c r="G5123" s="68"/>
      <c r="K5123" s="68"/>
    </row>
    <row r="5124" spans="1:11" ht="12.75">
      <c r="A5124" s="69">
        <f ca="1">IFERROR(__xludf.DUMMYFUNCTION("""COMPUTED_VALUE"""),105482)</f>
        <v>105482</v>
      </c>
      <c r="B5124" s="4">
        <f ca="1">IFERROR(__xludf.DUMMYFUNCTION("""COMPUTED_VALUE"""),44802)</f>
        <v>44802</v>
      </c>
      <c r="C5124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4" t="str">
        <f ca="1">IFERROR(__xludf.DUMMYFUNCTION("""COMPUTED_VALUE"""),"Новый")</f>
        <v>Новый</v>
      </c>
      <c r="G5124" s="68"/>
      <c r="K5124" s="68"/>
    </row>
    <row r="5125" spans="1:11" ht="12.75">
      <c r="A5125" s="69">
        <f ca="1">IFERROR(__xludf.DUMMYFUNCTION("""COMPUTED_VALUE"""),105483)</f>
        <v>105483</v>
      </c>
      <c r="B5125" s="4">
        <f ca="1">IFERROR(__xludf.DUMMYFUNCTION("""COMPUTED_VALUE"""),44802)</f>
        <v>44802</v>
      </c>
      <c r="C5125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5" t="str">
        <f ca="1">IFERROR(__xludf.DUMMYFUNCTION("""COMPUTED_VALUE"""),"Новый")</f>
        <v>Новый</v>
      </c>
      <c r="G5125" s="68"/>
      <c r="K5125" s="68"/>
    </row>
    <row r="5126" spans="1:11" ht="12.75">
      <c r="A5126" s="69">
        <f ca="1">IFERROR(__xludf.DUMMYFUNCTION("""COMPUTED_VALUE"""),105484)</f>
        <v>105484</v>
      </c>
      <c r="B5126" s="4">
        <f ca="1">IFERROR(__xludf.DUMMYFUNCTION("""COMPUTED_VALUE"""),44802)</f>
        <v>44802</v>
      </c>
      <c r="C5126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6" t="str">
        <f ca="1">IFERROR(__xludf.DUMMYFUNCTION("""COMPUTED_VALUE"""),"Новый")</f>
        <v>Новый</v>
      </c>
      <c r="G5126" s="68"/>
      <c r="K5126" s="68"/>
    </row>
    <row r="5127" spans="1:11" ht="12.75">
      <c r="A5127" s="69">
        <f ca="1">IFERROR(__xludf.DUMMYFUNCTION("""COMPUTED_VALUE"""),105485)</f>
        <v>105485</v>
      </c>
      <c r="B5127" s="4">
        <f ca="1">IFERROR(__xludf.DUMMYFUNCTION("""COMPUTED_VALUE"""),44802)</f>
        <v>44802</v>
      </c>
      <c r="C5127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7" t="str">
        <f ca="1">IFERROR(__xludf.DUMMYFUNCTION("""COMPUTED_VALUE"""),"Новый")</f>
        <v>Новый</v>
      </c>
      <c r="G5127" s="68"/>
      <c r="K5127" s="68"/>
    </row>
    <row r="5128" spans="1:11" ht="12.75">
      <c r="A5128" s="69">
        <f ca="1">IFERROR(__xludf.DUMMYFUNCTION("""COMPUTED_VALUE"""),105486)</f>
        <v>105486</v>
      </c>
      <c r="B5128" s="4">
        <f ca="1">IFERROR(__xludf.DUMMYFUNCTION("""COMPUTED_VALUE"""),44802)</f>
        <v>44802</v>
      </c>
      <c r="C5128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8" t="str">
        <f ca="1">IFERROR(__xludf.DUMMYFUNCTION("""COMPUTED_VALUE"""),"Новый")</f>
        <v>Новый</v>
      </c>
      <c r="G5128" s="68"/>
      <c r="K5128" s="68"/>
    </row>
    <row r="5129" spans="1:11" ht="12.75">
      <c r="A5129" s="69">
        <f ca="1">IFERROR(__xludf.DUMMYFUNCTION("""COMPUTED_VALUE"""),105487)</f>
        <v>105487</v>
      </c>
      <c r="B5129" s="4">
        <f ca="1">IFERROR(__xludf.DUMMYFUNCTION("""COMPUTED_VALUE"""),44802)</f>
        <v>44802</v>
      </c>
      <c r="C5129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29" t="str">
        <f ca="1">IFERROR(__xludf.DUMMYFUNCTION("""COMPUTED_VALUE"""),"Новый")</f>
        <v>Новый</v>
      </c>
      <c r="G5129" s="68"/>
      <c r="K5129" s="68"/>
    </row>
    <row r="5130" spans="1:11" ht="12.75">
      <c r="A5130" s="69">
        <f ca="1">IFERROR(__xludf.DUMMYFUNCTION("""COMPUTED_VALUE"""),105489)</f>
        <v>105489</v>
      </c>
      <c r="B5130" s="4">
        <f ca="1">IFERROR(__xludf.DUMMYFUNCTION("""COMPUTED_VALUE"""),44802)</f>
        <v>44802</v>
      </c>
      <c r="C5130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51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30" t="str">
        <f ca="1">IFERROR(__xludf.DUMMYFUNCTION("""COMPUTED_VALUE"""),"Новый")</f>
        <v>Новый</v>
      </c>
      <c r="G5130" s="68"/>
      <c r="K5130" s="68"/>
    </row>
    <row r="5131" spans="1:11" ht="12.75">
      <c r="A5131" s="69">
        <f ca="1">IFERROR(__xludf.DUMMYFUNCTION("""COMPUTED_VALUE"""),105570)</f>
        <v>105570</v>
      </c>
      <c r="B5131" s="4">
        <f ca="1">IFERROR(__xludf.DUMMYFUNCTION("""COMPUTED_VALUE"""),44803)</f>
        <v>44803</v>
      </c>
      <c r="C5131" t="str">
        <f ca="1">IFERROR(__xludf.DUMMYFUNCTION("""COMPUTED_VALUE"""),"ООО Лидер 163-СТР от 08.08.2022")</f>
        <v>ООО Лидер 163-СТР от 08.08.2022</v>
      </c>
      <c r="D51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31" t="str">
        <f ca="1">IFERROR(__xludf.DUMMYFUNCTION("""COMPUTED_VALUE"""),"Новый")</f>
        <v>Новый</v>
      </c>
      <c r="G5131" s="68"/>
      <c r="K5131" s="68"/>
    </row>
    <row r="5132" spans="1:11" ht="12.75">
      <c r="A5132" s="69">
        <f ca="1">IFERROR(__xludf.DUMMYFUNCTION("""COMPUTED_VALUE"""),105571)</f>
        <v>105571</v>
      </c>
      <c r="B5132" s="4">
        <f ca="1">IFERROR(__xludf.DUMMYFUNCTION("""COMPUTED_VALUE"""),44803)</f>
        <v>44803</v>
      </c>
      <c r="C5132" t="str">
        <f ca="1">IFERROR(__xludf.DUMMYFUNCTION("""COMPUTED_VALUE"""),"ООО Лидер 163-СТР от 08.08.2022")</f>
        <v>ООО Лидер 163-СТР от 08.08.2022</v>
      </c>
      <c r="D51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32" t="str">
        <f ca="1">IFERROR(__xludf.DUMMYFUNCTION("""COMPUTED_VALUE"""),"Новый")</f>
        <v>Новый</v>
      </c>
      <c r="G5132" s="68"/>
      <c r="K5132" s="68"/>
    </row>
    <row r="5133" spans="1:11" ht="12.75">
      <c r="A5133" s="69">
        <f ca="1">IFERROR(__xludf.DUMMYFUNCTION("""COMPUTED_VALUE"""),105596)</f>
        <v>105596</v>
      </c>
      <c r="B5133" s="4">
        <f ca="1">IFERROR(__xludf.DUMMYFUNCTION("""COMPUTED_VALUE"""),44803)</f>
        <v>44803</v>
      </c>
      <c r="C5133" t="str">
        <f ca="1">IFERROR(__xludf.DUMMYFUNCTION("""COMPUTED_VALUE"""),"ООО Лидер 163-СТР от 08.08.2022")</f>
        <v>ООО Лидер 163-СТР от 08.08.2022</v>
      </c>
      <c r="D51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133" t="str">
        <f ca="1">IFERROR(__xludf.DUMMYFUNCTION("""COMPUTED_VALUE"""),"Новый")</f>
        <v>Новый</v>
      </c>
      <c r="G5133" s="68"/>
      <c r="K5133" s="68"/>
    </row>
    <row r="5134" spans="1:11" ht="12.75">
      <c r="A5134" s="69">
        <f ca="1">IFERROR(__xludf.DUMMYFUNCTION("""COMPUTED_VALUE"""),105680)</f>
        <v>105680</v>
      </c>
      <c r="B5134" s="4">
        <f ca="1">IFERROR(__xludf.DUMMYFUNCTION("""COMPUTED_VALUE"""),44804)</f>
        <v>44804</v>
      </c>
      <c r="C5134" t="str">
        <f ca="1">IFERROR(__xludf.DUMMYFUNCTION("""COMPUTED_VALUE"""),"БУ Г. ОМСКА ""УДХБ"" 197-РДО от 01.07.2022")</f>
        <v>БУ Г. ОМСКА "УДХБ" 197-РДО от 01.07.2022</v>
      </c>
      <c r="D51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4" t="str">
        <f ca="1">IFERROR(__xludf.DUMMYFUNCTION("""COMPUTED_VALUE"""),"Новый")</f>
        <v>Новый</v>
      </c>
      <c r="G5134" s="68"/>
      <c r="K5134" s="68"/>
    </row>
    <row r="5135" spans="1:11" ht="12.75">
      <c r="A5135" s="69">
        <f ca="1">IFERROR(__xludf.DUMMYFUNCTION("""COMPUTED_VALUE"""),105681)</f>
        <v>105681</v>
      </c>
      <c r="B5135" s="4">
        <f ca="1">IFERROR(__xludf.DUMMYFUNCTION("""COMPUTED_VALUE"""),44804)</f>
        <v>44804</v>
      </c>
      <c r="C5135" t="str">
        <f ca="1">IFERROR(__xludf.DUMMYFUNCTION("""COMPUTED_VALUE"""),"БУ Г. ОМСКА ""УДХБ"" 197-РДО от 01.07.2022")</f>
        <v>БУ Г. ОМСКА "УДХБ" 197-РДО от 01.07.2022</v>
      </c>
      <c r="D51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5" t="str">
        <f ca="1">IFERROR(__xludf.DUMMYFUNCTION("""COMPUTED_VALUE"""),"Новый")</f>
        <v>Новый</v>
      </c>
      <c r="G5135" s="68"/>
      <c r="K5135" s="68"/>
    </row>
    <row r="5136" spans="1:11" ht="12.75">
      <c r="A5136" s="69">
        <f ca="1">IFERROR(__xludf.DUMMYFUNCTION("""COMPUTED_VALUE"""),105682)</f>
        <v>105682</v>
      </c>
      <c r="B5136" s="4">
        <f ca="1">IFERROR(__xludf.DUMMYFUNCTION("""COMPUTED_VALUE"""),44804)</f>
        <v>44804</v>
      </c>
      <c r="C5136" t="str">
        <f ca="1">IFERROR(__xludf.DUMMYFUNCTION("""COMPUTED_VALUE"""),"БУ Г. ОМСКА ""УДХБ"" 197-РДО от 01.07.2022")</f>
        <v>БУ Г. ОМСКА "УДХБ" 197-РДО от 01.07.2022</v>
      </c>
      <c r="D51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6" t="str">
        <f ca="1">IFERROR(__xludf.DUMMYFUNCTION("""COMPUTED_VALUE"""),"Новый")</f>
        <v>Новый</v>
      </c>
      <c r="G5136" s="68"/>
      <c r="K5136" s="68"/>
    </row>
    <row r="5137" spans="1:11" ht="12.75">
      <c r="A5137" s="69">
        <f ca="1">IFERROR(__xludf.DUMMYFUNCTION("""COMPUTED_VALUE"""),105683)</f>
        <v>105683</v>
      </c>
      <c r="B5137" s="4">
        <f ca="1">IFERROR(__xludf.DUMMYFUNCTION("""COMPUTED_VALUE"""),44804)</f>
        <v>44804</v>
      </c>
      <c r="C5137" t="str">
        <f ca="1">IFERROR(__xludf.DUMMYFUNCTION("""COMPUTED_VALUE"""),"БУ Г. ОМСКА ""УДХБ"" 197-РДО от 01.07.2022")</f>
        <v>БУ Г. ОМСКА "УДХБ" 197-РДО от 01.07.2022</v>
      </c>
      <c r="D51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7" t="str">
        <f ca="1">IFERROR(__xludf.DUMMYFUNCTION("""COMPUTED_VALUE"""),"Новый")</f>
        <v>Новый</v>
      </c>
      <c r="G5137" s="68"/>
      <c r="K5137" s="68"/>
    </row>
    <row r="5138" spans="1:11" ht="12.75">
      <c r="A5138" s="69">
        <f ca="1">IFERROR(__xludf.DUMMYFUNCTION("""COMPUTED_VALUE"""),105690)</f>
        <v>105690</v>
      </c>
      <c r="B5138" s="4">
        <f ca="1">IFERROR(__xludf.DUMMYFUNCTION("""COMPUTED_VALUE"""),44804)</f>
        <v>44804</v>
      </c>
      <c r="C5138" t="str">
        <f ca="1">IFERROR(__xludf.DUMMYFUNCTION("""COMPUTED_VALUE"""),"БУ Г. ОМСКА ""УДХБ"" 197-РДО от 01.07.2022")</f>
        <v>БУ Г. ОМСКА "УДХБ" 197-РДО от 01.07.2022</v>
      </c>
      <c r="D51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8" t="str">
        <f ca="1">IFERROR(__xludf.DUMMYFUNCTION("""COMPUTED_VALUE"""),"Новый")</f>
        <v>Новый</v>
      </c>
      <c r="G5138" s="68"/>
      <c r="K5138" s="68"/>
    </row>
    <row r="5139" spans="1:11" ht="12.75">
      <c r="A5139" s="69">
        <f ca="1">IFERROR(__xludf.DUMMYFUNCTION("""COMPUTED_VALUE"""),105691)</f>
        <v>105691</v>
      </c>
      <c r="B5139" s="4">
        <f ca="1">IFERROR(__xludf.DUMMYFUNCTION("""COMPUTED_VALUE"""),44804)</f>
        <v>44804</v>
      </c>
      <c r="C5139" t="str">
        <f ca="1">IFERROR(__xludf.DUMMYFUNCTION("""COMPUTED_VALUE"""),"БУ Г. ОМСКА ""УДХБ"" 197-РДО от 01.07.2022")</f>
        <v>БУ Г. ОМСКА "УДХБ" 197-РДО от 01.07.2022</v>
      </c>
      <c r="D51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39" t="str">
        <f ca="1">IFERROR(__xludf.DUMMYFUNCTION("""COMPUTED_VALUE"""),"Новый")</f>
        <v>Новый</v>
      </c>
      <c r="G5139" s="68"/>
      <c r="K5139" s="68"/>
    </row>
    <row r="5140" spans="1:11" ht="12.75">
      <c r="A5140" s="69">
        <f ca="1">IFERROR(__xludf.DUMMYFUNCTION("""COMPUTED_VALUE"""),105692)</f>
        <v>105692</v>
      </c>
      <c r="B5140" s="4">
        <f ca="1">IFERROR(__xludf.DUMMYFUNCTION("""COMPUTED_VALUE"""),44804)</f>
        <v>44804</v>
      </c>
      <c r="C5140" t="str">
        <f ca="1">IFERROR(__xludf.DUMMYFUNCTION("""COMPUTED_VALUE"""),"БУ Г. ОМСКА ""УДХБ"" 197-РДО от 01.07.2022")</f>
        <v>БУ Г. ОМСКА "УДХБ" 197-РДО от 01.07.2022</v>
      </c>
      <c r="D51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0" t="str">
        <f ca="1">IFERROR(__xludf.DUMMYFUNCTION("""COMPUTED_VALUE"""),"Новый")</f>
        <v>Новый</v>
      </c>
      <c r="G5140" s="68"/>
      <c r="K5140" s="68"/>
    </row>
    <row r="5141" spans="1:11" ht="12.75">
      <c r="A5141" s="69">
        <f ca="1">IFERROR(__xludf.DUMMYFUNCTION("""COMPUTED_VALUE"""),105693)</f>
        <v>105693</v>
      </c>
      <c r="B5141" s="4">
        <f ca="1">IFERROR(__xludf.DUMMYFUNCTION("""COMPUTED_VALUE"""),44804)</f>
        <v>44804</v>
      </c>
      <c r="C5141" t="str">
        <f ca="1">IFERROR(__xludf.DUMMYFUNCTION("""COMPUTED_VALUE"""),"БУ Г. ОМСКА ""УДХБ"" 197-РДО от 01.07.2022")</f>
        <v>БУ Г. ОМСКА "УДХБ" 197-РДО от 01.07.2022</v>
      </c>
      <c r="D51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1" t="str">
        <f ca="1">IFERROR(__xludf.DUMMYFUNCTION("""COMPUTED_VALUE"""),"Новый")</f>
        <v>Новый</v>
      </c>
      <c r="G5141" s="68"/>
      <c r="K5141" s="68"/>
    </row>
    <row r="5142" spans="1:11" ht="12.75">
      <c r="A5142" s="69">
        <f ca="1">IFERROR(__xludf.DUMMYFUNCTION("""COMPUTED_VALUE"""),105694)</f>
        <v>105694</v>
      </c>
      <c r="B5142" s="4">
        <f ca="1">IFERROR(__xludf.DUMMYFUNCTION("""COMPUTED_VALUE"""),44804)</f>
        <v>44804</v>
      </c>
      <c r="C5142" t="str">
        <f ca="1">IFERROR(__xludf.DUMMYFUNCTION("""COMPUTED_VALUE"""),"БУ Г. ОМСКА ""УДХБ"" 197-РДО от 01.07.2022")</f>
        <v>БУ Г. ОМСКА "УДХБ" 197-РДО от 01.07.2022</v>
      </c>
      <c r="D51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2" t="str">
        <f ca="1">IFERROR(__xludf.DUMMYFUNCTION("""COMPUTED_VALUE"""),"Новый")</f>
        <v>Новый</v>
      </c>
      <c r="G5142" s="68"/>
      <c r="K5142" s="68"/>
    </row>
    <row r="5143" spans="1:11" ht="12.75">
      <c r="A5143" s="69">
        <f ca="1">IFERROR(__xludf.DUMMYFUNCTION("""COMPUTED_VALUE"""),105695)</f>
        <v>105695</v>
      </c>
      <c r="B5143" s="4">
        <f ca="1">IFERROR(__xludf.DUMMYFUNCTION("""COMPUTED_VALUE"""),44804)</f>
        <v>44804</v>
      </c>
      <c r="C5143" t="str">
        <f ca="1">IFERROR(__xludf.DUMMYFUNCTION("""COMPUTED_VALUE"""),"БУ Г. ОМСКА ""УДХБ"" 197-РДО от 01.07.2022")</f>
        <v>БУ Г. ОМСКА "УДХБ" 197-РДО от 01.07.2022</v>
      </c>
      <c r="D51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3" t="str">
        <f ca="1">IFERROR(__xludf.DUMMYFUNCTION("""COMPUTED_VALUE"""),"Новый")</f>
        <v>Новый</v>
      </c>
      <c r="G5143" s="68"/>
      <c r="K5143" s="68"/>
    </row>
    <row r="5144" spans="1:11" ht="12.75">
      <c r="A5144" s="69">
        <f ca="1">IFERROR(__xludf.DUMMYFUNCTION("""COMPUTED_VALUE"""),105696)</f>
        <v>105696</v>
      </c>
      <c r="B5144" s="4">
        <f ca="1">IFERROR(__xludf.DUMMYFUNCTION("""COMPUTED_VALUE"""),44804)</f>
        <v>44804</v>
      </c>
      <c r="C5144" t="str">
        <f ca="1">IFERROR(__xludf.DUMMYFUNCTION("""COMPUTED_VALUE"""),"БУ Г. ОМСКА ""УДХБ"" 197-РДО от 01.07.2022")</f>
        <v>БУ Г. ОМСКА "УДХБ" 197-РДО от 01.07.2022</v>
      </c>
      <c r="D51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4" t="str">
        <f ca="1">IFERROR(__xludf.DUMMYFUNCTION("""COMPUTED_VALUE"""),"Новый")</f>
        <v>Новый</v>
      </c>
      <c r="G5144" s="68"/>
      <c r="K5144" s="68"/>
    </row>
    <row r="5145" spans="1:11" ht="12.75">
      <c r="A5145" s="69">
        <f ca="1">IFERROR(__xludf.DUMMYFUNCTION("""COMPUTED_VALUE"""),105697)</f>
        <v>105697</v>
      </c>
      <c r="B5145" s="4">
        <f ca="1">IFERROR(__xludf.DUMMYFUNCTION("""COMPUTED_VALUE"""),44804)</f>
        <v>44804</v>
      </c>
      <c r="C5145" t="str">
        <f ca="1">IFERROR(__xludf.DUMMYFUNCTION("""COMPUTED_VALUE"""),"БУ Г. ОМСКА ""УДХБ"" 197-РДО от 01.07.2022")</f>
        <v>БУ Г. ОМСКА "УДХБ" 197-РДО от 01.07.2022</v>
      </c>
      <c r="D51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5" t="str">
        <f ca="1">IFERROR(__xludf.DUMMYFUNCTION("""COMPUTED_VALUE"""),"Новый")</f>
        <v>Новый</v>
      </c>
      <c r="G5145" s="68"/>
      <c r="K5145" s="68"/>
    </row>
    <row r="5146" spans="1:11" ht="12.75">
      <c r="A5146" s="69">
        <f ca="1">IFERROR(__xludf.DUMMYFUNCTION("""COMPUTED_VALUE"""),105698)</f>
        <v>105698</v>
      </c>
      <c r="B5146" s="4">
        <f ca="1">IFERROR(__xludf.DUMMYFUNCTION("""COMPUTED_VALUE"""),44804)</f>
        <v>44804</v>
      </c>
      <c r="C5146" t="str">
        <f ca="1">IFERROR(__xludf.DUMMYFUNCTION("""COMPUTED_VALUE"""),"БУ Г. ОМСКА ""УДХБ"" 197-РДО от 01.07.2022")</f>
        <v>БУ Г. ОМСКА "УДХБ" 197-РДО от 01.07.2022</v>
      </c>
      <c r="D51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6" t="str">
        <f ca="1">IFERROR(__xludf.DUMMYFUNCTION("""COMPUTED_VALUE"""),"Новый")</f>
        <v>Новый</v>
      </c>
      <c r="G5146" s="68"/>
      <c r="K5146" s="68"/>
    </row>
    <row r="5147" spans="1:11" ht="12.75">
      <c r="A5147" s="69">
        <f ca="1">IFERROR(__xludf.DUMMYFUNCTION("""COMPUTED_VALUE"""),105699)</f>
        <v>105699</v>
      </c>
      <c r="B5147" s="4">
        <f ca="1">IFERROR(__xludf.DUMMYFUNCTION("""COMPUTED_VALUE"""),44804)</f>
        <v>44804</v>
      </c>
      <c r="C5147" t="str">
        <f ca="1">IFERROR(__xludf.DUMMYFUNCTION("""COMPUTED_VALUE"""),"БУ Г. ОМСКА ""УДХБ"" 197-РДО от 01.07.2022")</f>
        <v>БУ Г. ОМСКА "УДХБ" 197-РДО от 01.07.2022</v>
      </c>
      <c r="D51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7" t="str">
        <f ca="1">IFERROR(__xludf.DUMMYFUNCTION("""COMPUTED_VALUE"""),"Новый")</f>
        <v>Новый</v>
      </c>
      <c r="G5147" s="68"/>
      <c r="K5147" s="68"/>
    </row>
    <row r="5148" spans="1:11" ht="12.75">
      <c r="A5148" s="69">
        <f ca="1">IFERROR(__xludf.DUMMYFUNCTION("""COMPUTED_VALUE"""),105700)</f>
        <v>105700</v>
      </c>
      <c r="B5148" s="4">
        <f ca="1">IFERROR(__xludf.DUMMYFUNCTION("""COMPUTED_VALUE"""),44804)</f>
        <v>44804</v>
      </c>
      <c r="C5148" t="str">
        <f ca="1">IFERROR(__xludf.DUMMYFUNCTION("""COMPUTED_VALUE"""),"БУ Г. ОМСКА ""УДХБ"" 197-РДО от 01.07.2022")</f>
        <v>БУ Г. ОМСКА "УДХБ" 197-РДО от 01.07.2022</v>
      </c>
      <c r="D51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8" t="str">
        <f ca="1">IFERROR(__xludf.DUMMYFUNCTION("""COMPUTED_VALUE"""),"Новый")</f>
        <v>Новый</v>
      </c>
      <c r="G5148" s="68"/>
      <c r="K5148" s="68"/>
    </row>
    <row r="5149" spans="1:11" ht="12.75">
      <c r="A5149" s="69">
        <f ca="1">IFERROR(__xludf.DUMMYFUNCTION("""COMPUTED_VALUE"""),105701)</f>
        <v>105701</v>
      </c>
      <c r="B5149" s="4">
        <f ca="1">IFERROR(__xludf.DUMMYFUNCTION("""COMPUTED_VALUE"""),44804)</f>
        <v>44804</v>
      </c>
      <c r="C5149" t="str">
        <f ca="1">IFERROR(__xludf.DUMMYFUNCTION("""COMPUTED_VALUE"""),"БУ Г. ОМСКА ""УДХБ"" 197-РДО от 01.07.2022")</f>
        <v>БУ Г. ОМСКА "УДХБ" 197-РДО от 01.07.2022</v>
      </c>
      <c r="D51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49" t="str">
        <f ca="1">IFERROR(__xludf.DUMMYFUNCTION("""COMPUTED_VALUE"""),"Новый")</f>
        <v>Новый</v>
      </c>
      <c r="G5149" s="68"/>
      <c r="K5149" s="68"/>
    </row>
    <row r="5150" spans="1:11" ht="12.75">
      <c r="A5150" s="69">
        <f ca="1">IFERROR(__xludf.DUMMYFUNCTION("""COMPUTED_VALUE"""),105702)</f>
        <v>105702</v>
      </c>
      <c r="B5150" s="4">
        <f ca="1">IFERROR(__xludf.DUMMYFUNCTION("""COMPUTED_VALUE"""),44804)</f>
        <v>44804</v>
      </c>
      <c r="C5150" t="str">
        <f ca="1">IFERROR(__xludf.DUMMYFUNCTION("""COMPUTED_VALUE"""),"БУ Г. ОМСКА ""УДХБ"" 197-РДО от 01.07.2022")</f>
        <v>БУ Г. ОМСКА "УДХБ" 197-РДО от 01.07.2022</v>
      </c>
      <c r="D51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0" t="str">
        <f ca="1">IFERROR(__xludf.DUMMYFUNCTION("""COMPUTED_VALUE"""),"Новый")</f>
        <v>Новый</v>
      </c>
      <c r="G5150" s="68"/>
      <c r="K5150" s="68"/>
    </row>
    <row r="5151" spans="1:11" ht="12.75">
      <c r="A5151" s="69">
        <f ca="1">IFERROR(__xludf.DUMMYFUNCTION("""COMPUTED_VALUE"""),105703)</f>
        <v>105703</v>
      </c>
      <c r="B5151" s="4">
        <f ca="1">IFERROR(__xludf.DUMMYFUNCTION("""COMPUTED_VALUE"""),44804)</f>
        <v>44804</v>
      </c>
      <c r="C5151" t="str">
        <f ca="1">IFERROR(__xludf.DUMMYFUNCTION("""COMPUTED_VALUE"""),"БУ Г. ОМСКА ""УДХБ"" 197-РДО от 01.07.2022")</f>
        <v>БУ Г. ОМСКА "УДХБ" 197-РДО от 01.07.2022</v>
      </c>
      <c r="D51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1" t="str">
        <f ca="1">IFERROR(__xludf.DUMMYFUNCTION("""COMPUTED_VALUE"""),"Новый")</f>
        <v>Новый</v>
      </c>
      <c r="G5151" s="68"/>
      <c r="K5151" s="68"/>
    </row>
    <row r="5152" spans="1:11" ht="12.75">
      <c r="A5152" s="69">
        <f ca="1">IFERROR(__xludf.DUMMYFUNCTION("""COMPUTED_VALUE"""),105704)</f>
        <v>105704</v>
      </c>
      <c r="B5152" s="4">
        <f ca="1">IFERROR(__xludf.DUMMYFUNCTION("""COMPUTED_VALUE"""),44804)</f>
        <v>44804</v>
      </c>
      <c r="C5152" t="str">
        <f ca="1">IFERROR(__xludf.DUMMYFUNCTION("""COMPUTED_VALUE"""),"БУ Г. ОМСКА ""УДХБ"" 197-РДО от 01.07.2022")</f>
        <v>БУ Г. ОМСКА "УДХБ" 197-РДО от 01.07.2022</v>
      </c>
      <c r="D51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2" t="str">
        <f ca="1">IFERROR(__xludf.DUMMYFUNCTION("""COMPUTED_VALUE"""),"Новый")</f>
        <v>Новый</v>
      </c>
      <c r="G5152" s="68"/>
      <c r="K5152" s="68"/>
    </row>
    <row r="5153" spans="1:11" ht="12.75">
      <c r="A5153" s="69">
        <f ca="1">IFERROR(__xludf.DUMMYFUNCTION("""COMPUTED_VALUE"""),105705)</f>
        <v>105705</v>
      </c>
      <c r="B5153" s="4">
        <f ca="1">IFERROR(__xludf.DUMMYFUNCTION("""COMPUTED_VALUE"""),44804)</f>
        <v>44804</v>
      </c>
      <c r="C5153" t="str">
        <f ca="1">IFERROR(__xludf.DUMMYFUNCTION("""COMPUTED_VALUE"""),"БУ Г. ОМСКА ""УДХБ"" 197-РДО от 01.07.2022")</f>
        <v>БУ Г. ОМСКА "УДХБ" 197-РДО от 01.07.2022</v>
      </c>
      <c r="D51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3" t="str">
        <f ca="1">IFERROR(__xludf.DUMMYFUNCTION("""COMPUTED_VALUE"""),"Новый")</f>
        <v>Новый</v>
      </c>
      <c r="G5153" s="68"/>
      <c r="K5153" s="68"/>
    </row>
    <row r="5154" spans="1:11" ht="12.75">
      <c r="A5154" s="69">
        <f ca="1">IFERROR(__xludf.DUMMYFUNCTION("""COMPUTED_VALUE"""),105706)</f>
        <v>105706</v>
      </c>
      <c r="B5154" s="4">
        <f ca="1">IFERROR(__xludf.DUMMYFUNCTION("""COMPUTED_VALUE"""),44804)</f>
        <v>44804</v>
      </c>
      <c r="C5154" t="str">
        <f ca="1">IFERROR(__xludf.DUMMYFUNCTION("""COMPUTED_VALUE"""),"БУ Г. ОМСКА ""УДХБ"" 197-РДО от 01.07.2022")</f>
        <v>БУ Г. ОМСКА "УДХБ" 197-РДО от 01.07.2022</v>
      </c>
      <c r="D51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4" t="str">
        <f ca="1">IFERROR(__xludf.DUMMYFUNCTION("""COMPUTED_VALUE"""),"Новый")</f>
        <v>Новый</v>
      </c>
      <c r="G5154" s="68"/>
      <c r="K5154" s="68"/>
    </row>
    <row r="5155" spans="1:11" ht="12.75">
      <c r="A5155" s="69">
        <f ca="1">IFERROR(__xludf.DUMMYFUNCTION("""COMPUTED_VALUE"""),105707)</f>
        <v>105707</v>
      </c>
      <c r="B5155" s="4">
        <f ca="1">IFERROR(__xludf.DUMMYFUNCTION("""COMPUTED_VALUE"""),44804)</f>
        <v>44804</v>
      </c>
      <c r="C5155" t="str">
        <f ca="1">IFERROR(__xludf.DUMMYFUNCTION("""COMPUTED_VALUE"""),"БУ Г. ОМСКА ""УДХБ"" 197-РДО от 01.07.2022")</f>
        <v>БУ Г. ОМСКА "УДХБ" 197-РДО от 01.07.2022</v>
      </c>
      <c r="D51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5" t="str">
        <f ca="1">IFERROR(__xludf.DUMMYFUNCTION("""COMPUTED_VALUE"""),"Новый")</f>
        <v>Новый</v>
      </c>
      <c r="G5155" s="68"/>
      <c r="K5155" s="68"/>
    </row>
    <row r="5156" spans="1:11" ht="12.75">
      <c r="A5156" s="69">
        <f ca="1">IFERROR(__xludf.DUMMYFUNCTION("""COMPUTED_VALUE"""),105708)</f>
        <v>105708</v>
      </c>
      <c r="B5156" s="4">
        <f ca="1">IFERROR(__xludf.DUMMYFUNCTION("""COMPUTED_VALUE"""),44804)</f>
        <v>44804</v>
      </c>
      <c r="C5156" t="str">
        <f ca="1">IFERROR(__xludf.DUMMYFUNCTION("""COMPUTED_VALUE"""),"БУ Г. ОМСКА ""УДХБ"" 197-РДО от 01.07.2022")</f>
        <v>БУ Г. ОМСКА "УДХБ" 197-РДО от 01.07.2022</v>
      </c>
      <c r="D51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6" t="str">
        <f ca="1">IFERROR(__xludf.DUMMYFUNCTION("""COMPUTED_VALUE"""),"Новый")</f>
        <v>Новый</v>
      </c>
      <c r="G5156" s="68"/>
      <c r="K5156" s="68"/>
    </row>
    <row r="5157" spans="1:11" ht="12.75">
      <c r="A5157" s="69">
        <f ca="1">IFERROR(__xludf.DUMMYFUNCTION("""COMPUTED_VALUE"""),105709)</f>
        <v>105709</v>
      </c>
      <c r="B5157" s="4">
        <f ca="1">IFERROR(__xludf.DUMMYFUNCTION("""COMPUTED_VALUE"""),44804)</f>
        <v>44804</v>
      </c>
      <c r="C5157" t="str">
        <f ca="1">IFERROR(__xludf.DUMMYFUNCTION("""COMPUTED_VALUE"""),"БУ Г. ОМСКА ""УДХБ"" 197-РДО от 01.07.2022")</f>
        <v>БУ Г. ОМСКА "УДХБ" 197-РДО от 01.07.2022</v>
      </c>
      <c r="D51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7" t="str">
        <f ca="1">IFERROR(__xludf.DUMMYFUNCTION("""COMPUTED_VALUE"""),"Новый")</f>
        <v>Новый</v>
      </c>
      <c r="G5157" s="68"/>
      <c r="K5157" s="68"/>
    </row>
    <row r="5158" spans="1:11" ht="12.75">
      <c r="A5158" s="69">
        <f ca="1">IFERROR(__xludf.DUMMYFUNCTION("""COMPUTED_VALUE"""),105710)</f>
        <v>105710</v>
      </c>
      <c r="B5158" s="4">
        <f ca="1">IFERROR(__xludf.DUMMYFUNCTION("""COMPUTED_VALUE"""),44804)</f>
        <v>44804</v>
      </c>
      <c r="C5158" t="str">
        <f ca="1">IFERROR(__xludf.DUMMYFUNCTION("""COMPUTED_VALUE"""),"БУ Г. ОМСКА ""УДХБ"" 197-РДО от 01.07.2022")</f>
        <v>БУ Г. ОМСКА "УДХБ" 197-РДО от 01.07.2022</v>
      </c>
      <c r="D51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8" t="str">
        <f ca="1">IFERROR(__xludf.DUMMYFUNCTION("""COMPUTED_VALUE"""),"Новый")</f>
        <v>Новый</v>
      </c>
      <c r="G5158" s="68"/>
      <c r="K5158" s="68"/>
    </row>
    <row r="5159" spans="1:11" ht="12.75">
      <c r="A5159" s="69">
        <f ca="1">IFERROR(__xludf.DUMMYFUNCTION("""COMPUTED_VALUE"""),105711)</f>
        <v>105711</v>
      </c>
      <c r="B5159" s="4">
        <f ca="1">IFERROR(__xludf.DUMMYFUNCTION("""COMPUTED_VALUE"""),44804)</f>
        <v>44804</v>
      </c>
      <c r="C5159" t="str">
        <f ca="1">IFERROR(__xludf.DUMMYFUNCTION("""COMPUTED_VALUE"""),"БУ Г. ОМСКА ""УДХБ"" 197-РДО от 01.07.2022")</f>
        <v>БУ Г. ОМСКА "УДХБ" 197-РДО от 01.07.2022</v>
      </c>
      <c r="D51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59" t="str">
        <f ca="1">IFERROR(__xludf.DUMMYFUNCTION("""COMPUTED_VALUE"""),"Новый")</f>
        <v>Новый</v>
      </c>
      <c r="G5159" s="68"/>
      <c r="K5159" s="68"/>
    </row>
    <row r="5160" spans="1:11" ht="12.75">
      <c r="A5160" s="69">
        <f ca="1">IFERROR(__xludf.DUMMYFUNCTION("""COMPUTED_VALUE"""),105712)</f>
        <v>105712</v>
      </c>
      <c r="B5160" s="4">
        <f ca="1">IFERROR(__xludf.DUMMYFUNCTION("""COMPUTED_VALUE"""),44804)</f>
        <v>44804</v>
      </c>
      <c r="C5160" t="str">
        <f ca="1">IFERROR(__xludf.DUMMYFUNCTION("""COMPUTED_VALUE"""),"БУ Г. ОМСКА ""УДХБ"" 197-РДО от 01.07.2022")</f>
        <v>БУ Г. ОМСКА "УДХБ" 197-РДО от 01.07.2022</v>
      </c>
      <c r="D51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0" t="str">
        <f ca="1">IFERROR(__xludf.DUMMYFUNCTION("""COMPUTED_VALUE"""),"Новый")</f>
        <v>Новый</v>
      </c>
      <c r="G5160" s="68"/>
      <c r="K5160" s="68"/>
    </row>
    <row r="5161" spans="1:11" ht="12.75">
      <c r="A5161" s="69">
        <f ca="1">IFERROR(__xludf.DUMMYFUNCTION("""COMPUTED_VALUE"""),105713)</f>
        <v>105713</v>
      </c>
      <c r="B5161" s="4">
        <f ca="1">IFERROR(__xludf.DUMMYFUNCTION("""COMPUTED_VALUE"""),44804)</f>
        <v>44804</v>
      </c>
      <c r="C5161" t="str">
        <f ca="1">IFERROR(__xludf.DUMMYFUNCTION("""COMPUTED_VALUE"""),"БУ Г. ОМСКА ""УДХБ"" 197-РДО от 01.07.2022")</f>
        <v>БУ Г. ОМСКА "УДХБ" 197-РДО от 01.07.2022</v>
      </c>
      <c r="D51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1" t="str">
        <f ca="1">IFERROR(__xludf.DUMMYFUNCTION("""COMPUTED_VALUE"""),"Новый")</f>
        <v>Новый</v>
      </c>
      <c r="G5161" s="68"/>
      <c r="K5161" s="68"/>
    </row>
    <row r="5162" spans="1:11" ht="12.75">
      <c r="A5162" s="69">
        <f ca="1">IFERROR(__xludf.DUMMYFUNCTION("""COMPUTED_VALUE"""),105714)</f>
        <v>105714</v>
      </c>
      <c r="B5162" s="4">
        <f ca="1">IFERROR(__xludf.DUMMYFUNCTION("""COMPUTED_VALUE"""),44804)</f>
        <v>44804</v>
      </c>
      <c r="C5162" t="str">
        <f ca="1">IFERROR(__xludf.DUMMYFUNCTION("""COMPUTED_VALUE"""),"БУ Г. ОМСКА ""УДХБ"" 197-РДО от 01.07.2022")</f>
        <v>БУ Г. ОМСКА "УДХБ" 197-РДО от 01.07.2022</v>
      </c>
      <c r="D51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2" t="str">
        <f ca="1">IFERROR(__xludf.DUMMYFUNCTION("""COMPUTED_VALUE"""),"Новый")</f>
        <v>Новый</v>
      </c>
      <c r="G5162" s="68"/>
      <c r="K5162" s="68"/>
    </row>
    <row r="5163" spans="1:11" ht="12.75">
      <c r="A5163" s="69">
        <f ca="1">IFERROR(__xludf.DUMMYFUNCTION("""COMPUTED_VALUE"""),105715)</f>
        <v>105715</v>
      </c>
      <c r="B5163" s="4">
        <f ca="1">IFERROR(__xludf.DUMMYFUNCTION("""COMPUTED_VALUE"""),44804)</f>
        <v>44804</v>
      </c>
      <c r="C5163" t="str">
        <f ca="1">IFERROR(__xludf.DUMMYFUNCTION("""COMPUTED_VALUE"""),"БУ Г. ОМСКА ""УДХБ"" 197-РДО от 01.07.2022")</f>
        <v>БУ Г. ОМСКА "УДХБ" 197-РДО от 01.07.2022</v>
      </c>
      <c r="D51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3" t="str">
        <f ca="1">IFERROR(__xludf.DUMMYFUNCTION("""COMPUTED_VALUE"""),"Новый")</f>
        <v>Новый</v>
      </c>
      <c r="G5163" s="68"/>
      <c r="K5163" s="68"/>
    </row>
    <row r="5164" spans="1:11" ht="12.75">
      <c r="A5164" s="69">
        <f ca="1">IFERROR(__xludf.DUMMYFUNCTION("""COMPUTED_VALUE"""),105716)</f>
        <v>105716</v>
      </c>
      <c r="B5164" s="4">
        <f ca="1">IFERROR(__xludf.DUMMYFUNCTION("""COMPUTED_VALUE"""),44804)</f>
        <v>44804</v>
      </c>
      <c r="C5164" t="str">
        <f ca="1">IFERROR(__xludf.DUMMYFUNCTION("""COMPUTED_VALUE"""),"БУ Г. ОМСКА ""УДХБ"" 197-РДО от 01.07.2022")</f>
        <v>БУ Г. ОМСКА "УДХБ" 197-РДО от 01.07.2022</v>
      </c>
      <c r="D51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4" t="str">
        <f ca="1">IFERROR(__xludf.DUMMYFUNCTION("""COMPUTED_VALUE"""),"Новый")</f>
        <v>Новый</v>
      </c>
      <c r="G5164" s="68"/>
      <c r="K5164" s="68"/>
    </row>
    <row r="5165" spans="1:11" ht="12.75">
      <c r="A5165" s="69">
        <f ca="1">IFERROR(__xludf.DUMMYFUNCTION("""COMPUTED_VALUE"""),105717)</f>
        <v>105717</v>
      </c>
      <c r="B5165" s="4">
        <f ca="1">IFERROR(__xludf.DUMMYFUNCTION("""COMPUTED_VALUE"""),44804)</f>
        <v>44804</v>
      </c>
      <c r="C5165" t="str">
        <f ca="1">IFERROR(__xludf.DUMMYFUNCTION("""COMPUTED_VALUE"""),"БУ Г. ОМСКА ""УДХБ"" 197-РДО от 01.07.2022")</f>
        <v>БУ Г. ОМСКА "УДХБ" 197-РДО от 01.07.2022</v>
      </c>
      <c r="D51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5" t="str">
        <f ca="1">IFERROR(__xludf.DUMMYFUNCTION("""COMPUTED_VALUE"""),"Новый")</f>
        <v>Новый</v>
      </c>
      <c r="G5165" s="68"/>
      <c r="K5165" s="68"/>
    </row>
    <row r="5166" spans="1:11" ht="12.75">
      <c r="A5166" s="69">
        <f ca="1">IFERROR(__xludf.DUMMYFUNCTION("""COMPUTED_VALUE"""),105718)</f>
        <v>105718</v>
      </c>
      <c r="B5166" s="4">
        <f ca="1">IFERROR(__xludf.DUMMYFUNCTION("""COMPUTED_VALUE"""),44804)</f>
        <v>44804</v>
      </c>
      <c r="C5166" t="str">
        <f ca="1">IFERROR(__xludf.DUMMYFUNCTION("""COMPUTED_VALUE"""),"БУ Г. ОМСКА ""УДХБ"" 197-РДО от 01.07.2022")</f>
        <v>БУ Г. ОМСКА "УДХБ" 197-РДО от 01.07.2022</v>
      </c>
      <c r="D51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6" t="str">
        <f ca="1">IFERROR(__xludf.DUMMYFUNCTION("""COMPUTED_VALUE"""),"Новый")</f>
        <v>Новый</v>
      </c>
      <c r="G5166" s="68"/>
      <c r="K5166" s="68"/>
    </row>
    <row r="5167" spans="1:11" ht="12.75">
      <c r="A5167" s="69">
        <f ca="1">IFERROR(__xludf.DUMMYFUNCTION("""COMPUTED_VALUE"""),105719)</f>
        <v>105719</v>
      </c>
      <c r="B5167" s="4">
        <f ca="1">IFERROR(__xludf.DUMMYFUNCTION("""COMPUTED_VALUE"""),44804)</f>
        <v>44804</v>
      </c>
      <c r="C5167" t="str">
        <f ca="1">IFERROR(__xludf.DUMMYFUNCTION("""COMPUTED_VALUE"""),"БУ Г. ОМСКА ""УДХБ"" 197-РДО от 01.07.2022")</f>
        <v>БУ Г. ОМСКА "УДХБ" 197-РДО от 01.07.2022</v>
      </c>
      <c r="D51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7" t="str">
        <f ca="1">IFERROR(__xludf.DUMMYFUNCTION("""COMPUTED_VALUE"""),"Новый")</f>
        <v>Новый</v>
      </c>
      <c r="G5167" s="68"/>
      <c r="K5167" s="68"/>
    </row>
    <row r="5168" spans="1:11" ht="12.75">
      <c r="A5168" s="69">
        <f ca="1">IFERROR(__xludf.DUMMYFUNCTION("""COMPUTED_VALUE"""),105720)</f>
        <v>105720</v>
      </c>
      <c r="B5168" s="4">
        <f ca="1">IFERROR(__xludf.DUMMYFUNCTION("""COMPUTED_VALUE"""),44804)</f>
        <v>44804</v>
      </c>
      <c r="C5168" t="str">
        <f ca="1">IFERROR(__xludf.DUMMYFUNCTION("""COMPUTED_VALUE"""),"БУ Г. ОМСКА ""УДХБ"" 197-РДО от 01.07.2022")</f>
        <v>БУ Г. ОМСКА "УДХБ" 197-РДО от 01.07.2022</v>
      </c>
      <c r="D51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8" t="str">
        <f ca="1">IFERROR(__xludf.DUMMYFUNCTION("""COMPUTED_VALUE"""),"Новый")</f>
        <v>Новый</v>
      </c>
      <c r="G5168" s="68"/>
      <c r="K5168" s="68"/>
    </row>
    <row r="5169" spans="1:11" ht="12.75">
      <c r="A5169" s="69">
        <f ca="1">IFERROR(__xludf.DUMMYFUNCTION("""COMPUTED_VALUE"""),105721)</f>
        <v>105721</v>
      </c>
      <c r="B5169" s="4">
        <f ca="1">IFERROR(__xludf.DUMMYFUNCTION("""COMPUTED_VALUE"""),44804)</f>
        <v>44804</v>
      </c>
      <c r="C5169" t="str">
        <f ca="1">IFERROR(__xludf.DUMMYFUNCTION("""COMPUTED_VALUE"""),"БУ Г. ОМСКА ""УДХБ"" 197-РДО от 01.07.2022")</f>
        <v>БУ Г. ОМСКА "УДХБ" 197-РДО от 01.07.2022</v>
      </c>
      <c r="D51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69" t="str">
        <f ca="1">IFERROR(__xludf.DUMMYFUNCTION("""COMPUTED_VALUE"""),"Новый")</f>
        <v>Новый</v>
      </c>
      <c r="G5169" s="68"/>
      <c r="K5169" s="68"/>
    </row>
    <row r="5170" spans="1:11" ht="12.75">
      <c r="A5170" s="69">
        <f ca="1">IFERROR(__xludf.DUMMYFUNCTION("""COMPUTED_VALUE"""),105722)</f>
        <v>105722</v>
      </c>
      <c r="B5170" s="4">
        <f ca="1">IFERROR(__xludf.DUMMYFUNCTION("""COMPUTED_VALUE"""),44804)</f>
        <v>44804</v>
      </c>
      <c r="C5170" t="str">
        <f ca="1">IFERROR(__xludf.DUMMYFUNCTION("""COMPUTED_VALUE"""),"БУ Г. ОМСКА ""УДХБ"" 197-РДО от 01.07.2022")</f>
        <v>БУ Г. ОМСКА "УДХБ" 197-РДО от 01.07.2022</v>
      </c>
      <c r="D51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0" t="str">
        <f ca="1">IFERROR(__xludf.DUMMYFUNCTION("""COMPUTED_VALUE"""),"Новый")</f>
        <v>Новый</v>
      </c>
      <c r="G5170" s="68"/>
      <c r="K5170" s="68"/>
    </row>
    <row r="5171" spans="1:11" ht="12.75">
      <c r="A5171" s="69">
        <f ca="1">IFERROR(__xludf.DUMMYFUNCTION("""COMPUTED_VALUE"""),105723)</f>
        <v>105723</v>
      </c>
      <c r="B5171" s="4">
        <f ca="1">IFERROR(__xludf.DUMMYFUNCTION("""COMPUTED_VALUE"""),44804)</f>
        <v>44804</v>
      </c>
      <c r="C5171" t="str">
        <f ca="1">IFERROR(__xludf.DUMMYFUNCTION("""COMPUTED_VALUE"""),"БУ Г. ОМСКА ""УДХБ"" 197-РДО от 01.07.2022")</f>
        <v>БУ Г. ОМСКА "УДХБ" 197-РДО от 01.07.2022</v>
      </c>
      <c r="D51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1" t="str">
        <f ca="1">IFERROR(__xludf.DUMMYFUNCTION("""COMPUTED_VALUE"""),"Новый")</f>
        <v>Новый</v>
      </c>
      <c r="G5171" s="68"/>
      <c r="K5171" s="68"/>
    </row>
    <row r="5172" spans="1:11" ht="12.75">
      <c r="A5172" s="69">
        <f ca="1">IFERROR(__xludf.DUMMYFUNCTION("""COMPUTED_VALUE"""),105724)</f>
        <v>105724</v>
      </c>
      <c r="B5172" s="4">
        <f ca="1">IFERROR(__xludf.DUMMYFUNCTION("""COMPUTED_VALUE"""),44804)</f>
        <v>44804</v>
      </c>
      <c r="C5172" t="str">
        <f ca="1">IFERROR(__xludf.DUMMYFUNCTION("""COMPUTED_VALUE"""),"БУ Г. ОМСКА ""УДХБ"" 197-РДО от 01.07.2022")</f>
        <v>БУ Г. ОМСКА "УДХБ" 197-РДО от 01.07.2022</v>
      </c>
      <c r="D51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2" t="str">
        <f ca="1">IFERROR(__xludf.DUMMYFUNCTION("""COMPUTED_VALUE"""),"Новый")</f>
        <v>Новый</v>
      </c>
      <c r="G5172" s="68"/>
      <c r="K5172" s="68"/>
    </row>
    <row r="5173" spans="1:11" ht="12.75">
      <c r="A5173" s="69">
        <f ca="1">IFERROR(__xludf.DUMMYFUNCTION("""COMPUTED_VALUE"""),105725)</f>
        <v>105725</v>
      </c>
      <c r="B5173" s="4">
        <f ca="1">IFERROR(__xludf.DUMMYFUNCTION("""COMPUTED_VALUE"""),44804)</f>
        <v>44804</v>
      </c>
      <c r="C5173" t="str">
        <f ca="1">IFERROR(__xludf.DUMMYFUNCTION("""COMPUTED_VALUE"""),"БУ Г. ОМСКА ""УДХБ"" 197-РДО от 01.07.2022")</f>
        <v>БУ Г. ОМСКА "УДХБ" 197-РДО от 01.07.2022</v>
      </c>
      <c r="D51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3" t="str">
        <f ca="1">IFERROR(__xludf.DUMMYFUNCTION("""COMPUTED_VALUE"""),"Новый")</f>
        <v>Новый</v>
      </c>
      <c r="G5173" s="68"/>
      <c r="K5173" s="68"/>
    </row>
    <row r="5174" spans="1:11" ht="12.75">
      <c r="A5174" s="69">
        <f ca="1">IFERROR(__xludf.DUMMYFUNCTION("""COMPUTED_VALUE"""),105726)</f>
        <v>105726</v>
      </c>
      <c r="B5174" s="4">
        <f ca="1">IFERROR(__xludf.DUMMYFUNCTION("""COMPUTED_VALUE"""),44804)</f>
        <v>44804</v>
      </c>
      <c r="C5174" t="str">
        <f ca="1">IFERROR(__xludf.DUMMYFUNCTION("""COMPUTED_VALUE"""),"БУ Г. ОМСКА ""УДХБ"" 197-РДО от 01.07.2022")</f>
        <v>БУ Г. ОМСКА "УДХБ" 197-РДО от 01.07.2022</v>
      </c>
      <c r="D51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4" t="str">
        <f ca="1">IFERROR(__xludf.DUMMYFUNCTION("""COMPUTED_VALUE"""),"Новый")</f>
        <v>Новый</v>
      </c>
      <c r="G5174" s="68"/>
      <c r="K5174" s="68"/>
    </row>
    <row r="5175" spans="1:11" ht="12.75">
      <c r="A5175" s="69">
        <f ca="1">IFERROR(__xludf.DUMMYFUNCTION("""COMPUTED_VALUE"""),105727)</f>
        <v>105727</v>
      </c>
      <c r="B5175" s="4">
        <f ca="1">IFERROR(__xludf.DUMMYFUNCTION("""COMPUTED_VALUE"""),44804)</f>
        <v>44804</v>
      </c>
      <c r="C5175" t="str">
        <f ca="1">IFERROR(__xludf.DUMMYFUNCTION("""COMPUTED_VALUE"""),"БУ Г. ОМСКА ""УДХБ"" 197-РДО от 01.07.2022")</f>
        <v>БУ Г. ОМСКА "УДХБ" 197-РДО от 01.07.2022</v>
      </c>
      <c r="D51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5" t="str">
        <f ca="1">IFERROR(__xludf.DUMMYFUNCTION("""COMPUTED_VALUE"""),"Новый")</f>
        <v>Новый</v>
      </c>
      <c r="G5175" s="68"/>
      <c r="K5175" s="68"/>
    </row>
    <row r="5176" spans="1:11" ht="12.75">
      <c r="A5176" s="69">
        <f ca="1">IFERROR(__xludf.DUMMYFUNCTION("""COMPUTED_VALUE"""),105728)</f>
        <v>105728</v>
      </c>
      <c r="B5176" s="4">
        <f ca="1">IFERROR(__xludf.DUMMYFUNCTION("""COMPUTED_VALUE"""),44804)</f>
        <v>44804</v>
      </c>
      <c r="C5176" t="str">
        <f ca="1">IFERROR(__xludf.DUMMYFUNCTION("""COMPUTED_VALUE"""),"БУ Г. ОМСКА ""УДХБ"" 197-РДО от 01.07.2022")</f>
        <v>БУ Г. ОМСКА "УДХБ" 197-РДО от 01.07.2022</v>
      </c>
      <c r="D51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6" t="str">
        <f ca="1">IFERROR(__xludf.DUMMYFUNCTION("""COMPUTED_VALUE"""),"Новый")</f>
        <v>Новый</v>
      </c>
      <c r="G5176" s="68"/>
      <c r="K5176" s="68"/>
    </row>
    <row r="5177" spans="1:11" ht="12.75">
      <c r="A5177" s="69">
        <f ca="1">IFERROR(__xludf.DUMMYFUNCTION("""COMPUTED_VALUE"""),105729)</f>
        <v>105729</v>
      </c>
      <c r="B5177" s="4">
        <f ca="1">IFERROR(__xludf.DUMMYFUNCTION("""COMPUTED_VALUE"""),44804)</f>
        <v>44804</v>
      </c>
      <c r="C5177" t="str">
        <f ca="1">IFERROR(__xludf.DUMMYFUNCTION("""COMPUTED_VALUE"""),"БУ Г. ОМСКА ""УДХБ"" 197-РДО от 01.07.2022")</f>
        <v>БУ Г. ОМСКА "УДХБ" 197-РДО от 01.07.2022</v>
      </c>
      <c r="D51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7" t="str">
        <f ca="1">IFERROR(__xludf.DUMMYFUNCTION("""COMPUTED_VALUE"""),"Новый")</f>
        <v>Новый</v>
      </c>
      <c r="G5177" s="68"/>
      <c r="K5177" s="68"/>
    </row>
    <row r="5178" spans="1:11" ht="12.75">
      <c r="A5178" s="69">
        <f ca="1">IFERROR(__xludf.DUMMYFUNCTION("""COMPUTED_VALUE"""),105730)</f>
        <v>105730</v>
      </c>
      <c r="B5178" s="4">
        <f ca="1">IFERROR(__xludf.DUMMYFUNCTION("""COMPUTED_VALUE"""),44804)</f>
        <v>44804</v>
      </c>
      <c r="C5178" t="str">
        <f ca="1">IFERROR(__xludf.DUMMYFUNCTION("""COMPUTED_VALUE"""),"БУ Г. ОМСКА ""УДХБ"" 197-РДО от 01.07.2022")</f>
        <v>БУ Г. ОМСКА "УДХБ" 197-РДО от 01.07.2022</v>
      </c>
      <c r="D51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8" t="str">
        <f ca="1">IFERROR(__xludf.DUMMYFUNCTION("""COMPUTED_VALUE"""),"Новый")</f>
        <v>Новый</v>
      </c>
      <c r="G5178" s="68"/>
      <c r="K5178" s="68"/>
    </row>
    <row r="5179" spans="1:11" ht="12.75">
      <c r="A5179" s="69">
        <f ca="1">IFERROR(__xludf.DUMMYFUNCTION("""COMPUTED_VALUE"""),105731)</f>
        <v>105731</v>
      </c>
      <c r="B5179" s="4">
        <f ca="1">IFERROR(__xludf.DUMMYFUNCTION("""COMPUTED_VALUE"""),44804)</f>
        <v>44804</v>
      </c>
      <c r="C5179" t="str">
        <f ca="1">IFERROR(__xludf.DUMMYFUNCTION("""COMPUTED_VALUE"""),"БУ Г. ОМСКА ""УДХБ"" 197-РДО от 01.07.2022")</f>
        <v>БУ Г. ОМСКА "УДХБ" 197-РДО от 01.07.2022</v>
      </c>
      <c r="D51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79" t="str">
        <f ca="1">IFERROR(__xludf.DUMMYFUNCTION("""COMPUTED_VALUE"""),"Новый")</f>
        <v>Новый</v>
      </c>
      <c r="G5179" s="68"/>
      <c r="K5179" s="68"/>
    </row>
    <row r="5180" spans="1:11" ht="12.75">
      <c r="A5180" s="69">
        <f ca="1">IFERROR(__xludf.DUMMYFUNCTION("""COMPUTED_VALUE"""),105732)</f>
        <v>105732</v>
      </c>
      <c r="B5180" s="4">
        <f ca="1">IFERROR(__xludf.DUMMYFUNCTION("""COMPUTED_VALUE"""),44804)</f>
        <v>44804</v>
      </c>
      <c r="C5180" t="str">
        <f ca="1">IFERROR(__xludf.DUMMYFUNCTION("""COMPUTED_VALUE"""),"БУ Г. ОМСКА ""УДХБ"" 197-РДО от 01.07.2022")</f>
        <v>БУ Г. ОМСКА "УДХБ" 197-РДО от 01.07.2022</v>
      </c>
      <c r="D51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0" t="str">
        <f ca="1">IFERROR(__xludf.DUMMYFUNCTION("""COMPUTED_VALUE"""),"Новый")</f>
        <v>Новый</v>
      </c>
      <c r="G5180" s="68"/>
      <c r="K5180" s="68"/>
    </row>
    <row r="5181" spans="1:11" ht="12.75">
      <c r="A5181" s="69">
        <f ca="1">IFERROR(__xludf.DUMMYFUNCTION("""COMPUTED_VALUE"""),105733)</f>
        <v>105733</v>
      </c>
      <c r="B5181" s="4">
        <f ca="1">IFERROR(__xludf.DUMMYFUNCTION("""COMPUTED_VALUE"""),44804)</f>
        <v>44804</v>
      </c>
      <c r="C5181" t="str">
        <f ca="1">IFERROR(__xludf.DUMMYFUNCTION("""COMPUTED_VALUE"""),"БУ Г. ОМСКА ""УДХБ"" 197-РДО от 01.07.2022")</f>
        <v>БУ Г. ОМСКА "УДХБ" 197-РДО от 01.07.2022</v>
      </c>
      <c r="D51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1" t="str">
        <f ca="1">IFERROR(__xludf.DUMMYFUNCTION("""COMPUTED_VALUE"""),"Новый")</f>
        <v>Новый</v>
      </c>
      <c r="G5181" s="68"/>
      <c r="K5181" s="68"/>
    </row>
    <row r="5182" spans="1:11" ht="12.75">
      <c r="A5182" s="69">
        <f ca="1">IFERROR(__xludf.DUMMYFUNCTION("""COMPUTED_VALUE"""),105734)</f>
        <v>105734</v>
      </c>
      <c r="B5182" s="4">
        <f ca="1">IFERROR(__xludf.DUMMYFUNCTION("""COMPUTED_VALUE"""),44804)</f>
        <v>44804</v>
      </c>
      <c r="C5182" t="str">
        <f ca="1">IFERROR(__xludf.DUMMYFUNCTION("""COMPUTED_VALUE"""),"БУ Г. ОМСКА ""УДХБ"" 197-РДО от 01.07.2022")</f>
        <v>БУ Г. ОМСКА "УДХБ" 197-РДО от 01.07.2022</v>
      </c>
      <c r="D51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2" t="str">
        <f ca="1">IFERROR(__xludf.DUMMYFUNCTION("""COMPUTED_VALUE"""),"Новый")</f>
        <v>Новый</v>
      </c>
      <c r="G5182" s="68"/>
      <c r="K5182" s="68"/>
    </row>
    <row r="5183" spans="1:11" ht="12.75">
      <c r="A5183" s="69">
        <f ca="1">IFERROR(__xludf.DUMMYFUNCTION("""COMPUTED_VALUE"""),105735)</f>
        <v>105735</v>
      </c>
      <c r="B5183" s="4">
        <f ca="1">IFERROR(__xludf.DUMMYFUNCTION("""COMPUTED_VALUE"""),44804)</f>
        <v>44804</v>
      </c>
      <c r="C5183" t="str">
        <f ca="1">IFERROR(__xludf.DUMMYFUNCTION("""COMPUTED_VALUE"""),"БУ Г. ОМСКА ""УДХБ"" 197-РДО от 01.07.2022")</f>
        <v>БУ Г. ОМСКА "УДХБ" 197-РДО от 01.07.2022</v>
      </c>
      <c r="D51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3" t="str">
        <f ca="1">IFERROR(__xludf.DUMMYFUNCTION("""COMPUTED_VALUE"""),"Новый")</f>
        <v>Новый</v>
      </c>
      <c r="G5183" s="68"/>
      <c r="K5183" s="68"/>
    </row>
    <row r="5184" spans="1:11" ht="12.75">
      <c r="A5184" s="69">
        <f ca="1">IFERROR(__xludf.DUMMYFUNCTION("""COMPUTED_VALUE"""),105736)</f>
        <v>105736</v>
      </c>
      <c r="B5184" s="4">
        <f ca="1">IFERROR(__xludf.DUMMYFUNCTION("""COMPUTED_VALUE"""),44804)</f>
        <v>44804</v>
      </c>
      <c r="C5184" t="str">
        <f ca="1">IFERROR(__xludf.DUMMYFUNCTION("""COMPUTED_VALUE"""),"БУ Г. ОМСКА ""УДХБ"" 197-РДО от 01.07.2022")</f>
        <v>БУ Г. ОМСКА "УДХБ" 197-РДО от 01.07.2022</v>
      </c>
      <c r="D51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4" t="str">
        <f ca="1">IFERROR(__xludf.DUMMYFUNCTION("""COMPUTED_VALUE"""),"Новый")</f>
        <v>Новый</v>
      </c>
      <c r="G5184" s="68"/>
      <c r="K5184" s="68"/>
    </row>
    <row r="5185" spans="1:11" ht="12.75">
      <c r="A5185" s="69">
        <f ca="1">IFERROR(__xludf.DUMMYFUNCTION("""COMPUTED_VALUE"""),105737)</f>
        <v>105737</v>
      </c>
      <c r="B5185" s="4">
        <f ca="1">IFERROR(__xludf.DUMMYFUNCTION("""COMPUTED_VALUE"""),44804)</f>
        <v>44804</v>
      </c>
      <c r="C5185" t="str">
        <f ca="1">IFERROR(__xludf.DUMMYFUNCTION("""COMPUTED_VALUE"""),"БУ Г. ОМСКА ""УДХБ"" 197-РДО от 01.07.2022")</f>
        <v>БУ Г. ОМСКА "УДХБ" 197-РДО от 01.07.2022</v>
      </c>
      <c r="D51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5" t="str">
        <f ca="1">IFERROR(__xludf.DUMMYFUNCTION("""COMPUTED_VALUE"""),"Новый")</f>
        <v>Новый</v>
      </c>
      <c r="G5185" s="68"/>
      <c r="K5185" s="68"/>
    </row>
    <row r="5186" spans="1:11" ht="12.75">
      <c r="A5186" s="69">
        <f ca="1">IFERROR(__xludf.DUMMYFUNCTION("""COMPUTED_VALUE"""),105738)</f>
        <v>105738</v>
      </c>
      <c r="B5186" s="4">
        <f ca="1">IFERROR(__xludf.DUMMYFUNCTION("""COMPUTED_VALUE"""),44804)</f>
        <v>44804</v>
      </c>
      <c r="C5186" t="str">
        <f ca="1">IFERROR(__xludf.DUMMYFUNCTION("""COMPUTED_VALUE"""),"БУ Г. ОМСКА ""УДХБ"" 197-РДО от 01.07.2022")</f>
        <v>БУ Г. ОМСКА "УДХБ" 197-РДО от 01.07.2022</v>
      </c>
      <c r="D51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6" t="str">
        <f ca="1">IFERROR(__xludf.DUMMYFUNCTION("""COMPUTED_VALUE"""),"Новый")</f>
        <v>Новый</v>
      </c>
      <c r="G5186" s="68"/>
      <c r="K5186" s="68"/>
    </row>
    <row r="5187" spans="1:11" ht="12.75">
      <c r="A5187" s="69">
        <f ca="1">IFERROR(__xludf.DUMMYFUNCTION("""COMPUTED_VALUE"""),105739)</f>
        <v>105739</v>
      </c>
      <c r="B5187" s="4">
        <f ca="1">IFERROR(__xludf.DUMMYFUNCTION("""COMPUTED_VALUE"""),44804)</f>
        <v>44804</v>
      </c>
      <c r="C5187" t="str">
        <f ca="1">IFERROR(__xludf.DUMMYFUNCTION("""COMPUTED_VALUE"""),"БУ Г. ОМСКА ""УДХБ"" 197-РДО от 01.07.2022")</f>
        <v>БУ Г. ОМСКА "УДХБ" 197-РДО от 01.07.2022</v>
      </c>
      <c r="D51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7" t="str">
        <f ca="1">IFERROR(__xludf.DUMMYFUNCTION("""COMPUTED_VALUE"""),"Новый")</f>
        <v>Новый</v>
      </c>
      <c r="G5187" s="68"/>
      <c r="K5187" s="68"/>
    </row>
    <row r="5188" spans="1:11" ht="12.75">
      <c r="A5188" s="69">
        <f ca="1">IFERROR(__xludf.DUMMYFUNCTION("""COMPUTED_VALUE"""),105740)</f>
        <v>105740</v>
      </c>
      <c r="B5188" s="4">
        <f ca="1">IFERROR(__xludf.DUMMYFUNCTION("""COMPUTED_VALUE"""),44804)</f>
        <v>44804</v>
      </c>
      <c r="C5188" t="str">
        <f ca="1">IFERROR(__xludf.DUMMYFUNCTION("""COMPUTED_VALUE"""),"БУ Г. ОМСКА ""УДХБ"" 197-РДО от 01.07.2022")</f>
        <v>БУ Г. ОМСКА "УДХБ" 197-РДО от 01.07.2022</v>
      </c>
      <c r="D51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8" t="str">
        <f ca="1">IFERROR(__xludf.DUMMYFUNCTION("""COMPUTED_VALUE"""),"Новый")</f>
        <v>Новый</v>
      </c>
      <c r="G5188" s="68"/>
      <c r="K5188" s="68"/>
    </row>
    <row r="5189" spans="1:11" ht="12.75">
      <c r="A5189" s="69">
        <f ca="1">IFERROR(__xludf.DUMMYFUNCTION("""COMPUTED_VALUE"""),105741)</f>
        <v>105741</v>
      </c>
      <c r="B5189" s="4">
        <f ca="1">IFERROR(__xludf.DUMMYFUNCTION("""COMPUTED_VALUE"""),44804)</f>
        <v>44804</v>
      </c>
      <c r="C5189" t="str">
        <f ca="1">IFERROR(__xludf.DUMMYFUNCTION("""COMPUTED_VALUE"""),"БУ Г. ОМСКА ""УДХБ"" 197-РДО от 01.07.2022")</f>
        <v>БУ Г. ОМСКА "УДХБ" 197-РДО от 01.07.2022</v>
      </c>
      <c r="D51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89" t="str">
        <f ca="1">IFERROR(__xludf.DUMMYFUNCTION("""COMPUTED_VALUE"""),"Новый")</f>
        <v>Новый</v>
      </c>
      <c r="G5189" s="68"/>
      <c r="K5189" s="68"/>
    </row>
    <row r="5190" spans="1:11" ht="12.75">
      <c r="A5190" s="69">
        <f ca="1">IFERROR(__xludf.DUMMYFUNCTION("""COMPUTED_VALUE"""),105742)</f>
        <v>105742</v>
      </c>
      <c r="B5190" s="4">
        <f ca="1">IFERROR(__xludf.DUMMYFUNCTION("""COMPUTED_VALUE"""),44804)</f>
        <v>44804</v>
      </c>
      <c r="C5190" t="str">
        <f ca="1">IFERROR(__xludf.DUMMYFUNCTION("""COMPUTED_VALUE"""),"БУ Г. ОМСКА ""УДХБ"" 197-РДО от 01.07.2022")</f>
        <v>БУ Г. ОМСКА "УДХБ" 197-РДО от 01.07.2022</v>
      </c>
      <c r="D51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0" t="str">
        <f ca="1">IFERROR(__xludf.DUMMYFUNCTION("""COMPUTED_VALUE"""),"Новый")</f>
        <v>Новый</v>
      </c>
      <c r="G5190" s="68"/>
      <c r="K5190" s="68"/>
    </row>
    <row r="5191" spans="1:11" ht="12.75">
      <c r="A5191" s="69">
        <f ca="1">IFERROR(__xludf.DUMMYFUNCTION("""COMPUTED_VALUE"""),105743)</f>
        <v>105743</v>
      </c>
      <c r="B5191" s="4">
        <f ca="1">IFERROR(__xludf.DUMMYFUNCTION("""COMPUTED_VALUE"""),44804)</f>
        <v>44804</v>
      </c>
      <c r="C5191" t="str">
        <f ca="1">IFERROR(__xludf.DUMMYFUNCTION("""COMPUTED_VALUE"""),"БУ Г. ОМСКА ""УДХБ"" 197-РДО от 01.07.2022")</f>
        <v>БУ Г. ОМСКА "УДХБ" 197-РДО от 01.07.2022</v>
      </c>
      <c r="D51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1" t="str">
        <f ca="1">IFERROR(__xludf.DUMMYFUNCTION("""COMPUTED_VALUE"""),"Новый")</f>
        <v>Новый</v>
      </c>
      <c r="G5191" s="68"/>
      <c r="K5191" s="68"/>
    </row>
    <row r="5192" spans="1:11" ht="12.75">
      <c r="A5192" s="69">
        <f ca="1">IFERROR(__xludf.DUMMYFUNCTION("""COMPUTED_VALUE"""),105744)</f>
        <v>105744</v>
      </c>
      <c r="B5192" s="4">
        <f ca="1">IFERROR(__xludf.DUMMYFUNCTION("""COMPUTED_VALUE"""),44804)</f>
        <v>44804</v>
      </c>
      <c r="C5192" t="str">
        <f ca="1">IFERROR(__xludf.DUMMYFUNCTION("""COMPUTED_VALUE"""),"БУ Г. ОМСКА ""УДХБ"" 197-РДО от 01.07.2022")</f>
        <v>БУ Г. ОМСКА "УДХБ" 197-РДО от 01.07.2022</v>
      </c>
      <c r="D51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2" t="str">
        <f ca="1">IFERROR(__xludf.DUMMYFUNCTION("""COMPUTED_VALUE"""),"Новый")</f>
        <v>Новый</v>
      </c>
      <c r="G5192" s="68"/>
      <c r="K5192" s="68"/>
    </row>
    <row r="5193" spans="1:11" ht="12.75">
      <c r="A5193" s="69">
        <f ca="1">IFERROR(__xludf.DUMMYFUNCTION("""COMPUTED_VALUE"""),105745)</f>
        <v>105745</v>
      </c>
      <c r="B5193" s="4">
        <f ca="1">IFERROR(__xludf.DUMMYFUNCTION("""COMPUTED_VALUE"""),44804)</f>
        <v>44804</v>
      </c>
      <c r="C5193" t="str">
        <f ca="1">IFERROR(__xludf.DUMMYFUNCTION("""COMPUTED_VALUE"""),"БУ Г. ОМСКА ""УДХБ"" 197-РДО от 01.07.2022")</f>
        <v>БУ Г. ОМСКА "УДХБ" 197-РДО от 01.07.2022</v>
      </c>
      <c r="D51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3" t="str">
        <f ca="1">IFERROR(__xludf.DUMMYFUNCTION("""COMPUTED_VALUE"""),"Новый")</f>
        <v>Новый</v>
      </c>
      <c r="G5193" s="68"/>
      <c r="K5193" s="68"/>
    </row>
    <row r="5194" spans="1:11" ht="12.75">
      <c r="A5194" s="69">
        <f ca="1">IFERROR(__xludf.DUMMYFUNCTION("""COMPUTED_VALUE"""),105746)</f>
        <v>105746</v>
      </c>
      <c r="B5194" s="4">
        <f ca="1">IFERROR(__xludf.DUMMYFUNCTION("""COMPUTED_VALUE"""),44804)</f>
        <v>44804</v>
      </c>
      <c r="C5194" t="str">
        <f ca="1">IFERROR(__xludf.DUMMYFUNCTION("""COMPUTED_VALUE"""),"БУ Г. ОМСКА ""УДХБ"" 197-РДО от 01.07.2022")</f>
        <v>БУ Г. ОМСКА "УДХБ" 197-РДО от 01.07.2022</v>
      </c>
      <c r="D51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4" t="str">
        <f ca="1">IFERROR(__xludf.DUMMYFUNCTION("""COMPUTED_VALUE"""),"Новый")</f>
        <v>Новый</v>
      </c>
      <c r="G5194" s="68"/>
      <c r="K5194" s="68"/>
    </row>
    <row r="5195" spans="1:11" ht="12.75">
      <c r="A5195" s="69">
        <f ca="1">IFERROR(__xludf.DUMMYFUNCTION("""COMPUTED_VALUE"""),105747)</f>
        <v>105747</v>
      </c>
      <c r="B5195" s="4">
        <f ca="1">IFERROR(__xludf.DUMMYFUNCTION("""COMPUTED_VALUE"""),44804)</f>
        <v>44804</v>
      </c>
      <c r="C5195" t="str">
        <f ca="1">IFERROR(__xludf.DUMMYFUNCTION("""COMPUTED_VALUE"""),"БУ Г. ОМСКА ""УДХБ"" 197-РДО от 01.07.2022")</f>
        <v>БУ Г. ОМСКА "УДХБ" 197-РДО от 01.07.2022</v>
      </c>
      <c r="D51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5" t="str">
        <f ca="1">IFERROR(__xludf.DUMMYFUNCTION("""COMPUTED_VALUE"""),"Новый")</f>
        <v>Новый</v>
      </c>
      <c r="G5195" s="68"/>
      <c r="K5195" s="68"/>
    </row>
    <row r="5196" spans="1:11" ht="12.75">
      <c r="A5196" s="69">
        <f ca="1">IFERROR(__xludf.DUMMYFUNCTION("""COMPUTED_VALUE"""),105748)</f>
        <v>105748</v>
      </c>
      <c r="B5196" s="4">
        <f ca="1">IFERROR(__xludf.DUMMYFUNCTION("""COMPUTED_VALUE"""),44804)</f>
        <v>44804</v>
      </c>
      <c r="C5196" t="str">
        <f ca="1">IFERROR(__xludf.DUMMYFUNCTION("""COMPUTED_VALUE"""),"БУ Г. ОМСКА ""УДХБ"" 197-РДО от 01.07.2022")</f>
        <v>БУ Г. ОМСКА "УДХБ" 197-РДО от 01.07.2022</v>
      </c>
      <c r="D51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6" t="str">
        <f ca="1">IFERROR(__xludf.DUMMYFUNCTION("""COMPUTED_VALUE"""),"Новый")</f>
        <v>Новый</v>
      </c>
      <c r="G5196" s="68"/>
      <c r="K5196" s="68"/>
    </row>
    <row r="5197" spans="1:11" ht="12.75">
      <c r="A5197" s="69">
        <f ca="1">IFERROR(__xludf.DUMMYFUNCTION("""COMPUTED_VALUE"""),105749)</f>
        <v>105749</v>
      </c>
      <c r="B5197" s="4">
        <f ca="1">IFERROR(__xludf.DUMMYFUNCTION("""COMPUTED_VALUE"""),44804)</f>
        <v>44804</v>
      </c>
      <c r="C5197" t="str">
        <f ca="1">IFERROR(__xludf.DUMMYFUNCTION("""COMPUTED_VALUE"""),"БУ Г. ОМСКА ""УДХБ"" 197-РДО от 01.07.2022")</f>
        <v>БУ Г. ОМСКА "УДХБ" 197-РДО от 01.07.2022</v>
      </c>
      <c r="D51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7" t="str">
        <f ca="1">IFERROR(__xludf.DUMMYFUNCTION("""COMPUTED_VALUE"""),"Новый")</f>
        <v>Новый</v>
      </c>
      <c r="G5197" s="68"/>
      <c r="K5197" s="68"/>
    </row>
    <row r="5198" spans="1:11" ht="12.75">
      <c r="A5198" s="69">
        <f ca="1">IFERROR(__xludf.DUMMYFUNCTION("""COMPUTED_VALUE"""),105750)</f>
        <v>105750</v>
      </c>
      <c r="B5198" s="4">
        <f ca="1">IFERROR(__xludf.DUMMYFUNCTION("""COMPUTED_VALUE"""),44804)</f>
        <v>44804</v>
      </c>
      <c r="C5198" t="str">
        <f ca="1">IFERROR(__xludf.DUMMYFUNCTION("""COMPUTED_VALUE"""),"БУ Г. ОМСКА ""УДХБ"" 197-РДО от 01.07.2022")</f>
        <v>БУ Г. ОМСКА "УДХБ" 197-РДО от 01.07.2022</v>
      </c>
      <c r="D51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8" t="str">
        <f ca="1">IFERROR(__xludf.DUMMYFUNCTION("""COMPUTED_VALUE"""),"Новый")</f>
        <v>Новый</v>
      </c>
      <c r="G5198" s="68"/>
      <c r="K5198" s="68"/>
    </row>
    <row r="5199" spans="1:11" ht="12.75">
      <c r="A5199" s="69">
        <f ca="1">IFERROR(__xludf.DUMMYFUNCTION("""COMPUTED_VALUE"""),105751)</f>
        <v>105751</v>
      </c>
      <c r="B5199" s="4">
        <f ca="1">IFERROR(__xludf.DUMMYFUNCTION("""COMPUTED_VALUE"""),44804)</f>
        <v>44804</v>
      </c>
      <c r="C5199" t="str">
        <f ca="1">IFERROR(__xludf.DUMMYFUNCTION("""COMPUTED_VALUE"""),"БУ Г. ОМСКА ""УДХБ"" 197-РДО от 01.07.2022")</f>
        <v>БУ Г. ОМСКА "УДХБ" 197-РДО от 01.07.2022</v>
      </c>
      <c r="D51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199" t="str">
        <f ca="1">IFERROR(__xludf.DUMMYFUNCTION("""COMPUTED_VALUE"""),"Новый")</f>
        <v>Новый</v>
      </c>
      <c r="G5199" s="68"/>
      <c r="K5199" s="68"/>
    </row>
    <row r="5200" spans="1:11" ht="12.75">
      <c r="A5200" s="69">
        <f ca="1">IFERROR(__xludf.DUMMYFUNCTION("""COMPUTED_VALUE"""),105752)</f>
        <v>105752</v>
      </c>
      <c r="B5200" s="4">
        <f ca="1">IFERROR(__xludf.DUMMYFUNCTION("""COMPUTED_VALUE"""),44804)</f>
        <v>44804</v>
      </c>
      <c r="C5200" t="str">
        <f ca="1">IFERROR(__xludf.DUMMYFUNCTION("""COMPUTED_VALUE"""),"БУ Г. ОМСКА ""УДХБ"" 197-РДО от 01.07.2022")</f>
        <v>БУ Г. ОМСКА "УДХБ" 197-РДО от 01.07.2022</v>
      </c>
      <c r="D52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0" t="str">
        <f ca="1">IFERROR(__xludf.DUMMYFUNCTION("""COMPUTED_VALUE"""),"Новый")</f>
        <v>Новый</v>
      </c>
      <c r="G5200" s="68"/>
      <c r="K5200" s="68"/>
    </row>
    <row r="5201" spans="1:11" ht="12.75">
      <c r="A5201" s="69">
        <f ca="1">IFERROR(__xludf.DUMMYFUNCTION("""COMPUTED_VALUE"""),105753)</f>
        <v>105753</v>
      </c>
      <c r="B5201" s="4">
        <f ca="1">IFERROR(__xludf.DUMMYFUNCTION("""COMPUTED_VALUE"""),44804)</f>
        <v>44804</v>
      </c>
      <c r="C5201" t="str">
        <f ca="1">IFERROR(__xludf.DUMMYFUNCTION("""COMPUTED_VALUE"""),"БУ Г. ОМСКА ""УДХБ"" 197-РДО от 01.07.2022")</f>
        <v>БУ Г. ОМСКА "УДХБ" 197-РДО от 01.07.2022</v>
      </c>
      <c r="D52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1" t="str">
        <f ca="1">IFERROR(__xludf.DUMMYFUNCTION("""COMPUTED_VALUE"""),"Новый")</f>
        <v>Новый</v>
      </c>
      <c r="G5201" s="68"/>
      <c r="K5201" s="68"/>
    </row>
    <row r="5202" spans="1:11" ht="12.75">
      <c r="A5202" s="69">
        <f ca="1">IFERROR(__xludf.DUMMYFUNCTION("""COMPUTED_VALUE"""),105754)</f>
        <v>105754</v>
      </c>
      <c r="B5202" s="4">
        <f ca="1">IFERROR(__xludf.DUMMYFUNCTION("""COMPUTED_VALUE"""),44804)</f>
        <v>44804</v>
      </c>
      <c r="C5202" t="str">
        <f ca="1">IFERROR(__xludf.DUMMYFUNCTION("""COMPUTED_VALUE"""),"БУ Г. ОМСКА ""УДХБ"" 197-РДО от 01.07.2022")</f>
        <v>БУ Г. ОМСКА "УДХБ" 197-РДО от 01.07.2022</v>
      </c>
      <c r="D52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2" t="str">
        <f ca="1">IFERROR(__xludf.DUMMYFUNCTION("""COMPUTED_VALUE"""),"Новый")</f>
        <v>Новый</v>
      </c>
      <c r="G5202" s="68"/>
      <c r="K5202" s="68"/>
    </row>
    <row r="5203" spans="1:11" ht="12.75">
      <c r="A5203" s="69">
        <f ca="1">IFERROR(__xludf.DUMMYFUNCTION("""COMPUTED_VALUE"""),105755)</f>
        <v>105755</v>
      </c>
      <c r="B5203" s="4">
        <f ca="1">IFERROR(__xludf.DUMMYFUNCTION("""COMPUTED_VALUE"""),44804)</f>
        <v>44804</v>
      </c>
      <c r="C5203" t="str">
        <f ca="1">IFERROR(__xludf.DUMMYFUNCTION("""COMPUTED_VALUE"""),"БУ Г. ОМСКА ""УДХБ"" 197-РДО от 01.07.2022")</f>
        <v>БУ Г. ОМСКА "УДХБ" 197-РДО от 01.07.2022</v>
      </c>
      <c r="D52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3" t="str">
        <f ca="1">IFERROR(__xludf.DUMMYFUNCTION("""COMPUTED_VALUE"""),"Новый")</f>
        <v>Новый</v>
      </c>
      <c r="G5203" s="68"/>
      <c r="K5203" s="68"/>
    </row>
    <row r="5204" spans="1:11" ht="12.75">
      <c r="A5204" s="69">
        <f ca="1">IFERROR(__xludf.DUMMYFUNCTION("""COMPUTED_VALUE"""),105756)</f>
        <v>105756</v>
      </c>
      <c r="B5204" s="4">
        <f ca="1">IFERROR(__xludf.DUMMYFUNCTION("""COMPUTED_VALUE"""),44804)</f>
        <v>44804</v>
      </c>
      <c r="C5204" t="str">
        <f ca="1">IFERROR(__xludf.DUMMYFUNCTION("""COMPUTED_VALUE"""),"БУ Г. ОМСКА ""УДХБ"" 197-РДО от 01.07.2022")</f>
        <v>БУ Г. ОМСКА "УДХБ" 197-РДО от 01.07.2022</v>
      </c>
      <c r="D52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4" t="str">
        <f ca="1">IFERROR(__xludf.DUMMYFUNCTION("""COMPUTED_VALUE"""),"Новый")</f>
        <v>Новый</v>
      </c>
      <c r="G5204" s="68"/>
      <c r="K5204" s="68"/>
    </row>
    <row r="5205" spans="1:11" ht="12.75">
      <c r="A5205" s="69">
        <f ca="1">IFERROR(__xludf.DUMMYFUNCTION("""COMPUTED_VALUE"""),105757)</f>
        <v>105757</v>
      </c>
      <c r="B5205" s="4">
        <f ca="1">IFERROR(__xludf.DUMMYFUNCTION("""COMPUTED_VALUE"""),44804)</f>
        <v>44804</v>
      </c>
      <c r="C5205" t="str">
        <f ca="1">IFERROR(__xludf.DUMMYFUNCTION("""COMPUTED_VALUE"""),"БУ Г. ОМСКА ""УДХБ"" 197-РДО от 01.07.2022")</f>
        <v>БУ Г. ОМСКА "УДХБ" 197-РДО от 01.07.2022</v>
      </c>
      <c r="D52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5" t="str">
        <f ca="1">IFERROR(__xludf.DUMMYFUNCTION("""COMPUTED_VALUE"""),"Новый")</f>
        <v>Новый</v>
      </c>
      <c r="G5205" s="68"/>
      <c r="K5205" s="68"/>
    </row>
    <row r="5206" spans="1:11" ht="12.75">
      <c r="A5206" s="69">
        <f ca="1">IFERROR(__xludf.DUMMYFUNCTION("""COMPUTED_VALUE"""),105758)</f>
        <v>105758</v>
      </c>
      <c r="B5206" s="4">
        <f ca="1">IFERROR(__xludf.DUMMYFUNCTION("""COMPUTED_VALUE"""),44804)</f>
        <v>44804</v>
      </c>
      <c r="C5206" t="str">
        <f ca="1">IFERROR(__xludf.DUMMYFUNCTION("""COMPUTED_VALUE"""),"БУ Г. ОМСКА ""УДХБ"" 197-РДО от 01.07.2022")</f>
        <v>БУ Г. ОМСКА "УДХБ" 197-РДО от 01.07.2022</v>
      </c>
      <c r="D52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6" t="str">
        <f ca="1">IFERROR(__xludf.DUMMYFUNCTION("""COMPUTED_VALUE"""),"Новый")</f>
        <v>Новый</v>
      </c>
      <c r="G5206" s="68"/>
      <c r="K5206" s="68"/>
    </row>
    <row r="5207" spans="1:11" ht="12.75">
      <c r="A5207" s="69">
        <f ca="1">IFERROR(__xludf.DUMMYFUNCTION("""COMPUTED_VALUE"""),105759)</f>
        <v>105759</v>
      </c>
      <c r="B5207" s="4">
        <f ca="1">IFERROR(__xludf.DUMMYFUNCTION("""COMPUTED_VALUE"""),44804)</f>
        <v>44804</v>
      </c>
      <c r="C5207" t="str">
        <f ca="1">IFERROR(__xludf.DUMMYFUNCTION("""COMPUTED_VALUE"""),"БУ Г. ОМСКА ""УДХБ"" 197-РДО от 01.07.2022")</f>
        <v>БУ Г. ОМСКА "УДХБ" 197-РДО от 01.07.2022</v>
      </c>
      <c r="D52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7" t="str">
        <f ca="1">IFERROR(__xludf.DUMMYFUNCTION("""COMPUTED_VALUE"""),"Новый")</f>
        <v>Новый</v>
      </c>
      <c r="G5207" s="68"/>
      <c r="K5207" s="68"/>
    </row>
    <row r="5208" spans="1:11" ht="12.75">
      <c r="A5208" s="69">
        <f ca="1">IFERROR(__xludf.DUMMYFUNCTION("""COMPUTED_VALUE"""),105760)</f>
        <v>105760</v>
      </c>
      <c r="B5208" s="4">
        <f ca="1">IFERROR(__xludf.DUMMYFUNCTION("""COMPUTED_VALUE"""),44804)</f>
        <v>44804</v>
      </c>
      <c r="C5208" t="str">
        <f ca="1">IFERROR(__xludf.DUMMYFUNCTION("""COMPUTED_VALUE"""),"БУ Г. ОМСКА ""УДХБ"" 197-РДО от 01.07.2022")</f>
        <v>БУ Г. ОМСКА "УДХБ" 197-РДО от 01.07.2022</v>
      </c>
      <c r="D52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8" t="str">
        <f ca="1">IFERROR(__xludf.DUMMYFUNCTION("""COMPUTED_VALUE"""),"Новый")</f>
        <v>Новый</v>
      </c>
      <c r="G5208" s="68"/>
      <c r="K5208" s="68"/>
    </row>
    <row r="5209" spans="1:11" ht="12.75">
      <c r="A5209" s="69">
        <f ca="1">IFERROR(__xludf.DUMMYFUNCTION("""COMPUTED_VALUE"""),105761)</f>
        <v>105761</v>
      </c>
      <c r="B5209" s="4">
        <f ca="1">IFERROR(__xludf.DUMMYFUNCTION("""COMPUTED_VALUE"""),44804)</f>
        <v>44804</v>
      </c>
      <c r="C5209" t="str">
        <f ca="1">IFERROR(__xludf.DUMMYFUNCTION("""COMPUTED_VALUE"""),"БУ Г. ОМСКА ""УДХБ"" 197-РДО от 01.07.2022")</f>
        <v>БУ Г. ОМСКА "УДХБ" 197-РДО от 01.07.2022</v>
      </c>
      <c r="D52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09" t="str">
        <f ca="1">IFERROR(__xludf.DUMMYFUNCTION("""COMPUTED_VALUE"""),"Новый")</f>
        <v>Новый</v>
      </c>
      <c r="G5209" s="68"/>
      <c r="K5209" s="68"/>
    </row>
    <row r="5210" spans="1:11" ht="12.75">
      <c r="A5210" s="69">
        <f ca="1">IFERROR(__xludf.DUMMYFUNCTION("""COMPUTED_VALUE"""),105762)</f>
        <v>105762</v>
      </c>
      <c r="B5210" s="4">
        <f ca="1">IFERROR(__xludf.DUMMYFUNCTION("""COMPUTED_VALUE"""),44804)</f>
        <v>44804</v>
      </c>
      <c r="C5210" t="str">
        <f ca="1">IFERROR(__xludf.DUMMYFUNCTION("""COMPUTED_VALUE"""),"БУ Г. ОМСКА ""УДХБ"" 197-РДО от 01.07.2022")</f>
        <v>БУ Г. ОМСКА "УДХБ" 197-РДО от 01.07.2022</v>
      </c>
      <c r="D52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0" t="str">
        <f ca="1">IFERROR(__xludf.DUMMYFUNCTION("""COMPUTED_VALUE"""),"Новый")</f>
        <v>Новый</v>
      </c>
      <c r="G5210" s="68"/>
      <c r="K5210" s="68"/>
    </row>
    <row r="5211" spans="1:11" ht="12.75">
      <c r="A5211" s="69">
        <f ca="1">IFERROR(__xludf.DUMMYFUNCTION("""COMPUTED_VALUE"""),105763)</f>
        <v>105763</v>
      </c>
      <c r="B5211" s="4">
        <f ca="1">IFERROR(__xludf.DUMMYFUNCTION("""COMPUTED_VALUE"""),44804)</f>
        <v>44804</v>
      </c>
      <c r="C5211" t="str">
        <f ca="1">IFERROR(__xludf.DUMMYFUNCTION("""COMPUTED_VALUE"""),"БУ Г. ОМСКА ""УДХБ"" 197-РДО от 01.07.2022")</f>
        <v>БУ Г. ОМСКА "УДХБ" 197-РДО от 01.07.2022</v>
      </c>
      <c r="D52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1" t="str">
        <f ca="1">IFERROR(__xludf.DUMMYFUNCTION("""COMPUTED_VALUE"""),"Новый")</f>
        <v>Новый</v>
      </c>
      <c r="G5211" s="68"/>
      <c r="K5211" s="68"/>
    </row>
    <row r="5212" spans="1:11" ht="12.75">
      <c r="A5212" s="69">
        <f ca="1">IFERROR(__xludf.DUMMYFUNCTION("""COMPUTED_VALUE"""),105764)</f>
        <v>105764</v>
      </c>
      <c r="B5212" s="4">
        <f ca="1">IFERROR(__xludf.DUMMYFUNCTION("""COMPUTED_VALUE"""),44804)</f>
        <v>44804</v>
      </c>
      <c r="C5212" t="str">
        <f ca="1">IFERROR(__xludf.DUMMYFUNCTION("""COMPUTED_VALUE"""),"БУ Г. ОМСКА ""УДХБ"" 197-РДО от 01.07.2022")</f>
        <v>БУ Г. ОМСКА "УДХБ" 197-РДО от 01.07.2022</v>
      </c>
      <c r="D52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2" t="str">
        <f ca="1">IFERROR(__xludf.DUMMYFUNCTION("""COMPUTED_VALUE"""),"Новый")</f>
        <v>Новый</v>
      </c>
      <c r="G5212" s="68"/>
      <c r="K5212" s="68"/>
    </row>
    <row r="5213" spans="1:11" ht="12.75">
      <c r="A5213" s="69">
        <f ca="1">IFERROR(__xludf.DUMMYFUNCTION("""COMPUTED_VALUE"""),105765)</f>
        <v>105765</v>
      </c>
      <c r="B5213" s="4">
        <f ca="1">IFERROR(__xludf.DUMMYFUNCTION("""COMPUTED_VALUE"""),44804)</f>
        <v>44804</v>
      </c>
      <c r="C5213" t="str">
        <f ca="1">IFERROR(__xludf.DUMMYFUNCTION("""COMPUTED_VALUE"""),"БУ Г. ОМСКА ""УДХБ"" 197-РДО от 01.07.2022")</f>
        <v>БУ Г. ОМСКА "УДХБ" 197-РДО от 01.07.2022</v>
      </c>
      <c r="D52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3" t="str">
        <f ca="1">IFERROR(__xludf.DUMMYFUNCTION("""COMPUTED_VALUE"""),"Новый")</f>
        <v>Новый</v>
      </c>
      <c r="G5213" s="68"/>
      <c r="K5213" s="68"/>
    </row>
    <row r="5214" spans="1:11" ht="12.75">
      <c r="A5214" s="69">
        <f ca="1">IFERROR(__xludf.DUMMYFUNCTION("""COMPUTED_VALUE"""),105766)</f>
        <v>105766</v>
      </c>
      <c r="B5214" s="4">
        <f ca="1">IFERROR(__xludf.DUMMYFUNCTION("""COMPUTED_VALUE"""),44804)</f>
        <v>44804</v>
      </c>
      <c r="C5214" t="str">
        <f ca="1">IFERROR(__xludf.DUMMYFUNCTION("""COMPUTED_VALUE"""),"БУ Г. ОМСКА ""УДХБ"" 197-РДО от 01.07.2022")</f>
        <v>БУ Г. ОМСКА "УДХБ" 197-РДО от 01.07.2022</v>
      </c>
      <c r="D52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4" t="str">
        <f ca="1">IFERROR(__xludf.DUMMYFUNCTION("""COMPUTED_VALUE"""),"Новый")</f>
        <v>Новый</v>
      </c>
      <c r="G5214" s="68"/>
      <c r="K5214" s="68"/>
    </row>
    <row r="5215" spans="1:11" ht="12.75">
      <c r="A5215" s="69">
        <f ca="1">IFERROR(__xludf.DUMMYFUNCTION("""COMPUTED_VALUE"""),105767)</f>
        <v>105767</v>
      </c>
      <c r="B5215" s="4">
        <f ca="1">IFERROR(__xludf.DUMMYFUNCTION("""COMPUTED_VALUE"""),44804)</f>
        <v>44804</v>
      </c>
      <c r="C5215" t="str">
        <f ca="1">IFERROR(__xludf.DUMMYFUNCTION("""COMPUTED_VALUE"""),"БУ Г. ОМСКА ""УДХБ"" 197-РДО от 01.07.2022")</f>
        <v>БУ Г. ОМСКА "УДХБ" 197-РДО от 01.07.2022</v>
      </c>
      <c r="D52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5" t="str">
        <f ca="1">IFERROR(__xludf.DUMMYFUNCTION("""COMPUTED_VALUE"""),"Новый")</f>
        <v>Новый</v>
      </c>
      <c r="G5215" s="68"/>
      <c r="K5215" s="68"/>
    </row>
    <row r="5216" spans="1:11" ht="12.75">
      <c r="A5216" s="69">
        <f ca="1">IFERROR(__xludf.DUMMYFUNCTION("""COMPUTED_VALUE"""),105768)</f>
        <v>105768</v>
      </c>
      <c r="B5216" s="4">
        <f ca="1">IFERROR(__xludf.DUMMYFUNCTION("""COMPUTED_VALUE"""),44804)</f>
        <v>44804</v>
      </c>
      <c r="C5216" t="str">
        <f ca="1">IFERROR(__xludf.DUMMYFUNCTION("""COMPUTED_VALUE"""),"БУ Г. ОМСКА ""УДХБ"" 197-РДО от 01.07.2022")</f>
        <v>БУ Г. ОМСКА "УДХБ" 197-РДО от 01.07.2022</v>
      </c>
      <c r="D52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6" t="str">
        <f ca="1">IFERROR(__xludf.DUMMYFUNCTION("""COMPUTED_VALUE"""),"Новый")</f>
        <v>Новый</v>
      </c>
      <c r="G5216" s="68"/>
      <c r="K5216" s="68"/>
    </row>
    <row r="5217" spans="1:11" ht="12.75">
      <c r="A5217" s="69">
        <f ca="1">IFERROR(__xludf.DUMMYFUNCTION("""COMPUTED_VALUE"""),105769)</f>
        <v>105769</v>
      </c>
      <c r="B5217" s="4">
        <f ca="1">IFERROR(__xludf.DUMMYFUNCTION("""COMPUTED_VALUE"""),44804)</f>
        <v>44804</v>
      </c>
      <c r="C5217" t="str">
        <f ca="1">IFERROR(__xludf.DUMMYFUNCTION("""COMPUTED_VALUE"""),"БУ Г. ОМСКА ""УДХБ"" 197-РДО от 01.07.2022")</f>
        <v>БУ Г. ОМСКА "УДХБ" 197-РДО от 01.07.2022</v>
      </c>
      <c r="D52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7" t="str">
        <f ca="1">IFERROR(__xludf.DUMMYFUNCTION("""COMPUTED_VALUE"""),"Новый")</f>
        <v>Новый</v>
      </c>
      <c r="G5217" s="68"/>
      <c r="K5217" s="68"/>
    </row>
    <row r="5218" spans="1:11" ht="12.75">
      <c r="A5218" s="69">
        <f ca="1">IFERROR(__xludf.DUMMYFUNCTION("""COMPUTED_VALUE"""),105800)</f>
        <v>105800</v>
      </c>
      <c r="B5218" s="4">
        <f ca="1">IFERROR(__xludf.DUMMYFUNCTION("""COMPUTED_VALUE"""),44804)</f>
        <v>44804</v>
      </c>
      <c r="C5218" t="str">
        <f ca="1">IFERROR(__xludf.DUMMYFUNCTION("""COMPUTED_VALUE"""),"БУ Г. ОМСКА ""УДХБ"" 197-РДО от 01.07.2022")</f>
        <v>БУ Г. ОМСКА "УДХБ" 197-РДО от 01.07.2022</v>
      </c>
      <c r="D52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8" t="str">
        <f ca="1">IFERROR(__xludf.DUMMYFUNCTION("""COMPUTED_VALUE"""),"Новый")</f>
        <v>Новый</v>
      </c>
      <c r="G5218" s="68"/>
      <c r="K5218" s="68"/>
    </row>
    <row r="5219" spans="1:11" ht="12.75">
      <c r="A5219" s="69">
        <f ca="1">IFERROR(__xludf.DUMMYFUNCTION("""COMPUTED_VALUE"""),105804)</f>
        <v>105804</v>
      </c>
      <c r="B5219" s="4">
        <f ca="1">IFERROR(__xludf.DUMMYFUNCTION("""COMPUTED_VALUE"""),44804)</f>
        <v>44804</v>
      </c>
      <c r="C5219" t="str">
        <f ca="1">IFERROR(__xludf.DUMMYFUNCTION("""COMPUTED_VALUE"""),"БУ Г. ОМСКА ""УДХБ"" 197-РДО от 01.07.2022")</f>
        <v>БУ Г. ОМСКА "УДХБ" 197-РДО от 01.07.2022</v>
      </c>
      <c r="D52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19" t="str">
        <f ca="1">IFERROR(__xludf.DUMMYFUNCTION("""COMPUTED_VALUE"""),"Новый")</f>
        <v>Новый</v>
      </c>
      <c r="G5219" s="68"/>
      <c r="K5219" s="68"/>
    </row>
    <row r="5220" spans="1:11" ht="12.75">
      <c r="A5220" s="69">
        <f ca="1">IFERROR(__xludf.DUMMYFUNCTION("""COMPUTED_VALUE"""),105805)</f>
        <v>105805</v>
      </c>
      <c r="B5220" s="4">
        <f ca="1">IFERROR(__xludf.DUMMYFUNCTION("""COMPUTED_VALUE"""),44804)</f>
        <v>44804</v>
      </c>
      <c r="C5220" t="str">
        <f ca="1">IFERROR(__xludf.DUMMYFUNCTION("""COMPUTED_VALUE"""),"БУ Г. ОМСКА ""УДХБ"" 197-РДО от 01.07.2022")</f>
        <v>БУ Г. ОМСКА "УДХБ" 197-РДО от 01.07.2022</v>
      </c>
      <c r="D52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0" t="str">
        <f ca="1">IFERROR(__xludf.DUMMYFUNCTION("""COMPUTED_VALUE"""),"Новый")</f>
        <v>Новый</v>
      </c>
      <c r="G5220" s="68"/>
      <c r="K5220" s="68"/>
    </row>
    <row r="5221" spans="1:11" ht="12.75">
      <c r="A5221" s="69">
        <f ca="1">IFERROR(__xludf.DUMMYFUNCTION("""COMPUTED_VALUE"""),105830)</f>
        <v>105830</v>
      </c>
      <c r="B5221" s="4">
        <f ca="1">IFERROR(__xludf.DUMMYFUNCTION("""COMPUTED_VALUE"""),44804)</f>
        <v>44804</v>
      </c>
      <c r="C5221" t="str">
        <f ca="1">IFERROR(__xludf.DUMMYFUNCTION("""COMPUTED_VALUE"""),"БУ Г. ОМСКА ""УДХБ"" 197-РДО от 01.07.2022")</f>
        <v>БУ Г. ОМСКА "УДХБ" 197-РДО от 01.07.2022</v>
      </c>
      <c r="D52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1" t="str">
        <f ca="1">IFERROR(__xludf.DUMMYFUNCTION("""COMPUTED_VALUE"""),"Новый")</f>
        <v>Новый</v>
      </c>
      <c r="G5221" s="68"/>
      <c r="K5221" s="68"/>
    </row>
    <row r="5222" spans="1:11" ht="12.75">
      <c r="A5222" s="69">
        <f ca="1">IFERROR(__xludf.DUMMYFUNCTION("""COMPUTED_VALUE"""),105831)</f>
        <v>105831</v>
      </c>
      <c r="B5222" s="4">
        <f ca="1">IFERROR(__xludf.DUMMYFUNCTION("""COMPUTED_VALUE"""),44804)</f>
        <v>44804</v>
      </c>
      <c r="C5222" t="str">
        <f ca="1">IFERROR(__xludf.DUMMYFUNCTION("""COMPUTED_VALUE"""),"БУ Г. ОМСКА ""УДХБ"" 197-РДО от 01.07.2022")</f>
        <v>БУ Г. ОМСКА "УДХБ" 197-РДО от 01.07.2022</v>
      </c>
      <c r="D52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2" t="str">
        <f ca="1">IFERROR(__xludf.DUMMYFUNCTION("""COMPUTED_VALUE"""),"Новый")</f>
        <v>Новый</v>
      </c>
      <c r="G5222" s="68"/>
      <c r="K5222" s="68"/>
    </row>
    <row r="5223" spans="1:11" ht="12.75">
      <c r="A5223" s="69">
        <f ca="1">IFERROR(__xludf.DUMMYFUNCTION("""COMPUTED_VALUE"""),105832)</f>
        <v>105832</v>
      </c>
      <c r="B5223" s="4">
        <f ca="1">IFERROR(__xludf.DUMMYFUNCTION("""COMPUTED_VALUE"""),44804)</f>
        <v>44804</v>
      </c>
      <c r="C5223" t="str">
        <f ca="1">IFERROR(__xludf.DUMMYFUNCTION("""COMPUTED_VALUE"""),"БУ Г. ОМСКА ""УДХБ"" 197-РДО от 01.07.2022")</f>
        <v>БУ Г. ОМСКА "УДХБ" 197-РДО от 01.07.2022</v>
      </c>
      <c r="D52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3" t="str">
        <f ca="1">IFERROR(__xludf.DUMMYFUNCTION("""COMPUTED_VALUE"""),"Новый")</f>
        <v>Новый</v>
      </c>
      <c r="G5223" s="68"/>
      <c r="K5223" s="68"/>
    </row>
    <row r="5224" spans="1:11" ht="12.75">
      <c r="A5224" s="69">
        <f ca="1">IFERROR(__xludf.DUMMYFUNCTION("""COMPUTED_VALUE"""),105833)</f>
        <v>105833</v>
      </c>
      <c r="B5224" s="4">
        <f ca="1">IFERROR(__xludf.DUMMYFUNCTION("""COMPUTED_VALUE"""),44804)</f>
        <v>44804</v>
      </c>
      <c r="C5224" t="str">
        <f ca="1">IFERROR(__xludf.DUMMYFUNCTION("""COMPUTED_VALUE"""),"БУ Г. ОМСКА ""УДХБ"" 197-РДО от 01.07.2022")</f>
        <v>БУ Г. ОМСКА "УДХБ" 197-РДО от 01.07.2022</v>
      </c>
      <c r="D52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4" t="str">
        <f ca="1">IFERROR(__xludf.DUMMYFUNCTION("""COMPUTED_VALUE"""),"Новый")</f>
        <v>Новый</v>
      </c>
      <c r="G5224" s="68"/>
      <c r="K5224" s="68"/>
    </row>
    <row r="5225" spans="1:11" ht="12.75">
      <c r="A5225" s="69">
        <f ca="1">IFERROR(__xludf.DUMMYFUNCTION("""COMPUTED_VALUE"""),105834)</f>
        <v>105834</v>
      </c>
      <c r="B5225" s="4">
        <f ca="1">IFERROR(__xludf.DUMMYFUNCTION("""COMPUTED_VALUE"""),44804)</f>
        <v>44804</v>
      </c>
      <c r="C5225" t="str">
        <f ca="1">IFERROR(__xludf.DUMMYFUNCTION("""COMPUTED_VALUE"""),"БУ Г. ОМСКА ""УДХБ"" 197-РДО от 01.07.2022")</f>
        <v>БУ Г. ОМСКА "УДХБ" 197-РДО от 01.07.2022</v>
      </c>
      <c r="D52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5" t="str">
        <f ca="1">IFERROR(__xludf.DUMMYFUNCTION("""COMPUTED_VALUE"""),"Новый")</f>
        <v>Новый</v>
      </c>
      <c r="G5225" s="68"/>
      <c r="K5225" s="68"/>
    </row>
    <row r="5226" spans="1:11" ht="12.75">
      <c r="A5226" s="69">
        <f ca="1">IFERROR(__xludf.DUMMYFUNCTION("""COMPUTED_VALUE"""),105835)</f>
        <v>105835</v>
      </c>
      <c r="B5226" s="4">
        <f ca="1">IFERROR(__xludf.DUMMYFUNCTION("""COMPUTED_VALUE"""),44804)</f>
        <v>44804</v>
      </c>
      <c r="C5226" t="str">
        <f ca="1">IFERROR(__xludf.DUMMYFUNCTION("""COMPUTED_VALUE"""),"БУ Г. ОМСКА ""УДХБ"" 197-РДО от 01.07.2022")</f>
        <v>БУ Г. ОМСКА "УДХБ" 197-РДО от 01.07.2022</v>
      </c>
      <c r="D52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6" t="str">
        <f ca="1">IFERROR(__xludf.DUMMYFUNCTION("""COMPUTED_VALUE"""),"Новый")</f>
        <v>Новый</v>
      </c>
      <c r="G5226" s="68"/>
      <c r="K5226" s="68"/>
    </row>
    <row r="5227" spans="1:11" ht="12.75">
      <c r="A5227" s="69">
        <f ca="1">IFERROR(__xludf.DUMMYFUNCTION("""COMPUTED_VALUE"""),105836)</f>
        <v>105836</v>
      </c>
      <c r="B5227" s="4">
        <f ca="1">IFERROR(__xludf.DUMMYFUNCTION("""COMPUTED_VALUE"""),44804)</f>
        <v>44804</v>
      </c>
      <c r="C5227" t="str">
        <f ca="1">IFERROR(__xludf.DUMMYFUNCTION("""COMPUTED_VALUE"""),"БУ Г. ОМСКА ""УДХБ"" 197-РДО от 01.07.2022")</f>
        <v>БУ Г. ОМСКА "УДХБ" 197-РДО от 01.07.2022</v>
      </c>
      <c r="D52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7" t="str">
        <f ca="1">IFERROR(__xludf.DUMMYFUNCTION("""COMPUTED_VALUE"""),"Новый")</f>
        <v>Новый</v>
      </c>
      <c r="G5227" s="68"/>
      <c r="K5227" s="68"/>
    </row>
    <row r="5228" spans="1:11" ht="12.75">
      <c r="A5228" s="69">
        <f ca="1">IFERROR(__xludf.DUMMYFUNCTION("""COMPUTED_VALUE"""),105837)</f>
        <v>105837</v>
      </c>
      <c r="B5228" s="4">
        <f ca="1">IFERROR(__xludf.DUMMYFUNCTION("""COMPUTED_VALUE"""),44804)</f>
        <v>44804</v>
      </c>
      <c r="C5228" t="str">
        <f ca="1">IFERROR(__xludf.DUMMYFUNCTION("""COMPUTED_VALUE"""),"БУ Г. ОМСКА ""УДХБ"" 197-РДО от 01.07.2022")</f>
        <v>БУ Г. ОМСКА "УДХБ" 197-РДО от 01.07.2022</v>
      </c>
      <c r="D52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8" t="str">
        <f ca="1">IFERROR(__xludf.DUMMYFUNCTION("""COMPUTED_VALUE"""),"Новый")</f>
        <v>Новый</v>
      </c>
      <c r="G5228" s="68"/>
      <c r="K5228" s="68"/>
    </row>
    <row r="5229" spans="1:11" ht="12.75">
      <c r="A5229" s="69">
        <f ca="1">IFERROR(__xludf.DUMMYFUNCTION("""COMPUTED_VALUE"""),105838)</f>
        <v>105838</v>
      </c>
      <c r="B5229" s="4">
        <f ca="1">IFERROR(__xludf.DUMMYFUNCTION("""COMPUTED_VALUE"""),44804)</f>
        <v>44804</v>
      </c>
      <c r="C5229" t="str">
        <f ca="1">IFERROR(__xludf.DUMMYFUNCTION("""COMPUTED_VALUE"""),"БУ Г. ОМСКА ""УДХБ"" 197-РДО от 01.07.2022")</f>
        <v>БУ Г. ОМСКА "УДХБ" 197-РДО от 01.07.2022</v>
      </c>
      <c r="D52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29" t="str">
        <f ca="1">IFERROR(__xludf.DUMMYFUNCTION("""COMPUTED_VALUE"""),"Новый")</f>
        <v>Новый</v>
      </c>
      <c r="G5229" s="68"/>
      <c r="K5229" s="68"/>
    </row>
    <row r="5230" spans="1:11" ht="12.75">
      <c r="A5230" s="69">
        <f ca="1">IFERROR(__xludf.DUMMYFUNCTION("""COMPUTED_VALUE"""),105839)</f>
        <v>105839</v>
      </c>
      <c r="B5230" s="4">
        <f ca="1">IFERROR(__xludf.DUMMYFUNCTION("""COMPUTED_VALUE"""),44804)</f>
        <v>44804</v>
      </c>
      <c r="C5230" t="str">
        <f ca="1">IFERROR(__xludf.DUMMYFUNCTION("""COMPUTED_VALUE"""),"БУ Г. ОМСКА ""УДХБ"" 197-РДО от 01.07.2022")</f>
        <v>БУ Г. ОМСКА "УДХБ" 197-РДО от 01.07.2022</v>
      </c>
      <c r="D52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0" t="str">
        <f ca="1">IFERROR(__xludf.DUMMYFUNCTION("""COMPUTED_VALUE"""),"Новый")</f>
        <v>Новый</v>
      </c>
      <c r="G5230" s="68"/>
      <c r="K5230" s="68"/>
    </row>
    <row r="5231" spans="1:11" ht="12.75">
      <c r="A5231" s="69">
        <f ca="1">IFERROR(__xludf.DUMMYFUNCTION("""COMPUTED_VALUE"""),105840)</f>
        <v>105840</v>
      </c>
      <c r="B5231" s="4">
        <f ca="1">IFERROR(__xludf.DUMMYFUNCTION("""COMPUTED_VALUE"""),44804)</f>
        <v>44804</v>
      </c>
      <c r="C5231" t="str">
        <f ca="1">IFERROR(__xludf.DUMMYFUNCTION("""COMPUTED_VALUE"""),"БУ Г. ОМСКА ""УДХБ"" 197-РДО от 01.07.2022")</f>
        <v>БУ Г. ОМСКА "УДХБ" 197-РДО от 01.07.2022</v>
      </c>
      <c r="D52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1" t="str">
        <f ca="1">IFERROR(__xludf.DUMMYFUNCTION("""COMPUTED_VALUE"""),"Новый")</f>
        <v>Новый</v>
      </c>
      <c r="G5231" s="68"/>
      <c r="K5231" s="68"/>
    </row>
    <row r="5232" spans="1:11" ht="12.75">
      <c r="A5232" s="69">
        <f ca="1">IFERROR(__xludf.DUMMYFUNCTION("""COMPUTED_VALUE"""),105841)</f>
        <v>105841</v>
      </c>
      <c r="B5232" s="4">
        <f ca="1">IFERROR(__xludf.DUMMYFUNCTION("""COMPUTED_VALUE"""),44804)</f>
        <v>44804</v>
      </c>
      <c r="C5232" t="str">
        <f ca="1">IFERROR(__xludf.DUMMYFUNCTION("""COMPUTED_VALUE"""),"БУ Г. ОМСКА ""УДХБ"" 197-РДО от 01.07.2022")</f>
        <v>БУ Г. ОМСКА "УДХБ" 197-РДО от 01.07.2022</v>
      </c>
      <c r="D52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2" t="str">
        <f ca="1">IFERROR(__xludf.DUMMYFUNCTION("""COMPUTED_VALUE"""),"Новый")</f>
        <v>Новый</v>
      </c>
      <c r="G5232" s="68"/>
      <c r="K5232" s="68"/>
    </row>
    <row r="5233" spans="1:11" ht="12.75">
      <c r="A5233" s="69">
        <f ca="1">IFERROR(__xludf.DUMMYFUNCTION("""COMPUTED_VALUE"""),105842)</f>
        <v>105842</v>
      </c>
      <c r="B5233" s="4">
        <f ca="1">IFERROR(__xludf.DUMMYFUNCTION("""COMPUTED_VALUE"""),44804)</f>
        <v>44804</v>
      </c>
      <c r="C5233" t="str">
        <f ca="1">IFERROR(__xludf.DUMMYFUNCTION("""COMPUTED_VALUE"""),"БУ Г. ОМСКА ""УДХБ"" 197-РДО от 01.07.2022")</f>
        <v>БУ Г. ОМСКА "УДХБ" 197-РДО от 01.07.2022</v>
      </c>
      <c r="D52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3" t="str">
        <f ca="1">IFERROR(__xludf.DUMMYFUNCTION("""COMPUTED_VALUE"""),"Новый")</f>
        <v>Новый</v>
      </c>
      <c r="G5233" s="68"/>
      <c r="K5233" s="68"/>
    </row>
    <row r="5234" spans="1:11" ht="12.75">
      <c r="A5234" s="69">
        <f ca="1">IFERROR(__xludf.DUMMYFUNCTION("""COMPUTED_VALUE"""),105843)</f>
        <v>105843</v>
      </c>
      <c r="B5234" s="4">
        <f ca="1">IFERROR(__xludf.DUMMYFUNCTION("""COMPUTED_VALUE"""),44804)</f>
        <v>44804</v>
      </c>
      <c r="C5234" t="str">
        <f ca="1">IFERROR(__xludf.DUMMYFUNCTION("""COMPUTED_VALUE"""),"БУ Г. ОМСКА ""УДХБ"" 197-РДО от 01.07.2022")</f>
        <v>БУ Г. ОМСКА "УДХБ" 197-РДО от 01.07.2022</v>
      </c>
      <c r="D52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4" t="str">
        <f ca="1">IFERROR(__xludf.DUMMYFUNCTION("""COMPUTED_VALUE"""),"Новый")</f>
        <v>Новый</v>
      </c>
      <c r="G5234" s="68"/>
      <c r="K5234" s="68"/>
    </row>
    <row r="5235" spans="1:11" ht="12.75">
      <c r="A5235" s="69">
        <f ca="1">IFERROR(__xludf.DUMMYFUNCTION("""COMPUTED_VALUE"""),105844)</f>
        <v>105844</v>
      </c>
      <c r="B5235" s="4">
        <f ca="1">IFERROR(__xludf.DUMMYFUNCTION("""COMPUTED_VALUE"""),44804)</f>
        <v>44804</v>
      </c>
      <c r="C5235" t="str">
        <f ca="1">IFERROR(__xludf.DUMMYFUNCTION("""COMPUTED_VALUE"""),"БУ Г. ОМСКА ""УДХБ"" 197-РДО от 01.07.2022")</f>
        <v>БУ Г. ОМСКА "УДХБ" 197-РДО от 01.07.2022</v>
      </c>
      <c r="D52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5" t="str">
        <f ca="1">IFERROR(__xludf.DUMMYFUNCTION("""COMPUTED_VALUE"""),"Новый")</f>
        <v>Новый</v>
      </c>
      <c r="G5235" s="68"/>
      <c r="K5235" s="68"/>
    </row>
    <row r="5236" spans="1:11" ht="12.75">
      <c r="A5236" s="69">
        <f ca="1">IFERROR(__xludf.DUMMYFUNCTION("""COMPUTED_VALUE"""),105845)</f>
        <v>105845</v>
      </c>
      <c r="B5236" s="4">
        <f ca="1">IFERROR(__xludf.DUMMYFUNCTION("""COMPUTED_VALUE"""),44804)</f>
        <v>44804</v>
      </c>
      <c r="C5236" t="str">
        <f ca="1">IFERROR(__xludf.DUMMYFUNCTION("""COMPUTED_VALUE"""),"БУ Г. ОМСКА ""УДХБ"" 197-РДО от 01.07.2022")</f>
        <v>БУ Г. ОМСКА "УДХБ" 197-РДО от 01.07.2022</v>
      </c>
      <c r="D52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6" t="str">
        <f ca="1">IFERROR(__xludf.DUMMYFUNCTION("""COMPUTED_VALUE"""),"Новый")</f>
        <v>Новый</v>
      </c>
      <c r="G5236" s="68"/>
      <c r="K5236" s="68"/>
    </row>
    <row r="5237" spans="1:11" ht="12.75">
      <c r="A5237" s="69">
        <f ca="1">IFERROR(__xludf.DUMMYFUNCTION("""COMPUTED_VALUE"""),105846)</f>
        <v>105846</v>
      </c>
      <c r="B5237" s="4">
        <f ca="1">IFERROR(__xludf.DUMMYFUNCTION("""COMPUTED_VALUE"""),44804)</f>
        <v>44804</v>
      </c>
      <c r="C5237" t="str">
        <f ca="1">IFERROR(__xludf.DUMMYFUNCTION("""COMPUTED_VALUE"""),"БУ Г. ОМСКА ""УДХБ"" 197-РДО от 01.07.2022")</f>
        <v>БУ Г. ОМСКА "УДХБ" 197-РДО от 01.07.2022</v>
      </c>
      <c r="D52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7" t="str">
        <f ca="1">IFERROR(__xludf.DUMMYFUNCTION("""COMPUTED_VALUE"""),"Новый")</f>
        <v>Новый</v>
      </c>
      <c r="G5237" s="68"/>
      <c r="K5237" s="68"/>
    </row>
    <row r="5238" spans="1:11" ht="12.75">
      <c r="A5238" s="69">
        <f ca="1">IFERROR(__xludf.DUMMYFUNCTION("""COMPUTED_VALUE"""),105847)</f>
        <v>105847</v>
      </c>
      <c r="B5238" s="4">
        <f ca="1">IFERROR(__xludf.DUMMYFUNCTION("""COMPUTED_VALUE"""),44804)</f>
        <v>44804</v>
      </c>
      <c r="C5238" t="str">
        <f ca="1">IFERROR(__xludf.DUMMYFUNCTION("""COMPUTED_VALUE"""),"БУ Г. ОМСКА ""УДХБ"" 197-РДО от 01.07.2022")</f>
        <v>БУ Г. ОМСКА "УДХБ" 197-РДО от 01.07.2022</v>
      </c>
      <c r="D52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8" t="str">
        <f ca="1">IFERROR(__xludf.DUMMYFUNCTION("""COMPUTED_VALUE"""),"Новый")</f>
        <v>Новый</v>
      </c>
      <c r="G5238" s="68"/>
      <c r="K5238" s="68"/>
    </row>
    <row r="5239" spans="1:11" ht="12.75">
      <c r="A5239" s="69">
        <f ca="1">IFERROR(__xludf.DUMMYFUNCTION("""COMPUTED_VALUE"""),105848)</f>
        <v>105848</v>
      </c>
      <c r="B5239" s="4">
        <f ca="1">IFERROR(__xludf.DUMMYFUNCTION("""COMPUTED_VALUE"""),44804)</f>
        <v>44804</v>
      </c>
      <c r="C5239" t="str">
        <f ca="1">IFERROR(__xludf.DUMMYFUNCTION("""COMPUTED_VALUE"""),"БУ Г. ОМСКА ""УДХБ"" 197-РДО от 01.07.2022")</f>
        <v>БУ Г. ОМСКА "УДХБ" 197-РДО от 01.07.2022</v>
      </c>
      <c r="D52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39" t="str">
        <f ca="1">IFERROR(__xludf.DUMMYFUNCTION("""COMPUTED_VALUE"""),"Новый")</f>
        <v>Новый</v>
      </c>
      <c r="G5239" s="68"/>
      <c r="K5239" s="68"/>
    </row>
    <row r="5240" spans="1:11" ht="12.75">
      <c r="A5240" s="69">
        <f ca="1">IFERROR(__xludf.DUMMYFUNCTION("""COMPUTED_VALUE"""),105849)</f>
        <v>105849</v>
      </c>
      <c r="B5240" s="4">
        <f ca="1">IFERROR(__xludf.DUMMYFUNCTION("""COMPUTED_VALUE"""),44804)</f>
        <v>44804</v>
      </c>
      <c r="C5240" t="str">
        <f ca="1">IFERROR(__xludf.DUMMYFUNCTION("""COMPUTED_VALUE"""),"БУ Г. ОМСКА ""УДХБ"" 197-РДО от 01.07.2022")</f>
        <v>БУ Г. ОМСКА "УДХБ" 197-РДО от 01.07.2022</v>
      </c>
      <c r="D52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0" t="str">
        <f ca="1">IFERROR(__xludf.DUMMYFUNCTION("""COMPUTED_VALUE"""),"Новый")</f>
        <v>Новый</v>
      </c>
      <c r="G5240" s="68"/>
      <c r="K5240" s="68"/>
    </row>
    <row r="5241" spans="1:11" ht="12.75">
      <c r="A5241" s="69">
        <f ca="1">IFERROR(__xludf.DUMMYFUNCTION("""COMPUTED_VALUE"""),105852)</f>
        <v>105852</v>
      </c>
      <c r="B5241" s="4">
        <f ca="1">IFERROR(__xludf.DUMMYFUNCTION("""COMPUTED_VALUE"""),44804)</f>
        <v>44804</v>
      </c>
      <c r="C5241" t="str">
        <f ca="1">IFERROR(__xludf.DUMMYFUNCTION("""COMPUTED_VALUE"""),"БУ Г. ОМСКА ""УДХБ"" 197-РДО от 01.07.2022")</f>
        <v>БУ Г. ОМСКА "УДХБ" 197-РДО от 01.07.2022</v>
      </c>
      <c r="D52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1" t="str">
        <f ca="1">IFERROR(__xludf.DUMMYFUNCTION("""COMPUTED_VALUE"""),"Новый")</f>
        <v>Новый</v>
      </c>
      <c r="G5241" s="68"/>
      <c r="K5241" s="68"/>
    </row>
    <row r="5242" spans="1:11" ht="12.75">
      <c r="A5242" s="69">
        <f ca="1">IFERROR(__xludf.DUMMYFUNCTION("""COMPUTED_VALUE"""),105853)</f>
        <v>105853</v>
      </c>
      <c r="B5242" s="4">
        <f ca="1">IFERROR(__xludf.DUMMYFUNCTION("""COMPUTED_VALUE"""),44804)</f>
        <v>44804</v>
      </c>
      <c r="C5242" t="str">
        <f ca="1">IFERROR(__xludf.DUMMYFUNCTION("""COMPUTED_VALUE"""),"БУ Г. ОМСКА ""УДХБ"" 197-РДО от 01.07.2022")</f>
        <v>БУ Г. ОМСКА "УДХБ" 197-РДО от 01.07.2022</v>
      </c>
      <c r="D52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2" t="str">
        <f ca="1">IFERROR(__xludf.DUMMYFUNCTION("""COMPUTED_VALUE"""),"Новый")</f>
        <v>Новый</v>
      </c>
      <c r="G5242" s="68"/>
      <c r="K5242" s="68"/>
    </row>
    <row r="5243" spans="1:11" ht="12.75">
      <c r="A5243" s="69">
        <f ca="1">IFERROR(__xludf.DUMMYFUNCTION("""COMPUTED_VALUE"""),105854)</f>
        <v>105854</v>
      </c>
      <c r="B5243" s="4">
        <f ca="1">IFERROR(__xludf.DUMMYFUNCTION("""COMPUTED_VALUE"""),44804)</f>
        <v>44804</v>
      </c>
      <c r="C5243" t="str">
        <f ca="1">IFERROR(__xludf.DUMMYFUNCTION("""COMPUTED_VALUE"""),"БУ Г. ОМСКА ""УДХБ"" 197-РДО от 01.07.2022")</f>
        <v>БУ Г. ОМСКА "УДХБ" 197-РДО от 01.07.2022</v>
      </c>
      <c r="D52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3" t="str">
        <f ca="1">IFERROR(__xludf.DUMMYFUNCTION("""COMPUTED_VALUE"""),"Новый")</f>
        <v>Новый</v>
      </c>
      <c r="G5243" s="68"/>
      <c r="K5243" s="68"/>
    </row>
    <row r="5244" spans="1:11" ht="12.75">
      <c r="A5244" s="69">
        <f ca="1">IFERROR(__xludf.DUMMYFUNCTION("""COMPUTED_VALUE"""),105855)</f>
        <v>105855</v>
      </c>
      <c r="B5244" s="4">
        <f ca="1">IFERROR(__xludf.DUMMYFUNCTION("""COMPUTED_VALUE"""),44804)</f>
        <v>44804</v>
      </c>
      <c r="C5244" t="str">
        <f ca="1">IFERROR(__xludf.DUMMYFUNCTION("""COMPUTED_VALUE"""),"БУ Г. ОМСКА ""УДХБ"" 197-РДО от 01.07.2022")</f>
        <v>БУ Г. ОМСКА "УДХБ" 197-РДО от 01.07.2022</v>
      </c>
      <c r="D52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4" t="str">
        <f ca="1">IFERROR(__xludf.DUMMYFUNCTION("""COMPUTED_VALUE"""),"Новый")</f>
        <v>Новый</v>
      </c>
      <c r="G5244" s="68"/>
      <c r="K5244" s="68"/>
    </row>
    <row r="5245" spans="1:11" ht="12.75">
      <c r="A5245" s="69">
        <f ca="1">IFERROR(__xludf.DUMMYFUNCTION("""COMPUTED_VALUE"""),105856)</f>
        <v>105856</v>
      </c>
      <c r="B5245" s="4">
        <f ca="1">IFERROR(__xludf.DUMMYFUNCTION("""COMPUTED_VALUE"""),44804)</f>
        <v>44804</v>
      </c>
      <c r="C5245" t="str">
        <f ca="1">IFERROR(__xludf.DUMMYFUNCTION("""COMPUTED_VALUE"""),"БУ Г. ОМСКА ""УДХБ"" 197-РДО от 01.07.2022")</f>
        <v>БУ Г. ОМСКА "УДХБ" 197-РДО от 01.07.2022</v>
      </c>
      <c r="D52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5" t="str">
        <f ca="1">IFERROR(__xludf.DUMMYFUNCTION("""COMPUTED_VALUE"""),"Новый")</f>
        <v>Новый</v>
      </c>
      <c r="G5245" s="68"/>
      <c r="K5245" s="68"/>
    </row>
    <row r="5246" spans="1:11" ht="12.75">
      <c r="A5246" s="69">
        <f ca="1">IFERROR(__xludf.DUMMYFUNCTION("""COMPUTED_VALUE"""),105857)</f>
        <v>105857</v>
      </c>
      <c r="B5246" s="4">
        <f ca="1">IFERROR(__xludf.DUMMYFUNCTION("""COMPUTED_VALUE"""),44804)</f>
        <v>44804</v>
      </c>
      <c r="C5246" t="str">
        <f ca="1">IFERROR(__xludf.DUMMYFUNCTION("""COMPUTED_VALUE"""),"БУ Г. ОМСКА ""УДХБ"" 197-РДО от 01.07.2022")</f>
        <v>БУ Г. ОМСКА "УДХБ" 197-РДО от 01.07.2022</v>
      </c>
      <c r="D52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46" t="str">
        <f ca="1">IFERROR(__xludf.DUMMYFUNCTION("""COMPUTED_VALUE"""),"Новый")</f>
        <v>Новый</v>
      </c>
      <c r="G5246" s="68"/>
      <c r="K5246" s="68"/>
    </row>
    <row r="5247" spans="1:11" ht="12.75">
      <c r="A5247" s="69">
        <f ca="1">IFERROR(__xludf.DUMMYFUNCTION("""COMPUTED_VALUE"""),105873)</f>
        <v>105873</v>
      </c>
      <c r="B5247" s="4">
        <f ca="1">IFERROR(__xludf.DUMMYFUNCTION("""COMPUTED_VALUE"""),44804)</f>
        <v>44804</v>
      </c>
      <c r="C5247" t="str">
        <f ca="1">IFERROR(__xludf.DUMMYFUNCTION("""COMPUTED_VALUE"""),"ООО ""СТРОЙ РЕМОНТ"" 140-СТР от 08.06.2022")</f>
        <v>ООО "СТРОЙ РЕМОНТ" 140-СТР от 08.06.2022</v>
      </c>
      <c r="D52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47" t="str">
        <f ca="1">IFERROR(__xludf.DUMMYFUNCTION("""COMPUTED_VALUE"""),"Новый")</f>
        <v>Новый</v>
      </c>
      <c r="G5247" s="68"/>
      <c r="K5247" s="68"/>
    </row>
    <row r="5248" spans="1:11" ht="12.75">
      <c r="A5248" s="69">
        <f ca="1">IFERROR(__xludf.DUMMYFUNCTION("""COMPUTED_VALUE"""),105874)</f>
        <v>105874</v>
      </c>
      <c r="B5248" s="4">
        <f ca="1">IFERROR(__xludf.DUMMYFUNCTION("""COMPUTED_VALUE"""),44804)</f>
        <v>44804</v>
      </c>
      <c r="C5248" t="str">
        <f ca="1">IFERROR(__xludf.DUMMYFUNCTION("""COMPUTED_VALUE"""),"ООО ""СТРОЙ РЕМОНТ"" 140-СТР от 08.06.2022")</f>
        <v>ООО "СТРОЙ РЕМОНТ" 140-СТР от 08.06.2022</v>
      </c>
      <c r="D52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48" t="str">
        <f ca="1">IFERROR(__xludf.DUMMYFUNCTION("""COMPUTED_VALUE"""),"Новый")</f>
        <v>Новый</v>
      </c>
      <c r="G5248" s="68"/>
      <c r="K5248" s="68"/>
    </row>
    <row r="5249" spans="1:11" ht="12.75">
      <c r="A5249" s="69">
        <f ca="1">IFERROR(__xludf.DUMMYFUNCTION("""COMPUTED_VALUE"""),105875)</f>
        <v>105875</v>
      </c>
      <c r="B5249" s="4">
        <f ca="1">IFERROR(__xludf.DUMMYFUNCTION("""COMPUTED_VALUE"""),44804)</f>
        <v>44804</v>
      </c>
      <c r="C5249" t="str">
        <f ca="1">IFERROR(__xludf.DUMMYFUNCTION("""COMPUTED_VALUE"""),"ООО ""СТРОЙ РЕМОНТ"" 140-СТР от 08.06.2022")</f>
        <v>ООО "СТРОЙ РЕМОНТ" 140-СТР от 08.06.2022</v>
      </c>
      <c r="D52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49" t="str">
        <f ca="1">IFERROR(__xludf.DUMMYFUNCTION("""COMPUTED_VALUE"""),"Новый")</f>
        <v>Новый</v>
      </c>
      <c r="G5249" s="68"/>
      <c r="K5249" s="68"/>
    </row>
    <row r="5250" spans="1:11" ht="12.75">
      <c r="A5250" s="69">
        <f ca="1">IFERROR(__xludf.DUMMYFUNCTION("""COMPUTED_VALUE"""),105876)</f>
        <v>105876</v>
      </c>
      <c r="B5250" s="4">
        <f ca="1">IFERROR(__xludf.DUMMYFUNCTION("""COMPUTED_VALUE"""),44804)</f>
        <v>44804</v>
      </c>
      <c r="C5250" t="str">
        <f ca="1">IFERROR(__xludf.DUMMYFUNCTION("""COMPUTED_VALUE"""),"ООО ""СТРОЙ РЕМОНТ"" 140-СТР от 08.06.2022")</f>
        <v>ООО "СТРОЙ РЕМОНТ" 140-СТР от 08.06.2022</v>
      </c>
      <c r="D52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0" t="str">
        <f ca="1">IFERROR(__xludf.DUMMYFUNCTION("""COMPUTED_VALUE"""),"Новый")</f>
        <v>Новый</v>
      </c>
      <c r="G5250" s="68"/>
      <c r="K5250" s="68"/>
    </row>
    <row r="5251" spans="1:11" ht="12.75">
      <c r="A5251" s="69">
        <f ca="1">IFERROR(__xludf.DUMMYFUNCTION("""COMPUTED_VALUE"""),105877)</f>
        <v>105877</v>
      </c>
      <c r="B5251" s="4">
        <f ca="1">IFERROR(__xludf.DUMMYFUNCTION("""COMPUTED_VALUE"""),44804)</f>
        <v>44804</v>
      </c>
      <c r="C5251" t="str">
        <f ca="1">IFERROR(__xludf.DUMMYFUNCTION("""COMPUTED_VALUE"""),"ООО ""СТРОЙ РЕМОНТ"" 140-СТР от 08.06.2022")</f>
        <v>ООО "СТРОЙ РЕМОНТ" 140-СТР от 08.06.2022</v>
      </c>
      <c r="D52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1" t="str">
        <f ca="1">IFERROR(__xludf.DUMMYFUNCTION("""COMPUTED_VALUE"""),"Новый")</f>
        <v>Новый</v>
      </c>
      <c r="G5251" s="68"/>
      <c r="K5251" s="68"/>
    </row>
    <row r="5252" spans="1:11" ht="12.75">
      <c r="A5252" s="69">
        <f ca="1">IFERROR(__xludf.DUMMYFUNCTION("""COMPUTED_VALUE"""),105878)</f>
        <v>105878</v>
      </c>
      <c r="B5252" s="4">
        <f ca="1">IFERROR(__xludf.DUMMYFUNCTION("""COMPUTED_VALUE"""),44804)</f>
        <v>44804</v>
      </c>
      <c r="C5252" t="str">
        <f ca="1">IFERROR(__xludf.DUMMYFUNCTION("""COMPUTED_VALUE"""),"ООО ""СТРОЙ РЕМОНТ"" 140-СТР от 08.06.2022")</f>
        <v>ООО "СТРОЙ РЕМОНТ" 140-СТР от 08.06.2022</v>
      </c>
      <c r="D52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2" t="str">
        <f ca="1">IFERROR(__xludf.DUMMYFUNCTION("""COMPUTED_VALUE"""),"Новый")</f>
        <v>Новый</v>
      </c>
      <c r="G5252" s="68"/>
      <c r="K5252" s="68"/>
    </row>
    <row r="5253" spans="1:11" ht="12.75">
      <c r="A5253" s="69">
        <f ca="1">IFERROR(__xludf.DUMMYFUNCTION("""COMPUTED_VALUE"""),105879)</f>
        <v>105879</v>
      </c>
      <c r="B5253" s="4">
        <f ca="1">IFERROR(__xludf.DUMMYFUNCTION("""COMPUTED_VALUE"""),44804)</f>
        <v>44804</v>
      </c>
      <c r="C5253" t="str">
        <f ca="1">IFERROR(__xludf.DUMMYFUNCTION("""COMPUTED_VALUE"""),"ООО ""СТРОЙ РЕМОНТ"" 140-СТР от 08.06.2022")</f>
        <v>ООО "СТРОЙ РЕМОНТ" 140-СТР от 08.06.2022</v>
      </c>
      <c r="D52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3" t="str">
        <f ca="1">IFERROR(__xludf.DUMMYFUNCTION("""COMPUTED_VALUE"""),"Новый")</f>
        <v>Новый</v>
      </c>
      <c r="G5253" s="68"/>
      <c r="K5253" s="68"/>
    </row>
    <row r="5254" spans="1:11" ht="12.75">
      <c r="A5254" s="69">
        <f ca="1">IFERROR(__xludf.DUMMYFUNCTION("""COMPUTED_VALUE"""),105880)</f>
        <v>105880</v>
      </c>
      <c r="B5254" s="4">
        <f ca="1">IFERROR(__xludf.DUMMYFUNCTION("""COMPUTED_VALUE"""),44804)</f>
        <v>44804</v>
      </c>
      <c r="C5254" t="str">
        <f ca="1">IFERROR(__xludf.DUMMYFUNCTION("""COMPUTED_VALUE"""),"ООО ""СТРОЙ РЕМОНТ"" 140-СТР от 08.06.2022")</f>
        <v>ООО "СТРОЙ РЕМОНТ" 140-СТР от 08.06.2022</v>
      </c>
      <c r="D52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4" t="str">
        <f ca="1">IFERROR(__xludf.DUMMYFUNCTION("""COMPUTED_VALUE"""),"Новый")</f>
        <v>Новый</v>
      </c>
      <c r="G5254" s="68"/>
      <c r="K5254" s="68"/>
    </row>
    <row r="5255" spans="1:11" ht="12.75">
      <c r="A5255" s="69">
        <f ca="1">IFERROR(__xludf.DUMMYFUNCTION("""COMPUTED_VALUE"""),105881)</f>
        <v>105881</v>
      </c>
      <c r="B5255" s="4">
        <f ca="1">IFERROR(__xludf.DUMMYFUNCTION("""COMPUTED_VALUE"""),44804)</f>
        <v>44804</v>
      </c>
      <c r="C5255" t="str">
        <f ca="1">IFERROR(__xludf.DUMMYFUNCTION("""COMPUTED_VALUE"""),"ООО ""СТРОЙ РЕМОНТ"" 140-СТР от 08.06.2022")</f>
        <v>ООО "СТРОЙ РЕМОНТ" 140-СТР от 08.06.2022</v>
      </c>
      <c r="D52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5" t="str">
        <f ca="1">IFERROR(__xludf.DUMMYFUNCTION("""COMPUTED_VALUE"""),"Новый")</f>
        <v>Новый</v>
      </c>
      <c r="G5255" s="68"/>
      <c r="K5255" s="68"/>
    </row>
    <row r="5256" spans="1:11" ht="12.75">
      <c r="A5256" s="69">
        <f ca="1">IFERROR(__xludf.DUMMYFUNCTION("""COMPUTED_VALUE"""),105882)</f>
        <v>105882</v>
      </c>
      <c r="B5256" s="4">
        <f ca="1">IFERROR(__xludf.DUMMYFUNCTION("""COMPUTED_VALUE"""),44804)</f>
        <v>44804</v>
      </c>
      <c r="C5256" t="str">
        <f ca="1">IFERROR(__xludf.DUMMYFUNCTION("""COMPUTED_VALUE"""),"ООО ""СТРОЙ РЕМОНТ"" 140-СТР от 08.06.2022")</f>
        <v>ООО "СТРОЙ РЕМОНТ" 140-СТР от 08.06.2022</v>
      </c>
      <c r="D52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6" t="str">
        <f ca="1">IFERROR(__xludf.DUMMYFUNCTION("""COMPUTED_VALUE"""),"Новый")</f>
        <v>Новый</v>
      </c>
      <c r="G5256" s="68"/>
      <c r="K5256" s="68"/>
    </row>
    <row r="5257" spans="1:11" ht="12.75">
      <c r="A5257" s="69">
        <f ca="1">IFERROR(__xludf.DUMMYFUNCTION("""COMPUTED_VALUE"""),105883)</f>
        <v>105883</v>
      </c>
      <c r="B5257" s="4">
        <f ca="1">IFERROR(__xludf.DUMMYFUNCTION("""COMPUTED_VALUE"""),44804)</f>
        <v>44804</v>
      </c>
      <c r="C5257" t="str">
        <f ca="1">IFERROR(__xludf.DUMMYFUNCTION("""COMPUTED_VALUE"""),"ООО ""СТРОЙ РЕМОНТ"" 140-СТР от 08.06.2022")</f>
        <v>ООО "СТРОЙ РЕМОНТ" 140-СТР от 08.06.2022</v>
      </c>
      <c r="D52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7" t="str">
        <f ca="1">IFERROR(__xludf.DUMMYFUNCTION("""COMPUTED_VALUE"""),"Новый")</f>
        <v>Новый</v>
      </c>
      <c r="G5257" s="68"/>
      <c r="K5257" s="68"/>
    </row>
    <row r="5258" spans="1:11" ht="12.75">
      <c r="A5258" s="69">
        <f ca="1">IFERROR(__xludf.DUMMYFUNCTION("""COMPUTED_VALUE"""),105884)</f>
        <v>105884</v>
      </c>
      <c r="B5258" s="4">
        <f ca="1">IFERROR(__xludf.DUMMYFUNCTION("""COMPUTED_VALUE"""),44804)</f>
        <v>44804</v>
      </c>
      <c r="C5258" t="str">
        <f ca="1">IFERROR(__xludf.DUMMYFUNCTION("""COMPUTED_VALUE"""),"ООО ""СТРОЙ РЕМОНТ"" 140-СТР от 08.06.2022")</f>
        <v>ООО "СТРОЙ РЕМОНТ" 140-СТР от 08.06.2022</v>
      </c>
      <c r="D52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8" t="str">
        <f ca="1">IFERROR(__xludf.DUMMYFUNCTION("""COMPUTED_VALUE"""),"Новый")</f>
        <v>Новый</v>
      </c>
      <c r="G5258" s="68"/>
      <c r="K5258" s="68"/>
    </row>
    <row r="5259" spans="1:11" ht="12.75">
      <c r="A5259" s="69">
        <f ca="1">IFERROR(__xludf.DUMMYFUNCTION("""COMPUTED_VALUE"""),105885)</f>
        <v>105885</v>
      </c>
      <c r="B5259" s="4">
        <f ca="1">IFERROR(__xludf.DUMMYFUNCTION("""COMPUTED_VALUE"""),44804)</f>
        <v>44804</v>
      </c>
      <c r="C5259" t="str">
        <f ca="1">IFERROR(__xludf.DUMMYFUNCTION("""COMPUTED_VALUE"""),"ООО ""СТРОЙ РЕМОНТ"" 140-СТР от 08.06.2022")</f>
        <v>ООО "СТРОЙ РЕМОНТ" 140-СТР от 08.06.2022</v>
      </c>
      <c r="D52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59" t="str">
        <f ca="1">IFERROR(__xludf.DUMMYFUNCTION("""COMPUTED_VALUE"""),"Новый")</f>
        <v>Новый</v>
      </c>
      <c r="G5259" s="68"/>
      <c r="K5259" s="68"/>
    </row>
    <row r="5260" spans="1:11" ht="12.75">
      <c r="A5260" s="69">
        <f ca="1">IFERROR(__xludf.DUMMYFUNCTION("""COMPUTED_VALUE"""),105886)</f>
        <v>105886</v>
      </c>
      <c r="B5260" s="4">
        <f ca="1">IFERROR(__xludf.DUMMYFUNCTION("""COMPUTED_VALUE"""),44804)</f>
        <v>44804</v>
      </c>
      <c r="C5260" t="str">
        <f ca="1">IFERROR(__xludf.DUMMYFUNCTION("""COMPUTED_VALUE"""),"ООО ""СТРОЙ РЕМОНТ"" 140-СТР от 08.06.2022")</f>
        <v>ООО "СТРОЙ РЕМОНТ" 140-СТР от 08.06.2022</v>
      </c>
      <c r="D52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60" t="str">
        <f ca="1">IFERROR(__xludf.DUMMYFUNCTION("""COMPUTED_VALUE"""),"Новый")</f>
        <v>Новый</v>
      </c>
      <c r="G5260" s="68"/>
      <c r="K5260" s="68"/>
    </row>
    <row r="5261" spans="1:11" ht="12.75">
      <c r="A5261" s="69">
        <f ca="1">IFERROR(__xludf.DUMMYFUNCTION("""COMPUTED_VALUE"""),105887)</f>
        <v>105887</v>
      </c>
      <c r="B5261" s="4">
        <f ca="1">IFERROR(__xludf.DUMMYFUNCTION("""COMPUTED_VALUE"""),44804)</f>
        <v>44804</v>
      </c>
      <c r="C5261" t="str">
        <f ca="1">IFERROR(__xludf.DUMMYFUNCTION("""COMPUTED_VALUE"""),"ООО ""СТРОЙ РЕМОНТ"" 140-СТР от 08.06.2022")</f>
        <v>ООО "СТРОЙ РЕМОНТ" 140-СТР от 08.06.2022</v>
      </c>
      <c r="D52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61" t="str">
        <f ca="1">IFERROR(__xludf.DUMMYFUNCTION("""COMPUTED_VALUE"""),"Новый")</f>
        <v>Новый</v>
      </c>
      <c r="G5261" s="68"/>
      <c r="K5261" s="68"/>
    </row>
    <row r="5262" spans="1:11" ht="12.75">
      <c r="A5262" s="69">
        <f ca="1">IFERROR(__xludf.DUMMYFUNCTION("""COMPUTED_VALUE"""),105888)</f>
        <v>105888</v>
      </c>
      <c r="B5262" s="4">
        <f ca="1">IFERROR(__xludf.DUMMYFUNCTION("""COMPUTED_VALUE"""),44804)</f>
        <v>44804</v>
      </c>
      <c r="C5262" t="str">
        <f ca="1">IFERROR(__xludf.DUMMYFUNCTION("""COMPUTED_VALUE"""),"ООО ""СТРОЙ РЕМОНТ"" 140-СТР от 08.06.2022")</f>
        <v>ООО "СТРОЙ РЕМОНТ" 140-СТР от 08.06.2022</v>
      </c>
      <c r="D52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62" t="str">
        <f ca="1">IFERROR(__xludf.DUMMYFUNCTION("""COMPUTED_VALUE"""),"Новый")</f>
        <v>Новый</v>
      </c>
      <c r="G5262" s="68"/>
      <c r="K5262" s="68"/>
    </row>
    <row r="5263" spans="1:11" ht="12.75">
      <c r="A5263" s="69">
        <f ca="1">IFERROR(__xludf.DUMMYFUNCTION("""COMPUTED_VALUE"""),105889)</f>
        <v>105889</v>
      </c>
      <c r="B5263" s="4">
        <f ca="1">IFERROR(__xludf.DUMMYFUNCTION("""COMPUTED_VALUE"""),44804)</f>
        <v>44804</v>
      </c>
      <c r="C5263" t="str">
        <f ca="1">IFERROR(__xludf.DUMMYFUNCTION("""COMPUTED_VALUE"""),"ООО ""СТРОЙ РЕМОНТ"" 140-СТР от 08.06.2022")</f>
        <v>ООО "СТРОЙ РЕМОНТ" 140-СТР от 08.06.2022</v>
      </c>
      <c r="D52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63" t="str">
        <f ca="1">IFERROR(__xludf.DUMMYFUNCTION("""COMPUTED_VALUE"""),"Новый")</f>
        <v>Новый</v>
      </c>
      <c r="G5263" s="68"/>
      <c r="K5263" s="68"/>
    </row>
    <row r="5264" spans="1:11" ht="12.75">
      <c r="A5264" s="69">
        <f ca="1">IFERROR(__xludf.DUMMYFUNCTION("""COMPUTED_VALUE"""),105932)</f>
        <v>105932</v>
      </c>
      <c r="B5264" s="4">
        <f ca="1">IFERROR(__xludf.DUMMYFUNCTION("""COMPUTED_VALUE"""),44804)</f>
        <v>44804</v>
      </c>
      <c r="C5264" t="str">
        <f ca="1">IFERROR(__xludf.DUMMYFUNCTION("""COMPUTED_VALUE"""),"БУ Г. ОМСКА ""УДХБ"" 197-РДО от 01.07.2022")</f>
        <v>БУ Г. ОМСКА "УДХБ" 197-РДО от 01.07.2022</v>
      </c>
      <c r="D52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4" t="str">
        <f ca="1">IFERROR(__xludf.DUMMYFUNCTION("""COMPUTED_VALUE"""),"Новый")</f>
        <v>Новый</v>
      </c>
      <c r="G5264" s="68"/>
      <c r="K5264" s="68"/>
    </row>
    <row r="5265" spans="1:17" ht="12.75">
      <c r="A5265" s="69">
        <f ca="1">IFERROR(__xludf.DUMMYFUNCTION("""COMPUTED_VALUE"""),105936)</f>
        <v>105936</v>
      </c>
      <c r="B5265" s="4">
        <f ca="1">IFERROR(__xludf.DUMMYFUNCTION("""COMPUTED_VALUE"""),44804)</f>
        <v>44804</v>
      </c>
      <c r="C5265" t="str">
        <f ca="1">IFERROR(__xludf.DUMMYFUNCTION("""COMPUTED_VALUE"""),"БУ Г. ОМСКА ""УДХБ"" 197-РДО от 01.07.2022")</f>
        <v>БУ Г. ОМСКА "УДХБ" 197-РДО от 01.07.2022</v>
      </c>
      <c r="D52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5" t="str">
        <f ca="1">IFERROR(__xludf.DUMMYFUNCTION("""COMPUTED_VALUE"""),"Новый")</f>
        <v>Новый</v>
      </c>
      <c r="G5265" s="68"/>
      <c r="K5265" s="68"/>
    </row>
    <row r="5266" spans="1:17" ht="12.75">
      <c r="A5266" s="69">
        <f ca="1">IFERROR(__xludf.DUMMYFUNCTION("""COMPUTED_VALUE"""),105937)</f>
        <v>105937</v>
      </c>
      <c r="B5266" s="4">
        <f ca="1">IFERROR(__xludf.DUMMYFUNCTION("""COMPUTED_VALUE"""),44804)</f>
        <v>44804</v>
      </c>
      <c r="C5266" t="str">
        <f ca="1">IFERROR(__xludf.DUMMYFUNCTION("""COMPUTED_VALUE"""),"БУ Г. ОМСКА ""УДХБ"" 197-РДО от 01.07.2022")</f>
        <v>БУ Г. ОМСКА "УДХБ" 197-РДО от 01.07.2022</v>
      </c>
      <c r="D52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6" t="str">
        <f ca="1">IFERROR(__xludf.DUMMYFUNCTION("""COMPUTED_VALUE"""),"Новый")</f>
        <v>Новый</v>
      </c>
      <c r="G5266" s="68"/>
      <c r="K5266" s="68"/>
    </row>
    <row r="5267" spans="1:17" ht="12.75">
      <c r="A5267" s="69">
        <f ca="1">IFERROR(__xludf.DUMMYFUNCTION("""COMPUTED_VALUE"""),105938)</f>
        <v>105938</v>
      </c>
      <c r="B5267" s="4">
        <f ca="1">IFERROR(__xludf.DUMMYFUNCTION("""COMPUTED_VALUE"""),44804)</f>
        <v>44804</v>
      </c>
      <c r="C5267" t="str">
        <f ca="1">IFERROR(__xludf.DUMMYFUNCTION("""COMPUTED_VALUE"""),"БУ Г. ОМСКА ""УДХБ"" 197-РДО от 01.07.2022")</f>
        <v>БУ Г. ОМСКА "УДХБ" 197-РДО от 01.07.2022</v>
      </c>
      <c r="D52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7" t="str">
        <f ca="1">IFERROR(__xludf.DUMMYFUNCTION("""COMPUTED_VALUE"""),"Новый")</f>
        <v>Новый</v>
      </c>
      <c r="G5267" s="68"/>
      <c r="K5267" s="68"/>
    </row>
    <row r="5268" spans="1:17" ht="12.75">
      <c r="A5268" s="69">
        <f ca="1">IFERROR(__xludf.DUMMYFUNCTION("""COMPUTED_VALUE"""),105939)</f>
        <v>105939</v>
      </c>
      <c r="B5268" s="4">
        <f ca="1">IFERROR(__xludf.DUMMYFUNCTION("""COMPUTED_VALUE"""),44804)</f>
        <v>44804</v>
      </c>
      <c r="C5268" t="str">
        <f ca="1">IFERROR(__xludf.DUMMYFUNCTION("""COMPUTED_VALUE"""),"БУ Г. ОМСКА ""УДХБ"" 197-РДО от 01.07.2022")</f>
        <v>БУ Г. ОМСКА "УДХБ" 197-РДО от 01.07.2022</v>
      </c>
      <c r="D52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8" t="str">
        <f ca="1">IFERROR(__xludf.DUMMYFUNCTION("""COMPUTED_VALUE"""),"Новый")</f>
        <v>Новый</v>
      </c>
      <c r="G5268" s="68"/>
      <c r="K5268" s="68"/>
    </row>
    <row r="5269" spans="1:17" ht="12.75">
      <c r="A5269" s="69">
        <f ca="1">IFERROR(__xludf.DUMMYFUNCTION("""COMPUTED_VALUE"""),105952)</f>
        <v>105952</v>
      </c>
      <c r="B5269" s="4">
        <f ca="1">IFERROR(__xludf.DUMMYFUNCTION("""COMPUTED_VALUE"""),44804)</f>
        <v>44804</v>
      </c>
      <c r="C5269" t="str">
        <f ca="1">IFERROR(__xludf.DUMMYFUNCTION("""COMPUTED_VALUE"""),"БУ Г. ОМСКА ""УДХБ"" 197-РДО от 01.07.2022")</f>
        <v>БУ Г. ОМСКА "УДХБ" 197-РДО от 01.07.2022</v>
      </c>
      <c r="D52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69" t="str">
        <f ca="1">IFERROR(__xludf.DUMMYFUNCTION("""COMPUTED_VALUE"""),"Новый")</f>
        <v>Новый</v>
      </c>
      <c r="G5269" s="68"/>
      <c r="K5269" s="68"/>
    </row>
    <row r="5270" spans="1:17" ht="12.75">
      <c r="A5270" s="69">
        <f ca="1">IFERROR(__xludf.DUMMYFUNCTION("""COMPUTED_VALUE"""),105953)</f>
        <v>105953</v>
      </c>
      <c r="B5270" s="4">
        <f ca="1">IFERROR(__xludf.DUMMYFUNCTION("""COMPUTED_VALUE"""),44804)</f>
        <v>44804</v>
      </c>
      <c r="C5270" t="str">
        <f ca="1">IFERROR(__xludf.DUMMYFUNCTION("""COMPUTED_VALUE"""),"БУ Г. ОМСКА ""УДХБ"" 197-РДО от 01.07.2022")</f>
        <v>БУ Г. ОМСКА "УДХБ" 197-РДО от 01.07.2022</v>
      </c>
      <c r="D52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0" t="str">
        <f ca="1">IFERROR(__xludf.DUMMYFUNCTION("""COMPUTED_VALUE"""),"Новый")</f>
        <v>Новый</v>
      </c>
      <c r="G5270" s="68"/>
      <c r="K5270" s="68"/>
    </row>
    <row r="5271" spans="1:17" ht="12.75">
      <c r="A5271" s="69">
        <f ca="1">IFERROR(__xludf.DUMMYFUNCTION("""COMPUTED_VALUE"""),105954)</f>
        <v>105954</v>
      </c>
      <c r="B5271" s="4">
        <f ca="1">IFERROR(__xludf.DUMMYFUNCTION("""COMPUTED_VALUE"""),44804)</f>
        <v>44804</v>
      </c>
      <c r="C5271" t="str">
        <f ca="1">IFERROR(__xludf.DUMMYFUNCTION("""COMPUTED_VALUE"""),"БУ Г. ОМСКА ""УДХБ"" 197-РДО от 01.07.2022")</f>
        <v>БУ Г. ОМСКА "УДХБ" 197-РДО от 01.07.2022</v>
      </c>
      <c r="D52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1" t="str">
        <f ca="1">IFERROR(__xludf.DUMMYFUNCTION("""COMPUTED_VALUE"""),"Новый")</f>
        <v>Новый</v>
      </c>
      <c r="G5271" s="68"/>
      <c r="K5271" s="68"/>
    </row>
    <row r="5272" spans="1:17" ht="12.75">
      <c r="A5272" s="69">
        <f ca="1">IFERROR(__xludf.DUMMYFUNCTION("""COMPUTED_VALUE"""),105975)</f>
        <v>105975</v>
      </c>
      <c r="B5272" s="4">
        <f ca="1">IFERROR(__xludf.DUMMYFUNCTION("""COMPUTED_VALUE"""),44804)</f>
        <v>44804</v>
      </c>
      <c r="C5272" t="str">
        <f ca="1">IFERROR(__xludf.DUMMYFUNCTION("""COMPUTED_VALUE"""),"БУ Г. ОМСКА ""УДХБ"" 197-РДО от 01.07.2022")</f>
        <v>БУ Г. ОМСКА "УДХБ" 197-РДО от 01.07.2022</v>
      </c>
      <c r="D52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2" t="str">
        <f ca="1">IFERROR(__xludf.DUMMYFUNCTION("""COMPUTED_VALUE"""),"Новый")</f>
        <v>Новый</v>
      </c>
      <c r="G5272" s="68"/>
      <c r="K5272" s="68"/>
    </row>
    <row r="5273" spans="1:17" ht="12.75">
      <c r="A5273" s="69">
        <f ca="1">IFERROR(__xludf.DUMMYFUNCTION("""COMPUTED_VALUE"""),105983)</f>
        <v>105983</v>
      </c>
      <c r="B5273" s="4">
        <f ca="1">IFERROR(__xludf.DUMMYFUNCTION("""COMPUTED_VALUE"""),44804)</f>
        <v>44804</v>
      </c>
      <c r="C5273" t="str">
        <f ca="1">IFERROR(__xludf.DUMMYFUNCTION("""COMPUTED_VALUE"""),"БУ Г. ОМСКА ""УДХБ"" 197-РДО от 01.07.2022")</f>
        <v>БУ Г. ОМСКА "УДХБ" 197-РДО от 01.07.2022</v>
      </c>
      <c r="D52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3" t="str">
        <f ca="1">IFERROR(__xludf.DUMMYFUNCTION("""COMPUTED_VALUE"""),"Новый")</f>
        <v>Новый</v>
      </c>
      <c r="G5273" s="68"/>
      <c r="K5273" s="68"/>
    </row>
    <row r="5274" spans="1:17" ht="12.75">
      <c r="A5274" s="69">
        <f ca="1">IFERROR(__xludf.DUMMYFUNCTION("""COMPUTED_VALUE"""),106015)</f>
        <v>106015</v>
      </c>
      <c r="B5274" s="4">
        <f ca="1">IFERROR(__xludf.DUMMYFUNCTION("""COMPUTED_VALUE"""),44804)</f>
        <v>44804</v>
      </c>
      <c r="C5274" t="str">
        <f ca="1">IFERROR(__xludf.DUMMYFUNCTION("""COMPUTED_VALUE"""),"БУ Г. ОМСКА ""УДХБ"" 197-РДО от 01.07.2022")</f>
        <v>БУ Г. ОМСКА "УДХБ" 197-РДО от 01.07.2022</v>
      </c>
      <c r="D52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4" t="str">
        <f ca="1">IFERROR(__xludf.DUMMYFUNCTION("""COMPUTED_VALUE"""),"Новый")</f>
        <v>Новый</v>
      </c>
      <c r="G5274" s="68"/>
      <c r="K5274" s="68"/>
    </row>
    <row r="5275" spans="1:17" ht="12.75">
      <c r="A5275" s="69">
        <f ca="1">IFERROR(__xludf.DUMMYFUNCTION("""COMPUTED_VALUE"""),106016)</f>
        <v>106016</v>
      </c>
      <c r="B5275" s="4">
        <f ca="1">IFERROR(__xludf.DUMMYFUNCTION("""COMPUTED_VALUE"""),44804)</f>
        <v>44804</v>
      </c>
      <c r="C5275" t="str">
        <f ca="1">IFERROR(__xludf.DUMMYFUNCTION("""COMPUTED_VALUE"""),"БУ Г. ОМСКА ""УДХБ"" 197-РДО от 01.07.2022")</f>
        <v>БУ Г. ОМСКА "УДХБ" 197-РДО от 01.07.2022</v>
      </c>
      <c r="D52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5" t="str">
        <f ca="1">IFERROR(__xludf.DUMMYFUNCTION("""COMPUTED_VALUE"""),"Новый")</f>
        <v>Новый</v>
      </c>
      <c r="G5275" s="68"/>
      <c r="K5275" s="68"/>
    </row>
    <row r="5276" spans="1:17" ht="12.75">
      <c r="A5276" s="69">
        <f ca="1">IFERROR(__xludf.DUMMYFUNCTION("""COMPUTED_VALUE"""),106017)</f>
        <v>106017</v>
      </c>
      <c r="B5276" s="4">
        <f ca="1">IFERROR(__xludf.DUMMYFUNCTION("""COMPUTED_VALUE"""),44804)</f>
        <v>44804</v>
      </c>
      <c r="C5276" t="str">
        <f ca="1">IFERROR(__xludf.DUMMYFUNCTION("""COMPUTED_VALUE"""),"БУ Г. ОМСКА ""УДХБ"" 197-РДО от 01.07.2022")</f>
        <v>БУ Г. ОМСКА "УДХБ" 197-РДО от 01.07.2022</v>
      </c>
      <c r="D52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6" t="str">
        <f ca="1">IFERROR(__xludf.DUMMYFUNCTION("""COMPUTED_VALUE"""),"Новый")</f>
        <v>Новый</v>
      </c>
      <c r="G5276" s="68"/>
      <c r="K5276" s="68"/>
    </row>
    <row r="5277" spans="1:17" ht="12.75">
      <c r="A5277" s="69">
        <f ca="1">IFERROR(__xludf.DUMMYFUNCTION("""COMPUTED_VALUE"""),106023)</f>
        <v>106023</v>
      </c>
      <c r="B5277" s="4">
        <f ca="1">IFERROR(__xludf.DUMMYFUNCTION("""COMPUTED_VALUE"""),44804)</f>
        <v>44804</v>
      </c>
      <c r="C5277" t="str">
        <f ca="1">IFERROR(__xludf.DUMMYFUNCTION("""COMPUTED_VALUE"""),"БУ Г. ОМСКА ""УДХБ"" 197-РДО от 01.07.2022")</f>
        <v>БУ Г. ОМСКА "УДХБ" 197-РДО от 01.07.2022</v>
      </c>
      <c r="D52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7" t="str">
        <f ca="1">IFERROR(__xludf.DUMMYFUNCTION("""COMPUTED_VALUE"""),"Новый")</f>
        <v>Новый</v>
      </c>
      <c r="G5277" s="68"/>
      <c r="K5277" s="68"/>
    </row>
    <row r="5278" spans="1:17" ht="12.75">
      <c r="A5278" s="69">
        <f ca="1">IFERROR(__xludf.DUMMYFUNCTION("""COMPUTED_VALUE"""),106092)</f>
        <v>106092</v>
      </c>
      <c r="B5278" s="4">
        <f ca="1">IFERROR(__xludf.DUMMYFUNCTION("""COMPUTED_VALUE"""),44804)</f>
        <v>44804</v>
      </c>
      <c r="C5278" t="str">
        <f ca="1">IFERROR(__xludf.DUMMYFUNCTION("""COMPUTED_VALUE"""),"ООО ""СТРОЙ РЕМОНТ"" 165-РДО от 26.04.2022")</f>
        <v>ООО "СТРОЙ РЕМОНТ" 165-РДО от 26.04.2022</v>
      </c>
      <c r="D52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8" t="str">
        <f ca="1">IFERROR(__xludf.DUMMYFUNCTION("""COMPUTED_VALUE"""),"Новый")</f>
        <v>Новый</v>
      </c>
      <c r="G5278" s="68"/>
      <c r="K5278" s="68"/>
    </row>
    <row r="5279" spans="1:17" ht="12.75">
      <c r="A5279" s="69">
        <f ca="1">IFERROR(__xludf.DUMMYFUNCTION("""COMPUTED_VALUE"""),106093)</f>
        <v>106093</v>
      </c>
      <c r="B5279" s="4">
        <f ca="1">IFERROR(__xludf.DUMMYFUNCTION("""COMPUTED_VALUE"""),44804)</f>
        <v>44804</v>
      </c>
      <c r="C5279" t="str">
        <f ca="1">IFERROR(__xludf.DUMMYFUNCTION("""COMPUTED_VALUE"""),"ООО ""СТРОЙ РЕМОНТ"" 165-РДО от 26.04.2022")</f>
        <v>ООО "СТРОЙ РЕМОНТ" 165-РДО от 26.04.2022</v>
      </c>
      <c r="D52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79" t="str">
        <f ca="1">IFERROR(__xludf.DUMMYFUNCTION("""COMPUTED_VALUE"""),"Открыт")</f>
        <v>Открыт</v>
      </c>
      <c r="F5279" t="str">
        <f ca="1">IFERROR(__xludf.DUMMYFUNCTION("""COMPUTED_VALUE"""),"Кировский полигон")</f>
        <v>Кировский полигон</v>
      </c>
      <c r="G5279" s="68">
        <f ca="1">IFERROR(__xludf.DUMMYFUNCTION("""COMPUTED_VALUE"""),44847.4883823032)</f>
        <v>44847.4883823032</v>
      </c>
      <c r="H5279" t="str">
        <f ca="1">IFERROR(__xludf.DUMMYFUNCTION("""COMPUTED_VALUE"""),"р922рн")</f>
        <v>р922рн</v>
      </c>
      <c r="I5279">
        <f ca="1">IFERROR(__xludf.DUMMYFUNCTION("""COMPUTED_VALUE"""),9700)</f>
        <v>9700</v>
      </c>
      <c r="K5279" s="68"/>
      <c r="N5279">
        <f ca="1">IFERROR(__xludf.DUMMYFUNCTION("""COMPUTED_VALUE"""),0)</f>
        <v>0</v>
      </c>
      <c r="Q5279" t="str">
        <f ca="1">IFERROR(__xludf.DUMMYFUNCTION("""COMPUTED_VALUE"""),"Другое")</f>
        <v>Другое</v>
      </c>
    </row>
    <row r="5280" spans="1:17" ht="12.75">
      <c r="A5280" s="69">
        <f ca="1">IFERROR(__xludf.DUMMYFUNCTION("""COMPUTED_VALUE"""),106094)</f>
        <v>106094</v>
      </c>
      <c r="B5280" s="4">
        <f ca="1">IFERROR(__xludf.DUMMYFUNCTION("""COMPUTED_VALUE"""),44804)</f>
        <v>44804</v>
      </c>
      <c r="C5280" t="str">
        <f ca="1">IFERROR(__xludf.DUMMYFUNCTION("""COMPUTED_VALUE"""),"ООО ""СТРОЙ РЕМОНТ"" 165-РДО от 26.04.2022")</f>
        <v>ООО "СТРОЙ РЕМОНТ" 165-РДО от 26.04.2022</v>
      </c>
      <c r="D52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0" t="str">
        <f ca="1">IFERROR(__xludf.DUMMYFUNCTION("""COMPUTED_VALUE"""),"Новый")</f>
        <v>Новый</v>
      </c>
      <c r="G5280" s="68"/>
      <c r="K5280" s="68"/>
    </row>
    <row r="5281" spans="1:11" ht="12.75">
      <c r="A5281" s="69">
        <f ca="1">IFERROR(__xludf.DUMMYFUNCTION("""COMPUTED_VALUE"""),106095)</f>
        <v>106095</v>
      </c>
      <c r="B5281" s="4">
        <f ca="1">IFERROR(__xludf.DUMMYFUNCTION("""COMPUTED_VALUE"""),44804)</f>
        <v>44804</v>
      </c>
      <c r="C5281" t="str">
        <f ca="1">IFERROR(__xludf.DUMMYFUNCTION("""COMPUTED_VALUE"""),"ООО ""СТРОЙ РЕМОНТ"" 165-РДО от 26.04.2022")</f>
        <v>ООО "СТРОЙ РЕМОНТ" 165-РДО от 26.04.2022</v>
      </c>
      <c r="D52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1" t="str">
        <f ca="1">IFERROR(__xludf.DUMMYFUNCTION("""COMPUTED_VALUE"""),"Новый")</f>
        <v>Новый</v>
      </c>
      <c r="G5281" s="68"/>
      <c r="K5281" s="68"/>
    </row>
    <row r="5282" spans="1:11" ht="12.75">
      <c r="A5282" s="69">
        <f ca="1">IFERROR(__xludf.DUMMYFUNCTION("""COMPUTED_VALUE"""),106096)</f>
        <v>106096</v>
      </c>
      <c r="B5282" s="4">
        <f ca="1">IFERROR(__xludf.DUMMYFUNCTION("""COMPUTED_VALUE"""),44804)</f>
        <v>44804</v>
      </c>
      <c r="C5282" t="str">
        <f ca="1">IFERROR(__xludf.DUMMYFUNCTION("""COMPUTED_VALUE"""),"ООО ""СТРОЙ РЕМОНТ"" 165-РДО от 26.04.2022")</f>
        <v>ООО "СТРОЙ РЕМОНТ" 165-РДО от 26.04.2022</v>
      </c>
      <c r="D52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2" t="str">
        <f ca="1">IFERROR(__xludf.DUMMYFUNCTION("""COMPUTED_VALUE"""),"Новый")</f>
        <v>Новый</v>
      </c>
      <c r="G5282" s="68"/>
      <c r="K5282" s="68"/>
    </row>
    <row r="5283" spans="1:11" ht="12.75">
      <c r="A5283" s="69">
        <f ca="1">IFERROR(__xludf.DUMMYFUNCTION("""COMPUTED_VALUE"""),106097)</f>
        <v>106097</v>
      </c>
      <c r="B5283" s="4">
        <f ca="1">IFERROR(__xludf.DUMMYFUNCTION("""COMPUTED_VALUE"""),44804)</f>
        <v>44804</v>
      </c>
      <c r="C5283" t="str">
        <f ca="1">IFERROR(__xludf.DUMMYFUNCTION("""COMPUTED_VALUE"""),"ООО ""СТРОЙ РЕМОНТ"" 165-РДО от 26.04.2022")</f>
        <v>ООО "СТРОЙ РЕМОНТ" 165-РДО от 26.04.2022</v>
      </c>
      <c r="D52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3" t="str">
        <f ca="1">IFERROR(__xludf.DUMMYFUNCTION("""COMPUTED_VALUE"""),"Новый")</f>
        <v>Новый</v>
      </c>
      <c r="G5283" s="68"/>
      <c r="K5283" s="68"/>
    </row>
    <row r="5284" spans="1:11" ht="12.75">
      <c r="A5284" s="69">
        <f ca="1">IFERROR(__xludf.DUMMYFUNCTION("""COMPUTED_VALUE"""),106098)</f>
        <v>106098</v>
      </c>
      <c r="B5284" s="4">
        <f ca="1">IFERROR(__xludf.DUMMYFUNCTION("""COMPUTED_VALUE"""),44804)</f>
        <v>44804</v>
      </c>
      <c r="C5284" t="str">
        <f ca="1">IFERROR(__xludf.DUMMYFUNCTION("""COMPUTED_VALUE"""),"ООО ""СТРОЙ РЕМОНТ"" 165-РДО от 26.04.2022")</f>
        <v>ООО "СТРОЙ РЕМОНТ" 165-РДО от 26.04.2022</v>
      </c>
      <c r="D52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4" t="str">
        <f ca="1">IFERROR(__xludf.DUMMYFUNCTION("""COMPUTED_VALUE"""),"Новый")</f>
        <v>Новый</v>
      </c>
      <c r="G5284" s="68"/>
      <c r="K5284" s="68"/>
    </row>
    <row r="5285" spans="1:11" ht="12.75">
      <c r="A5285" s="69">
        <f ca="1">IFERROR(__xludf.DUMMYFUNCTION("""COMPUTED_VALUE"""),106099)</f>
        <v>106099</v>
      </c>
      <c r="B5285" s="4">
        <f ca="1">IFERROR(__xludf.DUMMYFUNCTION("""COMPUTED_VALUE"""),44804)</f>
        <v>44804</v>
      </c>
      <c r="C5285" t="str">
        <f ca="1">IFERROR(__xludf.DUMMYFUNCTION("""COMPUTED_VALUE"""),"ООО ""СТРОЙ РЕМОНТ"" 165-РДО от 26.04.2022")</f>
        <v>ООО "СТРОЙ РЕМОНТ" 165-РДО от 26.04.2022</v>
      </c>
      <c r="D52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5" t="str">
        <f ca="1">IFERROR(__xludf.DUMMYFUNCTION("""COMPUTED_VALUE"""),"Новый")</f>
        <v>Новый</v>
      </c>
      <c r="G5285" s="68"/>
      <c r="K5285" s="68"/>
    </row>
    <row r="5286" spans="1:11" ht="12.75">
      <c r="A5286" s="69">
        <f ca="1">IFERROR(__xludf.DUMMYFUNCTION("""COMPUTED_VALUE"""),106100)</f>
        <v>106100</v>
      </c>
      <c r="B5286" s="4">
        <f ca="1">IFERROR(__xludf.DUMMYFUNCTION("""COMPUTED_VALUE"""),44804)</f>
        <v>44804</v>
      </c>
      <c r="C5286" t="str">
        <f ca="1">IFERROR(__xludf.DUMMYFUNCTION("""COMPUTED_VALUE"""),"ООО ""СТРОЙ РЕМОНТ"" 165-РДО от 26.04.2022")</f>
        <v>ООО "СТРОЙ РЕМОНТ" 165-РДО от 26.04.2022</v>
      </c>
      <c r="D52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6" t="str">
        <f ca="1">IFERROR(__xludf.DUMMYFUNCTION("""COMPUTED_VALUE"""),"Новый")</f>
        <v>Новый</v>
      </c>
      <c r="G5286" s="68"/>
      <c r="K5286" s="68"/>
    </row>
    <row r="5287" spans="1:11" ht="12.75">
      <c r="A5287" s="69">
        <f ca="1">IFERROR(__xludf.DUMMYFUNCTION("""COMPUTED_VALUE"""),106101)</f>
        <v>106101</v>
      </c>
      <c r="B5287" s="4">
        <f ca="1">IFERROR(__xludf.DUMMYFUNCTION("""COMPUTED_VALUE"""),44804)</f>
        <v>44804</v>
      </c>
      <c r="C5287" t="str">
        <f ca="1">IFERROR(__xludf.DUMMYFUNCTION("""COMPUTED_VALUE"""),"ООО ""СТРОЙ РЕМОНТ"" 165-РДО от 26.04.2022")</f>
        <v>ООО "СТРОЙ РЕМОНТ" 165-РДО от 26.04.2022</v>
      </c>
      <c r="D52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7" t="str">
        <f ca="1">IFERROR(__xludf.DUMMYFUNCTION("""COMPUTED_VALUE"""),"Новый")</f>
        <v>Новый</v>
      </c>
      <c r="G5287" s="68"/>
      <c r="K5287" s="68"/>
    </row>
    <row r="5288" spans="1:11" ht="12.75">
      <c r="A5288" s="69">
        <f ca="1">IFERROR(__xludf.DUMMYFUNCTION("""COMPUTED_VALUE"""),106102)</f>
        <v>106102</v>
      </c>
      <c r="B5288" s="4">
        <f ca="1">IFERROR(__xludf.DUMMYFUNCTION("""COMPUTED_VALUE"""),44804)</f>
        <v>44804</v>
      </c>
      <c r="C5288" t="str">
        <f ca="1">IFERROR(__xludf.DUMMYFUNCTION("""COMPUTED_VALUE"""),"ООО ""СТРОЙ РЕМОНТ"" 165-РДО от 26.04.2022")</f>
        <v>ООО "СТРОЙ РЕМОНТ" 165-РДО от 26.04.2022</v>
      </c>
      <c r="D52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8" t="str">
        <f ca="1">IFERROR(__xludf.DUMMYFUNCTION("""COMPUTED_VALUE"""),"Новый")</f>
        <v>Новый</v>
      </c>
      <c r="G5288" s="68"/>
      <c r="K5288" s="68"/>
    </row>
    <row r="5289" spans="1:11" ht="12.75">
      <c r="A5289" s="69">
        <f ca="1">IFERROR(__xludf.DUMMYFUNCTION("""COMPUTED_VALUE"""),106103)</f>
        <v>106103</v>
      </c>
      <c r="B5289" s="4">
        <f ca="1">IFERROR(__xludf.DUMMYFUNCTION("""COMPUTED_VALUE"""),44804)</f>
        <v>44804</v>
      </c>
      <c r="C5289" t="str">
        <f ca="1">IFERROR(__xludf.DUMMYFUNCTION("""COMPUTED_VALUE"""),"ООО ""СТРОЙ РЕМОНТ"" 165-РДО от 26.04.2022")</f>
        <v>ООО "СТРОЙ РЕМОНТ" 165-РДО от 26.04.2022</v>
      </c>
      <c r="D52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89" t="str">
        <f ca="1">IFERROR(__xludf.DUMMYFUNCTION("""COMPUTED_VALUE"""),"Новый")</f>
        <v>Новый</v>
      </c>
      <c r="G5289" s="68"/>
      <c r="K5289" s="68"/>
    </row>
    <row r="5290" spans="1:11" ht="12.75">
      <c r="A5290" s="69">
        <f ca="1">IFERROR(__xludf.DUMMYFUNCTION("""COMPUTED_VALUE"""),106104)</f>
        <v>106104</v>
      </c>
      <c r="B5290" s="4">
        <f ca="1">IFERROR(__xludf.DUMMYFUNCTION("""COMPUTED_VALUE"""),44804)</f>
        <v>44804</v>
      </c>
      <c r="C5290" t="str">
        <f ca="1">IFERROR(__xludf.DUMMYFUNCTION("""COMPUTED_VALUE"""),"ООО ""СТРОЙ РЕМОНТ"" 165-РДО от 26.04.2022")</f>
        <v>ООО "СТРОЙ РЕМОНТ" 165-РДО от 26.04.2022</v>
      </c>
      <c r="D52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0" t="str">
        <f ca="1">IFERROR(__xludf.DUMMYFUNCTION("""COMPUTED_VALUE"""),"Новый")</f>
        <v>Новый</v>
      </c>
      <c r="G5290" s="68"/>
      <c r="K5290" s="68"/>
    </row>
    <row r="5291" spans="1:11" ht="12.75">
      <c r="A5291" s="69">
        <f ca="1">IFERROR(__xludf.DUMMYFUNCTION("""COMPUTED_VALUE"""),106105)</f>
        <v>106105</v>
      </c>
      <c r="B5291" s="4">
        <f ca="1">IFERROR(__xludf.DUMMYFUNCTION("""COMPUTED_VALUE"""),44804)</f>
        <v>44804</v>
      </c>
      <c r="C5291" t="str">
        <f ca="1">IFERROR(__xludf.DUMMYFUNCTION("""COMPUTED_VALUE"""),"ООО ""СТРОЙ РЕМОНТ"" 165-РДО от 26.04.2022")</f>
        <v>ООО "СТРОЙ РЕМОНТ" 165-РДО от 26.04.2022</v>
      </c>
      <c r="D52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1" t="str">
        <f ca="1">IFERROR(__xludf.DUMMYFUNCTION("""COMPUTED_VALUE"""),"Новый")</f>
        <v>Новый</v>
      </c>
      <c r="G5291" s="68"/>
      <c r="K5291" s="68"/>
    </row>
    <row r="5292" spans="1:11" ht="12.75">
      <c r="A5292" s="69">
        <f ca="1">IFERROR(__xludf.DUMMYFUNCTION("""COMPUTED_VALUE"""),106106)</f>
        <v>106106</v>
      </c>
      <c r="B5292" s="4">
        <f ca="1">IFERROR(__xludf.DUMMYFUNCTION("""COMPUTED_VALUE"""),44804)</f>
        <v>44804</v>
      </c>
      <c r="C5292" t="str">
        <f ca="1">IFERROR(__xludf.DUMMYFUNCTION("""COMPUTED_VALUE"""),"ООО ""СТРОЙ РЕМОНТ"" 165-РДО от 26.04.2022")</f>
        <v>ООО "СТРОЙ РЕМОНТ" 165-РДО от 26.04.2022</v>
      </c>
      <c r="D52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2" t="str">
        <f ca="1">IFERROR(__xludf.DUMMYFUNCTION("""COMPUTED_VALUE"""),"Новый")</f>
        <v>Новый</v>
      </c>
      <c r="G5292" s="68"/>
      <c r="K5292" s="68"/>
    </row>
    <row r="5293" spans="1:11" ht="12.75">
      <c r="A5293" s="69">
        <f ca="1">IFERROR(__xludf.DUMMYFUNCTION("""COMPUTED_VALUE"""),106107)</f>
        <v>106107</v>
      </c>
      <c r="B5293" s="4">
        <f ca="1">IFERROR(__xludf.DUMMYFUNCTION("""COMPUTED_VALUE"""),44804)</f>
        <v>44804</v>
      </c>
      <c r="C5293" t="str">
        <f ca="1">IFERROR(__xludf.DUMMYFUNCTION("""COMPUTED_VALUE"""),"ООО ""СТРОЙ РЕМОНТ"" 165-РДО от 26.04.2022")</f>
        <v>ООО "СТРОЙ РЕМОНТ" 165-РДО от 26.04.2022</v>
      </c>
      <c r="D52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3" t="str">
        <f ca="1">IFERROR(__xludf.DUMMYFUNCTION("""COMPUTED_VALUE"""),"Новый")</f>
        <v>Новый</v>
      </c>
      <c r="G5293" s="68"/>
      <c r="K5293" s="68"/>
    </row>
    <row r="5294" spans="1:11" ht="12.75">
      <c r="A5294" s="69">
        <f ca="1">IFERROR(__xludf.DUMMYFUNCTION("""COMPUTED_VALUE"""),106108)</f>
        <v>106108</v>
      </c>
      <c r="B5294" s="4">
        <f ca="1">IFERROR(__xludf.DUMMYFUNCTION("""COMPUTED_VALUE"""),44804)</f>
        <v>44804</v>
      </c>
      <c r="C5294" t="str">
        <f ca="1">IFERROR(__xludf.DUMMYFUNCTION("""COMPUTED_VALUE"""),"ООО ""СТРОЙ РЕМОНТ"" 165-РДО от 26.04.2022")</f>
        <v>ООО "СТРОЙ РЕМОНТ" 165-РДО от 26.04.2022</v>
      </c>
      <c r="D52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4" t="str">
        <f ca="1">IFERROR(__xludf.DUMMYFUNCTION("""COMPUTED_VALUE"""),"Новый")</f>
        <v>Новый</v>
      </c>
      <c r="G5294" s="68"/>
      <c r="K5294" s="68"/>
    </row>
    <row r="5295" spans="1:11" ht="12.75">
      <c r="A5295" s="69">
        <f ca="1">IFERROR(__xludf.DUMMYFUNCTION("""COMPUTED_VALUE"""),106109)</f>
        <v>106109</v>
      </c>
      <c r="B5295" s="4">
        <f ca="1">IFERROR(__xludf.DUMMYFUNCTION("""COMPUTED_VALUE"""),44804)</f>
        <v>44804</v>
      </c>
      <c r="C5295" t="str">
        <f ca="1">IFERROR(__xludf.DUMMYFUNCTION("""COMPUTED_VALUE"""),"ООО ""СТРОЙ РЕМОНТ"" 165-РДО от 26.04.2022")</f>
        <v>ООО "СТРОЙ РЕМОНТ" 165-РДО от 26.04.2022</v>
      </c>
      <c r="D52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295" t="str">
        <f ca="1">IFERROR(__xludf.DUMMYFUNCTION("""COMPUTED_VALUE"""),"Новый")</f>
        <v>Новый</v>
      </c>
      <c r="G5295" s="68"/>
      <c r="K5295" s="68"/>
    </row>
    <row r="5296" spans="1:11" ht="12.75">
      <c r="A5296" s="69">
        <f ca="1">IFERROR(__xludf.DUMMYFUNCTION("""COMPUTED_VALUE"""),106111)</f>
        <v>106111</v>
      </c>
      <c r="B5296" s="4">
        <f ca="1">IFERROR(__xludf.DUMMYFUNCTION("""COMPUTED_VALUE"""),44804)</f>
        <v>44804</v>
      </c>
      <c r="C5296" t="str">
        <f ca="1">IFERROR(__xludf.DUMMYFUNCTION("""COMPUTED_VALUE"""),"ООО ""Гарант"" 177-СТР от 31.08.2022")</f>
        <v>ООО "Гарант" 177-СТР от 31.08.2022</v>
      </c>
      <c r="D52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96" t="str">
        <f ca="1">IFERROR(__xludf.DUMMYFUNCTION("""COMPUTED_VALUE"""),"Новый")</f>
        <v>Новый</v>
      </c>
      <c r="G5296" s="68"/>
      <c r="K5296" s="68"/>
    </row>
    <row r="5297" spans="1:11" ht="12.75">
      <c r="A5297" s="69">
        <f ca="1">IFERROR(__xludf.DUMMYFUNCTION("""COMPUTED_VALUE"""),106112)</f>
        <v>106112</v>
      </c>
      <c r="B5297" s="4">
        <f ca="1">IFERROR(__xludf.DUMMYFUNCTION("""COMPUTED_VALUE"""),44804)</f>
        <v>44804</v>
      </c>
      <c r="C5297" t="str">
        <f ca="1">IFERROR(__xludf.DUMMYFUNCTION("""COMPUTED_VALUE"""),"ООО ""Гарант"" 177-СТР от 31.08.2022")</f>
        <v>ООО "Гарант" 177-СТР от 31.08.2022</v>
      </c>
      <c r="D52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97" t="str">
        <f ca="1">IFERROR(__xludf.DUMMYFUNCTION("""COMPUTED_VALUE"""),"Новый")</f>
        <v>Новый</v>
      </c>
      <c r="G5297" s="68"/>
      <c r="K5297" s="68"/>
    </row>
    <row r="5298" spans="1:11" ht="12.75">
      <c r="A5298" s="69">
        <f ca="1">IFERROR(__xludf.DUMMYFUNCTION("""COMPUTED_VALUE"""),106113)</f>
        <v>106113</v>
      </c>
      <c r="B5298" s="4">
        <f ca="1">IFERROR(__xludf.DUMMYFUNCTION("""COMPUTED_VALUE"""),44804)</f>
        <v>44804</v>
      </c>
      <c r="C5298" t="str">
        <f ca="1">IFERROR(__xludf.DUMMYFUNCTION("""COMPUTED_VALUE"""),"ООО ""Гарант"" 177-СТР от 31.08.2022")</f>
        <v>ООО "Гарант" 177-СТР от 31.08.2022</v>
      </c>
      <c r="D52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98" t="str">
        <f ca="1">IFERROR(__xludf.DUMMYFUNCTION("""COMPUTED_VALUE"""),"Новый")</f>
        <v>Новый</v>
      </c>
      <c r="G5298" s="68"/>
      <c r="K5298" s="68"/>
    </row>
    <row r="5299" spans="1:11" ht="12.75">
      <c r="A5299" s="69">
        <f ca="1">IFERROR(__xludf.DUMMYFUNCTION("""COMPUTED_VALUE"""),106114)</f>
        <v>106114</v>
      </c>
      <c r="B5299" s="4">
        <f ca="1">IFERROR(__xludf.DUMMYFUNCTION("""COMPUTED_VALUE"""),44804)</f>
        <v>44804</v>
      </c>
      <c r="C5299" t="str">
        <f ca="1">IFERROR(__xludf.DUMMYFUNCTION("""COMPUTED_VALUE"""),"ООО ""Гарант"" 177-СТР от 31.08.2022")</f>
        <v>ООО "Гарант" 177-СТР от 31.08.2022</v>
      </c>
      <c r="D52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299" t="str">
        <f ca="1">IFERROR(__xludf.DUMMYFUNCTION("""COMPUTED_VALUE"""),"Новый")</f>
        <v>Новый</v>
      </c>
      <c r="G5299" s="68"/>
      <c r="K5299" s="68"/>
    </row>
    <row r="5300" spans="1:11" ht="12.75">
      <c r="A5300" s="69">
        <f ca="1">IFERROR(__xludf.DUMMYFUNCTION("""COMPUTED_VALUE"""),106115)</f>
        <v>106115</v>
      </c>
      <c r="B5300" s="4">
        <f ca="1">IFERROR(__xludf.DUMMYFUNCTION("""COMPUTED_VALUE"""),44804)</f>
        <v>44804</v>
      </c>
      <c r="C5300" t="str">
        <f ca="1">IFERROR(__xludf.DUMMYFUNCTION("""COMPUTED_VALUE"""),"ООО ""Гарант"" 177-СТР от 31.08.2022")</f>
        <v>ООО "Гарант" 177-СТР от 31.08.2022</v>
      </c>
      <c r="D53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0" t="str">
        <f ca="1">IFERROR(__xludf.DUMMYFUNCTION("""COMPUTED_VALUE"""),"Новый")</f>
        <v>Новый</v>
      </c>
      <c r="G5300" s="68"/>
      <c r="K5300" s="68"/>
    </row>
    <row r="5301" spans="1:11" ht="12.75">
      <c r="A5301" s="69">
        <f ca="1">IFERROR(__xludf.DUMMYFUNCTION("""COMPUTED_VALUE"""),106116)</f>
        <v>106116</v>
      </c>
      <c r="B5301" s="4">
        <f ca="1">IFERROR(__xludf.DUMMYFUNCTION("""COMPUTED_VALUE"""),44804)</f>
        <v>44804</v>
      </c>
      <c r="C5301" t="str">
        <f ca="1">IFERROR(__xludf.DUMMYFUNCTION("""COMPUTED_VALUE"""),"ООО ""Гарант"" 177-СТР от 31.08.2022")</f>
        <v>ООО "Гарант" 177-СТР от 31.08.2022</v>
      </c>
      <c r="D53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1" t="str">
        <f ca="1">IFERROR(__xludf.DUMMYFUNCTION("""COMPUTED_VALUE"""),"Новый")</f>
        <v>Новый</v>
      </c>
      <c r="G5301" s="68"/>
      <c r="K5301" s="68"/>
    </row>
    <row r="5302" spans="1:11" ht="12.75">
      <c r="A5302" s="69">
        <f ca="1">IFERROR(__xludf.DUMMYFUNCTION("""COMPUTED_VALUE"""),106117)</f>
        <v>106117</v>
      </c>
      <c r="B5302" s="4">
        <f ca="1">IFERROR(__xludf.DUMMYFUNCTION("""COMPUTED_VALUE"""),44804)</f>
        <v>44804</v>
      </c>
      <c r="C5302" t="str">
        <f ca="1">IFERROR(__xludf.DUMMYFUNCTION("""COMPUTED_VALUE"""),"ООО ""Гарант"" 177-СТР от 31.08.2022")</f>
        <v>ООО "Гарант" 177-СТР от 31.08.2022</v>
      </c>
      <c r="D53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2" t="str">
        <f ca="1">IFERROR(__xludf.DUMMYFUNCTION("""COMPUTED_VALUE"""),"Новый")</f>
        <v>Новый</v>
      </c>
      <c r="G5302" s="68"/>
      <c r="K5302" s="68"/>
    </row>
    <row r="5303" spans="1:11" ht="12.75">
      <c r="A5303" s="69">
        <f ca="1">IFERROR(__xludf.DUMMYFUNCTION("""COMPUTED_VALUE"""),106118)</f>
        <v>106118</v>
      </c>
      <c r="B5303" s="4">
        <f ca="1">IFERROR(__xludf.DUMMYFUNCTION("""COMPUTED_VALUE"""),44804)</f>
        <v>44804</v>
      </c>
      <c r="C5303" t="str">
        <f ca="1">IFERROR(__xludf.DUMMYFUNCTION("""COMPUTED_VALUE"""),"ООО ""Гарант"" 177-СТР от 31.08.2022")</f>
        <v>ООО "Гарант" 177-СТР от 31.08.2022</v>
      </c>
      <c r="D53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3" t="str">
        <f ca="1">IFERROR(__xludf.DUMMYFUNCTION("""COMPUTED_VALUE"""),"Новый")</f>
        <v>Новый</v>
      </c>
      <c r="G5303" s="68"/>
      <c r="K5303" s="68"/>
    </row>
    <row r="5304" spans="1:11" ht="12.75">
      <c r="A5304" s="69">
        <f ca="1">IFERROR(__xludf.DUMMYFUNCTION("""COMPUTED_VALUE"""),106120)</f>
        <v>106120</v>
      </c>
      <c r="B5304" s="4">
        <f ca="1">IFERROR(__xludf.DUMMYFUNCTION("""COMPUTED_VALUE"""),44804)</f>
        <v>44804</v>
      </c>
      <c r="C5304" t="str">
        <f ca="1">IFERROR(__xludf.DUMMYFUNCTION("""COMPUTED_VALUE"""),"ООО ""Гарант"" 177-СТР от 31.08.2022")</f>
        <v>ООО "Гарант" 177-СТР от 31.08.2022</v>
      </c>
      <c r="D53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4" t="str">
        <f ca="1">IFERROR(__xludf.DUMMYFUNCTION("""COMPUTED_VALUE"""),"Новый")</f>
        <v>Новый</v>
      </c>
      <c r="G5304" s="68"/>
      <c r="K5304" s="68"/>
    </row>
    <row r="5305" spans="1:11" ht="12.75">
      <c r="A5305" s="69">
        <f ca="1">IFERROR(__xludf.DUMMYFUNCTION("""COMPUTED_VALUE"""),106121)</f>
        <v>106121</v>
      </c>
      <c r="B5305" s="4">
        <f ca="1">IFERROR(__xludf.DUMMYFUNCTION("""COMPUTED_VALUE"""),44804)</f>
        <v>44804</v>
      </c>
      <c r="C5305" t="str">
        <f ca="1">IFERROR(__xludf.DUMMYFUNCTION("""COMPUTED_VALUE"""),"ООО ""Гарант"" 177-СТР от 31.08.2022")</f>
        <v>ООО "Гарант" 177-СТР от 31.08.2022</v>
      </c>
      <c r="D53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5" t="str">
        <f ca="1">IFERROR(__xludf.DUMMYFUNCTION("""COMPUTED_VALUE"""),"Новый")</f>
        <v>Новый</v>
      </c>
      <c r="G5305" s="68"/>
      <c r="K5305" s="68"/>
    </row>
    <row r="5306" spans="1:11" ht="12.75">
      <c r="A5306" s="69">
        <f ca="1">IFERROR(__xludf.DUMMYFUNCTION("""COMPUTED_VALUE"""),106122)</f>
        <v>106122</v>
      </c>
      <c r="B5306" s="4">
        <f ca="1">IFERROR(__xludf.DUMMYFUNCTION("""COMPUTED_VALUE"""),44804)</f>
        <v>44804</v>
      </c>
      <c r="C5306" t="str">
        <f ca="1">IFERROR(__xludf.DUMMYFUNCTION("""COMPUTED_VALUE"""),"ООО ""Гарант"" 177-СТР от 31.08.2022")</f>
        <v>ООО "Гарант" 177-СТР от 31.08.2022</v>
      </c>
      <c r="D53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6" t="str">
        <f ca="1">IFERROR(__xludf.DUMMYFUNCTION("""COMPUTED_VALUE"""),"Новый")</f>
        <v>Новый</v>
      </c>
      <c r="G5306" s="68"/>
      <c r="K5306" s="68"/>
    </row>
    <row r="5307" spans="1:11" ht="12.75">
      <c r="A5307" s="69">
        <f ca="1">IFERROR(__xludf.DUMMYFUNCTION("""COMPUTED_VALUE"""),106123)</f>
        <v>106123</v>
      </c>
      <c r="B5307" s="4">
        <f ca="1">IFERROR(__xludf.DUMMYFUNCTION("""COMPUTED_VALUE"""),44804)</f>
        <v>44804</v>
      </c>
      <c r="C5307" t="str">
        <f ca="1">IFERROR(__xludf.DUMMYFUNCTION("""COMPUTED_VALUE"""),"ООО ""Гарант"" 177-СТР от 31.08.2022")</f>
        <v>ООО "Гарант" 177-СТР от 31.08.2022</v>
      </c>
      <c r="D53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7" t="str">
        <f ca="1">IFERROR(__xludf.DUMMYFUNCTION("""COMPUTED_VALUE"""),"Новый")</f>
        <v>Новый</v>
      </c>
      <c r="G5307" s="68"/>
      <c r="K5307" s="68"/>
    </row>
    <row r="5308" spans="1:11" ht="12.75">
      <c r="A5308" s="69">
        <f ca="1">IFERROR(__xludf.DUMMYFUNCTION("""COMPUTED_VALUE"""),106124)</f>
        <v>106124</v>
      </c>
      <c r="B5308" s="4">
        <f ca="1">IFERROR(__xludf.DUMMYFUNCTION("""COMPUTED_VALUE"""),44804)</f>
        <v>44804</v>
      </c>
      <c r="C5308" t="str">
        <f ca="1">IFERROR(__xludf.DUMMYFUNCTION("""COMPUTED_VALUE"""),"ООО ""Гарант"" 177-СТР от 31.08.2022")</f>
        <v>ООО "Гарант" 177-СТР от 31.08.2022</v>
      </c>
      <c r="D53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8" t="str">
        <f ca="1">IFERROR(__xludf.DUMMYFUNCTION("""COMPUTED_VALUE"""),"Новый")</f>
        <v>Новый</v>
      </c>
      <c r="G5308" s="68"/>
      <c r="K5308" s="68"/>
    </row>
    <row r="5309" spans="1:11" ht="12.75">
      <c r="A5309" s="69">
        <f ca="1">IFERROR(__xludf.DUMMYFUNCTION("""COMPUTED_VALUE"""),106125)</f>
        <v>106125</v>
      </c>
      <c r="B5309" s="4">
        <f ca="1">IFERROR(__xludf.DUMMYFUNCTION("""COMPUTED_VALUE"""),44804)</f>
        <v>44804</v>
      </c>
      <c r="C5309" t="str">
        <f ca="1">IFERROR(__xludf.DUMMYFUNCTION("""COMPUTED_VALUE"""),"ООО ""Гарант"" 177-СТР от 31.08.2022")</f>
        <v>ООО "Гарант" 177-СТР от 31.08.2022</v>
      </c>
      <c r="D53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09" t="str">
        <f ca="1">IFERROR(__xludf.DUMMYFUNCTION("""COMPUTED_VALUE"""),"Новый")</f>
        <v>Новый</v>
      </c>
      <c r="G5309" s="68"/>
      <c r="K5309" s="68"/>
    </row>
    <row r="5310" spans="1:11" ht="12.75">
      <c r="A5310" s="69">
        <f ca="1">IFERROR(__xludf.DUMMYFUNCTION("""COMPUTED_VALUE"""),106126)</f>
        <v>106126</v>
      </c>
      <c r="B5310" s="4">
        <f ca="1">IFERROR(__xludf.DUMMYFUNCTION("""COMPUTED_VALUE"""),44804)</f>
        <v>44804</v>
      </c>
      <c r="C5310" t="str">
        <f ca="1">IFERROR(__xludf.DUMMYFUNCTION("""COMPUTED_VALUE"""),"ООО ""Гарант"" 177-СТР от 31.08.2022")</f>
        <v>ООО "Гарант" 177-СТР от 31.08.2022</v>
      </c>
      <c r="D53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0" t="str">
        <f ca="1">IFERROR(__xludf.DUMMYFUNCTION("""COMPUTED_VALUE"""),"Новый")</f>
        <v>Новый</v>
      </c>
      <c r="G5310" s="68"/>
      <c r="K5310" s="68"/>
    </row>
    <row r="5311" spans="1:11" ht="12.75">
      <c r="A5311" s="69">
        <f ca="1">IFERROR(__xludf.DUMMYFUNCTION("""COMPUTED_VALUE"""),106127)</f>
        <v>106127</v>
      </c>
      <c r="B5311" s="4">
        <f ca="1">IFERROR(__xludf.DUMMYFUNCTION("""COMPUTED_VALUE"""),44804)</f>
        <v>44804</v>
      </c>
      <c r="C5311" t="str">
        <f ca="1">IFERROR(__xludf.DUMMYFUNCTION("""COMPUTED_VALUE"""),"ООО ""Гарант"" 177-СТР от 31.08.2022")</f>
        <v>ООО "Гарант" 177-СТР от 31.08.2022</v>
      </c>
      <c r="D53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1" t="str">
        <f ca="1">IFERROR(__xludf.DUMMYFUNCTION("""COMPUTED_VALUE"""),"Новый")</f>
        <v>Новый</v>
      </c>
      <c r="G5311" s="68"/>
      <c r="K5311" s="68"/>
    </row>
    <row r="5312" spans="1:11" ht="12.75">
      <c r="A5312" s="69">
        <f ca="1">IFERROR(__xludf.DUMMYFUNCTION("""COMPUTED_VALUE"""),106128)</f>
        <v>106128</v>
      </c>
      <c r="B5312" s="4">
        <f ca="1">IFERROR(__xludf.DUMMYFUNCTION("""COMPUTED_VALUE"""),44804)</f>
        <v>44804</v>
      </c>
      <c r="C5312" t="str">
        <f ca="1">IFERROR(__xludf.DUMMYFUNCTION("""COMPUTED_VALUE"""),"ООО ""Гарант"" 177-СТР от 31.08.2022")</f>
        <v>ООО "Гарант" 177-СТР от 31.08.2022</v>
      </c>
      <c r="D53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2" t="str">
        <f ca="1">IFERROR(__xludf.DUMMYFUNCTION("""COMPUTED_VALUE"""),"Новый")</f>
        <v>Новый</v>
      </c>
      <c r="G5312" s="68"/>
      <c r="K5312" s="68"/>
    </row>
    <row r="5313" spans="1:11" ht="12.75">
      <c r="A5313" s="69">
        <f ca="1">IFERROR(__xludf.DUMMYFUNCTION("""COMPUTED_VALUE"""),106129)</f>
        <v>106129</v>
      </c>
      <c r="B5313" s="4">
        <f ca="1">IFERROR(__xludf.DUMMYFUNCTION("""COMPUTED_VALUE"""),44804)</f>
        <v>44804</v>
      </c>
      <c r="C5313" t="str">
        <f ca="1">IFERROR(__xludf.DUMMYFUNCTION("""COMPUTED_VALUE"""),"ООО ""Гарант"" 177-СТР от 31.08.2022")</f>
        <v>ООО "Гарант" 177-СТР от 31.08.2022</v>
      </c>
      <c r="D53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3" t="str">
        <f ca="1">IFERROR(__xludf.DUMMYFUNCTION("""COMPUTED_VALUE"""),"Новый")</f>
        <v>Новый</v>
      </c>
      <c r="G5313" s="68"/>
      <c r="K5313" s="68"/>
    </row>
    <row r="5314" spans="1:11" ht="12.75">
      <c r="A5314" s="69">
        <f ca="1">IFERROR(__xludf.DUMMYFUNCTION("""COMPUTED_VALUE"""),106130)</f>
        <v>106130</v>
      </c>
      <c r="B5314" s="4">
        <f ca="1">IFERROR(__xludf.DUMMYFUNCTION("""COMPUTED_VALUE"""),44804)</f>
        <v>44804</v>
      </c>
      <c r="C5314" t="str">
        <f ca="1">IFERROR(__xludf.DUMMYFUNCTION("""COMPUTED_VALUE"""),"ООО ""Гарант"" 177-СТР от 31.08.2022")</f>
        <v>ООО "Гарант" 177-СТР от 31.08.2022</v>
      </c>
      <c r="D53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4" t="str">
        <f ca="1">IFERROR(__xludf.DUMMYFUNCTION("""COMPUTED_VALUE"""),"Новый")</f>
        <v>Новый</v>
      </c>
      <c r="G5314" s="68"/>
      <c r="K5314" s="68"/>
    </row>
    <row r="5315" spans="1:11" ht="12.75">
      <c r="A5315" s="69">
        <f ca="1">IFERROR(__xludf.DUMMYFUNCTION("""COMPUTED_VALUE"""),106132)</f>
        <v>106132</v>
      </c>
      <c r="B5315" s="4">
        <f ca="1">IFERROR(__xludf.DUMMYFUNCTION("""COMPUTED_VALUE"""),44804)</f>
        <v>44804</v>
      </c>
      <c r="C5315" t="str">
        <f ca="1">IFERROR(__xludf.DUMMYFUNCTION("""COMPUTED_VALUE"""),"ООО ""Гарант"" 177-СТР от 31.08.2022")</f>
        <v>ООО "Гарант" 177-СТР от 31.08.2022</v>
      </c>
      <c r="D53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5" t="str">
        <f ca="1">IFERROR(__xludf.DUMMYFUNCTION("""COMPUTED_VALUE"""),"Новый")</f>
        <v>Новый</v>
      </c>
      <c r="G5315" s="68"/>
      <c r="K5315" s="68"/>
    </row>
    <row r="5316" spans="1:11" ht="12.75">
      <c r="A5316" s="69">
        <f ca="1">IFERROR(__xludf.DUMMYFUNCTION("""COMPUTED_VALUE"""),106133)</f>
        <v>106133</v>
      </c>
      <c r="B5316" s="4">
        <f ca="1">IFERROR(__xludf.DUMMYFUNCTION("""COMPUTED_VALUE"""),44804)</f>
        <v>44804</v>
      </c>
      <c r="C5316" t="str">
        <f ca="1">IFERROR(__xludf.DUMMYFUNCTION("""COMPUTED_VALUE"""),"ООО ""Гарант"" 177-СТР от 31.08.2022")</f>
        <v>ООО "Гарант" 177-СТР от 31.08.2022</v>
      </c>
      <c r="D53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6" t="str">
        <f ca="1">IFERROR(__xludf.DUMMYFUNCTION("""COMPUTED_VALUE"""),"Новый")</f>
        <v>Новый</v>
      </c>
      <c r="G5316" s="68"/>
      <c r="K5316" s="68"/>
    </row>
    <row r="5317" spans="1:11" ht="12.75">
      <c r="A5317" s="69">
        <f ca="1">IFERROR(__xludf.DUMMYFUNCTION("""COMPUTED_VALUE"""),106134)</f>
        <v>106134</v>
      </c>
      <c r="B5317" s="4">
        <f ca="1">IFERROR(__xludf.DUMMYFUNCTION("""COMPUTED_VALUE"""),44804)</f>
        <v>44804</v>
      </c>
      <c r="C5317" t="str">
        <f ca="1">IFERROR(__xludf.DUMMYFUNCTION("""COMPUTED_VALUE"""),"ООО ""Гарант"" 177-СТР от 31.08.2022")</f>
        <v>ООО "Гарант" 177-СТР от 31.08.2022</v>
      </c>
      <c r="D53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7" t="str">
        <f ca="1">IFERROR(__xludf.DUMMYFUNCTION("""COMPUTED_VALUE"""),"Новый")</f>
        <v>Новый</v>
      </c>
      <c r="G5317" s="68"/>
      <c r="K5317" s="68"/>
    </row>
    <row r="5318" spans="1:11" ht="12.75">
      <c r="A5318" s="69">
        <f ca="1">IFERROR(__xludf.DUMMYFUNCTION("""COMPUTED_VALUE"""),106135)</f>
        <v>106135</v>
      </c>
      <c r="B5318" s="4">
        <f ca="1">IFERROR(__xludf.DUMMYFUNCTION("""COMPUTED_VALUE"""),44804)</f>
        <v>44804</v>
      </c>
      <c r="C5318" t="str">
        <f ca="1">IFERROR(__xludf.DUMMYFUNCTION("""COMPUTED_VALUE"""),"ООО ""Гарант"" 177-СТР от 31.08.2022")</f>
        <v>ООО "Гарант" 177-СТР от 31.08.2022</v>
      </c>
      <c r="D53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8" t="str">
        <f ca="1">IFERROR(__xludf.DUMMYFUNCTION("""COMPUTED_VALUE"""),"Новый")</f>
        <v>Новый</v>
      </c>
      <c r="G5318" s="68"/>
      <c r="K5318" s="68"/>
    </row>
    <row r="5319" spans="1:11" ht="12.75">
      <c r="A5319" s="69">
        <f ca="1">IFERROR(__xludf.DUMMYFUNCTION("""COMPUTED_VALUE"""),106136)</f>
        <v>106136</v>
      </c>
      <c r="B5319" s="4">
        <f ca="1">IFERROR(__xludf.DUMMYFUNCTION("""COMPUTED_VALUE"""),44804)</f>
        <v>44804</v>
      </c>
      <c r="C5319" t="str">
        <f ca="1">IFERROR(__xludf.DUMMYFUNCTION("""COMPUTED_VALUE"""),"ООО ""Гарант"" 177-СТР от 31.08.2022")</f>
        <v>ООО "Гарант" 177-СТР от 31.08.2022</v>
      </c>
      <c r="D53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19" t="str">
        <f ca="1">IFERROR(__xludf.DUMMYFUNCTION("""COMPUTED_VALUE"""),"Новый")</f>
        <v>Новый</v>
      </c>
      <c r="G5319" s="68"/>
      <c r="K5319" s="68"/>
    </row>
    <row r="5320" spans="1:11" ht="12.75">
      <c r="A5320" s="69">
        <f ca="1">IFERROR(__xludf.DUMMYFUNCTION("""COMPUTED_VALUE"""),106137)</f>
        <v>106137</v>
      </c>
      <c r="B5320" s="4">
        <f ca="1">IFERROR(__xludf.DUMMYFUNCTION("""COMPUTED_VALUE"""),44804)</f>
        <v>44804</v>
      </c>
      <c r="C5320" t="str">
        <f ca="1">IFERROR(__xludf.DUMMYFUNCTION("""COMPUTED_VALUE"""),"ООО ""Гарант"" 177-СТР от 31.08.2022")</f>
        <v>ООО "Гарант" 177-СТР от 31.08.2022</v>
      </c>
      <c r="D53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0" t="str">
        <f ca="1">IFERROR(__xludf.DUMMYFUNCTION("""COMPUTED_VALUE"""),"Новый")</f>
        <v>Новый</v>
      </c>
      <c r="G5320" s="68"/>
      <c r="K5320" s="68"/>
    </row>
    <row r="5321" spans="1:11" ht="12.75">
      <c r="A5321" s="69">
        <f ca="1">IFERROR(__xludf.DUMMYFUNCTION("""COMPUTED_VALUE"""),106138)</f>
        <v>106138</v>
      </c>
      <c r="B5321" s="4">
        <f ca="1">IFERROR(__xludf.DUMMYFUNCTION("""COMPUTED_VALUE"""),44804)</f>
        <v>44804</v>
      </c>
      <c r="C5321" t="str">
        <f ca="1">IFERROR(__xludf.DUMMYFUNCTION("""COMPUTED_VALUE"""),"ООО ""Гарант"" 177-СТР от 31.08.2022")</f>
        <v>ООО "Гарант" 177-СТР от 31.08.2022</v>
      </c>
      <c r="D53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1" t="str">
        <f ca="1">IFERROR(__xludf.DUMMYFUNCTION("""COMPUTED_VALUE"""),"Новый")</f>
        <v>Новый</v>
      </c>
      <c r="G5321" s="68"/>
      <c r="K5321" s="68"/>
    </row>
    <row r="5322" spans="1:11" ht="12.75">
      <c r="A5322" s="69">
        <f ca="1">IFERROR(__xludf.DUMMYFUNCTION("""COMPUTED_VALUE"""),106139)</f>
        <v>106139</v>
      </c>
      <c r="B5322" s="4">
        <f ca="1">IFERROR(__xludf.DUMMYFUNCTION("""COMPUTED_VALUE"""),44804)</f>
        <v>44804</v>
      </c>
      <c r="C5322" t="str">
        <f ca="1">IFERROR(__xludf.DUMMYFUNCTION("""COMPUTED_VALUE"""),"ООО ""Гарант"" 177-СТР от 31.08.2022")</f>
        <v>ООО "Гарант" 177-СТР от 31.08.2022</v>
      </c>
      <c r="D53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2" t="str">
        <f ca="1">IFERROR(__xludf.DUMMYFUNCTION("""COMPUTED_VALUE"""),"Новый")</f>
        <v>Новый</v>
      </c>
      <c r="G5322" s="68"/>
      <c r="K5322" s="68"/>
    </row>
    <row r="5323" spans="1:11" ht="12.75">
      <c r="A5323" s="69">
        <f ca="1">IFERROR(__xludf.DUMMYFUNCTION("""COMPUTED_VALUE"""),106140)</f>
        <v>106140</v>
      </c>
      <c r="B5323" s="4">
        <f ca="1">IFERROR(__xludf.DUMMYFUNCTION("""COMPUTED_VALUE"""),44804)</f>
        <v>44804</v>
      </c>
      <c r="C5323" t="str">
        <f ca="1">IFERROR(__xludf.DUMMYFUNCTION("""COMPUTED_VALUE"""),"ООО ""Гарант"" 177-СТР от 31.08.2022")</f>
        <v>ООО "Гарант" 177-СТР от 31.08.2022</v>
      </c>
      <c r="D53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3" t="str">
        <f ca="1">IFERROR(__xludf.DUMMYFUNCTION("""COMPUTED_VALUE"""),"Новый")</f>
        <v>Новый</v>
      </c>
      <c r="G5323" s="68"/>
      <c r="K5323" s="68"/>
    </row>
    <row r="5324" spans="1:11" ht="12.75">
      <c r="A5324" s="69">
        <f ca="1">IFERROR(__xludf.DUMMYFUNCTION("""COMPUTED_VALUE"""),106141)</f>
        <v>106141</v>
      </c>
      <c r="B5324" s="4">
        <f ca="1">IFERROR(__xludf.DUMMYFUNCTION("""COMPUTED_VALUE"""),44804)</f>
        <v>44804</v>
      </c>
      <c r="C5324" t="str">
        <f ca="1">IFERROR(__xludf.DUMMYFUNCTION("""COMPUTED_VALUE"""),"ООО ""Гарант"" 177-СТР от 31.08.2022")</f>
        <v>ООО "Гарант" 177-СТР от 31.08.2022</v>
      </c>
      <c r="D53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4" t="str">
        <f ca="1">IFERROR(__xludf.DUMMYFUNCTION("""COMPUTED_VALUE"""),"Новый")</f>
        <v>Новый</v>
      </c>
      <c r="G5324" s="68"/>
      <c r="K5324" s="68"/>
    </row>
    <row r="5325" spans="1:11" ht="12.75">
      <c r="A5325" s="69">
        <f ca="1">IFERROR(__xludf.DUMMYFUNCTION("""COMPUTED_VALUE"""),106142)</f>
        <v>106142</v>
      </c>
      <c r="B5325" s="4">
        <f ca="1">IFERROR(__xludf.DUMMYFUNCTION("""COMPUTED_VALUE"""),44804)</f>
        <v>44804</v>
      </c>
      <c r="C5325" t="str">
        <f ca="1">IFERROR(__xludf.DUMMYFUNCTION("""COMPUTED_VALUE"""),"ООО ""Гарант"" 177-СТР от 31.08.2022")</f>
        <v>ООО "Гарант" 177-СТР от 31.08.2022</v>
      </c>
      <c r="D53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5" t="str">
        <f ca="1">IFERROR(__xludf.DUMMYFUNCTION("""COMPUTED_VALUE"""),"Новый")</f>
        <v>Новый</v>
      </c>
      <c r="G5325" s="68"/>
      <c r="K5325" s="68"/>
    </row>
    <row r="5326" spans="1:11" ht="12.75">
      <c r="A5326" s="69">
        <f ca="1">IFERROR(__xludf.DUMMYFUNCTION("""COMPUTED_VALUE"""),106143)</f>
        <v>106143</v>
      </c>
      <c r="B5326" s="4">
        <f ca="1">IFERROR(__xludf.DUMMYFUNCTION("""COMPUTED_VALUE"""),44804)</f>
        <v>44804</v>
      </c>
      <c r="C5326" t="str">
        <f ca="1">IFERROR(__xludf.DUMMYFUNCTION("""COMPUTED_VALUE"""),"ООО ""Гарант"" 177-СТР от 31.08.2022")</f>
        <v>ООО "Гарант" 177-СТР от 31.08.2022</v>
      </c>
      <c r="D53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6" t="str">
        <f ca="1">IFERROR(__xludf.DUMMYFUNCTION("""COMPUTED_VALUE"""),"Новый")</f>
        <v>Новый</v>
      </c>
      <c r="G5326" s="68"/>
      <c r="K5326" s="68"/>
    </row>
    <row r="5327" spans="1:11" ht="12.75">
      <c r="A5327" s="69">
        <f ca="1">IFERROR(__xludf.DUMMYFUNCTION("""COMPUTED_VALUE"""),106144)</f>
        <v>106144</v>
      </c>
      <c r="B5327" s="4">
        <f ca="1">IFERROR(__xludf.DUMMYFUNCTION("""COMPUTED_VALUE"""),44804)</f>
        <v>44804</v>
      </c>
      <c r="C5327" t="str">
        <f ca="1">IFERROR(__xludf.DUMMYFUNCTION("""COMPUTED_VALUE"""),"ООО ""Гарант"" 177-СТР от 31.08.2022")</f>
        <v>ООО "Гарант" 177-СТР от 31.08.2022</v>
      </c>
      <c r="D53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7" t="str">
        <f ca="1">IFERROR(__xludf.DUMMYFUNCTION("""COMPUTED_VALUE"""),"Новый")</f>
        <v>Новый</v>
      </c>
      <c r="G5327" s="68"/>
      <c r="K5327" s="68"/>
    </row>
    <row r="5328" spans="1:11" ht="12.75">
      <c r="A5328" s="69">
        <f ca="1">IFERROR(__xludf.DUMMYFUNCTION("""COMPUTED_VALUE"""),106145)</f>
        <v>106145</v>
      </c>
      <c r="B5328" s="4">
        <f ca="1">IFERROR(__xludf.DUMMYFUNCTION("""COMPUTED_VALUE"""),44804)</f>
        <v>44804</v>
      </c>
      <c r="C5328" t="str">
        <f ca="1">IFERROR(__xludf.DUMMYFUNCTION("""COMPUTED_VALUE"""),"ООО ""Гарант"" 177-СТР от 31.08.2022")</f>
        <v>ООО "Гарант" 177-СТР от 31.08.2022</v>
      </c>
      <c r="D53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8" t="str">
        <f ca="1">IFERROR(__xludf.DUMMYFUNCTION("""COMPUTED_VALUE"""),"Новый")</f>
        <v>Новый</v>
      </c>
      <c r="G5328" s="68"/>
      <c r="K5328" s="68"/>
    </row>
    <row r="5329" spans="1:11" ht="12.75">
      <c r="A5329" s="69">
        <f ca="1">IFERROR(__xludf.DUMMYFUNCTION("""COMPUTED_VALUE"""),106146)</f>
        <v>106146</v>
      </c>
      <c r="B5329" s="4">
        <f ca="1">IFERROR(__xludf.DUMMYFUNCTION("""COMPUTED_VALUE"""),44804)</f>
        <v>44804</v>
      </c>
      <c r="C5329" t="str">
        <f ca="1">IFERROR(__xludf.DUMMYFUNCTION("""COMPUTED_VALUE"""),"ООО ""Гарант"" 177-СТР от 31.08.2022")</f>
        <v>ООО "Гарант" 177-СТР от 31.08.2022</v>
      </c>
      <c r="D53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29" t="str">
        <f ca="1">IFERROR(__xludf.DUMMYFUNCTION("""COMPUTED_VALUE"""),"Новый")</f>
        <v>Новый</v>
      </c>
      <c r="G5329" s="68"/>
      <c r="K5329" s="68"/>
    </row>
    <row r="5330" spans="1:11" ht="12.75">
      <c r="A5330" s="69">
        <f ca="1">IFERROR(__xludf.DUMMYFUNCTION("""COMPUTED_VALUE"""),106147)</f>
        <v>106147</v>
      </c>
      <c r="B5330" s="4">
        <f ca="1">IFERROR(__xludf.DUMMYFUNCTION("""COMPUTED_VALUE"""),44804)</f>
        <v>44804</v>
      </c>
      <c r="C5330" t="str">
        <f ca="1">IFERROR(__xludf.DUMMYFUNCTION("""COMPUTED_VALUE"""),"ООО ""Гарант"" 177-СТР от 31.08.2022")</f>
        <v>ООО "Гарант" 177-СТР от 31.08.2022</v>
      </c>
      <c r="D53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0" t="str">
        <f ca="1">IFERROR(__xludf.DUMMYFUNCTION("""COMPUTED_VALUE"""),"Новый")</f>
        <v>Новый</v>
      </c>
      <c r="G5330" s="68"/>
      <c r="K5330" s="68"/>
    </row>
    <row r="5331" spans="1:11" ht="12.75">
      <c r="A5331" s="69">
        <f ca="1">IFERROR(__xludf.DUMMYFUNCTION("""COMPUTED_VALUE"""),106148)</f>
        <v>106148</v>
      </c>
      <c r="B5331" s="4">
        <f ca="1">IFERROR(__xludf.DUMMYFUNCTION("""COMPUTED_VALUE"""),44804)</f>
        <v>44804</v>
      </c>
      <c r="C5331" t="str">
        <f ca="1">IFERROR(__xludf.DUMMYFUNCTION("""COMPUTED_VALUE"""),"ООО ""Гарант"" 177-СТР от 31.08.2022")</f>
        <v>ООО "Гарант" 177-СТР от 31.08.2022</v>
      </c>
      <c r="D53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1" t="str">
        <f ca="1">IFERROR(__xludf.DUMMYFUNCTION("""COMPUTED_VALUE"""),"Новый")</f>
        <v>Новый</v>
      </c>
      <c r="G5331" s="68"/>
      <c r="K5331" s="68"/>
    </row>
    <row r="5332" spans="1:11" ht="12.75">
      <c r="A5332" s="69">
        <f ca="1">IFERROR(__xludf.DUMMYFUNCTION("""COMPUTED_VALUE"""),106149)</f>
        <v>106149</v>
      </c>
      <c r="B5332" s="4">
        <f ca="1">IFERROR(__xludf.DUMMYFUNCTION("""COMPUTED_VALUE"""),44804)</f>
        <v>44804</v>
      </c>
      <c r="C5332" t="str">
        <f ca="1">IFERROR(__xludf.DUMMYFUNCTION("""COMPUTED_VALUE"""),"ООО ""Гарант"" 177-СТР от 31.08.2022")</f>
        <v>ООО "Гарант" 177-СТР от 31.08.2022</v>
      </c>
      <c r="D53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2" t="str">
        <f ca="1">IFERROR(__xludf.DUMMYFUNCTION("""COMPUTED_VALUE"""),"Новый")</f>
        <v>Новый</v>
      </c>
      <c r="G5332" s="68"/>
      <c r="K5332" s="68"/>
    </row>
    <row r="5333" spans="1:11" ht="12.75">
      <c r="A5333" s="69">
        <f ca="1">IFERROR(__xludf.DUMMYFUNCTION("""COMPUTED_VALUE"""),106150)</f>
        <v>106150</v>
      </c>
      <c r="B5333" s="4">
        <f ca="1">IFERROR(__xludf.DUMMYFUNCTION("""COMPUTED_VALUE"""),44804)</f>
        <v>44804</v>
      </c>
      <c r="C5333" t="str">
        <f ca="1">IFERROR(__xludf.DUMMYFUNCTION("""COMPUTED_VALUE"""),"ООО ""Гарант"" 177-СТР от 31.08.2022")</f>
        <v>ООО "Гарант" 177-СТР от 31.08.2022</v>
      </c>
      <c r="D53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3" t="str">
        <f ca="1">IFERROR(__xludf.DUMMYFUNCTION("""COMPUTED_VALUE"""),"Новый")</f>
        <v>Новый</v>
      </c>
      <c r="G5333" s="68"/>
      <c r="K5333" s="68"/>
    </row>
    <row r="5334" spans="1:11" ht="12.75">
      <c r="A5334" s="69">
        <f ca="1">IFERROR(__xludf.DUMMYFUNCTION("""COMPUTED_VALUE"""),106151)</f>
        <v>106151</v>
      </c>
      <c r="B5334" s="4">
        <f ca="1">IFERROR(__xludf.DUMMYFUNCTION("""COMPUTED_VALUE"""),44804)</f>
        <v>44804</v>
      </c>
      <c r="C5334" t="str">
        <f ca="1">IFERROR(__xludf.DUMMYFUNCTION("""COMPUTED_VALUE"""),"ООО ""Гарант"" 177-СТР от 31.08.2022")</f>
        <v>ООО "Гарант" 177-СТР от 31.08.2022</v>
      </c>
      <c r="D53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4" t="str">
        <f ca="1">IFERROR(__xludf.DUMMYFUNCTION("""COMPUTED_VALUE"""),"Новый")</f>
        <v>Новый</v>
      </c>
      <c r="G5334" s="68"/>
      <c r="K5334" s="68"/>
    </row>
    <row r="5335" spans="1:11" ht="12.75">
      <c r="A5335" s="69">
        <f ca="1">IFERROR(__xludf.DUMMYFUNCTION("""COMPUTED_VALUE"""),106152)</f>
        <v>106152</v>
      </c>
      <c r="B5335" s="4">
        <f ca="1">IFERROR(__xludf.DUMMYFUNCTION("""COMPUTED_VALUE"""),44804)</f>
        <v>44804</v>
      </c>
      <c r="C5335" t="str">
        <f ca="1">IFERROR(__xludf.DUMMYFUNCTION("""COMPUTED_VALUE"""),"ООО ""Гарант"" 177-СТР от 31.08.2022")</f>
        <v>ООО "Гарант" 177-СТР от 31.08.2022</v>
      </c>
      <c r="D53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5" t="str">
        <f ca="1">IFERROR(__xludf.DUMMYFUNCTION("""COMPUTED_VALUE"""),"Новый")</f>
        <v>Новый</v>
      </c>
      <c r="G5335" s="68"/>
      <c r="K5335" s="68"/>
    </row>
    <row r="5336" spans="1:11" ht="12.75">
      <c r="A5336" s="69">
        <f ca="1">IFERROR(__xludf.DUMMYFUNCTION("""COMPUTED_VALUE"""),106153)</f>
        <v>106153</v>
      </c>
      <c r="B5336" s="4">
        <f ca="1">IFERROR(__xludf.DUMMYFUNCTION("""COMPUTED_VALUE"""),44804)</f>
        <v>44804</v>
      </c>
      <c r="C5336" t="str">
        <f ca="1">IFERROR(__xludf.DUMMYFUNCTION("""COMPUTED_VALUE"""),"ООО ""Гарант"" 177-СТР от 31.08.2022")</f>
        <v>ООО "Гарант" 177-СТР от 31.08.2022</v>
      </c>
      <c r="D53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6" t="str">
        <f ca="1">IFERROR(__xludf.DUMMYFUNCTION("""COMPUTED_VALUE"""),"Новый")</f>
        <v>Новый</v>
      </c>
      <c r="G5336" s="68"/>
      <c r="K5336" s="68"/>
    </row>
    <row r="5337" spans="1:11" ht="12.75">
      <c r="A5337" s="69">
        <f ca="1">IFERROR(__xludf.DUMMYFUNCTION("""COMPUTED_VALUE"""),106154)</f>
        <v>106154</v>
      </c>
      <c r="B5337" s="4">
        <f ca="1">IFERROR(__xludf.DUMMYFUNCTION("""COMPUTED_VALUE"""),44804)</f>
        <v>44804</v>
      </c>
      <c r="C5337" t="str">
        <f ca="1">IFERROR(__xludf.DUMMYFUNCTION("""COMPUTED_VALUE"""),"ООО ""Гарант"" 177-СТР от 31.08.2022")</f>
        <v>ООО "Гарант" 177-СТР от 31.08.2022</v>
      </c>
      <c r="D53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7" t="str">
        <f ca="1">IFERROR(__xludf.DUMMYFUNCTION("""COMPUTED_VALUE"""),"Новый")</f>
        <v>Новый</v>
      </c>
      <c r="G5337" s="68"/>
      <c r="K5337" s="68"/>
    </row>
    <row r="5338" spans="1:11" ht="12.75">
      <c r="A5338" s="69">
        <f ca="1">IFERROR(__xludf.DUMMYFUNCTION("""COMPUTED_VALUE"""),106155)</f>
        <v>106155</v>
      </c>
      <c r="B5338" s="4">
        <f ca="1">IFERROR(__xludf.DUMMYFUNCTION("""COMPUTED_VALUE"""),44804)</f>
        <v>44804</v>
      </c>
      <c r="C5338" t="str">
        <f ca="1">IFERROR(__xludf.DUMMYFUNCTION("""COMPUTED_VALUE"""),"ООО ""Гарант"" 177-СТР от 31.08.2022")</f>
        <v>ООО "Гарант" 177-СТР от 31.08.2022</v>
      </c>
      <c r="D53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8" t="str">
        <f ca="1">IFERROR(__xludf.DUMMYFUNCTION("""COMPUTED_VALUE"""),"Новый")</f>
        <v>Новый</v>
      </c>
      <c r="G5338" s="68"/>
      <c r="K5338" s="68"/>
    </row>
    <row r="5339" spans="1:11" ht="12.75">
      <c r="A5339" s="69">
        <f ca="1">IFERROR(__xludf.DUMMYFUNCTION("""COMPUTED_VALUE"""),106156)</f>
        <v>106156</v>
      </c>
      <c r="B5339" s="4">
        <f ca="1">IFERROR(__xludf.DUMMYFUNCTION("""COMPUTED_VALUE"""),44804)</f>
        <v>44804</v>
      </c>
      <c r="C5339" t="str">
        <f ca="1">IFERROR(__xludf.DUMMYFUNCTION("""COMPUTED_VALUE"""),"ООО ""Гарант"" 177-СТР от 31.08.2022")</f>
        <v>ООО "Гарант" 177-СТР от 31.08.2022</v>
      </c>
      <c r="D53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39" t="str">
        <f ca="1">IFERROR(__xludf.DUMMYFUNCTION("""COMPUTED_VALUE"""),"Новый")</f>
        <v>Новый</v>
      </c>
      <c r="G5339" s="68"/>
      <c r="K5339" s="68"/>
    </row>
    <row r="5340" spans="1:11" ht="12.75">
      <c r="A5340" s="69">
        <f ca="1">IFERROR(__xludf.DUMMYFUNCTION("""COMPUTED_VALUE"""),106157)</f>
        <v>106157</v>
      </c>
      <c r="B5340" s="4">
        <f ca="1">IFERROR(__xludf.DUMMYFUNCTION("""COMPUTED_VALUE"""),44804)</f>
        <v>44804</v>
      </c>
      <c r="C5340" t="str">
        <f ca="1">IFERROR(__xludf.DUMMYFUNCTION("""COMPUTED_VALUE"""),"ООО ""Гарант"" 177-СТР от 31.08.2022")</f>
        <v>ООО "Гарант" 177-СТР от 31.08.2022</v>
      </c>
      <c r="D53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0" t="str">
        <f ca="1">IFERROR(__xludf.DUMMYFUNCTION("""COMPUTED_VALUE"""),"Новый")</f>
        <v>Новый</v>
      </c>
      <c r="G5340" s="68"/>
      <c r="K5340" s="68"/>
    </row>
    <row r="5341" spans="1:11" ht="12.75">
      <c r="A5341" s="69">
        <f ca="1">IFERROR(__xludf.DUMMYFUNCTION("""COMPUTED_VALUE"""),106158)</f>
        <v>106158</v>
      </c>
      <c r="B5341" s="4">
        <f ca="1">IFERROR(__xludf.DUMMYFUNCTION("""COMPUTED_VALUE"""),44804)</f>
        <v>44804</v>
      </c>
      <c r="C5341" t="str">
        <f ca="1">IFERROR(__xludf.DUMMYFUNCTION("""COMPUTED_VALUE"""),"ООО ""Гарант"" 177-СТР от 31.08.2022")</f>
        <v>ООО "Гарант" 177-СТР от 31.08.2022</v>
      </c>
      <c r="D53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1" t="str">
        <f ca="1">IFERROR(__xludf.DUMMYFUNCTION("""COMPUTED_VALUE"""),"Новый")</f>
        <v>Новый</v>
      </c>
      <c r="G5341" s="68"/>
      <c r="K5341" s="68"/>
    </row>
    <row r="5342" spans="1:11" ht="12.75">
      <c r="A5342" s="69">
        <f ca="1">IFERROR(__xludf.DUMMYFUNCTION("""COMPUTED_VALUE"""),106159)</f>
        <v>106159</v>
      </c>
      <c r="B5342" s="4">
        <f ca="1">IFERROR(__xludf.DUMMYFUNCTION("""COMPUTED_VALUE"""),44804)</f>
        <v>44804</v>
      </c>
      <c r="C5342" t="str">
        <f ca="1">IFERROR(__xludf.DUMMYFUNCTION("""COMPUTED_VALUE"""),"ООО ""Гарант"" 177-СТР от 31.08.2022")</f>
        <v>ООО "Гарант" 177-СТР от 31.08.2022</v>
      </c>
      <c r="D53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2" t="str">
        <f ca="1">IFERROR(__xludf.DUMMYFUNCTION("""COMPUTED_VALUE"""),"Новый")</f>
        <v>Новый</v>
      </c>
      <c r="G5342" s="68"/>
      <c r="K5342" s="68"/>
    </row>
    <row r="5343" spans="1:11" ht="12.75">
      <c r="A5343" s="69">
        <f ca="1">IFERROR(__xludf.DUMMYFUNCTION("""COMPUTED_VALUE"""),106160)</f>
        <v>106160</v>
      </c>
      <c r="B5343" s="4">
        <f ca="1">IFERROR(__xludf.DUMMYFUNCTION("""COMPUTED_VALUE"""),44804)</f>
        <v>44804</v>
      </c>
      <c r="C5343" t="str">
        <f ca="1">IFERROR(__xludf.DUMMYFUNCTION("""COMPUTED_VALUE"""),"ООО ""Гарант"" 177-СТР от 31.08.2022")</f>
        <v>ООО "Гарант" 177-СТР от 31.08.2022</v>
      </c>
      <c r="D53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3" t="str">
        <f ca="1">IFERROR(__xludf.DUMMYFUNCTION("""COMPUTED_VALUE"""),"Новый")</f>
        <v>Новый</v>
      </c>
      <c r="G5343" s="68"/>
      <c r="K5343" s="68"/>
    </row>
    <row r="5344" spans="1:11" ht="12.75">
      <c r="A5344" s="69">
        <f ca="1">IFERROR(__xludf.DUMMYFUNCTION("""COMPUTED_VALUE"""),106161)</f>
        <v>106161</v>
      </c>
      <c r="B5344" s="4">
        <f ca="1">IFERROR(__xludf.DUMMYFUNCTION("""COMPUTED_VALUE"""),44804)</f>
        <v>44804</v>
      </c>
      <c r="C5344" t="str">
        <f ca="1">IFERROR(__xludf.DUMMYFUNCTION("""COMPUTED_VALUE"""),"ООО ""Гарант"" 177-СТР от 31.08.2022")</f>
        <v>ООО "Гарант" 177-СТР от 31.08.2022</v>
      </c>
      <c r="D53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4" t="str">
        <f ca="1">IFERROR(__xludf.DUMMYFUNCTION("""COMPUTED_VALUE"""),"Новый")</f>
        <v>Новый</v>
      </c>
      <c r="G5344" s="68"/>
      <c r="K5344" s="68"/>
    </row>
    <row r="5345" spans="1:11" ht="12.75">
      <c r="A5345" s="69">
        <f ca="1">IFERROR(__xludf.DUMMYFUNCTION("""COMPUTED_VALUE"""),106162)</f>
        <v>106162</v>
      </c>
      <c r="B5345" s="4">
        <f ca="1">IFERROR(__xludf.DUMMYFUNCTION("""COMPUTED_VALUE"""),44804)</f>
        <v>44804</v>
      </c>
      <c r="C5345" t="str">
        <f ca="1">IFERROR(__xludf.DUMMYFUNCTION("""COMPUTED_VALUE"""),"ООО ""Гарант"" 177-СТР от 31.08.2022")</f>
        <v>ООО "Гарант" 177-СТР от 31.08.2022</v>
      </c>
      <c r="D53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5" t="str">
        <f ca="1">IFERROR(__xludf.DUMMYFUNCTION("""COMPUTED_VALUE"""),"Новый")</f>
        <v>Новый</v>
      </c>
      <c r="G5345" s="68"/>
      <c r="K5345" s="68"/>
    </row>
    <row r="5346" spans="1:11" ht="12.75">
      <c r="A5346" s="69">
        <f ca="1">IFERROR(__xludf.DUMMYFUNCTION("""COMPUTED_VALUE"""),106163)</f>
        <v>106163</v>
      </c>
      <c r="B5346" s="4">
        <f ca="1">IFERROR(__xludf.DUMMYFUNCTION("""COMPUTED_VALUE"""),44804)</f>
        <v>44804</v>
      </c>
      <c r="C5346" t="str">
        <f ca="1">IFERROR(__xludf.DUMMYFUNCTION("""COMPUTED_VALUE"""),"ООО ""Гарант"" 177-СТР от 31.08.2022")</f>
        <v>ООО "Гарант" 177-СТР от 31.08.2022</v>
      </c>
      <c r="D53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6" t="str">
        <f ca="1">IFERROR(__xludf.DUMMYFUNCTION("""COMPUTED_VALUE"""),"Новый")</f>
        <v>Новый</v>
      </c>
      <c r="G5346" s="68"/>
      <c r="K5346" s="68"/>
    </row>
    <row r="5347" spans="1:11" ht="12.75">
      <c r="A5347" s="69">
        <f ca="1">IFERROR(__xludf.DUMMYFUNCTION("""COMPUTED_VALUE"""),106164)</f>
        <v>106164</v>
      </c>
      <c r="B5347" s="4">
        <f ca="1">IFERROR(__xludf.DUMMYFUNCTION("""COMPUTED_VALUE"""),44804)</f>
        <v>44804</v>
      </c>
      <c r="C5347" t="str">
        <f ca="1">IFERROR(__xludf.DUMMYFUNCTION("""COMPUTED_VALUE"""),"ООО ""Гарант"" 177-СТР от 31.08.2022")</f>
        <v>ООО "Гарант" 177-СТР от 31.08.2022</v>
      </c>
      <c r="D53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7" t="str">
        <f ca="1">IFERROR(__xludf.DUMMYFUNCTION("""COMPUTED_VALUE"""),"Новый")</f>
        <v>Новый</v>
      </c>
      <c r="G5347" s="68"/>
      <c r="K5347" s="68"/>
    </row>
    <row r="5348" spans="1:11" ht="12.75">
      <c r="A5348" s="69">
        <f ca="1">IFERROR(__xludf.DUMMYFUNCTION("""COMPUTED_VALUE"""),106165)</f>
        <v>106165</v>
      </c>
      <c r="B5348" s="4">
        <f ca="1">IFERROR(__xludf.DUMMYFUNCTION("""COMPUTED_VALUE"""),44804)</f>
        <v>44804</v>
      </c>
      <c r="C5348" t="str">
        <f ca="1">IFERROR(__xludf.DUMMYFUNCTION("""COMPUTED_VALUE"""),"ООО ""Гарант"" 177-СТР от 31.08.2022")</f>
        <v>ООО "Гарант" 177-СТР от 31.08.2022</v>
      </c>
      <c r="D53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8" t="str">
        <f ca="1">IFERROR(__xludf.DUMMYFUNCTION("""COMPUTED_VALUE"""),"Новый")</f>
        <v>Новый</v>
      </c>
      <c r="G5348" s="68"/>
      <c r="K5348" s="68"/>
    </row>
    <row r="5349" spans="1:11" ht="12.75">
      <c r="A5349" s="69">
        <f ca="1">IFERROR(__xludf.DUMMYFUNCTION("""COMPUTED_VALUE"""),106166)</f>
        <v>106166</v>
      </c>
      <c r="B5349" s="4">
        <f ca="1">IFERROR(__xludf.DUMMYFUNCTION("""COMPUTED_VALUE"""),44804)</f>
        <v>44804</v>
      </c>
      <c r="C5349" t="str">
        <f ca="1">IFERROR(__xludf.DUMMYFUNCTION("""COMPUTED_VALUE"""),"ООО ""Гарант"" 177-СТР от 31.08.2022")</f>
        <v>ООО "Гарант" 177-СТР от 31.08.2022</v>
      </c>
      <c r="D53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49" t="str">
        <f ca="1">IFERROR(__xludf.DUMMYFUNCTION("""COMPUTED_VALUE"""),"Новый")</f>
        <v>Новый</v>
      </c>
      <c r="G5349" s="68"/>
      <c r="K5349" s="68"/>
    </row>
    <row r="5350" spans="1:11" ht="12.75">
      <c r="A5350" s="69">
        <f ca="1">IFERROR(__xludf.DUMMYFUNCTION("""COMPUTED_VALUE"""),106167)</f>
        <v>106167</v>
      </c>
      <c r="B5350" s="4">
        <f ca="1">IFERROR(__xludf.DUMMYFUNCTION("""COMPUTED_VALUE"""),44804)</f>
        <v>44804</v>
      </c>
      <c r="C5350" t="str">
        <f ca="1">IFERROR(__xludf.DUMMYFUNCTION("""COMPUTED_VALUE"""),"ООО ""Гарант"" 177-СТР от 31.08.2022")</f>
        <v>ООО "Гарант" 177-СТР от 31.08.2022</v>
      </c>
      <c r="D53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0" t="str">
        <f ca="1">IFERROR(__xludf.DUMMYFUNCTION("""COMPUTED_VALUE"""),"Новый")</f>
        <v>Новый</v>
      </c>
      <c r="G5350" s="68"/>
      <c r="K5350" s="68"/>
    </row>
    <row r="5351" spans="1:11" ht="12.75">
      <c r="A5351" s="69">
        <f ca="1">IFERROR(__xludf.DUMMYFUNCTION("""COMPUTED_VALUE"""),106168)</f>
        <v>106168</v>
      </c>
      <c r="B5351" s="4">
        <f ca="1">IFERROR(__xludf.DUMMYFUNCTION("""COMPUTED_VALUE"""),44804)</f>
        <v>44804</v>
      </c>
      <c r="C5351" t="str">
        <f ca="1">IFERROR(__xludf.DUMMYFUNCTION("""COMPUTED_VALUE"""),"ООО ""Гарант"" 177-СТР от 31.08.2022")</f>
        <v>ООО "Гарант" 177-СТР от 31.08.2022</v>
      </c>
      <c r="D53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1" t="str">
        <f ca="1">IFERROR(__xludf.DUMMYFUNCTION("""COMPUTED_VALUE"""),"Новый")</f>
        <v>Новый</v>
      </c>
      <c r="G5351" s="68"/>
      <c r="K5351" s="68"/>
    </row>
    <row r="5352" spans="1:11" ht="12.75">
      <c r="A5352" s="69">
        <f ca="1">IFERROR(__xludf.DUMMYFUNCTION("""COMPUTED_VALUE"""),106169)</f>
        <v>106169</v>
      </c>
      <c r="B5352" s="4">
        <f ca="1">IFERROR(__xludf.DUMMYFUNCTION("""COMPUTED_VALUE"""),44804)</f>
        <v>44804</v>
      </c>
      <c r="C5352" t="str">
        <f ca="1">IFERROR(__xludf.DUMMYFUNCTION("""COMPUTED_VALUE"""),"ООО ""Гарант"" 177-СТР от 31.08.2022")</f>
        <v>ООО "Гарант" 177-СТР от 31.08.2022</v>
      </c>
      <c r="D53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2" t="str">
        <f ca="1">IFERROR(__xludf.DUMMYFUNCTION("""COMPUTED_VALUE"""),"Новый")</f>
        <v>Новый</v>
      </c>
      <c r="G5352" s="68"/>
      <c r="K5352" s="68"/>
    </row>
    <row r="5353" spans="1:11" ht="12.75">
      <c r="A5353" s="69">
        <f ca="1">IFERROR(__xludf.DUMMYFUNCTION("""COMPUTED_VALUE"""),106170)</f>
        <v>106170</v>
      </c>
      <c r="B5353" s="4">
        <f ca="1">IFERROR(__xludf.DUMMYFUNCTION("""COMPUTED_VALUE"""),44804)</f>
        <v>44804</v>
      </c>
      <c r="C5353" t="str">
        <f ca="1">IFERROR(__xludf.DUMMYFUNCTION("""COMPUTED_VALUE"""),"ООО ""Гарант"" 177-СТР от 31.08.2022")</f>
        <v>ООО "Гарант" 177-СТР от 31.08.2022</v>
      </c>
      <c r="D53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3" t="str">
        <f ca="1">IFERROR(__xludf.DUMMYFUNCTION("""COMPUTED_VALUE"""),"Новый")</f>
        <v>Новый</v>
      </c>
      <c r="G5353" s="68"/>
      <c r="K5353" s="68"/>
    </row>
    <row r="5354" spans="1:11" ht="12.75">
      <c r="A5354" s="69">
        <f ca="1">IFERROR(__xludf.DUMMYFUNCTION("""COMPUTED_VALUE"""),106171)</f>
        <v>106171</v>
      </c>
      <c r="B5354" s="4">
        <f ca="1">IFERROR(__xludf.DUMMYFUNCTION("""COMPUTED_VALUE"""),44804)</f>
        <v>44804</v>
      </c>
      <c r="C5354" t="str">
        <f ca="1">IFERROR(__xludf.DUMMYFUNCTION("""COMPUTED_VALUE"""),"ООО ""Гарант"" 177-СТР от 31.08.2022")</f>
        <v>ООО "Гарант" 177-СТР от 31.08.2022</v>
      </c>
      <c r="D53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4" t="str">
        <f ca="1">IFERROR(__xludf.DUMMYFUNCTION("""COMPUTED_VALUE"""),"Новый")</f>
        <v>Новый</v>
      </c>
      <c r="G5354" s="68"/>
      <c r="K5354" s="68"/>
    </row>
    <row r="5355" spans="1:11" ht="12.75">
      <c r="A5355" s="69">
        <f ca="1">IFERROR(__xludf.DUMMYFUNCTION("""COMPUTED_VALUE"""),106172)</f>
        <v>106172</v>
      </c>
      <c r="B5355" s="4">
        <f ca="1">IFERROR(__xludf.DUMMYFUNCTION("""COMPUTED_VALUE"""),44804)</f>
        <v>44804</v>
      </c>
      <c r="C5355" t="str">
        <f ca="1">IFERROR(__xludf.DUMMYFUNCTION("""COMPUTED_VALUE"""),"ООО ""Гарант"" 177-СТР от 31.08.2022")</f>
        <v>ООО "Гарант" 177-СТР от 31.08.2022</v>
      </c>
      <c r="D53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5" t="str">
        <f ca="1">IFERROR(__xludf.DUMMYFUNCTION("""COMPUTED_VALUE"""),"Новый")</f>
        <v>Новый</v>
      </c>
      <c r="G5355" s="68"/>
      <c r="K5355" s="68"/>
    </row>
    <row r="5356" spans="1:11" ht="12.75">
      <c r="A5356" s="69">
        <f ca="1">IFERROR(__xludf.DUMMYFUNCTION("""COMPUTED_VALUE"""),106173)</f>
        <v>106173</v>
      </c>
      <c r="B5356" s="4">
        <f ca="1">IFERROR(__xludf.DUMMYFUNCTION("""COMPUTED_VALUE"""),44804)</f>
        <v>44804</v>
      </c>
      <c r="C5356" t="str">
        <f ca="1">IFERROR(__xludf.DUMMYFUNCTION("""COMPUTED_VALUE"""),"ООО ""Гарант"" 177-СТР от 31.08.2022")</f>
        <v>ООО "Гарант" 177-СТР от 31.08.2022</v>
      </c>
      <c r="D53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6" t="str">
        <f ca="1">IFERROR(__xludf.DUMMYFUNCTION("""COMPUTED_VALUE"""),"Новый")</f>
        <v>Новый</v>
      </c>
      <c r="G5356" s="68"/>
      <c r="K5356" s="68"/>
    </row>
    <row r="5357" spans="1:11" ht="12.75">
      <c r="A5357" s="69">
        <f ca="1">IFERROR(__xludf.DUMMYFUNCTION("""COMPUTED_VALUE"""),106174)</f>
        <v>106174</v>
      </c>
      <c r="B5357" s="4">
        <f ca="1">IFERROR(__xludf.DUMMYFUNCTION("""COMPUTED_VALUE"""),44804)</f>
        <v>44804</v>
      </c>
      <c r="C5357" t="str">
        <f ca="1">IFERROR(__xludf.DUMMYFUNCTION("""COMPUTED_VALUE"""),"ООО ""Гарант"" 177-СТР от 31.08.2022")</f>
        <v>ООО "Гарант" 177-СТР от 31.08.2022</v>
      </c>
      <c r="D53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7" t="str">
        <f ca="1">IFERROR(__xludf.DUMMYFUNCTION("""COMPUTED_VALUE"""),"Новый")</f>
        <v>Новый</v>
      </c>
      <c r="G5357" s="68"/>
      <c r="K5357" s="68"/>
    </row>
    <row r="5358" spans="1:11" ht="12.75">
      <c r="A5358" s="69">
        <f ca="1">IFERROR(__xludf.DUMMYFUNCTION("""COMPUTED_VALUE"""),106175)</f>
        <v>106175</v>
      </c>
      <c r="B5358" s="4">
        <f ca="1">IFERROR(__xludf.DUMMYFUNCTION("""COMPUTED_VALUE"""),44804)</f>
        <v>44804</v>
      </c>
      <c r="C5358" t="str">
        <f ca="1">IFERROR(__xludf.DUMMYFUNCTION("""COMPUTED_VALUE"""),"ООО ""Гарант"" 177-СТР от 31.08.2022")</f>
        <v>ООО "Гарант" 177-СТР от 31.08.2022</v>
      </c>
      <c r="D53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8" t="str">
        <f ca="1">IFERROR(__xludf.DUMMYFUNCTION("""COMPUTED_VALUE"""),"Новый")</f>
        <v>Новый</v>
      </c>
      <c r="G5358" s="68"/>
      <c r="K5358" s="68"/>
    </row>
    <row r="5359" spans="1:11" ht="12.75">
      <c r="A5359" s="69">
        <f ca="1">IFERROR(__xludf.DUMMYFUNCTION("""COMPUTED_VALUE"""),106176)</f>
        <v>106176</v>
      </c>
      <c r="B5359" s="4">
        <f ca="1">IFERROR(__xludf.DUMMYFUNCTION("""COMPUTED_VALUE"""),44804)</f>
        <v>44804</v>
      </c>
      <c r="C5359" t="str">
        <f ca="1">IFERROR(__xludf.DUMMYFUNCTION("""COMPUTED_VALUE"""),"ООО ""Гарант"" 177-СТР от 31.08.2022")</f>
        <v>ООО "Гарант" 177-СТР от 31.08.2022</v>
      </c>
      <c r="D53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59" t="str">
        <f ca="1">IFERROR(__xludf.DUMMYFUNCTION("""COMPUTED_VALUE"""),"Новый")</f>
        <v>Новый</v>
      </c>
      <c r="G5359" s="68"/>
      <c r="K5359" s="68"/>
    </row>
    <row r="5360" spans="1:11" ht="12.75">
      <c r="A5360" s="69">
        <f ca="1">IFERROR(__xludf.DUMMYFUNCTION("""COMPUTED_VALUE"""),106177)</f>
        <v>106177</v>
      </c>
      <c r="B5360" s="4">
        <f ca="1">IFERROR(__xludf.DUMMYFUNCTION("""COMPUTED_VALUE"""),44804)</f>
        <v>44804</v>
      </c>
      <c r="C5360" t="str">
        <f ca="1">IFERROR(__xludf.DUMMYFUNCTION("""COMPUTED_VALUE"""),"ООО ""Гарант"" 177-СТР от 31.08.2022")</f>
        <v>ООО "Гарант" 177-СТР от 31.08.2022</v>
      </c>
      <c r="D53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0" t="str">
        <f ca="1">IFERROR(__xludf.DUMMYFUNCTION("""COMPUTED_VALUE"""),"Новый")</f>
        <v>Новый</v>
      </c>
      <c r="G5360" s="68"/>
      <c r="K5360" s="68"/>
    </row>
    <row r="5361" spans="1:11" ht="12.75">
      <c r="A5361" s="69">
        <f ca="1">IFERROR(__xludf.DUMMYFUNCTION("""COMPUTED_VALUE"""),106178)</f>
        <v>106178</v>
      </c>
      <c r="B5361" s="4">
        <f ca="1">IFERROR(__xludf.DUMMYFUNCTION("""COMPUTED_VALUE"""),44804)</f>
        <v>44804</v>
      </c>
      <c r="C5361" t="str">
        <f ca="1">IFERROR(__xludf.DUMMYFUNCTION("""COMPUTED_VALUE"""),"ООО ""Гарант"" 177-СТР от 31.08.2022")</f>
        <v>ООО "Гарант" 177-СТР от 31.08.2022</v>
      </c>
      <c r="D53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1" t="str">
        <f ca="1">IFERROR(__xludf.DUMMYFUNCTION("""COMPUTED_VALUE"""),"Новый")</f>
        <v>Новый</v>
      </c>
      <c r="G5361" s="68"/>
      <c r="K5361" s="68"/>
    </row>
    <row r="5362" spans="1:11" ht="12.75">
      <c r="A5362" s="69">
        <f ca="1">IFERROR(__xludf.DUMMYFUNCTION("""COMPUTED_VALUE"""),106179)</f>
        <v>106179</v>
      </c>
      <c r="B5362" s="4">
        <f ca="1">IFERROR(__xludf.DUMMYFUNCTION("""COMPUTED_VALUE"""),44804)</f>
        <v>44804</v>
      </c>
      <c r="C5362" t="str">
        <f ca="1">IFERROR(__xludf.DUMMYFUNCTION("""COMPUTED_VALUE"""),"ООО ""Гарант"" 177-СТР от 31.08.2022")</f>
        <v>ООО "Гарант" 177-СТР от 31.08.2022</v>
      </c>
      <c r="D53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2" t="str">
        <f ca="1">IFERROR(__xludf.DUMMYFUNCTION("""COMPUTED_VALUE"""),"Новый")</f>
        <v>Новый</v>
      </c>
      <c r="G5362" s="68"/>
      <c r="K5362" s="68"/>
    </row>
    <row r="5363" spans="1:11" ht="12.75">
      <c r="A5363" s="69">
        <f ca="1">IFERROR(__xludf.DUMMYFUNCTION("""COMPUTED_VALUE"""),106180)</f>
        <v>106180</v>
      </c>
      <c r="B5363" s="4">
        <f ca="1">IFERROR(__xludf.DUMMYFUNCTION("""COMPUTED_VALUE"""),44804)</f>
        <v>44804</v>
      </c>
      <c r="C5363" t="str">
        <f ca="1">IFERROR(__xludf.DUMMYFUNCTION("""COMPUTED_VALUE"""),"ООО ""Гарант"" 177-СТР от 31.08.2022")</f>
        <v>ООО "Гарант" 177-СТР от 31.08.2022</v>
      </c>
      <c r="D53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3" t="str">
        <f ca="1">IFERROR(__xludf.DUMMYFUNCTION("""COMPUTED_VALUE"""),"Новый")</f>
        <v>Новый</v>
      </c>
      <c r="G5363" s="68"/>
      <c r="K5363" s="68"/>
    </row>
    <row r="5364" spans="1:11" ht="12.75">
      <c r="A5364" s="69">
        <f ca="1">IFERROR(__xludf.DUMMYFUNCTION("""COMPUTED_VALUE"""),106181)</f>
        <v>106181</v>
      </c>
      <c r="B5364" s="4">
        <f ca="1">IFERROR(__xludf.DUMMYFUNCTION("""COMPUTED_VALUE"""),44804)</f>
        <v>44804</v>
      </c>
      <c r="C5364" t="str">
        <f ca="1">IFERROR(__xludf.DUMMYFUNCTION("""COMPUTED_VALUE"""),"ООО ""Гарант"" 177-СТР от 31.08.2022")</f>
        <v>ООО "Гарант" 177-СТР от 31.08.2022</v>
      </c>
      <c r="D53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4" t="str">
        <f ca="1">IFERROR(__xludf.DUMMYFUNCTION("""COMPUTED_VALUE"""),"Новый")</f>
        <v>Новый</v>
      </c>
      <c r="G5364" s="68"/>
      <c r="K5364" s="68"/>
    </row>
    <row r="5365" spans="1:11" ht="12.75">
      <c r="A5365" s="69">
        <f ca="1">IFERROR(__xludf.DUMMYFUNCTION("""COMPUTED_VALUE"""),106182)</f>
        <v>106182</v>
      </c>
      <c r="B5365" s="4">
        <f ca="1">IFERROR(__xludf.DUMMYFUNCTION("""COMPUTED_VALUE"""),44804)</f>
        <v>44804</v>
      </c>
      <c r="C5365" t="str">
        <f ca="1">IFERROR(__xludf.DUMMYFUNCTION("""COMPUTED_VALUE"""),"ООО ""Гарант"" 177-СТР от 31.08.2022")</f>
        <v>ООО "Гарант" 177-СТР от 31.08.2022</v>
      </c>
      <c r="D53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5" t="str">
        <f ca="1">IFERROR(__xludf.DUMMYFUNCTION("""COMPUTED_VALUE"""),"Новый")</f>
        <v>Новый</v>
      </c>
      <c r="G5365" s="68"/>
      <c r="K5365" s="68"/>
    </row>
    <row r="5366" spans="1:11" ht="12.75">
      <c r="A5366" s="69">
        <f ca="1">IFERROR(__xludf.DUMMYFUNCTION("""COMPUTED_VALUE"""),106183)</f>
        <v>106183</v>
      </c>
      <c r="B5366" s="4">
        <f ca="1">IFERROR(__xludf.DUMMYFUNCTION("""COMPUTED_VALUE"""),44804)</f>
        <v>44804</v>
      </c>
      <c r="C5366" t="str">
        <f ca="1">IFERROR(__xludf.DUMMYFUNCTION("""COMPUTED_VALUE"""),"ООО ""Гарант"" 177-СТР от 31.08.2022")</f>
        <v>ООО "Гарант" 177-СТР от 31.08.2022</v>
      </c>
      <c r="D53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6" t="str">
        <f ca="1">IFERROR(__xludf.DUMMYFUNCTION("""COMPUTED_VALUE"""),"Новый")</f>
        <v>Новый</v>
      </c>
      <c r="G5366" s="68"/>
      <c r="K5366" s="68"/>
    </row>
    <row r="5367" spans="1:11" ht="12.75">
      <c r="A5367" s="69">
        <f ca="1">IFERROR(__xludf.DUMMYFUNCTION("""COMPUTED_VALUE"""),106184)</f>
        <v>106184</v>
      </c>
      <c r="B5367" s="4">
        <f ca="1">IFERROR(__xludf.DUMMYFUNCTION("""COMPUTED_VALUE"""),44804)</f>
        <v>44804</v>
      </c>
      <c r="C5367" t="str">
        <f ca="1">IFERROR(__xludf.DUMMYFUNCTION("""COMPUTED_VALUE"""),"ООО ""Гарант"" 177-СТР от 31.08.2022")</f>
        <v>ООО "Гарант" 177-СТР от 31.08.2022</v>
      </c>
      <c r="D53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7" t="str">
        <f ca="1">IFERROR(__xludf.DUMMYFUNCTION("""COMPUTED_VALUE"""),"Новый")</f>
        <v>Новый</v>
      </c>
      <c r="G5367" s="68"/>
      <c r="K5367" s="68"/>
    </row>
    <row r="5368" spans="1:11" ht="12.75">
      <c r="A5368" s="69">
        <f ca="1">IFERROR(__xludf.DUMMYFUNCTION("""COMPUTED_VALUE"""),106185)</f>
        <v>106185</v>
      </c>
      <c r="B5368" s="4">
        <f ca="1">IFERROR(__xludf.DUMMYFUNCTION("""COMPUTED_VALUE"""),44804)</f>
        <v>44804</v>
      </c>
      <c r="C5368" t="str">
        <f ca="1">IFERROR(__xludf.DUMMYFUNCTION("""COMPUTED_VALUE"""),"ООО ""Гарант"" 177-СТР от 31.08.2022")</f>
        <v>ООО "Гарант" 177-СТР от 31.08.2022</v>
      </c>
      <c r="D53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8" t="str">
        <f ca="1">IFERROR(__xludf.DUMMYFUNCTION("""COMPUTED_VALUE"""),"Новый")</f>
        <v>Новый</v>
      </c>
      <c r="G5368" s="68"/>
      <c r="K5368" s="68"/>
    </row>
    <row r="5369" spans="1:11" ht="12.75">
      <c r="A5369" s="69">
        <f ca="1">IFERROR(__xludf.DUMMYFUNCTION("""COMPUTED_VALUE"""),106186)</f>
        <v>106186</v>
      </c>
      <c r="B5369" s="4">
        <f ca="1">IFERROR(__xludf.DUMMYFUNCTION("""COMPUTED_VALUE"""),44804)</f>
        <v>44804</v>
      </c>
      <c r="C5369" t="str">
        <f ca="1">IFERROR(__xludf.DUMMYFUNCTION("""COMPUTED_VALUE"""),"ООО ""Гарант"" 177-СТР от 31.08.2022")</f>
        <v>ООО "Гарант" 177-СТР от 31.08.2022</v>
      </c>
      <c r="D53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69" t="str">
        <f ca="1">IFERROR(__xludf.DUMMYFUNCTION("""COMPUTED_VALUE"""),"Новый")</f>
        <v>Новый</v>
      </c>
      <c r="G5369" s="68"/>
      <c r="K5369" s="68"/>
    </row>
    <row r="5370" spans="1:11" ht="12.75">
      <c r="A5370" s="69">
        <f ca="1">IFERROR(__xludf.DUMMYFUNCTION("""COMPUTED_VALUE"""),106187)</f>
        <v>106187</v>
      </c>
      <c r="B5370" s="4">
        <f ca="1">IFERROR(__xludf.DUMMYFUNCTION("""COMPUTED_VALUE"""),44804)</f>
        <v>44804</v>
      </c>
      <c r="C5370" t="str">
        <f ca="1">IFERROR(__xludf.DUMMYFUNCTION("""COMPUTED_VALUE"""),"ООО ""Гарант"" 177-СТР от 31.08.2022")</f>
        <v>ООО "Гарант" 177-СТР от 31.08.2022</v>
      </c>
      <c r="D53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0" t="str">
        <f ca="1">IFERROR(__xludf.DUMMYFUNCTION("""COMPUTED_VALUE"""),"Новый")</f>
        <v>Новый</v>
      </c>
      <c r="G5370" s="68"/>
      <c r="K5370" s="68"/>
    </row>
    <row r="5371" spans="1:11" ht="12.75">
      <c r="A5371" s="69">
        <f ca="1">IFERROR(__xludf.DUMMYFUNCTION("""COMPUTED_VALUE"""),106188)</f>
        <v>106188</v>
      </c>
      <c r="B5371" s="4">
        <f ca="1">IFERROR(__xludf.DUMMYFUNCTION("""COMPUTED_VALUE"""),44804)</f>
        <v>44804</v>
      </c>
      <c r="C5371" t="str">
        <f ca="1">IFERROR(__xludf.DUMMYFUNCTION("""COMPUTED_VALUE"""),"ООО ""Гарант"" 177-СТР от 31.08.2022")</f>
        <v>ООО "Гарант" 177-СТР от 31.08.2022</v>
      </c>
      <c r="D53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1" t="str">
        <f ca="1">IFERROR(__xludf.DUMMYFUNCTION("""COMPUTED_VALUE"""),"Новый")</f>
        <v>Новый</v>
      </c>
      <c r="G5371" s="68"/>
      <c r="K5371" s="68"/>
    </row>
    <row r="5372" spans="1:11" ht="12.75">
      <c r="A5372" s="69">
        <f ca="1">IFERROR(__xludf.DUMMYFUNCTION("""COMPUTED_VALUE"""),106189)</f>
        <v>106189</v>
      </c>
      <c r="B5372" s="4">
        <f ca="1">IFERROR(__xludf.DUMMYFUNCTION("""COMPUTED_VALUE"""),44804)</f>
        <v>44804</v>
      </c>
      <c r="C5372" t="str">
        <f ca="1">IFERROR(__xludf.DUMMYFUNCTION("""COMPUTED_VALUE"""),"ООО ""Гарант"" 177-СТР от 31.08.2022")</f>
        <v>ООО "Гарант" 177-СТР от 31.08.2022</v>
      </c>
      <c r="D53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2" t="str">
        <f ca="1">IFERROR(__xludf.DUMMYFUNCTION("""COMPUTED_VALUE"""),"Новый")</f>
        <v>Новый</v>
      </c>
      <c r="G5372" s="68"/>
      <c r="K5372" s="68"/>
    </row>
    <row r="5373" spans="1:11" ht="12.75">
      <c r="A5373" s="69">
        <f ca="1">IFERROR(__xludf.DUMMYFUNCTION("""COMPUTED_VALUE"""),106190)</f>
        <v>106190</v>
      </c>
      <c r="B5373" s="4">
        <f ca="1">IFERROR(__xludf.DUMMYFUNCTION("""COMPUTED_VALUE"""),44804)</f>
        <v>44804</v>
      </c>
      <c r="C5373" t="str">
        <f ca="1">IFERROR(__xludf.DUMMYFUNCTION("""COMPUTED_VALUE"""),"ООО ""Гарант"" 177-СТР от 31.08.2022")</f>
        <v>ООО "Гарант" 177-СТР от 31.08.2022</v>
      </c>
      <c r="D53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3" t="str">
        <f ca="1">IFERROR(__xludf.DUMMYFUNCTION("""COMPUTED_VALUE"""),"Новый")</f>
        <v>Новый</v>
      </c>
      <c r="G5373" s="68"/>
      <c r="K5373" s="68"/>
    </row>
    <row r="5374" spans="1:11" ht="12.75">
      <c r="A5374" s="69">
        <f ca="1">IFERROR(__xludf.DUMMYFUNCTION("""COMPUTED_VALUE"""),106191)</f>
        <v>106191</v>
      </c>
      <c r="B5374" s="4">
        <f ca="1">IFERROR(__xludf.DUMMYFUNCTION("""COMPUTED_VALUE"""),44804)</f>
        <v>44804</v>
      </c>
      <c r="C5374" t="str">
        <f ca="1">IFERROR(__xludf.DUMMYFUNCTION("""COMPUTED_VALUE"""),"ООО ""Гарант"" 177-СТР от 31.08.2022")</f>
        <v>ООО "Гарант" 177-СТР от 31.08.2022</v>
      </c>
      <c r="D53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4" t="str">
        <f ca="1">IFERROR(__xludf.DUMMYFUNCTION("""COMPUTED_VALUE"""),"Новый")</f>
        <v>Новый</v>
      </c>
      <c r="G5374" s="68"/>
      <c r="K5374" s="68"/>
    </row>
    <row r="5375" spans="1:11" ht="12.75">
      <c r="A5375" s="69">
        <f ca="1">IFERROR(__xludf.DUMMYFUNCTION("""COMPUTED_VALUE"""),106192)</f>
        <v>106192</v>
      </c>
      <c r="B5375" s="4">
        <f ca="1">IFERROR(__xludf.DUMMYFUNCTION("""COMPUTED_VALUE"""),44804)</f>
        <v>44804</v>
      </c>
      <c r="C5375" t="str">
        <f ca="1">IFERROR(__xludf.DUMMYFUNCTION("""COMPUTED_VALUE"""),"ООО ""Гарант"" 177-СТР от 31.08.2022")</f>
        <v>ООО "Гарант" 177-СТР от 31.08.2022</v>
      </c>
      <c r="D53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5" t="str">
        <f ca="1">IFERROR(__xludf.DUMMYFUNCTION("""COMPUTED_VALUE"""),"Новый")</f>
        <v>Новый</v>
      </c>
      <c r="G5375" s="68"/>
      <c r="K5375" s="68"/>
    </row>
    <row r="5376" spans="1:11" ht="12.75">
      <c r="A5376" s="69">
        <f ca="1">IFERROR(__xludf.DUMMYFUNCTION("""COMPUTED_VALUE"""),106193)</f>
        <v>106193</v>
      </c>
      <c r="B5376" s="4">
        <f ca="1">IFERROR(__xludf.DUMMYFUNCTION("""COMPUTED_VALUE"""),44804)</f>
        <v>44804</v>
      </c>
      <c r="C5376" t="str">
        <f ca="1">IFERROR(__xludf.DUMMYFUNCTION("""COMPUTED_VALUE"""),"ООО ""Гарант"" 177-СТР от 31.08.2022")</f>
        <v>ООО "Гарант" 177-СТР от 31.08.2022</v>
      </c>
      <c r="D53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6" t="str">
        <f ca="1">IFERROR(__xludf.DUMMYFUNCTION("""COMPUTED_VALUE"""),"Новый")</f>
        <v>Новый</v>
      </c>
      <c r="G5376" s="68"/>
      <c r="K5376" s="68"/>
    </row>
    <row r="5377" spans="1:11" ht="12.75">
      <c r="A5377" s="69">
        <f ca="1">IFERROR(__xludf.DUMMYFUNCTION("""COMPUTED_VALUE"""),106194)</f>
        <v>106194</v>
      </c>
      <c r="B5377" s="4">
        <f ca="1">IFERROR(__xludf.DUMMYFUNCTION("""COMPUTED_VALUE"""),44804)</f>
        <v>44804</v>
      </c>
      <c r="C5377" t="str">
        <f ca="1">IFERROR(__xludf.DUMMYFUNCTION("""COMPUTED_VALUE"""),"ООО ""Гарант"" 177-СТР от 31.08.2022")</f>
        <v>ООО "Гарант" 177-СТР от 31.08.2022</v>
      </c>
      <c r="D53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7" t="str">
        <f ca="1">IFERROR(__xludf.DUMMYFUNCTION("""COMPUTED_VALUE"""),"Новый")</f>
        <v>Новый</v>
      </c>
      <c r="G5377" s="68"/>
      <c r="K5377" s="68"/>
    </row>
    <row r="5378" spans="1:11" ht="12.75">
      <c r="A5378" s="69">
        <f ca="1">IFERROR(__xludf.DUMMYFUNCTION("""COMPUTED_VALUE"""),106195)</f>
        <v>106195</v>
      </c>
      <c r="B5378" s="4">
        <f ca="1">IFERROR(__xludf.DUMMYFUNCTION("""COMPUTED_VALUE"""),44804)</f>
        <v>44804</v>
      </c>
      <c r="C5378" t="str">
        <f ca="1">IFERROR(__xludf.DUMMYFUNCTION("""COMPUTED_VALUE"""),"ООО ""Гарант"" 177-СТР от 31.08.2022")</f>
        <v>ООО "Гарант" 177-СТР от 31.08.2022</v>
      </c>
      <c r="D53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8" t="str">
        <f ca="1">IFERROR(__xludf.DUMMYFUNCTION("""COMPUTED_VALUE"""),"Новый")</f>
        <v>Новый</v>
      </c>
      <c r="G5378" s="68"/>
      <c r="K5378" s="68"/>
    </row>
    <row r="5379" spans="1:11" ht="12.75">
      <c r="A5379" s="69">
        <f ca="1">IFERROR(__xludf.DUMMYFUNCTION("""COMPUTED_VALUE"""),106196)</f>
        <v>106196</v>
      </c>
      <c r="B5379" s="4">
        <f ca="1">IFERROR(__xludf.DUMMYFUNCTION("""COMPUTED_VALUE"""),44804)</f>
        <v>44804</v>
      </c>
      <c r="C5379" t="str">
        <f ca="1">IFERROR(__xludf.DUMMYFUNCTION("""COMPUTED_VALUE"""),"ООО ""Гарант"" 177-СТР от 31.08.2022")</f>
        <v>ООО "Гарант" 177-СТР от 31.08.2022</v>
      </c>
      <c r="D53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79" t="str">
        <f ca="1">IFERROR(__xludf.DUMMYFUNCTION("""COMPUTED_VALUE"""),"Новый")</f>
        <v>Новый</v>
      </c>
      <c r="G5379" s="68"/>
      <c r="K5379" s="68"/>
    </row>
    <row r="5380" spans="1:11" ht="12.75">
      <c r="A5380" s="69">
        <f ca="1">IFERROR(__xludf.DUMMYFUNCTION("""COMPUTED_VALUE"""),106197)</f>
        <v>106197</v>
      </c>
      <c r="B5380" s="4">
        <f ca="1">IFERROR(__xludf.DUMMYFUNCTION("""COMPUTED_VALUE"""),44804)</f>
        <v>44804</v>
      </c>
      <c r="C5380" t="str">
        <f ca="1">IFERROR(__xludf.DUMMYFUNCTION("""COMPUTED_VALUE"""),"ООО ""Гарант"" 177-СТР от 31.08.2022")</f>
        <v>ООО "Гарант" 177-СТР от 31.08.2022</v>
      </c>
      <c r="D53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0" t="str">
        <f ca="1">IFERROR(__xludf.DUMMYFUNCTION("""COMPUTED_VALUE"""),"Новый")</f>
        <v>Новый</v>
      </c>
      <c r="G5380" s="68"/>
      <c r="K5380" s="68"/>
    </row>
    <row r="5381" spans="1:11" ht="12.75">
      <c r="A5381" s="69">
        <f ca="1">IFERROR(__xludf.DUMMYFUNCTION("""COMPUTED_VALUE"""),106198)</f>
        <v>106198</v>
      </c>
      <c r="B5381" s="4">
        <f ca="1">IFERROR(__xludf.DUMMYFUNCTION("""COMPUTED_VALUE"""),44804)</f>
        <v>44804</v>
      </c>
      <c r="C5381" t="str">
        <f ca="1">IFERROR(__xludf.DUMMYFUNCTION("""COMPUTED_VALUE"""),"ООО ""Гарант"" 177-СТР от 31.08.2022")</f>
        <v>ООО "Гарант" 177-СТР от 31.08.2022</v>
      </c>
      <c r="D53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1" t="str">
        <f ca="1">IFERROR(__xludf.DUMMYFUNCTION("""COMPUTED_VALUE"""),"Новый")</f>
        <v>Новый</v>
      </c>
      <c r="G5381" s="68"/>
      <c r="K5381" s="68"/>
    </row>
    <row r="5382" spans="1:11" ht="12.75">
      <c r="A5382" s="69">
        <f ca="1">IFERROR(__xludf.DUMMYFUNCTION("""COMPUTED_VALUE"""),106199)</f>
        <v>106199</v>
      </c>
      <c r="B5382" s="4">
        <f ca="1">IFERROR(__xludf.DUMMYFUNCTION("""COMPUTED_VALUE"""),44804)</f>
        <v>44804</v>
      </c>
      <c r="C5382" t="str">
        <f ca="1">IFERROR(__xludf.DUMMYFUNCTION("""COMPUTED_VALUE"""),"ООО ""Гарант"" 177-СТР от 31.08.2022")</f>
        <v>ООО "Гарант" 177-СТР от 31.08.2022</v>
      </c>
      <c r="D53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2" t="str">
        <f ca="1">IFERROR(__xludf.DUMMYFUNCTION("""COMPUTED_VALUE"""),"Новый")</f>
        <v>Новый</v>
      </c>
      <c r="G5382" s="68"/>
      <c r="K5382" s="68"/>
    </row>
    <row r="5383" spans="1:11" ht="12.75">
      <c r="A5383" s="69">
        <f ca="1">IFERROR(__xludf.DUMMYFUNCTION("""COMPUTED_VALUE"""),106200)</f>
        <v>106200</v>
      </c>
      <c r="B5383" s="4">
        <f ca="1">IFERROR(__xludf.DUMMYFUNCTION("""COMPUTED_VALUE"""),44804)</f>
        <v>44804</v>
      </c>
      <c r="C5383" t="str">
        <f ca="1">IFERROR(__xludf.DUMMYFUNCTION("""COMPUTED_VALUE"""),"ООО ""Гарант"" 177-СТР от 31.08.2022")</f>
        <v>ООО "Гарант" 177-СТР от 31.08.2022</v>
      </c>
      <c r="D53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3" t="str">
        <f ca="1">IFERROR(__xludf.DUMMYFUNCTION("""COMPUTED_VALUE"""),"Новый")</f>
        <v>Новый</v>
      </c>
      <c r="G5383" s="68"/>
      <c r="K5383" s="68"/>
    </row>
    <row r="5384" spans="1:11" ht="12.75">
      <c r="A5384" s="69">
        <f ca="1">IFERROR(__xludf.DUMMYFUNCTION("""COMPUTED_VALUE"""),106201)</f>
        <v>106201</v>
      </c>
      <c r="B5384" s="4">
        <f ca="1">IFERROR(__xludf.DUMMYFUNCTION("""COMPUTED_VALUE"""),44804)</f>
        <v>44804</v>
      </c>
      <c r="C5384" t="str">
        <f ca="1">IFERROR(__xludf.DUMMYFUNCTION("""COMPUTED_VALUE"""),"ООО ""Гарант"" 177-СТР от 31.08.2022")</f>
        <v>ООО "Гарант" 177-СТР от 31.08.2022</v>
      </c>
      <c r="D53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4" t="str">
        <f ca="1">IFERROR(__xludf.DUMMYFUNCTION("""COMPUTED_VALUE"""),"Новый")</f>
        <v>Новый</v>
      </c>
      <c r="G5384" s="68"/>
      <c r="K5384" s="68"/>
    </row>
    <row r="5385" spans="1:11" ht="12.75">
      <c r="A5385" s="69">
        <f ca="1">IFERROR(__xludf.DUMMYFUNCTION("""COMPUTED_VALUE"""),106202)</f>
        <v>106202</v>
      </c>
      <c r="B5385" s="4">
        <f ca="1">IFERROR(__xludf.DUMMYFUNCTION("""COMPUTED_VALUE"""),44804)</f>
        <v>44804</v>
      </c>
      <c r="C5385" t="str">
        <f ca="1">IFERROR(__xludf.DUMMYFUNCTION("""COMPUTED_VALUE"""),"ООО ""Гарант"" 177-СТР от 31.08.2022")</f>
        <v>ООО "Гарант" 177-СТР от 31.08.2022</v>
      </c>
      <c r="D53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5" t="str">
        <f ca="1">IFERROR(__xludf.DUMMYFUNCTION("""COMPUTED_VALUE"""),"Новый")</f>
        <v>Новый</v>
      </c>
      <c r="G5385" s="68"/>
      <c r="K5385" s="68"/>
    </row>
    <row r="5386" spans="1:11" ht="12.75">
      <c r="A5386" s="69">
        <f ca="1">IFERROR(__xludf.DUMMYFUNCTION("""COMPUTED_VALUE"""),106203)</f>
        <v>106203</v>
      </c>
      <c r="B5386" s="4">
        <f ca="1">IFERROR(__xludf.DUMMYFUNCTION("""COMPUTED_VALUE"""),44804)</f>
        <v>44804</v>
      </c>
      <c r="C5386" t="str">
        <f ca="1">IFERROR(__xludf.DUMMYFUNCTION("""COMPUTED_VALUE"""),"ООО ""Гарант"" 177-СТР от 31.08.2022")</f>
        <v>ООО "Гарант" 177-СТР от 31.08.2022</v>
      </c>
      <c r="D53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6" t="str">
        <f ca="1">IFERROR(__xludf.DUMMYFUNCTION("""COMPUTED_VALUE"""),"Новый")</f>
        <v>Новый</v>
      </c>
      <c r="G5386" s="68"/>
      <c r="K5386" s="68"/>
    </row>
    <row r="5387" spans="1:11" ht="12.75">
      <c r="A5387" s="69">
        <f ca="1">IFERROR(__xludf.DUMMYFUNCTION("""COMPUTED_VALUE"""),106204)</f>
        <v>106204</v>
      </c>
      <c r="B5387" s="4">
        <f ca="1">IFERROR(__xludf.DUMMYFUNCTION("""COMPUTED_VALUE"""),44804)</f>
        <v>44804</v>
      </c>
      <c r="C5387" t="str">
        <f ca="1">IFERROR(__xludf.DUMMYFUNCTION("""COMPUTED_VALUE"""),"ООО ""Гарант"" 177-СТР от 31.08.2022")</f>
        <v>ООО "Гарант" 177-СТР от 31.08.2022</v>
      </c>
      <c r="D53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7" t="str">
        <f ca="1">IFERROR(__xludf.DUMMYFUNCTION("""COMPUTED_VALUE"""),"Новый")</f>
        <v>Новый</v>
      </c>
      <c r="G5387" s="68"/>
      <c r="K5387" s="68"/>
    </row>
    <row r="5388" spans="1:11" ht="12.75">
      <c r="A5388" s="69">
        <f ca="1">IFERROR(__xludf.DUMMYFUNCTION("""COMPUTED_VALUE"""),106205)</f>
        <v>106205</v>
      </c>
      <c r="B5388" s="4">
        <f ca="1">IFERROR(__xludf.DUMMYFUNCTION("""COMPUTED_VALUE"""),44804)</f>
        <v>44804</v>
      </c>
      <c r="C5388" t="str">
        <f ca="1">IFERROR(__xludf.DUMMYFUNCTION("""COMPUTED_VALUE"""),"ООО ""Гарант"" 177-СТР от 31.08.2022")</f>
        <v>ООО "Гарант" 177-СТР от 31.08.2022</v>
      </c>
      <c r="D53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8" t="str">
        <f ca="1">IFERROR(__xludf.DUMMYFUNCTION("""COMPUTED_VALUE"""),"Новый")</f>
        <v>Новый</v>
      </c>
      <c r="G5388" s="68"/>
      <c r="K5388" s="68"/>
    </row>
    <row r="5389" spans="1:11" ht="12.75">
      <c r="A5389" s="69">
        <f ca="1">IFERROR(__xludf.DUMMYFUNCTION("""COMPUTED_VALUE"""),106206)</f>
        <v>106206</v>
      </c>
      <c r="B5389" s="4">
        <f ca="1">IFERROR(__xludf.DUMMYFUNCTION("""COMPUTED_VALUE"""),44804)</f>
        <v>44804</v>
      </c>
      <c r="C5389" t="str">
        <f ca="1">IFERROR(__xludf.DUMMYFUNCTION("""COMPUTED_VALUE"""),"ООО ""Гарант"" 177-СТР от 31.08.2022")</f>
        <v>ООО "Гарант" 177-СТР от 31.08.2022</v>
      </c>
      <c r="D53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89" t="str">
        <f ca="1">IFERROR(__xludf.DUMMYFUNCTION("""COMPUTED_VALUE"""),"Новый")</f>
        <v>Новый</v>
      </c>
      <c r="G5389" s="68"/>
      <c r="K5389" s="68"/>
    </row>
    <row r="5390" spans="1:11" ht="12.75">
      <c r="A5390" s="69">
        <f ca="1">IFERROR(__xludf.DUMMYFUNCTION("""COMPUTED_VALUE"""),106207)</f>
        <v>106207</v>
      </c>
      <c r="B5390" s="4">
        <f ca="1">IFERROR(__xludf.DUMMYFUNCTION("""COMPUTED_VALUE"""),44804)</f>
        <v>44804</v>
      </c>
      <c r="C5390" t="str">
        <f ca="1">IFERROR(__xludf.DUMMYFUNCTION("""COMPUTED_VALUE"""),"ООО ""Гарант"" 177-СТР от 31.08.2022")</f>
        <v>ООО "Гарант" 177-СТР от 31.08.2022</v>
      </c>
      <c r="D53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0" t="str">
        <f ca="1">IFERROR(__xludf.DUMMYFUNCTION("""COMPUTED_VALUE"""),"Новый")</f>
        <v>Новый</v>
      </c>
      <c r="G5390" s="68"/>
      <c r="K5390" s="68"/>
    </row>
    <row r="5391" spans="1:11" ht="12.75">
      <c r="A5391" s="69">
        <f ca="1">IFERROR(__xludf.DUMMYFUNCTION("""COMPUTED_VALUE"""),106208)</f>
        <v>106208</v>
      </c>
      <c r="B5391" s="4">
        <f ca="1">IFERROR(__xludf.DUMMYFUNCTION("""COMPUTED_VALUE"""),44804)</f>
        <v>44804</v>
      </c>
      <c r="C5391" t="str">
        <f ca="1">IFERROR(__xludf.DUMMYFUNCTION("""COMPUTED_VALUE"""),"ООО ""Гарант"" 177-СТР от 31.08.2022")</f>
        <v>ООО "Гарант" 177-СТР от 31.08.2022</v>
      </c>
      <c r="D53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1" t="str">
        <f ca="1">IFERROR(__xludf.DUMMYFUNCTION("""COMPUTED_VALUE"""),"Новый")</f>
        <v>Новый</v>
      </c>
      <c r="G5391" s="68"/>
      <c r="K5391" s="68"/>
    </row>
    <row r="5392" spans="1:11" ht="12.75">
      <c r="A5392" s="69">
        <f ca="1">IFERROR(__xludf.DUMMYFUNCTION("""COMPUTED_VALUE"""),106209)</f>
        <v>106209</v>
      </c>
      <c r="B5392" s="4">
        <f ca="1">IFERROR(__xludf.DUMMYFUNCTION("""COMPUTED_VALUE"""),44804)</f>
        <v>44804</v>
      </c>
      <c r="C5392" t="str">
        <f ca="1">IFERROR(__xludf.DUMMYFUNCTION("""COMPUTED_VALUE"""),"ООО ""Гарант"" 177-СТР от 31.08.2022")</f>
        <v>ООО "Гарант" 177-СТР от 31.08.2022</v>
      </c>
      <c r="D53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2" t="str">
        <f ca="1">IFERROR(__xludf.DUMMYFUNCTION("""COMPUTED_VALUE"""),"Новый")</f>
        <v>Новый</v>
      </c>
      <c r="G5392" s="68"/>
      <c r="K5392" s="68"/>
    </row>
    <row r="5393" spans="1:11" ht="12.75">
      <c r="A5393" s="69">
        <f ca="1">IFERROR(__xludf.DUMMYFUNCTION("""COMPUTED_VALUE"""),106210)</f>
        <v>106210</v>
      </c>
      <c r="B5393" s="4">
        <f ca="1">IFERROR(__xludf.DUMMYFUNCTION("""COMPUTED_VALUE"""),44804)</f>
        <v>44804</v>
      </c>
      <c r="C5393" t="str">
        <f ca="1">IFERROR(__xludf.DUMMYFUNCTION("""COMPUTED_VALUE"""),"ООО ""БЛАГОУСТРОЙСТВО"" 152-СТР от 22.07.2022")</f>
        <v>ООО "БЛАГОУСТРОЙСТВО" 152-СТР от 22.07.2022</v>
      </c>
      <c r="D53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3" t="str">
        <f ca="1">IFERROR(__xludf.DUMMYFUNCTION("""COMPUTED_VALUE"""),"Новый")</f>
        <v>Новый</v>
      </c>
      <c r="G5393" s="68"/>
      <c r="K5393" s="68"/>
    </row>
    <row r="5394" spans="1:11" ht="12.75">
      <c r="A5394" s="69">
        <f ca="1">IFERROR(__xludf.DUMMYFUNCTION("""COMPUTED_VALUE"""),106211)</f>
        <v>106211</v>
      </c>
      <c r="B5394" s="4">
        <f ca="1">IFERROR(__xludf.DUMMYFUNCTION("""COMPUTED_VALUE"""),44804)</f>
        <v>44804</v>
      </c>
      <c r="C5394" t="str">
        <f ca="1">IFERROR(__xludf.DUMMYFUNCTION("""COMPUTED_VALUE"""),"ООО ""БЛАГОУСТРОЙСТВО"" 152-СТР от 22.07.2022")</f>
        <v>ООО "БЛАГОУСТРОЙСТВО" 152-СТР от 22.07.2022</v>
      </c>
      <c r="D53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4" t="str">
        <f ca="1">IFERROR(__xludf.DUMMYFUNCTION("""COMPUTED_VALUE"""),"Новый")</f>
        <v>Новый</v>
      </c>
      <c r="G5394" s="68"/>
      <c r="K5394" s="68"/>
    </row>
    <row r="5395" spans="1:11" ht="12.75">
      <c r="A5395" s="69">
        <f ca="1">IFERROR(__xludf.DUMMYFUNCTION("""COMPUTED_VALUE"""),106254)</f>
        <v>106254</v>
      </c>
      <c r="B5395" s="4">
        <f ca="1">IFERROR(__xludf.DUMMYFUNCTION("""COMPUTED_VALUE"""),44804)</f>
        <v>44804</v>
      </c>
      <c r="C5395" t="str">
        <f ca="1">IFERROR(__xludf.DUMMYFUNCTION("""COMPUTED_VALUE"""),"ООО ""БЛАГОУСТРОЙСТВО"" 152-СТР от 22.07.2022")</f>
        <v>ООО "БЛАГОУСТРОЙСТВО" 152-СТР от 22.07.2022</v>
      </c>
      <c r="D53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5" t="str">
        <f ca="1">IFERROR(__xludf.DUMMYFUNCTION("""COMPUTED_VALUE"""),"Новый")</f>
        <v>Новый</v>
      </c>
      <c r="G5395" s="68"/>
      <c r="K5395" s="68"/>
    </row>
    <row r="5396" spans="1:11" ht="12.75">
      <c r="A5396" s="69">
        <f ca="1">IFERROR(__xludf.DUMMYFUNCTION("""COMPUTED_VALUE"""),106255)</f>
        <v>106255</v>
      </c>
      <c r="B5396" s="4">
        <f ca="1">IFERROR(__xludf.DUMMYFUNCTION("""COMPUTED_VALUE"""),44804)</f>
        <v>44804</v>
      </c>
      <c r="C5396" t="str">
        <f ca="1">IFERROR(__xludf.DUMMYFUNCTION("""COMPUTED_VALUE"""),"ООО ""БЛАГОУСТРОЙСТВО"" 152-СТР от 22.07.2022")</f>
        <v>ООО "БЛАГОУСТРОЙСТВО" 152-СТР от 22.07.2022</v>
      </c>
      <c r="D53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6" t="str">
        <f ca="1">IFERROR(__xludf.DUMMYFUNCTION("""COMPUTED_VALUE"""),"Новый")</f>
        <v>Новый</v>
      </c>
      <c r="G5396" s="68"/>
      <c r="K5396" s="68"/>
    </row>
    <row r="5397" spans="1:11" ht="12.75">
      <c r="A5397" s="69">
        <f ca="1">IFERROR(__xludf.DUMMYFUNCTION("""COMPUTED_VALUE"""),106256)</f>
        <v>106256</v>
      </c>
      <c r="B5397" s="4">
        <f ca="1">IFERROR(__xludf.DUMMYFUNCTION("""COMPUTED_VALUE"""),44804)</f>
        <v>44804</v>
      </c>
      <c r="C5397" t="str">
        <f ca="1">IFERROR(__xludf.DUMMYFUNCTION("""COMPUTED_VALUE"""),"ООО ""БЛАГОУСТРОЙСТВО"" 152-СТР от 22.07.2022")</f>
        <v>ООО "БЛАГОУСТРОЙСТВО" 152-СТР от 22.07.2022</v>
      </c>
      <c r="D53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7" t="str">
        <f ca="1">IFERROR(__xludf.DUMMYFUNCTION("""COMPUTED_VALUE"""),"Новый")</f>
        <v>Новый</v>
      </c>
      <c r="G5397" s="68"/>
      <c r="K5397" s="68"/>
    </row>
    <row r="5398" spans="1:11" ht="12.75">
      <c r="A5398" s="69">
        <f ca="1">IFERROR(__xludf.DUMMYFUNCTION("""COMPUTED_VALUE"""),106257)</f>
        <v>106257</v>
      </c>
      <c r="B5398" s="4">
        <f ca="1">IFERROR(__xludf.DUMMYFUNCTION("""COMPUTED_VALUE"""),44804)</f>
        <v>44804</v>
      </c>
      <c r="C5398" t="str">
        <f ca="1">IFERROR(__xludf.DUMMYFUNCTION("""COMPUTED_VALUE"""),"ООО ""БЛАГОУСТРОЙСТВО"" 152-СТР от 22.07.2022")</f>
        <v>ООО "БЛАГОУСТРОЙСТВО" 152-СТР от 22.07.2022</v>
      </c>
      <c r="D53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8" t="str">
        <f ca="1">IFERROR(__xludf.DUMMYFUNCTION("""COMPUTED_VALUE"""),"Новый")</f>
        <v>Новый</v>
      </c>
      <c r="G5398" s="68"/>
      <c r="K5398" s="68"/>
    </row>
    <row r="5399" spans="1:11" ht="12.75">
      <c r="A5399" s="69">
        <f ca="1">IFERROR(__xludf.DUMMYFUNCTION("""COMPUTED_VALUE"""),106258)</f>
        <v>106258</v>
      </c>
      <c r="B5399" s="4">
        <f ca="1">IFERROR(__xludf.DUMMYFUNCTION("""COMPUTED_VALUE"""),44804)</f>
        <v>44804</v>
      </c>
      <c r="C5399" t="str">
        <f ca="1">IFERROR(__xludf.DUMMYFUNCTION("""COMPUTED_VALUE"""),"ООО ""БЛАГОУСТРОЙСТВО"" 152-СТР от 22.07.2022")</f>
        <v>ООО "БЛАГОУСТРОЙСТВО" 152-СТР от 22.07.2022</v>
      </c>
      <c r="D53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399" t="str">
        <f ca="1">IFERROR(__xludf.DUMMYFUNCTION("""COMPUTED_VALUE"""),"Новый")</f>
        <v>Новый</v>
      </c>
      <c r="G5399" s="68"/>
      <c r="K5399" s="68"/>
    </row>
    <row r="5400" spans="1:11" ht="12.75">
      <c r="A5400" s="69">
        <f ca="1">IFERROR(__xludf.DUMMYFUNCTION("""COMPUTED_VALUE"""),106259)</f>
        <v>106259</v>
      </c>
      <c r="B5400" s="4">
        <f ca="1">IFERROR(__xludf.DUMMYFUNCTION("""COMPUTED_VALUE"""),44804)</f>
        <v>44804</v>
      </c>
      <c r="C5400" t="str">
        <f ca="1">IFERROR(__xludf.DUMMYFUNCTION("""COMPUTED_VALUE"""),"ООО ""БЛАГОУСТРОЙСТВО"" 152-СТР от 22.07.2022")</f>
        <v>ООО "БЛАГОУСТРОЙСТВО" 152-СТР от 22.07.2022</v>
      </c>
      <c r="D54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0" t="str">
        <f ca="1">IFERROR(__xludf.DUMMYFUNCTION("""COMPUTED_VALUE"""),"Новый")</f>
        <v>Новый</v>
      </c>
      <c r="G5400" s="68"/>
      <c r="K5400" s="68"/>
    </row>
    <row r="5401" spans="1:11" ht="12.75">
      <c r="A5401" s="69">
        <f ca="1">IFERROR(__xludf.DUMMYFUNCTION("""COMPUTED_VALUE"""),106260)</f>
        <v>106260</v>
      </c>
      <c r="B5401" s="4">
        <f ca="1">IFERROR(__xludf.DUMMYFUNCTION("""COMPUTED_VALUE"""),44804)</f>
        <v>44804</v>
      </c>
      <c r="C5401" t="str">
        <f ca="1">IFERROR(__xludf.DUMMYFUNCTION("""COMPUTED_VALUE"""),"ООО ""БЛАГОУСТРОЙСТВО"" 152-СТР от 22.07.2022")</f>
        <v>ООО "БЛАГОУСТРОЙСТВО" 152-СТР от 22.07.2022</v>
      </c>
      <c r="D54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1" t="str">
        <f ca="1">IFERROR(__xludf.DUMMYFUNCTION("""COMPUTED_VALUE"""),"Новый")</f>
        <v>Новый</v>
      </c>
      <c r="G5401" s="68"/>
      <c r="K5401" s="68"/>
    </row>
    <row r="5402" spans="1:11" ht="12.75">
      <c r="A5402" s="69">
        <f ca="1">IFERROR(__xludf.DUMMYFUNCTION("""COMPUTED_VALUE"""),106261)</f>
        <v>106261</v>
      </c>
      <c r="B5402" s="4">
        <f ca="1">IFERROR(__xludf.DUMMYFUNCTION("""COMPUTED_VALUE"""),44804)</f>
        <v>44804</v>
      </c>
      <c r="C5402" t="str">
        <f ca="1">IFERROR(__xludf.DUMMYFUNCTION("""COMPUTED_VALUE"""),"ООО ""БЛАГОУСТРОЙСТВО"" 152-СТР от 22.07.2022")</f>
        <v>ООО "БЛАГОУСТРОЙСТВО" 152-СТР от 22.07.2022</v>
      </c>
      <c r="D54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2" t="str">
        <f ca="1">IFERROR(__xludf.DUMMYFUNCTION("""COMPUTED_VALUE"""),"Новый")</f>
        <v>Новый</v>
      </c>
      <c r="G5402" s="68"/>
      <c r="K5402" s="68"/>
    </row>
    <row r="5403" spans="1:11" ht="12.75">
      <c r="A5403" s="69">
        <f ca="1">IFERROR(__xludf.DUMMYFUNCTION("""COMPUTED_VALUE"""),106262)</f>
        <v>106262</v>
      </c>
      <c r="B5403" s="4">
        <f ca="1">IFERROR(__xludf.DUMMYFUNCTION("""COMPUTED_VALUE"""),44804)</f>
        <v>44804</v>
      </c>
      <c r="C5403" t="str">
        <f ca="1">IFERROR(__xludf.DUMMYFUNCTION("""COMPUTED_VALUE"""),"ООО ""БЛАГОУСТРОЙСТВО"" 152-СТР от 22.07.2022")</f>
        <v>ООО "БЛАГОУСТРОЙСТВО" 152-СТР от 22.07.2022</v>
      </c>
      <c r="D54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3" t="str">
        <f ca="1">IFERROR(__xludf.DUMMYFUNCTION("""COMPUTED_VALUE"""),"Новый")</f>
        <v>Новый</v>
      </c>
      <c r="G5403" s="68"/>
      <c r="K5403" s="68"/>
    </row>
    <row r="5404" spans="1:11" ht="12.75">
      <c r="A5404" s="69">
        <f ca="1">IFERROR(__xludf.DUMMYFUNCTION("""COMPUTED_VALUE"""),106263)</f>
        <v>106263</v>
      </c>
      <c r="B5404" s="4">
        <f ca="1">IFERROR(__xludf.DUMMYFUNCTION("""COMPUTED_VALUE"""),44804)</f>
        <v>44804</v>
      </c>
      <c r="C5404" t="str">
        <f ca="1">IFERROR(__xludf.DUMMYFUNCTION("""COMPUTED_VALUE"""),"ООО ""БЛАГОУСТРОЙСТВО"" 152-СТР от 22.07.2022")</f>
        <v>ООО "БЛАГОУСТРОЙСТВО" 152-СТР от 22.07.2022</v>
      </c>
      <c r="D54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4" t="str">
        <f ca="1">IFERROR(__xludf.DUMMYFUNCTION("""COMPUTED_VALUE"""),"Новый")</f>
        <v>Новый</v>
      </c>
      <c r="G5404" s="68"/>
      <c r="K5404" s="68"/>
    </row>
    <row r="5405" spans="1:11" ht="12.75">
      <c r="A5405" s="69">
        <f ca="1">IFERROR(__xludf.DUMMYFUNCTION("""COMPUTED_VALUE"""),106264)</f>
        <v>106264</v>
      </c>
      <c r="B5405" s="4">
        <f ca="1">IFERROR(__xludf.DUMMYFUNCTION("""COMPUTED_VALUE"""),44804)</f>
        <v>44804</v>
      </c>
      <c r="C5405" t="str">
        <f ca="1">IFERROR(__xludf.DUMMYFUNCTION("""COMPUTED_VALUE"""),"ООО ""БЛАГОУСТРОЙСТВО"" 152-СТР от 22.07.2022")</f>
        <v>ООО "БЛАГОУСТРОЙСТВО" 152-СТР от 22.07.2022</v>
      </c>
      <c r="D54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5" t="str">
        <f ca="1">IFERROR(__xludf.DUMMYFUNCTION("""COMPUTED_VALUE"""),"Новый")</f>
        <v>Новый</v>
      </c>
      <c r="G5405" s="68"/>
      <c r="K5405" s="68"/>
    </row>
    <row r="5406" spans="1:11" ht="12.75">
      <c r="A5406" s="69">
        <f ca="1">IFERROR(__xludf.DUMMYFUNCTION("""COMPUTED_VALUE"""),106265)</f>
        <v>106265</v>
      </c>
      <c r="B5406" s="4">
        <f ca="1">IFERROR(__xludf.DUMMYFUNCTION("""COMPUTED_VALUE"""),44804)</f>
        <v>44804</v>
      </c>
      <c r="C5406" t="str">
        <f ca="1">IFERROR(__xludf.DUMMYFUNCTION("""COMPUTED_VALUE"""),"ООО ""БЛАГОУСТРОЙСТВО"" 152-СТР от 22.07.2022")</f>
        <v>ООО "БЛАГОУСТРОЙСТВО" 152-СТР от 22.07.2022</v>
      </c>
      <c r="D54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6" t="str">
        <f ca="1">IFERROR(__xludf.DUMMYFUNCTION("""COMPUTED_VALUE"""),"Новый")</f>
        <v>Новый</v>
      </c>
      <c r="G5406" s="68"/>
      <c r="K5406" s="68"/>
    </row>
    <row r="5407" spans="1:11" ht="12.75">
      <c r="A5407" s="69">
        <f ca="1">IFERROR(__xludf.DUMMYFUNCTION("""COMPUTED_VALUE"""),106266)</f>
        <v>106266</v>
      </c>
      <c r="B5407" s="4">
        <f ca="1">IFERROR(__xludf.DUMMYFUNCTION("""COMPUTED_VALUE"""),44804)</f>
        <v>44804</v>
      </c>
      <c r="C5407" t="str">
        <f ca="1">IFERROR(__xludf.DUMMYFUNCTION("""COMPUTED_VALUE"""),"ООО ""БЛАГОУСТРОЙСТВО"" 152-СТР от 22.07.2022")</f>
        <v>ООО "БЛАГОУСТРОЙСТВО" 152-СТР от 22.07.2022</v>
      </c>
      <c r="D54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7" t="str">
        <f ca="1">IFERROR(__xludf.DUMMYFUNCTION("""COMPUTED_VALUE"""),"Новый")</f>
        <v>Новый</v>
      </c>
      <c r="G5407" s="68"/>
      <c r="K5407" s="68"/>
    </row>
    <row r="5408" spans="1:11" ht="12.75">
      <c r="A5408" s="69">
        <f ca="1">IFERROR(__xludf.DUMMYFUNCTION("""COMPUTED_VALUE"""),106267)</f>
        <v>106267</v>
      </c>
      <c r="B5408" s="4">
        <f ca="1">IFERROR(__xludf.DUMMYFUNCTION("""COMPUTED_VALUE"""),44804)</f>
        <v>44804</v>
      </c>
      <c r="C5408" t="str">
        <f ca="1">IFERROR(__xludf.DUMMYFUNCTION("""COMPUTED_VALUE"""),"ООО ""БЛАГОУСТРОЙСТВО"" 152-СТР от 22.07.2022")</f>
        <v>ООО "БЛАГОУСТРОЙСТВО" 152-СТР от 22.07.2022</v>
      </c>
      <c r="D54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8" t="str">
        <f ca="1">IFERROR(__xludf.DUMMYFUNCTION("""COMPUTED_VALUE"""),"Новый")</f>
        <v>Новый</v>
      </c>
      <c r="G5408" s="68"/>
      <c r="K5408" s="68"/>
    </row>
    <row r="5409" spans="1:11" ht="12.75">
      <c r="A5409" s="69">
        <f ca="1">IFERROR(__xludf.DUMMYFUNCTION("""COMPUTED_VALUE"""),106268)</f>
        <v>106268</v>
      </c>
      <c r="B5409" s="4">
        <f ca="1">IFERROR(__xludf.DUMMYFUNCTION("""COMPUTED_VALUE"""),44804)</f>
        <v>44804</v>
      </c>
      <c r="C5409" t="str">
        <f ca="1">IFERROR(__xludf.DUMMYFUNCTION("""COMPUTED_VALUE"""),"ООО ""БЛАГОУСТРОЙСТВО"" 152-СТР от 22.07.2022")</f>
        <v>ООО "БЛАГОУСТРОЙСТВО" 152-СТР от 22.07.2022</v>
      </c>
      <c r="D54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09" t="str">
        <f ca="1">IFERROR(__xludf.DUMMYFUNCTION("""COMPUTED_VALUE"""),"Новый")</f>
        <v>Новый</v>
      </c>
      <c r="G5409" s="68"/>
      <c r="K5409" s="68"/>
    </row>
    <row r="5410" spans="1:11" ht="12.75">
      <c r="A5410" s="69">
        <f ca="1">IFERROR(__xludf.DUMMYFUNCTION("""COMPUTED_VALUE"""),106269)</f>
        <v>106269</v>
      </c>
      <c r="B5410" s="4">
        <f ca="1">IFERROR(__xludf.DUMMYFUNCTION("""COMPUTED_VALUE"""),44804)</f>
        <v>44804</v>
      </c>
      <c r="C5410" t="str">
        <f ca="1">IFERROR(__xludf.DUMMYFUNCTION("""COMPUTED_VALUE"""),"ООО ""БЛАГОУСТРОЙСТВО"" 152-СТР от 22.07.2022")</f>
        <v>ООО "БЛАГОУСТРОЙСТВО" 152-СТР от 22.07.2022</v>
      </c>
      <c r="D54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0" t="str">
        <f ca="1">IFERROR(__xludf.DUMMYFUNCTION("""COMPUTED_VALUE"""),"Новый")</f>
        <v>Новый</v>
      </c>
      <c r="G5410" s="68"/>
      <c r="K5410" s="68"/>
    </row>
    <row r="5411" spans="1:11" ht="12.75">
      <c r="A5411" s="69">
        <f ca="1">IFERROR(__xludf.DUMMYFUNCTION("""COMPUTED_VALUE"""),106270)</f>
        <v>106270</v>
      </c>
      <c r="B5411" s="4">
        <f ca="1">IFERROR(__xludf.DUMMYFUNCTION("""COMPUTED_VALUE"""),44804)</f>
        <v>44804</v>
      </c>
      <c r="C5411" t="str">
        <f ca="1">IFERROR(__xludf.DUMMYFUNCTION("""COMPUTED_VALUE"""),"ООО ""БЛАГОУСТРОЙСТВО"" 152-СТР от 22.07.2022")</f>
        <v>ООО "БЛАГОУСТРОЙСТВО" 152-СТР от 22.07.2022</v>
      </c>
      <c r="D54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1" t="str">
        <f ca="1">IFERROR(__xludf.DUMMYFUNCTION("""COMPUTED_VALUE"""),"Новый")</f>
        <v>Новый</v>
      </c>
      <c r="G5411" s="68"/>
      <c r="K5411" s="68"/>
    </row>
    <row r="5412" spans="1:11" ht="12.75">
      <c r="A5412" s="69">
        <f ca="1">IFERROR(__xludf.DUMMYFUNCTION("""COMPUTED_VALUE"""),106271)</f>
        <v>106271</v>
      </c>
      <c r="B5412" s="4">
        <f ca="1">IFERROR(__xludf.DUMMYFUNCTION("""COMPUTED_VALUE"""),44804)</f>
        <v>44804</v>
      </c>
      <c r="C5412" t="str">
        <f ca="1">IFERROR(__xludf.DUMMYFUNCTION("""COMPUTED_VALUE"""),"ООО ""БЛАГОУСТРОЙСТВО"" 152-СТР от 22.07.2022")</f>
        <v>ООО "БЛАГОУСТРОЙСТВО" 152-СТР от 22.07.2022</v>
      </c>
      <c r="D54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2" t="str">
        <f ca="1">IFERROR(__xludf.DUMMYFUNCTION("""COMPUTED_VALUE"""),"Новый")</f>
        <v>Новый</v>
      </c>
      <c r="G5412" s="68"/>
      <c r="K5412" s="68"/>
    </row>
    <row r="5413" spans="1:11" ht="12.75">
      <c r="A5413" s="69">
        <f ca="1">IFERROR(__xludf.DUMMYFUNCTION("""COMPUTED_VALUE"""),106272)</f>
        <v>106272</v>
      </c>
      <c r="B5413" s="4">
        <f ca="1">IFERROR(__xludf.DUMMYFUNCTION("""COMPUTED_VALUE"""),44804)</f>
        <v>44804</v>
      </c>
      <c r="C5413" t="str">
        <f ca="1">IFERROR(__xludf.DUMMYFUNCTION("""COMPUTED_VALUE"""),"ООО ""БЛАГОУСТРОЙСТВО"" 152-СТР от 22.07.2022")</f>
        <v>ООО "БЛАГОУСТРОЙСТВО" 152-СТР от 22.07.2022</v>
      </c>
      <c r="D54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3" t="str">
        <f ca="1">IFERROR(__xludf.DUMMYFUNCTION("""COMPUTED_VALUE"""),"Новый")</f>
        <v>Новый</v>
      </c>
      <c r="G5413" s="68"/>
      <c r="K5413" s="68"/>
    </row>
    <row r="5414" spans="1:11" ht="12.75">
      <c r="A5414" s="69">
        <f ca="1">IFERROR(__xludf.DUMMYFUNCTION("""COMPUTED_VALUE"""),106273)</f>
        <v>106273</v>
      </c>
      <c r="B5414" s="4">
        <f ca="1">IFERROR(__xludf.DUMMYFUNCTION("""COMPUTED_VALUE"""),44804)</f>
        <v>44804</v>
      </c>
      <c r="C5414" t="str">
        <f ca="1">IFERROR(__xludf.DUMMYFUNCTION("""COMPUTED_VALUE"""),"ООО ""БЛАГОУСТРОЙСТВО"" 152-СТР от 22.07.2022")</f>
        <v>ООО "БЛАГОУСТРОЙСТВО" 152-СТР от 22.07.2022</v>
      </c>
      <c r="D54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4" t="str">
        <f ca="1">IFERROR(__xludf.DUMMYFUNCTION("""COMPUTED_VALUE"""),"Новый")</f>
        <v>Новый</v>
      </c>
      <c r="G5414" s="68"/>
      <c r="K5414" s="68"/>
    </row>
    <row r="5415" spans="1:11" ht="12.75">
      <c r="A5415" s="69">
        <f ca="1">IFERROR(__xludf.DUMMYFUNCTION("""COMPUTED_VALUE"""),106274)</f>
        <v>106274</v>
      </c>
      <c r="B5415" s="4">
        <f ca="1">IFERROR(__xludf.DUMMYFUNCTION("""COMPUTED_VALUE"""),44804)</f>
        <v>44804</v>
      </c>
      <c r="C5415" t="str">
        <f ca="1">IFERROR(__xludf.DUMMYFUNCTION("""COMPUTED_VALUE"""),"ООО ""БЛАГОУСТРОЙСТВО"" 152-СТР от 22.07.2022")</f>
        <v>ООО "БЛАГОУСТРОЙСТВО" 152-СТР от 22.07.2022</v>
      </c>
      <c r="D54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5" t="str">
        <f ca="1">IFERROR(__xludf.DUMMYFUNCTION("""COMPUTED_VALUE"""),"Новый")</f>
        <v>Новый</v>
      </c>
      <c r="G5415" s="68"/>
      <c r="K5415" s="68"/>
    </row>
    <row r="5416" spans="1:11" ht="12.75">
      <c r="A5416" s="69">
        <f ca="1">IFERROR(__xludf.DUMMYFUNCTION("""COMPUTED_VALUE"""),106275)</f>
        <v>106275</v>
      </c>
      <c r="B5416" s="4">
        <f ca="1">IFERROR(__xludf.DUMMYFUNCTION("""COMPUTED_VALUE"""),44804)</f>
        <v>44804</v>
      </c>
      <c r="C5416" t="str">
        <f ca="1">IFERROR(__xludf.DUMMYFUNCTION("""COMPUTED_VALUE"""),"ООО ""БЛАГОУСТРОЙСТВО"" 152-СТР от 22.07.2022")</f>
        <v>ООО "БЛАГОУСТРОЙСТВО" 152-СТР от 22.07.2022</v>
      </c>
      <c r="D54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6" t="str">
        <f ca="1">IFERROR(__xludf.DUMMYFUNCTION("""COMPUTED_VALUE"""),"Новый")</f>
        <v>Новый</v>
      </c>
      <c r="G5416" s="68"/>
      <c r="K5416" s="68"/>
    </row>
    <row r="5417" spans="1:11" ht="12.75">
      <c r="A5417" s="69">
        <f ca="1">IFERROR(__xludf.DUMMYFUNCTION("""COMPUTED_VALUE"""),106276)</f>
        <v>106276</v>
      </c>
      <c r="B5417" s="4">
        <f ca="1">IFERROR(__xludf.DUMMYFUNCTION("""COMPUTED_VALUE"""),44804)</f>
        <v>44804</v>
      </c>
      <c r="C5417" t="str">
        <f ca="1">IFERROR(__xludf.DUMMYFUNCTION("""COMPUTED_VALUE"""),"ООО ""БЛАГОУСТРОЙСТВО"" 152-СТР от 22.07.2022")</f>
        <v>ООО "БЛАГОУСТРОЙСТВО" 152-СТР от 22.07.2022</v>
      </c>
      <c r="D54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7" t="str">
        <f ca="1">IFERROR(__xludf.DUMMYFUNCTION("""COMPUTED_VALUE"""),"Новый")</f>
        <v>Новый</v>
      </c>
      <c r="G5417" s="68"/>
      <c r="K5417" s="68"/>
    </row>
    <row r="5418" spans="1:11" ht="12.75">
      <c r="A5418" s="69">
        <f ca="1">IFERROR(__xludf.DUMMYFUNCTION("""COMPUTED_VALUE"""),106277)</f>
        <v>106277</v>
      </c>
      <c r="B5418" s="4">
        <f ca="1">IFERROR(__xludf.DUMMYFUNCTION("""COMPUTED_VALUE"""),44804)</f>
        <v>44804</v>
      </c>
      <c r="C5418" t="str">
        <f ca="1">IFERROR(__xludf.DUMMYFUNCTION("""COMPUTED_VALUE"""),"ООО ""БЛАГОУСТРОЙСТВО"" 152-СТР от 22.07.2022")</f>
        <v>ООО "БЛАГОУСТРОЙСТВО" 152-СТР от 22.07.2022</v>
      </c>
      <c r="D54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8" t="str">
        <f ca="1">IFERROR(__xludf.DUMMYFUNCTION("""COMPUTED_VALUE"""),"Новый")</f>
        <v>Новый</v>
      </c>
      <c r="G5418" s="68"/>
      <c r="K5418" s="68"/>
    </row>
    <row r="5419" spans="1:11" ht="12.75">
      <c r="A5419" s="69">
        <f ca="1">IFERROR(__xludf.DUMMYFUNCTION("""COMPUTED_VALUE"""),106278)</f>
        <v>106278</v>
      </c>
      <c r="B5419" s="4">
        <f ca="1">IFERROR(__xludf.DUMMYFUNCTION("""COMPUTED_VALUE"""),44804)</f>
        <v>44804</v>
      </c>
      <c r="C5419" t="str">
        <f ca="1">IFERROR(__xludf.DUMMYFUNCTION("""COMPUTED_VALUE"""),"ООО ""БЛАГОУСТРОЙСТВО"" 152-СТР от 22.07.2022")</f>
        <v>ООО "БЛАГОУСТРОЙСТВО" 152-СТР от 22.07.2022</v>
      </c>
      <c r="D54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19" t="str">
        <f ca="1">IFERROR(__xludf.DUMMYFUNCTION("""COMPUTED_VALUE"""),"Новый")</f>
        <v>Новый</v>
      </c>
      <c r="G5419" s="68"/>
      <c r="K5419" s="68"/>
    </row>
    <row r="5420" spans="1:11" ht="12.75">
      <c r="A5420" s="69">
        <f ca="1">IFERROR(__xludf.DUMMYFUNCTION("""COMPUTED_VALUE"""),106279)</f>
        <v>106279</v>
      </c>
      <c r="B5420" s="4">
        <f ca="1">IFERROR(__xludf.DUMMYFUNCTION("""COMPUTED_VALUE"""),44804)</f>
        <v>44804</v>
      </c>
      <c r="C5420" t="str">
        <f ca="1">IFERROR(__xludf.DUMMYFUNCTION("""COMPUTED_VALUE"""),"ООО ""БЛАГОУСТРОЙСТВО"" 152-СТР от 22.07.2022")</f>
        <v>ООО "БЛАГОУСТРОЙСТВО" 152-СТР от 22.07.2022</v>
      </c>
      <c r="D54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0" t="str">
        <f ca="1">IFERROR(__xludf.DUMMYFUNCTION("""COMPUTED_VALUE"""),"Новый")</f>
        <v>Новый</v>
      </c>
      <c r="G5420" s="68"/>
      <c r="K5420" s="68"/>
    </row>
    <row r="5421" spans="1:11" ht="12.75">
      <c r="A5421" s="69">
        <f ca="1">IFERROR(__xludf.DUMMYFUNCTION("""COMPUTED_VALUE"""),106290)</f>
        <v>106290</v>
      </c>
      <c r="B5421" s="4">
        <f ca="1">IFERROR(__xludf.DUMMYFUNCTION("""COMPUTED_VALUE"""),44804)</f>
        <v>44804</v>
      </c>
      <c r="C5421" t="str">
        <f ca="1">IFERROR(__xludf.DUMMYFUNCTION("""COMPUTED_VALUE"""),"ООО ""БЛАГОУСТРОЙСТВО"" 152-СТР от 22.07.2022")</f>
        <v>ООО "БЛАГОУСТРОЙСТВО" 152-СТР от 22.07.2022</v>
      </c>
      <c r="D54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1" t="str">
        <f ca="1">IFERROR(__xludf.DUMMYFUNCTION("""COMPUTED_VALUE"""),"Новый")</f>
        <v>Новый</v>
      </c>
      <c r="G5421" s="68"/>
      <c r="K5421" s="68"/>
    </row>
    <row r="5422" spans="1:11" ht="12.75">
      <c r="A5422" s="69">
        <f ca="1">IFERROR(__xludf.DUMMYFUNCTION("""COMPUTED_VALUE"""),106291)</f>
        <v>106291</v>
      </c>
      <c r="B5422" s="4">
        <f ca="1">IFERROR(__xludf.DUMMYFUNCTION("""COMPUTED_VALUE"""),44804)</f>
        <v>44804</v>
      </c>
      <c r="C5422" t="str">
        <f ca="1">IFERROR(__xludf.DUMMYFUNCTION("""COMPUTED_VALUE"""),"ООО ""БЛАГОУСТРОЙСТВО"" 152-СТР от 22.07.2022")</f>
        <v>ООО "БЛАГОУСТРОЙСТВО" 152-СТР от 22.07.2022</v>
      </c>
      <c r="D54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2" t="str">
        <f ca="1">IFERROR(__xludf.DUMMYFUNCTION("""COMPUTED_VALUE"""),"Новый")</f>
        <v>Новый</v>
      </c>
      <c r="G5422" s="68"/>
      <c r="K5422" s="68"/>
    </row>
    <row r="5423" spans="1:11" ht="12.75">
      <c r="A5423" s="69">
        <f ca="1">IFERROR(__xludf.DUMMYFUNCTION("""COMPUTED_VALUE"""),106292)</f>
        <v>106292</v>
      </c>
      <c r="B5423" s="4">
        <f ca="1">IFERROR(__xludf.DUMMYFUNCTION("""COMPUTED_VALUE"""),44804)</f>
        <v>44804</v>
      </c>
      <c r="C5423" t="str">
        <f ca="1">IFERROR(__xludf.DUMMYFUNCTION("""COMPUTED_VALUE"""),"ООО ""БЛАГОУСТРОЙСТВО"" 152-СТР от 22.07.2022")</f>
        <v>ООО "БЛАГОУСТРОЙСТВО" 152-СТР от 22.07.2022</v>
      </c>
      <c r="D54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3" t="str">
        <f ca="1">IFERROR(__xludf.DUMMYFUNCTION("""COMPUTED_VALUE"""),"Новый")</f>
        <v>Новый</v>
      </c>
      <c r="G5423" s="68"/>
      <c r="K5423" s="68"/>
    </row>
    <row r="5424" spans="1:11" ht="12.75">
      <c r="A5424" s="69">
        <f ca="1">IFERROR(__xludf.DUMMYFUNCTION("""COMPUTED_VALUE"""),106293)</f>
        <v>106293</v>
      </c>
      <c r="B5424" s="4">
        <f ca="1">IFERROR(__xludf.DUMMYFUNCTION("""COMPUTED_VALUE"""),44804)</f>
        <v>44804</v>
      </c>
      <c r="C5424" t="str">
        <f ca="1">IFERROR(__xludf.DUMMYFUNCTION("""COMPUTED_VALUE"""),"ООО ""БЛАГОУСТРОЙСТВО"" 152-СТР от 22.07.2022")</f>
        <v>ООО "БЛАГОУСТРОЙСТВО" 152-СТР от 22.07.2022</v>
      </c>
      <c r="D54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4" t="str">
        <f ca="1">IFERROR(__xludf.DUMMYFUNCTION("""COMPUTED_VALUE"""),"Новый")</f>
        <v>Новый</v>
      </c>
      <c r="G5424" s="68"/>
      <c r="K5424" s="68"/>
    </row>
    <row r="5425" spans="1:11" ht="12.75">
      <c r="A5425" s="69">
        <f ca="1">IFERROR(__xludf.DUMMYFUNCTION("""COMPUTED_VALUE"""),106294)</f>
        <v>106294</v>
      </c>
      <c r="B5425" s="4">
        <f ca="1">IFERROR(__xludf.DUMMYFUNCTION("""COMPUTED_VALUE"""),44804)</f>
        <v>44804</v>
      </c>
      <c r="C5425" t="str">
        <f ca="1">IFERROR(__xludf.DUMMYFUNCTION("""COMPUTED_VALUE"""),"ООО ""БЛАГОУСТРОЙСТВО"" 152-СТР от 22.07.2022")</f>
        <v>ООО "БЛАГОУСТРОЙСТВО" 152-СТР от 22.07.2022</v>
      </c>
      <c r="D54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5" t="str">
        <f ca="1">IFERROR(__xludf.DUMMYFUNCTION("""COMPUTED_VALUE"""),"Новый")</f>
        <v>Новый</v>
      </c>
      <c r="G5425" s="68"/>
      <c r="K5425" s="68"/>
    </row>
    <row r="5426" spans="1:11" ht="12.75">
      <c r="A5426" s="69">
        <f ca="1">IFERROR(__xludf.DUMMYFUNCTION("""COMPUTED_VALUE"""),106295)</f>
        <v>106295</v>
      </c>
      <c r="B5426" s="4">
        <f ca="1">IFERROR(__xludf.DUMMYFUNCTION("""COMPUTED_VALUE"""),44804)</f>
        <v>44804</v>
      </c>
      <c r="C5426" t="str">
        <f ca="1">IFERROR(__xludf.DUMMYFUNCTION("""COMPUTED_VALUE"""),"ООО ""БЛАГОУСТРОЙСТВО"" 152-СТР от 22.07.2022")</f>
        <v>ООО "БЛАГОУСТРОЙСТВО" 152-СТР от 22.07.2022</v>
      </c>
      <c r="D54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6" t="str">
        <f ca="1">IFERROR(__xludf.DUMMYFUNCTION("""COMPUTED_VALUE"""),"Новый")</f>
        <v>Новый</v>
      </c>
      <c r="G5426" s="68"/>
      <c r="K5426" s="68"/>
    </row>
    <row r="5427" spans="1:11" ht="12.75">
      <c r="A5427" s="69">
        <f ca="1">IFERROR(__xludf.DUMMYFUNCTION("""COMPUTED_VALUE"""),106296)</f>
        <v>106296</v>
      </c>
      <c r="B5427" s="4">
        <f ca="1">IFERROR(__xludf.DUMMYFUNCTION("""COMPUTED_VALUE"""),44804)</f>
        <v>44804</v>
      </c>
      <c r="C5427" t="str">
        <f ca="1">IFERROR(__xludf.DUMMYFUNCTION("""COMPUTED_VALUE"""),"ООО ""БЛАГОУСТРОЙСТВО"" 152-СТР от 22.07.2022")</f>
        <v>ООО "БЛАГОУСТРОЙСТВО" 152-СТР от 22.07.2022</v>
      </c>
      <c r="D54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7" t="str">
        <f ca="1">IFERROR(__xludf.DUMMYFUNCTION("""COMPUTED_VALUE"""),"Новый")</f>
        <v>Новый</v>
      </c>
      <c r="G5427" s="68"/>
      <c r="K5427" s="68"/>
    </row>
    <row r="5428" spans="1:11" ht="12.75">
      <c r="A5428" s="69">
        <f ca="1">IFERROR(__xludf.DUMMYFUNCTION("""COMPUTED_VALUE"""),106297)</f>
        <v>106297</v>
      </c>
      <c r="B5428" s="4">
        <f ca="1">IFERROR(__xludf.DUMMYFUNCTION("""COMPUTED_VALUE"""),44804)</f>
        <v>44804</v>
      </c>
      <c r="C5428" t="str">
        <f ca="1">IFERROR(__xludf.DUMMYFUNCTION("""COMPUTED_VALUE"""),"ООО ""БЛАГОУСТРОЙСТВО"" 152-СТР от 22.07.2022")</f>
        <v>ООО "БЛАГОУСТРОЙСТВО" 152-СТР от 22.07.2022</v>
      </c>
      <c r="D54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28" t="str">
        <f ca="1">IFERROR(__xludf.DUMMYFUNCTION("""COMPUTED_VALUE"""),"Новый")</f>
        <v>Новый</v>
      </c>
      <c r="G5428" s="68"/>
      <c r="K5428" s="68"/>
    </row>
    <row r="5429" spans="1:11" ht="12.75">
      <c r="A5429" s="69">
        <f ca="1">IFERROR(__xludf.DUMMYFUNCTION("""COMPUTED_VALUE"""),106310)</f>
        <v>106310</v>
      </c>
      <c r="B5429" s="4">
        <f ca="1">IFERROR(__xludf.DUMMYFUNCTION("""COMPUTED_VALUE"""),44805)</f>
        <v>44805</v>
      </c>
      <c r="C5429" t="str">
        <f ca="1">IFERROR(__xludf.DUMMYFUNCTION("""COMPUTED_VALUE"""),"ИП Шерматов Б.М. 210-РДО от 18.08.2022")</f>
        <v>ИП Шерматов Б.М. 210-РДО от 18.08.2022</v>
      </c>
      <c r="D54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29" t="str">
        <f ca="1">IFERROR(__xludf.DUMMYFUNCTION("""COMPUTED_VALUE"""),"Новый")</f>
        <v>Новый</v>
      </c>
      <c r="G5429" s="68"/>
      <c r="K5429" s="68"/>
    </row>
    <row r="5430" spans="1:11" ht="12.75">
      <c r="A5430" s="69">
        <f ca="1">IFERROR(__xludf.DUMMYFUNCTION("""COMPUTED_VALUE"""),106311)</f>
        <v>106311</v>
      </c>
      <c r="B5430" s="4">
        <f ca="1">IFERROR(__xludf.DUMMYFUNCTION("""COMPUTED_VALUE"""),44805)</f>
        <v>44805</v>
      </c>
      <c r="C5430" t="str">
        <f ca="1">IFERROR(__xludf.DUMMYFUNCTION("""COMPUTED_VALUE"""),"ИП Шерматов Б.М. 210-РДО от 18.08.2022")</f>
        <v>ИП Шерматов Б.М. 210-РДО от 18.08.2022</v>
      </c>
      <c r="D54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0" t="str">
        <f ca="1">IFERROR(__xludf.DUMMYFUNCTION("""COMPUTED_VALUE"""),"Новый")</f>
        <v>Новый</v>
      </c>
      <c r="G5430" s="68"/>
      <c r="K5430" s="68"/>
    </row>
    <row r="5431" spans="1:11" ht="12.75">
      <c r="A5431" s="69">
        <f ca="1">IFERROR(__xludf.DUMMYFUNCTION("""COMPUTED_VALUE"""),106312)</f>
        <v>106312</v>
      </c>
      <c r="B5431" s="4">
        <f ca="1">IFERROR(__xludf.DUMMYFUNCTION("""COMPUTED_VALUE"""),44805)</f>
        <v>44805</v>
      </c>
      <c r="C5431" t="str">
        <f ca="1">IFERROR(__xludf.DUMMYFUNCTION("""COMPUTED_VALUE"""),"ИП Шерматов Б.М. 210-РДО от 18.08.2022")</f>
        <v>ИП Шерматов Б.М. 210-РДО от 18.08.2022</v>
      </c>
      <c r="D54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1" t="str">
        <f ca="1">IFERROR(__xludf.DUMMYFUNCTION("""COMPUTED_VALUE"""),"Новый")</f>
        <v>Новый</v>
      </c>
      <c r="G5431" s="68"/>
      <c r="K5431" s="68"/>
    </row>
    <row r="5432" spans="1:11" ht="12.75">
      <c r="A5432" s="69">
        <f ca="1">IFERROR(__xludf.DUMMYFUNCTION("""COMPUTED_VALUE"""),106313)</f>
        <v>106313</v>
      </c>
      <c r="B5432" s="4">
        <f ca="1">IFERROR(__xludf.DUMMYFUNCTION("""COMPUTED_VALUE"""),44805)</f>
        <v>44805</v>
      </c>
      <c r="C5432" t="str">
        <f ca="1">IFERROR(__xludf.DUMMYFUNCTION("""COMPUTED_VALUE"""),"ИП Шерматов Б.М. 210-РДО от 18.08.2022")</f>
        <v>ИП Шерматов Б.М. 210-РДО от 18.08.2022</v>
      </c>
      <c r="D54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2" t="str">
        <f ca="1">IFERROR(__xludf.DUMMYFUNCTION("""COMPUTED_VALUE"""),"Новый")</f>
        <v>Новый</v>
      </c>
      <c r="G5432" s="68"/>
      <c r="K5432" s="68"/>
    </row>
    <row r="5433" spans="1:11" ht="12.75">
      <c r="A5433" s="69">
        <f ca="1">IFERROR(__xludf.DUMMYFUNCTION("""COMPUTED_VALUE"""),106314)</f>
        <v>106314</v>
      </c>
      <c r="B5433" s="4">
        <f ca="1">IFERROR(__xludf.DUMMYFUNCTION("""COMPUTED_VALUE"""),44805)</f>
        <v>44805</v>
      </c>
      <c r="C5433" t="str">
        <f ca="1">IFERROR(__xludf.DUMMYFUNCTION("""COMPUTED_VALUE"""),"ИП Шерматов Б.М. 210-РДО от 18.08.2022")</f>
        <v>ИП Шерматов Б.М. 210-РДО от 18.08.2022</v>
      </c>
      <c r="D54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3" t="str">
        <f ca="1">IFERROR(__xludf.DUMMYFUNCTION("""COMPUTED_VALUE"""),"Новый")</f>
        <v>Новый</v>
      </c>
      <c r="G5433" s="68"/>
      <c r="K5433" s="68"/>
    </row>
    <row r="5434" spans="1:11" ht="12.75">
      <c r="A5434" s="69">
        <f ca="1">IFERROR(__xludf.DUMMYFUNCTION("""COMPUTED_VALUE"""),106315)</f>
        <v>106315</v>
      </c>
      <c r="B5434" s="4">
        <f ca="1">IFERROR(__xludf.DUMMYFUNCTION("""COMPUTED_VALUE"""),44805)</f>
        <v>44805</v>
      </c>
      <c r="C5434" t="str">
        <f ca="1">IFERROR(__xludf.DUMMYFUNCTION("""COMPUTED_VALUE"""),"ИП Шерматов Б.М. 210-РДО от 18.08.2022")</f>
        <v>ИП Шерматов Б.М. 210-РДО от 18.08.2022</v>
      </c>
      <c r="D54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4" t="str">
        <f ca="1">IFERROR(__xludf.DUMMYFUNCTION("""COMPUTED_VALUE"""),"Новый")</f>
        <v>Новый</v>
      </c>
      <c r="G5434" s="68"/>
      <c r="K5434" s="68"/>
    </row>
    <row r="5435" spans="1:11" ht="12.75">
      <c r="A5435" s="69">
        <f ca="1">IFERROR(__xludf.DUMMYFUNCTION("""COMPUTED_VALUE"""),106316)</f>
        <v>106316</v>
      </c>
      <c r="B5435" s="4">
        <f ca="1">IFERROR(__xludf.DUMMYFUNCTION("""COMPUTED_VALUE"""),44805)</f>
        <v>44805</v>
      </c>
      <c r="C5435" t="str">
        <f ca="1">IFERROR(__xludf.DUMMYFUNCTION("""COMPUTED_VALUE"""),"ИП Шерматов Б.М. 210-РДО от 18.08.2022")</f>
        <v>ИП Шерматов Б.М. 210-РДО от 18.08.2022</v>
      </c>
      <c r="D54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5" t="str">
        <f ca="1">IFERROR(__xludf.DUMMYFUNCTION("""COMPUTED_VALUE"""),"Новый")</f>
        <v>Новый</v>
      </c>
      <c r="G5435" s="68"/>
      <c r="K5435" s="68"/>
    </row>
    <row r="5436" spans="1:11" ht="12.75">
      <c r="A5436" s="69">
        <f ca="1">IFERROR(__xludf.DUMMYFUNCTION("""COMPUTED_VALUE"""),106317)</f>
        <v>106317</v>
      </c>
      <c r="B5436" s="4">
        <f ca="1">IFERROR(__xludf.DUMMYFUNCTION("""COMPUTED_VALUE"""),44805)</f>
        <v>44805</v>
      </c>
      <c r="C5436" t="str">
        <f ca="1">IFERROR(__xludf.DUMMYFUNCTION("""COMPUTED_VALUE"""),"ИП Шерматов Б.М. 210-РДО от 18.08.2022")</f>
        <v>ИП Шерматов Б.М. 210-РДО от 18.08.2022</v>
      </c>
      <c r="D54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6" t="str">
        <f ca="1">IFERROR(__xludf.DUMMYFUNCTION("""COMPUTED_VALUE"""),"Новый")</f>
        <v>Новый</v>
      </c>
      <c r="G5436" s="68"/>
      <c r="K5436" s="68"/>
    </row>
    <row r="5437" spans="1:11" ht="12.75">
      <c r="A5437" s="69">
        <f ca="1">IFERROR(__xludf.DUMMYFUNCTION("""COMPUTED_VALUE"""),106318)</f>
        <v>106318</v>
      </c>
      <c r="B5437" s="4">
        <f ca="1">IFERROR(__xludf.DUMMYFUNCTION("""COMPUTED_VALUE"""),44805)</f>
        <v>44805</v>
      </c>
      <c r="C5437" t="str">
        <f ca="1">IFERROR(__xludf.DUMMYFUNCTION("""COMPUTED_VALUE"""),"ИП Шерматов Б.М. 210-РДО от 18.08.2022")</f>
        <v>ИП Шерматов Б.М. 210-РДО от 18.08.2022</v>
      </c>
      <c r="D54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7" t="str">
        <f ca="1">IFERROR(__xludf.DUMMYFUNCTION("""COMPUTED_VALUE"""),"Новый")</f>
        <v>Новый</v>
      </c>
      <c r="G5437" s="68"/>
      <c r="K5437" s="68"/>
    </row>
    <row r="5438" spans="1:11" ht="12.75">
      <c r="A5438" s="69">
        <f ca="1">IFERROR(__xludf.DUMMYFUNCTION("""COMPUTED_VALUE"""),106319)</f>
        <v>106319</v>
      </c>
      <c r="B5438" s="4">
        <f ca="1">IFERROR(__xludf.DUMMYFUNCTION("""COMPUTED_VALUE"""),44805)</f>
        <v>44805</v>
      </c>
      <c r="C5438" t="str">
        <f ca="1">IFERROR(__xludf.DUMMYFUNCTION("""COMPUTED_VALUE"""),"ИП Шерматов Б.М. 210-РДО от 18.08.2022")</f>
        <v>ИП Шерматов Б.М. 210-РДО от 18.08.2022</v>
      </c>
      <c r="D54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8" t="str">
        <f ca="1">IFERROR(__xludf.DUMMYFUNCTION("""COMPUTED_VALUE"""),"Новый")</f>
        <v>Новый</v>
      </c>
      <c r="G5438" s="68"/>
      <c r="K5438" s="68"/>
    </row>
    <row r="5439" spans="1:11" ht="12.75">
      <c r="A5439" s="69">
        <f ca="1">IFERROR(__xludf.DUMMYFUNCTION("""COMPUTED_VALUE"""),106320)</f>
        <v>106320</v>
      </c>
      <c r="B5439" s="4">
        <f ca="1">IFERROR(__xludf.DUMMYFUNCTION("""COMPUTED_VALUE"""),44805)</f>
        <v>44805</v>
      </c>
      <c r="C5439" t="str">
        <f ca="1">IFERROR(__xludf.DUMMYFUNCTION("""COMPUTED_VALUE"""),"ИП Шерматов Б.М. 210-РДО от 18.08.2022")</f>
        <v>ИП Шерматов Б.М. 210-РДО от 18.08.2022</v>
      </c>
      <c r="D54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39" t="str">
        <f ca="1">IFERROR(__xludf.DUMMYFUNCTION("""COMPUTED_VALUE"""),"Новый")</f>
        <v>Новый</v>
      </c>
      <c r="G5439" s="68"/>
      <c r="K5439" s="68"/>
    </row>
    <row r="5440" spans="1:11" ht="12.75">
      <c r="A5440" s="69">
        <f ca="1">IFERROR(__xludf.DUMMYFUNCTION("""COMPUTED_VALUE"""),106321)</f>
        <v>106321</v>
      </c>
      <c r="B5440" s="4">
        <f ca="1">IFERROR(__xludf.DUMMYFUNCTION("""COMPUTED_VALUE"""),44805)</f>
        <v>44805</v>
      </c>
      <c r="C5440" t="str">
        <f ca="1">IFERROR(__xludf.DUMMYFUNCTION("""COMPUTED_VALUE"""),"ИП Шерматов Б.М. 210-РДО от 18.08.2022")</f>
        <v>ИП Шерматов Б.М. 210-РДО от 18.08.2022</v>
      </c>
      <c r="D54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0" t="str">
        <f ca="1">IFERROR(__xludf.DUMMYFUNCTION("""COMPUTED_VALUE"""),"Новый")</f>
        <v>Новый</v>
      </c>
      <c r="G5440" s="68"/>
      <c r="K5440" s="68"/>
    </row>
    <row r="5441" spans="1:11" ht="12.75">
      <c r="A5441" s="69">
        <f ca="1">IFERROR(__xludf.DUMMYFUNCTION("""COMPUTED_VALUE"""),106322)</f>
        <v>106322</v>
      </c>
      <c r="B5441" s="4">
        <f ca="1">IFERROR(__xludf.DUMMYFUNCTION("""COMPUTED_VALUE"""),44805)</f>
        <v>44805</v>
      </c>
      <c r="C5441" t="str">
        <f ca="1">IFERROR(__xludf.DUMMYFUNCTION("""COMPUTED_VALUE"""),"ИП Шерматов Б.М. 210-РДО от 18.08.2022")</f>
        <v>ИП Шерматов Б.М. 210-РДО от 18.08.2022</v>
      </c>
      <c r="D54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1" t="str">
        <f ca="1">IFERROR(__xludf.DUMMYFUNCTION("""COMPUTED_VALUE"""),"Новый")</f>
        <v>Новый</v>
      </c>
      <c r="G5441" s="68"/>
      <c r="K5441" s="68"/>
    </row>
    <row r="5442" spans="1:11" ht="12.75">
      <c r="A5442" s="69">
        <f ca="1">IFERROR(__xludf.DUMMYFUNCTION("""COMPUTED_VALUE"""),106323)</f>
        <v>106323</v>
      </c>
      <c r="B5442" s="4">
        <f ca="1">IFERROR(__xludf.DUMMYFUNCTION("""COMPUTED_VALUE"""),44805)</f>
        <v>44805</v>
      </c>
      <c r="C5442" t="str">
        <f ca="1">IFERROR(__xludf.DUMMYFUNCTION("""COMPUTED_VALUE"""),"ИП Шерматов Б.М. 210-РДО от 18.08.2022")</f>
        <v>ИП Шерматов Б.М. 210-РДО от 18.08.2022</v>
      </c>
      <c r="D54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2" t="str">
        <f ca="1">IFERROR(__xludf.DUMMYFUNCTION("""COMPUTED_VALUE"""),"Новый")</f>
        <v>Новый</v>
      </c>
      <c r="G5442" s="68"/>
      <c r="K5442" s="68"/>
    </row>
    <row r="5443" spans="1:11" ht="12.75">
      <c r="A5443" s="69">
        <f ca="1">IFERROR(__xludf.DUMMYFUNCTION("""COMPUTED_VALUE"""),106324)</f>
        <v>106324</v>
      </c>
      <c r="B5443" s="4">
        <f ca="1">IFERROR(__xludf.DUMMYFUNCTION("""COMPUTED_VALUE"""),44805)</f>
        <v>44805</v>
      </c>
      <c r="C5443" t="str">
        <f ca="1">IFERROR(__xludf.DUMMYFUNCTION("""COMPUTED_VALUE"""),"ИП Шерматов Б.М. 210-РДО от 18.08.2022")</f>
        <v>ИП Шерматов Б.М. 210-РДО от 18.08.2022</v>
      </c>
      <c r="D54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3" t="str">
        <f ca="1">IFERROR(__xludf.DUMMYFUNCTION("""COMPUTED_VALUE"""),"Новый")</f>
        <v>Новый</v>
      </c>
      <c r="G5443" s="68"/>
      <c r="K5443" s="68"/>
    </row>
    <row r="5444" spans="1:11" ht="12.75">
      <c r="A5444" s="69">
        <f ca="1">IFERROR(__xludf.DUMMYFUNCTION("""COMPUTED_VALUE"""),106325)</f>
        <v>106325</v>
      </c>
      <c r="B5444" s="4">
        <f ca="1">IFERROR(__xludf.DUMMYFUNCTION("""COMPUTED_VALUE"""),44805)</f>
        <v>44805</v>
      </c>
      <c r="C5444" t="str">
        <f ca="1">IFERROR(__xludf.DUMMYFUNCTION("""COMPUTED_VALUE"""),"ИП Шерматов Б.М. 210-РДО от 18.08.2022")</f>
        <v>ИП Шерматов Б.М. 210-РДО от 18.08.2022</v>
      </c>
      <c r="D54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4" t="str">
        <f ca="1">IFERROR(__xludf.DUMMYFUNCTION("""COMPUTED_VALUE"""),"Новый")</f>
        <v>Новый</v>
      </c>
      <c r="G5444" s="68"/>
      <c r="K5444" s="68"/>
    </row>
    <row r="5445" spans="1:11" ht="12.75">
      <c r="A5445" s="69">
        <f ca="1">IFERROR(__xludf.DUMMYFUNCTION("""COMPUTED_VALUE"""),106326)</f>
        <v>106326</v>
      </c>
      <c r="B5445" s="4">
        <f ca="1">IFERROR(__xludf.DUMMYFUNCTION("""COMPUTED_VALUE"""),44805)</f>
        <v>44805</v>
      </c>
      <c r="C5445" t="str">
        <f ca="1">IFERROR(__xludf.DUMMYFUNCTION("""COMPUTED_VALUE"""),"ИП Шерматов Б.М. 210-РДО от 18.08.2022")</f>
        <v>ИП Шерматов Б.М. 210-РДО от 18.08.2022</v>
      </c>
      <c r="D54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5" t="str">
        <f ca="1">IFERROR(__xludf.DUMMYFUNCTION("""COMPUTED_VALUE"""),"Новый")</f>
        <v>Новый</v>
      </c>
      <c r="G5445" s="68"/>
      <c r="K5445" s="68"/>
    </row>
    <row r="5446" spans="1:11" ht="12.75">
      <c r="A5446" s="69">
        <f ca="1">IFERROR(__xludf.DUMMYFUNCTION("""COMPUTED_VALUE"""),106327)</f>
        <v>106327</v>
      </c>
      <c r="B5446" s="4">
        <f ca="1">IFERROR(__xludf.DUMMYFUNCTION("""COMPUTED_VALUE"""),44805)</f>
        <v>44805</v>
      </c>
      <c r="C5446" t="str">
        <f ca="1">IFERROR(__xludf.DUMMYFUNCTION("""COMPUTED_VALUE"""),"ИП Шерматов Б.М. 210-РДО от 18.08.2022")</f>
        <v>ИП Шерматов Б.М. 210-РДО от 18.08.2022</v>
      </c>
      <c r="D54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6" t="str">
        <f ca="1">IFERROR(__xludf.DUMMYFUNCTION("""COMPUTED_VALUE"""),"Новый")</f>
        <v>Новый</v>
      </c>
      <c r="G5446" s="68"/>
      <c r="K5446" s="68"/>
    </row>
    <row r="5447" spans="1:11" ht="12.75">
      <c r="A5447" s="69">
        <f ca="1">IFERROR(__xludf.DUMMYFUNCTION("""COMPUTED_VALUE"""),106328)</f>
        <v>106328</v>
      </c>
      <c r="B5447" s="4">
        <f ca="1">IFERROR(__xludf.DUMMYFUNCTION("""COMPUTED_VALUE"""),44805)</f>
        <v>44805</v>
      </c>
      <c r="C5447" t="str">
        <f ca="1">IFERROR(__xludf.DUMMYFUNCTION("""COMPUTED_VALUE"""),"ИП Шерматов Б.М. 210-РДО от 18.08.2022")</f>
        <v>ИП Шерматов Б.М. 210-РДО от 18.08.2022</v>
      </c>
      <c r="D54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7" t="str">
        <f ca="1">IFERROR(__xludf.DUMMYFUNCTION("""COMPUTED_VALUE"""),"Новый")</f>
        <v>Новый</v>
      </c>
      <c r="G5447" s="68"/>
      <c r="K5447" s="68"/>
    </row>
    <row r="5448" spans="1:11" ht="12.75">
      <c r="A5448" s="69">
        <f ca="1">IFERROR(__xludf.DUMMYFUNCTION("""COMPUTED_VALUE"""),106329)</f>
        <v>106329</v>
      </c>
      <c r="B5448" s="4">
        <f ca="1">IFERROR(__xludf.DUMMYFUNCTION("""COMPUTED_VALUE"""),44805)</f>
        <v>44805</v>
      </c>
      <c r="C5448" t="str">
        <f ca="1">IFERROR(__xludf.DUMMYFUNCTION("""COMPUTED_VALUE"""),"ИП Шерматов Б.М. 210-РДО от 18.08.2022")</f>
        <v>ИП Шерматов Б.М. 210-РДО от 18.08.2022</v>
      </c>
      <c r="D54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8" t="str">
        <f ca="1">IFERROR(__xludf.DUMMYFUNCTION("""COMPUTED_VALUE"""),"Новый")</f>
        <v>Новый</v>
      </c>
      <c r="G5448" s="68"/>
      <c r="K5448" s="68"/>
    </row>
    <row r="5449" spans="1:11" ht="12.75">
      <c r="A5449" s="69">
        <f ca="1">IFERROR(__xludf.DUMMYFUNCTION("""COMPUTED_VALUE"""),106330)</f>
        <v>106330</v>
      </c>
      <c r="B5449" s="4">
        <f ca="1">IFERROR(__xludf.DUMMYFUNCTION("""COMPUTED_VALUE"""),44805)</f>
        <v>44805</v>
      </c>
      <c r="C5449" t="str">
        <f ca="1">IFERROR(__xludf.DUMMYFUNCTION("""COMPUTED_VALUE"""),"ИП Шерматов Б.М. 210-РДО от 18.08.2022")</f>
        <v>ИП Шерматов Б.М. 210-РДО от 18.08.2022</v>
      </c>
      <c r="D54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49" t="str">
        <f ca="1">IFERROR(__xludf.DUMMYFUNCTION("""COMPUTED_VALUE"""),"Новый")</f>
        <v>Новый</v>
      </c>
      <c r="G5449" s="68"/>
      <c r="K5449" s="68"/>
    </row>
    <row r="5450" spans="1:11" ht="12.75">
      <c r="A5450" s="69">
        <f ca="1">IFERROR(__xludf.DUMMYFUNCTION("""COMPUTED_VALUE"""),106331)</f>
        <v>106331</v>
      </c>
      <c r="B5450" s="4">
        <f ca="1">IFERROR(__xludf.DUMMYFUNCTION("""COMPUTED_VALUE"""),44805)</f>
        <v>44805</v>
      </c>
      <c r="C5450" t="str">
        <f ca="1">IFERROR(__xludf.DUMMYFUNCTION("""COMPUTED_VALUE"""),"ИП Шерматов Б.М. 210-РДО от 18.08.2022")</f>
        <v>ИП Шерматов Б.М. 210-РДО от 18.08.2022</v>
      </c>
      <c r="D54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0" t="str">
        <f ca="1">IFERROR(__xludf.DUMMYFUNCTION("""COMPUTED_VALUE"""),"Новый")</f>
        <v>Новый</v>
      </c>
      <c r="G5450" s="68"/>
      <c r="K5450" s="68"/>
    </row>
    <row r="5451" spans="1:11" ht="12.75">
      <c r="A5451" s="69">
        <f ca="1">IFERROR(__xludf.DUMMYFUNCTION("""COMPUTED_VALUE"""),106332)</f>
        <v>106332</v>
      </c>
      <c r="B5451" s="4">
        <f ca="1">IFERROR(__xludf.DUMMYFUNCTION("""COMPUTED_VALUE"""),44805)</f>
        <v>44805</v>
      </c>
      <c r="C5451" t="str">
        <f ca="1">IFERROR(__xludf.DUMMYFUNCTION("""COMPUTED_VALUE"""),"ИП Шерматов Б.М. 210-РДО от 18.08.2022")</f>
        <v>ИП Шерматов Б.М. 210-РДО от 18.08.2022</v>
      </c>
      <c r="D54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1" t="str">
        <f ca="1">IFERROR(__xludf.DUMMYFUNCTION("""COMPUTED_VALUE"""),"Новый")</f>
        <v>Новый</v>
      </c>
      <c r="G5451" s="68"/>
      <c r="K5451" s="68"/>
    </row>
    <row r="5452" spans="1:11" ht="12.75">
      <c r="A5452" s="69">
        <f ca="1">IFERROR(__xludf.DUMMYFUNCTION("""COMPUTED_VALUE"""),106333)</f>
        <v>106333</v>
      </c>
      <c r="B5452" s="4">
        <f ca="1">IFERROR(__xludf.DUMMYFUNCTION("""COMPUTED_VALUE"""),44805)</f>
        <v>44805</v>
      </c>
      <c r="C5452" t="str">
        <f ca="1">IFERROR(__xludf.DUMMYFUNCTION("""COMPUTED_VALUE"""),"ИП Шерматов Б.М. 210-РДО от 18.08.2022")</f>
        <v>ИП Шерматов Б.М. 210-РДО от 18.08.2022</v>
      </c>
      <c r="D54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2" t="str">
        <f ca="1">IFERROR(__xludf.DUMMYFUNCTION("""COMPUTED_VALUE"""),"Новый")</f>
        <v>Новый</v>
      </c>
      <c r="G5452" s="68"/>
      <c r="K5452" s="68"/>
    </row>
    <row r="5453" spans="1:11" ht="12.75">
      <c r="A5453" s="69">
        <f ca="1">IFERROR(__xludf.DUMMYFUNCTION("""COMPUTED_VALUE"""),106334)</f>
        <v>106334</v>
      </c>
      <c r="B5453" s="4">
        <f ca="1">IFERROR(__xludf.DUMMYFUNCTION("""COMPUTED_VALUE"""),44805)</f>
        <v>44805</v>
      </c>
      <c r="C5453" t="str">
        <f ca="1">IFERROR(__xludf.DUMMYFUNCTION("""COMPUTED_VALUE"""),"ИП Шерматов Б.М. 210-РДО от 18.08.2022")</f>
        <v>ИП Шерматов Б.М. 210-РДО от 18.08.2022</v>
      </c>
      <c r="D54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3" t="str">
        <f ca="1">IFERROR(__xludf.DUMMYFUNCTION("""COMPUTED_VALUE"""),"Новый")</f>
        <v>Новый</v>
      </c>
      <c r="G5453" s="68"/>
      <c r="K5453" s="68"/>
    </row>
    <row r="5454" spans="1:11" ht="12.75">
      <c r="A5454" s="69">
        <f ca="1">IFERROR(__xludf.DUMMYFUNCTION("""COMPUTED_VALUE"""),106335)</f>
        <v>106335</v>
      </c>
      <c r="B5454" s="4">
        <f ca="1">IFERROR(__xludf.DUMMYFUNCTION("""COMPUTED_VALUE"""),44805)</f>
        <v>44805</v>
      </c>
      <c r="C5454" t="str">
        <f ca="1">IFERROR(__xludf.DUMMYFUNCTION("""COMPUTED_VALUE"""),"ИП Шерматов Б.М. 210-РДО от 18.08.2022")</f>
        <v>ИП Шерматов Б.М. 210-РДО от 18.08.2022</v>
      </c>
      <c r="D54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4" t="str">
        <f ca="1">IFERROR(__xludf.DUMMYFUNCTION("""COMPUTED_VALUE"""),"Новый")</f>
        <v>Новый</v>
      </c>
      <c r="G5454" s="68"/>
      <c r="K5454" s="68"/>
    </row>
    <row r="5455" spans="1:11" ht="12.75">
      <c r="A5455" s="69">
        <f ca="1">IFERROR(__xludf.DUMMYFUNCTION("""COMPUTED_VALUE"""),106336)</f>
        <v>106336</v>
      </c>
      <c r="B5455" s="4">
        <f ca="1">IFERROR(__xludf.DUMMYFUNCTION("""COMPUTED_VALUE"""),44805)</f>
        <v>44805</v>
      </c>
      <c r="C5455" t="str">
        <f ca="1">IFERROR(__xludf.DUMMYFUNCTION("""COMPUTED_VALUE"""),"ИП Шерматов Б.М. 210-РДО от 18.08.2022")</f>
        <v>ИП Шерматов Б.М. 210-РДО от 18.08.2022</v>
      </c>
      <c r="D54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5" t="str">
        <f ca="1">IFERROR(__xludf.DUMMYFUNCTION("""COMPUTED_VALUE"""),"Новый")</f>
        <v>Новый</v>
      </c>
      <c r="G5455" s="68"/>
      <c r="K5455" s="68"/>
    </row>
    <row r="5456" spans="1:11" ht="12.75">
      <c r="A5456" s="69">
        <f ca="1">IFERROR(__xludf.DUMMYFUNCTION("""COMPUTED_VALUE"""),106337)</f>
        <v>106337</v>
      </c>
      <c r="B5456" s="4">
        <f ca="1">IFERROR(__xludf.DUMMYFUNCTION("""COMPUTED_VALUE"""),44805)</f>
        <v>44805</v>
      </c>
      <c r="C5456" t="str">
        <f ca="1">IFERROR(__xludf.DUMMYFUNCTION("""COMPUTED_VALUE"""),"ИП Шерматов Б.М. 210-РДО от 18.08.2022")</f>
        <v>ИП Шерматов Б.М. 210-РДО от 18.08.2022</v>
      </c>
      <c r="D54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6" t="str">
        <f ca="1">IFERROR(__xludf.DUMMYFUNCTION("""COMPUTED_VALUE"""),"Новый")</f>
        <v>Новый</v>
      </c>
      <c r="G5456" s="68"/>
      <c r="K5456" s="68"/>
    </row>
    <row r="5457" spans="1:11" ht="12.75">
      <c r="A5457" s="69">
        <f ca="1">IFERROR(__xludf.DUMMYFUNCTION("""COMPUTED_VALUE"""),106338)</f>
        <v>106338</v>
      </c>
      <c r="B5457" s="4">
        <f ca="1">IFERROR(__xludf.DUMMYFUNCTION("""COMPUTED_VALUE"""),44805)</f>
        <v>44805</v>
      </c>
      <c r="C5457" t="str">
        <f ca="1">IFERROR(__xludf.DUMMYFUNCTION("""COMPUTED_VALUE"""),"ИП Шерматов Б.М. 210-РДО от 18.08.2022")</f>
        <v>ИП Шерматов Б.М. 210-РДО от 18.08.2022</v>
      </c>
      <c r="D54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7" t="str">
        <f ca="1">IFERROR(__xludf.DUMMYFUNCTION("""COMPUTED_VALUE"""),"Новый")</f>
        <v>Новый</v>
      </c>
      <c r="G5457" s="68"/>
      <c r="K5457" s="68"/>
    </row>
    <row r="5458" spans="1:11" ht="12.75">
      <c r="A5458" s="69">
        <f ca="1">IFERROR(__xludf.DUMMYFUNCTION("""COMPUTED_VALUE"""),106339)</f>
        <v>106339</v>
      </c>
      <c r="B5458" s="4">
        <f ca="1">IFERROR(__xludf.DUMMYFUNCTION("""COMPUTED_VALUE"""),44805)</f>
        <v>44805</v>
      </c>
      <c r="C5458" t="str">
        <f ca="1">IFERROR(__xludf.DUMMYFUNCTION("""COMPUTED_VALUE"""),"ИП Шерматов Б.М. 210-РДО от 18.08.2022")</f>
        <v>ИП Шерматов Б.М. 210-РДО от 18.08.2022</v>
      </c>
      <c r="D54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8" t="str">
        <f ca="1">IFERROR(__xludf.DUMMYFUNCTION("""COMPUTED_VALUE"""),"Новый")</f>
        <v>Новый</v>
      </c>
      <c r="G5458" s="68"/>
      <c r="K5458" s="68"/>
    </row>
    <row r="5459" spans="1:11" ht="12.75">
      <c r="A5459" s="69">
        <f ca="1">IFERROR(__xludf.DUMMYFUNCTION("""COMPUTED_VALUE"""),106340)</f>
        <v>106340</v>
      </c>
      <c r="B5459" s="4">
        <f ca="1">IFERROR(__xludf.DUMMYFUNCTION("""COMPUTED_VALUE"""),44805)</f>
        <v>44805</v>
      </c>
      <c r="C5459" t="str">
        <f ca="1">IFERROR(__xludf.DUMMYFUNCTION("""COMPUTED_VALUE"""),"ИП Шерматов Б.М. 210-РДО от 18.08.2022")</f>
        <v>ИП Шерматов Б.М. 210-РДО от 18.08.2022</v>
      </c>
      <c r="D54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59" t="str">
        <f ca="1">IFERROR(__xludf.DUMMYFUNCTION("""COMPUTED_VALUE"""),"Новый")</f>
        <v>Новый</v>
      </c>
      <c r="G5459" s="68"/>
      <c r="K5459" s="68"/>
    </row>
    <row r="5460" spans="1:11" ht="12.75">
      <c r="A5460" s="69">
        <f ca="1">IFERROR(__xludf.DUMMYFUNCTION("""COMPUTED_VALUE"""),106341)</f>
        <v>106341</v>
      </c>
      <c r="B5460" s="4">
        <f ca="1">IFERROR(__xludf.DUMMYFUNCTION("""COMPUTED_VALUE"""),44805)</f>
        <v>44805</v>
      </c>
      <c r="C5460" t="str">
        <f ca="1">IFERROR(__xludf.DUMMYFUNCTION("""COMPUTED_VALUE"""),"ИП Шерматов Б.М. 210-РДО от 18.08.2022")</f>
        <v>ИП Шерматов Б.М. 210-РДО от 18.08.2022</v>
      </c>
      <c r="D54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0" t="str">
        <f ca="1">IFERROR(__xludf.DUMMYFUNCTION("""COMPUTED_VALUE"""),"Новый")</f>
        <v>Новый</v>
      </c>
      <c r="G5460" s="68"/>
      <c r="K5460" s="68"/>
    </row>
    <row r="5461" spans="1:11" ht="12.75">
      <c r="A5461" s="69">
        <f ca="1">IFERROR(__xludf.DUMMYFUNCTION("""COMPUTED_VALUE"""),106342)</f>
        <v>106342</v>
      </c>
      <c r="B5461" s="4">
        <f ca="1">IFERROR(__xludf.DUMMYFUNCTION("""COMPUTED_VALUE"""),44805)</f>
        <v>44805</v>
      </c>
      <c r="C5461" t="str">
        <f ca="1">IFERROR(__xludf.DUMMYFUNCTION("""COMPUTED_VALUE"""),"ИП Шерматов Б.М. 210-РДО от 18.08.2022")</f>
        <v>ИП Шерматов Б.М. 210-РДО от 18.08.2022</v>
      </c>
      <c r="D54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1" t="str">
        <f ca="1">IFERROR(__xludf.DUMMYFUNCTION("""COMPUTED_VALUE"""),"Новый")</f>
        <v>Новый</v>
      </c>
      <c r="G5461" s="68"/>
      <c r="K5461" s="68"/>
    </row>
    <row r="5462" spans="1:11" ht="12.75">
      <c r="A5462" s="69">
        <f ca="1">IFERROR(__xludf.DUMMYFUNCTION("""COMPUTED_VALUE"""),106343)</f>
        <v>106343</v>
      </c>
      <c r="B5462" s="4">
        <f ca="1">IFERROR(__xludf.DUMMYFUNCTION("""COMPUTED_VALUE"""),44805)</f>
        <v>44805</v>
      </c>
      <c r="C5462" t="str">
        <f ca="1">IFERROR(__xludf.DUMMYFUNCTION("""COMPUTED_VALUE"""),"ИП Шерматов Б.М. 210-РДО от 18.08.2022")</f>
        <v>ИП Шерматов Б.М. 210-РДО от 18.08.2022</v>
      </c>
      <c r="D54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2" t="str">
        <f ca="1">IFERROR(__xludf.DUMMYFUNCTION("""COMPUTED_VALUE"""),"Новый")</f>
        <v>Новый</v>
      </c>
      <c r="G5462" s="68"/>
      <c r="K5462" s="68"/>
    </row>
    <row r="5463" spans="1:11" ht="12.75">
      <c r="A5463" s="69">
        <f ca="1">IFERROR(__xludf.DUMMYFUNCTION("""COMPUTED_VALUE"""),106344)</f>
        <v>106344</v>
      </c>
      <c r="B5463" s="4">
        <f ca="1">IFERROR(__xludf.DUMMYFUNCTION("""COMPUTED_VALUE"""),44805)</f>
        <v>44805</v>
      </c>
      <c r="C5463" t="str">
        <f ca="1">IFERROR(__xludf.DUMMYFUNCTION("""COMPUTED_VALUE"""),"ИП Шерматов Б.М. 210-РДО от 18.08.2022")</f>
        <v>ИП Шерматов Б.М. 210-РДО от 18.08.2022</v>
      </c>
      <c r="D54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3" t="str">
        <f ca="1">IFERROR(__xludf.DUMMYFUNCTION("""COMPUTED_VALUE"""),"Новый")</f>
        <v>Новый</v>
      </c>
      <c r="G5463" s="68"/>
      <c r="K5463" s="68"/>
    </row>
    <row r="5464" spans="1:11" ht="12.75">
      <c r="A5464" s="69">
        <f ca="1">IFERROR(__xludf.DUMMYFUNCTION("""COMPUTED_VALUE"""),106345)</f>
        <v>106345</v>
      </c>
      <c r="B5464" s="4">
        <f ca="1">IFERROR(__xludf.DUMMYFUNCTION("""COMPUTED_VALUE"""),44805)</f>
        <v>44805</v>
      </c>
      <c r="C5464" t="str">
        <f ca="1">IFERROR(__xludf.DUMMYFUNCTION("""COMPUTED_VALUE"""),"ИП Шерматов Б.М. 210-РДО от 18.08.2022")</f>
        <v>ИП Шерматов Б.М. 210-РДО от 18.08.2022</v>
      </c>
      <c r="D54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4" t="str">
        <f ca="1">IFERROR(__xludf.DUMMYFUNCTION("""COMPUTED_VALUE"""),"Новый")</f>
        <v>Новый</v>
      </c>
      <c r="G5464" s="68"/>
      <c r="K5464" s="68"/>
    </row>
    <row r="5465" spans="1:11" ht="12.75">
      <c r="A5465" s="69">
        <f ca="1">IFERROR(__xludf.DUMMYFUNCTION("""COMPUTED_VALUE"""),106346)</f>
        <v>106346</v>
      </c>
      <c r="B5465" s="4">
        <f ca="1">IFERROR(__xludf.DUMMYFUNCTION("""COMPUTED_VALUE"""),44805)</f>
        <v>44805</v>
      </c>
      <c r="C5465" t="str">
        <f ca="1">IFERROR(__xludf.DUMMYFUNCTION("""COMPUTED_VALUE"""),"ИП Шерматов Б.М. 210-РДО от 18.08.2022")</f>
        <v>ИП Шерматов Б.М. 210-РДО от 18.08.2022</v>
      </c>
      <c r="D54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5" t="str">
        <f ca="1">IFERROR(__xludf.DUMMYFUNCTION("""COMPUTED_VALUE"""),"Новый")</f>
        <v>Новый</v>
      </c>
      <c r="G5465" s="68"/>
      <c r="K5465" s="68"/>
    </row>
    <row r="5466" spans="1:11" ht="12.75">
      <c r="A5466" s="69">
        <f ca="1">IFERROR(__xludf.DUMMYFUNCTION("""COMPUTED_VALUE"""),106347)</f>
        <v>106347</v>
      </c>
      <c r="B5466" s="4">
        <f ca="1">IFERROR(__xludf.DUMMYFUNCTION("""COMPUTED_VALUE"""),44805)</f>
        <v>44805</v>
      </c>
      <c r="C5466" t="str">
        <f ca="1">IFERROR(__xludf.DUMMYFUNCTION("""COMPUTED_VALUE"""),"ИП Шерматов Б.М. 210-РДО от 18.08.2022")</f>
        <v>ИП Шерматов Б.М. 210-РДО от 18.08.2022</v>
      </c>
      <c r="D54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6" t="str">
        <f ca="1">IFERROR(__xludf.DUMMYFUNCTION("""COMPUTED_VALUE"""),"Новый")</f>
        <v>Новый</v>
      </c>
      <c r="G5466" s="68"/>
      <c r="K5466" s="68"/>
    </row>
    <row r="5467" spans="1:11" ht="12.75">
      <c r="A5467" s="69">
        <f ca="1">IFERROR(__xludf.DUMMYFUNCTION("""COMPUTED_VALUE"""),106348)</f>
        <v>106348</v>
      </c>
      <c r="B5467" s="4">
        <f ca="1">IFERROR(__xludf.DUMMYFUNCTION("""COMPUTED_VALUE"""),44805)</f>
        <v>44805</v>
      </c>
      <c r="C5467" t="str">
        <f ca="1">IFERROR(__xludf.DUMMYFUNCTION("""COMPUTED_VALUE"""),"ИП Шерматов Б.М. 210-РДО от 18.08.2022")</f>
        <v>ИП Шерматов Б.М. 210-РДО от 18.08.2022</v>
      </c>
      <c r="D54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7" t="str">
        <f ca="1">IFERROR(__xludf.DUMMYFUNCTION("""COMPUTED_VALUE"""),"Новый")</f>
        <v>Новый</v>
      </c>
      <c r="G5467" s="68"/>
      <c r="K5467" s="68"/>
    </row>
    <row r="5468" spans="1:11" ht="12.75">
      <c r="A5468" s="69">
        <f ca="1">IFERROR(__xludf.DUMMYFUNCTION("""COMPUTED_VALUE"""),106349)</f>
        <v>106349</v>
      </c>
      <c r="B5468" s="4">
        <f ca="1">IFERROR(__xludf.DUMMYFUNCTION("""COMPUTED_VALUE"""),44805)</f>
        <v>44805</v>
      </c>
      <c r="C5468" t="str">
        <f ca="1">IFERROR(__xludf.DUMMYFUNCTION("""COMPUTED_VALUE"""),"ИП Шерматов Б.М. 210-РДО от 18.08.2022")</f>
        <v>ИП Шерматов Б.М. 210-РДО от 18.08.2022</v>
      </c>
      <c r="D54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8" t="str">
        <f ca="1">IFERROR(__xludf.DUMMYFUNCTION("""COMPUTED_VALUE"""),"Новый")</f>
        <v>Новый</v>
      </c>
      <c r="G5468" s="68"/>
      <c r="K5468" s="68"/>
    </row>
    <row r="5469" spans="1:11" ht="12.75">
      <c r="A5469" s="69">
        <f ca="1">IFERROR(__xludf.DUMMYFUNCTION("""COMPUTED_VALUE"""),106350)</f>
        <v>106350</v>
      </c>
      <c r="B5469" s="4">
        <f ca="1">IFERROR(__xludf.DUMMYFUNCTION("""COMPUTED_VALUE"""),44805)</f>
        <v>44805</v>
      </c>
      <c r="C5469" t="str">
        <f ca="1">IFERROR(__xludf.DUMMYFUNCTION("""COMPUTED_VALUE"""),"ИП Шерматов Б.М. 210-РДО от 18.08.2022")</f>
        <v>ИП Шерматов Б.М. 210-РДО от 18.08.2022</v>
      </c>
      <c r="D54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69" t="str">
        <f ca="1">IFERROR(__xludf.DUMMYFUNCTION("""COMPUTED_VALUE"""),"Новый")</f>
        <v>Новый</v>
      </c>
      <c r="G5469" s="68"/>
      <c r="K5469" s="68"/>
    </row>
    <row r="5470" spans="1:11" ht="12.75">
      <c r="A5470" s="69">
        <f ca="1">IFERROR(__xludf.DUMMYFUNCTION("""COMPUTED_VALUE"""),106351)</f>
        <v>106351</v>
      </c>
      <c r="B5470" s="4">
        <f ca="1">IFERROR(__xludf.DUMMYFUNCTION("""COMPUTED_VALUE"""),44805)</f>
        <v>44805</v>
      </c>
      <c r="C5470" t="str">
        <f ca="1">IFERROR(__xludf.DUMMYFUNCTION("""COMPUTED_VALUE"""),"ИП Шерматов Б.М. 210-РДО от 18.08.2022")</f>
        <v>ИП Шерматов Б.М. 210-РДО от 18.08.2022</v>
      </c>
      <c r="D54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0" t="str">
        <f ca="1">IFERROR(__xludf.DUMMYFUNCTION("""COMPUTED_VALUE"""),"Новый")</f>
        <v>Новый</v>
      </c>
      <c r="G5470" s="68"/>
      <c r="K5470" s="68"/>
    </row>
    <row r="5471" spans="1:11" ht="12.75">
      <c r="A5471" s="69">
        <f ca="1">IFERROR(__xludf.DUMMYFUNCTION("""COMPUTED_VALUE"""),106352)</f>
        <v>106352</v>
      </c>
      <c r="B5471" s="4">
        <f ca="1">IFERROR(__xludf.DUMMYFUNCTION("""COMPUTED_VALUE"""),44805)</f>
        <v>44805</v>
      </c>
      <c r="C5471" t="str">
        <f ca="1">IFERROR(__xludf.DUMMYFUNCTION("""COMPUTED_VALUE"""),"ИП Шерматов Б.М. 210-РДО от 18.08.2022")</f>
        <v>ИП Шерматов Б.М. 210-РДО от 18.08.2022</v>
      </c>
      <c r="D54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1" t="str">
        <f ca="1">IFERROR(__xludf.DUMMYFUNCTION("""COMPUTED_VALUE"""),"Новый")</f>
        <v>Новый</v>
      </c>
      <c r="G5471" s="68"/>
      <c r="K5471" s="68"/>
    </row>
    <row r="5472" spans="1:11" ht="12.75">
      <c r="A5472" s="69">
        <f ca="1">IFERROR(__xludf.DUMMYFUNCTION("""COMPUTED_VALUE"""),106353)</f>
        <v>106353</v>
      </c>
      <c r="B5472" s="4">
        <f ca="1">IFERROR(__xludf.DUMMYFUNCTION("""COMPUTED_VALUE"""),44805)</f>
        <v>44805</v>
      </c>
      <c r="C5472" t="str">
        <f ca="1">IFERROR(__xludf.DUMMYFUNCTION("""COMPUTED_VALUE"""),"ИП Шерматов Б.М. 210-РДО от 18.08.2022")</f>
        <v>ИП Шерматов Б.М. 210-РДО от 18.08.2022</v>
      </c>
      <c r="D54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2" t="str">
        <f ca="1">IFERROR(__xludf.DUMMYFUNCTION("""COMPUTED_VALUE"""),"Новый")</f>
        <v>Новый</v>
      </c>
      <c r="G5472" s="68"/>
      <c r="K5472" s="68"/>
    </row>
    <row r="5473" spans="1:11" ht="12.75">
      <c r="A5473" s="69">
        <f ca="1">IFERROR(__xludf.DUMMYFUNCTION("""COMPUTED_VALUE"""),106354)</f>
        <v>106354</v>
      </c>
      <c r="B5473" s="4">
        <f ca="1">IFERROR(__xludf.DUMMYFUNCTION("""COMPUTED_VALUE"""),44805)</f>
        <v>44805</v>
      </c>
      <c r="C5473" t="str">
        <f ca="1">IFERROR(__xludf.DUMMYFUNCTION("""COMPUTED_VALUE"""),"ИП Шерматов Б.М. 210-РДО от 18.08.2022")</f>
        <v>ИП Шерматов Б.М. 210-РДО от 18.08.2022</v>
      </c>
      <c r="D54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3" t="str">
        <f ca="1">IFERROR(__xludf.DUMMYFUNCTION("""COMPUTED_VALUE"""),"Новый")</f>
        <v>Новый</v>
      </c>
      <c r="G5473" s="68"/>
      <c r="K5473" s="68"/>
    </row>
    <row r="5474" spans="1:11" ht="12.75">
      <c r="A5474" s="69">
        <f ca="1">IFERROR(__xludf.DUMMYFUNCTION("""COMPUTED_VALUE"""),106355)</f>
        <v>106355</v>
      </c>
      <c r="B5474" s="4">
        <f ca="1">IFERROR(__xludf.DUMMYFUNCTION("""COMPUTED_VALUE"""),44805)</f>
        <v>44805</v>
      </c>
      <c r="C5474" t="str">
        <f ca="1">IFERROR(__xludf.DUMMYFUNCTION("""COMPUTED_VALUE"""),"ИП Шерматов Б.М. 210-РДО от 18.08.2022")</f>
        <v>ИП Шерматов Б.М. 210-РДО от 18.08.2022</v>
      </c>
      <c r="D54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4" t="str">
        <f ca="1">IFERROR(__xludf.DUMMYFUNCTION("""COMPUTED_VALUE"""),"Новый")</f>
        <v>Новый</v>
      </c>
      <c r="G5474" s="68"/>
      <c r="K5474" s="68"/>
    </row>
    <row r="5475" spans="1:11" ht="12.75">
      <c r="A5475" s="69">
        <f ca="1">IFERROR(__xludf.DUMMYFUNCTION("""COMPUTED_VALUE"""),106356)</f>
        <v>106356</v>
      </c>
      <c r="B5475" s="4">
        <f ca="1">IFERROR(__xludf.DUMMYFUNCTION("""COMPUTED_VALUE"""),44805)</f>
        <v>44805</v>
      </c>
      <c r="C5475" t="str">
        <f ca="1">IFERROR(__xludf.DUMMYFUNCTION("""COMPUTED_VALUE"""),"ИП Шерматов Б.М. 210-РДО от 18.08.2022")</f>
        <v>ИП Шерматов Б.М. 210-РДО от 18.08.2022</v>
      </c>
      <c r="D54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5" t="str">
        <f ca="1">IFERROR(__xludf.DUMMYFUNCTION("""COMPUTED_VALUE"""),"Новый")</f>
        <v>Новый</v>
      </c>
      <c r="G5475" s="68"/>
      <c r="K5475" s="68"/>
    </row>
    <row r="5476" spans="1:11" ht="12.75">
      <c r="A5476" s="69">
        <f ca="1">IFERROR(__xludf.DUMMYFUNCTION("""COMPUTED_VALUE"""),106357)</f>
        <v>106357</v>
      </c>
      <c r="B5476" s="4">
        <f ca="1">IFERROR(__xludf.DUMMYFUNCTION("""COMPUTED_VALUE"""),44805)</f>
        <v>44805</v>
      </c>
      <c r="C5476" t="str">
        <f ca="1">IFERROR(__xludf.DUMMYFUNCTION("""COMPUTED_VALUE"""),"ИП Шерматов Б.М. 210-РДО от 18.08.2022")</f>
        <v>ИП Шерматов Б.М. 210-РДО от 18.08.2022</v>
      </c>
      <c r="D54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476" t="str">
        <f ca="1">IFERROR(__xludf.DUMMYFUNCTION("""COMPUTED_VALUE"""),"Новый")</f>
        <v>Новый</v>
      </c>
      <c r="G5476" s="68"/>
      <c r="K5476" s="68"/>
    </row>
    <row r="5477" spans="1:11" ht="12.75">
      <c r="A5477" s="69">
        <f ca="1">IFERROR(__xludf.DUMMYFUNCTION("""COMPUTED_VALUE"""),106378)</f>
        <v>106378</v>
      </c>
      <c r="B5477" s="4">
        <f ca="1">IFERROR(__xludf.DUMMYFUNCTION("""COMPUTED_VALUE"""),44809)</f>
        <v>44809</v>
      </c>
      <c r="C5477" t="str">
        <f ca="1">IFERROR(__xludf.DUMMYFUNCTION("""COMPUTED_VALUE"""),"ЗАО ""ЭКОС"" 115-СТР от 01.01.2022")</f>
        <v>ЗАО "ЭКОС" 115-СТР от 01.01.2022</v>
      </c>
      <c r="D54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77" t="str">
        <f ca="1">IFERROR(__xludf.DUMMYFUNCTION("""COMPUTED_VALUE"""),"Новый")</f>
        <v>Новый</v>
      </c>
      <c r="G5477" s="68"/>
      <c r="K5477" s="68"/>
    </row>
    <row r="5478" spans="1:11" ht="12.75">
      <c r="A5478" s="69">
        <f ca="1">IFERROR(__xludf.DUMMYFUNCTION("""COMPUTED_VALUE"""),106379)</f>
        <v>106379</v>
      </c>
      <c r="B5478" s="4">
        <f ca="1">IFERROR(__xludf.DUMMYFUNCTION("""COMPUTED_VALUE"""),44809)</f>
        <v>44809</v>
      </c>
      <c r="C5478" t="str">
        <f ca="1">IFERROR(__xludf.DUMMYFUNCTION("""COMPUTED_VALUE"""),"ЗАО ""ЭКОС"" 115-СТР от 01.01.2022")</f>
        <v>ЗАО "ЭКОС" 115-СТР от 01.01.2022</v>
      </c>
      <c r="D54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78" t="str">
        <f ca="1">IFERROR(__xludf.DUMMYFUNCTION("""COMPUTED_VALUE"""),"Новый")</f>
        <v>Новый</v>
      </c>
      <c r="G5478" s="68"/>
      <c r="K5478" s="68"/>
    </row>
    <row r="5479" spans="1:11" ht="12.75">
      <c r="A5479" s="69">
        <f ca="1">IFERROR(__xludf.DUMMYFUNCTION("""COMPUTED_VALUE"""),106380)</f>
        <v>106380</v>
      </c>
      <c r="B5479" s="4">
        <f ca="1">IFERROR(__xludf.DUMMYFUNCTION("""COMPUTED_VALUE"""),44809)</f>
        <v>44809</v>
      </c>
      <c r="C5479" t="str">
        <f ca="1">IFERROR(__xludf.DUMMYFUNCTION("""COMPUTED_VALUE"""),"ЗАО ""ЭКОС"" 115-СТР от 01.01.2022")</f>
        <v>ЗАО "ЭКОС" 115-СТР от 01.01.2022</v>
      </c>
      <c r="D54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79" t="str">
        <f ca="1">IFERROR(__xludf.DUMMYFUNCTION("""COMPUTED_VALUE"""),"Новый")</f>
        <v>Новый</v>
      </c>
      <c r="G5479" s="68"/>
      <c r="K5479" s="68"/>
    </row>
    <row r="5480" spans="1:11" ht="12.75">
      <c r="A5480" s="69">
        <f ca="1">IFERROR(__xludf.DUMMYFUNCTION("""COMPUTED_VALUE"""),106381)</f>
        <v>106381</v>
      </c>
      <c r="B5480" s="4">
        <f ca="1">IFERROR(__xludf.DUMMYFUNCTION("""COMPUTED_VALUE"""),44809)</f>
        <v>44809</v>
      </c>
      <c r="C5480" t="str">
        <f ca="1">IFERROR(__xludf.DUMMYFUNCTION("""COMPUTED_VALUE"""),"ЗАО ""ЭКОС"" 115-СТР от 01.01.2022")</f>
        <v>ЗАО "ЭКОС" 115-СТР от 01.01.2022</v>
      </c>
      <c r="D54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0" t="str">
        <f ca="1">IFERROR(__xludf.DUMMYFUNCTION("""COMPUTED_VALUE"""),"Новый")</f>
        <v>Новый</v>
      </c>
      <c r="G5480" s="68"/>
      <c r="K5480" s="68"/>
    </row>
    <row r="5481" spans="1:11" ht="12.75">
      <c r="A5481" s="69">
        <f ca="1">IFERROR(__xludf.DUMMYFUNCTION("""COMPUTED_VALUE"""),106382)</f>
        <v>106382</v>
      </c>
      <c r="B5481" s="4">
        <f ca="1">IFERROR(__xludf.DUMMYFUNCTION("""COMPUTED_VALUE"""),44809)</f>
        <v>44809</v>
      </c>
      <c r="C5481" t="str">
        <f ca="1">IFERROR(__xludf.DUMMYFUNCTION("""COMPUTED_VALUE"""),"ЗАО ""ЭКОС"" 115-СТР от 01.01.2022")</f>
        <v>ЗАО "ЭКОС" 115-СТР от 01.01.2022</v>
      </c>
      <c r="D54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1" t="str">
        <f ca="1">IFERROR(__xludf.DUMMYFUNCTION("""COMPUTED_VALUE"""),"Новый")</f>
        <v>Новый</v>
      </c>
      <c r="G5481" s="68"/>
      <c r="K5481" s="68"/>
    </row>
    <row r="5482" spans="1:11" ht="12.75">
      <c r="A5482" s="69">
        <f ca="1">IFERROR(__xludf.DUMMYFUNCTION("""COMPUTED_VALUE"""),106383)</f>
        <v>106383</v>
      </c>
      <c r="B5482" s="4">
        <f ca="1">IFERROR(__xludf.DUMMYFUNCTION("""COMPUTED_VALUE"""),44809)</f>
        <v>44809</v>
      </c>
      <c r="C5482" t="str">
        <f ca="1">IFERROR(__xludf.DUMMYFUNCTION("""COMPUTED_VALUE"""),"ЗАО ""ЭКОС"" 115-СТР от 01.01.2022")</f>
        <v>ЗАО "ЭКОС" 115-СТР от 01.01.2022</v>
      </c>
      <c r="D54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2" t="str">
        <f ca="1">IFERROR(__xludf.DUMMYFUNCTION("""COMPUTED_VALUE"""),"Новый")</f>
        <v>Новый</v>
      </c>
      <c r="G5482" s="68"/>
      <c r="K5482" s="68"/>
    </row>
    <row r="5483" spans="1:11" ht="12.75">
      <c r="A5483" s="69">
        <f ca="1">IFERROR(__xludf.DUMMYFUNCTION("""COMPUTED_VALUE"""),106384)</f>
        <v>106384</v>
      </c>
      <c r="B5483" s="4">
        <f ca="1">IFERROR(__xludf.DUMMYFUNCTION("""COMPUTED_VALUE"""),44809)</f>
        <v>44809</v>
      </c>
      <c r="C5483" t="str">
        <f ca="1">IFERROR(__xludf.DUMMYFUNCTION("""COMPUTED_VALUE"""),"ЗАО ""ЭКОС"" 115-СТР от 01.01.2022")</f>
        <v>ЗАО "ЭКОС" 115-СТР от 01.01.2022</v>
      </c>
      <c r="D54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3" t="str">
        <f ca="1">IFERROR(__xludf.DUMMYFUNCTION("""COMPUTED_VALUE"""),"Новый")</f>
        <v>Новый</v>
      </c>
      <c r="G5483" s="68"/>
      <c r="K5483" s="68"/>
    </row>
    <row r="5484" spans="1:11" ht="12.75">
      <c r="A5484" s="69">
        <f ca="1">IFERROR(__xludf.DUMMYFUNCTION("""COMPUTED_VALUE"""),106385)</f>
        <v>106385</v>
      </c>
      <c r="B5484" s="4">
        <f ca="1">IFERROR(__xludf.DUMMYFUNCTION("""COMPUTED_VALUE"""),44809)</f>
        <v>44809</v>
      </c>
      <c r="C5484" t="str">
        <f ca="1">IFERROR(__xludf.DUMMYFUNCTION("""COMPUTED_VALUE"""),"ЗАО ""ЭКОС"" 115-СТР от 01.01.2022")</f>
        <v>ЗАО "ЭКОС" 115-СТР от 01.01.2022</v>
      </c>
      <c r="D54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4" t="str">
        <f ca="1">IFERROR(__xludf.DUMMYFUNCTION("""COMPUTED_VALUE"""),"Новый")</f>
        <v>Новый</v>
      </c>
      <c r="G5484" s="68"/>
      <c r="K5484" s="68"/>
    </row>
    <row r="5485" spans="1:11" ht="12.75">
      <c r="A5485" s="69">
        <f ca="1">IFERROR(__xludf.DUMMYFUNCTION("""COMPUTED_VALUE"""),106386)</f>
        <v>106386</v>
      </c>
      <c r="B5485" s="4">
        <f ca="1">IFERROR(__xludf.DUMMYFUNCTION("""COMPUTED_VALUE"""),44809)</f>
        <v>44809</v>
      </c>
      <c r="C5485" t="str">
        <f ca="1">IFERROR(__xludf.DUMMYFUNCTION("""COMPUTED_VALUE"""),"ЗАО ""ЭКОС"" 115-СТР от 01.01.2022")</f>
        <v>ЗАО "ЭКОС" 115-СТР от 01.01.2022</v>
      </c>
      <c r="D54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5" t="str">
        <f ca="1">IFERROR(__xludf.DUMMYFUNCTION("""COMPUTED_VALUE"""),"Новый")</f>
        <v>Новый</v>
      </c>
      <c r="G5485" s="68"/>
      <c r="K5485" s="68"/>
    </row>
    <row r="5486" spans="1:11" ht="12.75">
      <c r="A5486" s="69">
        <f ca="1">IFERROR(__xludf.DUMMYFUNCTION("""COMPUTED_VALUE"""),106387)</f>
        <v>106387</v>
      </c>
      <c r="B5486" s="4">
        <f ca="1">IFERROR(__xludf.DUMMYFUNCTION("""COMPUTED_VALUE"""),44809)</f>
        <v>44809</v>
      </c>
      <c r="C5486" t="str">
        <f ca="1">IFERROR(__xludf.DUMMYFUNCTION("""COMPUTED_VALUE"""),"ЗАО ""ЭКОС"" 115-СТР от 01.01.2022")</f>
        <v>ЗАО "ЭКОС" 115-СТР от 01.01.2022</v>
      </c>
      <c r="D54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6" t="str">
        <f ca="1">IFERROR(__xludf.DUMMYFUNCTION("""COMPUTED_VALUE"""),"Новый")</f>
        <v>Новый</v>
      </c>
      <c r="G5486" s="68"/>
      <c r="K5486" s="68"/>
    </row>
    <row r="5487" spans="1:11" ht="12.75">
      <c r="A5487" s="69">
        <f ca="1">IFERROR(__xludf.DUMMYFUNCTION("""COMPUTED_VALUE"""),106388)</f>
        <v>106388</v>
      </c>
      <c r="B5487" s="4">
        <f ca="1">IFERROR(__xludf.DUMMYFUNCTION("""COMPUTED_VALUE"""),44809)</f>
        <v>44809</v>
      </c>
      <c r="C5487" t="str">
        <f ca="1">IFERROR(__xludf.DUMMYFUNCTION("""COMPUTED_VALUE"""),"ЗАО ""ЭКОС"" 115-СТР от 01.01.2022")</f>
        <v>ЗАО "ЭКОС" 115-СТР от 01.01.2022</v>
      </c>
      <c r="D54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7" t="str">
        <f ca="1">IFERROR(__xludf.DUMMYFUNCTION("""COMPUTED_VALUE"""),"Новый")</f>
        <v>Новый</v>
      </c>
      <c r="G5487" s="68"/>
      <c r="K5487" s="68"/>
    </row>
    <row r="5488" spans="1:11" ht="12.75">
      <c r="A5488" s="69">
        <f ca="1">IFERROR(__xludf.DUMMYFUNCTION("""COMPUTED_VALUE"""),106389)</f>
        <v>106389</v>
      </c>
      <c r="B5488" s="4">
        <f ca="1">IFERROR(__xludf.DUMMYFUNCTION("""COMPUTED_VALUE"""),44809)</f>
        <v>44809</v>
      </c>
      <c r="C5488" t="str">
        <f ca="1">IFERROR(__xludf.DUMMYFUNCTION("""COMPUTED_VALUE"""),"ЗАО ""ЭКОС"" 115-СТР от 01.01.2022")</f>
        <v>ЗАО "ЭКОС" 115-СТР от 01.01.2022</v>
      </c>
      <c r="D54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8" t="str">
        <f ca="1">IFERROR(__xludf.DUMMYFUNCTION("""COMPUTED_VALUE"""),"Новый")</f>
        <v>Новый</v>
      </c>
      <c r="G5488" s="68"/>
      <c r="K5488" s="68"/>
    </row>
    <row r="5489" spans="1:11" ht="12.75">
      <c r="A5489" s="69">
        <f ca="1">IFERROR(__xludf.DUMMYFUNCTION("""COMPUTED_VALUE"""),106390)</f>
        <v>106390</v>
      </c>
      <c r="B5489" s="4">
        <f ca="1">IFERROR(__xludf.DUMMYFUNCTION("""COMPUTED_VALUE"""),44809)</f>
        <v>44809</v>
      </c>
      <c r="C5489" t="str">
        <f ca="1">IFERROR(__xludf.DUMMYFUNCTION("""COMPUTED_VALUE"""),"ЗАО ""ЭКОС"" 115-СТР от 01.01.2022")</f>
        <v>ЗАО "ЭКОС" 115-СТР от 01.01.2022</v>
      </c>
      <c r="D54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89" t="str">
        <f ca="1">IFERROR(__xludf.DUMMYFUNCTION("""COMPUTED_VALUE"""),"Новый")</f>
        <v>Новый</v>
      </c>
      <c r="G5489" s="68"/>
      <c r="K5489" s="68"/>
    </row>
    <row r="5490" spans="1:11" ht="12.75">
      <c r="A5490" s="69">
        <f ca="1">IFERROR(__xludf.DUMMYFUNCTION("""COMPUTED_VALUE"""),106391)</f>
        <v>106391</v>
      </c>
      <c r="B5490" s="4">
        <f ca="1">IFERROR(__xludf.DUMMYFUNCTION("""COMPUTED_VALUE"""),44809)</f>
        <v>44809</v>
      </c>
      <c r="C5490" t="str">
        <f ca="1">IFERROR(__xludf.DUMMYFUNCTION("""COMPUTED_VALUE"""),"ЗАО ""ЭКОС"" 115-СТР от 01.01.2022")</f>
        <v>ЗАО "ЭКОС" 115-СТР от 01.01.2022</v>
      </c>
      <c r="D54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0" t="str">
        <f ca="1">IFERROR(__xludf.DUMMYFUNCTION("""COMPUTED_VALUE"""),"Новый")</f>
        <v>Новый</v>
      </c>
      <c r="G5490" s="68"/>
      <c r="K5490" s="68"/>
    </row>
    <row r="5491" spans="1:11" ht="12.75">
      <c r="A5491" s="69">
        <f ca="1">IFERROR(__xludf.DUMMYFUNCTION("""COMPUTED_VALUE"""),106392)</f>
        <v>106392</v>
      </c>
      <c r="B5491" s="4">
        <f ca="1">IFERROR(__xludf.DUMMYFUNCTION("""COMPUTED_VALUE"""),44809)</f>
        <v>44809</v>
      </c>
      <c r="C5491" t="str">
        <f ca="1">IFERROR(__xludf.DUMMYFUNCTION("""COMPUTED_VALUE"""),"ЗАО ""ЭКОС"" 115-СТР от 01.01.2022")</f>
        <v>ЗАО "ЭКОС" 115-СТР от 01.01.2022</v>
      </c>
      <c r="D54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1" t="str">
        <f ca="1">IFERROR(__xludf.DUMMYFUNCTION("""COMPUTED_VALUE"""),"Новый")</f>
        <v>Новый</v>
      </c>
      <c r="G5491" s="68"/>
      <c r="K5491" s="68"/>
    </row>
    <row r="5492" spans="1:11" ht="12.75">
      <c r="A5492" s="69">
        <f ca="1">IFERROR(__xludf.DUMMYFUNCTION("""COMPUTED_VALUE"""),106393)</f>
        <v>106393</v>
      </c>
      <c r="B5492" s="4">
        <f ca="1">IFERROR(__xludf.DUMMYFUNCTION("""COMPUTED_VALUE"""),44809)</f>
        <v>44809</v>
      </c>
      <c r="C5492" t="str">
        <f ca="1">IFERROR(__xludf.DUMMYFUNCTION("""COMPUTED_VALUE"""),"ЗАО ""ЭКОС"" 115-СТР от 01.01.2022")</f>
        <v>ЗАО "ЭКОС" 115-СТР от 01.01.2022</v>
      </c>
      <c r="D54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2" t="str">
        <f ca="1">IFERROR(__xludf.DUMMYFUNCTION("""COMPUTED_VALUE"""),"Новый")</f>
        <v>Новый</v>
      </c>
      <c r="G5492" s="68"/>
      <c r="K5492" s="68"/>
    </row>
    <row r="5493" spans="1:11" ht="12.75">
      <c r="A5493" s="69">
        <f ca="1">IFERROR(__xludf.DUMMYFUNCTION("""COMPUTED_VALUE"""),106394)</f>
        <v>106394</v>
      </c>
      <c r="B5493" s="4">
        <f ca="1">IFERROR(__xludf.DUMMYFUNCTION("""COMPUTED_VALUE"""),44809)</f>
        <v>44809</v>
      </c>
      <c r="C5493" t="str">
        <f ca="1">IFERROR(__xludf.DUMMYFUNCTION("""COMPUTED_VALUE"""),"ЗАО ""ЭКОС"" 115-СТР от 01.01.2022")</f>
        <v>ЗАО "ЭКОС" 115-СТР от 01.01.2022</v>
      </c>
      <c r="D54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3" t="str">
        <f ca="1">IFERROR(__xludf.DUMMYFUNCTION("""COMPUTED_VALUE"""),"Новый")</f>
        <v>Новый</v>
      </c>
      <c r="G5493" s="68"/>
      <c r="K5493" s="68"/>
    </row>
    <row r="5494" spans="1:11" ht="12.75">
      <c r="A5494" s="69">
        <f ca="1">IFERROR(__xludf.DUMMYFUNCTION("""COMPUTED_VALUE"""),106395)</f>
        <v>106395</v>
      </c>
      <c r="B5494" s="4">
        <f ca="1">IFERROR(__xludf.DUMMYFUNCTION("""COMPUTED_VALUE"""),44809)</f>
        <v>44809</v>
      </c>
      <c r="C5494" t="str">
        <f ca="1">IFERROR(__xludf.DUMMYFUNCTION("""COMPUTED_VALUE"""),"ЗАО ""ЭКОС"" 115-СТР от 01.01.2022")</f>
        <v>ЗАО "ЭКОС" 115-СТР от 01.01.2022</v>
      </c>
      <c r="D54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4" t="str">
        <f ca="1">IFERROR(__xludf.DUMMYFUNCTION("""COMPUTED_VALUE"""),"Новый")</f>
        <v>Новый</v>
      </c>
      <c r="G5494" s="68"/>
      <c r="K5494" s="68"/>
    </row>
    <row r="5495" spans="1:11" ht="12.75">
      <c r="A5495" s="69">
        <f ca="1">IFERROR(__xludf.DUMMYFUNCTION("""COMPUTED_VALUE"""),106396)</f>
        <v>106396</v>
      </c>
      <c r="B5495" s="4">
        <f ca="1">IFERROR(__xludf.DUMMYFUNCTION("""COMPUTED_VALUE"""),44809)</f>
        <v>44809</v>
      </c>
      <c r="C5495" t="str">
        <f ca="1">IFERROR(__xludf.DUMMYFUNCTION("""COMPUTED_VALUE"""),"ЗАО ""ЭКОС"" 115-СТР от 01.01.2022")</f>
        <v>ЗАО "ЭКОС" 115-СТР от 01.01.2022</v>
      </c>
      <c r="D54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5" t="str">
        <f ca="1">IFERROR(__xludf.DUMMYFUNCTION("""COMPUTED_VALUE"""),"Новый")</f>
        <v>Новый</v>
      </c>
      <c r="G5495" s="68"/>
      <c r="K5495" s="68"/>
    </row>
    <row r="5496" spans="1:11" ht="12.75">
      <c r="A5496" s="69">
        <f ca="1">IFERROR(__xludf.DUMMYFUNCTION("""COMPUTED_VALUE"""),106397)</f>
        <v>106397</v>
      </c>
      <c r="B5496" s="4">
        <f ca="1">IFERROR(__xludf.DUMMYFUNCTION("""COMPUTED_VALUE"""),44809)</f>
        <v>44809</v>
      </c>
      <c r="C5496" t="str">
        <f ca="1">IFERROR(__xludf.DUMMYFUNCTION("""COMPUTED_VALUE"""),"ЗАО ""ЭКОС"" 115-СТР от 01.01.2022")</f>
        <v>ЗАО "ЭКОС" 115-СТР от 01.01.2022</v>
      </c>
      <c r="D54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6" t="str">
        <f ca="1">IFERROR(__xludf.DUMMYFUNCTION("""COMPUTED_VALUE"""),"Новый")</f>
        <v>Новый</v>
      </c>
      <c r="G5496" s="68"/>
      <c r="K5496" s="68"/>
    </row>
    <row r="5497" spans="1:11" ht="12.75">
      <c r="A5497" s="69">
        <f ca="1">IFERROR(__xludf.DUMMYFUNCTION("""COMPUTED_VALUE"""),106398)</f>
        <v>106398</v>
      </c>
      <c r="B5497" s="4">
        <f ca="1">IFERROR(__xludf.DUMMYFUNCTION("""COMPUTED_VALUE"""),44809)</f>
        <v>44809</v>
      </c>
      <c r="C5497" t="str">
        <f ca="1">IFERROR(__xludf.DUMMYFUNCTION("""COMPUTED_VALUE"""),"ЗАО ""ЭКОС"" 115-СТР от 01.01.2022")</f>
        <v>ЗАО "ЭКОС" 115-СТР от 01.01.2022</v>
      </c>
      <c r="D54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7" t="str">
        <f ca="1">IFERROR(__xludf.DUMMYFUNCTION("""COMPUTED_VALUE"""),"Новый")</f>
        <v>Новый</v>
      </c>
      <c r="G5497" s="68"/>
      <c r="K5497" s="68"/>
    </row>
    <row r="5498" spans="1:11" ht="12.75">
      <c r="A5498" s="69">
        <f ca="1">IFERROR(__xludf.DUMMYFUNCTION("""COMPUTED_VALUE"""),106399)</f>
        <v>106399</v>
      </c>
      <c r="B5498" s="4">
        <f ca="1">IFERROR(__xludf.DUMMYFUNCTION("""COMPUTED_VALUE"""),44809)</f>
        <v>44809</v>
      </c>
      <c r="C5498" t="str">
        <f ca="1">IFERROR(__xludf.DUMMYFUNCTION("""COMPUTED_VALUE"""),"ЗАО ""ЭКОС"" 115-СТР от 01.01.2022")</f>
        <v>ЗАО "ЭКОС" 115-СТР от 01.01.2022</v>
      </c>
      <c r="D54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8" t="str">
        <f ca="1">IFERROR(__xludf.DUMMYFUNCTION("""COMPUTED_VALUE"""),"Новый")</f>
        <v>Новый</v>
      </c>
      <c r="G5498" s="68"/>
      <c r="K5498" s="68"/>
    </row>
    <row r="5499" spans="1:11" ht="12.75">
      <c r="A5499" s="69">
        <f ca="1">IFERROR(__xludf.DUMMYFUNCTION("""COMPUTED_VALUE"""),106400)</f>
        <v>106400</v>
      </c>
      <c r="B5499" s="4">
        <f ca="1">IFERROR(__xludf.DUMMYFUNCTION("""COMPUTED_VALUE"""),44809)</f>
        <v>44809</v>
      </c>
      <c r="C5499" t="str">
        <f ca="1">IFERROR(__xludf.DUMMYFUNCTION("""COMPUTED_VALUE"""),"ЗАО ""ЭКОС"" 115-СТР от 01.01.2022")</f>
        <v>ЗАО "ЭКОС" 115-СТР от 01.01.2022</v>
      </c>
      <c r="D54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499" t="str">
        <f ca="1">IFERROR(__xludf.DUMMYFUNCTION("""COMPUTED_VALUE"""),"Новый")</f>
        <v>Новый</v>
      </c>
      <c r="G5499" s="68"/>
      <c r="K5499" s="68"/>
    </row>
    <row r="5500" spans="1:11" ht="12.75">
      <c r="A5500" s="69">
        <f ca="1">IFERROR(__xludf.DUMMYFUNCTION("""COMPUTED_VALUE"""),106401)</f>
        <v>106401</v>
      </c>
      <c r="B5500" s="4">
        <f ca="1">IFERROR(__xludf.DUMMYFUNCTION("""COMPUTED_VALUE"""),44809)</f>
        <v>44809</v>
      </c>
      <c r="C5500" t="str">
        <f ca="1">IFERROR(__xludf.DUMMYFUNCTION("""COMPUTED_VALUE"""),"ЗАО ""ЭКОС"" 115-СТР от 01.01.2022")</f>
        <v>ЗАО "ЭКОС" 115-СТР от 01.01.2022</v>
      </c>
      <c r="D55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0" t="str">
        <f ca="1">IFERROR(__xludf.DUMMYFUNCTION("""COMPUTED_VALUE"""),"Новый")</f>
        <v>Новый</v>
      </c>
      <c r="G5500" s="68"/>
      <c r="K5500" s="68"/>
    </row>
    <row r="5501" spans="1:11" ht="12.75">
      <c r="A5501" s="69">
        <f ca="1">IFERROR(__xludf.DUMMYFUNCTION("""COMPUTED_VALUE"""),106402)</f>
        <v>106402</v>
      </c>
      <c r="B5501" s="4">
        <f ca="1">IFERROR(__xludf.DUMMYFUNCTION("""COMPUTED_VALUE"""),44809)</f>
        <v>44809</v>
      </c>
      <c r="C5501" t="str">
        <f ca="1">IFERROR(__xludf.DUMMYFUNCTION("""COMPUTED_VALUE"""),"ЗАО ""ЭКОС"" 115-СТР от 01.01.2022")</f>
        <v>ЗАО "ЭКОС" 115-СТР от 01.01.2022</v>
      </c>
      <c r="D55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1" t="str">
        <f ca="1">IFERROR(__xludf.DUMMYFUNCTION("""COMPUTED_VALUE"""),"Новый")</f>
        <v>Новый</v>
      </c>
      <c r="G5501" s="68"/>
      <c r="K5501" s="68"/>
    </row>
    <row r="5502" spans="1:11" ht="12.75">
      <c r="A5502" s="69">
        <f ca="1">IFERROR(__xludf.DUMMYFUNCTION("""COMPUTED_VALUE"""),106403)</f>
        <v>106403</v>
      </c>
      <c r="B5502" s="4">
        <f ca="1">IFERROR(__xludf.DUMMYFUNCTION("""COMPUTED_VALUE"""),44809)</f>
        <v>44809</v>
      </c>
      <c r="C5502" t="str">
        <f ca="1">IFERROR(__xludf.DUMMYFUNCTION("""COMPUTED_VALUE"""),"ЗАО ""ЭКОС"" 115-СТР от 01.01.2022")</f>
        <v>ЗАО "ЭКОС" 115-СТР от 01.01.2022</v>
      </c>
      <c r="D55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2" t="str">
        <f ca="1">IFERROR(__xludf.DUMMYFUNCTION("""COMPUTED_VALUE"""),"Новый")</f>
        <v>Новый</v>
      </c>
      <c r="G5502" s="68"/>
      <c r="K5502" s="68"/>
    </row>
    <row r="5503" spans="1:11" ht="12.75">
      <c r="A5503" s="69">
        <f ca="1">IFERROR(__xludf.DUMMYFUNCTION("""COMPUTED_VALUE"""),106404)</f>
        <v>106404</v>
      </c>
      <c r="B5503" s="4">
        <f ca="1">IFERROR(__xludf.DUMMYFUNCTION("""COMPUTED_VALUE"""),44809)</f>
        <v>44809</v>
      </c>
      <c r="C5503" t="str">
        <f ca="1">IFERROR(__xludf.DUMMYFUNCTION("""COMPUTED_VALUE"""),"ЗАО ""ЭКОС"" 115-СТР от 01.01.2022")</f>
        <v>ЗАО "ЭКОС" 115-СТР от 01.01.2022</v>
      </c>
      <c r="D55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3" t="str">
        <f ca="1">IFERROR(__xludf.DUMMYFUNCTION("""COMPUTED_VALUE"""),"Новый")</f>
        <v>Новый</v>
      </c>
      <c r="G5503" s="68"/>
      <c r="K5503" s="68"/>
    </row>
    <row r="5504" spans="1:11" ht="12.75">
      <c r="A5504" s="69">
        <f ca="1">IFERROR(__xludf.DUMMYFUNCTION("""COMPUTED_VALUE"""),106405)</f>
        <v>106405</v>
      </c>
      <c r="B5504" s="4">
        <f ca="1">IFERROR(__xludf.DUMMYFUNCTION("""COMPUTED_VALUE"""),44809)</f>
        <v>44809</v>
      </c>
      <c r="C5504" t="str">
        <f ca="1">IFERROR(__xludf.DUMMYFUNCTION("""COMPUTED_VALUE"""),"ЗАО ""ЭКОС"" 115-СТР от 01.01.2022")</f>
        <v>ЗАО "ЭКОС" 115-СТР от 01.01.2022</v>
      </c>
      <c r="D55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4" t="str">
        <f ca="1">IFERROR(__xludf.DUMMYFUNCTION("""COMPUTED_VALUE"""),"Новый")</f>
        <v>Новый</v>
      </c>
      <c r="G5504" s="68"/>
      <c r="K5504" s="68"/>
    </row>
    <row r="5505" spans="1:11" ht="12.75">
      <c r="A5505" s="69">
        <f ca="1">IFERROR(__xludf.DUMMYFUNCTION("""COMPUTED_VALUE"""),106406)</f>
        <v>106406</v>
      </c>
      <c r="B5505" s="4">
        <f ca="1">IFERROR(__xludf.DUMMYFUNCTION("""COMPUTED_VALUE"""),44809)</f>
        <v>44809</v>
      </c>
      <c r="C5505" t="str">
        <f ca="1">IFERROR(__xludf.DUMMYFUNCTION("""COMPUTED_VALUE"""),"ЗАО ""ЭКОС"" 115-СТР от 01.01.2022")</f>
        <v>ЗАО "ЭКОС" 115-СТР от 01.01.2022</v>
      </c>
      <c r="D55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5" t="str">
        <f ca="1">IFERROR(__xludf.DUMMYFUNCTION("""COMPUTED_VALUE"""),"Новый")</f>
        <v>Новый</v>
      </c>
      <c r="G5505" s="68"/>
      <c r="K5505" s="68"/>
    </row>
    <row r="5506" spans="1:11" ht="12.75">
      <c r="A5506" s="69">
        <f ca="1">IFERROR(__xludf.DUMMYFUNCTION("""COMPUTED_VALUE"""),106407)</f>
        <v>106407</v>
      </c>
      <c r="B5506" s="4">
        <f ca="1">IFERROR(__xludf.DUMMYFUNCTION("""COMPUTED_VALUE"""),44809)</f>
        <v>44809</v>
      </c>
      <c r="C5506" t="str">
        <f ca="1">IFERROR(__xludf.DUMMYFUNCTION("""COMPUTED_VALUE"""),"ЗАО ""ЭКОС"" 115-СТР от 01.01.2022")</f>
        <v>ЗАО "ЭКОС" 115-СТР от 01.01.2022</v>
      </c>
      <c r="D55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6" t="str">
        <f ca="1">IFERROR(__xludf.DUMMYFUNCTION("""COMPUTED_VALUE"""),"Новый")</f>
        <v>Новый</v>
      </c>
      <c r="G5506" s="68"/>
      <c r="K5506" s="68"/>
    </row>
    <row r="5507" spans="1:11" ht="12.75">
      <c r="A5507" s="69">
        <f ca="1">IFERROR(__xludf.DUMMYFUNCTION("""COMPUTED_VALUE"""),106408)</f>
        <v>106408</v>
      </c>
      <c r="B5507" s="4">
        <f ca="1">IFERROR(__xludf.DUMMYFUNCTION("""COMPUTED_VALUE"""),44809)</f>
        <v>44809</v>
      </c>
      <c r="C5507" t="str">
        <f ca="1">IFERROR(__xludf.DUMMYFUNCTION("""COMPUTED_VALUE"""),"ЗАО ""ЭКОС"" 115-СТР от 01.01.2022")</f>
        <v>ЗАО "ЭКОС" 115-СТР от 01.01.2022</v>
      </c>
      <c r="D55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7" t="str">
        <f ca="1">IFERROR(__xludf.DUMMYFUNCTION("""COMPUTED_VALUE"""),"Новый")</f>
        <v>Новый</v>
      </c>
      <c r="G5507" s="68"/>
      <c r="K5507" s="68"/>
    </row>
    <row r="5508" spans="1:11" ht="12.75">
      <c r="A5508" s="69">
        <f ca="1">IFERROR(__xludf.DUMMYFUNCTION("""COMPUTED_VALUE"""),106409)</f>
        <v>106409</v>
      </c>
      <c r="B5508" s="4">
        <f ca="1">IFERROR(__xludf.DUMMYFUNCTION("""COMPUTED_VALUE"""),44809)</f>
        <v>44809</v>
      </c>
      <c r="C5508" t="str">
        <f ca="1">IFERROR(__xludf.DUMMYFUNCTION("""COMPUTED_VALUE"""),"ЗАО ""ЭКОС"" 115-СТР от 01.01.2022")</f>
        <v>ЗАО "ЭКОС" 115-СТР от 01.01.2022</v>
      </c>
      <c r="D55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8" t="str">
        <f ca="1">IFERROR(__xludf.DUMMYFUNCTION("""COMPUTED_VALUE"""),"Новый")</f>
        <v>Новый</v>
      </c>
      <c r="G5508" s="68"/>
      <c r="K5508" s="68"/>
    </row>
    <row r="5509" spans="1:11" ht="12.75">
      <c r="A5509" s="69">
        <f ca="1">IFERROR(__xludf.DUMMYFUNCTION("""COMPUTED_VALUE"""),106410)</f>
        <v>106410</v>
      </c>
      <c r="B5509" s="4">
        <f ca="1">IFERROR(__xludf.DUMMYFUNCTION("""COMPUTED_VALUE"""),44809)</f>
        <v>44809</v>
      </c>
      <c r="C5509" t="str">
        <f ca="1">IFERROR(__xludf.DUMMYFUNCTION("""COMPUTED_VALUE"""),"ЗАО ""ЭКОС"" 115-СТР от 01.01.2022")</f>
        <v>ЗАО "ЭКОС" 115-СТР от 01.01.2022</v>
      </c>
      <c r="D55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09" t="str">
        <f ca="1">IFERROR(__xludf.DUMMYFUNCTION("""COMPUTED_VALUE"""),"Новый")</f>
        <v>Новый</v>
      </c>
      <c r="G5509" s="68"/>
      <c r="K5509" s="68"/>
    </row>
    <row r="5510" spans="1:11" ht="12.75">
      <c r="A5510" s="69">
        <f ca="1">IFERROR(__xludf.DUMMYFUNCTION("""COMPUTED_VALUE"""),106411)</f>
        <v>106411</v>
      </c>
      <c r="B5510" s="4">
        <f ca="1">IFERROR(__xludf.DUMMYFUNCTION("""COMPUTED_VALUE"""),44809)</f>
        <v>44809</v>
      </c>
      <c r="C5510" t="str">
        <f ca="1">IFERROR(__xludf.DUMMYFUNCTION("""COMPUTED_VALUE"""),"ЗАО ""ЭКОС"" 115-СТР от 01.01.2022")</f>
        <v>ЗАО "ЭКОС" 115-СТР от 01.01.2022</v>
      </c>
      <c r="D55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0" t="str">
        <f ca="1">IFERROR(__xludf.DUMMYFUNCTION("""COMPUTED_VALUE"""),"Новый")</f>
        <v>Новый</v>
      </c>
      <c r="G5510" s="68"/>
      <c r="K5510" s="68"/>
    </row>
    <row r="5511" spans="1:11" ht="12.75">
      <c r="A5511" s="69">
        <f ca="1">IFERROR(__xludf.DUMMYFUNCTION("""COMPUTED_VALUE"""),106412)</f>
        <v>106412</v>
      </c>
      <c r="B5511" s="4">
        <f ca="1">IFERROR(__xludf.DUMMYFUNCTION("""COMPUTED_VALUE"""),44809)</f>
        <v>44809</v>
      </c>
      <c r="C5511" t="str">
        <f ca="1">IFERROR(__xludf.DUMMYFUNCTION("""COMPUTED_VALUE"""),"ЗАО ""ЭКОС"" 115-СТР от 01.01.2022")</f>
        <v>ЗАО "ЭКОС" 115-СТР от 01.01.2022</v>
      </c>
      <c r="D55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1" t="str">
        <f ca="1">IFERROR(__xludf.DUMMYFUNCTION("""COMPUTED_VALUE"""),"Новый")</f>
        <v>Новый</v>
      </c>
      <c r="G5511" s="68"/>
      <c r="K5511" s="68"/>
    </row>
    <row r="5512" spans="1:11" ht="12.75">
      <c r="A5512" s="69">
        <f ca="1">IFERROR(__xludf.DUMMYFUNCTION("""COMPUTED_VALUE"""),106413)</f>
        <v>106413</v>
      </c>
      <c r="B5512" s="4">
        <f ca="1">IFERROR(__xludf.DUMMYFUNCTION("""COMPUTED_VALUE"""),44809)</f>
        <v>44809</v>
      </c>
      <c r="C5512" t="str">
        <f ca="1">IFERROR(__xludf.DUMMYFUNCTION("""COMPUTED_VALUE"""),"ЗАО ""ЭКОС"" 115-СТР от 01.01.2022")</f>
        <v>ЗАО "ЭКОС" 115-СТР от 01.01.2022</v>
      </c>
      <c r="D55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2" t="str">
        <f ca="1">IFERROR(__xludf.DUMMYFUNCTION("""COMPUTED_VALUE"""),"Новый")</f>
        <v>Новый</v>
      </c>
      <c r="G5512" s="68"/>
      <c r="K5512" s="68"/>
    </row>
    <row r="5513" spans="1:11" ht="12.75">
      <c r="A5513" s="69">
        <f ca="1">IFERROR(__xludf.DUMMYFUNCTION("""COMPUTED_VALUE"""),106414)</f>
        <v>106414</v>
      </c>
      <c r="B5513" s="4">
        <f ca="1">IFERROR(__xludf.DUMMYFUNCTION("""COMPUTED_VALUE"""),44809)</f>
        <v>44809</v>
      </c>
      <c r="C5513" t="str">
        <f ca="1">IFERROR(__xludf.DUMMYFUNCTION("""COMPUTED_VALUE"""),"ЗАО ""ЭКОС"" 115-СТР от 01.01.2022")</f>
        <v>ЗАО "ЭКОС" 115-СТР от 01.01.2022</v>
      </c>
      <c r="D55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3" t="str">
        <f ca="1">IFERROR(__xludf.DUMMYFUNCTION("""COMPUTED_VALUE"""),"Новый")</f>
        <v>Новый</v>
      </c>
      <c r="G5513" s="68"/>
      <c r="K5513" s="68"/>
    </row>
    <row r="5514" spans="1:11" ht="12.75">
      <c r="A5514" s="69">
        <f ca="1">IFERROR(__xludf.DUMMYFUNCTION("""COMPUTED_VALUE"""),106415)</f>
        <v>106415</v>
      </c>
      <c r="B5514" s="4">
        <f ca="1">IFERROR(__xludf.DUMMYFUNCTION("""COMPUTED_VALUE"""),44809)</f>
        <v>44809</v>
      </c>
      <c r="C5514" t="str">
        <f ca="1">IFERROR(__xludf.DUMMYFUNCTION("""COMPUTED_VALUE"""),"ЗАО ""ЭКОС"" 115-СТР от 01.01.2022")</f>
        <v>ЗАО "ЭКОС" 115-СТР от 01.01.2022</v>
      </c>
      <c r="D55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4" t="str">
        <f ca="1">IFERROR(__xludf.DUMMYFUNCTION("""COMPUTED_VALUE"""),"Новый")</f>
        <v>Новый</v>
      </c>
      <c r="G5514" s="68"/>
      <c r="K5514" s="68"/>
    </row>
    <row r="5515" spans="1:11" ht="12.75">
      <c r="A5515" s="69">
        <f ca="1">IFERROR(__xludf.DUMMYFUNCTION("""COMPUTED_VALUE"""),106416)</f>
        <v>106416</v>
      </c>
      <c r="B5515" s="4">
        <f ca="1">IFERROR(__xludf.DUMMYFUNCTION("""COMPUTED_VALUE"""),44809)</f>
        <v>44809</v>
      </c>
      <c r="C5515" t="str">
        <f ca="1">IFERROR(__xludf.DUMMYFUNCTION("""COMPUTED_VALUE"""),"ЗАО ""ЭКОС"" 115-СТР от 01.01.2022")</f>
        <v>ЗАО "ЭКОС" 115-СТР от 01.01.2022</v>
      </c>
      <c r="D55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5" t="str">
        <f ca="1">IFERROR(__xludf.DUMMYFUNCTION("""COMPUTED_VALUE"""),"Новый")</f>
        <v>Новый</v>
      </c>
      <c r="G5515" s="68"/>
      <c r="K5515" s="68"/>
    </row>
    <row r="5516" spans="1:11" ht="12.75">
      <c r="A5516" s="69">
        <f ca="1">IFERROR(__xludf.DUMMYFUNCTION("""COMPUTED_VALUE"""),106417)</f>
        <v>106417</v>
      </c>
      <c r="B5516" s="4">
        <f ca="1">IFERROR(__xludf.DUMMYFUNCTION("""COMPUTED_VALUE"""),44809)</f>
        <v>44809</v>
      </c>
      <c r="C5516" t="str">
        <f ca="1">IFERROR(__xludf.DUMMYFUNCTION("""COMPUTED_VALUE"""),"ЗАО ""ЭКОС"" 115-СТР от 01.01.2022")</f>
        <v>ЗАО "ЭКОС" 115-СТР от 01.01.2022</v>
      </c>
      <c r="D55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6" t="str">
        <f ca="1">IFERROR(__xludf.DUMMYFUNCTION("""COMPUTED_VALUE"""),"Новый")</f>
        <v>Новый</v>
      </c>
      <c r="G5516" s="68"/>
      <c r="K5516" s="68"/>
    </row>
    <row r="5517" spans="1:11" ht="12.75">
      <c r="A5517" s="69">
        <f ca="1">IFERROR(__xludf.DUMMYFUNCTION("""COMPUTED_VALUE"""),106418)</f>
        <v>106418</v>
      </c>
      <c r="B5517" s="4">
        <f ca="1">IFERROR(__xludf.DUMMYFUNCTION("""COMPUTED_VALUE"""),44809)</f>
        <v>44809</v>
      </c>
      <c r="C5517" t="str">
        <f ca="1">IFERROR(__xludf.DUMMYFUNCTION("""COMPUTED_VALUE"""),"ЗАО ""ЭКОС"" 115-СТР от 01.01.2022")</f>
        <v>ЗАО "ЭКОС" 115-СТР от 01.01.2022</v>
      </c>
      <c r="D55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7" t="str">
        <f ca="1">IFERROR(__xludf.DUMMYFUNCTION("""COMPUTED_VALUE"""),"Новый")</f>
        <v>Новый</v>
      </c>
      <c r="G5517" s="68"/>
      <c r="K5517" s="68"/>
    </row>
    <row r="5518" spans="1:11" ht="12.75">
      <c r="A5518" s="69">
        <f ca="1">IFERROR(__xludf.DUMMYFUNCTION("""COMPUTED_VALUE"""),106419)</f>
        <v>106419</v>
      </c>
      <c r="B5518" s="4">
        <f ca="1">IFERROR(__xludf.DUMMYFUNCTION("""COMPUTED_VALUE"""),44809)</f>
        <v>44809</v>
      </c>
      <c r="C5518" t="str">
        <f ca="1">IFERROR(__xludf.DUMMYFUNCTION("""COMPUTED_VALUE"""),"ЗАО ""ЭКОС"" 115-СТР от 01.01.2022")</f>
        <v>ЗАО "ЭКОС" 115-СТР от 01.01.2022</v>
      </c>
      <c r="D55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8" t="str">
        <f ca="1">IFERROR(__xludf.DUMMYFUNCTION("""COMPUTED_VALUE"""),"Новый")</f>
        <v>Новый</v>
      </c>
      <c r="G5518" s="68"/>
      <c r="K5518" s="68"/>
    </row>
    <row r="5519" spans="1:11" ht="12.75">
      <c r="A5519" s="69">
        <f ca="1">IFERROR(__xludf.DUMMYFUNCTION("""COMPUTED_VALUE"""),106420)</f>
        <v>106420</v>
      </c>
      <c r="B5519" s="4">
        <f ca="1">IFERROR(__xludf.DUMMYFUNCTION("""COMPUTED_VALUE"""),44809)</f>
        <v>44809</v>
      </c>
      <c r="C5519" t="str">
        <f ca="1">IFERROR(__xludf.DUMMYFUNCTION("""COMPUTED_VALUE"""),"ЗАО ""ЭКОС"" 115-СТР от 01.01.2022")</f>
        <v>ЗАО "ЭКОС" 115-СТР от 01.01.2022</v>
      </c>
      <c r="D55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19" t="str">
        <f ca="1">IFERROR(__xludf.DUMMYFUNCTION("""COMPUTED_VALUE"""),"Новый")</f>
        <v>Новый</v>
      </c>
      <c r="G5519" s="68"/>
      <c r="K5519" s="68"/>
    </row>
    <row r="5520" spans="1:11" ht="12.75">
      <c r="A5520" s="69">
        <f ca="1">IFERROR(__xludf.DUMMYFUNCTION("""COMPUTED_VALUE"""),106421)</f>
        <v>106421</v>
      </c>
      <c r="B5520" s="4">
        <f ca="1">IFERROR(__xludf.DUMMYFUNCTION("""COMPUTED_VALUE"""),44809)</f>
        <v>44809</v>
      </c>
      <c r="C5520" t="str">
        <f ca="1">IFERROR(__xludf.DUMMYFUNCTION("""COMPUTED_VALUE"""),"ЗАО ""ЭКОС"" 115-СТР от 01.01.2022")</f>
        <v>ЗАО "ЭКОС" 115-СТР от 01.01.2022</v>
      </c>
      <c r="D55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0" t="str">
        <f ca="1">IFERROR(__xludf.DUMMYFUNCTION("""COMPUTED_VALUE"""),"Новый")</f>
        <v>Новый</v>
      </c>
      <c r="G5520" s="68"/>
      <c r="K5520" s="68"/>
    </row>
    <row r="5521" spans="1:11" ht="12.75">
      <c r="A5521" s="69">
        <f ca="1">IFERROR(__xludf.DUMMYFUNCTION("""COMPUTED_VALUE"""),106422)</f>
        <v>106422</v>
      </c>
      <c r="B5521" s="4">
        <f ca="1">IFERROR(__xludf.DUMMYFUNCTION("""COMPUTED_VALUE"""),44809)</f>
        <v>44809</v>
      </c>
      <c r="C5521" t="str">
        <f ca="1">IFERROR(__xludf.DUMMYFUNCTION("""COMPUTED_VALUE"""),"ЗАО ""ЭКОС"" 115-СТР от 01.01.2022")</f>
        <v>ЗАО "ЭКОС" 115-СТР от 01.01.2022</v>
      </c>
      <c r="D55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1" t="str">
        <f ca="1">IFERROR(__xludf.DUMMYFUNCTION("""COMPUTED_VALUE"""),"Новый")</f>
        <v>Новый</v>
      </c>
      <c r="G5521" s="68"/>
      <c r="K5521" s="68"/>
    </row>
    <row r="5522" spans="1:11" ht="12.75">
      <c r="A5522" s="69">
        <f ca="1">IFERROR(__xludf.DUMMYFUNCTION("""COMPUTED_VALUE"""),106423)</f>
        <v>106423</v>
      </c>
      <c r="B5522" s="4">
        <f ca="1">IFERROR(__xludf.DUMMYFUNCTION("""COMPUTED_VALUE"""),44809)</f>
        <v>44809</v>
      </c>
      <c r="C5522" t="str">
        <f ca="1">IFERROR(__xludf.DUMMYFUNCTION("""COMPUTED_VALUE"""),"ЗАО ""ЭКОС"" 115-СТР от 01.01.2022")</f>
        <v>ЗАО "ЭКОС" 115-СТР от 01.01.2022</v>
      </c>
      <c r="D55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2" t="str">
        <f ca="1">IFERROR(__xludf.DUMMYFUNCTION("""COMPUTED_VALUE"""),"Новый")</f>
        <v>Новый</v>
      </c>
      <c r="G5522" s="68"/>
      <c r="K5522" s="68"/>
    </row>
    <row r="5523" spans="1:11" ht="12.75">
      <c r="A5523" s="69">
        <f ca="1">IFERROR(__xludf.DUMMYFUNCTION("""COMPUTED_VALUE"""),106424)</f>
        <v>106424</v>
      </c>
      <c r="B5523" s="4">
        <f ca="1">IFERROR(__xludf.DUMMYFUNCTION("""COMPUTED_VALUE"""),44809)</f>
        <v>44809</v>
      </c>
      <c r="C5523" t="str">
        <f ca="1">IFERROR(__xludf.DUMMYFUNCTION("""COMPUTED_VALUE"""),"ЗАО ""ЭКОС"" 115-СТР от 01.01.2022")</f>
        <v>ЗАО "ЭКОС" 115-СТР от 01.01.2022</v>
      </c>
      <c r="D55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3" t="str">
        <f ca="1">IFERROR(__xludf.DUMMYFUNCTION("""COMPUTED_VALUE"""),"Новый")</f>
        <v>Новый</v>
      </c>
      <c r="G5523" s="68"/>
      <c r="K5523" s="68"/>
    </row>
    <row r="5524" spans="1:11" ht="12.75">
      <c r="A5524" s="69">
        <f ca="1">IFERROR(__xludf.DUMMYFUNCTION("""COMPUTED_VALUE"""),106425)</f>
        <v>106425</v>
      </c>
      <c r="B5524" s="4">
        <f ca="1">IFERROR(__xludf.DUMMYFUNCTION("""COMPUTED_VALUE"""),44809)</f>
        <v>44809</v>
      </c>
      <c r="C5524" t="str">
        <f ca="1">IFERROR(__xludf.DUMMYFUNCTION("""COMPUTED_VALUE"""),"ЗАО ""ЭКОС"" 115-СТР от 01.01.2022")</f>
        <v>ЗАО "ЭКОС" 115-СТР от 01.01.2022</v>
      </c>
      <c r="D55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4" t="str">
        <f ca="1">IFERROR(__xludf.DUMMYFUNCTION("""COMPUTED_VALUE"""),"Новый")</f>
        <v>Новый</v>
      </c>
      <c r="G5524" s="68"/>
      <c r="K5524" s="68"/>
    </row>
    <row r="5525" spans="1:11" ht="12.75">
      <c r="A5525" s="69">
        <f ca="1">IFERROR(__xludf.DUMMYFUNCTION("""COMPUTED_VALUE"""),106426)</f>
        <v>106426</v>
      </c>
      <c r="B5525" s="4">
        <f ca="1">IFERROR(__xludf.DUMMYFUNCTION("""COMPUTED_VALUE"""),44809)</f>
        <v>44809</v>
      </c>
      <c r="C5525" t="str">
        <f ca="1">IFERROR(__xludf.DUMMYFUNCTION("""COMPUTED_VALUE"""),"ЗАО ""ЭКОС"" 115-СТР от 01.01.2022")</f>
        <v>ЗАО "ЭКОС" 115-СТР от 01.01.2022</v>
      </c>
      <c r="D55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5" t="str">
        <f ca="1">IFERROR(__xludf.DUMMYFUNCTION("""COMPUTED_VALUE"""),"Новый")</f>
        <v>Новый</v>
      </c>
      <c r="G5525" s="68"/>
      <c r="K5525" s="68"/>
    </row>
    <row r="5526" spans="1:11" ht="12.75">
      <c r="A5526" s="69">
        <f ca="1">IFERROR(__xludf.DUMMYFUNCTION("""COMPUTED_VALUE"""),106427)</f>
        <v>106427</v>
      </c>
      <c r="B5526" s="4">
        <f ca="1">IFERROR(__xludf.DUMMYFUNCTION("""COMPUTED_VALUE"""),44809)</f>
        <v>44809</v>
      </c>
      <c r="C5526" t="str">
        <f ca="1">IFERROR(__xludf.DUMMYFUNCTION("""COMPUTED_VALUE"""),"ЗАО ""ЭКОС"" 115-СТР от 01.01.2022")</f>
        <v>ЗАО "ЭКОС" 115-СТР от 01.01.2022</v>
      </c>
      <c r="D55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6" t="str">
        <f ca="1">IFERROR(__xludf.DUMMYFUNCTION("""COMPUTED_VALUE"""),"Новый")</f>
        <v>Новый</v>
      </c>
      <c r="G5526" s="68"/>
      <c r="K5526" s="68"/>
    </row>
    <row r="5527" spans="1:11" ht="12.75">
      <c r="A5527" s="69">
        <f ca="1">IFERROR(__xludf.DUMMYFUNCTION("""COMPUTED_VALUE"""),106428)</f>
        <v>106428</v>
      </c>
      <c r="B5527" s="4">
        <f ca="1">IFERROR(__xludf.DUMMYFUNCTION("""COMPUTED_VALUE"""),44809)</f>
        <v>44809</v>
      </c>
      <c r="C5527" t="str">
        <f ca="1">IFERROR(__xludf.DUMMYFUNCTION("""COMPUTED_VALUE"""),"ЗАО ""ЭКОС"" 115-СТР от 01.01.2022")</f>
        <v>ЗАО "ЭКОС" 115-СТР от 01.01.2022</v>
      </c>
      <c r="D55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7" t="str">
        <f ca="1">IFERROR(__xludf.DUMMYFUNCTION("""COMPUTED_VALUE"""),"Новый")</f>
        <v>Новый</v>
      </c>
      <c r="G5527" s="68"/>
      <c r="K5527" s="68"/>
    </row>
    <row r="5528" spans="1:11" ht="12.75">
      <c r="A5528" s="69">
        <f ca="1">IFERROR(__xludf.DUMMYFUNCTION("""COMPUTED_VALUE"""),106429)</f>
        <v>106429</v>
      </c>
      <c r="B5528" s="4">
        <f ca="1">IFERROR(__xludf.DUMMYFUNCTION("""COMPUTED_VALUE"""),44809)</f>
        <v>44809</v>
      </c>
      <c r="C5528" t="str">
        <f ca="1">IFERROR(__xludf.DUMMYFUNCTION("""COMPUTED_VALUE"""),"ЗАО ""ЭКОС"" 115-СТР от 01.01.2022")</f>
        <v>ЗАО "ЭКОС" 115-СТР от 01.01.2022</v>
      </c>
      <c r="D55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8" t="str">
        <f ca="1">IFERROR(__xludf.DUMMYFUNCTION("""COMPUTED_VALUE"""),"Новый")</f>
        <v>Новый</v>
      </c>
      <c r="G5528" s="68"/>
      <c r="K5528" s="68"/>
    </row>
    <row r="5529" spans="1:11" ht="12.75">
      <c r="A5529" s="69">
        <f ca="1">IFERROR(__xludf.DUMMYFUNCTION("""COMPUTED_VALUE"""),106430)</f>
        <v>106430</v>
      </c>
      <c r="B5529" s="4">
        <f ca="1">IFERROR(__xludf.DUMMYFUNCTION("""COMPUTED_VALUE"""),44809)</f>
        <v>44809</v>
      </c>
      <c r="C5529" t="str">
        <f ca="1">IFERROR(__xludf.DUMMYFUNCTION("""COMPUTED_VALUE"""),"ЗАО ""ЭКОС"" 115-СТР от 01.01.2022")</f>
        <v>ЗАО "ЭКОС" 115-СТР от 01.01.2022</v>
      </c>
      <c r="D55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29" t="str">
        <f ca="1">IFERROR(__xludf.DUMMYFUNCTION("""COMPUTED_VALUE"""),"Новый")</f>
        <v>Новый</v>
      </c>
      <c r="G5529" s="68"/>
      <c r="K5529" s="68"/>
    </row>
    <row r="5530" spans="1:11" ht="12.75">
      <c r="A5530" s="69">
        <f ca="1">IFERROR(__xludf.DUMMYFUNCTION("""COMPUTED_VALUE"""),106431)</f>
        <v>106431</v>
      </c>
      <c r="B5530" s="4">
        <f ca="1">IFERROR(__xludf.DUMMYFUNCTION("""COMPUTED_VALUE"""),44809)</f>
        <v>44809</v>
      </c>
      <c r="C5530" t="str">
        <f ca="1">IFERROR(__xludf.DUMMYFUNCTION("""COMPUTED_VALUE"""),"ЗАО ""ЭКОС"" 115-СТР от 01.01.2022")</f>
        <v>ЗАО "ЭКОС" 115-СТР от 01.01.2022</v>
      </c>
      <c r="D55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0" t="str">
        <f ca="1">IFERROR(__xludf.DUMMYFUNCTION("""COMPUTED_VALUE"""),"Новый")</f>
        <v>Новый</v>
      </c>
      <c r="G5530" s="68"/>
      <c r="K5530" s="68"/>
    </row>
    <row r="5531" spans="1:11" ht="12.75">
      <c r="A5531" s="69">
        <f ca="1">IFERROR(__xludf.DUMMYFUNCTION("""COMPUTED_VALUE"""),106432)</f>
        <v>106432</v>
      </c>
      <c r="B5531" s="4">
        <f ca="1">IFERROR(__xludf.DUMMYFUNCTION("""COMPUTED_VALUE"""),44809)</f>
        <v>44809</v>
      </c>
      <c r="C5531" t="str">
        <f ca="1">IFERROR(__xludf.DUMMYFUNCTION("""COMPUTED_VALUE"""),"ЗАО ""ЭКОС"" 115-СТР от 01.01.2022")</f>
        <v>ЗАО "ЭКОС" 115-СТР от 01.01.2022</v>
      </c>
      <c r="D55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1" t="str">
        <f ca="1">IFERROR(__xludf.DUMMYFUNCTION("""COMPUTED_VALUE"""),"Новый")</f>
        <v>Новый</v>
      </c>
      <c r="G5531" s="68"/>
      <c r="K5531" s="68"/>
    </row>
    <row r="5532" spans="1:11" ht="12.75">
      <c r="A5532" s="69">
        <f ca="1">IFERROR(__xludf.DUMMYFUNCTION("""COMPUTED_VALUE"""),106433)</f>
        <v>106433</v>
      </c>
      <c r="B5532" s="4">
        <f ca="1">IFERROR(__xludf.DUMMYFUNCTION("""COMPUTED_VALUE"""),44809)</f>
        <v>44809</v>
      </c>
      <c r="C5532" t="str">
        <f ca="1">IFERROR(__xludf.DUMMYFUNCTION("""COMPUTED_VALUE"""),"ЗАО ""ЭКОС"" 115-СТР от 01.01.2022")</f>
        <v>ЗАО "ЭКОС" 115-СТР от 01.01.2022</v>
      </c>
      <c r="D55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2" t="str">
        <f ca="1">IFERROR(__xludf.DUMMYFUNCTION("""COMPUTED_VALUE"""),"Новый")</f>
        <v>Новый</v>
      </c>
      <c r="G5532" s="68"/>
      <c r="K5532" s="68"/>
    </row>
    <row r="5533" spans="1:11" ht="12.75">
      <c r="A5533" s="69">
        <f ca="1">IFERROR(__xludf.DUMMYFUNCTION("""COMPUTED_VALUE"""),106434)</f>
        <v>106434</v>
      </c>
      <c r="B5533" s="4">
        <f ca="1">IFERROR(__xludf.DUMMYFUNCTION("""COMPUTED_VALUE"""),44809)</f>
        <v>44809</v>
      </c>
      <c r="C5533" t="str">
        <f ca="1">IFERROR(__xludf.DUMMYFUNCTION("""COMPUTED_VALUE"""),"ЗАО ""ЭКОС"" 115-СТР от 01.01.2022")</f>
        <v>ЗАО "ЭКОС" 115-СТР от 01.01.2022</v>
      </c>
      <c r="D55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3" t="str">
        <f ca="1">IFERROR(__xludf.DUMMYFUNCTION("""COMPUTED_VALUE"""),"Новый")</f>
        <v>Новый</v>
      </c>
      <c r="G5533" s="68"/>
      <c r="K5533" s="68"/>
    </row>
    <row r="5534" spans="1:11" ht="12.75">
      <c r="A5534" s="69">
        <f ca="1">IFERROR(__xludf.DUMMYFUNCTION("""COMPUTED_VALUE"""),106435)</f>
        <v>106435</v>
      </c>
      <c r="B5534" s="4">
        <f ca="1">IFERROR(__xludf.DUMMYFUNCTION("""COMPUTED_VALUE"""),44809)</f>
        <v>44809</v>
      </c>
      <c r="C5534" t="str">
        <f ca="1">IFERROR(__xludf.DUMMYFUNCTION("""COMPUTED_VALUE"""),"ЗАО ""ЭКОС"" 115-СТР от 01.01.2022")</f>
        <v>ЗАО "ЭКОС" 115-СТР от 01.01.2022</v>
      </c>
      <c r="D55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4" t="str">
        <f ca="1">IFERROR(__xludf.DUMMYFUNCTION("""COMPUTED_VALUE"""),"Новый")</f>
        <v>Новый</v>
      </c>
      <c r="G5534" s="68"/>
      <c r="K5534" s="68"/>
    </row>
    <row r="5535" spans="1:11" ht="12.75">
      <c r="A5535" s="69">
        <f ca="1">IFERROR(__xludf.DUMMYFUNCTION("""COMPUTED_VALUE"""),106436)</f>
        <v>106436</v>
      </c>
      <c r="B5535" s="4">
        <f ca="1">IFERROR(__xludf.DUMMYFUNCTION("""COMPUTED_VALUE"""),44809)</f>
        <v>44809</v>
      </c>
      <c r="C5535" t="str">
        <f ca="1">IFERROR(__xludf.DUMMYFUNCTION("""COMPUTED_VALUE"""),"ЗАО ""ЭКОС"" 115-СТР от 01.01.2022")</f>
        <v>ЗАО "ЭКОС" 115-СТР от 01.01.2022</v>
      </c>
      <c r="D55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5" t="str">
        <f ca="1">IFERROR(__xludf.DUMMYFUNCTION("""COMPUTED_VALUE"""),"Новый")</f>
        <v>Новый</v>
      </c>
      <c r="G5535" s="68"/>
      <c r="K5535" s="68"/>
    </row>
    <row r="5536" spans="1:11" ht="12.75">
      <c r="A5536" s="69">
        <f ca="1">IFERROR(__xludf.DUMMYFUNCTION("""COMPUTED_VALUE"""),106437)</f>
        <v>106437</v>
      </c>
      <c r="B5536" s="4">
        <f ca="1">IFERROR(__xludf.DUMMYFUNCTION("""COMPUTED_VALUE"""),44809)</f>
        <v>44809</v>
      </c>
      <c r="C5536" t="str">
        <f ca="1">IFERROR(__xludf.DUMMYFUNCTION("""COMPUTED_VALUE"""),"ЗАО ""ЭКОС"" 115-СТР от 01.01.2022")</f>
        <v>ЗАО "ЭКОС" 115-СТР от 01.01.2022</v>
      </c>
      <c r="D55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6" t="str">
        <f ca="1">IFERROR(__xludf.DUMMYFUNCTION("""COMPUTED_VALUE"""),"Новый")</f>
        <v>Новый</v>
      </c>
      <c r="G5536" s="68"/>
      <c r="K5536" s="68"/>
    </row>
    <row r="5537" spans="1:11" ht="12.75">
      <c r="A5537" s="69">
        <f ca="1">IFERROR(__xludf.DUMMYFUNCTION("""COMPUTED_VALUE"""),106438)</f>
        <v>106438</v>
      </c>
      <c r="B5537" s="4">
        <f ca="1">IFERROR(__xludf.DUMMYFUNCTION("""COMPUTED_VALUE"""),44809)</f>
        <v>44809</v>
      </c>
      <c r="C5537" t="str">
        <f ca="1">IFERROR(__xludf.DUMMYFUNCTION("""COMPUTED_VALUE"""),"ЗАО ""ЭКОС"" 115-СТР от 01.01.2022")</f>
        <v>ЗАО "ЭКОС" 115-СТР от 01.01.2022</v>
      </c>
      <c r="D55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7" t="str">
        <f ca="1">IFERROR(__xludf.DUMMYFUNCTION("""COMPUTED_VALUE"""),"Новый")</f>
        <v>Новый</v>
      </c>
      <c r="G5537" s="68"/>
      <c r="K5537" s="68"/>
    </row>
    <row r="5538" spans="1:11" ht="12.75">
      <c r="A5538" s="69">
        <f ca="1">IFERROR(__xludf.DUMMYFUNCTION("""COMPUTED_VALUE"""),106439)</f>
        <v>106439</v>
      </c>
      <c r="B5538" s="4">
        <f ca="1">IFERROR(__xludf.DUMMYFUNCTION("""COMPUTED_VALUE"""),44809)</f>
        <v>44809</v>
      </c>
      <c r="C5538" t="str">
        <f ca="1">IFERROR(__xludf.DUMMYFUNCTION("""COMPUTED_VALUE"""),"ЗАО ""ЭКОС"" 115-СТР от 01.01.2022")</f>
        <v>ЗАО "ЭКОС" 115-СТР от 01.01.2022</v>
      </c>
      <c r="D55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8" t="str">
        <f ca="1">IFERROR(__xludf.DUMMYFUNCTION("""COMPUTED_VALUE"""),"Новый")</f>
        <v>Новый</v>
      </c>
      <c r="G5538" s="68"/>
      <c r="K5538" s="68"/>
    </row>
    <row r="5539" spans="1:11" ht="12.75">
      <c r="A5539" s="69">
        <f ca="1">IFERROR(__xludf.DUMMYFUNCTION("""COMPUTED_VALUE"""),106443)</f>
        <v>106443</v>
      </c>
      <c r="B5539" s="4">
        <f ca="1">IFERROR(__xludf.DUMMYFUNCTION("""COMPUTED_VALUE"""),44810)</f>
        <v>44810</v>
      </c>
      <c r="C5539" t="str">
        <f ca="1">IFERROR(__xludf.DUMMYFUNCTION("""COMPUTED_VALUE"""),"ЗАО ""ЭКОС"" 115-СТР от 01.01.2022")</f>
        <v>ЗАО "ЭКОС" 115-СТР от 01.01.2022</v>
      </c>
      <c r="D55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39" t="str">
        <f ca="1">IFERROR(__xludf.DUMMYFUNCTION("""COMPUTED_VALUE"""),"Новый")</f>
        <v>Новый</v>
      </c>
      <c r="G5539" s="68"/>
      <c r="K5539" s="68"/>
    </row>
    <row r="5540" spans="1:11" ht="12.75">
      <c r="A5540" s="69">
        <f ca="1">IFERROR(__xludf.DUMMYFUNCTION("""COMPUTED_VALUE"""),106447)</f>
        <v>106447</v>
      </c>
      <c r="B5540" s="4">
        <f ca="1">IFERROR(__xludf.DUMMYFUNCTION("""COMPUTED_VALUE"""),44810)</f>
        <v>44810</v>
      </c>
      <c r="C5540" t="str">
        <f ca="1">IFERROR(__xludf.DUMMYFUNCTION("""COMPUTED_VALUE"""),"ЗАО ""ЭКОС"" 115-СТР от 01.01.2022")</f>
        <v>ЗАО "ЭКОС" 115-СТР от 01.01.2022</v>
      </c>
      <c r="D55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0" t="str">
        <f ca="1">IFERROR(__xludf.DUMMYFUNCTION("""COMPUTED_VALUE"""),"Новый")</f>
        <v>Новый</v>
      </c>
      <c r="G5540" s="68"/>
      <c r="K5540" s="68"/>
    </row>
    <row r="5541" spans="1:11" ht="12.75">
      <c r="A5541" s="69">
        <f ca="1">IFERROR(__xludf.DUMMYFUNCTION("""COMPUTED_VALUE"""),106448)</f>
        <v>106448</v>
      </c>
      <c r="B5541" s="4">
        <f ca="1">IFERROR(__xludf.DUMMYFUNCTION("""COMPUTED_VALUE"""),44810)</f>
        <v>44810</v>
      </c>
      <c r="C5541" t="str">
        <f ca="1">IFERROR(__xludf.DUMMYFUNCTION("""COMPUTED_VALUE"""),"ЗАО ""ЭКОС"" 115-СТР от 01.01.2022")</f>
        <v>ЗАО "ЭКОС" 115-СТР от 01.01.2022</v>
      </c>
      <c r="D55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1" t="str">
        <f ca="1">IFERROR(__xludf.DUMMYFUNCTION("""COMPUTED_VALUE"""),"Новый")</f>
        <v>Новый</v>
      </c>
      <c r="G5541" s="68"/>
      <c r="K5541" s="68"/>
    </row>
    <row r="5542" spans="1:11" ht="12.75">
      <c r="A5542" s="69">
        <f ca="1">IFERROR(__xludf.DUMMYFUNCTION("""COMPUTED_VALUE"""),106449)</f>
        <v>106449</v>
      </c>
      <c r="B5542" s="4">
        <f ca="1">IFERROR(__xludf.DUMMYFUNCTION("""COMPUTED_VALUE"""),44810)</f>
        <v>44810</v>
      </c>
      <c r="C5542" t="str">
        <f ca="1">IFERROR(__xludf.DUMMYFUNCTION("""COMPUTED_VALUE"""),"ЗАО ""ЭКОС"" 115-СТР от 01.01.2022")</f>
        <v>ЗАО "ЭКОС" 115-СТР от 01.01.2022</v>
      </c>
      <c r="D55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2" t="str">
        <f ca="1">IFERROR(__xludf.DUMMYFUNCTION("""COMPUTED_VALUE"""),"Новый")</f>
        <v>Новый</v>
      </c>
      <c r="G5542" s="68"/>
      <c r="K5542" s="68"/>
    </row>
    <row r="5543" spans="1:11" ht="12.75">
      <c r="A5543" s="69">
        <f ca="1">IFERROR(__xludf.DUMMYFUNCTION("""COMPUTED_VALUE"""),106450)</f>
        <v>106450</v>
      </c>
      <c r="B5543" s="4">
        <f ca="1">IFERROR(__xludf.DUMMYFUNCTION("""COMPUTED_VALUE"""),44810)</f>
        <v>44810</v>
      </c>
      <c r="C5543" t="str">
        <f ca="1">IFERROR(__xludf.DUMMYFUNCTION("""COMPUTED_VALUE"""),"ЗАО ""ЭКОС"" 115-СТР от 01.01.2022")</f>
        <v>ЗАО "ЭКОС" 115-СТР от 01.01.2022</v>
      </c>
      <c r="D55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3" t="str">
        <f ca="1">IFERROR(__xludf.DUMMYFUNCTION("""COMPUTED_VALUE"""),"Новый")</f>
        <v>Новый</v>
      </c>
      <c r="G5543" s="68"/>
      <c r="K5543" s="68"/>
    </row>
    <row r="5544" spans="1:11" ht="12.75">
      <c r="A5544" s="69">
        <f ca="1">IFERROR(__xludf.DUMMYFUNCTION("""COMPUTED_VALUE"""),106451)</f>
        <v>106451</v>
      </c>
      <c r="B5544" s="4">
        <f ca="1">IFERROR(__xludf.DUMMYFUNCTION("""COMPUTED_VALUE"""),44810)</f>
        <v>44810</v>
      </c>
      <c r="C5544" t="str">
        <f ca="1">IFERROR(__xludf.DUMMYFUNCTION("""COMPUTED_VALUE"""),"ЗАО ""ЭКОС"" 115-СТР от 01.01.2022")</f>
        <v>ЗАО "ЭКОС" 115-СТР от 01.01.2022</v>
      </c>
      <c r="D55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4" t="str">
        <f ca="1">IFERROR(__xludf.DUMMYFUNCTION("""COMPUTED_VALUE"""),"Новый")</f>
        <v>Новый</v>
      </c>
      <c r="G5544" s="68"/>
      <c r="K5544" s="68"/>
    </row>
    <row r="5545" spans="1:11" ht="12.75">
      <c r="A5545" s="69">
        <f ca="1">IFERROR(__xludf.DUMMYFUNCTION("""COMPUTED_VALUE"""),106452)</f>
        <v>106452</v>
      </c>
      <c r="B5545" s="4">
        <f ca="1">IFERROR(__xludf.DUMMYFUNCTION("""COMPUTED_VALUE"""),44810)</f>
        <v>44810</v>
      </c>
      <c r="C5545" t="str">
        <f ca="1">IFERROR(__xludf.DUMMYFUNCTION("""COMPUTED_VALUE"""),"ЗАО ""ЭКОС"" 115-СТР от 01.01.2022")</f>
        <v>ЗАО "ЭКОС" 115-СТР от 01.01.2022</v>
      </c>
      <c r="D55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5" t="str">
        <f ca="1">IFERROR(__xludf.DUMMYFUNCTION("""COMPUTED_VALUE"""),"Новый")</f>
        <v>Новый</v>
      </c>
      <c r="G5545" s="68"/>
      <c r="K5545" s="68"/>
    </row>
    <row r="5546" spans="1:11" ht="12.75">
      <c r="A5546" s="69">
        <f ca="1">IFERROR(__xludf.DUMMYFUNCTION("""COMPUTED_VALUE"""),106453)</f>
        <v>106453</v>
      </c>
      <c r="B5546" s="4">
        <f ca="1">IFERROR(__xludf.DUMMYFUNCTION("""COMPUTED_VALUE"""),44810)</f>
        <v>44810</v>
      </c>
      <c r="C5546" t="str">
        <f ca="1">IFERROR(__xludf.DUMMYFUNCTION("""COMPUTED_VALUE"""),"ЗАО ""ЭКОС"" 115-СТР от 01.01.2022")</f>
        <v>ЗАО "ЭКОС" 115-СТР от 01.01.2022</v>
      </c>
      <c r="D55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6" t="str">
        <f ca="1">IFERROR(__xludf.DUMMYFUNCTION("""COMPUTED_VALUE"""),"Новый")</f>
        <v>Новый</v>
      </c>
      <c r="G5546" s="68"/>
      <c r="K5546" s="68"/>
    </row>
    <row r="5547" spans="1:11" ht="12.75">
      <c r="A5547" s="69">
        <f ca="1">IFERROR(__xludf.DUMMYFUNCTION("""COMPUTED_VALUE"""),106454)</f>
        <v>106454</v>
      </c>
      <c r="B5547" s="4">
        <f ca="1">IFERROR(__xludf.DUMMYFUNCTION("""COMPUTED_VALUE"""),44810)</f>
        <v>44810</v>
      </c>
      <c r="C5547" t="str">
        <f ca="1">IFERROR(__xludf.DUMMYFUNCTION("""COMPUTED_VALUE"""),"ЗАО ""ЭКОС"" 115-СТР от 01.01.2022")</f>
        <v>ЗАО "ЭКОС" 115-СТР от 01.01.2022</v>
      </c>
      <c r="D55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7" t="str">
        <f ca="1">IFERROR(__xludf.DUMMYFUNCTION("""COMPUTED_VALUE"""),"Новый")</f>
        <v>Новый</v>
      </c>
      <c r="G5547" s="68"/>
      <c r="K5547" s="68"/>
    </row>
    <row r="5548" spans="1:11" ht="12.75">
      <c r="A5548" s="69">
        <f ca="1">IFERROR(__xludf.DUMMYFUNCTION("""COMPUTED_VALUE"""),106455)</f>
        <v>106455</v>
      </c>
      <c r="B5548" s="4">
        <f ca="1">IFERROR(__xludf.DUMMYFUNCTION("""COMPUTED_VALUE"""),44810)</f>
        <v>44810</v>
      </c>
      <c r="C5548" t="str">
        <f ca="1">IFERROR(__xludf.DUMMYFUNCTION("""COMPUTED_VALUE"""),"ЗАО ""ЭКОС"" 115-СТР от 01.01.2022")</f>
        <v>ЗАО "ЭКОС" 115-СТР от 01.01.2022</v>
      </c>
      <c r="D55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8" t="str">
        <f ca="1">IFERROR(__xludf.DUMMYFUNCTION("""COMPUTED_VALUE"""),"Новый")</f>
        <v>Новый</v>
      </c>
      <c r="G5548" s="68"/>
      <c r="K5548" s="68"/>
    </row>
    <row r="5549" spans="1:11" ht="12.75">
      <c r="A5549" s="69">
        <f ca="1">IFERROR(__xludf.DUMMYFUNCTION("""COMPUTED_VALUE"""),106456)</f>
        <v>106456</v>
      </c>
      <c r="B5549" s="4">
        <f ca="1">IFERROR(__xludf.DUMMYFUNCTION("""COMPUTED_VALUE"""),44810)</f>
        <v>44810</v>
      </c>
      <c r="C5549" t="str">
        <f ca="1">IFERROR(__xludf.DUMMYFUNCTION("""COMPUTED_VALUE"""),"ЗАО ""ЭКОС"" 115-СТР от 01.01.2022")</f>
        <v>ЗАО "ЭКОС" 115-СТР от 01.01.2022</v>
      </c>
      <c r="D55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49" t="str">
        <f ca="1">IFERROR(__xludf.DUMMYFUNCTION("""COMPUTED_VALUE"""),"Новый")</f>
        <v>Новый</v>
      </c>
      <c r="G5549" s="68"/>
      <c r="K5549" s="68"/>
    </row>
    <row r="5550" spans="1:11" ht="12.75">
      <c r="A5550" s="69">
        <f ca="1">IFERROR(__xludf.DUMMYFUNCTION("""COMPUTED_VALUE"""),106457)</f>
        <v>106457</v>
      </c>
      <c r="B5550" s="4">
        <f ca="1">IFERROR(__xludf.DUMMYFUNCTION("""COMPUTED_VALUE"""),44810)</f>
        <v>44810</v>
      </c>
      <c r="C5550" t="str">
        <f ca="1">IFERROR(__xludf.DUMMYFUNCTION("""COMPUTED_VALUE"""),"ЗАО ""ЭКОС"" 115-СТР от 01.01.2022")</f>
        <v>ЗАО "ЭКОС" 115-СТР от 01.01.2022</v>
      </c>
      <c r="D55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0" t="str">
        <f ca="1">IFERROR(__xludf.DUMMYFUNCTION("""COMPUTED_VALUE"""),"Новый")</f>
        <v>Новый</v>
      </c>
      <c r="G5550" s="68"/>
      <c r="K5550" s="68"/>
    </row>
    <row r="5551" spans="1:11" ht="12.75">
      <c r="A5551" s="69">
        <f ca="1">IFERROR(__xludf.DUMMYFUNCTION("""COMPUTED_VALUE"""),106458)</f>
        <v>106458</v>
      </c>
      <c r="B5551" s="4">
        <f ca="1">IFERROR(__xludf.DUMMYFUNCTION("""COMPUTED_VALUE"""),44810)</f>
        <v>44810</v>
      </c>
      <c r="C5551" t="str">
        <f ca="1">IFERROR(__xludf.DUMMYFUNCTION("""COMPUTED_VALUE"""),"ЗАО ""ЭКОС"" 115-СТР от 01.01.2022")</f>
        <v>ЗАО "ЭКОС" 115-СТР от 01.01.2022</v>
      </c>
      <c r="D55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1" t="str">
        <f ca="1">IFERROR(__xludf.DUMMYFUNCTION("""COMPUTED_VALUE"""),"Новый")</f>
        <v>Новый</v>
      </c>
      <c r="G5551" s="68"/>
      <c r="K5551" s="68"/>
    </row>
    <row r="5552" spans="1:11" ht="12.75">
      <c r="A5552" s="69">
        <f ca="1">IFERROR(__xludf.DUMMYFUNCTION("""COMPUTED_VALUE"""),106459)</f>
        <v>106459</v>
      </c>
      <c r="B5552" s="4">
        <f ca="1">IFERROR(__xludf.DUMMYFUNCTION("""COMPUTED_VALUE"""),44810)</f>
        <v>44810</v>
      </c>
      <c r="C5552" t="str">
        <f ca="1">IFERROR(__xludf.DUMMYFUNCTION("""COMPUTED_VALUE"""),"ЗАО ""ЭКОС"" 115-СТР от 01.01.2022")</f>
        <v>ЗАО "ЭКОС" 115-СТР от 01.01.2022</v>
      </c>
      <c r="D55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2" t="str">
        <f ca="1">IFERROR(__xludf.DUMMYFUNCTION("""COMPUTED_VALUE"""),"Новый")</f>
        <v>Новый</v>
      </c>
      <c r="G5552" s="68"/>
      <c r="K5552" s="68"/>
    </row>
    <row r="5553" spans="1:11" ht="12.75">
      <c r="A5553" s="69">
        <f ca="1">IFERROR(__xludf.DUMMYFUNCTION("""COMPUTED_VALUE"""),106480)</f>
        <v>106480</v>
      </c>
      <c r="B5553" s="4">
        <f ca="1">IFERROR(__xludf.DUMMYFUNCTION("""COMPUTED_VALUE"""),44811)</f>
        <v>44811</v>
      </c>
      <c r="C5553" t="str">
        <f ca="1">IFERROR(__xludf.DUMMYFUNCTION("""COMPUTED_VALUE"""),"ООО Строй Индустрия 83-СТР от 24.05.2021")</f>
        <v>ООО Строй Индустрия 83-СТР от 24.05.2021</v>
      </c>
      <c r="D55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3" t="str">
        <f ca="1">IFERROR(__xludf.DUMMYFUNCTION("""COMPUTED_VALUE"""),"Новый")</f>
        <v>Новый</v>
      </c>
      <c r="G5553" s="68"/>
      <c r="K5553" s="68"/>
    </row>
    <row r="5554" spans="1:11" ht="12.75">
      <c r="A5554" s="69">
        <f ca="1">IFERROR(__xludf.DUMMYFUNCTION("""COMPUTED_VALUE"""),106481)</f>
        <v>106481</v>
      </c>
      <c r="B5554" s="4">
        <f ca="1">IFERROR(__xludf.DUMMYFUNCTION("""COMPUTED_VALUE"""),44811)</f>
        <v>44811</v>
      </c>
      <c r="C5554" t="str">
        <f ca="1">IFERROR(__xludf.DUMMYFUNCTION("""COMPUTED_VALUE"""),"ООО Строй Индустрия 83-СТР от 24.05.2021")</f>
        <v>ООО Строй Индустрия 83-СТР от 24.05.2021</v>
      </c>
      <c r="D55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4" t="str">
        <f ca="1">IFERROR(__xludf.DUMMYFUNCTION("""COMPUTED_VALUE"""),"Новый")</f>
        <v>Новый</v>
      </c>
      <c r="G5554" s="68"/>
      <c r="K5554" s="68"/>
    </row>
    <row r="5555" spans="1:11" ht="12.75">
      <c r="A5555" s="69">
        <f ca="1">IFERROR(__xludf.DUMMYFUNCTION("""COMPUTED_VALUE"""),106482)</f>
        <v>106482</v>
      </c>
      <c r="B5555" s="4">
        <f ca="1">IFERROR(__xludf.DUMMYFUNCTION("""COMPUTED_VALUE"""),44811)</f>
        <v>44811</v>
      </c>
      <c r="C5555" t="str">
        <f ca="1">IFERROR(__xludf.DUMMYFUNCTION("""COMPUTED_VALUE"""),"ООО Строй Индустрия 83-СТР от 24.05.2021")</f>
        <v>ООО Строй Индустрия 83-СТР от 24.05.2021</v>
      </c>
      <c r="D55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5" t="str">
        <f ca="1">IFERROR(__xludf.DUMMYFUNCTION("""COMPUTED_VALUE"""),"Новый")</f>
        <v>Новый</v>
      </c>
      <c r="G5555" s="68"/>
      <c r="K5555" s="68"/>
    </row>
    <row r="5556" spans="1:11" ht="12.75">
      <c r="A5556" s="69">
        <f ca="1">IFERROR(__xludf.DUMMYFUNCTION("""COMPUTED_VALUE"""),106483)</f>
        <v>106483</v>
      </c>
      <c r="B5556" s="4">
        <f ca="1">IFERROR(__xludf.DUMMYFUNCTION("""COMPUTED_VALUE"""),44811)</f>
        <v>44811</v>
      </c>
      <c r="C5556" t="str">
        <f ca="1">IFERROR(__xludf.DUMMYFUNCTION("""COMPUTED_VALUE"""),"ООО Строй Индустрия 83-СТР от 24.05.2021")</f>
        <v>ООО Строй Индустрия 83-СТР от 24.05.2021</v>
      </c>
      <c r="D55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6" t="str">
        <f ca="1">IFERROR(__xludf.DUMMYFUNCTION("""COMPUTED_VALUE"""),"Новый")</f>
        <v>Новый</v>
      </c>
      <c r="G5556" s="68"/>
      <c r="K5556" s="68"/>
    </row>
    <row r="5557" spans="1:11" ht="12.75">
      <c r="A5557" s="69">
        <f ca="1">IFERROR(__xludf.DUMMYFUNCTION("""COMPUTED_VALUE"""),106484)</f>
        <v>106484</v>
      </c>
      <c r="B5557" s="4">
        <f ca="1">IFERROR(__xludf.DUMMYFUNCTION("""COMPUTED_VALUE"""),44811)</f>
        <v>44811</v>
      </c>
      <c r="C5557" t="str">
        <f ca="1">IFERROR(__xludf.DUMMYFUNCTION("""COMPUTED_VALUE"""),"ООО Строй Индустрия 83-СТР от 24.05.2021")</f>
        <v>ООО Строй Индустрия 83-СТР от 24.05.2021</v>
      </c>
      <c r="D55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7" t="str">
        <f ca="1">IFERROR(__xludf.DUMMYFUNCTION("""COMPUTED_VALUE"""),"Новый")</f>
        <v>Новый</v>
      </c>
      <c r="G5557" s="68"/>
      <c r="K5557" s="68"/>
    </row>
    <row r="5558" spans="1:11" ht="12.75">
      <c r="A5558" s="69">
        <f ca="1">IFERROR(__xludf.DUMMYFUNCTION("""COMPUTED_VALUE"""),106485)</f>
        <v>106485</v>
      </c>
      <c r="B5558" s="4">
        <f ca="1">IFERROR(__xludf.DUMMYFUNCTION("""COMPUTED_VALUE"""),44811)</f>
        <v>44811</v>
      </c>
      <c r="C5558" t="str">
        <f ca="1">IFERROR(__xludf.DUMMYFUNCTION("""COMPUTED_VALUE"""),"ООО Строй Индустрия 83-СТР от 24.05.2021")</f>
        <v>ООО Строй Индустрия 83-СТР от 24.05.2021</v>
      </c>
      <c r="D55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8" t="str">
        <f ca="1">IFERROR(__xludf.DUMMYFUNCTION("""COMPUTED_VALUE"""),"Новый")</f>
        <v>Новый</v>
      </c>
      <c r="G5558" s="68"/>
      <c r="K5558" s="68"/>
    </row>
    <row r="5559" spans="1:11" ht="12.75">
      <c r="A5559" s="69">
        <f ca="1">IFERROR(__xludf.DUMMYFUNCTION("""COMPUTED_VALUE"""),106486)</f>
        <v>106486</v>
      </c>
      <c r="B5559" s="4">
        <f ca="1">IFERROR(__xludf.DUMMYFUNCTION("""COMPUTED_VALUE"""),44811)</f>
        <v>44811</v>
      </c>
      <c r="C5559" t="str">
        <f ca="1">IFERROR(__xludf.DUMMYFUNCTION("""COMPUTED_VALUE"""),"ООО Строй Индустрия 83-СТР от 24.05.2021")</f>
        <v>ООО Строй Индустрия 83-СТР от 24.05.2021</v>
      </c>
      <c r="D55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59" t="str">
        <f ca="1">IFERROR(__xludf.DUMMYFUNCTION("""COMPUTED_VALUE"""),"Новый")</f>
        <v>Новый</v>
      </c>
      <c r="G5559" s="68"/>
      <c r="K5559" s="68"/>
    </row>
    <row r="5560" spans="1:11" ht="12.75">
      <c r="A5560" s="69">
        <f ca="1">IFERROR(__xludf.DUMMYFUNCTION("""COMPUTED_VALUE"""),106487)</f>
        <v>106487</v>
      </c>
      <c r="B5560" s="4">
        <f ca="1">IFERROR(__xludf.DUMMYFUNCTION("""COMPUTED_VALUE"""),44811)</f>
        <v>44811</v>
      </c>
      <c r="C5560" t="str">
        <f ca="1">IFERROR(__xludf.DUMMYFUNCTION("""COMPUTED_VALUE"""),"ООО Строй Индустрия 83-СТР от 24.05.2021")</f>
        <v>ООО Строй Индустрия 83-СТР от 24.05.2021</v>
      </c>
      <c r="D55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0" t="str">
        <f ca="1">IFERROR(__xludf.DUMMYFUNCTION("""COMPUTED_VALUE"""),"Новый")</f>
        <v>Новый</v>
      </c>
      <c r="G5560" s="68"/>
      <c r="K5560" s="68"/>
    </row>
    <row r="5561" spans="1:11" ht="12.75">
      <c r="A5561" s="69">
        <f ca="1">IFERROR(__xludf.DUMMYFUNCTION("""COMPUTED_VALUE"""),106488)</f>
        <v>106488</v>
      </c>
      <c r="B5561" s="4">
        <f ca="1">IFERROR(__xludf.DUMMYFUNCTION("""COMPUTED_VALUE"""),44811)</f>
        <v>44811</v>
      </c>
      <c r="C5561" t="str">
        <f ca="1">IFERROR(__xludf.DUMMYFUNCTION("""COMPUTED_VALUE"""),"ООО Строй Индустрия 83-СТР от 24.05.2021")</f>
        <v>ООО Строй Индустрия 83-СТР от 24.05.2021</v>
      </c>
      <c r="D55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1" t="str">
        <f ca="1">IFERROR(__xludf.DUMMYFUNCTION("""COMPUTED_VALUE"""),"Новый")</f>
        <v>Новый</v>
      </c>
      <c r="G5561" s="68"/>
      <c r="K5561" s="68"/>
    </row>
    <row r="5562" spans="1:11" ht="12.75">
      <c r="A5562" s="69">
        <f ca="1">IFERROR(__xludf.DUMMYFUNCTION("""COMPUTED_VALUE"""),106489)</f>
        <v>106489</v>
      </c>
      <c r="B5562" s="4">
        <f ca="1">IFERROR(__xludf.DUMMYFUNCTION("""COMPUTED_VALUE"""),44811)</f>
        <v>44811</v>
      </c>
      <c r="C5562" t="str">
        <f ca="1">IFERROR(__xludf.DUMMYFUNCTION("""COMPUTED_VALUE"""),"ООО Строй Индустрия 83-СТР от 24.05.2021")</f>
        <v>ООО Строй Индустрия 83-СТР от 24.05.2021</v>
      </c>
      <c r="D55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2" t="str">
        <f ca="1">IFERROR(__xludf.DUMMYFUNCTION("""COMPUTED_VALUE"""),"Новый")</f>
        <v>Новый</v>
      </c>
      <c r="G5562" s="68"/>
      <c r="K5562" s="68"/>
    </row>
    <row r="5563" spans="1:11" ht="12.75">
      <c r="A5563" s="69">
        <f ca="1">IFERROR(__xludf.DUMMYFUNCTION("""COMPUTED_VALUE"""),106490)</f>
        <v>106490</v>
      </c>
      <c r="B5563" s="4">
        <f ca="1">IFERROR(__xludf.DUMMYFUNCTION("""COMPUTED_VALUE"""),44811)</f>
        <v>44811</v>
      </c>
      <c r="C5563" t="str">
        <f ca="1">IFERROR(__xludf.DUMMYFUNCTION("""COMPUTED_VALUE"""),"ООО Строй Индустрия 83-СТР от 24.05.2021")</f>
        <v>ООО Строй Индустрия 83-СТР от 24.05.2021</v>
      </c>
      <c r="D55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3" t="str">
        <f ca="1">IFERROR(__xludf.DUMMYFUNCTION("""COMPUTED_VALUE"""),"Новый")</f>
        <v>Новый</v>
      </c>
      <c r="G5563" s="68"/>
      <c r="K5563" s="68"/>
    </row>
    <row r="5564" spans="1:11" ht="12.75">
      <c r="A5564" s="69">
        <f ca="1">IFERROR(__xludf.DUMMYFUNCTION("""COMPUTED_VALUE"""),106491)</f>
        <v>106491</v>
      </c>
      <c r="B5564" s="4">
        <f ca="1">IFERROR(__xludf.DUMMYFUNCTION("""COMPUTED_VALUE"""),44811)</f>
        <v>44811</v>
      </c>
      <c r="C5564" t="str">
        <f ca="1">IFERROR(__xludf.DUMMYFUNCTION("""COMPUTED_VALUE"""),"ООО Строй Индустрия 83-СТР от 24.05.2021")</f>
        <v>ООО Строй Индустрия 83-СТР от 24.05.2021</v>
      </c>
      <c r="D55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4" t="str">
        <f ca="1">IFERROR(__xludf.DUMMYFUNCTION("""COMPUTED_VALUE"""),"Новый")</f>
        <v>Новый</v>
      </c>
      <c r="G5564" s="68"/>
      <c r="K5564" s="68"/>
    </row>
    <row r="5565" spans="1:11" ht="12.75">
      <c r="A5565" s="69">
        <f ca="1">IFERROR(__xludf.DUMMYFUNCTION("""COMPUTED_VALUE"""),106492)</f>
        <v>106492</v>
      </c>
      <c r="B5565" s="4">
        <f ca="1">IFERROR(__xludf.DUMMYFUNCTION("""COMPUTED_VALUE"""),44811)</f>
        <v>44811</v>
      </c>
      <c r="C5565" t="str">
        <f ca="1">IFERROR(__xludf.DUMMYFUNCTION("""COMPUTED_VALUE"""),"ООО Строй Индустрия 83-СТР от 24.05.2021")</f>
        <v>ООО Строй Индустрия 83-СТР от 24.05.2021</v>
      </c>
      <c r="D55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5" t="str">
        <f ca="1">IFERROR(__xludf.DUMMYFUNCTION("""COMPUTED_VALUE"""),"Новый")</f>
        <v>Новый</v>
      </c>
      <c r="G5565" s="68"/>
      <c r="K5565" s="68"/>
    </row>
    <row r="5566" spans="1:11" ht="12.75">
      <c r="A5566" s="69">
        <f ca="1">IFERROR(__xludf.DUMMYFUNCTION("""COMPUTED_VALUE"""),106493)</f>
        <v>106493</v>
      </c>
      <c r="B5566" s="4">
        <f ca="1">IFERROR(__xludf.DUMMYFUNCTION("""COMPUTED_VALUE"""),44811)</f>
        <v>44811</v>
      </c>
      <c r="C5566" t="str">
        <f ca="1">IFERROR(__xludf.DUMMYFUNCTION("""COMPUTED_VALUE"""),"ООО Строй Индустрия 83-СТР от 24.05.2021")</f>
        <v>ООО Строй Индустрия 83-СТР от 24.05.2021</v>
      </c>
      <c r="D55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6" t="str">
        <f ca="1">IFERROR(__xludf.DUMMYFUNCTION("""COMPUTED_VALUE"""),"Новый")</f>
        <v>Новый</v>
      </c>
      <c r="G5566" s="68"/>
      <c r="K5566" s="68"/>
    </row>
    <row r="5567" spans="1:11" ht="12.75">
      <c r="A5567" s="69">
        <f ca="1">IFERROR(__xludf.DUMMYFUNCTION("""COMPUTED_VALUE"""),106494)</f>
        <v>106494</v>
      </c>
      <c r="B5567" s="4">
        <f ca="1">IFERROR(__xludf.DUMMYFUNCTION("""COMPUTED_VALUE"""),44811)</f>
        <v>44811</v>
      </c>
      <c r="C5567" t="str">
        <f ca="1">IFERROR(__xludf.DUMMYFUNCTION("""COMPUTED_VALUE"""),"ООО Строй Индустрия 83-СТР от 24.05.2021")</f>
        <v>ООО Строй Индустрия 83-СТР от 24.05.2021</v>
      </c>
      <c r="D55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7" t="str">
        <f ca="1">IFERROR(__xludf.DUMMYFUNCTION("""COMPUTED_VALUE"""),"Новый")</f>
        <v>Новый</v>
      </c>
      <c r="G5567" s="68"/>
      <c r="K5567" s="68"/>
    </row>
    <row r="5568" spans="1:11" ht="12.75">
      <c r="A5568" s="69">
        <f ca="1">IFERROR(__xludf.DUMMYFUNCTION("""COMPUTED_VALUE"""),106495)</f>
        <v>106495</v>
      </c>
      <c r="B5568" s="4">
        <f ca="1">IFERROR(__xludf.DUMMYFUNCTION("""COMPUTED_VALUE"""),44811)</f>
        <v>44811</v>
      </c>
      <c r="C5568" t="str">
        <f ca="1">IFERROR(__xludf.DUMMYFUNCTION("""COMPUTED_VALUE"""),"ООО Строй Индустрия 83-СТР от 24.05.2021")</f>
        <v>ООО Строй Индустрия 83-СТР от 24.05.2021</v>
      </c>
      <c r="D55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8" t="str">
        <f ca="1">IFERROR(__xludf.DUMMYFUNCTION("""COMPUTED_VALUE"""),"Новый")</f>
        <v>Новый</v>
      </c>
      <c r="G5568" s="68"/>
      <c r="K5568" s="68"/>
    </row>
    <row r="5569" spans="1:11" ht="12.75">
      <c r="A5569" s="69">
        <f ca="1">IFERROR(__xludf.DUMMYFUNCTION("""COMPUTED_VALUE"""),106496)</f>
        <v>106496</v>
      </c>
      <c r="B5569" s="4">
        <f ca="1">IFERROR(__xludf.DUMMYFUNCTION("""COMPUTED_VALUE"""),44811)</f>
        <v>44811</v>
      </c>
      <c r="C5569" t="str">
        <f ca="1">IFERROR(__xludf.DUMMYFUNCTION("""COMPUTED_VALUE"""),"ООО Строй Индустрия 83-СТР от 24.05.2021")</f>
        <v>ООО Строй Индустрия 83-СТР от 24.05.2021</v>
      </c>
      <c r="D55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69" t="str">
        <f ca="1">IFERROR(__xludf.DUMMYFUNCTION("""COMPUTED_VALUE"""),"Новый")</f>
        <v>Новый</v>
      </c>
      <c r="G5569" s="68"/>
      <c r="K5569" s="68"/>
    </row>
    <row r="5570" spans="1:11" ht="12.75">
      <c r="A5570" s="69">
        <f ca="1">IFERROR(__xludf.DUMMYFUNCTION("""COMPUTED_VALUE"""),106497)</f>
        <v>106497</v>
      </c>
      <c r="B5570" s="4">
        <f ca="1">IFERROR(__xludf.DUMMYFUNCTION("""COMPUTED_VALUE"""),44811)</f>
        <v>44811</v>
      </c>
      <c r="C5570" t="str">
        <f ca="1">IFERROR(__xludf.DUMMYFUNCTION("""COMPUTED_VALUE"""),"ООО Строй Индустрия 83-СТР от 24.05.2021")</f>
        <v>ООО Строй Индустрия 83-СТР от 24.05.2021</v>
      </c>
      <c r="D55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70" t="str">
        <f ca="1">IFERROR(__xludf.DUMMYFUNCTION("""COMPUTED_VALUE"""),"Новый")</f>
        <v>Новый</v>
      </c>
      <c r="G5570" s="68"/>
      <c r="K5570" s="68"/>
    </row>
    <row r="5571" spans="1:11" ht="12.75">
      <c r="A5571" s="69">
        <f ca="1">IFERROR(__xludf.DUMMYFUNCTION("""COMPUTED_VALUE"""),106498)</f>
        <v>106498</v>
      </c>
      <c r="B5571" s="4">
        <f ca="1">IFERROR(__xludf.DUMMYFUNCTION("""COMPUTED_VALUE"""),44811)</f>
        <v>44811</v>
      </c>
      <c r="C5571" t="str">
        <f ca="1">IFERROR(__xludf.DUMMYFUNCTION("""COMPUTED_VALUE"""),"ООО Строй Индустрия 83-СТР от 24.05.2021")</f>
        <v>ООО Строй Индустрия 83-СТР от 24.05.2021</v>
      </c>
      <c r="D55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71" t="str">
        <f ca="1">IFERROR(__xludf.DUMMYFUNCTION("""COMPUTED_VALUE"""),"Новый")</f>
        <v>Новый</v>
      </c>
      <c r="G5571" s="68"/>
      <c r="K5571" s="68"/>
    </row>
    <row r="5572" spans="1:11" ht="12.75">
      <c r="A5572" s="69">
        <f ca="1">IFERROR(__xludf.DUMMYFUNCTION("""COMPUTED_VALUE"""),106499)</f>
        <v>106499</v>
      </c>
      <c r="B5572" s="4">
        <f ca="1">IFERROR(__xludf.DUMMYFUNCTION("""COMPUTED_VALUE"""),44811)</f>
        <v>44811</v>
      </c>
      <c r="C5572" t="str">
        <f ca="1">IFERROR(__xludf.DUMMYFUNCTION("""COMPUTED_VALUE"""),"ООО Строй Индустрия 83-СТР от 24.05.2021")</f>
        <v>ООО Строй Индустрия 83-СТР от 24.05.2021</v>
      </c>
      <c r="D55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572" t="str">
        <f ca="1">IFERROR(__xludf.DUMMYFUNCTION("""COMPUTED_VALUE"""),"Новый")</f>
        <v>Новый</v>
      </c>
      <c r="G5572" s="68"/>
      <c r="K5572" s="68"/>
    </row>
    <row r="5573" spans="1:11" ht="12.75">
      <c r="A5573" s="69">
        <f ca="1">IFERROR(__xludf.DUMMYFUNCTION("""COMPUTED_VALUE"""),106513)</f>
        <v>106513</v>
      </c>
      <c r="B5573" s="4">
        <f ca="1">IFERROR(__xludf.DUMMYFUNCTION("""COMPUTED_VALUE"""),44811)</f>
        <v>44811</v>
      </c>
      <c r="C5573" t="str">
        <f ca="1">IFERROR(__xludf.DUMMYFUNCTION("""COMPUTED_VALUE"""),"БУ Г. ОМСКА ""УДХБ"" 197-РДО от 01.07.2022")</f>
        <v>БУ Г. ОМСКА "УДХБ" 197-РДО от 01.07.2022</v>
      </c>
      <c r="D55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3" t="str">
        <f ca="1">IFERROR(__xludf.DUMMYFUNCTION("""COMPUTED_VALUE"""),"Новый")</f>
        <v>Новый</v>
      </c>
      <c r="G5573" s="68"/>
      <c r="K5573" s="68"/>
    </row>
    <row r="5574" spans="1:11" ht="12.75">
      <c r="A5574" s="69">
        <f ca="1">IFERROR(__xludf.DUMMYFUNCTION("""COMPUTED_VALUE"""),106514)</f>
        <v>106514</v>
      </c>
      <c r="B5574" s="4">
        <f ca="1">IFERROR(__xludf.DUMMYFUNCTION("""COMPUTED_VALUE"""),44811)</f>
        <v>44811</v>
      </c>
      <c r="C5574" t="str">
        <f ca="1">IFERROR(__xludf.DUMMYFUNCTION("""COMPUTED_VALUE"""),"БУ Г. ОМСКА ""УДХБ"" 197-РДО от 01.07.2022")</f>
        <v>БУ Г. ОМСКА "УДХБ" 197-РДО от 01.07.2022</v>
      </c>
      <c r="D55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4" t="str">
        <f ca="1">IFERROR(__xludf.DUMMYFUNCTION("""COMPUTED_VALUE"""),"Новый")</f>
        <v>Новый</v>
      </c>
      <c r="G5574" s="68"/>
      <c r="K5574" s="68"/>
    </row>
    <row r="5575" spans="1:11" ht="12.75">
      <c r="A5575" s="69">
        <f ca="1">IFERROR(__xludf.DUMMYFUNCTION("""COMPUTED_VALUE"""),106515)</f>
        <v>106515</v>
      </c>
      <c r="B5575" s="4">
        <f ca="1">IFERROR(__xludf.DUMMYFUNCTION("""COMPUTED_VALUE"""),44811)</f>
        <v>44811</v>
      </c>
      <c r="C5575" t="str">
        <f ca="1">IFERROR(__xludf.DUMMYFUNCTION("""COMPUTED_VALUE"""),"БУ Г. ОМСКА ""УДХБ"" 197-РДО от 01.07.2022")</f>
        <v>БУ Г. ОМСКА "УДХБ" 197-РДО от 01.07.2022</v>
      </c>
      <c r="D55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5" t="str">
        <f ca="1">IFERROR(__xludf.DUMMYFUNCTION("""COMPUTED_VALUE"""),"Новый")</f>
        <v>Новый</v>
      </c>
      <c r="G5575" s="68"/>
      <c r="K5575" s="68"/>
    </row>
    <row r="5576" spans="1:11" ht="12.75">
      <c r="A5576" s="69">
        <f ca="1">IFERROR(__xludf.DUMMYFUNCTION("""COMPUTED_VALUE"""),106520)</f>
        <v>106520</v>
      </c>
      <c r="B5576" s="4">
        <f ca="1">IFERROR(__xludf.DUMMYFUNCTION("""COMPUTED_VALUE"""),44811)</f>
        <v>44811</v>
      </c>
      <c r="C5576" t="str">
        <f ca="1">IFERROR(__xludf.DUMMYFUNCTION("""COMPUTED_VALUE"""),"БУ Г. ОМСКА ""УДХБ"" 197-РДО от 01.07.2022")</f>
        <v>БУ Г. ОМСКА "УДХБ" 197-РДО от 01.07.2022</v>
      </c>
      <c r="D55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6" t="str">
        <f ca="1">IFERROR(__xludf.DUMMYFUNCTION("""COMPUTED_VALUE"""),"Новый")</f>
        <v>Новый</v>
      </c>
      <c r="G5576" s="68"/>
      <c r="K5576" s="68"/>
    </row>
    <row r="5577" spans="1:11" ht="12.75">
      <c r="A5577" s="69">
        <f ca="1">IFERROR(__xludf.DUMMYFUNCTION("""COMPUTED_VALUE"""),106521)</f>
        <v>106521</v>
      </c>
      <c r="B5577" s="4">
        <f ca="1">IFERROR(__xludf.DUMMYFUNCTION("""COMPUTED_VALUE"""),44811)</f>
        <v>44811</v>
      </c>
      <c r="C5577" t="str">
        <f ca="1">IFERROR(__xludf.DUMMYFUNCTION("""COMPUTED_VALUE"""),"БУ Г. ОМСКА ""УДХБ"" 197-РДО от 01.07.2022")</f>
        <v>БУ Г. ОМСКА "УДХБ" 197-РДО от 01.07.2022</v>
      </c>
      <c r="D55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7" t="str">
        <f ca="1">IFERROR(__xludf.DUMMYFUNCTION("""COMPUTED_VALUE"""),"Новый")</f>
        <v>Новый</v>
      </c>
      <c r="G5577" s="68"/>
      <c r="K5577" s="68"/>
    </row>
    <row r="5578" spans="1:11" ht="12.75">
      <c r="A5578" s="69">
        <f ca="1">IFERROR(__xludf.DUMMYFUNCTION("""COMPUTED_VALUE"""),106522)</f>
        <v>106522</v>
      </c>
      <c r="B5578" s="4">
        <f ca="1">IFERROR(__xludf.DUMMYFUNCTION("""COMPUTED_VALUE"""),44811)</f>
        <v>44811</v>
      </c>
      <c r="C5578" t="str">
        <f ca="1">IFERROR(__xludf.DUMMYFUNCTION("""COMPUTED_VALUE"""),"БУ Г. ОМСКА ""УДХБ"" 197-РДО от 01.07.2022")</f>
        <v>БУ Г. ОМСКА "УДХБ" 197-РДО от 01.07.2022</v>
      </c>
      <c r="D55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8" t="str">
        <f ca="1">IFERROR(__xludf.DUMMYFUNCTION("""COMPUTED_VALUE"""),"Новый")</f>
        <v>Новый</v>
      </c>
      <c r="G5578" s="68"/>
      <c r="K5578" s="68"/>
    </row>
    <row r="5579" spans="1:11" ht="12.75">
      <c r="A5579" s="69">
        <f ca="1">IFERROR(__xludf.DUMMYFUNCTION("""COMPUTED_VALUE"""),106523)</f>
        <v>106523</v>
      </c>
      <c r="B5579" s="4">
        <f ca="1">IFERROR(__xludf.DUMMYFUNCTION("""COMPUTED_VALUE"""),44811)</f>
        <v>44811</v>
      </c>
      <c r="C5579" t="str">
        <f ca="1">IFERROR(__xludf.DUMMYFUNCTION("""COMPUTED_VALUE"""),"БУ Г. ОМСКА ""УДХБ"" 197-РДО от 01.07.2022")</f>
        <v>БУ Г. ОМСКА "УДХБ" 197-РДО от 01.07.2022</v>
      </c>
      <c r="D55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79" t="str">
        <f ca="1">IFERROR(__xludf.DUMMYFUNCTION("""COMPUTED_VALUE"""),"Новый")</f>
        <v>Новый</v>
      </c>
      <c r="G5579" s="68"/>
      <c r="K5579" s="68"/>
    </row>
    <row r="5580" spans="1:11" ht="12.75">
      <c r="A5580" s="69">
        <f ca="1">IFERROR(__xludf.DUMMYFUNCTION("""COMPUTED_VALUE"""),106524)</f>
        <v>106524</v>
      </c>
      <c r="B5580" s="4">
        <f ca="1">IFERROR(__xludf.DUMMYFUNCTION("""COMPUTED_VALUE"""),44811)</f>
        <v>44811</v>
      </c>
      <c r="C5580" t="str">
        <f ca="1">IFERROR(__xludf.DUMMYFUNCTION("""COMPUTED_VALUE"""),"БУ Г. ОМСКА ""УДХБ"" 197-РДО от 01.07.2022")</f>
        <v>БУ Г. ОМСКА "УДХБ" 197-РДО от 01.07.2022</v>
      </c>
      <c r="D55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0" t="str">
        <f ca="1">IFERROR(__xludf.DUMMYFUNCTION("""COMPUTED_VALUE"""),"Новый")</f>
        <v>Новый</v>
      </c>
      <c r="G5580" s="68"/>
      <c r="K5580" s="68"/>
    </row>
    <row r="5581" spans="1:11" ht="12.75">
      <c r="A5581" s="69">
        <f ca="1">IFERROR(__xludf.DUMMYFUNCTION("""COMPUTED_VALUE"""),106525)</f>
        <v>106525</v>
      </c>
      <c r="B5581" s="4">
        <f ca="1">IFERROR(__xludf.DUMMYFUNCTION("""COMPUTED_VALUE"""),44811)</f>
        <v>44811</v>
      </c>
      <c r="C5581" t="str">
        <f ca="1">IFERROR(__xludf.DUMMYFUNCTION("""COMPUTED_VALUE"""),"БУ Г. ОМСКА ""УДХБ"" 197-РДО от 01.07.2022")</f>
        <v>БУ Г. ОМСКА "УДХБ" 197-РДО от 01.07.2022</v>
      </c>
      <c r="D55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1" t="str">
        <f ca="1">IFERROR(__xludf.DUMMYFUNCTION("""COMPUTED_VALUE"""),"Новый")</f>
        <v>Новый</v>
      </c>
      <c r="G5581" s="68"/>
      <c r="K5581" s="68"/>
    </row>
    <row r="5582" spans="1:11" ht="12.75">
      <c r="A5582" s="69">
        <f ca="1">IFERROR(__xludf.DUMMYFUNCTION("""COMPUTED_VALUE"""),106526)</f>
        <v>106526</v>
      </c>
      <c r="B5582" s="4">
        <f ca="1">IFERROR(__xludf.DUMMYFUNCTION("""COMPUTED_VALUE"""),44811)</f>
        <v>44811</v>
      </c>
      <c r="C5582" t="str">
        <f ca="1">IFERROR(__xludf.DUMMYFUNCTION("""COMPUTED_VALUE"""),"БУ Г. ОМСКА ""УДХБ"" 197-РДО от 01.07.2022")</f>
        <v>БУ Г. ОМСКА "УДХБ" 197-РДО от 01.07.2022</v>
      </c>
      <c r="D55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2" t="str">
        <f ca="1">IFERROR(__xludf.DUMMYFUNCTION("""COMPUTED_VALUE"""),"Новый")</f>
        <v>Новый</v>
      </c>
      <c r="G5582" s="68"/>
      <c r="K5582" s="68"/>
    </row>
    <row r="5583" spans="1:11" ht="12.75">
      <c r="A5583" s="69">
        <f ca="1">IFERROR(__xludf.DUMMYFUNCTION("""COMPUTED_VALUE"""),106527)</f>
        <v>106527</v>
      </c>
      <c r="B5583" s="4">
        <f ca="1">IFERROR(__xludf.DUMMYFUNCTION("""COMPUTED_VALUE"""),44811)</f>
        <v>44811</v>
      </c>
      <c r="C5583" t="str">
        <f ca="1">IFERROR(__xludf.DUMMYFUNCTION("""COMPUTED_VALUE"""),"БУ Г. ОМСКА ""УДХБ"" 197-РДО от 01.07.2022")</f>
        <v>БУ Г. ОМСКА "УДХБ" 197-РДО от 01.07.2022</v>
      </c>
      <c r="D55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3" t="str">
        <f ca="1">IFERROR(__xludf.DUMMYFUNCTION("""COMPUTED_VALUE"""),"Новый")</f>
        <v>Новый</v>
      </c>
      <c r="G5583" s="68"/>
      <c r="K5583" s="68"/>
    </row>
    <row r="5584" spans="1:11" ht="12.75">
      <c r="A5584" s="69">
        <f ca="1">IFERROR(__xludf.DUMMYFUNCTION("""COMPUTED_VALUE"""),106528)</f>
        <v>106528</v>
      </c>
      <c r="B5584" s="4">
        <f ca="1">IFERROR(__xludf.DUMMYFUNCTION("""COMPUTED_VALUE"""),44811)</f>
        <v>44811</v>
      </c>
      <c r="C5584" t="str">
        <f ca="1">IFERROR(__xludf.DUMMYFUNCTION("""COMPUTED_VALUE"""),"БУ Г. ОМСКА ""УДХБ"" 197-РДО от 01.07.2022")</f>
        <v>БУ Г. ОМСКА "УДХБ" 197-РДО от 01.07.2022</v>
      </c>
      <c r="D55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4" t="str">
        <f ca="1">IFERROR(__xludf.DUMMYFUNCTION("""COMPUTED_VALUE"""),"Новый")</f>
        <v>Новый</v>
      </c>
      <c r="G5584" s="68"/>
      <c r="K5584" s="68"/>
    </row>
    <row r="5585" spans="1:11" ht="12.75">
      <c r="A5585" s="69">
        <f ca="1">IFERROR(__xludf.DUMMYFUNCTION("""COMPUTED_VALUE"""),106529)</f>
        <v>106529</v>
      </c>
      <c r="B5585" s="4">
        <f ca="1">IFERROR(__xludf.DUMMYFUNCTION("""COMPUTED_VALUE"""),44811)</f>
        <v>44811</v>
      </c>
      <c r="C5585" t="str">
        <f ca="1">IFERROR(__xludf.DUMMYFUNCTION("""COMPUTED_VALUE"""),"БУ Г. ОМСКА ""УДХБ"" 197-РДО от 01.07.2022")</f>
        <v>БУ Г. ОМСКА "УДХБ" 197-РДО от 01.07.2022</v>
      </c>
      <c r="D55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5" t="str">
        <f ca="1">IFERROR(__xludf.DUMMYFUNCTION("""COMPUTED_VALUE"""),"Новый")</f>
        <v>Новый</v>
      </c>
      <c r="G5585" s="68"/>
      <c r="K5585" s="68"/>
    </row>
    <row r="5586" spans="1:11" ht="12.75">
      <c r="A5586" s="69">
        <f ca="1">IFERROR(__xludf.DUMMYFUNCTION("""COMPUTED_VALUE"""),106530)</f>
        <v>106530</v>
      </c>
      <c r="B5586" s="4">
        <f ca="1">IFERROR(__xludf.DUMMYFUNCTION("""COMPUTED_VALUE"""),44811)</f>
        <v>44811</v>
      </c>
      <c r="C5586" t="str">
        <f ca="1">IFERROR(__xludf.DUMMYFUNCTION("""COMPUTED_VALUE"""),"БУ Г. ОМСКА ""УДХБ"" 197-РДО от 01.07.2022")</f>
        <v>БУ Г. ОМСКА "УДХБ" 197-РДО от 01.07.2022</v>
      </c>
      <c r="D55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6" t="str">
        <f ca="1">IFERROR(__xludf.DUMMYFUNCTION("""COMPUTED_VALUE"""),"Новый")</f>
        <v>Новый</v>
      </c>
      <c r="G5586" s="68"/>
      <c r="K5586" s="68"/>
    </row>
    <row r="5587" spans="1:11" ht="12.75">
      <c r="A5587" s="69">
        <f ca="1">IFERROR(__xludf.DUMMYFUNCTION("""COMPUTED_VALUE"""),106531)</f>
        <v>106531</v>
      </c>
      <c r="B5587" s="4">
        <f ca="1">IFERROR(__xludf.DUMMYFUNCTION("""COMPUTED_VALUE"""),44811)</f>
        <v>44811</v>
      </c>
      <c r="C5587" t="str">
        <f ca="1">IFERROR(__xludf.DUMMYFUNCTION("""COMPUTED_VALUE"""),"БУ Г. ОМСКА ""УДХБ"" 197-РДО от 01.07.2022")</f>
        <v>БУ Г. ОМСКА "УДХБ" 197-РДО от 01.07.2022</v>
      </c>
      <c r="D55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7" t="str">
        <f ca="1">IFERROR(__xludf.DUMMYFUNCTION("""COMPUTED_VALUE"""),"Новый")</f>
        <v>Новый</v>
      </c>
      <c r="G5587" s="68"/>
      <c r="K5587" s="68"/>
    </row>
    <row r="5588" spans="1:11" ht="12.75">
      <c r="A5588" s="69">
        <f ca="1">IFERROR(__xludf.DUMMYFUNCTION("""COMPUTED_VALUE"""),106532)</f>
        <v>106532</v>
      </c>
      <c r="B5588" s="4">
        <f ca="1">IFERROR(__xludf.DUMMYFUNCTION("""COMPUTED_VALUE"""),44811)</f>
        <v>44811</v>
      </c>
      <c r="C5588" t="str">
        <f ca="1">IFERROR(__xludf.DUMMYFUNCTION("""COMPUTED_VALUE"""),"БУ Г. ОМСКА ""УДХБ"" 197-РДО от 01.07.2022")</f>
        <v>БУ Г. ОМСКА "УДХБ" 197-РДО от 01.07.2022</v>
      </c>
      <c r="D55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8" t="str">
        <f ca="1">IFERROR(__xludf.DUMMYFUNCTION("""COMPUTED_VALUE"""),"Новый")</f>
        <v>Новый</v>
      </c>
      <c r="G5588" s="68"/>
      <c r="K5588" s="68"/>
    </row>
    <row r="5589" spans="1:11" ht="12.75">
      <c r="A5589" s="69">
        <f ca="1">IFERROR(__xludf.DUMMYFUNCTION("""COMPUTED_VALUE"""),106533)</f>
        <v>106533</v>
      </c>
      <c r="B5589" s="4">
        <f ca="1">IFERROR(__xludf.DUMMYFUNCTION("""COMPUTED_VALUE"""),44811)</f>
        <v>44811</v>
      </c>
      <c r="C5589" t="str">
        <f ca="1">IFERROR(__xludf.DUMMYFUNCTION("""COMPUTED_VALUE"""),"БУ Г. ОМСКА ""УДХБ"" 197-РДО от 01.07.2022")</f>
        <v>БУ Г. ОМСКА "УДХБ" 197-РДО от 01.07.2022</v>
      </c>
      <c r="D55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89" t="str">
        <f ca="1">IFERROR(__xludf.DUMMYFUNCTION("""COMPUTED_VALUE"""),"Новый")</f>
        <v>Новый</v>
      </c>
      <c r="G5589" s="68"/>
      <c r="K5589" s="68"/>
    </row>
    <row r="5590" spans="1:11" ht="12.75">
      <c r="A5590" s="69">
        <f ca="1">IFERROR(__xludf.DUMMYFUNCTION("""COMPUTED_VALUE"""),106534)</f>
        <v>106534</v>
      </c>
      <c r="B5590" s="4">
        <f ca="1">IFERROR(__xludf.DUMMYFUNCTION("""COMPUTED_VALUE"""),44811)</f>
        <v>44811</v>
      </c>
      <c r="C5590" t="str">
        <f ca="1">IFERROR(__xludf.DUMMYFUNCTION("""COMPUTED_VALUE"""),"БУ Г. ОМСКА ""УДХБ"" 197-РДО от 01.07.2022")</f>
        <v>БУ Г. ОМСКА "УДХБ" 197-РДО от 01.07.2022</v>
      </c>
      <c r="D55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0" t="str">
        <f ca="1">IFERROR(__xludf.DUMMYFUNCTION("""COMPUTED_VALUE"""),"Новый")</f>
        <v>Новый</v>
      </c>
      <c r="G5590" s="68"/>
      <c r="K5590" s="68"/>
    </row>
    <row r="5591" spans="1:11" ht="12.75">
      <c r="A5591" s="69">
        <f ca="1">IFERROR(__xludf.DUMMYFUNCTION("""COMPUTED_VALUE"""),106535)</f>
        <v>106535</v>
      </c>
      <c r="B5591" s="4">
        <f ca="1">IFERROR(__xludf.DUMMYFUNCTION("""COMPUTED_VALUE"""),44811)</f>
        <v>44811</v>
      </c>
      <c r="C5591" t="str">
        <f ca="1">IFERROR(__xludf.DUMMYFUNCTION("""COMPUTED_VALUE"""),"БУ Г. ОМСКА ""УДХБ"" 197-РДО от 01.07.2022")</f>
        <v>БУ Г. ОМСКА "УДХБ" 197-РДО от 01.07.2022</v>
      </c>
      <c r="D55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1" t="str">
        <f ca="1">IFERROR(__xludf.DUMMYFUNCTION("""COMPUTED_VALUE"""),"Новый")</f>
        <v>Новый</v>
      </c>
      <c r="G5591" s="68"/>
      <c r="K5591" s="68"/>
    </row>
    <row r="5592" spans="1:11" ht="12.75">
      <c r="A5592" s="69">
        <f ca="1">IFERROR(__xludf.DUMMYFUNCTION("""COMPUTED_VALUE"""),106536)</f>
        <v>106536</v>
      </c>
      <c r="B5592" s="4">
        <f ca="1">IFERROR(__xludf.DUMMYFUNCTION("""COMPUTED_VALUE"""),44811)</f>
        <v>44811</v>
      </c>
      <c r="C5592" t="str">
        <f ca="1">IFERROR(__xludf.DUMMYFUNCTION("""COMPUTED_VALUE"""),"БУ Г. ОМСКА ""УДХБ"" 197-РДО от 01.07.2022")</f>
        <v>БУ Г. ОМСКА "УДХБ" 197-РДО от 01.07.2022</v>
      </c>
      <c r="D55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2" t="str">
        <f ca="1">IFERROR(__xludf.DUMMYFUNCTION("""COMPUTED_VALUE"""),"Новый")</f>
        <v>Новый</v>
      </c>
      <c r="G5592" s="68"/>
      <c r="K5592" s="68"/>
    </row>
    <row r="5593" spans="1:11" ht="12.75">
      <c r="A5593" s="69">
        <f ca="1">IFERROR(__xludf.DUMMYFUNCTION("""COMPUTED_VALUE"""),106537)</f>
        <v>106537</v>
      </c>
      <c r="B5593" s="4">
        <f ca="1">IFERROR(__xludf.DUMMYFUNCTION("""COMPUTED_VALUE"""),44811)</f>
        <v>44811</v>
      </c>
      <c r="C5593" t="str">
        <f ca="1">IFERROR(__xludf.DUMMYFUNCTION("""COMPUTED_VALUE"""),"БУ Г. ОМСКА ""УДХБ"" 197-РДО от 01.07.2022")</f>
        <v>БУ Г. ОМСКА "УДХБ" 197-РДО от 01.07.2022</v>
      </c>
      <c r="D55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3" t="str">
        <f ca="1">IFERROR(__xludf.DUMMYFUNCTION("""COMPUTED_VALUE"""),"Новый")</f>
        <v>Новый</v>
      </c>
      <c r="G5593" s="68"/>
      <c r="K5593" s="68"/>
    </row>
    <row r="5594" spans="1:11" ht="12.75">
      <c r="A5594" s="69">
        <f ca="1">IFERROR(__xludf.DUMMYFUNCTION("""COMPUTED_VALUE"""),106538)</f>
        <v>106538</v>
      </c>
      <c r="B5594" s="4">
        <f ca="1">IFERROR(__xludf.DUMMYFUNCTION("""COMPUTED_VALUE"""),44811)</f>
        <v>44811</v>
      </c>
      <c r="C5594" t="str">
        <f ca="1">IFERROR(__xludf.DUMMYFUNCTION("""COMPUTED_VALUE"""),"БУ Г. ОМСКА ""УДХБ"" 197-РДО от 01.07.2022")</f>
        <v>БУ Г. ОМСКА "УДХБ" 197-РДО от 01.07.2022</v>
      </c>
      <c r="D55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4" t="str">
        <f ca="1">IFERROR(__xludf.DUMMYFUNCTION("""COMPUTED_VALUE"""),"Новый")</f>
        <v>Новый</v>
      </c>
      <c r="G5594" s="68"/>
      <c r="K5594" s="68"/>
    </row>
    <row r="5595" spans="1:11" ht="12.75">
      <c r="A5595" s="69">
        <f ca="1">IFERROR(__xludf.DUMMYFUNCTION("""COMPUTED_VALUE"""),106539)</f>
        <v>106539</v>
      </c>
      <c r="B5595" s="4">
        <f ca="1">IFERROR(__xludf.DUMMYFUNCTION("""COMPUTED_VALUE"""),44811)</f>
        <v>44811</v>
      </c>
      <c r="C5595" t="str">
        <f ca="1">IFERROR(__xludf.DUMMYFUNCTION("""COMPUTED_VALUE"""),"БУ Г. ОМСКА ""УДХБ"" 197-РДО от 01.07.2022")</f>
        <v>БУ Г. ОМСКА "УДХБ" 197-РДО от 01.07.2022</v>
      </c>
      <c r="D55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5" t="str">
        <f ca="1">IFERROR(__xludf.DUMMYFUNCTION("""COMPUTED_VALUE"""),"Новый")</f>
        <v>Новый</v>
      </c>
      <c r="G5595" s="68"/>
      <c r="K5595" s="68"/>
    </row>
    <row r="5596" spans="1:11" ht="12.75">
      <c r="A5596" s="69">
        <f ca="1">IFERROR(__xludf.DUMMYFUNCTION("""COMPUTED_VALUE"""),106540)</f>
        <v>106540</v>
      </c>
      <c r="B5596" s="4">
        <f ca="1">IFERROR(__xludf.DUMMYFUNCTION("""COMPUTED_VALUE"""),44811)</f>
        <v>44811</v>
      </c>
      <c r="C5596" t="str">
        <f ca="1">IFERROR(__xludf.DUMMYFUNCTION("""COMPUTED_VALUE"""),"БУ Г. ОМСКА ""УДХБ"" 197-РДО от 01.07.2022")</f>
        <v>БУ Г. ОМСКА "УДХБ" 197-РДО от 01.07.2022</v>
      </c>
      <c r="D55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6" t="str">
        <f ca="1">IFERROR(__xludf.DUMMYFUNCTION("""COMPUTED_VALUE"""),"Новый")</f>
        <v>Новый</v>
      </c>
      <c r="G5596" s="68"/>
      <c r="K5596" s="68"/>
    </row>
    <row r="5597" spans="1:11" ht="12.75">
      <c r="A5597" s="69">
        <f ca="1">IFERROR(__xludf.DUMMYFUNCTION("""COMPUTED_VALUE"""),106541)</f>
        <v>106541</v>
      </c>
      <c r="B5597" s="4">
        <f ca="1">IFERROR(__xludf.DUMMYFUNCTION("""COMPUTED_VALUE"""),44811)</f>
        <v>44811</v>
      </c>
      <c r="C5597" t="str">
        <f ca="1">IFERROR(__xludf.DUMMYFUNCTION("""COMPUTED_VALUE"""),"БУ Г. ОМСКА ""УДХБ"" 197-РДО от 01.07.2022")</f>
        <v>БУ Г. ОМСКА "УДХБ" 197-РДО от 01.07.2022</v>
      </c>
      <c r="D55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7" t="str">
        <f ca="1">IFERROR(__xludf.DUMMYFUNCTION("""COMPUTED_VALUE"""),"Новый")</f>
        <v>Новый</v>
      </c>
      <c r="G5597" s="68"/>
      <c r="K5597" s="68"/>
    </row>
    <row r="5598" spans="1:11" ht="12.75">
      <c r="A5598" s="69">
        <f ca="1">IFERROR(__xludf.DUMMYFUNCTION("""COMPUTED_VALUE"""),106542)</f>
        <v>106542</v>
      </c>
      <c r="B5598" s="4">
        <f ca="1">IFERROR(__xludf.DUMMYFUNCTION("""COMPUTED_VALUE"""),44811)</f>
        <v>44811</v>
      </c>
      <c r="C5598" t="str">
        <f ca="1">IFERROR(__xludf.DUMMYFUNCTION("""COMPUTED_VALUE"""),"БУ Г. ОМСКА ""УДХБ"" 197-РДО от 01.07.2022")</f>
        <v>БУ Г. ОМСКА "УДХБ" 197-РДО от 01.07.2022</v>
      </c>
      <c r="D55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8" t="str">
        <f ca="1">IFERROR(__xludf.DUMMYFUNCTION("""COMPUTED_VALUE"""),"Новый")</f>
        <v>Новый</v>
      </c>
      <c r="G5598" s="68"/>
      <c r="K5598" s="68"/>
    </row>
    <row r="5599" spans="1:11" ht="12.75">
      <c r="A5599" s="69">
        <f ca="1">IFERROR(__xludf.DUMMYFUNCTION("""COMPUTED_VALUE"""),106543)</f>
        <v>106543</v>
      </c>
      <c r="B5599" s="4">
        <f ca="1">IFERROR(__xludf.DUMMYFUNCTION("""COMPUTED_VALUE"""),44811)</f>
        <v>44811</v>
      </c>
      <c r="C5599" t="str">
        <f ca="1">IFERROR(__xludf.DUMMYFUNCTION("""COMPUTED_VALUE"""),"БУ Г. ОМСКА ""УДХБ"" 197-РДО от 01.07.2022")</f>
        <v>БУ Г. ОМСКА "УДХБ" 197-РДО от 01.07.2022</v>
      </c>
      <c r="D55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599" t="str">
        <f ca="1">IFERROR(__xludf.DUMMYFUNCTION("""COMPUTED_VALUE"""),"Новый")</f>
        <v>Новый</v>
      </c>
      <c r="G5599" s="68"/>
      <c r="K5599" s="68"/>
    </row>
    <row r="5600" spans="1:11" ht="12.75">
      <c r="A5600" s="69">
        <f ca="1">IFERROR(__xludf.DUMMYFUNCTION("""COMPUTED_VALUE"""),106544)</f>
        <v>106544</v>
      </c>
      <c r="B5600" s="4">
        <f ca="1">IFERROR(__xludf.DUMMYFUNCTION("""COMPUTED_VALUE"""),44811)</f>
        <v>44811</v>
      </c>
      <c r="C5600" t="str">
        <f ca="1">IFERROR(__xludf.DUMMYFUNCTION("""COMPUTED_VALUE"""),"БУ Г. ОМСКА ""УДХБ"" 197-РДО от 01.07.2022")</f>
        <v>БУ Г. ОМСКА "УДХБ" 197-РДО от 01.07.2022</v>
      </c>
      <c r="D56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0" t="str">
        <f ca="1">IFERROR(__xludf.DUMMYFUNCTION("""COMPUTED_VALUE"""),"Новый")</f>
        <v>Новый</v>
      </c>
      <c r="G5600" s="68"/>
      <c r="K5600" s="68"/>
    </row>
    <row r="5601" spans="1:11" ht="12.75">
      <c r="A5601" s="69">
        <f ca="1">IFERROR(__xludf.DUMMYFUNCTION("""COMPUTED_VALUE"""),106545)</f>
        <v>106545</v>
      </c>
      <c r="B5601" s="4">
        <f ca="1">IFERROR(__xludf.DUMMYFUNCTION("""COMPUTED_VALUE"""),44811)</f>
        <v>44811</v>
      </c>
      <c r="C5601" t="str">
        <f ca="1">IFERROR(__xludf.DUMMYFUNCTION("""COMPUTED_VALUE"""),"БУ Г. ОМСКА ""УДХБ"" 197-РДО от 01.07.2022")</f>
        <v>БУ Г. ОМСКА "УДХБ" 197-РДО от 01.07.2022</v>
      </c>
      <c r="D56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1" t="str">
        <f ca="1">IFERROR(__xludf.DUMMYFUNCTION("""COMPUTED_VALUE"""),"Новый")</f>
        <v>Новый</v>
      </c>
      <c r="G5601" s="68"/>
      <c r="K5601" s="68"/>
    </row>
    <row r="5602" spans="1:11" ht="12.75">
      <c r="A5602" s="69">
        <f ca="1">IFERROR(__xludf.DUMMYFUNCTION("""COMPUTED_VALUE"""),106546)</f>
        <v>106546</v>
      </c>
      <c r="B5602" s="4">
        <f ca="1">IFERROR(__xludf.DUMMYFUNCTION("""COMPUTED_VALUE"""),44811)</f>
        <v>44811</v>
      </c>
      <c r="C5602" t="str">
        <f ca="1">IFERROR(__xludf.DUMMYFUNCTION("""COMPUTED_VALUE"""),"БУ Г. ОМСКА ""УДХБ"" 197-РДО от 01.07.2022")</f>
        <v>БУ Г. ОМСКА "УДХБ" 197-РДО от 01.07.2022</v>
      </c>
      <c r="D56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2" t="str">
        <f ca="1">IFERROR(__xludf.DUMMYFUNCTION("""COMPUTED_VALUE"""),"Новый")</f>
        <v>Новый</v>
      </c>
      <c r="G5602" s="68"/>
      <c r="K5602" s="68"/>
    </row>
    <row r="5603" spans="1:11" ht="12.75">
      <c r="A5603" s="69">
        <f ca="1">IFERROR(__xludf.DUMMYFUNCTION("""COMPUTED_VALUE"""),106547)</f>
        <v>106547</v>
      </c>
      <c r="B5603" s="4">
        <f ca="1">IFERROR(__xludf.DUMMYFUNCTION("""COMPUTED_VALUE"""),44811)</f>
        <v>44811</v>
      </c>
      <c r="C5603" t="str">
        <f ca="1">IFERROR(__xludf.DUMMYFUNCTION("""COMPUTED_VALUE"""),"БУ Г. ОМСКА ""УДХБ"" 197-РДО от 01.07.2022")</f>
        <v>БУ Г. ОМСКА "УДХБ" 197-РДО от 01.07.2022</v>
      </c>
      <c r="D56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3" t="str">
        <f ca="1">IFERROR(__xludf.DUMMYFUNCTION("""COMPUTED_VALUE"""),"Новый")</f>
        <v>Новый</v>
      </c>
      <c r="G5603" s="68"/>
      <c r="K5603" s="68"/>
    </row>
    <row r="5604" spans="1:11" ht="12.75">
      <c r="A5604" s="69">
        <f ca="1">IFERROR(__xludf.DUMMYFUNCTION("""COMPUTED_VALUE"""),106548)</f>
        <v>106548</v>
      </c>
      <c r="B5604" s="4">
        <f ca="1">IFERROR(__xludf.DUMMYFUNCTION("""COMPUTED_VALUE"""),44811)</f>
        <v>44811</v>
      </c>
      <c r="C5604" t="str">
        <f ca="1">IFERROR(__xludf.DUMMYFUNCTION("""COMPUTED_VALUE"""),"БУ Г. ОМСКА ""УДХБ"" 197-РДО от 01.07.2022")</f>
        <v>БУ Г. ОМСКА "УДХБ" 197-РДО от 01.07.2022</v>
      </c>
      <c r="D56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4" t="str">
        <f ca="1">IFERROR(__xludf.DUMMYFUNCTION("""COMPUTED_VALUE"""),"Новый")</f>
        <v>Новый</v>
      </c>
      <c r="G5604" s="68"/>
      <c r="K5604" s="68"/>
    </row>
    <row r="5605" spans="1:11" ht="12.75">
      <c r="A5605" s="69">
        <f ca="1">IFERROR(__xludf.DUMMYFUNCTION("""COMPUTED_VALUE"""),106549)</f>
        <v>106549</v>
      </c>
      <c r="B5605" s="4">
        <f ca="1">IFERROR(__xludf.DUMMYFUNCTION("""COMPUTED_VALUE"""),44811)</f>
        <v>44811</v>
      </c>
      <c r="C5605" t="str">
        <f ca="1">IFERROR(__xludf.DUMMYFUNCTION("""COMPUTED_VALUE"""),"БУ Г. ОМСКА ""УДХБ"" 197-РДО от 01.07.2022")</f>
        <v>БУ Г. ОМСКА "УДХБ" 197-РДО от 01.07.2022</v>
      </c>
      <c r="D56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5" t="str">
        <f ca="1">IFERROR(__xludf.DUMMYFUNCTION("""COMPUTED_VALUE"""),"Новый")</f>
        <v>Новый</v>
      </c>
      <c r="G5605" s="68"/>
      <c r="K5605" s="68"/>
    </row>
    <row r="5606" spans="1:11" ht="12.75">
      <c r="A5606" s="69">
        <f ca="1">IFERROR(__xludf.DUMMYFUNCTION("""COMPUTED_VALUE"""),106550)</f>
        <v>106550</v>
      </c>
      <c r="B5606" s="4">
        <f ca="1">IFERROR(__xludf.DUMMYFUNCTION("""COMPUTED_VALUE"""),44811)</f>
        <v>44811</v>
      </c>
      <c r="C5606" t="str">
        <f ca="1">IFERROR(__xludf.DUMMYFUNCTION("""COMPUTED_VALUE"""),"БУ Г. ОМСКА ""УДХБ"" 197-РДО от 01.07.2022")</f>
        <v>БУ Г. ОМСКА "УДХБ" 197-РДО от 01.07.2022</v>
      </c>
      <c r="D56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6" t="str">
        <f ca="1">IFERROR(__xludf.DUMMYFUNCTION("""COMPUTED_VALUE"""),"Новый")</f>
        <v>Новый</v>
      </c>
      <c r="G5606" s="68"/>
      <c r="K5606" s="68"/>
    </row>
    <row r="5607" spans="1:11" ht="12.75">
      <c r="A5607" s="69">
        <f ca="1">IFERROR(__xludf.DUMMYFUNCTION("""COMPUTED_VALUE"""),106551)</f>
        <v>106551</v>
      </c>
      <c r="B5607" s="4">
        <f ca="1">IFERROR(__xludf.DUMMYFUNCTION("""COMPUTED_VALUE"""),44811)</f>
        <v>44811</v>
      </c>
      <c r="C5607" t="str">
        <f ca="1">IFERROR(__xludf.DUMMYFUNCTION("""COMPUTED_VALUE"""),"БУ Г. ОМСКА ""УДХБ"" 197-РДО от 01.07.2022")</f>
        <v>БУ Г. ОМСКА "УДХБ" 197-РДО от 01.07.2022</v>
      </c>
      <c r="D56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7" t="str">
        <f ca="1">IFERROR(__xludf.DUMMYFUNCTION("""COMPUTED_VALUE"""),"Новый")</f>
        <v>Новый</v>
      </c>
      <c r="G5607" s="68"/>
      <c r="K5607" s="68"/>
    </row>
    <row r="5608" spans="1:11" ht="12.75">
      <c r="A5608" s="69">
        <f ca="1">IFERROR(__xludf.DUMMYFUNCTION("""COMPUTED_VALUE"""),106552)</f>
        <v>106552</v>
      </c>
      <c r="B5608" s="4">
        <f ca="1">IFERROR(__xludf.DUMMYFUNCTION("""COMPUTED_VALUE"""),44811)</f>
        <v>44811</v>
      </c>
      <c r="C5608" t="str">
        <f ca="1">IFERROR(__xludf.DUMMYFUNCTION("""COMPUTED_VALUE"""),"БУ Г. ОМСКА ""УДХБ"" 197-РДО от 01.07.2022")</f>
        <v>БУ Г. ОМСКА "УДХБ" 197-РДО от 01.07.2022</v>
      </c>
      <c r="D56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8" t="str">
        <f ca="1">IFERROR(__xludf.DUMMYFUNCTION("""COMPUTED_VALUE"""),"Новый")</f>
        <v>Новый</v>
      </c>
      <c r="G5608" s="68"/>
      <c r="K5608" s="68"/>
    </row>
    <row r="5609" spans="1:11" ht="12.75">
      <c r="A5609" s="69">
        <f ca="1">IFERROR(__xludf.DUMMYFUNCTION("""COMPUTED_VALUE"""),106553)</f>
        <v>106553</v>
      </c>
      <c r="B5609" s="4">
        <f ca="1">IFERROR(__xludf.DUMMYFUNCTION("""COMPUTED_VALUE"""),44811)</f>
        <v>44811</v>
      </c>
      <c r="C5609" t="str">
        <f ca="1">IFERROR(__xludf.DUMMYFUNCTION("""COMPUTED_VALUE"""),"БУ Г. ОМСКА ""УДХБ"" 197-РДО от 01.07.2022")</f>
        <v>БУ Г. ОМСКА "УДХБ" 197-РДО от 01.07.2022</v>
      </c>
      <c r="D56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09" t="str">
        <f ca="1">IFERROR(__xludf.DUMMYFUNCTION("""COMPUTED_VALUE"""),"Новый")</f>
        <v>Новый</v>
      </c>
      <c r="G5609" s="68"/>
      <c r="K5609" s="68"/>
    </row>
    <row r="5610" spans="1:11" ht="12.75">
      <c r="A5610" s="69">
        <f ca="1">IFERROR(__xludf.DUMMYFUNCTION("""COMPUTED_VALUE"""),106554)</f>
        <v>106554</v>
      </c>
      <c r="B5610" s="4">
        <f ca="1">IFERROR(__xludf.DUMMYFUNCTION("""COMPUTED_VALUE"""),44811)</f>
        <v>44811</v>
      </c>
      <c r="C5610" t="str">
        <f ca="1">IFERROR(__xludf.DUMMYFUNCTION("""COMPUTED_VALUE"""),"БУ Г. ОМСКА ""УДХБ"" 197-РДО от 01.07.2022")</f>
        <v>БУ Г. ОМСКА "УДХБ" 197-РДО от 01.07.2022</v>
      </c>
      <c r="D56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0" t="str">
        <f ca="1">IFERROR(__xludf.DUMMYFUNCTION("""COMPUTED_VALUE"""),"Новый")</f>
        <v>Новый</v>
      </c>
      <c r="G5610" s="68"/>
      <c r="K5610" s="68"/>
    </row>
    <row r="5611" spans="1:11" ht="12.75">
      <c r="A5611" s="69">
        <f ca="1">IFERROR(__xludf.DUMMYFUNCTION("""COMPUTED_VALUE"""),106555)</f>
        <v>106555</v>
      </c>
      <c r="B5611" s="4">
        <f ca="1">IFERROR(__xludf.DUMMYFUNCTION("""COMPUTED_VALUE"""),44811)</f>
        <v>44811</v>
      </c>
      <c r="C5611" t="str">
        <f ca="1">IFERROR(__xludf.DUMMYFUNCTION("""COMPUTED_VALUE"""),"БУ Г. ОМСКА ""УДХБ"" 197-РДО от 01.07.2022")</f>
        <v>БУ Г. ОМСКА "УДХБ" 197-РДО от 01.07.2022</v>
      </c>
      <c r="D56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1" t="str">
        <f ca="1">IFERROR(__xludf.DUMMYFUNCTION("""COMPUTED_VALUE"""),"Новый")</f>
        <v>Новый</v>
      </c>
      <c r="G5611" s="68"/>
      <c r="K5611" s="68"/>
    </row>
    <row r="5612" spans="1:11" ht="12.75">
      <c r="A5612" s="69">
        <f ca="1">IFERROR(__xludf.DUMMYFUNCTION("""COMPUTED_VALUE"""),106556)</f>
        <v>106556</v>
      </c>
      <c r="B5612" s="4">
        <f ca="1">IFERROR(__xludf.DUMMYFUNCTION("""COMPUTED_VALUE"""),44811)</f>
        <v>44811</v>
      </c>
      <c r="C5612" t="str">
        <f ca="1">IFERROR(__xludf.DUMMYFUNCTION("""COMPUTED_VALUE"""),"БУ Г. ОМСКА ""УДХБ"" 197-РДО от 01.07.2022")</f>
        <v>БУ Г. ОМСКА "УДХБ" 197-РДО от 01.07.2022</v>
      </c>
      <c r="D56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2" t="str">
        <f ca="1">IFERROR(__xludf.DUMMYFUNCTION("""COMPUTED_VALUE"""),"Новый")</f>
        <v>Новый</v>
      </c>
      <c r="G5612" s="68"/>
      <c r="K5612" s="68"/>
    </row>
    <row r="5613" spans="1:11" ht="12.75">
      <c r="A5613" s="69">
        <f ca="1">IFERROR(__xludf.DUMMYFUNCTION("""COMPUTED_VALUE"""),106557)</f>
        <v>106557</v>
      </c>
      <c r="B5613" s="4">
        <f ca="1">IFERROR(__xludf.DUMMYFUNCTION("""COMPUTED_VALUE"""),44811)</f>
        <v>44811</v>
      </c>
      <c r="C5613" t="str">
        <f ca="1">IFERROR(__xludf.DUMMYFUNCTION("""COMPUTED_VALUE"""),"БУ Г. ОМСКА ""УДХБ"" 197-РДО от 01.07.2022")</f>
        <v>БУ Г. ОМСКА "УДХБ" 197-РДО от 01.07.2022</v>
      </c>
      <c r="D56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3" t="str">
        <f ca="1">IFERROR(__xludf.DUMMYFUNCTION("""COMPUTED_VALUE"""),"Новый")</f>
        <v>Новый</v>
      </c>
      <c r="G5613" s="68"/>
      <c r="K5613" s="68"/>
    </row>
    <row r="5614" spans="1:11" ht="12.75">
      <c r="A5614" s="69">
        <f ca="1">IFERROR(__xludf.DUMMYFUNCTION("""COMPUTED_VALUE"""),106558)</f>
        <v>106558</v>
      </c>
      <c r="B5614" s="4">
        <f ca="1">IFERROR(__xludf.DUMMYFUNCTION("""COMPUTED_VALUE"""),44811)</f>
        <v>44811</v>
      </c>
      <c r="C5614" t="str">
        <f ca="1">IFERROR(__xludf.DUMMYFUNCTION("""COMPUTED_VALUE"""),"БУ Г. ОМСКА ""УДХБ"" 197-РДО от 01.07.2022")</f>
        <v>БУ Г. ОМСКА "УДХБ" 197-РДО от 01.07.2022</v>
      </c>
      <c r="D56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4" t="str">
        <f ca="1">IFERROR(__xludf.DUMMYFUNCTION("""COMPUTED_VALUE"""),"Новый")</f>
        <v>Новый</v>
      </c>
      <c r="G5614" s="68"/>
      <c r="K5614" s="68"/>
    </row>
    <row r="5615" spans="1:11" ht="12.75">
      <c r="A5615" s="69">
        <f ca="1">IFERROR(__xludf.DUMMYFUNCTION("""COMPUTED_VALUE"""),106559)</f>
        <v>106559</v>
      </c>
      <c r="B5615" s="4">
        <f ca="1">IFERROR(__xludf.DUMMYFUNCTION("""COMPUTED_VALUE"""),44811)</f>
        <v>44811</v>
      </c>
      <c r="C5615" t="str">
        <f ca="1">IFERROR(__xludf.DUMMYFUNCTION("""COMPUTED_VALUE"""),"БУ Г. ОМСКА ""УДХБ"" 197-РДО от 01.07.2022")</f>
        <v>БУ Г. ОМСКА "УДХБ" 197-РДО от 01.07.2022</v>
      </c>
      <c r="D56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5" t="str">
        <f ca="1">IFERROR(__xludf.DUMMYFUNCTION("""COMPUTED_VALUE"""),"Новый")</f>
        <v>Новый</v>
      </c>
      <c r="G5615" s="68"/>
      <c r="K5615" s="68"/>
    </row>
    <row r="5616" spans="1:11" ht="12.75">
      <c r="A5616" s="69">
        <f ca="1">IFERROR(__xludf.DUMMYFUNCTION("""COMPUTED_VALUE"""),106567)</f>
        <v>106567</v>
      </c>
      <c r="B5616" s="4">
        <f ca="1">IFERROR(__xludf.DUMMYFUNCTION("""COMPUTED_VALUE"""),44811)</f>
        <v>44811</v>
      </c>
      <c r="C5616" t="str">
        <f ca="1">IFERROR(__xludf.DUMMYFUNCTION("""COMPUTED_VALUE"""),"БУ Г. ОМСКА ""УДХБ"" 197-РДО от 01.07.2022")</f>
        <v>БУ Г. ОМСКА "УДХБ" 197-РДО от 01.07.2022</v>
      </c>
      <c r="D56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6" t="str">
        <f ca="1">IFERROR(__xludf.DUMMYFUNCTION("""COMPUTED_VALUE"""),"Новый")</f>
        <v>Новый</v>
      </c>
      <c r="G5616" s="68"/>
      <c r="K5616" s="68"/>
    </row>
    <row r="5617" spans="1:11" ht="12.75">
      <c r="A5617" s="69">
        <f ca="1">IFERROR(__xludf.DUMMYFUNCTION("""COMPUTED_VALUE"""),106571)</f>
        <v>106571</v>
      </c>
      <c r="B5617" s="4">
        <f ca="1">IFERROR(__xludf.DUMMYFUNCTION("""COMPUTED_VALUE"""),44811)</f>
        <v>44811</v>
      </c>
      <c r="C5617" t="str">
        <f ca="1">IFERROR(__xludf.DUMMYFUNCTION("""COMPUTED_VALUE"""),"БУ Г. ОМСКА ""УДХБ"" 197-РДО от 01.07.2022")</f>
        <v>БУ Г. ОМСКА "УДХБ" 197-РДО от 01.07.2022</v>
      </c>
      <c r="D56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7" t="str">
        <f ca="1">IFERROR(__xludf.DUMMYFUNCTION("""COMPUTED_VALUE"""),"Новый")</f>
        <v>Новый</v>
      </c>
      <c r="G5617" s="68"/>
      <c r="K5617" s="68"/>
    </row>
    <row r="5618" spans="1:11" ht="12.75">
      <c r="A5618" s="69">
        <f ca="1">IFERROR(__xludf.DUMMYFUNCTION("""COMPUTED_VALUE"""),106572)</f>
        <v>106572</v>
      </c>
      <c r="B5618" s="4">
        <f ca="1">IFERROR(__xludf.DUMMYFUNCTION("""COMPUTED_VALUE"""),44811)</f>
        <v>44811</v>
      </c>
      <c r="C5618" t="str">
        <f ca="1">IFERROR(__xludf.DUMMYFUNCTION("""COMPUTED_VALUE"""),"БУ Г. ОМСКА ""УДХБ"" 197-РДО от 01.07.2022")</f>
        <v>БУ Г. ОМСКА "УДХБ" 197-РДО от 01.07.2022</v>
      </c>
      <c r="D56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8" t="str">
        <f ca="1">IFERROR(__xludf.DUMMYFUNCTION("""COMPUTED_VALUE"""),"Новый")</f>
        <v>Новый</v>
      </c>
      <c r="G5618" s="68"/>
      <c r="K5618" s="68"/>
    </row>
    <row r="5619" spans="1:11" ht="12.75">
      <c r="A5619" s="69">
        <f ca="1">IFERROR(__xludf.DUMMYFUNCTION("""COMPUTED_VALUE"""),106574)</f>
        <v>106574</v>
      </c>
      <c r="B5619" s="4">
        <f ca="1">IFERROR(__xludf.DUMMYFUNCTION("""COMPUTED_VALUE"""),44811)</f>
        <v>44811</v>
      </c>
      <c r="C5619" t="str">
        <f ca="1">IFERROR(__xludf.DUMMYFUNCTION("""COMPUTED_VALUE"""),"БУ Г. ОМСКА ""УДХБ"" 197-РДО от 01.07.2022")</f>
        <v>БУ Г. ОМСКА "УДХБ" 197-РДО от 01.07.2022</v>
      </c>
      <c r="D56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19" t="str">
        <f ca="1">IFERROR(__xludf.DUMMYFUNCTION("""COMPUTED_VALUE"""),"Новый")</f>
        <v>Новый</v>
      </c>
      <c r="G5619" s="68"/>
      <c r="K5619" s="68"/>
    </row>
    <row r="5620" spans="1:11" ht="12.75">
      <c r="A5620" s="69">
        <f ca="1">IFERROR(__xludf.DUMMYFUNCTION("""COMPUTED_VALUE"""),106580)</f>
        <v>106580</v>
      </c>
      <c r="B5620" s="4">
        <f ca="1">IFERROR(__xludf.DUMMYFUNCTION("""COMPUTED_VALUE"""),44811)</f>
        <v>44811</v>
      </c>
      <c r="C5620" t="str">
        <f ca="1">IFERROR(__xludf.DUMMYFUNCTION("""COMPUTED_VALUE"""),"БУ Г. ОМСКА ""УДХБ"" 197-РДО от 01.07.2022")</f>
        <v>БУ Г. ОМСКА "УДХБ" 197-РДО от 01.07.2022</v>
      </c>
      <c r="D56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0" t="str">
        <f ca="1">IFERROR(__xludf.DUMMYFUNCTION("""COMPUTED_VALUE"""),"Новый")</f>
        <v>Новый</v>
      </c>
      <c r="G5620" s="68"/>
      <c r="K5620" s="68"/>
    </row>
    <row r="5621" spans="1:11" ht="12.75">
      <c r="A5621" s="69">
        <f ca="1">IFERROR(__xludf.DUMMYFUNCTION("""COMPUTED_VALUE"""),106581)</f>
        <v>106581</v>
      </c>
      <c r="B5621" s="4">
        <f ca="1">IFERROR(__xludf.DUMMYFUNCTION("""COMPUTED_VALUE"""),44811)</f>
        <v>44811</v>
      </c>
      <c r="C5621" t="str">
        <f ca="1">IFERROR(__xludf.DUMMYFUNCTION("""COMPUTED_VALUE"""),"БУ Г. ОМСКА ""УДХБ"" 197-РДО от 01.07.2022")</f>
        <v>БУ Г. ОМСКА "УДХБ" 197-РДО от 01.07.2022</v>
      </c>
      <c r="D56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1" t="str">
        <f ca="1">IFERROR(__xludf.DUMMYFUNCTION("""COMPUTED_VALUE"""),"Новый")</f>
        <v>Новый</v>
      </c>
      <c r="G5621" s="68"/>
      <c r="K5621" s="68"/>
    </row>
    <row r="5622" spans="1:11" ht="12.75">
      <c r="A5622" s="69">
        <f ca="1">IFERROR(__xludf.DUMMYFUNCTION("""COMPUTED_VALUE"""),106582)</f>
        <v>106582</v>
      </c>
      <c r="B5622" s="4">
        <f ca="1">IFERROR(__xludf.DUMMYFUNCTION("""COMPUTED_VALUE"""),44811)</f>
        <v>44811</v>
      </c>
      <c r="C5622" t="str">
        <f ca="1">IFERROR(__xludf.DUMMYFUNCTION("""COMPUTED_VALUE"""),"БУ Г. ОМСКА ""УДХБ"" 197-РДО от 01.07.2022")</f>
        <v>БУ Г. ОМСКА "УДХБ" 197-РДО от 01.07.2022</v>
      </c>
      <c r="D56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2" t="str">
        <f ca="1">IFERROR(__xludf.DUMMYFUNCTION("""COMPUTED_VALUE"""),"Новый")</f>
        <v>Новый</v>
      </c>
      <c r="G5622" s="68"/>
      <c r="K5622" s="68"/>
    </row>
    <row r="5623" spans="1:11" ht="12.75">
      <c r="A5623" s="69">
        <f ca="1">IFERROR(__xludf.DUMMYFUNCTION("""COMPUTED_VALUE"""),106583)</f>
        <v>106583</v>
      </c>
      <c r="B5623" s="4">
        <f ca="1">IFERROR(__xludf.DUMMYFUNCTION("""COMPUTED_VALUE"""),44811)</f>
        <v>44811</v>
      </c>
      <c r="C5623" t="str">
        <f ca="1">IFERROR(__xludf.DUMMYFUNCTION("""COMPUTED_VALUE"""),"БУ Г. ОМСКА ""УДХБ"" 197-РДО от 01.07.2022")</f>
        <v>БУ Г. ОМСКА "УДХБ" 197-РДО от 01.07.2022</v>
      </c>
      <c r="D56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3" t="str">
        <f ca="1">IFERROR(__xludf.DUMMYFUNCTION("""COMPUTED_VALUE"""),"Новый")</f>
        <v>Новый</v>
      </c>
      <c r="G5623" s="68"/>
      <c r="K5623" s="68"/>
    </row>
    <row r="5624" spans="1:11" ht="12.75">
      <c r="A5624" s="69">
        <f ca="1">IFERROR(__xludf.DUMMYFUNCTION("""COMPUTED_VALUE"""),106584)</f>
        <v>106584</v>
      </c>
      <c r="B5624" s="4">
        <f ca="1">IFERROR(__xludf.DUMMYFUNCTION("""COMPUTED_VALUE"""),44811)</f>
        <v>44811</v>
      </c>
      <c r="C5624" t="str">
        <f ca="1">IFERROR(__xludf.DUMMYFUNCTION("""COMPUTED_VALUE"""),"БУ Г. ОМСКА ""УДХБ"" 197-РДО от 01.07.2022")</f>
        <v>БУ Г. ОМСКА "УДХБ" 197-РДО от 01.07.2022</v>
      </c>
      <c r="D56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4" t="str">
        <f ca="1">IFERROR(__xludf.DUMMYFUNCTION("""COMPUTED_VALUE"""),"Новый")</f>
        <v>Новый</v>
      </c>
      <c r="G5624" s="68"/>
      <c r="K5624" s="68"/>
    </row>
    <row r="5625" spans="1:11" ht="12.75">
      <c r="A5625" s="69">
        <f ca="1">IFERROR(__xludf.DUMMYFUNCTION("""COMPUTED_VALUE"""),106585)</f>
        <v>106585</v>
      </c>
      <c r="B5625" s="4">
        <f ca="1">IFERROR(__xludf.DUMMYFUNCTION("""COMPUTED_VALUE"""),44811)</f>
        <v>44811</v>
      </c>
      <c r="C5625" t="str">
        <f ca="1">IFERROR(__xludf.DUMMYFUNCTION("""COMPUTED_VALUE"""),"БУ Г. ОМСКА ""УДХБ"" 197-РДО от 01.07.2022")</f>
        <v>БУ Г. ОМСКА "УДХБ" 197-РДО от 01.07.2022</v>
      </c>
      <c r="D56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5" t="str">
        <f ca="1">IFERROR(__xludf.DUMMYFUNCTION("""COMPUTED_VALUE"""),"Новый")</f>
        <v>Новый</v>
      </c>
      <c r="G5625" s="68"/>
      <c r="K5625" s="68"/>
    </row>
    <row r="5626" spans="1:11" ht="12.75">
      <c r="A5626" s="69">
        <f ca="1">IFERROR(__xludf.DUMMYFUNCTION("""COMPUTED_VALUE"""),106586)</f>
        <v>106586</v>
      </c>
      <c r="B5626" s="4">
        <f ca="1">IFERROR(__xludf.DUMMYFUNCTION("""COMPUTED_VALUE"""),44811)</f>
        <v>44811</v>
      </c>
      <c r="C5626" t="str">
        <f ca="1">IFERROR(__xludf.DUMMYFUNCTION("""COMPUTED_VALUE"""),"БУ Г. ОМСКА ""УДХБ"" 197-РДО от 01.07.2022")</f>
        <v>БУ Г. ОМСКА "УДХБ" 197-РДО от 01.07.2022</v>
      </c>
      <c r="D56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6" t="str">
        <f ca="1">IFERROR(__xludf.DUMMYFUNCTION("""COMPUTED_VALUE"""),"Новый")</f>
        <v>Новый</v>
      </c>
      <c r="G5626" s="68"/>
      <c r="K5626" s="68"/>
    </row>
    <row r="5627" spans="1:11" ht="12.75">
      <c r="A5627" s="69">
        <f ca="1">IFERROR(__xludf.DUMMYFUNCTION("""COMPUTED_VALUE"""),106587)</f>
        <v>106587</v>
      </c>
      <c r="B5627" s="4">
        <f ca="1">IFERROR(__xludf.DUMMYFUNCTION("""COMPUTED_VALUE"""),44811)</f>
        <v>44811</v>
      </c>
      <c r="C5627" t="str">
        <f ca="1">IFERROR(__xludf.DUMMYFUNCTION("""COMPUTED_VALUE"""),"БУ Г. ОМСКА ""УДХБ"" 197-РДО от 01.07.2022")</f>
        <v>БУ Г. ОМСКА "УДХБ" 197-РДО от 01.07.2022</v>
      </c>
      <c r="D56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7" t="str">
        <f ca="1">IFERROR(__xludf.DUMMYFUNCTION("""COMPUTED_VALUE"""),"Новый")</f>
        <v>Новый</v>
      </c>
      <c r="G5627" s="68"/>
      <c r="K5627" s="68"/>
    </row>
    <row r="5628" spans="1:11" ht="12.75">
      <c r="A5628" s="69">
        <f ca="1">IFERROR(__xludf.DUMMYFUNCTION("""COMPUTED_VALUE"""),106588)</f>
        <v>106588</v>
      </c>
      <c r="B5628" s="4">
        <f ca="1">IFERROR(__xludf.DUMMYFUNCTION("""COMPUTED_VALUE"""),44811)</f>
        <v>44811</v>
      </c>
      <c r="C5628" t="str">
        <f ca="1">IFERROR(__xludf.DUMMYFUNCTION("""COMPUTED_VALUE"""),"БУ Г. ОМСКА ""УДХБ"" 197-РДО от 01.07.2022")</f>
        <v>БУ Г. ОМСКА "УДХБ" 197-РДО от 01.07.2022</v>
      </c>
      <c r="D56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8" t="str">
        <f ca="1">IFERROR(__xludf.DUMMYFUNCTION("""COMPUTED_VALUE"""),"Новый")</f>
        <v>Новый</v>
      </c>
      <c r="G5628" s="68"/>
      <c r="K5628" s="68"/>
    </row>
    <row r="5629" spans="1:11" ht="12.75">
      <c r="A5629" s="69">
        <f ca="1">IFERROR(__xludf.DUMMYFUNCTION("""COMPUTED_VALUE"""),106589)</f>
        <v>106589</v>
      </c>
      <c r="B5629" s="4">
        <f ca="1">IFERROR(__xludf.DUMMYFUNCTION("""COMPUTED_VALUE"""),44811)</f>
        <v>44811</v>
      </c>
      <c r="C5629" t="str">
        <f ca="1">IFERROR(__xludf.DUMMYFUNCTION("""COMPUTED_VALUE"""),"БУ Г. ОМСКА ""УДХБ"" 197-РДО от 01.07.2022")</f>
        <v>БУ Г. ОМСКА "УДХБ" 197-РДО от 01.07.2022</v>
      </c>
      <c r="D56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29" t="str">
        <f ca="1">IFERROR(__xludf.DUMMYFUNCTION("""COMPUTED_VALUE"""),"Новый")</f>
        <v>Новый</v>
      </c>
      <c r="G5629" s="68"/>
      <c r="K5629" s="68"/>
    </row>
    <row r="5630" spans="1:11" ht="12.75">
      <c r="A5630" s="69">
        <f ca="1">IFERROR(__xludf.DUMMYFUNCTION("""COMPUTED_VALUE"""),106590)</f>
        <v>106590</v>
      </c>
      <c r="B5630" s="4">
        <f ca="1">IFERROR(__xludf.DUMMYFUNCTION("""COMPUTED_VALUE"""),44811)</f>
        <v>44811</v>
      </c>
      <c r="C5630" t="str">
        <f ca="1">IFERROR(__xludf.DUMMYFUNCTION("""COMPUTED_VALUE"""),"БУ Г. ОМСКА ""УДХБ"" 197-РДО от 01.07.2022")</f>
        <v>БУ Г. ОМСКА "УДХБ" 197-РДО от 01.07.2022</v>
      </c>
      <c r="D56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0" t="str">
        <f ca="1">IFERROR(__xludf.DUMMYFUNCTION("""COMPUTED_VALUE"""),"Новый")</f>
        <v>Новый</v>
      </c>
      <c r="G5630" s="68"/>
      <c r="K5630" s="68"/>
    </row>
    <row r="5631" spans="1:11" ht="12.75">
      <c r="A5631" s="69">
        <f ca="1">IFERROR(__xludf.DUMMYFUNCTION("""COMPUTED_VALUE"""),106591)</f>
        <v>106591</v>
      </c>
      <c r="B5631" s="4">
        <f ca="1">IFERROR(__xludf.DUMMYFUNCTION("""COMPUTED_VALUE"""),44811)</f>
        <v>44811</v>
      </c>
      <c r="C5631" t="str">
        <f ca="1">IFERROR(__xludf.DUMMYFUNCTION("""COMPUTED_VALUE"""),"БУ Г. ОМСКА ""УДХБ"" 197-РДО от 01.07.2022")</f>
        <v>БУ Г. ОМСКА "УДХБ" 197-РДО от 01.07.2022</v>
      </c>
      <c r="D56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1" t="str">
        <f ca="1">IFERROR(__xludf.DUMMYFUNCTION("""COMPUTED_VALUE"""),"Новый")</f>
        <v>Новый</v>
      </c>
      <c r="G5631" s="68"/>
      <c r="K5631" s="68"/>
    </row>
    <row r="5632" spans="1:11" ht="12.75">
      <c r="A5632" s="69">
        <f ca="1">IFERROR(__xludf.DUMMYFUNCTION("""COMPUTED_VALUE"""),106592)</f>
        <v>106592</v>
      </c>
      <c r="B5632" s="4">
        <f ca="1">IFERROR(__xludf.DUMMYFUNCTION("""COMPUTED_VALUE"""),44811)</f>
        <v>44811</v>
      </c>
      <c r="C5632" t="str">
        <f ca="1">IFERROR(__xludf.DUMMYFUNCTION("""COMPUTED_VALUE"""),"БУ Г. ОМСКА ""УДХБ"" 197-РДО от 01.07.2022")</f>
        <v>БУ Г. ОМСКА "УДХБ" 197-РДО от 01.07.2022</v>
      </c>
      <c r="D56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2" t="str">
        <f ca="1">IFERROR(__xludf.DUMMYFUNCTION("""COMPUTED_VALUE"""),"Новый")</f>
        <v>Новый</v>
      </c>
      <c r="G5632" s="68"/>
      <c r="K5632" s="68"/>
    </row>
    <row r="5633" spans="1:11" ht="12.75">
      <c r="A5633" s="69">
        <f ca="1">IFERROR(__xludf.DUMMYFUNCTION("""COMPUTED_VALUE"""),106593)</f>
        <v>106593</v>
      </c>
      <c r="B5633" s="4">
        <f ca="1">IFERROR(__xludf.DUMMYFUNCTION("""COMPUTED_VALUE"""),44811)</f>
        <v>44811</v>
      </c>
      <c r="C5633" t="str">
        <f ca="1">IFERROR(__xludf.DUMMYFUNCTION("""COMPUTED_VALUE"""),"БУ Г. ОМСКА ""УДХБ"" 197-РДО от 01.07.2022")</f>
        <v>БУ Г. ОМСКА "УДХБ" 197-РДО от 01.07.2022</v>
      </c>
      <c r="D56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3" t="str">
        <f ca="1">IFERROR(__xludf.DUMMYFUNCTION("""COMPUTED_VALUE"""),"Новый")</f>
        <v>Новый</v>
      </c>
      <c r="G5633" s="68"/>
      <c r="K5633" s="68"/>
    </row>
    <row r="5634" spans="1:11" ht="12.75">
      <c r="A5634" s="69">
        <f ca="1">IFERROR(__xludf.DUMMYFUNCTION("""COMPUTED_VALUE"""),106594)</f>
        <v>106594</v>
      </c>
      <c r="B5634" s="4">
        <f ca="1">IFERROR(__xludf.DUMMYFUNCTION("""COMPUTED_VALUE"""),44811)</f>
        <v>44811</v>
      </c>
      <c r="C5634" t="str">
        <f ca="1">IFERROR(__xludf.DUMMYFUNCTION("""COMPUTED_VALUE"""),"БУ Г. ОМСКА ""УДХБ"" 197-РДО от 01.07.2022")</f>
        <v>БУ Г. ОМСКА "УДХБ" 197-РДО от 01.07.2022</v>
      </c>
      <c r="D56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4" t="str">
        <f ca="1">IFERROR(__xludf.DUMMYFUNCTION("""COMPUTED_VALUE"""),"Новый")</f>
        <v>Новый</v>
      </c>
      <c r="G5634" s="68"/>
      <c r="K5634" s="68"/>
    </row>
    <row r="5635" spans="1:11" ht="12.75">
      <c r="A5635" s="69">
        <f ca="1">IFERROR(__xludf.DUMMYFUNCTION("""COMPUTED_VALUE"""),106595)</f>
        <v>106595</v>
      </c>
      <c r="B5635" s="4">
        <f ca="1">IFERROR(__xludf.DUMMYFUNCTION("""COMPUTED_VALUE"""),44811)</f>
        <v>44811</v>
      </c>
      <c r="C5635" t="str">
        <f ca="1">IFERROR(__xludf.DUMMYFUNCTION("""COMPUTED_VALUE"""),"БУ Г. ОМСКА ""УДХБ"" 197-РДО от 01.07.2022")</f>
        <v>БУ Г. ОМСКА "УДХБ" 197-РДО от 01.07.2022</v>
      </c>
      <c r="D56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5" t="str">
        <f ca="1">IFERROR(__xludf.DUMMYFUNCTION("""COMPUTED_VALUE"""),"Новый")</f>
        <v>Новый</v>
      </c>
      <c r="G5635" s="68"/>
      <c r="K5635" s="68"/>
    </row>
    <row r="5636" spans="1:11" ht="12.75">
      <c r="A5636" s="69">
        <f ca="1">IFERROR(__xludf.DUMMYFUNCTION("""COMPUTED_VALUE"""),106596)</f>
        <v>106596</v>
      </c>
      <c r="B5636" s="4">
        <f ca="1">IFERROR(__xludf.DUMMYFUNCTION("""COMPUTED_VALUE"""),44811)</f>
        <v>44811</v>
      </c>
      <c r="C5636" t="str">
        <f ca="1">IFERROR(__xludf.DUMMYFUNCTION("""COMPUTED_VALUE"""),"БУ Г. ОМСКА ""УДХБ"" 197-РДО от 01.07.2022")</f>
        <v>БУ Г. ОМСКА "УДХБ" 197-РДО от 01.07.2022</v>
      </c>
      <c r="D56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6" t="str">
        <f ca="1">IFERROR(__xludf.DUMMYFUNCTION("""COMPUTED_VALUE"""),"Новый")</f>
        <v>Новый</v>
      </c>
      <c r="G5636" s="68"/>
      <c r="K5636" s="68"/>
    </row>
    <row r="5637" spans="1:11" ht="12.75">
      <c r="A5637" s="69">
        <f ca="1">IFERROR(__xludf.DUMMYFUNCTION("""COMPUTED_VALUE"""),106597)</f>
        <v>106597</v>
      </c>
      <c r="B5637" s="4">
        <f ca="1">IFERROR(__xludf.DUMMYFUNCTION("""COMPUTED_VALUE"""),44811)</f>
        <v>44811</v>
      </c>
      <c r="C5637" t="str">
        <f ca="1">IFERROR(__xludf.DUMMYFUNCTION("""COMPUTED_VALUE"""),"БУ Г. ОМСКА ""УДХБ"" 197-РДО от 01.07.2022")</f>
        <v>БУ Г. ОМСКА "УДХБ" 197-РДО от 01.07.2022</v>
      </c>
      <c r="D56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7" t="str">
        <f ca="1">IFERROR(__xludf.DUMMYFUNCTION("""COMPUTED_VALUE"""),"Новый")</f>
        <v>Новый</v>
      </c>
      <c r="G5637" s="68"/>
      <c r="K5637" s="68"/>
    </row>
    <row r="5638" spans="1:11" ht="12.75">
      <c r="A5638" s="69">
        <f ca="1">IFERROR(__xludf.DUMMYFUNCTION("""COMPUTED_VALUE"""),106598)</f>
        <v>106598</v>
      </c>
      <c r="B5638" s="4">
        <f ca="1">IFERROR(__xludf.DUMMYFUNCTION("""COMPUTED_VALUE"""),44811)</f>
        <v>44811</v>
      </c>
      <c r="C5638" t="str">
        <f ca="1">IFERROR(__xludf.DUMMYFUNCTION("""COMPUTED_VALUE"""),"БУ Г. ОМСКА ""УДХБ"" 197-РДО от 01.07.2022")</f>
        <v>БУ Г. ОМСКА "УДХБ" 197-РДО от 01.07.2022</v>
      </c>
      <c r="D56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8" t="str">
        <f ca="1">IFERROR(__xludf.DUMMYFUNCTION("""COMPUTED_VALUE"""),"Новый")</f>
        <v>Новый</v>
      </c>
      <c r="G5638" s="68"/>
      <c r="K5638" s="68"/>
    </row>
    <row r="5639" spans="1:11" ht="12.75">
      <c r="A5639" s="69">
        <f ca="1">IFERROR(__xludf.DUMMYFUNCTION("""COMPUTED_VALUE"""),106599)</f>
        <v>106599</v>
      </c>
      <c r="B5639" s="4">
        <f ca="1">IFERROR(__xludf.DUMMYFUNCTION("""COMPUTED_VALUE"""),44811)</f>
        <v>44811</v>
      </c>
      <c r="C5639" t="str">
        <f ca="1">IFERROR(__xludf.DUMMYFUNCTION("""COMPUTED_VALUE"""),"БУ Г. ОМСКА ""УДХБ"" 197-РДО от 01.07.2022")</f>
        <v>БУ Г. ОМСКА "УДХБ" 197-РДО от 01.07.2022</v>
      </c>
      <c r="D56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39" t="str">
        <f ca="1">IFERROR(__xludf.DUMMYFUNCTION("""COMPUTED_VALUE"""),"Новый")</f>
        <v>Новый</v>
      </c>
      <c r="G5639" s="68"/>
      <c r="K5639" s="68"/>
    </row>
    <row r="5640" spans="1:11" ht="12.75">
      <c r="A5640" s="69">
        <f ca="1">IFERROR(__xludf.DUMMYFUNCTION("""COMPUTED_VALUE"""),106600)</f>
        <v>106600</v>
      </c>
      <c r="B5640" s="4">
        <f ca="1">IFERROR(__xludf.DUMMYFUNCTION("""COMPUTED_VALUE"""),44811)</f>
        <v>44811</v>
      </c>
      <c r="C5640" t="str">
        <f ca="1">IFERROR(__xludf.DUMMYFUNCTION("""COMPUTED_VALUE"""),"БИВЕР ООО")</f>
        <v>БИВЕР ООО</v>
      </c>
      <c r="D56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0" t="str">
        <f ca="1">IFERROR(__xludf.DUMMYFUNCTION("""COMPUTED_VALUE"""),"Новый")</f>
        <v>Новый</v>
      </c>
      <c r="G5640" s="68"/>
      <c r="K5640" s="68"/>
    </row>
    <row r="5641" spans="1:11" ht="12.75">
      <c r="A5641" s="69">
        <f ca="1">IFERROR(__xludf.DUMMYFUNCTION("""COMPUTED_VALUE"""),106601)</f>
        <v>106601</v>
      </c>
      <c r="B5641" s="4">
        <f ca="1">IFERROR(__xludf.DUMMYFUNCTION("""COMPUTED_VALUE"""),44811)</f>
        <v>44811</v>
      </c>
      <c r="C5641" t="str">
        <f ca="1">IFERROR(__xludf.DUMMYFUNCTION("""COMPUTED_VALUE"""),"БИВЕР ООО")</f>
        <v>БИВЕР ООО</v>
      </c>
      <c r="D56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1" t="str">
        <f ca="1">IFERROR(__xludf.DUMMYFUNCTION("""COMPUTED_VALUE"""),"Новый")</f>
        <v>Новый</v>
      </c>
      <c r="G5641" s="68"/>
      <c r="K5641" s="68"/>
    </row>
    <row r="5642" spans="1:11" ht="12.75">
      <c r="A5642" s="69">
        <f ca="1">IFERROR(__xludf.DUMMYFUNCTION("""COMPUTED_VALUE"""),106602)</f>
        <v>106602</v>
      </c>
      <c r="B5642" s="4">
        <f ca="1">IFERROR(__xludf.DUMMYFUNCTION("""COMPUTED_VALUE"""),44811)</f>
        <v>44811</v>
      </c>
      <c r="C5642" t="str">
        <f ca="1">IFERROR(__xludf.DUMMYFUNCTION("""COMPUTED_VALUE"""),"БИВЕР ООО")</f>
        <v>БИВЕР ООО</v>
      </c>
      <c r="D56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2" t="str">
        <f ca="1">IFERROR(__xludf.DUMMYFUNCTION("""COMPUTED_VALUE"""),"Новый")</f>
        <v>Новый</v>
      </c>
      <c r="G5642" s="68"/>
      <c r="K5642" s="68"/>
    </row>
    <row r="5643" spans="1:11" ht="12.75">
      <c r="A5643" s="69">
        <f ca="1">IFERROR(__xludf.DUMMYFUNCTION("""COMPUTED_VALUE"""),106603)</f>
        <v>106603</v>
      </c>
      <c r="B5643" s="4">
        <f ca="1">IFERROR(__xludf.DUMMYFUNCTION("""COMPUTED_VALUE"""),44811)</f>
        <v>44811</v>
      </c>
      <c r="C5643" t="str">
        <f ca="1">IFERROR(__xludf.DUMMYFUNCTION("""COMPUTED_VALUE"""),"БИВЕР ООО")</f>
        <v>БИВЕР ООО</v>
      </c>
      <c r="D56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3" t="str">
        <f ca="1">IFERROR(__xludf.DUMMYFUNCTION("""COMPUTED_VALUE"""),"Новый")</f>
        <v>Новый</v>
      </c>
      <c r="G5643" s="68"/>
      <c r="K5643" s="68"/>
    </row>
    <row r="5644" spans="1:11" ht="12.75">
      <c r="A5644" s="69">
        <f ca="1">IFERROR(__xludf.DUMMYFUNCTION("""COMPUTED_VALUE"""),106604)</f>
        <v>106604</v>
      </c>
      <c r="B5644" s="4">
        <f ca="1">IFERROR(__xludf.DUMMYFUNCTION("""COMPUTED_VALUE"""),44811)</f>
        <v>44811</v>
      </c>
      <c r="C5644" t="str">
        <f ca="1">IFERROR(__xludf.DUMMYFUNCTION("""COMPUTED_VALUE"""),"БИВЕР ООО")</f>
        <v>БИВЕР ООО</v>
      </c>
      <c r="D56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4" t="str">
        <f ca="1">IFERROR(__xludf.DUMMYFUNCTION("""COMPUTED_VALUE"""),"Новый")</f>
        <v>Новый</v>
      </c>
      <c r="G5644" s="68"/>
      <c r="K5644" s="68"/>
    </row>
    <row r="5645" spans="1:11" ht="12.75">
      <c r="A5645" s="69">
        <f ca="1">IFERROR(__xludf.DUMMYFUNCTION("""COMPUTED_VALUE"""),106605)</f>
        <v>106605</v>
      </c>
      <c r="B5645" s="4">
        <f ca="1">IFERROR(__xludf.DUMMYFUNCTION("""COMPUTED_VALUE"""),44811)</f>
        <v>44811</v>
      </c>
      <c r="C5645" t="str">
        <f ca="1">IFERROR(__xludf.DUMMYFUNCTION("""COMPUTED_VALUE"""),"БИВЕР ООО")</f>
        <v>БИВЕР ООО</v>
      </c>
      <c r="D56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5" t="str">
        <f ca="1">IFERROR(__xludf.DUMMYFUNCTION("""COMPUTED_VALUE"""),"Новый")</f>
        <v>Новый</v>
      </c>
      <c r="G5645" s="68"/>
      <c r="K5645" s="68"/>
    </row>
    <row r="5646" spans="1:11" ht="12.75">
      <c r="A5646" s="69">
        <f ca="1">IFERROR(__xludf.DUMMYFUNCTION("""COMPUTED_VALUE"""),106606)</f>
        <v>106606</v>
      </c>
      <c r="B5646" s="4">
        <f ca="1">IFERROR(__xludf.DUMMYFUNCTION("""COMPUTED_VALUE"""),44811)</f>
        <v>44811</v>
      </c>
      <c r="C5646" t="str">
        <f ca="1">IFERROR(__xludf.DUMMYFUNCTION("""COMPUTED_VALUE"""),"БИВЕР ООО")</f>
        <v>БИВЕР ООО</v>
      </c>
      <c r="D56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6" t="str">
        <f ca="1">IFERROR(__xludf.DUMMYFUNCTION("""COMPUTED_VALUE"""),"Новый")</f>
        <v>Новый</v>
      </c>
      <c r="G5646" s="68"/>
      <c r="K5646" s="68"/>
    </row>
    <row r="5647" spans="1:11" ht="12.75">
      <c r="A5647" s="69">
        <f ca="1">IFERROR(__xludf.DUMMYFUNCTION("""COMPUTED_VALUE"""),106607)</f>
        <v>106607</v>
      </c>
      <c r="B5647" s="4">
        <f ca="1">IFERROR(__xludf.DUMMYFUNCTION("""COMPUTED_VALUE"""),44811)</f>
        <v>44811</v>
      </c>
      <c r="C5647" t="str">
        <f ca="1">IFERROR(__xludf.DUMMYFUNCTION("""COMPUTED_VALUE"""),"БИВЕР ООО")</f>
        <v>БИВЕР ООО</v>
      </c>
      <c r="D56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7" t="str">
        <f ca="1">IFERROR(__xludf.DUMMYFUNCTION("""COMPUTED_VALUE"""),"Новый")</f>
        <v>Новый</v>
      </c>
      <c r="G5647" s="68"/>
      <c r="K5647" s="68"/>
    </row>
    <row r="5648" spans="1:11" ht="12.75">
      <c r="A5648" s="69">
        <f ca="1">IFERROR(__xludf.DUMMYFUNCTION("""COMPUTED_VALUE"""),106608)</f>
        <v>106608</v>
      </c>
      <c r="B5648" s="4">
        <f ca="1">IFERROR(__xludf.DUMMYFUNCTION("""COMPUTED_VALUE"""),44811)</f>
        <v>44811</v>
      </c>
      <c r="C5648" t="str">
        <f ca="1">IFERROR(__xludf.DUMMYFUNCTION("""COMPUTED_VALUE"""),"БИВЕР ООО")</f>
        <v>БИВЕР ООО</v>
      </c>
      <c r="D56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8" t="str">
        <f ca="1">IFERROR(__xludf.DUMMYFUNCTION("""COMPUTED_VALUE"""),"Новый")</f>
        <v>Новый</v>
      </c>
      <c r="G5648" s="68"/>
      <c r="K5648" s="68"/>
    </row>
    <row r="5649" spans="1:11" ht="12.75">
      <c r="A5649" s="69">
        <f ca="1">IFERROR(__xludf.DUMMYFUNCTION("""COMPUTED_VALUE"""),106609)</f>
        <v>106609</v>
      </c>
      <c r="B5649" s="4">
        <f ca="1">IFERROR(__xludf.DUMMYFUNCTION("""COMPUTED_VALUE"""),44811)</f>
        <v>44811</v>
      </c>
      <c r="C5649" t="str">
        <f ca="1">IFERROR(__xludf.DUMMYFUNCTION("""COMPUTED_VALUE"""),"БИВЕР ООО")</f>
        <v>БИВЕР ООО</v>
      </c>
      <c r="D56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49" t="str">
        <f ca="1">IFERROR(__xludf.DUMMYFUNCTION("""COMPUTED_VALUE"""),"Новый")</f>
        <v>Новый</v>
      </c>
      <c r="G5649" s="68"/>
      <c r="K5649" s="68"/>
    </row>
    <row r="5650" spans="1:11" ht="12.75">
      <c r="A5650" s="69">
        <f ca="1">IFERROR(__xludf.DUMMYFUNCTION("""COMPUTED_VALUE"""),106611)</f>
        <v>106611</v>
      </c>
      <c r="B5650" s="4">
        <f ca="1">IFERROR(__xludf.DUMMYFUNCTION("""COMPUTED_VALUE"""),44811)</f>
        <v>44811</v>
      </c>
      <c r="C5650" t="str">
        <f ca="1">IFERROR(__xludf.DUMMYFUNCTION("""COMPUTED_VALUE"""),"БИВЕР ООО")</f>
        <v>БИВЕР ООО</v>
      </c>
      <c r="D56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0" t="str">
        <f ca="1">IFERROR(__xludf.DUMMYFUNCTION("""COMPUTED_VALUE"""),"Новый")</f>
        <v>Новый</v>
      </c>
      <c r="G5650" s="68"/>
      <c r="K5650" s="68"/>
    </row>
    <row r="5651" spans="1:11" ht="12.75">
      <c r="A5651" s="69">
        <f ca="1">IFERROR(__xludf.DUMMYFUNCTION("""COMPUTED_VALUE"""),106612)</f>
        <v>106612</v>
      </c>
      <c r="B5651" s="4">
        <f ca="1">IFERROR(__xludf.DUMMYFUNCTION("""COMPUTED_VALUE"""),44811)</f>
        <v>44811</v>
      </c>
      <c r="C5651" t="str">
        <f ca="1">IFERROR(__xludf.DUMMYFUNCTION("""COMPUTED_VALUE"""),"БИВЕР ООО")</f>
        <v>БИВЕР ООО</v>
      </c>
      <c r="D56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1" t="str">
        <f ca="1">IFERROR(__xludf.DUMMYFUNCTION("""COMPUTED_VALUE"""),"Новый")</f>
        <v>Новый</v>
      </c>
      <c r="G5651" s="68"/>
      <c r="K5651" s="68"/>
    </row>
    <row r="5652" spans="1:11" ht="12.75">
      <c r="A5652" s="69">
        <f ca="1">IFERROR(__xludf.DUMMYFUNCTION("""COMPUTED_VALUE"""),106613)</f>
        <v>106613</v>
      </c>
      <c r="B5652" s="4">
        <f ca="1">IFERROR(__xludf.DUMMYFUNCTION("""COMPUTED_VALUE"""),44811)</f>
        <v>44811</v>
      </c>
      <c r="C5652" t="str">
        <f ca="1">IFERROR(__xludf.DUMMYFUNCTION("""COMPUTED_VALUE"""),"БИВЕР ООО")</f>
        <v>БИВЕР ООО</v>
      </c>
      <c r="D56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2" t="str">
        <f ca="1">IFERROR(__xludf.DUMMYFUNCTION("""COMPUTED_VALUE"""),"Новый")</f>
        <v>Новый</v>
      </c>
      <c r="G5652" s="68"/>
      <c r="K5652" s="68"/>
    </row>
    <row r="5653" spans="1:11" ht="12.75">
      <c r="A5653" s="69">
        <f ca="1">IFERROR(__xludf.DUMMYFUNCTION("""COMPUTED_VALUE"""),106614)</f>
        <v>106614</v>
      </c>
      <c r="B5653" s="4">
        <f ca="1">IFERROR(__xludf.DUMMYFUNCTION("""COMPUTED_VALUE"""),44811)</f>
        <v>44811</v>
      </c>
      <c r="C5653" t="str">
        <f ca="1">IFERROR(__xludf.DUMMYFUNCTION("""COMPUTED_VALUE"""),"БИВЕР ООО")</f>
        <v>БИВЕР ООО</v>
      </c>
      <c r="D56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3" t="str">
        <f ca="1">IFERROR(__xludf.DUMMYFUNCTION("""COMPUTED_VALUE"""),"Новый")</f>
        <v>Новый</v>
      </c>
      <c r="G5653" s="68"/>
      <c r="K5653" s="68"/>
    </row>
    <row r="5654" spans="1:11" ht="12.75">
      <c r="A5654" s="69">
        <f ca="1">IFERROR(__xludf.DUMMYFUNCTION("""COMPUTED_VALUE"""),106615)</f>
        <v>106615</v>
      </c>
      <c r="B5654" s="4">
        <f ca="1">IFERROR(__xludf.DUMMYFUNCTION("""COMPUTED_VALUE"""),44811)</f>
        <v>44811</v>
      </c>
      <c r="C5654" t="str">
        <f ca="1">IFERROR(__xludf.DUMMYFUNCTION("""COMPUTED_VALUE"""),"БИВЕР ООО")</f>
        <v>БИВЕР ООО</v>
      </c>
      <c r="D56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4" t="str">
        <f ca="1">IFERROR(__xludf.DUMMYFUNCTION("""COMPUTED_VALUE"""),"Новый")</f>
        <v>Новый</v>
      </c>
      <c r="G5654" s="68"/>
      <c r="K5654" s="68"/>
    </row>
    <row r="5655" spans="1:11" ht="12.75">
      <c r="A5655" s="69">
        <f ca="1">IFERROR(__xludf.DUMMYFUNCTION("""COMPUTED_VALUE"""),106616)</f>
        <v>106616</v>
      </c>
      <c r="B5655" s="4">
        <f ca="1">IFERROR(__xludf.DUMMYFUNCTION("""COMPUTED_VALUE"""),44811)</f>
        <v>44811</v>
      </c>
      <c r="C5655" t="str">
        <f ca="1">IFERROR(__xludf.DUMMYFUNCTION("""COMPUTED_VALUE"""),"БИВЕР ООО")</f>
        <v>БИВЕР ООО</v>
      </c>
      <c r="D56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5" t="str">
        <f ca="1">IFERROR(__xludf.DUMMYFUNCTION("""COMPUTED_VALUE"""),"Новый")</f>
        <v>Новый</v>
      </c>
      <c r="G5655" s="68"/>
      <c r="K5655" s="68"/>
    </row>
    <row r="5656" spans="1:11" ht="12.75">
      <c r="A5656" s="69">
        <f ca="1">IFERROR(__xludf.DUMMYFUNCTION("""COMPUTED_VALUE"""),106617)</f>
        <v>106617</v>
      </c>
      <c r="B5656" s="4">
        <f ca="1">IFERROR(__xludf.DUMMYFUNCTION("""COMPUTED_VALUE"""),44811)</f>
        <v>44811</v>
      </c>
      <c r="C5656" t="str">
        <f ca="1">IFERROR(__xludf.DUMMYFUNCTION("""COMPUTED_VALUE"""),"БИВЕР ООО")</f>
        <v>БИВЕР ООО</v>
      </c>
      <c r="D56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6" t="str">
        <f ca="1">IFERROR(__xludf.DUMMYFUNCTION("""COMPUTED_VALUE"""),"Новый")</f>
        <v>Новый</v>
      </c>
      <c r="G5656" s="68"/>
      <c r="K5656" s="68"/>
    </row>
    <row r="5657" spans="1:11" ht="12.75">
      <c r="A5657" s="69">
        <f ca="1">IFERROR(__xludf.DUMMYFUNCTION("""COMPUTED_VALUE"""),106618)</f>
        <v>106618</v>
      </c>
      <c r="B5657" s="4">
        <f ca="1">IFERROR(__xludf.DUMMYFUNCTION("""COMPUTED_VALUE"""),44811)</f>
        <v>44811</v>
      </c>
      <c r="C5657" t="str">
        <f ca="1">IFERROR(__xludf.DUMMYFUNCTION("""COMPUTED_VALUE"""),"БИВЕР ООО")</f>
        <v>БИВЕР ООО</v>
      </c>
      <c r="D56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7" t="str">
        <f ca="1">IFERROR(__xludf.DUMMYFUNCTION("""COMPUTED_VALUE"""),"Новый")</f>
        <v>Новый</v>
      </c>
      <c r="G5657" s="68"/>
      <c r="K5657" s="68"/>
    </row>
    <row r="5658" spans="1:11" ht="12.75">
      <c r="A5658" s="69">
        <f ca="1">IFERROR(__xludf.DUMMYFUNCTION("""COMPUTED_VALUE"""),106619)</f>
        <v>106619</v>
      </c>
      <c r="B5658" s="4">
        <f ca="1">IFERROR(__xludf.DUMMYFUNCTION("""COMPUTED_VALUE"""),44811)</f>
        <v>44811</v>
      </c>
      <c r="C5658" t="str">
        <f ca="1">IFERROR(__xludf.DUMMYFUNCTION("""COMPUTED_VALUE"""),"БИВЕР ООО")</f>
        <v>БИВЕР ООО</v>
      </c>
      <c r="D56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58" t="str">
        <f ca="1">IFERROR(__xludf.DUMMYFUNCTION("""COMPUTED_VALUE"""),"Новый")</f>
        <v>Новый</v>
      </c>
      <c r="G5658" s="68"/>
      <c r="K5658" s="68"/>
    </row>
    <row r="5659" spans="1:11" ht="12.75">
      <c r="A5659" s="69">
        <f ca="1">IFERROR(__xludf.DUMMYFUNCTION("""COMPUTED_VALUE"""),106637)</f>
        <v>106637</v>
      </c>
      <c r="B5659" s="4">
        <f ca="1">IFERROR(__xludf.DUMMYFUNCTION("""COMPUTED_VALUE"""),44811)</f>
        <v>44811</v>
      </c>
      <c r="C5659" t="str">
        <f ca="1">IFERROR(__xludf.DUMMYFUNCTION("""COMPUTED_VALUE"""),"БУ Г. ОМСКА ""УДХБ"" 197-РДО от 01.07.2022")</f>
        <v>БУ Г. ОМСКА "УДХБ" 197-РДО от 01.07.2022</v>
      </c>
      <c r="D56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59" t="str">
        <f ca="1">IFERROR(__xludf.DUMMYFUNCTION("""COMPUTED_VALUE"""),"Новый")</f>
        <v>Новый</v>
      </c>
      <c r="G5659" s="68"/>
      <c r="K5659" s="68"/>
    </row>
    <row r="5660" spans="1:11" ht="12.75">
      <c r="A5660" s="69">
        <f ca="1">IFERROR(__xludf.DUMMYFUNCTION("""COMPUTED_VALUE"""),106638)</f>
        <v>106638</v>
      </c>
      <c r="B5660" s="4">
        <f ca="1">IFERROR(__xludf.DUMMYFUNCTION("""COMPUTED_VALUE"""),44811)</f>
        <v>44811</v>
      </c>
      <c r="C5660" t="str">
        <f ca="1">IFERROR(__xludf.DUMMYFUNCTION("""COMPUTED_VALUE"""),"БУ Г. ОМСКА ""УДХБ"" 197-РДО от 01.07.2022")</f>
        <v>БУ Г. ОМСКА "УДХБ" 197-РДО от 01.07.2022</v>
      </c>
      <c r="D56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60" t="str">
        <f ca="1">IFERROR(__xludf.DUMMYFUNCTION("""COMPUTED_VALUE"""),"Новый")</f>
        <v>Новый</v>
      </c>
      <c r="G5660" s="68"/>
      <c r="K5660" s="68"/>
    </row>
    <row r="5661" spans="1:11" ht="12.75">
      <c r="A5661" s="69">
        <f ca="1">IFERROR(__xludf.DUMMYFUNCTION("""COMPUTED_VALUE"""),106639)</f>
        <v>106639</v>
      </c>
      <c r="B5661" s="4">
        <f ca="1">IFERROR(__xludf.DUMMYFUNCTION("""COMPUTED_VALUE"""),44811)</f>
        <v>44811</v>
      </c>
      <c r="C5661" t="str">
        <f ca="1">IFERROR(__xludf.DUMMYFUNCTION("""COMPUTED_VALUE"""),"БУ Г. ОМСКА ""УДХБ"" 197-РДО от 01.07.2022")</f>
        <v>БУ Г. ОМСКА "УДХБ" 197-РДО от 01.07.2022</v>
      </c>
      <c r="D56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661" t="str">
        <f ca="1">IFERROR(__xludf.DUMMYFUNCTION("""COMPUTED_VALUE"""),"Новый")</f>
        <v>Новый</v>
      </c>
      <c r="G5661" s="68"/>
      <c r="K5661" s="68"/>
    </row>
    <row r="5662" spans="1:11" ht="12.75">
      <c r="A5662" s="69">
        <f ca="1">IFERROR(__xludf.DUMMYFUNCTION("""COMPUTED_VALUE"""),106640)</f>
        <v>106640</v>
      </c>
      <c r="B5662" s="4">
        <f ca="1">IFERROR(__xludf.DUMMYFUNCTION("""COMPUTED_VALUE"""),44811)</f>
        <v>44811</v>
      </c>
      <c r="C5662" t="str">
        <f ca="1">IFERROR(__xludf.DUMMYFUNCTION("""COMPUTED_VALUE"""),"БУ Г. ОМСКА ""УДХБ"" 144-СТР от 01.07.2022")</f>
        <v>БУ Г. ОМСКА "УДХБ" 144-СТР от 01.07.2022</v>
      </c>
      <c r="D56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2" t="str">
        <f ca="1">IFERROR(__xludf.DUMMYFUNCTION("""COMPUTED_VALUE"""),"Новый")</f>
        <v>Новый</v>
      </c>
      <c r="G5662" s="68"/>
      <c r="K5662" s="68"/>
    </row>
    <row r="5663" spans="1:11" ht="12.75">
      <c r="A5663" s="69">
        <f ca="1">IFERROR(__xludf.DUMMYFUNCTION("""COMPUTED_VALUE"""),106641)</f>
        <v>106641</v>
      </c>
      <c r="B5663" s="4">
        <f ca="1">IFERROR(__xludf.DUMMYFUNCTION("""COMPUTED_VALUE"""),44811)</f>
        <v>44811</v>
      </c>
      <c r="C5663" t="str">
        <f ca="1">IFERROR(__xludf.DUMMYFUNCTION("""COMPUTED_VALUE"""),"БУ Г. ОМСКА ""УДХБ"" 144-СТР от 01.07.2022")</f>
        <v>БУ Г. ОМСКА "УДХБ" 144-СТР от 01.07.2022</v>
      </c>
      <c r="D56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3" t="str">
        <f ca="1">IFERROR(__xludf.DUMMYFUNCTION("""COMPUTED_VALUE"""),"Новый")</f>
        <v>Новый</v>
      </c>
      <c r="G5663" s="68"/>
      <c r="K5663" s="68"/>
    </row>
    <row r="5664" spans="1:11" ht="12.75">
      <c r="A5664" s="69">
        <f ca="1">IFERROR(__xludf.DUMMYFUNCTION("""COMPUTED_VALUE"""),106642)</f>
        <v>106642</v>
      </c>
      <c r="B5664" s="4">
        <f ca="1">IFERROR(__xludf.DUMMYFUNCTION("""COMPUTED_VALUE"""),44811)</f>
        <v>44811</v>
      </c>
      <c r="C5664" t="str">
        <f ca="1">IFERROR(__xludf.DUMMYFUNCTION("""COMPUTED_VALUE"""),"БУ Г. ОМСКА ""УДХБ"" 144-СТР от 01.07.2022")</f>
        <v>БУ Г. ОМСКА "УДХБ" 144-СТР от 01.07.2022</v>
      </c>
      <c r="D56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4" t="str">
        <f ca="1">IFERROR(__xludf.DUMMYFUNCTION("""COMPUTED_VALUE"""),"Новый")</f>
        <v>Новый</v>
      </c>
      <c r="G5664" s="68"/>
      <c r="K5664" s="68"/>
    </row>
    <row r="5665" spans="1:11" ht="12.75">
      <c r="A5665" s="69">
        <f ca="1">IFERROR(__xludf.DUMMYFUNCTION("""COMPUTED_VALUE"""),106643)</f>
        <v>106643</v>
      </c>
      <c r="B5665" s="4">
        <f ca="1">IFERROR(__xludf.DUMMYFUNCTION("""COMPUTED_VALUE"""),44811)</f>
        <v>44811</v>
      </c>
      <c r="C5665" t="str">
        <f ca="1">IFERROR(__xludf.DUMMYFUNCTION("""COMPUTED_VALUE"""),"БУ Г. ОМСКА ""УДХБ"" 144-СТР от 01.07.2022")</f>
        <v>БУ Г. ОМСКА "УДХБ" 144-СТР от 01.07.2022</v>
      </c>
      <c r="D56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5" t="str">
        <f ca="1">IFERROR(__xludf.DUMMYFUNCTION("""COMPUTED_VALUE"""),"Новый")</f>
        <v>Новый</v>
      </c>
      <c r="G5665" s="68"/>
      <c r="K5665" s="68"/>
    </row>
    <row r="5666" spans="1:11" ht="12.75">
      <c r="A5666" s="69">
        <f ca="1">IFERROR(__xludf.DUMMYFUNCTION("""COMPUTED_VALUE"""),106644)</f>
        <v>106644</v>
      </c>
      <c r="B5666" s="4">
        <f ca="1">IFERROR(__xludf.DUMMYFUNCTION("""COMPUTED_VALUE"""),44811)</f>
        <v>44811</v>
      </c>
      <c r="C5666" t="str">
        <f ca="1">IFERROR(__xludf.DUMMYFUNCTION("""COMPUTED_VALUE"""),"БУ Г. ОМСКА ""УДХБ"" 144-СТР от 01.07.2022")</f>
        <v>БУ Г. ОМСКА "УДХБ" 144-СТР от 01.07.2022</v>
      </c>
      <c r="D56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6" t="str">
        <f ca="1">IFERROR(__xludf.DUMMYFUNCTION("""COMPUTED_VALUE"""),"Новый")</f>
        <v>Новый</v>
      </c>
      <c r="G5666" s="68"/>
      <c r="K5666" s="68"/>
    </row>
    <row r="5667" spans="1:11" ht="12.75">
      <c r="A5667" s="69">
        <f ca="1">IFERROR(__xludf.DUMMYFUNCTION("""COMPUTED_VALUE"""),106645)</f>
        <v>106645</v>
      </c>
      <c r="B5667" s="4">
        <f ca="1">IFERROR(__xludf.DUMMYFUNCTION("""COMPUTED_VALUE"""),44811)</f>
        <v>44811</v>
      </c>
      <c r="C5667" t="str">
        <f ca="1">IFERROR(__xludf.DUMMYFUNCTION("""COMPUTED_VALUE"""),"БУ Г. ОМСКА ""УДХБ"" 144-СТР от 01.07.2022")</f>
        <v>БУ Г. ОМСКА "УДХБ" 144-СТР от 01.07.2022</v>
      </c>
      <c r="D56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7" t="str">
        <f ca="1">IFERROR(__xludf.DUMMYFUNCTION("""COMPUTED_VALUE"""),"Новый")</f>
        <v>Новый</v>
      </c>
      <c r="G5667" s="68"/>
      <c r="K5667" s="68"/>
    </row>
    <row r="5668" spans="1:11" ht="12.75">
      <c r="A5668" s="69">
        <f ca="1">IFERROR(__xludf.DUMMYFUNCTION("""COMPUTED_VALUE"""),106646)</f>
        <v>106646</v>
      </c>
      <c r="B5668" s="4">
        <f ca="1">IFERROR(__xludf.DUMMYFUNCTION("""COMPUTED_VALUE"""),44811)</f>
        <v>44811</v>
      </c>
      <c r="C5668" t="str">
        <f ca="1">IFERROR(__xludf.DUMMYFUNCTION("""COMPUTED_VALUE"""),"БУ Г. ОМСКА ""УДХБ"" 144-СТР от 01.07.2022")</f>
        <v>БУ Г. ОМСКА "УДХБ" 144-СТР от 01.07.2022</v>
      </c>
      <c r="D56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8" t="str">
        <f ca="1">IFERROR(__xludf.DUMMYFUNCTION("""COMPUTED_VALUE"""),"Новый")</f>
        <v>Новый</v>
      </c>
      <c r="G5668" s="68"/>
      <c r="K5668" s="68"/>
    </row>
    <row r="5669" spans="1:11" ht="12.75">
      <c r="A5669" s="69">
        <f ca="1">IFERROR(__xludf.DUMMYFUNCTION("""COMPUTED_VALUE"""),106647)</f>
        <v>106647</v>
      </c>
      <c r="B5669" s="4">
        <f ca="1">IFERROR(__xludf.DUMMYFUNCTION("""COMPUTED_VALUE"""),44811)</f>
        <v>44811</v>
      </c>
      <c r="C5669" t="str">
        <f ca="1">IFERROR(__xludf.DUMMYFUNCTION("""COMPUTED_VALUE"""),"БУ Г. ОМСКА ""УДХБ"" 144-СТР от 01.07.2022")</f>
        <v>БУ Г. ОМСКА "УДХБ" 144-СТР от 01.07.2022</v>
      </c>
      <c r="D56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69" t="str">
        <f ca="1">IFERROR(__xludf.DUMMYFUNCTION("""COMPUTED_VALUE"""),"Новый")</f>
        <v>Новый</v>
      </c>
      <c r="G5669" s="68"/>
      <c r="K5669" s="68"/>
    </row>
    <row r="5670" spans="1:11" ht="12.75">
      <c r="A5670" s="69">
        <f ca="1">IFERROR(__xludf.DUMMYFUNCTION("""COMPUTED_VALUE"""),106648)</f>
        <v>106648</v>
      </c>
      <c r="B5670" s="4">
        <f ca="1">IFERROR(__xludf.DUMMYFUNCTION("""COMPUTED_VALUE"""),44811)</f>
        <v>44811</v>
      </c>
      <c r="C5670" t="str">
        <f ca="1">IFERROR(__xludf.DUMMYFUNCTION("""COMPUTED_VALUE"""),"БУ Г. ОМСКА ""УДХБ"" 144-СТР от 01.07.2022")</f>
        <v>БУ Г. ОМСКА "УДХБ" 144-СТР от 01.07.2022</v>
      </c>
      <c r="D56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0" t="str">
        <f ca="1">IFERROR(__xludf.DUMMYFUNCTION("""COMPUTED_VALUE"""),"Новый")</f>
        <v>Новый</v>
      </c>
      <c r="G5670" s="68"/>
      <c r="K5670" s="68"/>
    </row>
    <row r="5671" spans="1:11" ht="12.75">
      <c r="A5671" s="69">
        <f ca="1">IFERROR(__xludf.DUMMYFUNCTION("""COMPUTED_VALUE"""),106649)</f>
        <v>106649</v>
      </c>
      <c r="B5671" s="4">
        <f ca="1">IFERROR(__xludf.DUMMYFUNCTION("""COMPUTED_VALUE"""),44811)</f>
        <v>44811</v>
      </c>
      <c r="C5671" t="str">
        <f ca="1">IFERROR(__xludf.DUMMYFUNCTION("""COMPUTED_VALUE"""),"БУ Г. ОМСКА ""УДХБ"" 144-СТР от 01.07.2022")</f>
        <v>БУ Г. ОМСКА "УДХБ" 144-СТР от 01.07.2022</v>
      </c>
      <c r="D56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1" t="str">
        <f ca="1">IFERROR(__xludf.DUMMYFUNCTION("""COMPUTED_VALUE"""),"Новый")</f>
        <v>Новый</v>
      </c>
      <c r="G5671" s="68"/>
      <c r="K5671" s="68"/>
    </row>
    <row r="5672" spans="1:11" ht="12.75">
      <c r="A5672" s="69">
        <f ca="1">IFERROR(__xludf.DUMMYFUNCTION("""COMPUTED_VALUE"""),106650)</f>
        <v>106650</v>
      </c>
      <c r="B5672" s="4">
        <f ca="1">IFERROR(__xludf.DUMMYFUNCTION("""COMPUTED_VALUE"""),44811)</f>
        <v>44811</v>
      </c>
      <c r="C5672" t="str">
        <f ca="1">IFERROR(__xludf.DUMMYFUNCTION("""COMPUTED_VALUE"""),"БУ Г. ОМСКА ""УДХБ"" 144-СТР от 01.07.2022")</f>
        <v>БУ Г. ОМСКА "УДХБ" 144-СТР от 01.07.2022</v>
      </c>
      <c r="D56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2" t="str">
        <f ca="1">IFERROR(__xludf.DUMMYFUNCTION("""COMPUTED_VALUE"""),"Новый")</f>
        <v>Новый</v>
      </c>
      <c r="G5672" s="68"/>
      <c r="K5672" s="68"/>
    </row>
    <row r="5673" spans="1:11" ht="12.75">
      <c r="A5673" s="69">
        <f ca="1">IFERROR(__xludf.DUMMYFUNCTION("""COMPUTED_VALUE"""),106651)</f>
        <v>106651</v>
      </c>
      <c r="B5673" s="4">
        <f ca="1">IFERROR(__xludf.DUMMYFUNCTION("""COMPUTED_VALUE"""),44811)</f>
        <v>44811</v>
      </c>
      <c r="C5673" t="str">
        <f ca="1">IFERROR(__xludf.DUMMYFUNCTION("""COMPUTED_VALUE"""),"БУ Г. ОМСКА ""УДХБ"" 144-СТР от 01.07.2022")</f>
        <v>БУ Г. ОМСКА "УДХБ" 144-СТР от 01.07.2022</v>
      </c>
      <c r="D56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3" t="str">
        <f ca="1">IFERROR(__xludf.DUMMYFUNCTION("""COMPUTED_VALUE"""),"Новый")</f>
        <v>Новый</v>
      </c>
      <c r="G5673" s="68"/>
      <c r="K5673" s="68"/>
    </row>
    <row r="5674" spans="1:11" ht="12.75">
      <c r="A5674" s="69">
        <f ca="1">IFERROR(__xludf.DUMMYFUNCTION("""COMPUTED_VALUE"""),106652)</f>
        <v>106652</v>
      </c>
      <c r="B5674" s="4">
        <f ca="1">IFERROR(__xludf.DUMMYFUNCTION("""COMPUTED_VALUE"""),44811)</f>
        <v>44811</v>
      </c>
      <c r="C5674" t="str">
        <f ca="1">IFERROR(__xludf.DUMMYFUNCTION("""COMPUTED_VALUE"""),"БУ Г. ОМСКА ""УДХБ"" 144-СТР от 01.07.2022")</f>
        <v>БУ Г. ОМСКА "УДХБ" 144-СТР от 01.07.2022</v>
      </c>
      <c r="D56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4" t="str">
        <f ca="1">IFERROR(__xludf.DUMMYFUNCTION("""COMPUTED_VALUE"""),"Новый")</f>
        <v>Новый</v>
      </c>
      <c r="G5674" s="68"/>
      <c r="K5674" s="68"/>
    </row>
    <row r="5675" spans="1:11" ht="12.75">
      <c r="A5675" s="69">
        <f ca="1">IFERROR(__xludf.DUMMYFUNCTION("""COMPUTED_VALUE"""),106653)</f>
        <v>106653</v>
      </c>
      <c r="B5675" s="4">
        <f ca="1">IFERROR(__xludf.DUMMYFUNCTION("""COMPUTED_VALUE"""),44811)</f>
        <v>44811</v>
      </c>
      <c r="C5675" t="str">
        <f ca="1">IFERROR(__xludf.DUMMYFUNCTION("""COMPUTED_VALUE"""),"БУ Г. ОМСКА ""УДХБ"" 144-СТР от 01.07.2022")</f>
        <v>БУ Г. ОМСКА "УДХБ" 144-СТР от 01.07.2022</v>
      </c>
      <c r="D56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5" t="str">
        <f ca="1">IFERROR(__xludf.DUMMYFUNCTION("""COMPUTED_VALUE"""),"Новый")</f>
        <v>Новый</v>
      </c>
      <c r="G5675" s="68"/>
      <c r="K5675" s="68"/>
    </row>
    <row r="5676" spans="1:11" ht="12.75">
      <c r="A5676" s="69">
        <f ca="1">IFERROR(__xludf.DUMMYFUNCTION("""COMPUTED_VALUE"""),106654)</f>
        <v>106654</v>
      </c>
      <c r="B5676" s="4">
        <f ca="1">IFERROR(__xludf.DUMMYFUNCTION("""COMPUTED_VALUE"""),44811)</f>
        <v>44811</v>
      </c>
      <c r="C5676" t="str">
        <f ca="1">IFERROR(__xludf.DUMMYFUNCTION("""COMPUTED_VALUE"""),"БУ Г. ОМСКА ""УДХБ"" 144-СТР от 01.07.2022")</f>
        <v>БУ Г. ОМСКА "УДХБ" 144-СТР от 01.07.2022</v>
      </c>
      <c r="D56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6" t="str">
        <f ca="1">IFERROR(__xludf.DUMMYFUNCTION("""COMPUTED_VALUE"""),"Новый")</f>
        <v>Новый</v>
      </c>
      <c r="G5676" s="68"/>
      <c r="K5676" s="68"/>
    </row>
    <row r="5677" spans="1:11" ht="12.75">
      <c r="A5677" s="69">
        <f ca="1">IFERROR(__xludf.DUMMYFUNCTION("""COMPUTED_VALUE"""),106655)</f>
        <v>106655</v>
      </c>
      <c r="B5677" s="4">
        <f ca="1">IFERROR(__xludf.DUMMYFUNCTION("""COMPUTED_VALUE"""),44811)</f>
        <v>44811</v>
      </c>
      <c r="C5677" t="str">
        <f ca="1">IFERROR(__xludf.DUMMYFUNCTION("""COMPUTED_VALUE"""),"БУ Г. ОМСКА ""УДХБ"" 144-СТР от 01.07.2022")</f>
        <v>БУ Г. ОМСКА "УДХБ" 144-СТР от 01.07.2022</v>
      </c>
      <c r="D56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7" t="str">
        <f ca="1">IFERROR(__xludf.DUMMYFUNCTION("""COMPUTED_VALUE"""),"Новый")</f>
        <v>Новый</v>
      </c>
      <c r="G5677" s="68"/>
      <c r="K5677" s="68"/>
    </row>
    <row r="5678" spans="1:11" ht="12.75">
      <c r="A5678" s="69">
        <f ca="1">IFERROR(__xludf.DUMMYFUNCTION("""COMPUTED_VALUE"""),106656)</f>
        <v>106656</v>
      </c>
      <c r="B5678" s="4">
        <f ca="1">IFERROR(__xludf.DUMMYFUNCTION("""COMPUTED_VALUE"""),44811)</f>
        <v>44811</v>
      </c>
      <c r="C5678" t="str">
        <f ca="1">IFERROR(__xludf.DUMMYFUNCTION("""COMPUTED_VALUE"""),"БУ Г. ОМСКА ""УДХБ"" 144-СТР от 01.07.2022")</f>
        <v>БУ Г. ОМСКА "УДХБ" 144-СТР от 01.07.2022</v>
      </c>
      <c r="D56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8" t="str">
        <f ca="1">IFERROR(__xludf.DUMMYFUNCTION("""COMPUTED_VALUE"""),"Новый")</f>
        <v>Новый</v>
      </c>
      <c r="G5678" s="68"/>
      <c r="K5678" s="68"/>
    </row>
    <row r="5679" spans="1:11" ht="12.75">
      <c r="A5679" s="69">
        <f ca="1">IFERROR(__xludf.DUMMYFUNCTION("""COMPUTED_VALUE"""),106657)</f>
        <v>106657</v>
      </c>
      <c r="B5679" s="4">
        <f ca="1">IFERROR(__xludf.DUMMYFUNCTION("""COMPUTED_VALUE"""),44811)</f>
        <v>44811</v>
      </c>
      <c r="C5679" t="str">
        <f ca="1">IFERROR(__xludf.DUMMYFUNCTION("""COMPUTED_VALUE"""),"БУ Г. ОМСКА ""УДХБ"" 144-СТР от 01.07.2022")</f>
        <v>БУ Г. ОМСКА "УДХБ" 144-СТР от 01.07.2022</v>
      </c>
      <c r="D56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79" t="str">
        <f ca="1">IFERROR(__xludf.DUMMYFUNCTION("""COMPUTED_VALUE"""),"Новый")</f>
        <v>Новый</v>
      </c>
      <c r="G5679" s="68"/>
      <c r="K5679" s="68"/>
    </row>
    <row r="5680" spans="1:11" ht="12.75">
      <c r="A5680" s="69">
        <f ca="1">IFERROR(__xludf.DUMMYFUNCTION("""COMPUTED_VALUE"""),106658)</f>
        <v>106658</v>
      </c>
      <c r="B5680" s="4">
        <f ca="1">IFERROR(__xludf.DUMMYFUNCTION("""COMPUTED_VALUE"""),44811)</f>
        <v>44811</v>
      </c>
      <c r="C5680" t="str">
        <f ca="1">IFERROR(__xludf.DUMMYFUNCTION("""COMPUTED_VALUE"""),"БУ Г. ОМСКА ""УДХБ"" 144-СТР от 01.07.2022")</f>
        <v>БУ Г. ОМСКА "УДХБ" 144-СТР от 01.07.2022</v>
      </c>
      <c r="D56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0" t="str">
        <f ca="1">IFERROR(__xludf.DUMMYFUNCTION("""COMPUTED_VALUE"""),"Новый")</f>
        <v>Новый</v>
      </c>
      <c r="G5680" s="68"/>
      <c r="K5680" s="68"/>
    </row>
    <row r="5681" spans="1:11" ht="12.75">
      <c r="A5681" s="69">
        <f ca="1">IFERROR(__xludf.DUMMYFUNCTION("""COMPUTED_VALUE"""),106659)</f>
        <v>106659</v>
      </c>
      <c r="B5681" s="4">
        <f ca="1">IFERROR(__xludf.DUMMYFUNCTION("""COMPUTED_VALUE"""),44811)</f>
        <v>44811</v>
      </c>
      <c r="C5681" t="str">
        <f ca="1">IFERROR(__xludf.DUMMYFUNCTION("""COMPUTED_VALUE"""),"БУ Г. ОМСКА ""УДХБ"" 144-СТР от 01.07.2022")</f>
        <v>БУ Г. ОМСКА "УДХБ" 144-СТР от 01.07.2022</v>
      </c>
      <c r="D56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1" t="str">
        <f ca="1">IFERROR(__xludf.DUMMYFUNCTION("""COMPUTED_VALUE"""),"Новый")</f>
        <v>Новый</v>
      </c>
      <c r="G5681" s="68"/>
      <c r="K5681" s="68"/>
    </row>
    <row r="5682" spans="1:11" ht="12.75">
      <c r="A5682" s="69">
        <f ca="1">IFERROR(__xludf.DUMMYFUNCTION("""COMPUTED_VALUE"""),106660)</f>
        <v>106660</v>
      </c>
      <c r="B5682" s="4">
        <f ca="1">IFERROR(__xludf.DUMMYFUNCTION("""COMPUTED_VALUE"""),44811)</f>
        <v>44811</v>
      </c>
      <c r="C5682" t="str">
        <f ca="1">IFERROR(__xludf.DUMMYFUNCTION("""COMPUTED_VALUE"""),"БУ Г. ОМСКА ""УДХБ"" 144-СТР от 01.07.2022")</f>
        <v>БУ Г. ОМСКА "УДХБ" 144-СТР от 01.07.2022</v>
      </c>
      <c r="D56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2" t="str">
        <f ca="1">IFERROR(__xludf.DUMMYFUNCTION("""COMPUTED_VALUE"""),"Новый")</f>
        <v>Новый</v>
      </c>
      <c r="G5682" s="68"/>
      <c r="K5682" s="68"/>
    </row>
    <row r="5683" spans="1:11" ht="12.75">
      <c r="A5683" s="69">
        <f ca="1">IFERROR(__xludf.DUMMYFUNCTION("""COMPUTED_VALUE"""),106661)</f>
        <v>106661</v>
      </c>
      <c r="B5683" s="4">
        <f ca="1">IFERROR(__xludf.DUMMYFUNCTION("""COMPUTED_VALUE"""),44811)</f>
        <v>44811</v>
      </c>
      <c r="C5683" t="str">
        <f ca="1">IFERROR(__xludf.DUMMYFUNCTION("""COMPUTED_VALUE"""),"БУ Г. ОМСКА ""УДХБ"" 144-СТР от 01.07.2022")</f>
        <v>БУ Г. ОМСКА "УДХБ" 144-СТР от 01.07.2022</v>
      </c>
      <c r="D56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3" t="str">
        <f ca="1">IFERROR(__xludf.DUMMYFUNCTION("""COMPUTED_VALUE"""),"Новый")</f>
        <v>Новый</v>
      </c>
      <c r="G5683" s="68"/>
      <c r="K5683" s="68"/>
    </row>
    <row r="5684" spans="1:11" ht="12.75">
      <c r="A5684" s="69">
        <f ca="1">IFERROR(__xludf.DUMMYFUNCTION("""COMPUTED_VALUE"""),106662)</f>
        <v>106662</v>
      </c>
      <c r="B5684" s="4">
        <f ca="1">IFERROR(__xludf.DUMMYFUNCTION("""COMPUTED_VALUE"""),44811)</f>
        <v>44811</v>
      </c>
      <c r="C5684" t="str">
        <f ca="1">IFERROR(__xludf.DUMMYFUNCTION("""COMPUTED_VALUE"""),"БУ Г. ОМСКА ""УДХБ"" 144-СТР от 01.07.2022")</f>
        <v>БУ Г. ОМСКА "УДХБ" 144-СТР от 01.07.2022</v>
      </c>
      <c r="D56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4" t="str">
        <f ca="1">IFERROR(__xludf.DUMMYFUNCTION("""COMPUTED_VALUE"""),"Новый")</f>
        <v>Новый</v>
      </c>
      <c r="G5684" s="68"/>
      <c r="K5684" s="68"/>
    </row>
    <row r="5685" spans="1:11" ht="12.75">
      <c r="A5685" s="69">
        <f ca="1">IFERROR(__xludf.DUMMYFUNCTION("""COMPUTED_VALUE"""),106663)</f>
        <v>106663</v>
      </c>
      <c r="B5685" s="4">
        <f ca="1">IFERROR(__xludf.DUMMYFUNCTION("""COMPUTED_VALUE"""),44811)</f>
        <v>44811</v>
      </c>
      <c r="C5685" t="str">
        <f ca="1">IFERROR(__xludf.DUMMYFUNCTION("""COMPUTED_VALUE"""),"БУ Г. ОМСКА ""УДХБ"" 144-СТР от 01.07.2022")</f>
        <v>БУ Г. ОМСКА "УДХБ" 144-СТР от 01.07.2022</v>
      </c>
      <c r="D56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5" t="str">
        <f ca="1">IFERROR(__xludf.DUMMYFUNCTION("""COMPUTED_VALUE"""),"Новый")</f>
        <v>Новый</v>
      </c>
      <c r="G5685" s="68"/>
      <c r="K5685" s="68"/>
    </row>
    <row r="5686" spans="1:11" ht="12.75">
      <c r="A5686" s="69">
        <f ca="1">IFERROR(__xludf.DUMMYFUNCTION("""COMPUTED_VALUE"""),106664)</f>
        <v>106664</v>
      </c>
      <c r="B5686" s="4">
        <f ca="1">IFERROR(__xludf.DUMMYFUNCTION("""COMPUTED_VALUE"""),44811)</f>
        <v>44811</v>
      </c>
      <c r="C5686" t="str">
        <f ca="1">IFERROR(__xludf.DUMMYFUNCTION("""COMPUTED_VALUE"""),"БУ Г. ОМСКА ""УДХБ"" 144-СТР от 01.07.2022")</f>
        <v>БУ Г. ОМСКА "УДХБ" 144-СТР от 01.07.2022</v>
      </c>
      <c r="D56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6" t="str">
        <f ca="1">IFERROR(__xludf.DUMMYFUNCTION("""COMPUTED_VALUE"""),"Новый")</f>
        <v>Новый</v>
      </c>
      <c r="G5686" s="68"/>
      <c r="K5686" s="68"/>
    </row>
    <row r="5687" spans="1:11" ht="12.75">
      <c r="A5687" s="69">
        <f ca="1">IFERROR(__xludf.DUMMYFUNCTION("""COMPUTED_VALUE"""),106665)</f>
        <v>106665</v>
      </c>
      <c r="B5687" s="4">
        <f ca="1">IFERROR(__xludf.DUMMYFUNCTION("""COMPUTED_VALUE"""),44811)</f>
        <v>44811</v>
      </c>
      <c r="C5687" t="str">
        <f ca="1">IFERROR(__xludf.DUMMYFUNCTION("""COMPUTED_VALUE"""),"БУ Г. ОМСКА ""УДХБ"" 144-СТР от 01.07.2022")</f>
        <v>БУ Г. ОМСКА "УДХБ" 144-СТР от 01.07.2022</v>
      </c>
      <c r="D56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7" t="str">
        <f ca="1">IFERROR(__xludf.DUMMYFUNCTION("""COMPUTED_VALUE"""),"Новый")</f>
        <v>Новый</v>
      </c>
      <c r="G5687" s="68"/>
      <c r="K5687" s="68"/>
    </row>
    <row r="5688" spans="1:11" ht="12.75">
      <c r="A5688" s="69">
        <f ca="1">IFERROR(__xludf.DUMMYFUNCTION("""COMPUTED_VALUE"""),106666)</f>
        <v>106666</v>
      </c>
      <c r="B5688" s="4">
        <f ca="1">IFERROR(__xludf.DUMMYFUNCTION("""COMPUTED_VALUE"""),44811)</f>
        <v>44811</v>
      </c>
      <c r="C5688" t="str">
        <f ca="1">IFERROR(__xludf.DUMMYFUNCTION("""COMPUTED_VALUE"""),"БУ Г. ОМСКА ""УДХБ"" 144-СТР от 01.07.2022")</f>
        <v>БУ Г. ОМСКА "УДХБ" 144-СТР от 01.07.2022</v>
      </c>
      <c r="D56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8" t="str">
        <f ca="1">IFERROR(__xludf.DUMMYFUNCTION("""COMPUTED_VALUE"""),"Новый")</f>
        <v>Новый</v>
      </c>
      <c r="G5688" s="68"/>
      <c r="K5688" s="68"/>
    </row>
    <row r="5689" spans="1:11" ht="12.75">
      <c r="A5689" s="69">
        <f ca="1">IFERROR(__xludf.DUMMYFUNCTION("""COMPUTED_VALUE"""),106667)</f>
        <v>106667</v>
      </c>
      <c r="B5689" s="4">
        <f ca="1">IFERROR(__xludf.DUMMYFUNCTION("""COMPUTED_VALUE"""),44811)</f>
        <v>44811</v>
      </c>
      <c r="C5689" t="str">
        <f ca="1">IFERROR(__xludf.DUMMYFUNCTION("""COMPUTED_VALUE"""),"БУ Г. ОМСКА ""УДХБ"" 144-СТР от 01.07.2022")</f>
        <v>БУ Г. ОМСКА "УДХБ" 144-СТР от 01.07.2022</v>
      </c>
      <c r="D56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89" t="str">
        <f ca="1">IFERROR(__xludf.DUMMYFUNCTION("""COMPUTED_VALUE"""),"Новый")</f>
        <v>Новый</v>
      </c>
      <c r="G5689" s="68"/>
      <c r="K5689" s="68"/>
    </row>
    <row r="5690" spans="1:11" ht="12.75">
      <c r="A5690" s="69">
        <f ca="1">IFERROR(__xludf.DUMMYFUNCTION("""COMPUTED_VALUE"""),106668)</f>
        <v>106668</v>
      </c>
      <c r="B5690" s="4">
        <f ca="1">IFERROR(__xludf.DUMMYFUNCTION("""COMPUTED_VALUE"""),44811)</f>
        <v>44811</v>
      </c>
      <c r="C5690" t="str">
        <f ca="1">IFERROR(__xludf.DUMMYFUNCTION("""COMPUTED_VALUE"""),"БУ Г. ОМСКА ""УДХБ"" 144-СТР от 01.07.2022")</f>
        <v>БУ Г. ОМСКА "УДХБ" 144-СТР от 01.07.2022</v>
      </c>
      <c r="D56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0" t="str">
        <f ca="1">IFERROR(__xludf.DUMMYFUNCTION("""COMPUTED_VALUE"""),"Новый")</f>
        <v>Новый</v>
      </c>
      <c r="G5690" s="68"/>
      <c r="K5690" s="68"/>
    </row>
    <row r="5691" spans="1:11" ht="12.75">
      <c r="A5691" s="69">
        <f ca="1">IFERROR(__xludf.DUMMYFUNCTION("""COMPUTED_VALUE"""),106669)</f>
        <v>106669</v>
      </c>
      <c r="B5691" s="4">
        <f ca="1">IFERROR(__xludf.DUMMYFUNCTION("""COMPUTED_VALUE"""),44811)</f>
        <v>44811</v>
      </c>
      <c r="C5691" t="str">
        <f ca="1">IFERROR(__xludf.DUMMYFUNCTION("""COMPUTED_VALUE"""),"БУ Г. ОМСКА ""УДХБ"" 144-СТР от 01.07.2022")</f>
        <v>БУ Г. ОМСКА "УДХБ" 144-СТР от 01.07.2022</v>
      </c>
      <c r="D56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1" t="str">
        <f ca="1">IFERROR(__xludf.DUMMYFUNCTION("""COMPUTED_VALUE"""),"Новый")</f>
        <v>Новый</v>
      </c>
      <c r="G5691" s="68"/>
      <c r="K5691" s="68"/>
    </row>
    <row r="5692" spans="1:11" ht="12.75">
      <c r="A5692" s="69">
        <f ca="1">IFERROR(__xludf.DUMMYFUNCTION("""COMPUTED_VALUE"""),106670)</f>
        <v>106670</v>
      </c>
      <c r="B5692" s="4">
        <f ca="1">IFERROR(__xludf.DUMMYFUNCTION("""COMPUTED_VALUE"""),44811)</f>
        <v>44811</v>
      </c>
      <c r="C5692" t="str">
        <f ca="1">IFERROR(__xludf.DUMMYFUNCTION("""COMPUTED_VALUE"""),"БУ Г. ОМСКА ""УДХБ"" 144-СТР от 01.07.2022")</f>
        <v>БУ Г. ОМСКА "УДХБ" 144-СТР от 01.07.2022</v>
      </c>
      <c r="D56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2" t="str">
        <f ca="1">IFERROR(__xludf.DUMMYFUNCTION("""COMPUTED_VALUE"""),"Новый")</f>
        <v>Новый</v>
      </c>
      <c r="G5692" s="68"/>
      <c r="K5692" s="68"/>
    </row>
    <row r="5693" spans="1:11" ht="12.75">
      <c r="A5693" s="69">
        <f ca="1">IFERROR(__xludf.DUMMYFUNCTION("""COMPUTED_VALUE"""),106671)</f>
        <v>106671</v>
      </c>
      <c r="B5693" s="4">
        <f ca="1">IFERROR(__xludf.DUMMYFUNCTION("""COMPUTED_VALUE"""),44811)</f>
        <v>44811</v>
      </c>
      <c r="C5693" t="str">
        <f ca="1">IFERROR(__xludf.DUMMYFUNCTION("""COMPUTED_VALUE"""),"БУ Г. ОМСКА ""УДХБ"" 144-СТР от 01.07.2022")</f>
        <v>БУ Г. ОМСКА "УДХБ" 144-СТР от 01.07.2022</v>
      </c>
      <c r="D56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3" t="str">
        <f ca="1">IFERROR(__xludf.DUMMYFUNCTION("""COMPUTED_VALUE"""),"Новый")</f>
        <v>Новый</v>
      </c>
      <c r="G5693" s="68"/>
      <c r="K5693" s="68"/>
    </row>
    <row r="5694" spans="1:11" ht="12.75">
      <c r="A5694" s="69">
        <f ca="1">IFERROR(__xludf.DUMMYFUNCTION("""COMPUTED_VALUE"""),106672)</f>
        <v>106672</v>
      </c>
      <c r="B5694" s="4">
        <f ca="1">IFERROR(__xludf.DUMMYFUNCTION("""COMPUTED_VALUE"""),44811)</f>
        <v>44811</v>
      </c>
      <c r="C5694" t="str">
        <f ca="1">IFERROR(__xludf.DUMMYFUNCTION("""COMPUTED_VALUE"""),"БУ Г. ОМСКА ""УДХБ"" 144-СТР от 01.07.2022")</f>
        <v>БУ Г. ОМСКА "УДХБ" 144-СТР от 01.07.2022</v>
      </c>
      <c r="D56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4" t="str">
        <f ca="1">IFERROR(__xludf.DUMMYFUNCTION("""COMPUTED_VALUE"""),"Новый")</f>
        <v>Новый</v>
      </c>
      <c r="G5694" s="68"/>
      <c r="K5694" s="68"/>
    </row>
    <row r="5695" spans="1:11" ht="12.75">
      <c r="A5695" s="69">
        <f ca="1">IFERROR(__xludf.DUMMYFUNCTION("""COMPUTED_VALUE"""),106673)</f>
        <v>106673</v>
      </c>
      <c r="B5695" s="4">
        <f ca="1">IFERROR(__xludf.DUMMYFUNCTION("""COMPUTED_VALUE"""),44811)</f>
        <v>44811</v>
      </c>
      <c r="C5695" t="str">
        <f ca="1">IFERROR(__xludf.DUMMYFUNCTION("""COMPUTED_VALUE"""),"БУ Г. ОМСКА ""УДХБ"" 144-СТР от 01.07.2022")</f>
        <v>БУ Г. ОМСКА "УДХБ" 144-СТР от 01.07.2022</v>
      </c>
      <c r="D56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5" t="str">
        <f ca="1">IFERROR(__xludf.DUMMYFUNCTION("""COMPUTED_VALUE"""),"Новый")</f>
        <v>Новый</v>
      </c>
      <c r="G5695" s="68"/>
      <c r="K5695" s="68"/>
    </row>
    <row r="5696" spans="1:11" ht="12.75">
      <c r="A5696" s="69">
        <f ca="1">IFERROR(__xludf.DUMMYFUNCTION("""COMPUTED_VALUE"""),106674)</f>
        <v>106674</v>
      </c>
      <c r="B5696" s="4">
        <f ca="1">IFERROR(__xludf.DUMMYFUNCTION("""COMPUTED_VALUE"""),44811)</f>
        <v>44811</v>
      </c>
      <c r="C5696" t="str">
        <f ca="1">IFERROR(__xludf.DUMMYFUNCTION("""COMPUTED_VALUE"""),"БУ Г. ОМСКА ""УДХБ"" 144-СТР от 01.07.2022")</f>
        <v>БУ Г. ОМСКА "УДХБ" 144-СТР от 01.07.2022</v>
      </c>
      <c r="D56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6" t="str">
        <f ca="1">IFERROR(__xludf.DUMMYFUNCTION("""COMPUTED_VALUE"""),"Новый")</f>
        <v>Новый</v>
      </c>
      <c r="G5696" s="68"/>
      <c r="K5696" s="68"/>
    </row>
    <row r="5697" spans="1:11" ht="12.75">
      <c r="A5697" s="69">
        <f ca="1">IFERROR(__xludf.DUMMYFUNCTION("""COMPUTED_VALUE"""),106675)</f>
        <v>106675</v>
      </c>
      <c r="B5697" s="4">
        <f ca="1">IFERROR(__xludf.DUMMYFUNCTION("""COMPUTED_VALUE"""),44811)</f>
        <v>44811</v>
      </c>
      <c r="C5697" t="str">
        <f ca="1">IFERROR(__xludf.DUMMYFUNCTION("""COMPUTED_VALUE"""),"БУ Г. ОМСКА ""УДХБ"" 144-СТР от 01.07.2022")</f>
        <v>БУ Г. ОМСКА "УДХБ" 144-СТР от 01.07.2022</v>
      </c>
      <c r="D56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7" t="str">
        <f ca="1">IFERROR(__xludf.DUMMYFUNCTION("""COMPUTED_VALUE"""),"Новый")</f>
        <v>Новый</v>
      </c>
      <c r="G5697" s="68"/>
      <c r="K5697" s="68"/>
    </row>
    <row r="5698" spans="1:11" ht="12.75">
      <c r="A5698" s="69">
        <f ca="1">IFERROR(__xludf.DUMMYFUNCTION("""COMPUTED_VALUE"""),106676)</f>
        <v>106676</v>
      </c>
      <c r="B5698" s="4">
        <f ca="1">IFERROR(__xludf.DUMMYFUNCTION("""COMPUTED_VALUE"""),44811)</f>
        <v>44811</v>
      </c>
      <c r="C5698" t="str">
        <f ca="1">IFERROR(__xludf.DUMMYFUNCTION("""COMPUTED_VALUE"""),"БУ Г. ОМСКА ""УДХБ"" 144-СТР от 01.07.2022")</f>
        <v>БУ Г. ОМСКА "УДХБ" 144-СТР от 01.07.2022</v>
      </c>
      <c r="D56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8" t="str">
        <f ca="1">IFERROR(__xludf.DUMMYFUNCTION("""COMPUTED_VALUE"""),"Новый")</f>
        <v>Новый</v>
      </c>
      <c r="G5698" s="68"/>
      <c r="K5698" s="68"/>
    </row>
    <row r="5699" spans="1:11" ht="12.75">
      <c r="A5699" s="69">
        <f ca="1">IFERROR(__xludf.DUMMYFUNCTION("""COMPUTED_VALUE"""),106677)</f>
        <v>106677</v>
      </c>
      <c r="B5699" s="4">
        <f ca="1">IFERROR(__xludf.DUMMYFUNCTION("""COMPUTED_VALUE"""),44811)</f>
        <v>44811</v>
      </c>
      <c r="C5699" t="str">
        <f ca="1">IFERROR(__xludf.DUMMYFUNCTION("""COMPUTED_VALUE"""),"БУ Г. ОМСКА ""УДХБ"" 144-СТР от 01.07.2022")</f>
        <v>БУ Г. ОМСКА "УДХБ" 144-СТР от 01.07.2022</v>
      </c>
      <c r="D56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699" t="str">
        <f ca="1">IFERROR(__xludf.DUMMYFUNCTION("""COMPUTED_VALUE"""),"Новый")</f>
        <v>Новый</v>
      </c>
      <c r="G5699" s="68"/>
      <c r="K5699" s="68"/>
    </row>
    <row r="5700" spans="1:11" ht="12.75">
      <c r="A5700" s="69">
        <f ca="1">IFERROR(__xludf.DUMMYFUNCTION("""COMPUTED_VALUE"""),106678)</f>
        <v>106678</v>
      </c>
      <c r="B5700" s="4">
        <f ca="1">IFERROR(__xludf.DUMMYFUNCTION("""COMPUTED_VALUE"""),44811)</f>
        <v>44811</v>
      </c>
      <c r="C5700" t="str">
        <f ca="1">IFERROR(__xludf.DUMMYFUNCTION("""COMPUTED_VALUE"""),"БУ Г. ОМСКА ""УДХБ"" 144-СТР от 01.07.2022")</f>
        <v>БУ Г. ОМСКА "УДХБ" 144-СТР от 01.07.2022</v>
      </c>
      <c r="D57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0" t="str">
        <f ca="1">IFERROR(__xludf.DUMMYFUNCTION("""COMPUTED_VALUE"""),"Новый")</f>
        <v>Новый</v>
      </c>
      <c r="G5700" s="68"/>
      <c r="K5700" s="68"/>
    </row>
    <row r="5701" spans="1:11" ht="12.75">
      <c r="A5701" s="69">
        <f ca="1">IFERROR(__xludf.DUMMYFUNCTION("""COMPUTED_VALUE"""),106679)</f>
        <v>106679</v>
      </c>
      <c r="B5701" s="4">
        <f ca="1">IFERROR(__xludf.DUMMYFUNCTION("""COMPUTED_VALUE"""),44811)</f>
        <v>44811</v>
      </c>
      <c r="C5701" t="str">
        <f ca="1">IFERROR(__xludf.DUMMYFUNCTION("""COMPUTED_VALUE"""),"БУ Г. ОМСКА ""УДХБ"" 144-СТР от 01.07.2022")</f>
        <v>БУ Г. ОМСКА "УДХБ" 144-СТР от 01.07.2022</v>
      </c>
      <c r="D57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1" t="str">
        <f ca="1">IFERROR(__xludf.DUMMYFUNCTION("""COMPUTED_VALUE"""),"Новый")</f>
        <v>Новый</v>
      </c>
      <c r="G5701" s="68"/>
      <c r="K5701" s="68"/>
    </row>
    <row r="5702" spans="1:11" ht="12.75">
      <c r="A5702" s="69">
        <f ca="1">IFERROR(__xludf.DUMMYFUNCTION("""COMPUTED_VALUE"""),106681)</f>
        <v>106681</v>
      </c>
      <c r="B5702" s="4">
        <f ca="1">IFERROR(__xludf.DUMMYFUNCTION("""COMPUTED_VALUE"""),44811)</f>
        <v>44811</v>
      </c>
      <c r="C5702" t="str">
        <f ca="1">IFERROR(__xludf.DUMMYFUNCTION("""COMPUTED_VALUE"""),"БУ Г. ОМСКА ""УДХБ"" 144-СТР от 01.07.2022")</f>
        <v>БУ Г. ОМСКА "УДХБ" 144-СТР от 01.07.2022</v>
      </c>
      <c r="D57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2" t="str">
        <f ca="1">IFERROR(__xludf.DUMMYFUNCTION("""COMPUTED_VALUE"""),"Новый")</f>
        <v>Новый</v>
      </c>
      <c r="G5702" s="68"/>
      <c r="K5702" s="68"/>
    </row>
    <row r="5703" spans="1:11" ht="12.75">
      <c r="A5703" s="69">
        <f ca="1">IFERROR(__xludf.DUMMYFUNCTION("""COMPUTED_VALUE"""),106682)</f>
        <v>106682</v>
      </c>
      <c r="B5703" s="4">
        <f ca="1">IFERROR(__xludf.DUMMYFUNCTION("""COMPUTED_VALUE"""),44811)</f>
        <v>44811</v>
      </c>
      <c r="C5703" t="str">
        <f ca="1">IFERROR(__xludf.DUMMYFUNCTION("""COMPUTED_VALUE"""),"БУ Г. ОМСКА ""УДХБ"" 144-СТР от 01.07.2022")</f>
        <v>БУ Г. ОМСКА "УДХБ" 144-СТР от 01.07.2022</v>
      </c>
      <c r="D57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3" t="str">
        <f ca="1">IFERROR(__xludf.DUMMYFUNCTION("""COMPUTED_VALUE"""),"Новый")</f>
        <v>Новый</v>
      </c>
      <c r="G5703" s="68"/>
      <c r="K5703" s="68"/>
    </row>
    <row r="5704" spans="1:11" ht="12.75">
      <c r="A5704" s="69">
        <f ca="1">IFERROR(__xludf.DUMMYFUNCTION("""COMPUTED_VALUE"""),106684)</f>
        <v>106684</v>
      </c>
      <c r="B5704" s="4">
        <f ca="1">IFERROR(__xludf.DUMMYFUNCTION("""COMPUTED_VALUE"""),44811)</f>
        <v>44811</v>
      </c>
      <c r="C5704" t="str">
        <f ca="1">IFERROR(__xludf.DUMMYFUNCTION("""COMPUTED_VALUE"""),"БУ Г. ОМСКА ""УДХБ"" 144-СТР от 01.07.2022")</f>
        <v>БУ Г. ОМСКА "УДХБ" 144-СТР от 01.07.2022</v>
      </c>
      <c r="D57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4" t="str">
        <f ca="1">IFERROR(__xludf.DUMMYFUNCTION("""COMPUTED_VALUE"""),"Новый")</f>
        <v>Новый</v>
      </c>
      <c r="G5704" s="68"/>
      <c r="K5704" s="68"/>
    </row>
    <row r="5705" spans="1:11" ht="12.75">
      <c r="A5705" s="69">
        <f ca="1">IFERROR(__xludf.DUMMYFUNCTION("""COMPUTED_VALUE"""),106685)</f>
        <v>106685</v>
      </c>
      <c r="B5705" s="4">
        <f ca="1">IFERROR(__xludf.DUMMYFUNCTION("""COMPUTED_VALUE"""),44811)</f>
        <v>44811</v>
      </c>
      <c r="C5705" t="str">
        <f ca="1">IFERROR(__xludf.DUMMYFUNCTION("""COMPUTED_VALUE"""),"БУ Г. ОМСКА ""УДХБ"" 144-СТР от 01.07.2022")</f>
        <v>БУ Г. ОМСКА "УДХБ" 144-СТР от 01.07.2022</v>
      </c>
      <c r="D57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5" t="str">
        <f ca="1">IFERROR(__xludf.DUMMYFUNCTION("""COMPUTED_VALUE"""),"Новый")</f>
        <v>Новый</v>
      </c>
      <c r="G5705" s="68"/>
      <c r="K5705" s="68"/>
    </row>
    <row r="5706" spans="1:11" ht="12.75">
      <c r="A5706" s="69">
        <f ca="1">IFERROR(__xludf.DUMMYFUNCTION("""COMPUTED_VALUE"""),106686)</f>
        <v>106686</v>
      </c>
      <c r="B5706" s="4">
        <f ca="1">IFERROR(__xludf.DUMMYFUNCTION("""COMPUTED_VALUE"""),44811)</f>
        <v>44811</v>
      </c>
      <c r="C5706" t="str">
        <f ca="1">IFERROR(__xludf.DUMMYFUNCTION("""COMPUTED_VALUE"""),"БУ Г. ОМСКА ""УДХБ"" 144-СТР от 01.07.2022")</f>
        <v>БУ Г. ОМСКА "УДХБ" 144-СТР от 01.07.2022</v>
      </c>
      <c r="D57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6" t="str">
        <f ca="1">IFERROR(__xludf.DUMMYFUNCTION("""COMPUTED_VALUE"""),"Новый")</f>
        <v>Новый</v>
      </c>
      <c r="G5706" s="68"/>
      <c r="K5706" s="68"/>
    </row>
    <row r="5707" spans="1:11" ht="12.75">
      <c r="A5707" s="69">
        <f ca="1">IFERROR(__xludf.DUMMYFUNCTION("""COMPUTED_VALUE"""),106687)</f>
        <v>106687</v>
      </c>
      <c r="B5707" s="4">
        <f ca="1">IFERROR(__xludf.DUMMYFUNCTION("""COMPUTED_VALUE"""),44811)</f>
        <v>44811</v>
      </c>
      <c r="C5707" t="str">
        <f ca="1">IFERROR(__xludf.DUMMYFUNCTION("""COMPUTED_VALUE"""),"БУ Г. ОМСКА ""УДХБ"" 144-СТР от 01.07.2022")</f>
        <v>БУ Г. ОМСКА "УДХБ" 144-СТР от 01.07.2022</v>
      </c>
      <c r="D57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7" t="str">
        <f ca="1">IFERROR(__xludf.DUMMYFUNCTION("""COMPUTED_VALUE"""),"Новый")</f>
        <v>Новый</v>
      </c>
      <c r="G5707" s="68"/>
      <c r="K5707" s="68"/>
    </row>
    <row r="5708" spans="1:11" ht="12.75">
      <c r="A5708" s="69">
        <f ca="1">IFERROR(__xludf.DUMMYFUNCTION("""COMPUTED_VALUE"""),106688)</f>
        <v>106688</v>
      </c>
      <c r="B5708" s="4">
        <f ca="1">IFERROR(__xludf.DUMMYFUNCTION("""COMPUTED_VALUE"""),44811)</f>
        <v>44811</v>
      </c>
      <c r="C5708" t="str">
        <f ca="1">IFERROR(__xludf.DUMMYFUNCTION("""COMPUTED_VALUE"""),"БУ Г. ОМСКА ""УДХБ"" 144-СТР от 01.07.2022")</f>
        <v>БУ Г. ОМСКА "УДХБ" 144-СТР от 01.07.2022</v>
      </c>
      <c r="D57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8" t="str">
        <f ca="1">IFERROR(__xludf.DUMMYFUNCTION("""COMPUTED_VALUE"""),"Новый")</f>
        <v>Новый</v>
      </c>
      <c r="G5708" s="68"/>
      <c r="K5708" s="68"/>
    </row>
    <row r="5709" spans="1:11" ht="12.75">
      <c r="A5709" s="69">
        <f ca="1">IFERROR(__xludf.DUMMYFUNCTION("""COMPUTED_VALUE"""),106689)</f>
        <v>106689</v>
      </c>
      <c r="B5709" s="4">
        <f ca="1">IFERROR(__xludf.DUMMYFUNCTION("""COMPUTED_VALUE"""),44811)</f>
        <v>44811</v>
      </c>
      <c r="C5709" t="str">
        <f ca="1">IFERROR(__xludf.DUMMYFUNCTION("""COMPUTED_VALUE"""),"БУ Г. ОМСКА ""УДХБ"" 144-СТР от 01.07.2022")</f>
        <v>БУ Г. ОМСКА "УДХБ" 144-СТР от 01.07.2022</v>
      </c>
      <c r="D57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09" t="str">
        <f ca="1">IFERROR(__xludf.DUMMYFUNCTION("""COMPUTED_VALUE"""),"Новый")</f>
        <v>Новый</v>
      </c>
      <c r="G5709" s="68"/>
      <c r="K5709" s="68"/>
    </row>
    <row r="5710" spans="1:11" ht="12.75">
      <c r="A5710" s="69">
        <f ca="1">IFERROR(__xludf.DUMMYFUNCTION("""COMPUTED_VALUE"""),106690)</f>
        <v>106690</v>
      </c>
      <c r="B5710" s="4">
        <f ca="1">IFERROR(__xludf.DUMMYFUNCTION("""COMPUTED_VALUE"""),44811)</f>
        <v>44811</v>
      </c>
      <c r="C5710" t="str">
        <f ca="1">IFERROR(__xludf.DUMMYFUNCTION("""COMPUTED_VALUE"""),"БУ Г. ОМСКА ""УДХБ"" 144-СТР от 01.07.2022")</f>
        <v>БУ Г. ОМСКА "УДХБ" 144-СТР от 01.07.2022</v>
      </c>
      <c r="D57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0" t="str">
        <f ca="1">IFERROR(__xludf.DUMMYFUNCTION("""COMPUTED_VALUE"""),"Новый")</f>
        <v>Новый</v>
      </c>
      <c r="G5710" s="68"/>
      <c r="K5710" s="68"/>
    </row>
    <row r="5711" spans="1:11" ht="12.75">
      <c r="A5711" s="69">
        <f ca="1">IFERROR(__xludf.DUMMYFUNCTION("""COMPUTED_VALUE"""),106691)</f>
        <v>106691</v>
      </c>
      <c r="B5711" s="4">
        <f ca="1">IFERROR(__xludf.DUMMYFUNCTION("""COMPUTED_VALUE"""),44811)</f>
        <v>44811</v>
      </c>
      <c r="C5711" t="str">
        <f ca="1">IFERROR(__xludf.DUMMYFUNCTION("""COMPUTED_VALUE"""),"БУ Г. ОМСКА ""УДХБ"" 144-СТР от 01.07.2022")</f>
        <v>БУ Г. ОМСКА "УДХБ" 144-СТР от 01.07.2022</v>
      </c>
      <c r="D57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1" t="str">
        <f ca="1">IFERROR(__xludf.DUMMYFUNCTION("""COMPUTED_VALUE"""),"Новый")</f>
        <v>Новый</v>
      </c>
      <c r="G5711" s="68"/>
      <c r="K5711" s="68"/>
    </row>
    <row r="5712" spans="1:11" ht="12.75">
      <c r="A5712" s="69">
        <f ca="1">IFERROR(__xludf.DUMMYFUNCTION("""COMPUTED_VALUE"""),106692)</f>
        <v>106692</v>
      </c>
      <c r="B5712" s="4">
        <f ca="1">IFERROR(__xludf.DUMMYFUNCTION("""COMPUTED_VALUE"""),44811)</f>
        <v>44811</v>
      </c>
      <c r="C5712" t="str">
        <f ca="1">IFERROR(__xludf.DUMMYFUNCTION("""COMPUTED_VALUE"""),"БУ Г. ОМСКА ""УДХБ"" 144-СТР от 01.07.2022")</f>
        <v>БУ Г. ОМСКА "УДХБ" 144-СТР от 01.07.2022</v>
      </c>
      <c r="D57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2" t="str">
        <f ca="1">IFERROR(__xludf.DUMMYFUNCTION("""COMPUTED_VALUE"""),"Новый")</f>
        <v>Новый</v>
      </c>
      <c r="G5712" s="68"/>
      <c r="K5712" s="68"/>
    </row>
    <row r="5713" spans="1:11" ht="12.75">
      <c r="A5713" s="69">
        <f ca="1">IFERROR(__xludf.DUMMYFUNCTION("""COMPUTED_VALUE"""),106693)</f>
        <v>106693</v>
      </c>
      <c r="B5713" s="4">
        <f ca="1">IFERROR(__xludf.DUMMYFUNCTION("""COMPUTED_VALUE"""),44811)</f>
        <v>44811</v>
      </c>
      <c r="C5713" t="str">
        <f ca="1">IFERROR(__xludf.DUMMYFUNCTION("""COMPUTED_VALUE"""),"БУ Г. ОМСКА ""УДХБ"" 144-СТР от 01.07.2022")</f>
        <v>БУ Г. ОМСКА "УДХБ" 144-СТР от 01.07.2022</v>
      </c>
      <c r="D57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3" t="str">
        <f ca="1">IFERROR(__xludf.DUMMYFUNCTION("""COMPUTED_VALUE"""),"Новый")</f>
        <v>Новый</v>
      </c>
      <c r="G5713" s="68"/>
      <c r="K5713" s="68"/>
    </row>
    <row r="5714" spans="1:11" ht="12.75">
      <c r="A5714" s="69">
        <f ca="1">IFERROR(__xludf.DUMMYFUNCTION("""COMPUTED_VALUE"""),106694)</f>
        <v>106694</v>
      </c>
      <c r="B5714" s="4">
        <f ca="1">IFERROR(__xludf.DUMMYFUNCTION("""COMPUTED_VALUE"""),44811)</f>
        <v>44811</v>
      </c>
      <c r="C5714" t="str">
        <f ca="1">IFERROR(__xludf.DUMMYFUNCTION("""COMPUTED_VALUE"""),"БУ Г. ОМСКА ""УДХБ"" 144-СТР от 01.07.2022")</f>
        <v>БУ Г. ОМСКА "УДХБ" 144-СТР от 01.07.2022</v>
      </c>
      <c r="D57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4" t="str">
        <f ca="1">IFERROR(__xludf.DUMMYFUNCTION("""COMPUTED_VALUE"""),"Новый")</f>
        <v>Новый</v>
      </c>
      <c r="G5714" s="68"/>
      <c r="K5714" s="68"/>
    </row>
    <row r="5715" spans="1:11" ht="12.75">
      <c r="A5715" s="69">
        <f ca="1">IFERROR(__xludf.DUMMYFUNCTION("""COMPUTED_VALUE"""),106695)</f>
        <v>106695</v>
      </c>
      <c r="B5715" s="4">
        <f ca="1">IFERROR(__xludf.DUMMYFUNCTION("""COMPUTED_VALUE"""),44811)</f>
        <v>44811</v>
      </c>
      <c r="C5715" t="str">
        <f ca="1">IFERROR(__xludf.DUMMYFUNCTION("""COMPUTED_VALUE"""),"БУ Г. ОМСКА ""УДХБ"" 144-СТР от 01.07.2022")</f>
        <v>БУ Г. ОМСКА "УДХБ" 144-СТР от 01.07.2022</v>
      </c>
      <c r="D57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5" t="str">
        <f ca="1">IFERROR(__xludf.DUMMYFUNCTION("""COMPUTED_VALUE"""),"Новый")</f>
        <v>Новый</v>
      </c>
      <c r="G5715" s="68"/>
      <c r="K5715" s="68"/>
    </row>
    <row r="5716" spans="1:11" ht="12.75">
      <c r="A5716" s="69">
        <f ca="1">IFERROR(__xludf.DUMMYFUNCTION("""COMPUTED_VALUE"""),106696)</f>
        <v>106696</v>
      </c>
      <c r="B5716" s="4">
        <f ca="1">IFERROR(__xludf.DUMMYFUNCTION("""COMPUTED_VALUE"""),44811)</f>
        <v>44811</v>
      </c>
      <c r="C5716" t="str">
        <f ca="1">IFERROR(__xludf.DUMMYFUNCTION("""COMPUTED_VALUE"""),"БУ Г. ОМСКА ""УДХБ"" 144-СТР от 01.07.2022")</f>
        <v>БУ Г. ОМСКА "УДХБ" 144-СТР от 01.07.2022</v>
      </c>
      <c r="D57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6" t="str">
        <f ca="1">IFERROR(__xludf.DUMMYFUNCTION("""COMPUTED_VALUE"""),"Новый")</f>
        <v>Новый</v>
      </c>
      <c r="G5716" s="68"/>
      <c r="K5716" s="68"/>
    </row>
    <row r="5717" spans="1:11" ht="12.75">
      <c r="A5717" s="69">
        <f ca="1">IFERROR(__xludf.DUMMYFUNCTION("""COMPUTED_VALUE"""),106697)</f>
        <v>106697</v>
      </c>
      <c r="B5717" s="4">
        <f ca="1">IFERROR(__xludf.DUMMYFUNCTION("""COMPUTED_VALUE"""),44811)</f>
        <v>44811</v>
      </c>
      <c r="C5717" t="str">
        <f ca="1">IFERROR(__xludf.DUMMYFUNCTION("""COMPUTED_VALUE"""),"БУ Г. ОМСКА ""УДХБ"" 144-СТР от 01.07.2022")</f>
        <v>БУ Г. ОМСКА "УДХБ" 144-СТР от 01.07.2022</v>
      </c>
      <c r="D57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7" t="str">
        <f ca="1">IFERROR(__xludf.DUMMYFUNCTION("""COMPUTED_VALUE"""),"Новый")</f>
        <v>Новый</v>
      </c>
      <c r="G5717" s="68"/>
      <c r="K5717" s="68"/>
    </row>
    <row r="5718" spans="1:11" ht="12.75">
      <c r="A5718" s="69">
        <f ca="1">IFERROR(__xludf.DUMMYFUNCTION("""COMPUTED_VALUE"""),106698)</f>
        <v>106698</v>
      </c>
      <c r="B5718" s="4">
        <f ca="1">IFERROR(__xludf.DUMMYFUNCTION("""COMPUTED_VALUE"""),44811)</f>
        <v>44811</v>
      </c>
      <c r="C5718" t="str">
        <f ca="1">IFERROR(__xludf.DUMMYFUNCTION("""COMPUTED_VALUE"""),"БУ Г. ОМСКА ""УДХБ"" 144-СТР от 01.07.2022")</f>
        <v>БУ Г. ОМСКА "УДХБ" 144-СТР от 01.07.2022</v>
      </c>
      <c r="D57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8" t="str">
        <f ca="1">IFERROR(__xludf.DUMMYFUNCTION("""COMPUTED_VALUE"""),"Новый")</f>
        <v>Новый</v>
      </c>
      <c r="G5718" s="68"/>
      <c r="K5718" s="68"/>
    </row>
    <row r="5719" spans="1:11" ht="12.75">
      <c r="A5719" s="69">
        <f ca="1">IFERROR(__xludf.DUMMYFUNCTION("""COMPUTED_VALUE"""),106699)</f>
        <v>106699</v>
      </c>
      <c r="B5719" s="4">
        <f ca="1">IFERROR(__xludf.DUMMYFUNCTION("""COMPUTED_VALUE"""),44811)</f>
        <v>44811</v>
      </c>
      <c r="C5719" t="str">
        <f ca="1">IFERROR(__xludf.DUMMYFUNCTION("""COMPUTED_VALUE"""),"БУ Г. ОМСКА ""УДХБ"" 144-СТР от 01.07.2022")</f>
        <v>БУ Г. ОМСКА "УДХБ" 144-СТР от 01.07.2022</v>
      </c>
      <c r="D57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19" t="str">
        <f ca="1">IFERROR(__xludf.DUMMYFUNCTION("""COMPUTED_VALUE"""),"Новый")</f>
        <v>Новый</v>
      </c>
      <c r="G5719" s="68"/>
      <c r="K5719" s="68"/>
    </row>
    <row r="5720" spans="1:11" ht="12.75">
      <c r="A5720" s="69">
        <f ca="1">IFERROR(__xludf.DUMMYFUNCTION("""COMPUTED_VALUE"""),106700)</f>
        <v>106700</v>
      </c>
      <c r="B5720" s="4">
        <f ca="1">IFERROR(__xludf.DUMMYFUNCTION("""COMPUTED_VALUE"""),44811)</f>
        <v>44811</v>
      </c>
      <c r="C5720" t="str">
        <f ca="1">IFERROR(__xludf.DUMMYFUNCTION("""COMPUTED_VALUE"""),"БУ Г. ОМСКА ""УДХБ"" 144-СТР от 01.07.2022")</f>
        <v>БУ Г. ОМСКА "УДХБ" 144-СТР от 01.07.2022</v>
      </c>
      <c r="D57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0" t="str">
        <f ca="1">IFERROR(__xludf.DUMMYFUNCTION("""COMPUTED_VALUE"""),"Новый")</f>
        <v>Новый</v>
      </c>
      <c r="G5720" s="68"/>
      <c r="K5720" s="68"/>
    </row>
    <row r="5721" spans="1:11" ht="12.75">
      <c r="A5721" s="69">
        <f ca="1">IFERROR(__xludf.DUMMYFUNCTION("""COMPUTED_VALUE"""),106701)</f>
        <v>106701</v>
      </c>
      <c r="B5721" s="4">
        <f ca="1">IFERROR(__xludf.DUMMYFUNCTION("""COMPUTED_VALUE"""),44811)</f>
        <v>44811</v>
      </c>
      <c r="C5721" t="str">
        <f ca="1">IFERROR(__xludf.DUMMYFUNCTION("""COMPUTED_VALUE"""),"БУ Г. ОМСКА ""УДХБ"" 144-СТР от 01.07.2022")</f>
        <v>БУ Г. ОМСКА "УДХБ" 144-СТР от 01.07.2022</v>
      </c>
      <c r="D57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1" t="str">
        <f ca="1">IFERROR(__xludf.DUMMYFUNCTION("""COMPUTED_VALUE"""),"Новый")</f>
        <v>Новый</v>
      </c>
      <c r="G5721" s="68"/>
      <c r="K5721" s="68"/>
    </row>
    <row r="5722" spans="1:11" ht="12.75">
      <c r="A5722" s="69">
        <f ca="1">IFERROR(__xludf.DUMMYFUNCTION("""COMPUTED_VALUE"""),106702)</f>
        <v>106702</v>
      </c>
      <c r="B5722" s="4">
        <f ca="1">IFERROR(__xludf.DUMMYFUNCTION("""COMPUTED_VALUE"""),44811)</f>
        <v>44811</v>
      </c>
      <c r="C5722" t="str">
        <f ca="1">IFERROR(__xludf.DUMMYFUNCTION("""COMPUTED_VALUE"""),"БУ Г. ОМСКА ""УДХБ"" 144-СТР от 01.07.2022")</f>
        <v>БУ Г. ОМСКА "УДХБ" 144-СТР от 01.07.2022</v>
      </c>
      <c r="D57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2" t="str">
        <f ca="1">IFERROR(__xludf.DUMMYFUNCTION("""COMPUTED_VALUE"""),"Новый")</f>
        <v>Новый</v>
      </c>
      <c r="G5722" s="68"/>
      <c r="K5722" s="68"/>
    </row>
    <row r="5723" spans="1:11" ht="12.75">
      <c r="A5723" s="69">
        <f ca="1">IFERROR(__xludf.DUMMYFUNCTION("""COMPUTED_VALUE"""),106703)</f>
        <v>106703</v>
      </c>
      <c r="B5723" s="4">
        <f ca="1">IFERROR(__xludf.DUMMYFUNCTION("""COMPUTED_VALUE"""),44811)</f>
        <v>44811</v>
      </c>
      <c r="C5723" t="str">
        <f ca="1">IFERROR(__xludf.DUMMYFUNCTION("""COMPUTED_VALUE"""),"БУ Г. ОМСКА ""УДХБ"" 144-СТР от 01.07.2022")</f>
        <v>БУ Г. ОМСКА "УДХБ" 144-СТР от 01.07.2022</v>
      </c>
      <c r="D57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3" t="str">
        <f ca="1">IFERROR(__xludf.DUMMYFUNCTION("""COMPUTED_VALUE"""),"Новый")</f>
        <v>Новый</v>
      </c>
      <c r="G5723" s="68"/>
      <c r="K5723" s="68"/>
    </row>
    <row r="5724" spans="1:11" ht="12.75">
      <c r="A5724" s="69">
        <f ca="1">IFERROR(__xludf.DUMMYFUNCTION("""COMPUTED_VALUE"""),106704)</f>
        <v>106704</v>
      </c>
      <c r="B5724" s="4">
        <f ca="1">IFERROR(__xludf.DUMMYFUNCTION("""COMPUTED_VALUE"""),44811)</f>
        <v>44811</v>
      </c>
      <c r="C5724" t="str">
        <f ca="1">IFERROR(__xludf.DUMMYFUNCTION("""COMPUTED_VALUE"""),"БУ Г. ОМСКА ""УДХБ"" 144-СТР от 01.07.2022")</f>
        <v>БУ Г. ОМСКА "УДХБ" 144-СТР от 01.07.2022</v>
      </c>
      <c r="D57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4" t="str">
        <f ca="1">IFERROR(__xludf.DUMMYFUNCTION("""COMPUTED_VALUE"""),"Новый")</f>
        <v>Новый</v>
      </c>
      <c r="G5724" s="68"/>
      <c r="K5724" s="68"/>
    </row>
    <row r="5725" spans="1:11" ht="12.75">
      <c r="A5725" s="69">
        <f ca="1">IFERROR(__xludf.DUMMYFUNCTION("""COMPUTED_VALUE"""),106705)</f>
        <v>106705</v>
      </c>
      <c r="B5725" s="4">
        <f ca="1">IFERROR(__xludf.DUMMYFUNCTION("""COMPUTED_VALUE"""),44811)</f>
        <v>44811</v>
      </c>
      <c r="C5725" t="str">
        <f ca="1">IFERROR(__xludf.DUMMYFUNCTION("""COMPUTED_VALUE"""),"БУ Г. ОМСКА ""УДХБ"" 144-СТР от 01.07.2022")</f>
        <v>БУ Г. ОМСКА "УДХБ" 144-СТР от 01.07.2022</v>
      </c>
      <c r="D57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5" t="str">
        <f ca="1">IFERROR(__xludf.DUMMYFUNCTION("""COMPUTED_VALUE"""),"Новый")</f>
        <v>Новый</v>
      </c>
      <c r="G5725" s="68"/>
      <c r="K5725" s="68"/>
    </row>
    <row r="5726" spans="1:11" ht="12.75">
      <c r="A5726" s="69">
        <f ca="1">IFERROR(__xludf.DUMMYFUNCTION("""COMPUTED_VALUE"""),106706)</f>
        <v>106706</v>
      </c>
      <c r="B5726" s="4">
        <f ca="1">IFERROR(__xludf.DUMMYFUNCTION("""COMPUTED_VALUE"""),44811)</f>
        <v>44811</v>
      </c>
      <c r="C5726" t="str">
        <f ca="1">IFERROR(__xludf.DUMMYFUNCTION("""COMPUTED_VALUE"""),"БУ Г. ОМСКА ""УДХБ"" 144-СТР от 01.07.2022")</f>
        <v>БУ Г. ОМСКА "УДХБ" 144-СТР от 01.07.2022</v>
      </c>
      <c r="D57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6" t="str">
        <f ca="1">IFERROR(__xludf.DUMMYFUNCTION("""COMPUTED_VALUE"""),"Новый")</f>
        <v>Новый</v>
      </c>
      <c r="G5726" s="68"/>
      <c r="K5726" s="68"/>
    </row>
    <row r="5727" spans="1:11" ht="12.75">
      <c r="A5727" s="69">
        <f ca="1">IFERROR(__xludf.DUMMYFUNCTION("""COMPUTED_VALUE"""),106707)</f>
        <v>106707</v>
      </c>
      <c r="B5727" s="4">
        <f ca="1">IFERROR(__xludf.DUMMYFUNCTION("""COMPUTED_VALUE"""),44811)</f>
        <v>44811</v>
      </c>
      <c r="C5727" t="str">
        <f ca="1">IFERROR(__xludf.DUMMYFUNCTION("""COMPUTED_VALUE"""),"БУ Г. ОМСКА ""УДХБ"" 144-СТР от 01.07.2022")</f>
        <v>БУ Г. ОМСКА "УДХБ" 144-СТР от 01.07.2022</v>
      </c>
      <c r="D57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7" t="str">
        <f ca="1">IFERROR(__xludf.DUMMYFUNCTION("""COMPUTED_VALUE"""),"Новый")</f>
        <v>Новый</v>
      </c>
      <c r="G5727" s="68"/>
      <c r="K5727" s="68"/>
    </row>
    <row r="5728" spans="1:11" ht="12.75">
      <c r="A5728" s="69">
        <f ca="1">IFERROR(__xludf.DUMMYFUNCTION("""COMPUTED_VALUE"""),106708)</f>
        <v>106708</v>
      </c>
      <c r="B5728" s="4">
        <f ca="1">IFERROR(__xludf.DUMMYFUNCTION("""COMPUTED_VALUE"""),44811)</f>
        <v>44811</v>
      </c>
      <c r="C5728" t="str">
        <f ca="1">IFERROR(__xludf.DUMMYFUNCTION("""COMPUTED_VALUE"""),"БУ Г. ОМСКА ""УДХБ"" 144-СТР от 01.07.2022")</f>
        <v>БУ Г. ОМСКА "УДХБ" 144-СТР от 01.07.2022</v>
      </c>
      <c r="D57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8" t="str">
        <f ca="1">IFERROR(__xludf.DUMMYFUNCTION("""COMPUTED_VALUE"""),"Новый")</f>
        <v>Новый</v>
      </c>
      <c r="G5728" s="68"/>
      <c r="K5728" s="68"/>
    </row>
    <row r="5729" spans="1:11" ht="12.75">
      <c r="A5729" s="69">
        <f ca="1">IFERROR(__xludf.DUMMYFUNCTION("""COMPUTED_VALUE"""),106709)</f>
        <v>106709</v>
      </c>
      <c r="B5729" s="4">
        <f ca="1">IFERROR(__xludf.DUMMYFUNCTION("""COMPUTED_VALUE"""),44811)</f>
        <v>44811</v>
      </c>
      <c r="C5729" t="str">
        <f ca="1">IFERROR(__xludf.DUMMYFUNCTION("""COMPUTED_VALUE"""),"БУ Г. ОМСКА ""УДХБ"" 144-СТР от 01.07.2022")</f>
        <v>БУ Г. ОМСКА "УДХБ" 144-СТР от 01.07.2022</v>
      </c>
      <c r="D57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29" t="str">
        <f ca="1">IFERROR(__xludf.DUMMYFUNCTION("""COMPUTED_VALUE"""),"Новый")</f>
        <v>Новый</v>
      </c>
      <c r="G5729" s="68"/>
      <c r="K5729" s="68"/>
    </row>
    <row r="5730" spans="1:11" ht="12.75">
      <c r="A5730" s="69">
        <f ca="1">IFERROR(__xludf.DUMMYFUNCTION("""COMPUTED_VALUE"""),106710)</f>
        <v>106710</v>
      </c>
      <c r="B5730" s="4">
        <f ca="1">IFERROR(__xludf.DUMMYFUNCTION("""COMPUTED_VALUE"""),44811)</f>
        <v>44811</v>
      </c>
      <c r="C5730" t="str">
        <f ca="1">IFERROR(__xludf.DUMMYFUNCTION("""COMPUTED_VALUE"""),"БУ Г. ОМСКА ""УДХБ"" 144-СТР от 01.07.2022")</f>
        <v>БУ Г. ОМСКА "УДХБ" 144-СТР от 01.07.2022</v>
      </c>
      <c r="D57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0" t="str">
        <f ca="1">IFERROR(__xludf.DUMMYFUNCTION("""COMPUTED_VALUE"""),"Новый")</f>
        <v>Новый</v>
      </c>
      <c r="G5730" s="68"/>
      <c r="K5730" s="68"/>
    </row>
    <row r="5731" spans="1:11" ht="12.75">
      <c r="A5731" s="69">
        <f ca="1">IFERROR(__xludf.DUMMYFUNCTION("""COMPUTED_VALUE"""),106711)</f>
        <v>106711</v>
      </c>
      <c r="B5731" s="4">
        <f ca="1">IFERROR(__xludf.DUMMYFUNCTION("""COMPUTED_VALUE"""),44811)</f>
        <v>44811</v>
      </c>
      <c r="C5731" t="str">
        <f ca="1">IFERROR(__xludf.DUMMYFUNCTION("""COMPUTED_VALUE"""),"БУ Г. ОМСКА ""УДХБ"" 144-СТР от 01.07.2022")</f>
        <v>БУ Г. ОМСКА "УДХБ" 144-СТР от 01.07.2022</v>
      </c>
      <c r="D57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1" t="str">
        <f ca="1">IFERROR(__xludf.DUMMYFUNCTION("""COMPUTED_VALUE"""),"Новый")</f>
        <v>Новый</v>
      </c>
      <c r="G5731" s="68"/>
      <c r="K5731" s="68"/>
    </row>
    <row r="5732" spans="1:11" ht="12.75">
      <c r="A5732" s="69">
        <f ca="1">IFERROR(__xludf.DUMMYFUNCTION("""COMPUTED_VALUE"""),106712)</f>
        <v>106712</v>
      </c>
      <c r="B5732" s="4">
        <f ca="1">IFERROR(__xludf.DUMMYFUNCTION("""COMPUTED_VALUE"""),44811)</f>
        <v>44811</v>
      </c>
      <c r="C5732" t="str">
        <f ca="1">IFERROR(__xludf.DUMMYFUNCTION("""COMPUTED_VALUE"""),"БУ Г. ОМСКА ""УДХБ"" 144-СТР от 01.07.2022")</f>
        <v>БУ Г. ОМСКА "УДХБ" 144-СТР от 01.07.2022</v>
      </c>
      <c r="D57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2" t="str">
        <f ca="1">IFERROR(__xludf.DUMMYFUNCTION("""COMPUTED_VALUE"""),"Новый")</f>
        <v>Новый</v>
      </c>
      <c r="G5732" s="68"/>
      <c r="K5732" s="68"/>
    </row>
    <row r="5733" spans="1:11" ht="12.75">
      <c r="A5733" s="69">
        <f ca="1">IFERROR(__xludf.DUMMYFUNCTION("""COMPUTED_VALUE"""),106713)</f>
        <v>106713</v>
      </c>
      <c r="B5733" s="4">
        <f ca="1">IFERROR(__xludf.DUMMYFUNCTION("""COMPUTED_VALUE"""),44811)</f>
        <v>44811</v>
      </c>
      <c r="C5733" t="str">
        <f ca="1">IFERROR(__xludf.DUMMYFUNCTION("""COMPUTED_VALUE"""),"БУ Г. ОМСКА ""УДХБ"" 144-СТР от 01.07.2022")</f>
        <v>БУ Г. ОМСКА "УДХБ" 144-СТР от 01.07.2022</v>
      </c>
      <c r="D57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3" t="str">
        <f ca="1">IFERROR(__xludf.DUMMYFUNCTION("""COMPUTED_VALUE"""),"Новый")</f>
        <v>Новый</v>
      </c>
      <c r="G5733" s="68"/>
      <c r="K5733" s="68"/>
    </row>
    <row r="5734" spans="1:11" ht="12.75">
      <c r="A5734" s="69">
        <f ca="1">IFERROR(__xludf.DUMMYFUNCTION("""COMPUTED_VALUE"""),106714)</f>
        <v>106714</v>
      </c>
      <c r="B5734" s="4">
        <f ca="1">IFERROR(__xludf.DUMMYFUNCTION("""COMPUTED_VALUE"""),44811)</f>
        <v>44811</v>
      </c>
      <c r="C5734" t="str">
        <f ca="1">IFERROR(__xludf.DUMMYFUNCTION("""COMPUTED_VALUE"""),"БУ Г. ОМСКА ""УДХБ"" 144-СТР от 01.07.2022")</f>
        <v>БУ Г. ОМСКА "УДХБ" 144-СТР от 01.07.2022</v>
      </c>
      <c r="D57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4" t="str">
        <f ca="1">IFERROR(__xludf.DUMMYFUNCTION("""COMPUTED_VALUE"""),"Новый")</f>
        <v>Новый</v>
      </c>
      <c r="G5734" s="68"/>
      <c r="K5734" s="68"/>
    </row>
    <row r="5735" spans="1:11" ht="12.75">
      <c r="A5735" s="69">
        <f ca="1">IFERROR(__xludf.DUMMYFUNCTION("""COMPUTED_VALUE"""),106715)</f>
        <v>106715</v>
      </c>
      <c r="B5735" s="4">
        <f ca="1">IFERROR(__xludf.DUMMYFUNCTION("""COMPUTED_VALUE"""),44811)</f>
        <v>44811</v>
      </c>
      <c r="C5735" t="str">
        <f ca="1">IFERROR(__xludf.DUMMYFUNCTION("""COMPUTED_VALUE"""),"БУ Г. ОМСКА ""УДХБ"" 144-СТР от 01.07.2022")</f>
        <v>БУ Г. ОМСКА "УДХБ" 144-СТР от 01.07.2022</v>
      </c>
      <c r="D57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5" t="str">
        <f ca="1">IFERROR(__xludf.DUMMYFUNCTION("""COMPUTED_VALUE"""),"Новый")</f>
        <v>Новый</v>
      </c>
      <c r="G5735" s="68"/>
      <c r="K5735" s="68"/>
    </row>
    <row r="5736" spans="1:11" ht="12.75">
      <c r="A5736" s="69">
        <f ca="1">IFERROR(__xludf.DUMMYFUNCTION("""COMPUTED_VALUE"""),106718)</f>
        <v>106718</v>
      </c>
      <c r="B5736" s="4">
        <f ca="1">IFERROR(__xludf.DUMMYFUNCTION("""COMPUTED_VALUE"""),44811)</f>
        <v>44811</v>
      </c>
      <c r="C5736" t="str">
        <f ca="1">IFERROR(__xludf.DUMMYFUNCTION("""COMPUTED_VALUE"""),"БУ Г. ОМСКА ""УДХБ"" 144-СТР от 01.07.2022")</f>
        <v>БУ Г. ОМСКА "УДХБ" 144-СТР от 01.07.2022</v>
      </c>
      <c r="D57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6" t="str">
        <f ca="1">IFERROR(__xludf.DUMMYFUNCTION("""COMPUTED_VALUE"""),"Новый")</f>
        <v>Новый</v>
      </c>
      <c r="G5736" s="68"/>
      <c r="K5736" s="68"/>
    </row>
    <row r="5737" spans="1:11" ht="12.75">
      <c r="A5737" s="69">
        <f ca="1">IFERROR(__xludf.DUMMYFUNCTION("""COMPUTED_VALUE"""),106719)</f>
        <v>106719</v>
      </c>
      <c r="B5737" s="4">
        <f ca="1">IFERROR(__xludf.DUMMYFUNCTION("""COMPUTED_VALUE"""),44811)</f>
        <v>44811</v>
      </c>
      <c r="C5737" t="str">
        <f ca="1">IFERROR(__xludf.DUMMYFUNCTION("""COMPUTED_VALUE"""),"БУ Г. ОМСКА ""УДХБ"" 144-СТР от 01.07.2022")</f>
        <v>БУ Г. ОМСКА "УДХБ" 144-СТР от 01.07.2022</v>
      </c>
      <c r="D57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7" t="str">
        <f ca="1">IFERROR(__xludf.DUMMYFUNCTION("""COMPUTED_VALUE"""),"Новый")</f>
        <v>Новый</v>
      </c>
      <c r="G5737" s="68"/>
      <c r="K5737" s="68"/>
    </row>
    <row r="5738" spans="1:11" ht="12.75">
      <c r="A5738" s="69">
        <f ca="1">IFERROR(__xludf.DUMMYFUNCTION("""COMPUTED_VALUE"""),106722)</f>
        <v>106722</v>
      </c>
      <c r="B5738" s="4">
        <f ca="1">IFERROR(__xludf.DUMMYFUNCTION("""COMPUTED_VALUE"""),44811)</f>
        <v>44811</v>
      </c>
      <c r="C5738" t="str">
        <f ca="1">IFERROR(__xludf.DUMMYFUNCTION("""COMPUTED_VALUE"""),"БУ Г. ОМСКА ""УДХБ"" 144-СТР от 01.07.2022")</f>
        <v>БУ Г. ОМСКА "УДХБ" 144-СТР от 01.07.2022</v>
      </c>
      <c r="D57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8" t="str">
        <f ca="1">IFERROR(__xludf.DUMMYFUNCTION("""COMPUTED_VALUE"""),"Новый")</f>
        <v>Новый</v>
      </c>
      <c r="G5738" s="68"/>
      <c r="K5738" s="68"/>
    </row>
    <row r="5739" spans="1:11" ht="12.75">
      <c r="A5739" s="69">
        <f ca="1">IFERROR(__xludf.DUMMYFUNCTION("""COMPUTED_VALUE"""),106723)</f>
        <v>106723</v>
      </c>
      <c r="B5739" s="4">
        <f ca="1">IFERROR(__xludf.DUMMYFUNCTION("""COMPUTED_VALUE"""),44811)</f>
        <v>44811</v>
      </c>
      <c r="C5739" t="str">
        <f ca="1">IFERROR(__xludf.DUMMYFUNCTION("""COMPUTED_VALUE"""),"БУ Г. ОМСКА ""УДХБ"" 144-СТР от 01.07.2022")</f>
        <v>БУ Г. ОМСКА "УДХБ" 144-СТР от 01.07.2022</v>
      </c>
      <c r="D57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39" t="str">
        <f ca="1">IFERROR(__xludf.DUMMYFUNCTION("""COMPUTED_VALUE"""),"Новый")</f>
        <v>Новый</v>
      </c>
      <c r="G5739" s="68"/>
      <c r="K5739" s="68"/>
    </row>
    <row r="5740" spans="1:11" ht="12.75">
      <c r="A5740" s="69">
        <f ca="1">IFERROR(__xludf.DUMMYFUNCTION("""COMPUTED_VALUE"""),106734)</f>
        <v>106734</v>
      </c>
      <c r="B5740" s="4">
        <f ca="1">IFERROR(__xludf.DUMMYFUNCTION("""COMPUTED_VALUE"""),44811)</f>
        <v>44811</v>
      </c>
      <c r="C5740" t="str">
        <f ca="1">IFERROR(__xludf.DUMMYFUNCTION("""COMPUTED_VALUE"""),"БУ Г. ОМСКА ""УДХБ"" 144-СТР от 01.07.2022")</f>
        <v>БУ Г. ОМСКА "УДХБ" 144-СТР от 01.07.2022</v>
      </c>
      <c r="D57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0" t="str">
        <f ca="1">IFERROR(__xludf.DUMMYFUNCTION("""COMPUTED_VALUE"""),"Новый")</f>
        <v>Новый</v>
      </c>
      <c r="G5740" s="68"/>
      <c r="K5740" s="68"/>
    </row>
    <row r="5741" spans="1:11" ht="12.75">
      <c r="A5741" s="69">
        <f ca="1">IFERROR(__xludf.DUMMYFUNCTION("""COMPUTED_VALUE"""),106737)</f>
        <v>106737</v>
      </c>
      <c r="B5741" s="4">
        <f ca="1">IFERROR(__xludf.DUMMYFUNCTION("""COMPUTED_VALUE"""),44811)</f>
        <v>44811</v>
      </c>
      <c r="C5741" t="str">
        <f ca="1">IFERROR(__xludf.DUMMYFUNCTION("""COMPUTED_VALUE"""),"БУ Г. ОМСКА ""УДХБ"" 144-СТР от 01.07.2022")</f>
        <v>БУ Г. ОМСКА "УДХБ" 144-СТР от 01.07.2022</v>
      </c>
      <c r="D57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1" t="str">
        <f ca="1">IFERROR(__xludf.DUMMYFUNCTION("""COMPUTED_VALUE"""),"Новый")</f>
        <v>Новый</v>
      </c>
      <c r="G5741" s="68"/>
      <c r="K5741" s="68"/>
    </row>
    <row r="5742" spans="1:11" ht="12.75">
      <c r="A5742" s="69">
        <f ca="1">IFERROR(__xludf.DUMMYFUNCTION("""COMPUTED_VALUE"""),106738)</f>
        <v>106738</v>
      </c>
      <c r="B5742" s="4">
        <f ca="1">IFERROR(__xludf.DUMMYFUNCTION("""COMPUTED_VALUE"""),44811)</f>
        <v>44811</v>
      </c>
      <c r="C5742" t="str">
        <f ca="1">IFERROR(__xludf.DUMMYFUNCTION("""COMPUTED_VALUE"""),"БУ Г. ОМСКА ""УДХБ"" 144-СТР от 01.07.2022")</f>
        <v>БУ Г. ОМСКА "УДХБ" 144-СТР от 01.07.2022</v>
      </c>
      <c r="D57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2" t="str">
        <f ca="1">IFERROR(__xludf.DUMMYFUNCTION("""COMPUTED_VALUE"""),"Новый")</f>
        <v>Новый</v>
      </c>
      <c r="G5742" s="68"/>
      <c r="K5742" s="68"/>
    </row>
    <row r="5743" spans="1:11" ht="12.75">
      <c r="A5743" s="69">
        <f ca="1">IFERROR(__xludf.DUMMYFUNCTION("""COMPUTED_VALUE"""),106739)</f>
        <v>106739</v>
      </c>
      <c r="B5743" s="4">
        <f ca="1">IFERROR(__xludf.DUMMYFUNCTION("""COMPUTED_VALUE"""),44811)</f>
        <v>44811</v>
      </c>
      <c r="C5743" t="str">
        <f ca="1">IFERROR(__xludf.DUMMYFUNCTION("""COMPUTED_VALUE"""),"БУ Г. ОМСКА ""УДХБ"" 144-СТР от 01.07.2022")</f>
        <v>БУ Г. ОМСКА "УДХБ" 144-СТР от 01.07.2022</v>
      </c>
      <c r="D57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3" t="str">
        <f ca="1">IFERROR(__xludf.DUMMYFUNCTION("""COMPUTED_VALUE"""),"Новый")</f>
        <v>Новый</v>
      </c>
      <c r="G5743" s="68"/>
      <c r="K5743" s="68"/>
    </row>
    <row r="5744" spans="1:11" ht="12.75">
      <c r="A5744" s="69">
        <f ca="1">IFERROR(__xludf.DUMMYFUNCTION("""COMPUTED_VALUE"""),106742)</f>
        <v>106742</v>
      </c>
      <c r="B5744" s="4">
        <f ca="1">IFERROR(__xludf.DUMMYFUNCTION("""COMPUTED_VALUE"""),44813)</f>
        <v>44813</v>
      </c>
      <c r="C5744" t="str">
        <f ca="1">IFERROR(__xludf.DUMMYFUNCTION("""COMPUTED_VALUE"""),"АО ""Омскгоргаз""")</f>
        <v>АО "Омскгоргаз"</v>
      </c>
      <c r="D57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44" t="str">
        <f ca="1">IFERROR(__xludf.DUMMYFUNCTION("""COMPUTED_VALUE"""),"Новый")</f>
        <v>Новый</v>
      </c>
      <c r="G5744" s="68"/>
      <c r="K5744" s="68"/>
    </row>
    <row r="5745" spans="1:11" ht="12.75">
      <c r="A5745" s="69">
        <f ca="1">IFERROR(__xludf.DUMMYFUNCTION("""COMPUTED_VALUE"""),106744)</f>
        <v>106744</v>
      </c>
      <c r="B5745" s="4">
        <f ca="1">IFERROR(__xludf.DUMMYFUNCTION("""COMPUTED_VALUE"""),44813)</f>
        <v>44813</v>
      </c>
      <c r="C5745" t="str">
        <f ca="1">IFERROR(__xludf.DUMMYFUNCTION("""COMPUTED_VALUE"""),"АО ""Омскгоргаз""")</f>
        <v>АО "Омскгоргаз"</v>
      </c>
      <c r="D57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45" t="str">
        <f ca="1">IFERROR(__xludf.DUMMYFUNCTION("""COMPUTED_VALUE"""),"Новый")</f>
        <v>Новый</v>
      </c>
      <c r="G5745" s="68"/>
      <c r="K5745" s="68"/>
    </row>
    <row r="5746" spans="1:11" ht="12.75">
      <c r="A5746" s="69">
        <f ca="1">IFERROR(__xludf.DUMMYFUNCTION("""COMPUTED_VALUE"""),106745)</f>
        <v>106745</v>
      </c>
      <c r="B5746" s="4">
        <f ca="1">IFERROR(__xludf.DUMMYFUNCTION("""COMPUTED_VALUE"""),44813)</f>
        <v>44813</v>
      </c>
      <c r="C5746" t="str">
        <f ca="1">IFERROR(__xludf.DUMMYFUNCTION("""COMPUTED_VALUE"""),"АО ""Омскгоргаз""")</f>
        <v>АО "Омскгоргаз"</v>
      </c>
      <c r="D57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46" t="str">
        <f ca="1">IFERROR(__xludf.DUMMYFUNCTION("""COMPUTED_VALUE"""),"Новый")</f>
        <v>Новый</v>
      </c>
      <c r="G5746" s="68"/>
      <c r="K5746" s="68"/>
    </row>
    <row r="5747" spans="1:11" ht="12.75">
      <c r="A5747" s="69">
        <f ca="1">IFERROR(__xludf.DUMMYFUNCTION("""COMPUTED_VALUE"""),106761)</f>
        <v>106761</v>
      </c>
      <c r="B5747" s="4">
        <f ca="1">IFERROR(__xludf.DUMMYFUNCTION("""COMPUTED_VALUE"""),44818)</f>
        <v>44818</v>
      </c>
      <c r="C5747" t="str">
        <f ca="1">IFERROR(__xludf.DUMMYFUNCTION("""COMPUTED_VALUE"""),"ЗАО ""ЭКОС"" 115-СТР от 01.01.2022")</f>
        <v>ЗАО "ЭКОС" 115-СТР от 01.01.2022</v>
      </c>
      <c r="D57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7" t="str">
        <f ca="1">IFERROR(__xludf.DUMMYFUNCTION("""COMPUTED_VALUE"""),"Новый")</f>
        <v>Новый</v>
      </c>
      <c r="G5747" s="68"/>
      <c r="K5747" s="68"/>
    </row>
    <row r="5748" spans="1:11" ht="12.75">
      <c r="A5748" s="69">
        <f ca="1">IFERROR(__xludf.DUMMYFUNCTION("""COMPUTED_VALUE"""),106762)</f>
        <v>106762</v>
      </c>
      <c r="B5748" s="4">
        <f ca="1">IFERROR(__xludf.DUMMYFUNCTION("""COMPUTED_VALUE"""),44818)</f>
        <v>44818</v>
      </c>
      <c r="C5748" t="str">
        <f ca="1">IFERROR(__xludf.DUMMYFUNCTION("""COMPUTED_VALUE"""),"ЗАО ""ЭКОС"" 115-СТР от 01.01.2022")</f>
        <v>ЗАО "ЭКОС" 115-СТР от 01.01.2022</v>
      </c>
      <c r="D57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8" t="str">
        <f ca="1">IFERROR(__xludf.DUMMYFUNCTION("""COMPUTED_VALUE"""),"Новый")</f>
        <v>Новый</v>
      </c>
      <c r="G5748" s="68"/>
      <c r="K5748" s="68"/>
    </row>
    <row r="5749" spans="1:11" ht="12.75">
      <c r="A5749" s="69">
        <f ca="1">IFERROR(__xludf.DUMMYFUNCTION("""COMPUTED_VALUE"""),106782)</f>
        <v>106782</v>
      </c>
      <c r="B5749" s="4">
        <f ca="1">IFERROR(__xludf.DUMMYFUNCTION("""COMPUTED_VALUE"""),44818)</f>
        <v>44818</v>
      </c>
      <c r="C5749" t="str">
        <f ca="1">IFERROR(__xludf.DUMMYFUNCTION("""COMPUTED_VALUE"""),"ЗАО ""ЭКОС"" 115-СТР от 01.01.2022")</f>
        <v>ЗАО "ЭКОС" 115-СТР от 01.01.2022</v>
      </c>
      <c r="D57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49" t="str">
        <f ca="1">IFERROR(__xludf.DUMMYFUNCTION("""COMPUTED_VALUE"""),"Новый")</f>
        <v>Новый</v>
      </c>
      <c r="G5749" s="68"/>
      <c r="K5749" s="68"/>
    </row>
    <row r="5750" spans="1:11" ht="12.75">
      <c r="A5750" s="69">
        <f ca="1">IFERROR(__xludf.DUMMYFUNCTION("""COMPUTED_VALUE"""),106783)</f>
        <v>106783</v>
      </c>
      <c r="B5750" s="4">
        <f ca="1">IFERROR(__xludf.DUMMYFUNCTION("""COMPUTED_VALUE"""),44818)</f>
        <v>44818</v>
      </c>
      <c r="C5750" t="str">
        <f ca="1">IFERROR(__xludf.DUMMYFUNCTION("""COMPUTED_VALUE"""),"ЗАО ""ЭКОС"" 115-СТР от 01.01.2022")</f>
        <v>ЗАО "ЭКОС" 115-СТР от 01.01.2022</v>
      </c>
      <c r="D57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0" t="str">
        <f ca="1">IFERROR(__xludf.DUMMYFUNCTION("""COMPUTED_VALUE"""),"Новый")</f>
        <v>Новый</v>
      </c>
      <c r="G5750" s="68"/>
      <c r="K5750" s="68"/>
    </row>
    <row r="5751" spans="1:11" ht="12.75">
      <c r="A5751" s="69">
        <f ca="1">IFERROR(__xludf.DUMMYFUNCTION("""COMPUTED_VALUE"""),106787)</f>
        <v>106787</v>
      </c>
      <c r="B5751" s="4">
        <f ca="1">IFERROR(__xludf.DUMMYFUNCTION("""COMPUTED_VALUE"""),44818)</f>
        <v>44818</v>
      </c>
      <c r="C5751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1" t="str">
        <f ca="1">IFERROR(__xludf.DUMMYFUNCTION("""COMPUTED_VALUE"""),"Новый")</f>
        <v>Новый</v>
      </c>
      <c r="G5751" s="68"/>
      <c r="K5751" s="68"/>
    </row>
    <row r="5752" spans="1:11" ht="12.75">
      <c r="A5752" s="69">
        <f ca="1">IFERROR(__xludf.DUMMYFUNCTION("""COMPUTED_VALUE"""),106790)</f>
        <v>106790</v>
      </c>
      <c r="B5752" s="4">
        <f ca="1">IFERROR(__xludf.DUMMYFUNCTION("""COMPUTED_VALUE"""),44818)</f>
        <v>44818</v>
      </c>
      <c r="C5752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2" t="str">
        <f ca="1">IFERROR(__xludf.DUMMYFUNCTION("""COMPUTED_VALUE"""),"Новый")</f>
        <v>Новый</v>
      </c>
      <c r="G5752" s="68"/>
      <c r="K5752" s="68"/>
    </row>
    <row r="5753" spans="1:11" ht="12.75">
      <c r="A5753" s="69">
        <f ca="1">IFERROR(__xludf.DUMMYFUNCTION("""COMPUTED_VALUE"""),106791)</f>
        <v>106791</v>
      </c>
      <c r="B5753" s="4">
        <f ca="1">IFERROR(__xludf.DUMMYFUNCTION("""COMPUTED_VALUE"""),44818)</f>
        <v>44818</v>
      </c>
      <c r="C5753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3" t="str">
        <f ca="1">IFERROR(__xludf.DUMMYFUNCTION("""COMPUTED_VALUE"""),"Новый")</f>
        <v>Новый</v>
      </c>
      <c r="G5753" s="68"/>
      <c r="K5753" s="68"/>
    </row>
    <row r="5754" spans="1:11" ht="12.75">
      <c r="A5754" s="69">
        <f ca="1">IFERROR(__xludf.DUMMYFUNCTION("""COMPUTED_VALUE"""),106792)</f>
        <v>106792</v>
      </c>
      <c r="B5754" s="4">
        <f ca="1">IFERROR(__xludf.DUMMYFUNCTION("""COMPUTED_VALUE"""),44818)</f>
        <v>44818</v>
      </c>
      <c r="C5754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4" t="str">
        <f ca="1">IFERROR(__xludf.DUMMYFUNCTION("""COMPUTED_VALUE"""),"Новый")</f>
        <v>Новый</v>
      </c>
      <c r="G5754" s="68"/>
      <c r="K5754" s="68"/>
    </row>
    <row r="5755" spans="1:11" ht="12.75">
      <c r="A5755" s="69">
        <f ca="1">IFERROR(__xludf.DUMMYFUNCTION("""COMPUTED_VALUE"""),106793)</f>
        <v>106793</v>
      </c>
      <c r="B5755" s="4">
        <f ca="1">IFERROR(__xludf.DUMMYFUNCTION("""COMPUTED_VALUE"""),44818)</f>
        <v>44818</v>
      </c>
      <c r="C5755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5" t="str">
        <f ca="1">IFERROR(__xludf.DUMMYFUNCTION("""COMPUTED_VALUE"""),"Новый")</f>
        <v>Новый</v>
      </c>
      <c r="G5755" s="68"/>
      <c r="K5755" s="68"/>
    </row>
    <row r="5756" spans="1:11" ht="12.75">
      <c r="A5756" s="69">
        <f ca="1">IFERROR(__xludf.DUMMYFUNCTION("""COMPUTED_VALUE"""),106794)</f>
        <v>106794</v>
      </c>
      <c r="B5756" s="4">
        <f ca="1">IFERROR(__xludf.DUMMYFUNCTION("""COMPUTED_VALUE"""),44818)</f>
        <v>44818</v>
      </c>
      <c r="C5756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6" t="str">
        <f ca="1">IFERROR(__xludf.DUMMYFUNCTION("""COMPUTED_VALUE"""),"Новый")</f>
        <v>Новый</v>
      </c>
      <c r="G5756" s="68"/>
      <c r="K5756" s="68"/>
    </row>
    <row r="5757" spans="1:11" ht="12.75">
      <c r="A5757" s="69">
        <f ca="1">IFERROR(__xludf.DUMMYFUNCTION("""COMPUTED_VALUE"""),106795)</f>
        <v>106795</v>
      </c>
      <c r="B5757" s="4">
        <f ca="1">IFERROR(__xludf.DUMMYFUNCTION("""COMPUTED_VALUE"""),44818)</f>
        <v>44818</v>
      </c>
      <c r="C5757" t="str">
        <f ca="1">IFERROR(__xludf.DUMMYFUNCTION("""COMPUTED_VALUE"""),"ФЛ Ахметов Толеген Гомарович № 178-СТР от 13.09.2022")</f>
        <v>ФЛ Ахметов Толеген Гомарович № 178-СТР от 13.09.2022</v>
      </c>
      <c r="D57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7" t="str">
        <f ca="1">IFERROR(__xludf.DUMMYFUNCTION("""COMPUTED_VALUE"""),"Новый")</f>
        <v>Новый</v>
      </c>
      <c r="G5757" s="68"/>
      <c r="K5757" s="68"/>
    </row>
    <row r="5758" spans="1:11" ht="12.75">
      <c r="A5758" s="69">
        <f ca="1">IFERROR(__xludf.DUMMYFUNCTION("""COMPUTED_VALUE"""),106796)</f>
        <v>106796</v>
      </c>
      <c r="B5758" s="4">
        <f ca="1">IFERROR(__xludf.DUMMYFUNCTION("""COMPUTED_VALUE"""),44818)</f>
        <v>44818</v>
      </c>
      <c r="C5758" t="str">
        <f ca="1">IFERROR(__xludf.DUMMYFUNCTION("""COMPUTED_VALUE"""),"АО ""ЦКБА"" 155-СТР от 01.08.2022")</f>
        <v>АО "ЦКБА" 155-СТР от 01.08.2022</v>
      </c>
      <c r="D57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8" t="str">
        <f ca="1">IFERROR(__xludf.DUMMYFUNCTION("""COMPUTED_VALUE"""),"Новый")</f>
        <v>Новый</v>
      </c>
      <c r="G5758" s="68"/>
      <c r="K5758" s="68"/>
    </row>
    <row r="5759" spans="1:11" ht="12.75">
      <c r="A5759" s="69">
        <f ca="1">IFERROR(__xludf.DUMMYFUNCTION("""COMPUTED_VALUE"""),106797)</f>
        <v>106797</v>
      </c>
      <c r="B5759" s="4">
        <f ca="1">IFERROR(__xludf.DUMMYFUNCTION("""COMPUTED_VALUE"""),44818)</f>
        <v>44818</v>
      </c>
      <c r="C5759" t="str">
        <f ca="1">IFERROR(__xludf.DUMMYFUNCTION("""COMPUTED_VALUE"""),"АО ""ЦКБА"" 155-СТР от 01.08.2022")</f>
        <v>АО "ЦКБА" 155-СТР от 01.08.2022</v>
      </c>
      <c r="D57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59" t="str">
        <f ca="1">IFERROR(__xludf.DUMMYFUNCTION("""COMPUTED_VALUE"""),"Новый")</f>
        <v>Новый</v>
      </c>
      <c r="G5759" s="68"/>
      <c r="K5759" s="68"/>
    </row>
    <row r="5760" spans="1:11" ht="12.75">
      <c r="A5760" s="69">
        <f ca="1">IFERROR(__xludf.DUMMYFUNCTION("""COMPUTED_VALUE"""),106798)</f>
        <v>106798</v>
      </c>
      <c r="B5760" s="4">
        <f ca="1">IFERROR(__xludf.DUMMYFUNCTION("""COMPUTED_VALUE"""),44818)</f>
        <v>44818</v>
      </c>
      <c r="C5760" t="str">
        <f ca="1">IFERROR(__xludf.DUMMYFUNCTION("""COMPUTED_VALUE"""),"АО ""ЦКБА"" 155-СТР от 01.08.2022")</f>
        <v>АО "ЦКБА" 155-СТР от 01.08.2022</v>
      </c>
      <c r="D57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0" t="str">
        <f ca="1">IFERROR(__xludf.DUMMYFUNCTION("""COMPUTED_VALUE"""),"Новый")</f>
        <v>Новый</v>
      </c>
      <c r="G5760" s="68"/>
      <c r="K5760" s="68"/>
    </row>
    <row r="5761" spans="1:11" ht="12.75">
      <c r="A5761" s="69">
        <f ca="1">IFERROR(__xludf.DUMMYFUNCTION("""COMPUTED_VALUE"""),106799)</f>
        <v>106799</v>
      </c>
      <c r="B5761" s="4">
        <f ca="1">IFERROR(__xludf.DUMMYFUNCTION("""COMPUTED_VALUE"""),44818)</f>
        <v>44818</v>
      </c>
      <c r="C5761" t="str">
        <f ca="1">IFERROR(__xludf.DUMMYFUNCTION("""COMPUTED_VALUE"""),"АО ""ЦКБА"" 155-СТР от 01.08.2022")</f>
        <v>АО "ЦКБА" 155-СТР от 01.08.2022</v>
      </c>
      <c r="D57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1" t="str">
        <f ca="1">IFERROR(__xludf.DUMMYFUNCTION("""COMPUTED_VALUE"""),"Новый")</f>
        <v>Новый</v>
      </c>
      <c r="G5761" s="68"/>
      <c r="K5761" s="68"/>
    </row>
    <row r="5762" spans="1:11" ht="12.75">
      <c r="A5762" s="69">
        <f ca="1">IFERROR(__xludf.DUMMYFUNCTION("""COMPUTED_VALUE"""),106800)</f>
        <v>106800</v>
      </c>
      <c r="B5762" s="4">
        <f ca="1">IFERROR(__xludf.DUMMYFUNCTION("""COMPUTED_VALUE"""),44818)</f>
        <v>44818</v>
      </c>
      <c r="C5762" t="str">
        <f ca="1">IFERROR(__xludf.DUMMYFUNCTION("""COMPUTED_VALUE"""),"АО ""ЦКБА"" 155-СТР от 01.08.2022")</f>
        <v>АО "ЦКБА" 155-СТР от 01.08.2022</v>
      </c>
      <c r="D57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2" t="str">
        <f ca="1">IFERROR(__xludf.DUMMYFUNCTION("""COMPUTED_VALUE"""),"Новый")</f>
        <v>Новый</v>
      </c>
      <c r="G5762" s="68"/>
      <c r="K5762" s="68"/>
    </row>
    <row r="5763" spans="1:11" ht="12.75">
      <c r="A5763" s="69">
        <f ca="1">IFERROR(__xludf.DUMMYFUNCTION("""COMPUTED_VALUE"""),106801)</f>
        <v>106801</v>
      </c>
      <c r="B5763" s="4">
        <f ca="1">IFERROR(__xludf.DUMMYFUNCTION("""COMPUTED_VALUE"""),44818)</f>
        <v>44818</v>
      </c>
      <c r="C5763" t="str">
        <f ca="1">IFERROR(__xludf.DUMMYFUNCTION("""COMPUTED_VALUE"""),"АО ""ЦКБА"" 155-СТР от 01.08.2022")</f>
        <v>АО "ЦКБА" 155-СТР от 01.08.2022</v>
      </c>
      <c r="D57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3" t="str">
        <f ca="1">IFERROR(__xludf.DUMMYFUNCTION("""COMPUTED_VALUE"""),"Новый")</f>
        <v>Новый</v>
      </c>
      <c r="G5763" s="68"/>
      <c r="K5763" s="68"/>
    </row>
    <row r="5764" spans="1:11" ht="12.75">
      <c r="A5764" s="69">
        <f ca="1">IFERROR(__xludf.DUMMYFUNCTION("""COMPUTED_VALUE"""),106802)</f>
        <v>106802</v>
      </c>
      <c r="B5764" s="4">
        <f ca="1">IFERROR(__xludf.DUMMYFUNCTION("""COMPUTED_VALUE"""),44818)</f>
        <v>44818</v>
      </c>
      <c r="C5764" t="str">
        <f ca="1">IFERROR(__xludf.DUMMYFUNCTION("""COMPUTED_VALUE"""),"АО ""ЦКБА"" 155-СТР от 01.08.2022")</f>
        <v>АО "ЦКБА" 155-СТР от 01.08.2022</v>
      </c>
      <c r="D57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4" t="str">
        <f ca="1">IFERROR(__xludf.DUMMYFUNCTION("""COMPUTED_VALUE"""),"Новый")</f>
        <v>Новый</v>
      </c>
      <c r="G5764" s="68"/>
      <c r="K5764" s="68"/>
    </row>
    <row r="5765" spans="1:11" ht="12.75">
      <c r="A5765" s="69">
        <f ca="1">IFERROR(__xludf.DUMMYFUNCTION("""COMPUTED_VALUE"""),106803)</f>
        <v>106803</v>
      </c>
      <c r="B5765" s="4">
        <f ca="1">IFERROR(__xludf.DUMMYFUNCTION("""COMPUTED_VALUE"""),44818)</f>
        <v>44818</v>
      </c>
      <c r="C5765" t="str">
        <f ca="1">IFERROR(__xludf.DUMMYFUNCTION("""COMPUTED_VALUE"""),"АО ""ЦКБА"" 155-СТР от 01.08.2022")</f>
        <v>АО "ЦКБА" 155-СТР от 01.08.2022</v>
      </c>
      <c r="D57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5" t="str">
        <f ca="1">IFERROR(__xludf.DUMMYFUNCTION("""COMPUTED_VALUE"""),"Новый")</f>
        <v>Новый</v>
      </c>
      <c r="G5765" s="68"/>
      <c r="K5765" s="68"/>
    </row>
    <row r="5766" spans="1:11" ht="12.75">
      <c r="A5766" s="69">
        <f ca="1">IFERROR(__xludf.DUMMYFUNCTION("""COMPUTED_VALUE"""),106804)</f>
        <v>106804</v>
      </c>
      <c r="B5766" s="4">
        <f ca="1">IFERROR(__xludf.DUMMYFUNCTION("""COMPUTED_VALUE"""),44818)</f>
        <v>44818</v>
      </c>
      <c r="C5766" t="str">
        <f ca="1">IFERROR(__xludf.DUMMYFUNCTION("""COMPUTED_VALUE"""),"АО ""ЦКБА"" 155-СТР от 01.08.2022")</f>
        <v>АО "ЦКБА" 155-СТР от 01.08.2022</v>
      </c>
      <c r="D57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6" t="str">
        <f ca="1">IFERROR(__xludf.DUMMYFUNCTION("""COMPUTED_VALUE"""),"Новый")</f>
        <v>Новый</v>
      </c>
      <c r="G5766" s="68"/>
      <c r="K5766" s="68"/>
    </row>
    <row r="5767" spans="1:11" ht="12.75">
      <c r="A5767" s="69">
        <f ca="1">IFERROR(__xludf.DUMMYFUNCTION("""COMPUTED_VALUE"""),106805)</f>
        <v>106805</v>
      </c>
      <c r="B5767" s="4">
        <f ca="1">IFERROR(__xludf.DUMMYFUNCTION("""COMPUTED_VALUE"""),44818)</f>
        <v>44818</v>
      </c>
      <c r="C5767" t="str">
        <f ca="1">IFERROR(__xludf.DUMMYFUNCTION("""COMPUTED_VALUE"""),"АО ""ЦКБА"" 155-СТР от 01.08.2022")</f>
        <v>АО "ЦКБА" 155-СТР от 01.08.2022</v>
      </c>
      <c r="D57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7" t="str">
        <f ca="1">IFERROR(__xludf.DUMMYFUNCTION("""COMPUTED_VALUE"""),"Новый")</f>
        <v>Новый</v>
      </c>
      <c r="G5767" s="68"/>
      <c r="K5767" s="68"/>
    </row>
    <row r="5768" spans="1:11" ht="12.75">
      <c r="A5768" s="69">
        <f ca="1">IFERROR(__xludf.DUMMYFUNCTION("""COMPUTED_VALUE"""),106806)</f>
        <v>106806</v>
      </c>
      <c r="B5768" s="4">
        <f ca="1">IFERROR(__xludf.DUMMYFUNCTION("""COMPUTED_VALUE"""),44818)</f>
        <v>44818</v>
      </c>
      <c r="C5768" t="str">
        <f ca="1">IFERROR(__xludf.DUMMYFUNCTION("""COMPUTED_VALUE"""),"АО ""ЦКБА"" 155-СТР от 01.08.2022")</f>
        <v>АО "ЦКБА" 155-СТР от 01.08.2022</v>
      </c>
      <c r="D57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8" t="str">
        <f ca="1">IFERROR(__xludf.DUMMYFUNCTION("""COMPUTED_VALUE"""),"Новый")</f>
        <v>Новый</v>
      </c>
      <c r="G5768" s="68"/>
      <c r="K5768" s="68"/>
    </row>
    <row r="5769" spans="1:11" ht="12.75">
      <c r="A5769" s="69">
        <f ca="1">IFERROR(__xludf.DUMMYFUNCTION("""COMPUTED_VALUE"""),106807)</f>
        <v>106807</v>
      </c>
      <c r="B5769" s="4">
        <f ca="1">IFERROR(__xludf.DUMMYFUNCTION("""COMPUTED_VALUE"""),44818)</f>
        <v>44818</v>
      </c>
      <c r="C5769" t="str">
        <f ca="1">IFERROR(__xludf.DUMMYFUNCTION("""COMPUTED_VALUE"""),"АО ""ЦКБА"" 155-СТР от 01.08.2022")</f>
        <v>АО "ЦКБА" 155-СТР от 01.08.2022</v>
      </c>
      <c r="D57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69" t="str">
        <f ca="1">IFERROR(__xludf.DUMMYFUNCTION("""COMPUTED_VALUE"""),"Новый")</f>
        <v>Новый</v>
      </c>
      <c r="G5769" s="68"/>
      <c r="K5769" s="68"/>
    </row>
    <row r="5770" spans="1:11" ht="12.75">
      <c r="A5770" s="69">
        <f ca="1">IFERROR(__xludf.DUMMYFUNCTION("""COMPUTED_VALUE"""),106808)</f>
        <v>106808</v>
      </c>
      <c r="B5770" s="4">
        <f ca="1">IFERROR(__xludf.DUMMYFUNCTION("""COMPUTED_VALUE"""),44818)</f>
        <v>44818</v>
      </c>
      <c r="C5770" t="str">
        <f ca="1">IFERROR(__xludf.DUMMYFUNCTION("""COMPUTED_VALUE"""),"АО ""ЦКБА"" 155-СТР от 01.08.2022")</f>
        <v>АО "ЦКБА" 155-СТР от 01.08.2022</v>
      </c>
      <c r="D57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0" t="str">
        <f ca="1">IFERROR(__xludf.DUMMYFUNCTION("""COMPUTED_VALUE"""),"Новый")</f>
        <v>Новый</v>
      </c>
      <c r="G5770" s="68"/>
      <c r="K5770" s="68"/>
    </row>
    <row r="5771" spans="1:11" ht="12.75">
      <c r="A5771" s="69">
        <f ca="1">IFERROR(__xludf.DUMMYFUNCTION("""COMPUTED_VALUE"""),106809)</f>
        <v>106809</v>
      </c>
      <c r="B5771" s="4">
        <f ca="1">IFERROR(__xludf.DUMMYFUNCTION("""COMPUTED_VALUE"""),44818)</f>
        <v>44818</v>
      </c>
      <c r="C5771" t="str">
        <f ca="1">IFERROR(__xludf.DUMMYFUNCTION("""COMPUTED_VALUE"""),"АО ""ЦКБА"" 155-СТР от 01.08.2022")</f>
        <v>АО "ЦКБА" 155-СТР от 01.08.2022</v>
      </c>
      <c r="D57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1" t="str">
        <f ca="1">IFERROR(__xludf.DUMMYFUNCTION("""COMPUTED_VALUE"""),"Новый")</f>
        <v>Новый</v>
      </c>
      <c r="G5771" s="68"/>
      <c r="K5771" s="68"/>
    </row>
    <row r="5772" spans="1:11" ht="12.75">
      <c r="A5772" s="69">
        <f ca="1">IFERROR(__xludf.DUMMYFUNCTION("""COMPUTED_VALUE"""),106810)</f>
        <v>106810</v>
      </c>
      <c r="B5772" s="4">
        <f ca="1">IFERROR(__xludf.DUMMYFUNCTION("""COMPUTED_VALUE"""),44818)</f>
        <v>44818</v>
      </c>
      <c r="C5772" t="str">
        <f ca="1">IFERROR(__xludf.DUMMYFUNCTION("""COMPUTED_VALUE"""),"АО ""ЦКБА"" 155-СТР от 01.08.2022")</f>
        <v>АО "ЦКБА" 155-СТР от 01.08.2022</v>
      </c>
      <c r="D57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2" t="str">
        <f ca="1">IFERROR(__xludf.DUMMYFUNCTION("""COMPUTED_VALUE"""),"Новый")</f>
        <v>Новый</v>
      </c>
      <c r="G5772" s="68"/>
      <c r="K5772" s="68"/>
    </row>
    <row r="5773" spans="1:11" ht="12.75">
      <c r="A5773" s="69">
        <f ca="1">IFERROR(__xludf.DUMMYFUNCTION("""COMPUTED_VALUE"""),106811)</f>
        <v>106811</v>
      </c>
      <c r="B5773" s="4">
        <f ca="1">IFERROR(__xludf.DUMMYFUNCTION("""COMPUTED_VALUE"""),44818)</f>
        <v>44818</v>
      </c>
      <c r="C5773" t="str">
        <f ca="1">IFERROR(__xludf.DUMMYFUNCTION("""COMPUTED_VALUE"""),"АО ""ЦКБА"" 155-СТР от 01.08.2022")</f>
        <v>АО "ЦКБА" 155-СТР от 01.08.2022</v>
      </c>
      <c r="D57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3" t="str">
        <f ca="1">IFERROR(__xludf.DUMMYFUNCTION("""COMPUTED_VALUE"""),"Новый")</f>
        <v>Новый</v>
      </c>
      <c r="G5773" s="68"/>
      <c r="K5773" s="68"/>
    </row>
    <row r="5774" spans="1:11" ht="12.75">
      <c r="A5774" s="69">
        <f ca="1">IFERROR(__xludf.DUMMYFUNCTION("""COMPUTED_VALUE"""),106812)</f>
        <v>106812</v>
      </c>
      <c r="B5774" s="4">
        <f ca="1">IFERROR(__xludf.DUMMYFUNCTION("""COMPUTED_VALUE"""),44818)</f>
        <v>44818</v>
      </c>
      <c r="C5774" t="str">
        <f ca="1">IFERROR(__xludf.DUMMYFUNCTION("""COMPUTED_VALUE"""),"АО ""ЦКБА"" 155-СТР от 01.08.2022")</f>
        <v>АО "ЦКБА" 155-СТР от 01.08.2022</v>
      </c>
      <c r="D57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4" t="str">
        <f ca="1">IFERROR(__xludf.DUMMYFUNCTION("""COMPUTED_VALUE"""),"Новый")</f>
        <v>Новый</v>
      </c>
      <c r="G5774" s="68"/>
      <c r="K5774" s="68"/>
    </row>
    <row r="5775" spans="1:11" ht="12.75">
      <c r="A5775" s="69">
        <f ca="1">IFERROR(__xludf.DUMMYFUNCTION("""COMPUTED_VALUE"""),106813)</f>
        <v>106813</v>
      </c>
      <c r="B5775" s="4">
        <f ca="1">IFERROR(__xludf.DUMMYFUNCTION("""COMPUTED_VALUE"""),44818)</f>
        <v>44818</v>
      </c>
      <c r="C5775" t="str">
        <f ca="1">IFERROR(__xludf.DUMMYFUNCTION("""COMPUTED_VALUE"""),"АО ""ЦКБА"" 155-СТР от 01.08.2022")</f>
        <v>АО "ЦКБА" 155-СТР от 01.08.2022</v>
      </c>
      <c r="D57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5" t="str">
        <f ca="1">IFERROR(__xludf.DUMMYFUNCTION("""COMPUTED_VALUE"""),"Новый")</f>
        <v>Новый</v>
      </c>
      <c r="G5775" s="68"/>
      <c r="K5775" s="68"/>
    </row>
    <row r="5776" spans="1:11" ht="12.75">
      <c r="A5776" s="69">
        <f ca="1">IFERROR(__xludf.DUMMYFUNCTION("""COMPUTED_VALUE"""),106814)</f>
        <v>106814</v>
      </c>
      <c r="B5776" s="4">
        <f ca="1">IFERROR(__xludf.DUMMYFUNCTION("""COMPUTED_VALUE"""),44818)</f>
        <v>44818</v>
      </c>
      <c r="C5776" t="str">
        <f ca="1">IFERROR(__xludf.DUMMYFUNCTION("""COMPUTED_VALUE"""),"АО ""ЦКБА"" 155-СТР от 01.08.2022")</f>
        <v>АО "ЦКБА" 155-СТР от 01.08.2022</v>
      </c>
      <c r="D57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6" t="str">
        <f ca="1">IFERROR(__xludf.DUMMYFUNCTION("""COMPUTED_VALUE"""),"Новый")</f>
        <v>Новый</v>
      </c>
      <c r="G5776" s="68"/>
      <c r="K5776" s="68"/>
    </row>
    <row r="5777" spans="1:11" ht="12.75">
      <c r="A5777" s="69">
        <f ca="1">IFERROR(__xludf.DUMMYFUNCTION("""COMPUTED_VALUE"""),106815)</f>
        <v>106815</v>
      </c>
      <c r="B5777" s="4">
        <f ca="1">IFERROR(__xludf.DUMMYFUNCTION("""COMPUTED_VALUE"""),44818)</f>
        <v>44818</v>
      </c>
      <c r="C5777" t="str">
        <f ca="1">IFERROR(__xludf.DUMMYFUNCTION("""COMPUTED_VALUE"""),"АО ""ЦКБА"" 155-СТР от 01.08.2022")</f>
        <v>АО "ЦКБА" 155-СТР от 01.08.2022</v>
      </c>
      <c r="D57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7" t="str">
        <f ca="1">IFERROR(__xludf.DUMMYFUNCTION("""COMPUTED_VALUE"""),"Новый")</f>
        <v>Новый</v>
      </c>
      <c r="G5777" s="68"/>
      <c r="K5777" s="68"/>
    </row>
    <row r="5778" spans="1:11" ht="12.75">
      <c r="A5778" s="69">
        <f ca="1">IFERROR(__xludf.DUMMYFUNCTION("""COMPUTED_VALUE"""),106822)</f>
        <v>106822</v>
      </c>
      <c r="B5778" s="4">
        <f ca="1">IFERROR(__xludf.DUMMYFUNCTION("""COMPUTED_VALUE"""),44818)</f>
        <v>44818</v>
      </c>
      <c r="C5778" t="str">
        <f ca="1">IFERROR(__xludf.DUMMYFUNCTION("""COMPUTED_VALUE"""),"АО ""ЦКБА"" 155-СТР от 01.08.2022")</f>
        <v>АО "ЦКБА" 155-СТР от 01.08.2022</v>
      </c>
      <c r="D57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8" t="str">
        <f ca="1">IFERROR(__xludf.DUMMYFUNCTION("""COMPUTED_VALUE"""),"Новый")</f>
        <v>Новый</v>
      </c>
      <c r="G5778" s="68"/>
      <c r="K5778" s="68"/>
    </row>
    <row r="5779" spans="1:11" ht="12.75">
      <c r="A5779" s="69">
        <f ca="1">IFERROR(__xludf.DUMMYFUNCTION("""COMPUTED_VALUE"""),106823)</f>
        <v>106823</v>
      </c>
      <c r="B5779" s="4">
        <f ca="1">IFERROR(__xludf.DUMMYFUNCTION("""COMPUTED_VALUE"""),44818)</f>
        <v>44818</v>
      </c>
      <c r="C5779" t="str">
        <f ca="1">IFERROR(__xludf.DUMMYFUNCTION("""COMPUTED_VALUE"""),"АО ""ЦКБА"" 155-СТР от 01.08.2022")</f>
        <v>АО "ЦКБА" 155-СТР от 01.08.2022</v>
      </c>
      <c r="D57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79" t="str">
        <f ca="1">IFERROR(__xludf.DUMMYFUNCTION("""COMPUTED_VALUE"""),"Новый")</f>
        <v>Новый</v>
      </c>
      <c r="G5779" s="68"/>
      <c r="K5779" s="68"/>
    </row>
    <row r="5780" spans="1:11" ht="12.75">
      <c r="A5780" s="69">
        <f ca="1">IFERROR(__xludf.DUMMYFUNCTION("""COMPUTED_VALUE"""),106824)</f>
        <v>106824</v>
      </c>
      <c r="B5780" s="4">
        <f ca="1">IFERROR(__xludf.DUMMYFUNCTION("""COMPUTED_VALUE"""),44818)</f>
        <v>44818</v>
      </c>
      <c r="C5780" t="str">
        <f ca="1">IFERROR(__xludf.DUMMYFUNCTION("""COMPUTED_VALUE"""),"АО ""ЦКБА"" 155-СТР от 01.08.2022")</f>
        <v>АО "ЦКБА" 155-СТР от 01.08.2022</v>
      </c>
      <c r="D57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0" t="str">
        <f ca="1">IFERROR(__xludf.DUMMYFUNCTION("""COMPUTED_VALUE"""),"Новый")</f>
        <v>Новый</v>
      </c>
      <c r="G5780" s="68"/>
      <c r="K5780" s="68"/>
    </row>
    <row r="5781" spans="1:11" ht="12.75">
      <c r="A5781" s="69">
        <f ca="1">IFERROR(__xludf.DUMMYFUNCTION("""COMPUTED_VALUE"""),106825)</f>
        <v>106825</v>
      </c>
      <c r="B5781" s="4">
        <f ca="1">IFERROR(__xludf.DUMMYFUNCTION("""COMPUTED_VALUE"""),44818)</f>
        <v>44818</v>
      </c>
      <c r="C5781" t="str">
        <f ca="1">IFERROR(__xludf.DUMMYFUNCTION("""COMPUTED_VALUE"""),"АО ""ЦКБА"" 155-СТР от 01.08.2022")</f>
        <v>АО "ЦКБА" 155-СТР от 01.08.2022</v>
      </c>
      <c r="D57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1" t="str">
        <f ca="1">IFERROR(__xludf.DUMMYFUNCTION("""COMPUTED_VALUE"""),"Новый")</f>
        <v>Новый</v>
      </c>
      <c r="G5781" s="68"/>
      <c r="K5781" s="68"/>
    </row>
    <row r="5782" spans="1:11" ht="12.75">
      <c r="A5782" s="69">
        <f ca="1">IFERROR(__xludf.DUMMYFUNCTION("""COMPUTED_VALUE"""),106826)</f>
        <v>106826</v>
      </c>
      <c r="B5782" s="4">
        <f ca="1">IFERROR(__xludf.DUMMYFUNCTION("""COMPUTED_VALUE"""),44818)</f>
        <v>44818</v>
      </c>
      <c r="C5782" t="str">
        <f ca="1">IFERROR(__xludf.DUMMYFUNCTION("""COMPUTED_VALUE"""),"АО ""ЦКБА"" 155-СТР от 01.08.2022")</f>
        <v>АО "ЦКБА" 155-СТР от 01.08.2022</v>
      </c>
      <c r="D57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2" t="str">
        <f ca="1">IFERROR(__xludf.DUMMYFUNCTION("""COMPUTED_VALUE"""),"Новый")</f>
        <v>Новый</v>
      </c>
      <c r="G5782" s="68"/>
      <c r="K5782" s="68"/>
    </row>
    <row r="5783" spans="1:11" ht="12.75">
      <c r="A5783" s="69">
        <f ca="1">IFERROR(__xludf.DUMMYFUNCTION("""COMPUTED_VALUE"""),106827)</f>
        <v>106827</v>
      </c>
      <c r="B5783" s="4">
        <f ca="1">IFERROR(__xludf.DUMMYFUNCTION("""COMPUTED_VALUE"""),44818)</f>
        <v>44818</v>
      </c>
      <c r="C5783" t="str">
        <f ca="1">IFERROR(__xludf.DUMMYFUNCTION("""COMPUTED_VALUE"""),"АО ""ЦКБА"" 155-СТР от 01.08.2022")</f>
        <v>АО "ЦКБА" 155-СТР от 01.08.2022</v>
      </c>
      <c r="D57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3" t="str">
        <f ca="1">IFERROR(__xludf.DUMMYFUNCTION("""COMPUTED_VALUE"""),"Новый")</f>
        <v>Новый</v>
      </c>
      <c r="G5783" s="68"/>
      <c r="K5783" s="68"/>
    </row>
    <row r="5784" spans="1:11" ht="12.75">
      <c r="A5784" s="69">
        <f ca="1">IFERROR(__xludf.DUMMYFUNCTION("""COMPUTED_VALUE"""),106828)</f>
        <v>106828</v>
      </c>
      <c r="B5784" s="4">
        <f ca="1">IFERROR(__xludf.DUMMYFUNCTION("""COMPUTED_VALUE"""),44818)</f>
        <v>44818</v>
      </c>
      <c r="C5784" t="str">
        <f ca="1">IFERROR(__xludf.DUMMYFUNCTION("""COMPUTED_VALUE"""),"АО ""ЦКБА"" 155-СТР от 01.08.2022")</f>
        <v>АО "ЦКБА" 155-СТР от 01.08.2022</v>
      </c>
      <c r="D57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4" t="str">
        <f ca="1">IFERROR(__xludf.DUMMYFUNCTION("""COMPUTED_VALUE"""),"Новый")</f>
        <v>Новый</v>
      </c>
      <c r="G5784" s="68"/>
      <c r="K5784" s="68"/>
    </row>
    <row r="5785" spans="1:11" ht="12.75">
      <c r="A5785" s="69">
        <f ca="1">IFERROR(__xludf.DUMMYFUNCTION("""COMPUTED_VALUE"""),106829)</f>
        <v>106829</v>
      </c>
      <c r="B5785" s="4">
        <f ca="1">IFERROR(__xludf.DUMMYFUNCTION("""COMPUTED_VALUE"""),44818)</f>
        <v>44818</v>
      </c>
      <c r="C5785" t="str">
        <f ca="1">IFERROR(__xludf.DUMMYFUNCTION("""COMPUTED_VALUE"""),"АО ""ЦКБА"" 155-СТР от 01.08.2022")</f>
        <v>АО "ЦКБА" 155-СТР от 01.08.2022</v>
      </c>
      <c r="D57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5" t="str">
        <f ca="1">IFERROR(__xludf.DUMMYFUNCTION("""COMPUTED_VALUE"""),"Новый")</f>
        <v>Новый</v>
      </c>
      <c r="G5785" s="68"/>
      <c r="K5785" s="68"/>
    </row>
    <row r="5786" spans="1:11" ht="12.75">
      <c r="A5786" s="69">
        <f ca="1">IFERROR(__xludf.DUMMYFUNCTION("""COMPUTED_VALUE"""),106830)</f>
        <v>106830</v>
      </c>
      <c r="B5786" s="4">
        <f ca="1">IFERROR(__xludf.DUMMYFUNCTION("""COMPUTED_VALUE"""),44818)</f>
        <v>44818</v>
      </c>
      <c r="C5786" t="str">
        <f ca="1">IFERROR(__xludf.DUMMYFUNCTION("""COMPUTED_VALUE"""),"АО ""ЦКБА"" 155-СТР от 01.08.2022")</f>
        <v>АО "ЦКБА" 155-СТР от 01.08.2022</v>
      </c>
      <c r="D57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6" t="str">
        <f ca="1">IFERROR(__xludf.DUMMYFUNCTION("""COMPUTED_VALUE"""),"Новый")</f>
        <v>Новый</v>
      </c>
      <c r="G5786" s="68"/>
      <c r="K5786" s="68"/>
    </row>
    <row r="5787" spans="1:11" ht="12.75">
      <c r="A5787" s="69">
        <f ca="1">IFERROR(__xludf.DUMMYFUNCTION("""COMPUTED_VALUE"""),106831)</f>
        <v>106831</v>
      </c>
      <c r="B5787" s="4">
        <f ca="1">IFERROR(__xludf.DUMMYFUNCTION("""COMPUTED_VALUE"""),44818)</f>
        <v>44818</v>
      </c>
      <c r="C5787" t="str">
        <f ca="1">IFERROR(__xludf.DUMMYFUNCTION("""COMPUTED_VALUE"""),"АО ""ЦКБА"" 155-СТР от 01.08.2022")</f>
        <v>АО "ЦКБА" 155-СТР от 01.08.2022</v>
      </c>
      <c r="D57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7" t="str">
        <f ca="1">IFERROR(__xludf.DUMMYFUNCTION("""COMPUTED_VALUE"""),"Новый")</f>
        <v>Новый</v>
      </c>
      <c r="G5787" s="68"/>
      <c r="K5787" s="68"/>
    </row>
    <row r="5788" spans="1:11" ht="12.75">
      <c r="A5788" s="69">
        <f ca="1">IFERROR(__xludf.DUMMYFUNCTION("""COMPUTED_VALUE"""),106832)</f>
        <v>106832</v>
      </c>
      <c r="B5788" s="4">
        <f ca="1">IFERROR(__xludf.DUMMYFUNCTION("""COMPUTED_VALUE"""),44818)</f>
        <v>44818</v>
      </c>
      <c r="C5788" t="str">
        <f ca="1">IFERROR(__xludf.DUMMYFUNCTION("""COMPUTED_VALUE"""),"АО ""ЦКБА"" 155-СТР от 01.08.2022")</f>
        <v>АО "ЦКБА" 155-СТР от 01.08.2022</v>
      </c>
      <c r="D57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8" t="str">
        <f ca="1">IFERROR(__xludf.DUMMYFUNCTION("""COMPUTED_VALUE"""),"Новый")</f>
        <v>Новый</v>
      </c>
      <c r="G5788" s="68"/>
      <c r="K5788" s="68"/>
    </row>
    <row r="5789" spans="1:11" ht="12.75">
      <c r="A5789" s="69">
        <f ca="1">IFERROR(__xludf.DUMMYFUNCTION("""COMPUTED_VALUE"""),106833)</f>
        <v>106833</v>
      </c>
      <c r="B5789" s="4">
        <f ca="1">IFERROR(__xludf.DUMMYFUNCTION("""COMPUTED_VALUE"""),44818)</f>
        <v>44818</v>
      </c>
      <c r="C5789" t="str">
        <f ca="1">IFERROR(__xludf.DUMMYFUNCTION("""COMPUTED_VALUE"""),"АО ""ЦКБА"" 155-СТР от 01.08.2022")</f>
        <v>АО "ЦКБА" 155-СТР от 01.08.2022</v>
      </c>
      <c r="D57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89" t="str">
        <f ca="1">IFERROR(__xludf.DUMMYFUNCTION("""COMPUTED_VALUE"""),"Новый")</f>
        <v>Новый</v>
      </c>
      <c r="G5789" s="68"/>
      <c r="K5789" s="68"/>
    </row>
    <row r="5790" spans="1:11" ht="12.75">
      <c r="A5790" s="69">
        <f ca="1">IFERROR(__xludf.DUMMYFUNCTION("""COMPUTED_VALUE"""),106834)</f>
        <v>106834</v>
      </c>
      <c r="B5790" s="4">
        <f ca="1">IFERROR(__xludf.DUMMYFUNCTION("""COMPUTED_VALUE"""),44818)</f>
        <v>44818</v>
      </c>
      <c r="C5790" t="str">
        <f ca="1">IFERROR(__xludf.DUMMYFUNCTION("""COMPUTED_VALUE"""),"АО ""ЦКБА"" 155-СТР от 01.08.2022")</f>
        <v>АО "ЦКБА" 155-СТР от 01.08.2022</v>
      </c>
      <c r="D57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90" t="str">
        <f ca="1">IFERROR(__xludf.DUMMYFUNCTION("""COMPUTED_VALUE"""),"Новый")</f>
        <v>Новый</v>
      </c>
      <c r="G5790" s="68"/>
      <c r="K5790" s="68"/>
    </row>
    <row r="5791" spans="1:11" ht="12.75">
      <c r="A5791" s="69">
        <f ca="1">IFERROR(__xludf.DUMMYFUNCTION("""COMPUTED_VALUE"""),106835)</f>
        <v>106835</v>
      </c>
      <c r="B5791" s="4">
        <f ca="1">IFERROR(__xludf.DUMMYFUNCTION("""COMPUTED_VALUE"""),44818)</f>
        <v>44818</v>
      </c>
      <c r="C5791" t="str">
        <f ca="1">IFERROR(__xludf.DUMMYFUNCTION("""COMPUTED_VALUE"""),"АО ""ЦКБА"" 155-СТР от 01.08.2022")</f>
        <v>АО "ЦКБА" 155-СТР от 01.08.2022</v>
      </c>
      <c r="D57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791" t="str">
        <f ca="1">IFERROR(__xludf.DUMMYFUNCTION("""COMPUTED_VALUE"""),"Новый")</f>
        <v>Новый</v>
      </c>
      <c r="G5791" s="68"/>
      <c r="K5791" s="68"/>
    </row>
    <row r="5792" spans="1:11" ht="12.75">
      <c r="A5792" s="69">
        <f ca="1">IFERROR(__xludf.DUMMYFUNCTION("""COMPUTED_VALUE"""),106836)</f>
        <v>106836</v>
      </c>
      <c r="B5792" s="4">
        <f ca="1">IFERROR(__xludf.DUMMYFUNCTION("""COMPUTED_VALUE"""),44818)</f>
        <v>44818</v>
      </c>
      <c r="C5792" t="str">
        <f ca="1">IFERROR(__xludf.DUMMYFUNCTION("""COMPUTED_VALUE"""),"АО ""ЦКБА"" 134-РДО от 15.03.2022")</f>
        <v>АО "ЦКБА" 134-РДО от 15.03.2022</v>
      </c>
      <c r="D57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2" t="str">
        <f ca="1">IFERROR(__xludf.DUMMYFUNCTION("""COMPUTED_VALUE"""),"Новый")</f>
        <v>Новый</v>
      </c>
      <c r="G5792" s="68"/>
      <c r="K5792" s="68"/>
    </row>
    <row r="5793" spans="1:11" ht="12.75">
      <c r="A5793" s="69">
        <f ca="1">IFERROR(__xludf.DUMMYFUNCTION("""COMPUTED_VALUE"""),106837)</f>
        <v>106837</v>
      </c>
      <c r="B5793" s="4">
        <f ca="1">IFERROR(__xludf.DUMMYFUNCTION("""COMPUTED_VALUE"""),44818)</f>
        <v>44818</v>
      </c>
      <c r="C5793" t="str">
        <f ca="1">IFERROR(__xludf.DUMMYFUNCTION("""COMPUTED_VALUE"""),"АО ""ЦКБА"" 134-РДО от 15.03.2022")</f>
        <v>АО "ЦКБА" 134-РДО от 15.03.2022</v>
      </c>
      <c r="D57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3" t="str">
        <f ca="1">IFERROR(__xludf.DUMMYFUNCTION("""COMPUTED_VALUE"""),"Новый")</f>
        <v>Новый</v>
      </c>
      <c r="G5793" s="68"/>
      <c r="K5793" s="68"/>
    </row>
    <row r="5794" spans="1:11" ht="12.75">
      <c r="A5794" s="69">
        <f ca="1">IFERROR(__xludf.DUMMYFUNCTION("""COMPUTED_VALUE"""),106838)</f>
        <v>106838</v>
      </c>
      <c r="B5794" s="4">
        <f ca="1">IFERROR(__xludf.DUMMYFUNCTION("""COMPUTED_VALUE"""),44818)</f>
        <v>44818</v>
      </c>
      <c r="C5794" t="str">
        <f ca="1">IFERROR(__xludf.DUMMYFUNCTION("""COMPUTED_VALUE"""),"АО ""ЦКБА"" 134-РДО от 15.03.2022")</f>
        <v>АО "ЦКБА" 134-РДО от 15.03.2022</v>
      </c>
      <c r="D57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4" t="str">
        <f ca="1">IFERROR(__xludf.DUMMYFUNCTION("""COMPUTED_VALUE"""),"Новый")</f>
        <v>Новый</v>
      </c>
      <c r="G5794" s="68"/>
      <c r="K5794" s="68"/>
    </row>
    <row r="5795" spans="1:11" ht="12.75">
      <c r="A5795" s="69">
        <f ca="1">IFERROR(__xludf.DUMMYFUNCTION("""COMPUTED_VALUE"""),106839)</f>
        <v>106839</v>
      </c>
      <c r="B5795" s="4">
        <f ca="1">IFERROR(__xludf.DUMMYFUNCTION("""COMPUTED_VALUE"""),44818)</f>
        <v>44818</v>
      </c>
      <c r="C5795" t="str">
        <f ca="1">IFERROR(__xludf.DUMMYFUNCTION("""COMPUTED_VALUE"""),"АО ""ЦКБА"" 134-РДО от 15.03.2022")</f>
        <v>АО "ЦКБА" 134-РДО от 15.03.2022</v>
      </c>
      <c r="D57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5" t="str">
        <f ca="1">IFERROR(__xludf.DUMMYFUNCTION("""COMPUTED_VALUE"""),"Новый")</f>
        <v>Новый</v>
      </c>
      <c r="G5795" s="68"/>
      <c r="K5795" s="68"/>
    </row>
    <row r="5796" spans="1:11" ht="12.75">
      <c r="A5796" s="69">
        <f ca="1">IFERROR(__xludf.DUMMYFUNCTION("""COMPUTED_VALUE"""),106840)</f>
        <v>106840</v>
      </c>
      <c r="B5796" s="4">
        <f ca="1">IFERROR(__xludf.DUMMYFUNCTION("""COMPUTED_VALUE"""),44818)</f>
        <v>44818</v>
      </c>
      <c r="C5796" t="str">
        <f ca="1">IFERROR(__xludf.DUMMYFUNCTION("""COMPUTED_VALUE"""),"АО ""ЦКБА"" 134-РДО от 15.03.2022")</f>
        <v>АО "ЦКБА" 134-РДО от 15.03.2022</v>
      </c>
      <c r="D57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6" t="str">
        <f ca="1">IFERROR(__xludf.DUMMYFUNCTION("""COMPUTED_VALUE"""),"Новый")</f>
        <v>Новый</v>
      </c>
      <c r="G5796" s="68"/>
      <c r="K5796" s="68"/>
    </row>
    <row r="5797" spans="1:11" ht="12.75">
      <c r="A5797" s="69">
        <f ca="1">IFERROR(__xludf.DUMMYFUNCTION("""COMPUTED_VALUE"""),106841)</f>
        <v>106841</v>
      </c>
      <c r="B5797" s="4">
        <f ca="1">IFERROR(__xludf.DUMMYFUNCTION("""COMPUTED_VALUE"""),44818)</f>
        <v>44818</v>
      </c>
      <c r="C5797" t="str">
        <f ca="1">IFERROR(__xludf.DUMMYFUNCTION("""COMPUTED_VALUE"""),"АО ""ЦКБА"" 134-РДО от 15.03.2022")</f>
        <v>АО "ЦКБА" 134-РДО от 15.03.2022</v>
      </c>
      <c r="D57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7" t="str">
        <f ca="1">IFERROR(__xludf.DUMMYFUNCTION("""COMPUTED_VALUE"""),"Новый")</f>
        <v>Новый</v>
      </c>
      <c r="G5797" s="68"/>
      <c r="K5797" s="68"/>
    </row>
    <row r="5798" spans="1:11" ht="12.75">
      <c r="A5798" s="69">
        <f ca="1">IFERROR(__xludf.DUMMYFUNCTION("""COMPUTED_VALUE"""),106870)</f>
        <v>106870</v>
      </c>
      <c r="B5798" s="4">
        <f ca="1">IFERROR(__xludf.DUMMYFUNCTION("""COMPUTED_VALUE"""),44819)</f>
        <v>44819</v>
      </c>
      <c r="C5798" t="str">
        <f ca="1">IFERROR(__xludf.DUMMYFUNCTION("""COMPUTED_VALUE"""),"КУ ГОРОДА ОМСКА ""ЦСПН"" 179-РДО")</f>
        <v>КУ ГОРОДА ОМСКА "ЦСПН" 179-РДО</v>
      </c>
      <c r="D57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8" t="str">
        <f ca="1">IFERROR(__xludf.DUMMYFUNCTION("""COMPUTED_VALUE"""),"Новый")</f>
        <v>Новый</v>
      </c>
      <c r="G5798" s="68"/>
      <c r="K5798" s="68"/>
    </row>
    <row r="5799" spans="1:11" ht="12.75">
      <c r="A5799" s="69">
        <f ca="1">IFERROR(__xludf.DUMMYFUNCTION("""COMPUTED_VALUE"""),106871)</f>
        <v>106871</v>
      </c>
      <c r="B5799" s="4">
        <f ca="1">IFERROR(__xludf.DUMMYFUNCTION("""COMPUTED_VALUE"""),44819)</f>
        <v>44819</v>
      </c>
      <c r="C5799" t="str">
        <f ca="1">IFERROR(__xludf.DUMMYFUNCTION("""COMPUTED_VALUE"""),"КУ ГОРОДА ОМСКА ""ЦСПН"" 179-РДО")</f>
        <v>КУ ГОРОДА ОМСКА "ЦСПН" 179-РДО</v>
      </c>
      <c r="D57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799" t="str">
        <f ca="1">IFERROR(__xludf.DUMMYFUNCTION("""COMPUTED_VALUE"""),"Новый")</f>
        <v>Новый</v>
      </c>
      <c r="G5799" s="68"/>
      <c r="K5799" s="68"/>
    </row>
    <row r="5800" spans="1:11" ht="12.75">
      <c r="A5800" s="69">
        <f ca="1">IFERROR(__xludf.DUMMYFUNCTION("""COMPUTED_VALUE"""),106872)</f>
        <v>106872</v>
      </c>
      <c r="B5800" s="4">
        <f ca="1">IFERROR(__xludf.DUMMYFUNCTION("""COMPUTED_VALUE"""),44819)</f>
        <v>44819</v>
      </c>
      <c r="C5800" t="str">
        <f ca="1">IFERROR(__xludf.DUMMYFUNCTION("""COMPUTED_VALUE"""),"ООО ""ТРАНССЕРВИС"" 159-СТР от 01.08.2022")</f>
        <v>ООО "ТРАНССЕРВИС" 159-СТР от 01.08.2022</v>
      </c>
      <c r="D58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0" t="str">
        <f ca="1">IFERROR(__xludf.DUMMYFUNCTION("""COMPUTED_VALUE"""),"Новый")</f>
        <v>Новый</v>
      </c>
      <c r="G5800" s="68"/>
      <c r="K5800" s="68"/>
    </row>
    <row r="5801" spans="1:11" ht="12.75">
      <c r="A5801" s="69">
        <f ca="1">IFERROR(__xludf.DUMMYFUNCTION("""COMPUTED_VALUE"""),106873)</f>
        <v>106873</v>
      </c>
      <c r="B5801" s="4">
        <f ca="1">IFERROR(__xludf.DUMMYFUNCTION("""COMPUTED_VALUE"""),44819)</f>
        <v>44819</v>
      </c>
      <c r="C5801" t="str">
        <f ca="1">IFERROR(__xludf.DUMMYFUNCTION("""COMPUTED_VALUE"""),"ООО ""ТРАНССЕРВИС"" 159-СТР от 01.08.2022")</f>
        <v>ООО "ТРАНССЕРВИС" 159-СТР от 01.08.2022</v>
      </c>
      <c r="D58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1" t="str">
        <f ca="1">IFERROR(__xludf.DUMMYFUNCTION("""COMPUTED_VALUE"""),"Новый")</f>
        <v>Новый</v>
      </c>
      <c r="G5801" s="68"/>
      <c r="K5801" s="68"/>
    </row>
    <row r="5802" spans="1:11" ht="12.75">
      <c r="A5802" s="69">
        <f ca="1">IFERROR(__xludf.DUMMYFUNCTION("""COMPUTED_VALUE"""),106874)</f>
        <v>106874</v>
      </c>
      <c r="B5802" s="4">
        <f ca="1">IFERROR(__xludf.DUMMYFUNCTION("""COMPUTED_VALUE"""),44819)</f>
        <v>44819</v>
      </c>
      <c r="C5802" t="str">
        <f ca="1">IFERROR(__xludf.DUMMYFUNCTION("""COMPUTED_VALUE"""),"ООО ""ТРАНССЕРВИС"" 159-СТР от 01.08.2022")</f>
        <v>ООО "ТРАНССЕРВИС" 159-СТР от 01.08.2022</v>
      </c>
      <c r="D58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2" t="str">
        <f ca="1">IFERROR(__xludf.DUMMYFUNCTION("""COMPUTED_VALUE"""),"Новый")</f>
        <v>Новый</v>
      </c>
      <c r="G5802" s="68"/>
      <c r="K5802" s="68"/>
    </row>
    <row r="5803" spans="1:11" ht="12.75">
      <c r="A5803" s="69">
        <f ca="1">IFERROR(__xludf.DUMMYFUNCTION("""COMPUTED_VALUE"""),106875)</f>
        <v>106875</v>
      </c>
      <c r="B5803" s="4">
        <f ca="1">IFERROR(__xludf.DUMMYFUNCTION("""COMPUTED_VALUE"""),44819)</f>
        <v>44819</v>
      </c>
      <c r="C5803" t="str">
        <f ca="1">IFERROR(__xludf.DUMMYFUNCTION("""COMPUTED_VALUE"""),"ООО ""ТРАНССЕРВИС"" 159-СТР от 01.08.2022")</f>
        <v>ООО "ТРАНССЕРВИС" 159-СТР от 01.08.2022</v>
      </c>
      <c r="D58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3" t="str">
        <f ca="1">IFERROR(__xludf.DUMMYFUNCTION("""COMPUTED_VALUE"""),"Новый")</f>
        <v>Новый</v>
      </c>
      <c r="G5803" s="68"/>
      <c r="K5803" s="68"/>
    </row>
    <row r="5804" spans="1:11" ht="12.75">
      <c r="A5804" s="69">
        <f ca="1">IFERROR(__xludf.DUMMYFUNCTION("""COMPUTED_VALUE"""),106884)</f>
        <v>106884</v>
      </c>
      <c r="B5804" s="4">
        <f ca="1">IFERROR(__xludf.DUMMYFUNCTION("""COMPUTED_VALUE"""),44819)</f>
        <v>44819</v>
      </c>
      <c r="C5804" t="str">
        <f ca="1">IFERROR(__xludf.DUMMYFUNCTION("""COMPUTED_VALUE"""),"ООО ""ТРАНССЕРВИС"" 159-СТР от 01.08.2022")</f>
        <v>ООО "ТРАНССЕРВИС" 159-СТР от 01.08.2022</v>
      </c>
      <c r="D58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4" t="str">
        <f ca="1">IFERROR(__xludf.DUMMYFUNCTION("""COMPUTED_VALUE"""),"Новый")</f>
        <v>Новый</v>
      </c>
      <c r="G5804" s="68"/>
      <c r="K5804" s="68"/>
    </row>
    <row r="5805" spans="1:11" ht="12.75">
      <c r="A5805" s="69">
        <f ca="1">IFERROR(__xludf.DUMMYFUNCTION("""COMPUTED_VALUE"""),106886)</f>
        <v>106886</v>
      </c>
      <c r="B5805" s="4">
        <f ca="1">IFERROR(__xludf.DUMMYFUNCTION("""COMPUTED_VALUE"""),44819)</f>
        <v>44819</v>
      </c>
      <c r="C5805" t="str">
        <f ca="1">IFERROR(__xludf.DUMMYFUNCTION("""COMPUTED_VALUE"""),"ООО ""ТРАНССЕРВИС"" 159-СТР от 01.08.2022")</f>
        <v>ООО "ТРАНССЕРВИС" 159-СТР от 01.08.2022</v>
      </c>
      <c r="D58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5" t="str">
        <f ca="1">IFERROR(__xludf.DUMMYFUNCTION("""COMPUTED_VALUE"""),"Новый")</f>
        <v>Новый</v>
      </c>
      <c r="G5805" s="68"/>
      <c r="K5805" s="68"/>
    </row>
    <row r="5806" spans="1:11" ht="12.75">
      <c r="A5806" s="69">
        <f ca="1">IFERROR(__xludf.DUMMYFUNCTION("""COMPUTED_VALUE"""),106892)</f>
        <v>106892</v>
      </c>
      <c r="B5806" s="4">
        <f ca="1">IFERROR(__xludf.DUMMYFUNCTION("""COMPUTED_VALUE"""),44819)</f>
        <v>44819</v>
      </c>
      <c r="C5806" t="str">
        <f ca="1">IFERROR(__xludf.DUMMYFUNCTION("""COMPUTED_VALUE"""),"ООО ""ТРАНССЕРВИС"" 159-СТР от 01.08.2022")</f>
        <v>ООО "ТРАНССЕРВИС" 159-СТР от 01.08.2022</v>
      </c>
      <c r="D58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6" t="str">
        <f ca="1">IFERROR(__xludf.DUMMYFUNCTION("""COMPUTED_VALUE"""),"Новый")</f>
        <v>Новый</v>
      </c>
      <c r="G5806" s="68"/>
      <c r="K5806" s="68"/>
    </row>
    <row r="5807" spans="1:11" ht="12.75">
      <c r="A5807" s="69">
        <f ca="1">IFERROR(__xludf.DUMMYFUNCTION("""COMPUTED_VALUE"""),106893)</f>
        <v>106893</v>
      </c>
      <c r="B5807" s="4">
        <f ca="1">IFERROR(__xludf.DUMMYFUNCTION("""COMPUTED_VALUE"""),44819)</f>
        <v>44819</v>
      </c>
      <c r="C5807" t="str">
        <f ca="1">IFERROR(__xludf.DUMMYFUNCTION("""COMPUTED_VALUE"""),"ООО ""ТРАНССЕРВИС"" 159-СТР от 01.08.2022")</f>
        <v>ООО "ТРАНССЕРВИС" 159-СТР от 01.08.2022</v>
      </c>
      <c r="D58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7" t="str">
        <f ca="1">IFERROR(__xludf.DUMMYFUNCTION("""COMPUTED_VALUE"""),"Новый")</f>
        <v>Новый</v>
      </c>
      <c r="G5807" s="68"/>
      <c r="K5807" s="68"/>
    </row>
    <row r="5808" spans="1:11" ht="12.75">
      <c r="A5808" s="69">
        <f ca="1">IFERROR(__xludf.DUMMYFUNCTION("""COMPUTED_VALUE"""),106894)</f>
        <v>106894</v>
      </c>
      <c r="B5808" s="4">
        <f ca="1">IFERROR(__xludf.DUMMYFUNCTION("""COMPUTED_VALUE"""),44819)</f>
        <v>44819</v>
      </c>
      <c r="C5808" t="str">
        <f ca="1">IFERROR(__xludf.DUMMYFUNCTION("""COMPUTED_VALUE"""),"ООО ""ТРАНССЕРВИС"" 159-СТР от 01.08.2022")</f>
        <v>ООО "ТРАНССЕРВИС" 159-СТР от 01.08.2022</v>
      </c>
      <c r="D58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8" t="str">
        <f ca="1">IFERROR(__xludf.DUMMYFUNCTION("""COMPUTED_VALUE"""),"Новый")</f>
        <v>Новый</v>
      </c>
      <c r="G5808" s="68"/>
      <c r="K5808" s="68"/>
    </row>
    <row r="5809" spans="1:11" ht="12.75">
      <c r="A5809" s="69">
        <f ca="1">IFERROR(__xludf.DUMMYFUNCTION("""COMPUTED_VALUE"""),106895)</f>
        <v>106895</v>
      </c>
      <c r="B5809" s="4">
        <f ca="1">IFERROR(__xludf.DUMMYFUNCTION("""COMPUTED_VALUE"""),44819)</f>
        <v>44819</v>
      </c>
      <c r="C5809" t="str">
        <f ca="1">IFERROR(__xludf.DUMMYFUNCTION("""COMPUTED_VALUE"""),"ООО ""ТРАНССЕРВИС"" 159-СТР от 01.08.2022")</f>
        <v>ООО "ТРАНССЕРВИС" 159-СТР от 01.08.2022</v>
      </c>
      <c r="D58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09" t="str">
        <f ca="1">IFERROR(__xludf.DUMMYFUNCTION("""COMPUTED_VALUE"""),"Новый")</f>
        <v>Новый</v>
      </c>
      <c r="G5809" s="68"/>
      <c r="K5809" s="68"/>
    </row>
    <row r="5810" spans="1:11" ht="12.75">
      <c r="A5810" s="69">
        <f ca="1">IFERROR(__xludf.DUMMYFUNCTION("""COMPUTED_VALUE"""),106896)</f>
        <v>106896</v>
      </c>
      <c r="B5810" s="4">
        <f ca="1">IFERROR(__xludf.DUMMYFUNCTION("""COMPUTED_VALUE"""),44819)</f>
        <v>44819</v>
      </c>
      <c r="C5810" t="str">
        <f ca="1">IFERROR(__xludf.DUMMYFUNCTION("""COMPUTED_VALUE"""),"ООО ""ТРАНССЕРВИС"" 159-СТР от 01.08.2022")</f>
        <v>ООО "ТРАНССЕРВИС" 159-СТР от 01.08.2022</v>
      </c>
      <c r="D58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0" t="str">
        <f ca="1">IFERROR(__xludf.DUMMYFUNCTION("""COMPUTED_VALUE"""),"Новый")</f>
        <v>Новый</v>
      </c>
      <c r="G5810" s="68"/>
      <c r="K5810" s="68"/>
    </row>
    <row r="5811" spans="1:11" ht="12.75">
      <c r="A5811" s="69">
        <f ca="1">IFERROR(__xludf.DUMMYFUNCTION("""COMPUTED_VALUE"""),106897)</f>
        <v>106897</v>
      </c>
      <c r="B5811" s="4">
        <f ca="1">IFERROR(__xludf.DUMMYFUNCTION("""COMPUTED_VALUE"""),44819)</f>
        <v>44819</v>
      </c>
      <c r="C5811" t="str">
        <f ca="1">IFERROR(__xludf.DUMMYFUNCTION("""COMPUTED_VALUE"""),"ООО ""ТРАНССЕРВИС"" 159-СТР от 01.08.2022")</f>
        <v>ООО "ТРАНССЕРВИС" 159-СТР от 01.08.2022</v>
      </c>
      <c r="D58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1" t="str">
        <f ca="1">IFERROR(__xludf.DUMMYFUNCTION("""COMPUTED_VALUE"""),"Новый")</f>
        <v>Новый</v>
      </c>
      <c r="G5811" s="68"/>
      <c r="K5811" s="68"/>
    </row>
    <row r="5812" spans="1:11" ht="12.75">
      <c r="A5812" s="69">
        <f ca="1">IFERROR(__xludf.DUMMYFUNCTION("""COMPUTED_VALUE"""),106898)</f>
        <v>106898</v>
      </c>
      <c r="B5812" s="4">
        <f ca="1">IFERROR(__xludf.DUMMYFUNCTION("""COMPUTED_VALUE"""),44819)</f>
        <v>44819</v>
      </c>
      <c r="C5812" t="str">
        <f ca="1">IFERROR(__xludf.DUMMYFUNCTION("""COMPUTED_VALUE"""),"ООО ""ТРАНССЕРВИС"" 159-СТР от 01.08.2022")</f>
        <v>ООО "ТРАНССЕРВИС" 159-СТР от 01.08.2022</v>
      </c>
      <c r="D58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2" t="str">
        <f ca="1">IFERROR(__xludf.DUMMYFUNCTION("""COMPUTED_VALUE"""),"Новый")</f>
        <v>Новый</v>
      </c>
      <c r="G5812" s="68"/>
      <c r="K5812" s="68"/>
    </row>
    <row r="5813" spans="1:11" ht="12.75">
      <c r="A5813" s="69">
        <f ca="1">IFERROR(__xludf.DUMMYFUNCTION("""COMPUTED_VALUE"""),106899)</f>
        <v>106899</v>
      </c>
      <c r="B5813" s="4">
        <f ca="1">IFERROR(__xludf.DUMMYFUNCTION("""COMPUTED_VALUE"""),44819)</f>
        <v>44819</v>
      </c>
      <c r="C5813" t="str">
        <f ca="1">IFERROR(__xludf.DUMMYFUNCTION("""COMPUTED_VALUE"""),"ООО ""ТРАНССЕРВИС"" 159-СТР от 01.08.2022")</f>
        <v>ООО "ТРАНССЕРВИС" 159-СТР от 01.08.2022</v>
      </c>
      <c r="D58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3" t="str">
        <f ca="1">IFERROR(__xludf.DUMMYFUNCTION("""COMPUTED_VALUE"""),"Новый")</f>
        <v>Новый</v>
      </c>
      <c r="G5813" s="68"/>
      <c r="K5813" s="68"/>
    </row>
    <row r="5814" spans="1:11" ht="12.75">
      <c r="A5814" s="69">
        <f ca="1">IFERROR(__xludf.DUMMYFUNCTION("""COMPUTED_VALUE"""),106900)</f>
        <v>106900</v>
      </c>
      <c r="B5814" s="4">
        <f ca="1">IFERROR(__xludf.DUMMYFUNCTION("""COMPUTED_VALUE"""),44819)</f>
        <v>44819</v>
      </c>
      <c r="C5814" t="str">
        <f ca="1">IFERROR(__xludf.DUMMYFUNCTION("""COMPUTED_VALUE"""),"ООО ""ТРАНССЕРВИС"" 159-СТР от 01.08.2022")</f>
        <v>ООО "ТРАНССЕРВИС" 159-СТР от 01.08.2022</v>
      </c>
      <c r="D58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4" t="str">
        <f ca="1">IFERROR(__xludf.DUMMYFUNCTION("""COMPUTED_VALUE"""),"Новый")</f>
        <v>Новый</v>
      </c>
      <c r="G5814" s="68"/>
      <c r="K5814" s="68"/>
    </row>
    <row r="5815" spans="1:11" ht="12.75">
      <c r="A5815" s="69">
        <f ca="1">IFERROR(__xludf.DUMMYFUNCTION("""COMPUTED_VALUE"""),106901)</f>
        <v>106901</v>
      </c>
      <c r="B5815" s="4">
        <f ca="1">IFERROR(__xludf.DUMMYFUNCTION("""COMPUTED_VALUE"""),44819)</f>
        <v>44819</v>
      </c>
      <c r="C5815" t="str">
        <f ca="1">IFERROR(__xludf.DUMMYFUNCTION("""COMPUTED_VALUE"""),"ООО ""ТРАНССЕРВИС"" 159-СТР от 01.08.2022")</f>
        <v>ООО "ТРАНССЕРВИС" 159-СТР от 01.08.2022</v>
      </c>
      <c r="D58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5" t="str">
        <f ca="1">IFERROR(__xludf.DUMMYFUNCTION("""COMPUTED_VALUE"""),"Новый")</f>
        <v>Новый</v>
      </c>
      <c r="G5815" s="68"/>
      <c r="K5815" s="68"/>
    </row>
    <row r="5816" spans="1:11" ht="12.75">
      <c r="A5816" s="69">
        <f ca="1">IFERROR(__xludf.DUMMYFUNCTION("""COMPUTED_VALUE"""),106902)</f>
        <v>106902</v>
      </c>
      <c r="B5816" s="4">
        <f ca="1">IFERROR(__xludf.DUMMYFUNCTION("""COMPUTED_VALUE"""),44819)</f>
        <v>44819</v>
      </c>
      <c r="C5816" t="str">
        <f ca="1">IFERROR(__xludf.DUMMYFUNCTION("""COMPUTED_VALUE"""),"ООО ""ТРАНССЕРВИС"" 159-СТР от 01.08.2022")</f>
        <v>ООО "ТРАНССЕРВИС" 159-СТР от 01.08.2022</v>
      </c>
      <c r="D58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6" t="str">
        <f ca="1">IFERROR(__xludf.DUMMYFUNCTION("""COMPUTED_VALUE"""),"Новый")</f>
        <v>Новый</v>
      </c>
      <c r="G5816" s="68"/>
      <c r="K5816" s="68"/>
    </row>
    <row r="5817" spans="1:11" ht="12.75">
      <c r="A5817" s="69">
        <f ca="1">IFERROR(__xludf.DUMMYFUNCTION("""COMPUTED_VALUE"""),106903)</f>
        <v>106903</v>
      </c>
      <c r="B5817" s="4">
        <f ca="1">IFERROR(__xludf.DUMMYFUNCTION("""COMPUTED_VALUE"""),44819)</f>
        <v>44819</v>
      </c>
      <c r="C5817" t="str">
        <f ca="1">IFERROR(__xludf.DUMMYFUNCTION("""COMPUTED_VALUE"""),"ООО ""ТРАНССЕРВИС"" 159-СТР от 01.08.2022")</f>
        <v>ООО "ТРАНССЕРВИС" 159-СТР от 01.08.2022</v>
      </c>
      <c r="D58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7" t="str">
        <f ca="1">IFERROR(__xludf.DUMMYFUNCTION("""COMPUTED_VALUE"""),"Новый")</f>
        <v>Новый</v>
      </c>
      <c r="G5817" s="68"/>
      <c r="K5817" s="68"/>
    </row>
    <row r="5818" spans="1:11" ht="12.75">
      <c r="A5818" s="69">
        <f ca="1">IFERROR(__xludf.DUMMYFUNCTION("""COMPUTED_VALUE"""),106904)</f>
        <v>106904</v>
      </c>
      <c r="B5818" s="4">
        <f ca="1">IFERROR(__xludf.DUMMYFUNCTION("""COMPUTED_VALUE"""),44819)</f>
        <v>44819</v>
      </c>
      <c r="C5818" t="str">
        <f ca="1">IFERROR(__xludf.DUMMYFUNCTION("""COMPUTED_VALUE"""),"ООО ""ТРАНССЕРВИС"" 159-СТР от 01.08.2022")</f>
        <v>ООО "ТРАНССЕРВИС" 159-СТР от 01.08.2022</v>
      </c>
      <c r="D58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8" t="str">
        <f ca="1">IFERROR(__xludf.DUMMYFUNCTION("""COMPUTED_VALUE"""),"Новый")</f>
        <v>Новый</v>
      </c>
      <c r="G5818" s="68"/>
      <c r="K5818" s="68"/>
    </row>
    <row r="5819" spans="1:11" ht="12.75">
      <c r="A5819" s="69">
        <f ca="1">IFERROR(__xludf.DUMMYFUNCTION("""COMPUTED_VALUE"""),106905)</f>
        <v>106905</v>
      </c>
      <c r="B5819" s="4">
        <f ca="1">IFERROR(__xludf.DUMMYFUNCTION("""COMPUTED_VALUE"""),44819)</f>
        <v>44819</v>
      </c>
      <c r="C5819" t="str">
        <f ca="1">IFERROR(__xludf.DUMMYFUNCTION("""COMPUTED_VALUE"""),"ООО ""ТРАНССЕРВИС"" 159-СТР от 01.08.2022")</f>
        <v>ООО "ТРАНССЕРВИС" 159-СТР от 01.08.2022</v>
      </c>
      <c r="D58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19" t="str">
        <f ca="1">IFERROR(__xludf.DUMMYFUNCTION("""COMPUTED_VALUE"""),"Новый")</f>
        <v>Новый</v>
      </c>
      <c r="G5819" s="68"/>
      <c r="K5819" s="68"/>
    </row>
    <row r="5820" spans="1:11" ht="12.75">
      <c r="A5820" s="69">
        <f ca="1">IFERROR(__xludf.DUMMYFUNCTION("""COMPUTED_VALUE"""),106906)</f>
        <v>106906</v>
      </c>
      <c r="B5820" s="4">
        <f ca="1">IFERROR(__xludf.DUMMYFUNCTION("""COMPUTED_VALUE"""),44819)</f>
        <v>44819</v>
      </c>
      <c r="C5820" t="str">
        <f ca="1">IFERROR(__xludf.DUMMYFUNCTION("""COMPUTED_VALUE"""),"ООО ""ТРАНССЕРВИС"" 159-СТР от 01.08.2022")</f>
        <v>ООО "ТРАНССЕРВИС" 159-СТР от 01.08.2022</v>
      </c>
      <c r="D58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0" t="str">
        <f ca="1">IFERROR(__xludf.DUMMYFUNCTION("""COMPUTED_VALUE"""),"Новый")</f>
        <v>Новый</v>
      </c>
      <c r="G5820" s="68"/>
      <c r="K5820" s="68"/>
    </row>
    <row r="5821" spans="1:11" ht="12.75">
      <c r="A5821" s="69">
        <f ca="1">IFERROR(__xludf.DUMMYFUNCTION("""COMPUTED_VALUE"""),106907)</f>
        <v>106907</v>
      </c>
      <c r="B5821" s="4">
        <f ca="1">IFERROR(__xludf.DUMMYFUNCTION("""COMPUTED_VALUE"""),44819)</f>
        <v>44819</v>
      </c>
      <c r="C5821" t="str">
        <f ca="1">IFERROR(__xludf.DUMMYFUNCTION("""COMPUTED_VALUE"""),"ООО ""ТРАНССЕРВИС"" 159-СТР от 01.08.2022")</f>
        <v>ООО "ТРАНССЕРВИС" 159-СТР от 01.08.2022</v>
      </c>
      <c r="D58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1" t="str">
        <f ca="1">IFERROR(__xludf.DUMMYFUNCTION("""COMPUTED_VALUE"""),"Новый")</f>
        <v>Новый</v>
      </c>
      <c r="G5821" s="68"/>
      <c r="K5821" s="68"/>
    </row>
    <row r="5822" spans="1:11" ht="12.75">
      <c r="A5822" s="69">
        <f ca="1">IFERROR(__xludf.DUMMYFUNCTION("""COMPUTED_VALUE"""),106908)</f>
        <v>106908</v>
      </c>
      <c r="B5822" s="4">
        <f ca="1">IFERROR(__xludf.DUMMYFUNCTION("""COMPUTED_VALUE"""),44819)</f>
        <v>44819</v>
      </c>
      <c r="C5822" t="str">
        <f ca="1">IFERROR(__xludf.DUMMYFUNCTION("""COMPUTED_VALUE"""),"ООО ""ТРАНССЕРВИС"" 159-СТР от 01.08.2022")</f>
        <v>ООО "ТРАНССЕРВИС" 159-СТР от 01.08.2022</v>
      </c>
      <c r="D58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2" t="str">
        <f ca="1">IFERROR(__xludf.DUMMYFUNCTION("""COMPUTED_VALUE"""),"Новый")</f>
        <v>Новый</v>
      </c>
      <c r="G5822" s="68"/>
      <c r="K5822" s="68"/>
    </row>
    <row r="5823" spans="1:11" ht="12.75">
      <c r="A5823" s="69">
        <f ca="1">IFERROR(__xludf.DUMMYFUNCTION("""COMPUTED_VALUE"""),106909)</f>
        <v>106909</v>
      </c>
      <c r="B5823" s="4">
        <f ca="1">IFERROR(__xludf.DUMMYFUNCTION("""COMPUTED_VALUE"""),44819)</f>
        <v>44819</v>
      </c>
      <c r="C5823" t="str">
        <f ca="1">IFERROR(__xludf.DUMMYFUNCTION("""COMPUTED_VALUE"""),"ООО ""ТРАНССЕРВИС"" 159-СТР от 01.08.2022")</f>
        <v>ООО "ТРАНССЕРВИС" 159-СТР от 01.08.2022</v>
      </c>
      <c r="D58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3" t="str">
        <f ca="1">IFERROR(__xludf.DUMMYFUNCTION("""COMPUTED_VALUE"""),"Новый")</f>
        <v>Новый</v>
      </c>
      <c r="G5823" s="68"/>
      <c r="K5823" s="68"/>
    </row>
    <row r="5824" spans="1:11" ht="12.75">
      <c r="A5824" s="69">
        <f ca="1">IFERROR(__xludf.DUMMYFUNCTION("""COMPUTED_VALUE"""),106910)</f>
        <v>106910</v>
      </c>
      <c r="B5824" s="4">
        <f ca="1">IFERROR(__xludf.DUMMYFUNCTION("""COMPUTED_VALUE"""),44819)</f>
        <v>44819</v>
      </c>
      <c r="C5824" t="str">
        <f ca="1">IFERROR(__xludf.DUMMYFUNCTION("""COMPUTED_VALUE"""),"ООО ""ТРАНССЕРВИС"" 159-СТР от 01.08.2022")</f>
        <v>ООО "ТРАНССЕРВИС" 159-СТР от 01.08.2022</v>
      </c>
      <c r="D58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4" t="str">
        <f ca="1">IFERROR(__xludf.DUMMYFUNCTION("""COMPUTED_VALUE"""),"Новый")</f>
        <v>Новый</v>
      </c>
      <c r="G5824" s="68"/>
      <c r="K5824" s="68"/>
    </row>
    <row r="5825" spans="1:17" ht="12.75">
      <c r="A5825" s="69">
        <f ca="1">IFERROR(__xludf.DUMMYFUNCTION("""COMPUTED_VALUE"""),106911)</f>
        <v>106911</v>
      </c>
      <c r="B5825" s="4">
        <f ca="1">IFERROR(__xludf.DUMMYFUNCTION("""COMPUTED_VALUE"""),44819)</f>
        <v>44819</v>
      </c>
      <c r="C5825" t="str">
        <f ca="1">IFERROR(__xludf.DUMMYFUNCTION("""COMPUTED_VALUE"""),"ООО ""ТРАНССЕРВИС"" 159-СТР от 01.08.2022")</f>
        <v>ООО "ТРАНССЕРВИС" 159-СТР от 01.08.2022</v>
      </c>
      <c r="D58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5" t="str">
        <f ca="1">IFERROR(__xludf.DUMMYFUNCTION("""COMPUTED_VALUE"""),"Новый")</f>
        <v>Новый</v>
      </c>
      <c r="G5825" s="68"/>
      <c r="K5825" s="68"/>
    </row>
    <row r="5826" spans="1:17" ht="12.75">
      <c r="A5826" s="69">
        <f ca="1">IFERROR(__xludf.DUMMYFUNCTION("""COMPUTED_VALUE"""),106920)</f>
        <v>106920</v>
      </c>
      <c r="B5826" s="4">
        <f ca="1">IFERROR(__xludf.DUMMYFUNCTION("""COMPUTED_VALUE"""),44819)</f>
        <v>44819</v>
      </c>
      <c r="C5826" t="str">
        <f ca="1">IFERROR(__xludf.DUMMYFUNCTION("""COMPUTED_VALUE"""),"ООО ""ТРАНССЕРВИС"" 159-СТР от 01.08.2022")</f>
        <v>ООО "ТРАНССЕРВИС" 159-СТР от 01.08.2022</v>
      </c>
      <c r="D58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5826" t="str">
        <f ca="1">IFERROR(__xludf.DUMMYFUNCTION("""COMPUTED_VALUE"""),"Открыт")</f>
        <v>Открыт</v>
      </c>
      <c r="F5826" t="str">
        <f ca="1">IFERROR(__xludf.DUMMYFUNCTION("""COMPUTED_VALUE"""),"Ленинский полигон")</f>
        <v>Ленинский полигон</v>
      </c>
      <c r="G5826" s="68">
        <f ca="1">IFERROR(__xludf.DUMMYFUNCTION("""COMPUTED_VALUE"""),44826.5224129629)</f>
        <v>44826.522412962899</v>
      </c>
      <c r="H5826" t="str">
        <f ca="1">IFERROR(__xludf.DUMMYFUNCTION("""COMPUTED_VALUE"""),"Х485ЕК")</f>
        <v>Х485ЕК</v>
      </c>
      <c r="I5826">
        <f ca="1">IFERROR(__xludf.DUMMYFUNCTION("""COMPUTED_VALUE"""),21880)</f>
        <v>21880</v>
      </c>
      <c r="K5826" s="68"/>
      <c r="N5826">
        <f ca="1">IFERROR(__xludf.DUMMYFUNCTION("""COMPUTED_VALUE"""),0)</f>
        <v>0</v>
      </c>
      <c r="Q5826" t="str">
        <f ca="1">IFERROR(__xludf.DUMMYFUNCTION("""COMPUTED_VALUE"""),"Другое")</f>
        <v>Другое</v>
      </c>
    </row>
    <row r="5827" spans="1:17" ht="12.75">
      <c r="A5827" s="69">
        <f ca="1">IFERROR(__xludf.DUMMYFUNCTION("""COMPUTED_VALUE"""),106932)</f>
        <v>106932</v>
      </c>
      <c r="B5827" s="4">
        <f ca="1">IFERROR(__xludf.DUMMYFUNCTION("""COMPUTED_VALUE"""),44820)</f>
        <v>44820</v>
      </c>
      <c r="C5827" t="str">
        <f ca="1">IFERROR(__xludf.DUMMYFUNCTION("""COMPUTED_VALUE"""),"БУ Г. ОМСКА ""УДХБ"" 197-РДО от 01.07.2022")</f>
        <v>БУ Г. ОМСКА "УДХБ" 197-РДО от 01.07.2022</v>
      </c>
      <c r="D58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27" t="str">
        <f ca="1">IFERROR(__xludf.DUMMYFUNCTION("""COMPUTED_VALUE"""),"Новый")</f>
        <v>Новый</v>
      </c>
      <c r="G5827" s="68"/>
      <c r="K5827" s="68"/>
    </row>
    <row r="5828" spans="1:17" ht="12.75">
      <c r="A5828" s="69">
        <f ca="1">IFERROR(__xludf.DUMMYFUNCTION("""COMPUTED_VALUE"""),106933)</f>
        <v>106933</v>
      </c>
      <c r="B5828" s="4">
        <f ca="1">IFERROR(__xludf.DUMMYFUNCTION("""COMPUTED_VALUE"""),44820)</f>
        <v>44820</v>
      </c>
      <c r="C5828" t="str">
        <f ca="1">IFERROR(__xludf.DUMMYFUNCTION("""COMPUTED_VALUE"""),"БУ Г. ОМСКА ""УДХБ"" 197-РДО от 01.07.2022")</f>
        <v>БУ Г. ОМСКА "УДХБ" 197-РДО от 01.07.2022</v>
      </c>
      <c r="D58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28" t="str">
        <f ca="1">IFERROR(__xludf.DUMMYFUNCTION("""COMPUTED_VALUE"""),"Новый")</f>
        <v>Новый</v>
      </c>
      <c r="G5828" s="68"/>
      <c r="K5828" s="68"/>
    </row>
    <row r="5829" spans="1:17" ht="12.75">
      <c r="A5829" s="69">
        <f ca="1">IFERROR(__xludf.DUMMYFUNCTION("""COMPUTED_VALUE"""),106934)</f>
        <v>106934</v>
      </c>
      <c r="B5829" s="4">
        <f ca="1">IFERROR(__xludf.DUMMYFUNCTION("""COMPUTED_VALUE"""),44820)</f>
        <v>44820</v>
      </c>
      <c r="C5829" t="str">
        <f ca="1">IFERROR(__xludf.DUMMYFUNCTION("""COMPUTED_VALUE"""),"БУ Г. ОМСКА ""УДХБ"" 197-РДО от 01.07.2022")</f>
        <v>БУ Г. ОМСКА "УДХБ" 197-РДО от 01.07.2022</v>
      </c>
      <c r="D58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29" t="str">
        <f ca="1">IFERROR(__xludf.DUMMYFUNCTION("""COMPUTED_VALUE"""),"Новый")</f>
        <v>Новый</v>
      </c>
      <c r="G5829" s="68"/>
      <c r="K5829" s="68"/>
    </row>
    <row r="5830" spans="1:17" ht="12.75">
      <c r="A5830" s="69">
        <f ca="1">IFERROR(__xludf.DUMMYFUNCTION("""COMPUTED_VALUE"""),106935)</f>
        <v>106935</v>
      </c>
      <c r="B5830" s="4">
        <f ca="1">IFERROR(__xludf.DUMMYFUNCTION("""COMPUTED_VALUE"""),44820)</f>
        <v>44820</v>
      </c>
      <c r="C5830" t="str">
        <f ca="1">IFERROR(__xludf.DUMMYFUNCTION("""COMPUTED_VALUE"""),"БУ Г. ОМСКА ""УДХБ"" 197-РДО от 01.07.2022")</f>
        <v>БУ Г. ОМСКА "УДХБ" 197-РДО от 01.07.2022</v>
      </c>
      <c r="D58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0" t="str">
        <f ca="1">IFERROR(__xludf.DUMMYFUNCTION("""COMPUTED_VALUE"""),"Новый")</f>
        <v>Новый</v>
      </c>
      <c r="G5830" s="68"/>
      <c r="K5830" s="68"/>
    </row>
    <row r="5831" spans="1:17" ht="12.75">
      <c r="A5831" s="69">
        <f ca="1">IFERROR(__xludf.DUMMYFUNCTION("""COMPUTED_VALUE"""),106936)</f>
        <v>106936</v>
      </c>
      <c r="B5831" s="4">
        <f ca="1">IFERROR(__xludf.DUMMYFUNCTION("""COMPUTED_VALUE"""),44820)</f>
        <v>44820</v>
      </c>
      <c r="C5831" t="str">
        <f ca="1">IFERROR(__xludf.DUMMYFUNCTION("""COMPUTED_VALUE"""),"БУ Г. ОМСКА ""УДХБ"" 197-РДО от 01.07.2022")</f>
        <v>БУ Г. ОМСКА "УДХБ" 197-РДО от 01.07.2022</v>
      </c>
      <c r="D58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1" t="str">
        <f ca="1">IFERROR(__xludf.DUMMYFUNCTION("""COMPUTED_VALUE"""),"Новый")</f>
        <v>Новый</v>
      </c>
      <c r="G5831" s="68"/>
      <c r="K5831" s="68"/>
    </row>
    <row r="5832" spans="1:17" ht="12.75">
      <c r="A5832" s="69">
        <f ca="1">IFERROR(__xludf.DUMMYFUNCTION("""COMPUTED_VALUE"""),106937)</f>
        <v>106937</v>
      </c>
      <c r="B5832" s="4">
        <f ca="1">IFERROR(__xludf.DUMMYFUNCTION("""COMPUTED_VALUE"""),44820)</f>
        <v>44820</v>
      </c>
      <c r="C5832" t="str">
        <f ca="1">IFERROR(__xludf.DUMMYFUNCTION("""COMPUTED_VALUE"""),"БУ Г. ОМСКА ""УДХБ"" 197-РДО от 01.07.2022")</f>
        <v>БУ Г. ОМСКА "УДХБ" 197-РДО от 01.07.2022</v>
      </c>
      <c r="D58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2" t="str">
        <f ca="1">IFERROR(__xludf.DUMMYFUNCTION("""COMPUTED_VALUE"""),"Новый")</f>
        <v>Новый</v>
      </c>
      <c r="G5832" s="68"/>
      <c r="K5832" s="68"/>
    </row>
    <row r="5833" spans="1:17" ht="12.75">
      <c r="A5833" s="69">
        <f ca="1">IFERROR(__xludf.DUMMYFUNCTION("""COMPUTED_VALUE"""),106938)</f>
        <v>106938</v>
      </c>
      <c r="B5833" s="4">
        <f ca="1">IFERROR(__xludf.DUMMYFUNCTION("""COMPUTED_VALUE"""),44820)</f>
        <v>44820</v>
      </c>
      <c r="C5833" t="str">
        <f ca="1">IFERROR(__xludf.DUMMYFUNCTION("""COMPUTED_VALUE"""),"БУ Г. ОМСКА ""УДХБ"" 197-РДО от 01.07.2022")</f>
        <v>БУ Г. ОМСКА "УДХБ" 197-РДО от 01.07.2022</v>
      </c>
      <c r="D58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3" t="str">
        <f ca="1">IFERROR(__xludf.DUMMYFUNCTION("""COMPUTED_VALUE"""),"Новый")</f>
        <v>Новый</v>
      </c>
      <c r="G5833" s="68"/>
      <c r="K5833" s="68"/>
    </row>
    <row r="5834" spans="1:17" ht="12.75">
      <c r="A5834" s="69">
        <f ca="1">IFERROR(__xludf.DUMMYFUNCTION("""COMPUTED_VALUE"""),106939)</f>
        <v>106939</v>
      </c>
      <c r="B5834" s="4">
        <f ca="1">IFERROR(__xludf.DUMMYFUNCTION("""COMPUTED_VALUE"""),44820)</f>
        <v>44820</v>
      </c>
      <c r="C5834" t="str">
        <f ca="1">IFERROR(__xludf.DUMMYFUNCTION("""COMPUTED_VALUE"""),"БУ Г. ОМСКА ""УДХБ"" 197-РДО от 01.07.2022")</f>
        <v>БУ Г. ОМСКА "УДХБ" 197-РДО от 01.07.2022</v>
      </c>
      <c r="D58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4" t="str">
        <f ca="1">IFERROR(__xludf.DUMMYFUNCTION("""COMPUTED_VALUE"""),"Новый")</f>
        <v>Новый</v>
      </c>
      <c r="G5834" s="68"/>
      <c r="K5834" s="68"/>
    </row>
    <row r="5835" spans="1:17" ht="12.75">
      <c r="A5835" s="69">
        <f ca="1">IFERROR(__xludf.DUMMYFUNCTION("""COMPUTED_VALUE"""),106940)</f>
        <v>106940</v>
      </c>
      <c r="B5835" s="4">
        <f ca="1">IFERROR(__xludf.DUMMYFUNCTION("""COMPUTED_VALUE"""),44820)</f>
        <v>44820</v>
      </c>
      <c r="C5835" t="str">
        <f ca="1">IFERROR(__xludf.DUMMYFUNCTION("""COMPUTED_VALUE"""),"БУ Г. ОМСКА ""УДХБ"" 197-РДО от 01.07.2022")</f>
        <v>БУ Г. ОМСКА "УДХБ" 197-РДО от 01.07.2022</v>
      </c>
      <c r="D58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5" t="str">
        <f ca="1">IFERROR(__xludf.DUMMYFUNCTION("""COMPUTED_VALUE"""),"Новый")</f>
        <v>Новый</v>
      </c>
      <c r="G5835" s="68"/>
      <c r="K5835" s="68"/>
    </row>
    <row r="5836" spans="1:17" ht="12.75">
      <c r="A5836" s="69">
        <f ca="1">IFERROR(__xludf.DUMMYFUNCTION("""COMPUTED_VALUE"""),106941)</f>
        <v>106941</v>
      </c>
      <c r="B5836" s="4">
        <f ca="1">IFERROR(__xludf.DUMMYFUNCTION("""COMPUTED_VALUE"""),44820)</f>
        <v>44820</v>
      </c>
      <c r="C5836" t="str">
        <f ca="1">IFERROR(__xludf.DUMMYFUNCTION("""COMPUTED_VALUE"""),"БУ Г. ОМСКА ""УДХБ"" 197-РДО от 01.07.2022")</f>
        <v>БУ Г. ОМСКА "УДХБ" 197-РДО от 01.07.2022</v>
      </c>
      <c r="D58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6" t="str">
        <f ca="1">IFERROR(__xludf.DUMMYFUNCTION("""COMPUTED_VALUE"""),"Новый")</f>
        <v>Новый</v>
      </c>
      <c r="G5836" s="68"/>
      <c r="K5836" s="68"/>
    </row>
    <row r="5837" spans="1:17" ht="12.75">
      <c r="A5837" s="69">
        <f ca="1">IFERROR(__xludf.DUMMYFUNCTION("""COMPUTED_VALUE"""),106942)</f>
        <v>106942</v>
      </c>
      <c r="B5837" s="4">
        <f ca="1">IFERROR(__xludf.DUMMYFUNCTION("""COMPUTED_VALUE"""),44820)</f>
        <v>44820</v>
      </c>
      <c r="C5837" t="str">
        <f ca="1">IFERROR(__xludf.DUMMYFUNCTION("""COMPUTED_VALUE"""),"БУ Г. ОМСКА ""УДХБ"" 197-РДО от 01.07.2022")</f>
        <v>БУ Г. ОМСКА "УДХБ" 197-РДО от 01.07.2022</v>
      </c>
      <c r="D58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7" t="str">
        <f ca="1">IFERROR(__xludf.DUMMYFUNCTION("""COMPUTED_VALUE"""),"Новый")</f>
        <v>Новый</v>
      </c>
      <c r="G5837" s="68"/>
      <c r="K5837" s="68"/>
    </row>
    <row r="5838" spans="1:17" ht="12.75">
      <c r="A5838" s="69">
        <f ca="1">IFERROR(__xludf.DUMMYFUNCTION("""COMPUTED_VALUE"""),106943)</f>
        <v>106943</v>
      </c>
      <c r="B5838" s="4">
        <f ca="1">IFERROR(__xludf.DUMMYFUNCTION("""COMPUTED_VALUE"""),44820)</f>
        <v>44820</v>
      </c>
      <c r="C5838" t="str">
        <f ca="1">IFERROR(__xludf.DUMMYFUNCTION("""COMPUTED_VALUE"""),"БУ Г. ОМСКА ""УДХБ"" 197-РДО от 01.07.2022")</f>
        <v>БУ Г. ОМСКА "УДХБ" 197-РДО от 01.07.2022</v>
      </c>
      <c r="D58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8" t="str">
        <f ca="1">IFERROR(__xludf.DUMMYFUNCTION("""COMPUTED_VALUE"""),"Новый")</f>
        <v>Новый</v>
      </c>
      <c r="G5838" s="68"/>
      <c r="K5838" s="68"/>
    </row>
    <row r="5839" spans="1:17" ht="12.75">
      <c r="A5839" s="69">
        <f ca="1">IFERROR(__xludf.DUMMYFUNCTION("""COMPUTED_VALUE"""),106944)</f>
        <v>106944</v>
      </c>
      <c r="B5839" s="4">
        <f ca="1">IFERROR(__xludf.DUMMYFUNCTION("""COMPUTED_VALUE"""),44820)</f>
        <v>44820</v>
      </c>
      <c r="C5839" t="str">
        <f ca="1">IFERROR(__xludf.DUMMYFUNCTION("""COMPUTED_VALUE"""),"БУ Г. ОМСКА ""УДХБ"" 197-РДО от 01.07.2022")</f>
        <v>БУ Г. ОМСКА "УДХБ" 197-РДО от 01.07.2022</v>
      </c>
      <c r="D58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39" t="str">
        <f ca="1">IFERROR(__xludf.DUMMYFUNCTION("""COMPUTED_VALUE"""),"Новый")</f>
        <v>Новый</v>
      </c>
      <c r="G5839" s="68"/>
      <c r="K5839" s="68"/>
    </row>
    <row r="5840" spans="1:17" ht="12.75">
      <c r="A5840" s="69">
        <f ca="1">IFERROR(__xludf.DUMMYFUNCTION("""COMPUTED_VALUE"""),106945)</f>
        <v>106945</v>
      </c>
      <c r="B5840" s="4">
        <f ca="1">IFERROR(__xludf.DUMMYFUNCTION("""COMPUTED_VALUE"""),44820)</f>
        <v>44820</v>
      </c>
      <c r="C5840" t="str">
        <f ca="1">IFERROR(__xludf.DUMMYFUNCTION("""COMPUTED_VALUE"""),"БУ Г. ОМСКА ""УДХБ"" 197-РДО от 01.07.2022")</f>
        <v>БУ Г. ОМСКА "УДХБ" 197-РДО от 01.07.2022</v>
      </c>
      <c r="D58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0" t="str">
        <f ca="1">IFERROR(__xludf.DUMMYFUNCTION("""COMPUTED_VALUE"""),"Новый")</f>
        <v>Новый</v>
      </c>
      <c r="G5840" s="68"/>
      <c r="K5840" s="68"/>
    </row>
    <row r="5841" spans="1:11" ht="12.75">
      <c r="A5841" s="69">
        <f ca="1">IFERROR(__xludf.DUMMYFUNCTION("""COMPUTED_VALUE"""),106946)</f>
        <v>106946</v>
      </c>
      <c r="B5841" s="4">
        <f ca="1">IFERROR(__xludf.DUMMYFUNCTION("""COMPUTED_VALUE"""),44820)</f>
        <v>44820</v>
      </c>
      <c r="C5841" t="str">
        <f ca="1">IFERROR(__xludf.DUMMYFUNCTION("""COMPUTED_VALUE"""),"БУ Г. ОМСКА ""УДХБ"" 197-РДО от 01.07.2022")</f>
        <v>БУ Г. ОМСКА "УДХБ" 197-РДО от 01.07.2022</v>
      </c>
      <c r="D58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1" t="str">
        <f ca="1">IFERROR(__xludf.DUMMYFUNCTION("""COMPUTED_VALUE"""),"Новый")</f>
        <v>Новый</v>
      </c>
      <c r="G5841" s="68"/>
      <c r="K5841" s="68"/>
    </row>
    <row r="5842" spans="1:11" ht="12.75">
      <c r="A5842" s="69">
        <f ca="1">IFERROR(__xludf.DUMMYFUNCTION("""COMPUTED_VALUE"""),106947)</f>
        <v>106947</v>
      </c>
      <c r="B5842" s="4">
        <f ca="1">IFERROR(__xludf.DUMMYFUNCTION("""COMPUTED_VALUE"""),44820)</f>
        <v>44820</v>
      </c>
      <c r="C5842" t="str">
        <f ca="1">IFERROR(__xludf.DUMMYFUNCTION("""COMPUTED_VALUE"""),"БУ Г. ОМСКА ""УДХБ"" 197-РДО от 01.07.2022")</f>
        <v>БУ Г. ОМСКА "УДХБ" 197-РДО от 01.07.2022</v>
      </c>
      <c r="D58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2" t="str">
        <f ca="1">IFERROR(__xludf.DUMMYFUNCTION("""COMPUTED_VALUE"""),"Новый")</f>
        <v>Новый</v>
      </c>
      <c r="G5842" s="68"/>
      <c r="K5842" s="68"/>
    </row>
    <row r="5843" spans="1:11" ht="12.75">
      <c r="A5843" s="69">
        <f ca="1">IFERROR(__xludf.DUMMYFUNCTION("""COMPUTED_VALUE"""),106948)</f>
        <v>106948</v>
      </c>
      <c r="B5843" s="4">
        <f ca="1">IFERROR(__xludf.DUMMYFUNCTION("""COMPUTED_VALUE"""),44820)</f>
        <v>44820</v>
      </c>
      <c r="C5843" t="str">
        <f ca="1">IFERROR(__xludf.DUMMYFUNCTION("""COMPUTED_VALUE"""),"БУ Г. ОМСКА ""УДХБ"" 197-РДО от 01.07.2022")</f>
        <v>БУ Г. ОМСКА "УДХБ" 197-РДО от 01.07.2022</v>
      </c>
      <c r="D58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3" t="str">
        <f ca="1">IFERROR(__xludf.DUMMYFUNCTION("""COMPUTED_VALUE"""),"Новый")</f>
        <v>Новый</v>
      </c>
      <c r="G5843" s="68"/>
      <c r="K5843" s="68"/>
    </row>
    <row r="5844" spans="1:11" ht="12.75">
      <c r="A5844" s="69">
        <f ca="1">IFERROR(__xludf.DUMMYFUNCTION("""COMPUTED_VALUE"""),106949)</f>
        <v>106949</v>
      </c>
      <c r="B5844" s="4">
        <f ca="1">IFERROR(__xludf.DUMMYFUNCTION("""COMPUTED_VALUE"""),44820)</f>
        <v>44820</v>
      </c>
      <c r="C5844" t="str">
        <f ca="1">IFERROR(__xludf.DUMMYFUNCTION("""COMPUTED_VALUE"""),"БУ Г. ОМСКА ""УДХБ"" 197-РДО от 01.07.2022")</f>
        <v>БУ Г. ОМСКА "УДХБ" 197-РДО от 01.07.2022</v>
      </c>
      <c r="D58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4" t="str">
        <f ca="1">IFERROR(__xludf.DUMMYFUNCTION("""COMPUTED_VALUE"""),"Новый")</f>
        <v>Новый</v>
      </c>
      <c r="G5844" s="68"/>
      <c r="K5844" s="68"/>
    </row>
    <row r="5845" spans="1:11" ht="12.75">
      <c r="A5845" s="69">
        <f ca="1">IFERROR(__xludf.DUMMYFUNCTION("""COMPUTED_VALUE"""),106950)</f>
        <v>106950</v>
      </c>
      <c r="B5845" s="4">
        <f ca="1">IFERROR(__xludf.DUMMYFUNCTION("""COMPUTED_VALUE"""),44820)</f>
        <v>44820</v>
      </c>
      <c r="C5845" t="str">
        <f ca="1">IFERROR(__xludf.DUMMYFUNCTION("""COMPUTED_VALUE"""),"БУ Г. ОМСКА ""УДХБ"" 197-РДО от 01.07.2022")</f>
        <v>БУ Г. ОМСКА "УДХБ" 197-РДО от 01.07.2022</v>
      </c>
      <c r="D58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5" t="str">
        <f ca="1">IFERROR(__xludf.DUMMYFUNCTION("""COMPUTED_VALUE"""),"Новый")</f>
        <v>Новый</v>
      </c>
      <c r="G5845" s="68"/>
      <c r="K5845" s="68"/>
    </row>
    <row r="5846" spans="1:11" ht="12.75">
      <c r="A5846" s="69">
        <f ca="1">IFERROR(__xludf.DUMMYFUNCTION("""COMPUTED_VALUE"""),106951)</f>
        <v>106951</v>
      </c>
      <c r="B5846" s="4">
        <f ca="1">IFERROR(__xludf.DUMMYFUNCTION("""COMPUTED_VALUE"""),44820)</f>
        <v>44820</v>
      </c>
      <c r="C5846" t="str">
        <f ca="1">IFERROR(__xludf.DUMMYFUNCTION("""COMPUTED_VALUE"""),"БУ Г. ОМСКА ""УДХБ"" 197-РДО от 01.07.2022")</f>
        <v>БУ Г. ОМСКА "УДХБ" 197-РДО от 01.07.2022</v>
      </c>
      <c r="D58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6" t="str">
        <f ca="1">IFERROR(__xludf.DUMMYFUNCTION("""COMPUTED_VALUE"""),"Новый")</f>
        <v>Новый</v>
      </c>
      <c r="G5846" s="68"/>
      <c r="K5846" s="68"/>
    </row>
    <row r="5847" spans="1:11" ht="12.75">
      <c r="A5847" s="69">
        <f ca="1">IFERROR(__xludf.DUMMYFUNCTION("""COMPUTED_VALUE"""),106952)</f>
        <v>106952</v>
      </c>
      <c r="B5847" s="4">
        <f ca="1">IFERROR(__xludf.DUMMYFUNCTION("""COMPUTED_VALUE"""),44820)</f>
        <v>44820</v>
      </c>
      <c r="C5847" t="str">
        <f ca="1">IFERROR(__xludf.DUMMYFUNCTION("""COMPUTED_VALUE"""),"БУ Г. ОМСКА ""УДХБ"" 197-РДО от 01.07.2022")</f>
        <v>БУ Г. ОМСКА "УДХБ" 197-РДО от 01.07.2022</v>
      </c>
      <c r="D58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7" t="str">
        <f ca="1">IFERROR(__xludf.DUMMYFUNCTION("""COMPUTED_VALUE"""),"Новый")</f>
        <v>Новый</v>
      </c>
      <c r="G5847" s="68"/>
      <c r="K5847" s="68"/>
    </row>
    <row r="5848" spans="1:11" ht="12.75">
      <c r="A5848" s="69">
        <f ca="1">IFERROR(__xludf.DUMMYFUNCTION("""COMPUTED_VALUE"""),106953)</f>
        <v>106953</v>
      </c>
      <c r="B5848" s="4">
        <f ca="1">IFERROR(__xludf.DUMMYFUNCTION("""COMPUTED_VALUE"""),44820)</f>
        <v>44820</v>
      </c>
      <c r="C5848" t="str">
        <f ca="1">IFERROR(__xludf.DUMMYFUNCTION("""COMPUTED_VALUE"""),"БУ Г. ОМСКА ""УДХБ"" 197-РДО от 01.07.2022")</f>
        <v>БУ Г. ОМСКА "УДХБ" 197-РДО от 01.07.2022</v>
      </c>
      <c r="D58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8" t="str">
        <f ca="1">IFERROR(__xludf.DUMMYFUNCTION("""COMPUTED_VALUE"""),"Новый")</f>
        <v>Новый</v>
      </c>
      <c r="G5848" s="68"/>
      <c r="K5848" s="68"/>
    </row>
    <row r="5849" spans="1:11" ht="12.75">
      <c r="A5849" s="69">
        <f ca="1">IFERROR(__xludf.DUMMYFUNCTION("""COMPUTED_VALUE"""),106954)</f>
        <v>106954</v>
      </c>
      <c r="B5849" s="4">
        <f ca="1">IFERROR(__xludf.DUMMYFUNCTION("""COMPUTED_VALUE"""),44820)</f>
        <v>44820</v>
      </c>
      <c r="C5849" t="str">
        <f ca="1">IFERROR(__xludf.DUMMYFUNCTION("""COMPUTED_VALUE"""),"БУ Г. ОМСКА ""УДХБ"" 197-РДО от 01.07.2022")</f>
        <v>БУ Г. ОМСКА "УДХБ" 197-РДО от 01.07.2022</v>
      </c>
      <c r="D58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49" t="str">
        <f ca="1">IFERROR(__xludf.DUMMYFUNCTION("""COMPUTED_VALUE"""),"Новый")</f>
        <v>Новый</v>
      </c>
      <c r="G5849" s="68"/>
      <c r="K5849" s="68"/>
    </row>
    <row r="5850" spans="1:11" ht="12.75">
      <c r="A5850" s="69">
        <f ca="1">IFERROR(__xludf.DUMMYFUNCTION("""COMPUTED_VALUE"""),106955)</f>
        <v>106955</v>
      </c>
      <c r="B5850" s="4">
        <f ca="1">IFERROR(__xludf.DUMMYFUNCTION("""COMPUTED_VALUE"""),44820)</f>
        <v>44820</v>
      </c>
      <c r="C5850" t="str">
        <f ca="1">IFERROR(__xludf.DUMMYFUNCTION("""COMPUTED_VALUE"""),"БУ Г. ОМСКА ""УДХБ"" 197-РДО от 01.07.2022")</f>
        <v>БУ Г. ОМСКА "УДХБ" 197-РДО от 01.07.2022</v>
      </c>
      <c r="D58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0" t="str">
        <f ca="1">IFERROR(__xludf.DUMMYFUNCTION("""COMPUTED_VALUE"""),"Новый")</f>
        <v>Новый</v>
      </c>
      <c r="G5850" s="68"/>
      <c r="K5850" s="68"/>
    </row>
    <row r="5851" spans="1:11" ht="12.75">
      <c r="A5851" s="69">
        <f ca="1">IFERROR(__xludf.DUMMYFUNCTION("""COMPUTED_VALUE"""),106956)</f>
        <v>106956</v>
      </c>
      <c r="B5851" s="4">
        <f ca="1">IFERROR(__xludf.DUMMYFUNCTION("""COMPUTED_VALUE"""),44820)</f>
        <v>44820</v>
      </c>
      <c r="C5851" t="str">
        <f ca="1">IFERROR(__xludf.DUMMYFUNCTION("""COMPUTED_VALUE"""),"БУ Г. ОМСКА ""УДХБ"" 197-РДО от 01.07.2022")</f>
        <v>БУ Г. ОМСКА "УДХБ" 197-РДО от 01.07.2022</v>
      </c>
      <c r="D58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1" t="str">
        <f ca="1">IFERROR(__xludf.DUMMYFUNCTION("""COMPUTED_VALUE"""),"Новый")</f>
        <v>Новый</v>
      </c>
      <c r="G5851" s="68"/>
      <c r="K5851" s="68"/>
    </row>
    <row r="5852" spans="1:11" ht="12.75">
      <c r="A5852" s="69">
        <f ca="1">IFERROR(__xludf.DUMMYFUNCTION("""COMPUTED_VALUE"""),106957)</f>
        <v>106957</v>
      </c>
      <c r="B5852" s="4">
        <f ca="1">IFERROR(__xludf.DUMMYFUNCTION("""COMPUTED_VALUE"""),44820)</f>
        <v>44820</v>
      </c>
      <c r="C5852" t="str">
        <f ca="1">IFERROR(__xludf.DUMMYFUNCTION("""COMPUTED_VALUE"""),"БУ Г. ОМСКА ""УДХБ"" 197-РДО от 01.07.2022")</f>
        <v>БУ Г. ОМСКА "УДХБ" 197-РДО от 01.07.2022</v>
      </c>
      <c r="D58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2" t="str">
        <f ca="1">IFERROR(__xludf.DUMMYFUNCTION("""COMPUTED_VALUE"""),"Новый")</f>
        <v>Новый</v>
      </c>
      <c r="G5852" s="68"/>
      <c r="K5852" s="68"/>
    </row>
    <row r="5853" spans="1:11" ht="12.75">
      <c r="A5853" s="69">
        <f ca="1">IFERROR(__xludf.DUMMYFUNCTION("""COMPUTED_VALUE"""),106958)</f>
        <v>106958</v>
      </c>
      <c r="B5853" s="4">
        <f ca="1">IFERROR(__xludf.DUMMYFUNCTION("""COMPUTED_VALUE"""),44820)</f>
        <v>44820</v>
      </c>
      <c r="C5853" t="str">
        <f ca="1">IFERROR(__xludf.DUMMYFUNCTION("""COMPUTED_VALUE"""),"БУ Г. ОМСКА ""УДХБ"" 197-РДО от 01.07.2022")</f>
        <v>БУ Г. ОМСКА "УДХБ" 197-РДО от 01.07.2022</v>
      </c>
      <c r="D58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3" t="str">
        <f ca="1">IFERROR(__xludf.DUMMYFUNCTION("""COMPUTED_VALUE"""),"Новый")</f>
        <v>Новый</v>
      </c>
      <c r="G5853" s="68"/>
      <c r="K5853" s="68"/>
    </row>
    <row r="5854" spans="1:11" ht="12.75">
      <c r="A5854" s="69">
        <f ca="1">IFERROR(__xludf.DUMMYFUNCTION("""COMPUTED_VALUE"""),106959)</f>
        <v>106959</v>
      </c>
      <c r="B5854" s="4">
        <f ca="1">IFERROR(__xludf.DUMMYFUNCTION("""COMPUTED_VALUE"""),44820)</f>
        <v>44820</v>
      </c>
      <c r="C5854" t="str">
        <f ca="1">IFERROR(__xludf.DUMMYFUNCTION("""COMPUTED_VALUE"""),"БУ Г. ОМСКА ""УДХБ"" 197-РДО от 01.07.2022")</f>
        <v>БУ Г. ОМСКА "УДХБ" 197-РДО от 01.07.2022</v>
      </c>
      <c r="D58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4" t="str">
        <f ca="1">IFERROR(__xludf.DUMMYFUNCTION("""COMPUTED_VALUE"""),"Новый")</f>
        <v>Новый</v>
      </c>
      <c r="G5854" s="68"/>
      <c r="K5854" s="68"/>
    </row>
    <row r="5855" spans="1:11" ht="12.75">
      <c r="A5855" s="69">
        <f ca="1">IFERROR(__xludf.DUMMYFUNCTION("""COMPUTED_VALUE"""),106960)</f>
        <v>106960</v>
      </c>
      <c r="B5855" s="4">
        <f ca="1">IFERROR(__xludf.DUMMYFUNCTION("""COMPUTED_VALUE"""),44820)</f>
        <v>44820</v>
      </c>
      <c r="C5855" t="str">
        <f ca="1">IFERROR(__xludf.DUMMYFUNCTION("""COMPUTED_VALUE"""),"БУ Г. ОМСКА ""УДХБ"" 197-РДО от 01.07.2022")</f>
        <v>БУ Г. ОМСКА "УДХБ" 197-РДО от 01.07.2022</v>
      </c>
      <c r="D58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5" t="str">
        <f ca="1">IFERROR(__xludf.DUMMYFUNCTION("""COMPUTED_VALUE"""),"Новый")</f>
        <v>Новый</v>
      </c>
      <c r="G5855" s="68"/>
      <c r="K5855" s="68"/>
    </row>
    <row r="5856" spans="1:11" ht="12.75">
      <c r="A5856" s="69">
        <f ca="1">IFERROR(__xludf.DUMMYFUNCTION("""COMPUTED_VALUE"""),106961)</f>
        <v>106961</v>
      </c>
      <c r="B5856" s="4">
        <f ca="1">IFERROR(__xludf.DUMMYFUNCTION("""COMPUTED_VALUE"""),44820)</f>
        <v>44820</v>
      </c>
      <c r="C5856" t="str">
        <f ca="1">IFERROR(__xludf.DUMMYFUNCTION("""COMPUTED_VALUE"""),"БУ Г. ОМСКА ""УДХБ"" 197-РДО от 01.07.2022")</f>
        <v>БУ Г. ОМСКА "УДХБ" 197-РДО от 01.07.2022</v>
      </c>
      <c r="D58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6" t="str">
        <f ca="1">IFERROR(__xludf.DUMMYFUNCTION("""COMPUTED_VALUE"""),"Новый")</f>
        <v>Новый</v>
      </c>
      <c r="G5856" s="68"/>
      <c r="K5856" s="68"/>
    </row>
    <row r="5857" spans="1:11" ht="12.75">
      <c r="A5857" s="69">
        <f ca="1">IFERROR(__xludf.DUMMYFUNCTION("""COMPUTED_VALUE"""),106962)</f>
        <v>106962</v>
      </c>
      <c r="B5857" s="4">
        <f ca="1">IFERROR(__xludf.DUMMYFUNCTION("""COMPUTED_VALUE"""),44820)</f>
        <v>44820</v>
      </c>
      <c r="C5857" t="str">
        <f ca="1">IFERROR(__xludf.DUMMYFUNCTION("""COMPUTED_VALUE"""),"БУ Г. ОМСКА ""УДХБ"" 197-РДО от 01.07.2022")</f>
        <v>БУ Г. ОМСКА "УДХБ" 197-РДО от 01.07.2022</v>
      </c>
      <c r="D58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7" t="str">
        <f ca="1">IFERROR(__xludf.DUMMYFUNCTION("""COMPUTED_VALUE"""),"Новый")</f>
        <v>Новый</v>
      </c>
      <c r="G5857" s="68"/>
      <c r="K5857" s="68"/>
    </row>
    <row r="5858" spans="1:11" ht="12.75">
      <c r="A5858" s="69">
        <f ca="1">IFERROR(__xludf.DUMMYFUNCTION("""COMPUTED_VALUE"""),106963)</f>
        <v>106963</v>
      </c>
      <c r="B5858" s="4">
        <f ca="1">IFERROR(__xludf.DUMMYFUNCTION("""COMPUTED_VALUE"""),44820)</f>
        <v>44820</v>
      </c>
      <c r="C5858" t="str">
        <f ca="1">IFERROR(__xludf.DUMMYFUNCTION("""COMPUTED_VALUE"""),"БУ Г. ОМСКА ""УДХБ"" 197-РДО от 01.07.2022")</f>
        <v>БУ Г. ОМСКА "УДХБ" 197-РДО от 01.07.2022</v>
      </c>
      <c r="D58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8" t="str">
        <f ca="1">IFERROR(__xludf.DUMMYFUNCTION("""COMPUTED_VALUE"""),"Новый")</f>
        <v>Новый</v>
      </c>
      <c r="G5858" s="68"/>
      <c r="K5858" s="68"/>
    </row>
    <row r="5859" spans="1:11" ht="12.75">
      <c r="A5859" s="69">
        <f ca="1">IFERROR(__xludf.DUMMYFUNCTION("""COMPUTED_VALUE"""),106964)</f>
        <v>106964</v>
      </c>
      <c r="B5859" s="4">
        <f ca="1">IFERROR(__xludf.DUMMYFUNCTION("""COMPUTED_VALUE"""),44820)</f>
        <v>44820</v>
      </c>
      <c r="C5859" t="str">
        <f ca="1">IFERROR(__xludf.DUMMYFUNCTION("""COMPUTED_VALUE"""),"БУ Г. ОМСКА ""УДХБ"" 197-РДО от 01.07.2022")</f>
        <v>БУ Г. ОМСКА "УДХБ" 197-РДО от 01.07.2022</v>
      </c>
      <c r="D58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59" t="str">
        <f ca="1">IFERROR(__xludf.DUMMYFUNCTION("""COMPUTED_VALUE"""),"Новый")</f>
        <v>Новый</v>
      </c>
      <c r="G5859" s="68"/>
      <c r="K5859" s="68"/>
    </row>
    <row r="5860" spans="1:11" ht="12.75">
      <c r="A5860" s="69">
        <f ca="1">IFERROR(__xludf.DUMMYFUNCTION("""COMPUTED_VALUE"""),106965)</f>
        <v>106965</v>
      </c>
      <c r="B5860" s="4">
        <f ca="1">IFERROR(__xludf.DUMMYFUNCTION("""COMPUTED_VALUE"""),44820)</f>
        <v>44820</v>
      </c>
      <c r="C5860" t="str">
        <f ca="1">IFERROR(__xludf.DUMMYFUNCTION("""COMPUTED_VALUE"""),"БУ Г. ОМСКА ""УДХБ"" 197-РДО от 01.07.2022")</f>
        <v>БУ Г. ОМСКА "УДХБ" 197-РДО от 01.07.2022</v>
      </c>
      <c r="D58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0" t="str">
        <f ca="1">IFERROR(__xludf.DUMMYFUNCTION("""COMPUTED_VALUE"""),"Новый")</f>
        <v>Новый</v>
      </c>
      <c r="G5860" s="68"/>
      <c r="K5860" s="68"/>
    </row>
    <row r="5861" spans="1:11" ht="12.75">
      <c r="A5861" s="69">
        <f ca="1">IFERROR(__xludf.DUMMYFUNCTION("""COMPUTED_VALUE"""),106966)</f>
        <v>106966</v>
      </c>
      <c r="B5861" s="4">
        <f ca="1">IFERROR(__xludf.DUMMYFUNCTION("""COMPUTED_VALUE"""),44820)</f>
        <v>44820</v>
      </c>
      <c r="C5861" t="str">
        <f ca="1">IFERROR(__xludf.DUMMYFUNCTION("""COMPUTED_VALUE"""),"БУ Г. ОМСКА ""УДХБ"" 197-РДО от 01.07.2022")</f>
        <v>БУ Г. ОМСКА "УДХБ" 197-РДО от 01.07.2022</v>
      </c>
      <c r="D58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1" t="str">
        <f ca="1">IFERROR(__xludf.DUMMYFUNCTION("""COMPUTED_VALUE"""),"Новый")</f>
        <v>Новый</v>
      </c>
      <c r="G5861" s="68"/>
      <c r="K5861" s="68"/>
    </row>
    <row r="5862" spans="1:11" ht="12.75">
      <c r="A5862" s="69">
        <f ca="1">IFERROR(__xludf.DUMMYFUNCTION("""COMPUTED_VALUE"""),106967)</f>
        <v>106967</v>
      </c>
      <c r="B5862" s="4">
        <f ca="1">IFERROR(__xludf.DUMMYFUNCTION("""COMPUTED_VALUE"""),44820)</f>
        <v>44820</v>
      </c>
      <c r="C5862" t="str">
        <f ca="1">IFERROR(__xludf.DUMMYFUNCTION("""COMPUTED_VALUE"""),"БУ Г. ОМСКА ""УДХБ"" 197-РДО от 01.07.2022")</f>
        <v>БУ Г. ОМСКА "УДХБ" 197-РДО от 01.07.2022</v>
      </c>
      <c r="D58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2" t="str">
        <f ca="1">IFERROR(__xludf.DUMMYFUNCTION("""COMPUTED_VALUE"""),"Новый")</f>
        <v>Новый</v>
      </c>
      <c r="G5862" s="68"/>
      <c r="K5862" s="68"/>
    </row>
    <row r="5863" spans="1:11" ht="12.75">
      <c r="A5863" s="69">
        <f ca="1">IFERROR(__xludf.DUMMYFUNCTION("""COMPUTED_VALUE"""),106968)</f>
        <v>106968</v>
      </c>
      <c r="B5863" s="4">
        <f ca="1">IFERROR(__xludf.DUMMYFUNCTION("""COMPUTED_VALUE"""),44820)</f>
        <v>44820</v>
      </c>
      <c r="C5863" t="str">
        <f ca="1">IFERROR(__xludf.DUMMYFUNCTION("""COMPUTED_VALUE"""),"БУ Г. ОМСКА ""УДХБ"" 197-РДО от 01.07.2022")</f>
        <v>БУ Г. ОМСКА "УДХБ" 197-РДО от 01.07.2022</v>
      </c>
      <c r="D58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3" t="str">
        <f ca="1">IFERROR(__xludf.DUMMYFUNCTION("""COMPUTED_VALUE"""),"Новый")</f>
        <v>Новый</v>
      </c>
      <c r="G5863" s="68"/>
      <c r="K5863" s="68"/>
    </row>
    <row r="5864" spans="1:11" ht="12.75">
      <c r="A5864" s="69">
        <f ca="1">IFERROR(__xludf.DUMMYFUNCTION("""COMPUTED_VALUE"""),106969)</f>
        <v>106969</v>
      </c>
      <c r="B5864" s="4">
        <f ca="1">IFERROR(__xludf.DUMMYFUNCTION("""COMPUTED_VALUE"""),44820)</f>
        <v>44820</v>
      </c>
      <c r="C5864" t="str">
        <f ca="1">IFERROR(__xludf.DUMMYFUNCTION("""COMPUTED_VALUE"""),"БУ Г. ОМСКА ""УДХБ"" 197-РДО от 01.07.2022")</f>
        <v>БУ Г. ОМСКА "УДХБ" 197-РДО от 01.07.2022</v>
      </c>
      <c r="D58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4" t="str">
        <f ca="1">IFERROR(__xludf.DUMMYFUNCTION("""COMPUTED_VALUE"""),"Новый")</f>
        <v>Новый</v>
      </c>
      <c r="G5864" s="68"/>
      <c r="K5864" s="68"/>
    </row>
    <row r="5865" spans="1:11" ht="12.75">
      <c r="A5865" s="69">
        <f ca="1">IFERROR(__xludf.DUMMYFUNCTION("""COMPUTED_VALUE"""),106970)</f>
        <v>106970</v>
      </c>
      <c r="B5865" s="4">
        <f ca="1">IFERROR(__xludf.DUMMYFUNCTION("""COMPUTED_VALUE"""),44820)</f>
        <v>44820</v>
      </c>
      <c r="C5865" t="str">
        <f ca="1">IFERROR(__xludf.DUMMYFUNCTION("""COMPUTED_VALUE"""),"БУ Г. ОМСКА ""УДХБ"" 197-РДО от 01.07.2022")</f>
        <v>БУ Г. ОМСКА "УДХБ" 197-РДО от 01.07.2022</v>
      </c>
      <c r="D58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5" t="str">
        <f ca="1">IFERROR(__xludf.DUMMYFUNCTION("""COMPUTED_VALUE"""),"Новый")</f>
        <v>Новый</v>
      </c>
      <c r="G5865" s="68"/>
      <c r="K5865" s="68"/>
    </row>
    <row r="5866" spans="1:11" ht="12.75">
      <c r="A5866" s="69">
        <f ca="1">IFERROR(__xludf.DUMMYFUNCTION("""COMPUTED_VALUE"""),106971)</f>
        <v>106971</v>
      </c>
      <c r="B5866" s="4">
        <f ca="1">IFERROR(__xludf.DUMMYFUNCTION("""COMPUTED_VALUE"""),44820)</f>
        <v>44820</v>
      </c>
      <c r="C5866" t="str">
        <f ca="1">IFERROR(__xludf.DUMMYFUNCTION("""COMPUTED_VALUE"""),"БУ Г. ОМСКА ""УДХБ"" 197-РДО от 01.07.2022")</f>
        <v>БУ Г. ОМСКА "УДХБ" 197-РДО от 01.07.2022</v>
      </c>
      <c r="D58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6" t="str">
        <f ca="1">IFERROR(__xludf.DUMMYFUNCTION("""COMPUTED_VALUE"""),"Новый")</f>
        <v>Новый</v>
      </c>
      <c r="G5866" s="68"/>
      <c r="K5866" s="68"/>
    </row>
    <row r="5867" spans="1:11" ht="12.75">
      <c r="A5867" s="69">
        <f ca="1">IFERROR(__xludf.DUMMYFUNCTION("""COMPUTED_VALUE"""),106972)</f>
        <v>106972</v>
      </c>
      <c r="B5867" s="4">
        <f ca="1">IFERROR(__xludf.DUMMYFUNCTION("""COMPUTED_VALUE"""),44820)</f>
        <v>44820</v>
      </c>
      <c r="C5867" t="str">
        <f ca="1">IFERROR(__xludf.DUMMYFUNCTION("""COMPUTED_VALUE"""),"БУ Г. ОМСКА ""УДХБ"" 197-РДО от 01.07.2022")</f>
        <v>БУ Г. ОМСКА "УДХБ" 197-РДО от 01.07.2022</v>
      </c>
      <c r="D58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7" t="str">
        <f ca="1">IFERROR(__xludf.DUMMYFUNCTION("""COMPUTED_VALUE"""),"Новый")</f>
        <v>Новый</v>
      </c>
      <c r="G5867" s="68"/>
      <c r="K5867" s="68"/>
    </row>
    <row r="5868" spans="1:11" ht="12.75">
      <c r="A5868" s="69">
        <f ca="1">IFERROR(__xludf.DUMMYFUNCTION("""COMPUTED_VALUE"""),106973)</f>
        <v>106973</v>
      </c>
      <c r="B5868" s="4">
        <f ca="1">IFERROR(__xludf.DUMMYFUNCTION("""COMPUTED_VALUE"""),44820)</f>
        <v>44820</v>
      </c>
      <c r="C5868" t="str">
        <f ca="1">IFERROR(__xludf.DUMMYFUNCTION("""COMPUTED_VALUE"""),"БУ Г. ОМСКА ""УДХБ"" 197-РДО от 01.07.2022")</f>
        <v>БУ Г. ОМСКА "УДХБ" 197-РДО от 01.07.2022</v>
      </c>
      <c r="D58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8" t="str">
        <f ca="1">IFERROR(__xludf.DUMMYFUNCTION("""COMPUTED_VALUE"""),"Новый")</f>
        <v>Новый</v>
      </c>
      <c r="G5868" s="68"/>
      <c r="K5868" s="68"/>
    </row>
    <row r="5869" spans="1:11" ht="12.75">
      <c r="A5869" s="69">
        <f ca="1">IFERROR(__xludf.DUMMYFUNCTION("""COMPUTED_VALUE"""),106974)</f>
        <v>106974</v>
      </c>
      <c r="B5869" s="4">
        <f ca="1">IFERROR(__xludf.DUMMYFUNCTION("""COMPUTED_VALUE"""),44820)</f>
        <v>44820</v>
      </c>
      <c r="C5869" t="str">
        <f ca="1">IFERROR(__xludf.DUMMYFUNCTION("""COMPUTED_VALUE"""),"БУ Г. ОМСКА ""УДХБ"" 197-РДО от 01.07.2022")</f>
        <v>БУ Г. ОМСКА "УДХБ" 197-РДО от 01.07.2022</v>
      </c>
      <c r="D58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69" t="str">
        <f ca="1">IFERROR(__xludf.DUMMYFUNCTION("""COMPUTED_VALUE"""),"Новый")</f>
        <v>Новый</v>
      </c>
      <c r="G5869" s="68"/>
      <c r="K5869" s="68"/>
    </row>
    <row r="5870" spans="1:11" ht="12.75">
      <c r="A5870" s="69">
        <f ca="1">IFERROR(__xludf.DUMMYFUNCTION("""COMPUTED_VALUE"""),106975)</f>
        <v>106975</v>
      </c>
      <c r="B5870" s="4">
        <f ca="1">IFERROR(__xludf.DUMMYFUNCTION("""COMPUTED_VALUE"""),44820)</f>
        <v>44820</v>
      </c>
      <c r="C5870" t="str">
        <f ca="1">IFERROR(__xludf.DUMMYFUNCTION("""COMPUTED_VALUE"""),"БУ Г. ОМСКА ""УДХБ"" 197-РДО от 01.07.2022")</f>
        <v>БУ Г. ОМСКА "УДХБ" 197-РДО от 01.07.2022</v>
      </c>
      <c r="D58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0" t="str">
        <f ca="1">IFERROR(__xludf.DUMMYFUNCTION("""COMPUTED_VALUE"""),"Новый")</f>
        <v>Новый</v>
      </c>
      <c r="G5870" s="68"/>
      <c r="K5870" s="68"/>
    </row>
    <row r="5871" spans="1:11" ht="12.75">
      <c r="A5871" s="69">
        <f ca="1">IFERROR(__xludf.DUMMYFUNCTION("""COMPUTED_VALUE"""),106976)</f>
        <v>106976</v>
      </c>
      <c r="B5871" s="4">
        <f ca="1">IFERROR(__xludf.DUMMYFUNCTION("""COMPUTED_VALUE"""),44820)</f>
        <v>44820</v>
      </c>
      <c r="C5871" t="str">
        <f ca="1">IFERROR(__xludf.DUMMYFUNCTION("""COMPUTED_VALUE"""),"БУ Г. ОМСКА ""УДХБ"" 197-РДО от 01.07.2022")</f>
        <v>БУ Г. ОМСКА "УДХБ" 197-РДО от 01.07.2022</v>
      </c>
      <c r="D58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1" t="str">
        <f ca="1">IFERROR(__xludf.DUMMYFUNCTION("""COMPUTED_VALUE"""),"Новый")</f>
        <v>Новый</v>
      </c>
      <c r="G5871" s="68"/>
      <c r="K5871" s="68"/>
    </row>
    <row r="5872" spans="1:11" ht="12.75">
      <c r="A5872" s="69">
        <f ca="1">IFERROR(__xludf.DUMMYFUNCTION("""COMPUTED_VALUE"""),106977)</f>
        <v>106977</v>
      </c>
      <c r="B5872" s="4">
        <f ca="1">IFERROR(__xludf.DUMMYFUNCTION("""COMPUTED_VALUE"""),44820)</f>
        <v>44820</v>
      </c>
      <c r="C5872" t="str">
        <f ca="1">IFERROR(__xludf.DUMMYFUNCTION("""COMPUTED_VALUE"""),"БУ Г. ОМСКА ""УДХБ"" 197-РДО от 01.07.2022")</f>
        <v>БУ Г. ОМСКА "УДХБ" 197-РДО от 01.07.2022</v>
      </c>
      <c r="D58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2" t="str">
        <f ca="1">IFERROR(__xludf.DUMMYFUNCTION("""COMPUTED_VALUE"""),"Новый")</f>
        <v>Новый</v>
      </c>
      <c r="G5872" s="68"/>
      <c r="K5872" s="68"/>
    </row>
    <row r="5873" spans="1:11" ht="12.75">
      <c r="A5873" s="69">
        <f ca="1">IFERROR(__xludf.DUMMYFUNCTION("""COMPUTED_VALUE"""),106978)</f>
        <v>106978</v>
      </c>
      <c r="B5873" s="4">
        <f ca="1">IFERROR(__xludf.DUMMYFUNCTION("""COMPUTED_VALUE"""),44820)</f>
        <v>44820</v>
      </c>
      <c r="C5873" t="str">
        <f ca="1">IFERROR(__xludf.DUMMYFUNCTION("""COMPUTED_VALUE"""),"БУ Г. ОМСКА ""УДХБ"" 197-РДО от 01.07.2022")</f>
        <v>БУ Г. ОМСКА "УДХБ" 197-РДО от 01.07.2022</v>
      </c>
      <c r="D58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3" t="str">
        <f ca="1">IFERROR(__xludf.DUMMYFUNCTION("""COMPUTED_VALUE"""),"Новый")</f>
        <v>Новый</v>
      </c>
      <c r="G5873" s="68"/>
      <c r="K5873" s="68"/>
    </row>
    <row r="5874" spans="1:11" ht="12.75">
      <c r="A5874" s="69">
        <f ca="1">IFERROR(__xludf.DUMMYFUNCTION("""COMPUTED_VALUE"""),106979)</f>
        <v>106979</v>
      </c>
      <c r="B5874" s="4">
        <f ca="1">IFERROR(__xludf.DUMMYFUNCTION("""COMPUTED_VALUE"""),44820)</f>
        <v>44820</v>
      </c>
      <c r="C5874" t="str">
        <f ca="1">IFERROR(__xludf.DUMMYFUNCTION("""COMPUTED_VALUE"""),"БУ Г. ОМСКА ""УДХБ"" 197-РДО от 01.07.2022")</f>
        <v>БУ Г. ОМСКА "УДХБ" 197-РДО от 01.07.2022</v>
      </c>
      <c r="D58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4" t="str">
        <f ca="1">IFERROR(__xludf.DUMMYFUNCTION("""COMPUTED_VALUE"""),"Новый")</f>
        <v>Новый</v>
      </c>
      <c r="G5874" s="68"/>
      <c r="K5874" s="68"/>
    </row>
    <row r="5875" spans="1:11" ht="12.75">
      <c r="A5875" s="69">
        <f ca="1">IFERROR(__xludf.DUMMYFUNCTION("""COMPUTED_VALUE"""),106980)</f>
        <v>106980</v>
      </c>
      <c r="B5875" s="4">
        <f ca="1">IFERROR(__xludf.DUMMYFUNCTION("""COMPUTED_VALUE"""),44820)</f>
        <v>44820</v>
      </c>
      <c r="C5875" t="str">
        <f ca="1">IFERROR(__xludf.DUMMYFUNCTION("""COMPUTED_VALUE"""),"БУ Г. ОМСКА ""УДХБ"" 197-РДО от 01.07.2022")</f>
        <v>БУ Г. ОМСКА "УДХБ" 197-РДО от 01.07.2022</v>
      </c>
      <c r="D58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5" t="str">
        <f ca="1">IFERROR(__xludf.DUMMYFUNCTION("""COMPUTED_VALUE"""),"Новый")</f>
        <v>Новый</v>
      </c>
      <c r="G5875" s="68"/>
      <c r="K5875" s="68"/>
    </row>
    <row r="5876" spans="1:11" ht="12.75">
      <c r="A5876" s="69">
        <f ca="1">IFERROR(__xludf.DUMMYFUNCTION("""COMPUTED_VALUE"""),106981)</f>
        <v>106981</v>
      </c>
      <c r="B5876" s="4">
        <f ca="1">IFERROR(__xludf.DUMMYFUNCTION("""COMPUTED_VALUE"""),44820)</f>
        <v>44820</v>
      </c>
      <c r="C5876" t="str">
        <f ca="1">IFERROR(__xludf.DUMMYFUNCTION("""COMPUTED_VALUE"""),"БУ Г. ОМСКА ""УДХБ"" 197-РДО от 01.07.2022")</f>
        <v>БУ Г. ОМСКА "УДХБ" 197-РДО от 01.07.2022</v>
      </c>
      <c r="D58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6" t="str">
        <f ca="1">IFERROR(__xludf.DUMMYFUNCTION("""COMPUTED_VALUE"""),"Новый")</f>
        <v>Новый</v>
      </c>
      <c r="G5876" s="68"/>
      <c r="K5876" s="68"/>
    </row>
    <row r="5877" spans="1:11" ht="12.75">
      <c r="A5877" s="69">
        <f ca="1">IFERROR(__xludf.DUMMYFUNCTION("""COMPUTED_VALUE"""),106982)</f>
        <v>106982</v>
      </c>
      <c r="B5877" s="4">
        <f ca="1">IFERROR(__xludf.DUMMYFUNCTION("""COMPUTED_VALUE"""),44820)</f>
        <v>44820</v>
      </c>
      <c r="C5877" t="str">
        <f ca="1">IFERROR(__xludf.DUMMYFUNCTION("""COMPUTED_VALUE"""),"БУ Г. ОМСКА ""УДХБ"" 197-РДО от 01.07.2022")</f>
        <v>БУ Г. ОМСКА "УДХБ" 197-РДО от 01.07.2022</v>
      </c>
      <c r="D58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7" t="str">
        <f ca="1">IFERROR(__xludf.DUMMYFUNCTION("""COMPUTED_VALUE"""),"Новый")</f>
        <v>Новый</v>
      </c>
      <c r="G5877" s="68"/>
      <c r="K5877" s="68"/>
    </row>
    <row r="5878" spans="1:11" ht="12.75">
      <c r="A5878" s="69">
        <f ca="1">IFERROR(__xludf.DUMMYFUNCTION("""COMPUTED_VALUE"""),106983)</f>
        <v>106983</v>
      </c>
      <c r="B5878" s="4">
        <f ca="1">IFERROR(__xludf.DUMMYFUNCTION("""COMPUTED_VALUE"""),44820)</f>
        <v>44820</v>
      </c>
      <c r="C5878" t="str">
        <f ca="1">IFERROR(__xludf.DUMMYFUNCTION("""COMPUTED_VALUE"""),"БУ Г. ОМСКА ""УДХБ"" 197-РДО от 01.07.2022")</f>
        <v>БУ Г. ОМСКА "УДХБ" 197-РДО от 01.07.2022</v>
      </c>
      <c r="D58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8" t="str">
        <f ca="1">IFERROR(__xludf.DUMMYFUNCTION("""COMPUTED_VALUE"""),"Новый")</f>
        <v>Новый</v>
      </c>
      <c r="G5878" s="68"/>
      <c r="K5878" s="68"/>
    </row>
    <row r="5879" spans="1:11" ht="12.75">
      <c r="A5879" s="69">
        <f ca="1">IFERROR(__xludf.DUMMYFUNCTION("""COMPUTED_VALUE"""),106984)</f>
        <v>106984</v>
      </c>
      <c r="B5879" s="4">
        <f ca="1">IFERROR(__xludf.DUMMYFUNCTION("""COMPUTED_VALUE"""),44820)</f>
        <v>44820</v>
      </c>
      <c r="C5879" t="str">
        <f ca="1">IFERROR(__xludf.DUMMYFUNCTION("""COMPUTED_VALUE"""),"БУ Г. ОМСКА ""УДХБ"" 197-РДО от 01.07.2022")</f>
        <v>БУ Г. ОМСКА "УДХБ" 197-РДО от 01.07.2022</v>
      </c>
      <c r="D58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79" t="str">
        <f ca="1">IFERROR(__xludf.DUMMYFUNCTION("""COMPUTED_VALUE"""),"Новый")</f>
        <v>Новый</v>
      </c>
      <c r="G5879" s="68"/>
      <c r="K5879" s="68"/>
    </row>
    <row r="5880" spans="1:11" ht="12.75">
      <c r="A5880" s="69">
        <f ca="1">IFERROR(__xludf.DUMMYFUNCTION("""COMPUTED_VALUE"""),106985)</f>
        <v>106985</v>
      </c>
      <c r="B5880" s="4">
        <f ca="1">IFERROR(__xludf.DUMMYFUNCTION("""COMPUTED_VALUE"""),44820)</f>
        <v>44820</v>
      </c>
      <c r="C5880" t="str">
        <f ca="1">IFERROR(__xludf.DUMMYFUNCTION("""COMPUTED_VALUE"""),"БУ Г. ОМСКА ""УДХБ"" 197-РДО от 01.07.2022")</f>
        <v>БУ Г. ОМСКА "УДХБ" 197-РДО от 01.07.2022</v>
      </c>
      <c r="D58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0" t="str">
        <f ca="1">IFERROR(__xludf.DUMMYFUNCTION("""COMPUTED_VALUE"""),"Новый")</f>
        <v>Новый</v>
      </c>
      <c r="G5880" s="68"/>
      <c r="K5880" s="68"/>
    </row>
    <row r="5881" spans="1:11" ht="12.75">
      <c r="A5881" s="69">
        <f ca="1">IFERROR(__xludf.DUMMYFUNCTION("""COMPUTED_VALUE"""),106986)</f>
        <v>106986</v>
      </c>
      <c r="B5881" s="4">
        <f ca="1">IFERROR(__xludf.DUMMYFUNCTION("""COMPUTED_VALUE"""),44820)</f>
        <v>44820</v>
      </c>
      <c r="C5881" t="str">
        <f ca="1">IFERROR(__xludf.DUMMYFUNCTION("""COMPUTED_VALUE"""),"БУ Г. ОМСКА ""УДХБ"" 197-РДО от 01.07.2022")</f>
        <v>БУ Г. ОМСКА "УДХБ" 197-РДО от 01.07.2022</v>
      </c>
      <c r="D58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1" t="str">
        <f ca="1">IFERROR(__xludf.DUMMYFUNCTION("""COMPUTED_VALUE"""),"Новый")</f>
        <v>Новый</v>
      </c>
      <c r="G5881" s="68"/>
      <c r="K5881" s="68"/>
    </row>
    <row r="5882" spans="1:11" ht="12.75">
      <c r="A5882" s="69">
        <f ca="1">IFERROR(__xludf.DUMMYFUNCTION("""COMPUTED_VALUE"""),106987)</f>
        <v>106987</v>
      </c>
      <c r="B5882" s="4">
        <f ca="1">IFERROR(__xludf.DUMMYFUNCTION("""COMPUTED_VALUE"""),44820)</f>
        <v>44820</v>
      </c>
      <c r="C5882" t="str">
        <f ca="1">IFERROR(__xludf.DUMMYFUNCTION("""COMPUTED_VALUE"""),"БУ Г. ОМСКА ""УДХБ"" 197-РДО от 01.07.2022")</f>
        <v>БУ Г. ОМСКА "УДХБ" 197-РДО от 01.07.2022</v>
      </c>
      <c r="D58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2" t="str">
        <f ca="1">IFERROR(__xludf.DUMMYFUNCTION("""COMPUTED_VALUE"""),"Новый")</f>
        <v>Новый</v>
      </c>
      <c r="G5882" s="68"/>
      <c r="K5882" s="68"/>
    </row>
    <row r="5883" spans="1:11" ht="12.75">
      <c r="A5883" s="69">
        <f ca="1">IFERROR(__xludf.DUMMYFUNCTION("""COMPUTED_VALUE"""),106988)</f>
        <v>106988</v>
      </c>
      <c r="B5883" s="4">
        <f ca="1">IFERROR(__xludf.DUMMYFUNCTION("""COMPUTED_VALUE"""),44820)</f>
        <v>44820</v>
      </c>
      <c r="C5883" t="str">
        <f ca="1">IFERROR(__xludf.DUMMYFUNCTION("""COMPUTED_VALUE"""),"БУ Г. ОМСКА ""УДХБ"" 197-РДО от 01.07.2022")</f>
        <v>БУ Г. ОМСКА "УДХБ" 197-РДО от 01.07.2022</v>
      </c>
      <c r="D58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3" t="str">
        <f ca="1">IFERROR(__xludf.DUMMYFUNCTION("""COMPUTED_VALUE"""),"Новый")</f>
        <v>Новый</v>
      </c>
      <c r="G5883" s="68"/>
      <c r="K5883" s="68"/>
    </row>
    <row r="5884" spans="1:11" ht="12.75">
      <c r="A5884" s="69">
        <f ca="1">IFERROR(__xludf.DUMMYFUNCTION("""COMPUTED_VALUE"""),106989)</f>
        <v>106989</v>
      </c>
      <c r="B5884" s="4">
        <f ca="1">IFERROR(__xludf.DUMMYFUNCTION("""COMPUTED_VALUE"""),44820)</f>
        <v>44820</v>
      </c>
      <c r="C5884" t="str">
        <f ca="1">IFERROR(__xludf.DUMMYFUNCTION("""COMPUTED_VALUE"""),"БУ Г. ОМСКА ""УДХБ"" 197-РДО от 01.07.2022")</f>
        <v>БУ Г. ОМСКА "УДХБ" 197-РДО от 01.07.2022</v>
      </c>
      <c r="D58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4" t="str">
        <f ca="1">IFERROR(__xludf.DUMMYFUNCTION("""COMPUTED_VALUE"""),"Новый")</f>
        <v>Новый</v>
      </c>
      <c r="G5884" s="68"/>
      <c r="K5884" s="68"/>
    </row>
    <row r="5885" spans="1:11" ht="12.75">
      <c r="A5885" s="69">
        <f ca="1">IFERROR(__xludf.DUMMYFUNCTION("""COMPUTED_VALUE"""),106990)</f>
        <v>106990</v>
      </c>
      <c r="B5885" s="4">
        <f ca="1">IFERROR(__xludf.DUMMYFUNCTION("""COMPUTED_VALUE"""),44820)</f>
        <v>44820</v>
      </c>
      <c r="C5885" t="str">
        <f ca="1">IFERROR(__xludf.DUMMYFUNCTION("""COMPUTED_VALUE"""),"БУ Г. ОМСКА ""УДХБ"" 197-РДО от 01.07.2022")</f>
        <v>БУ Г. ОМСКА "УДХБ" 197-РДО от 01.07.2022</v>
      </c>
      <c r="D58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5" t="str">
        <f ca="1">IFERROR(__xludf.DUMMYFUNCTION("""COMPUTED_VALUE"""),"Новый")</f>
        <v>Новый</v>
      </c>
      <c r="G5885" s="68"/>
      <c r="K5885" s="68"/>
    </row>
    <row r="5886" spans="1:11" ht="12.75">
      <c r="A5886" s="69">
        <f ca="1">IFERROR(__xludf.DUMMYFUNCTION("""COMPUTED_VALUE"""),106991)</f>
        <v>106991</v>
      </c>
      <c r="B5886" s="4">
        <f ca="1">IFERROR(__xludf.DUMMYFUNCTION("""COMPUTED_VALUE"""),44820)</f>
        <v>44820</v>
      </c>
      <c r="C5886" t="str">
        <f ca="1">IFERROR(__xludf.DUMMYFUNCTION("""COMPUTED_VALUE"""),"БУ Г. ОМСКА ""УДХБ"" 197-РДО от 01.07.2022")</f>
        <v>БУ Г. ОМСКА "УДХБ" 197-РДО от 01.07.2022</v>
      </c>
      <c r="D58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6" t="str">
        <f ca="1">IFERROR(__xludf.DUMMYFUNCTION("""COMPUTED_VALUE"""),"Новый")</f>
        <v>Новый</v>
      </c>
      <c r="G5886" s="68"/>
      <c r="K5886" s="68"/>
    </row>
    <row r="5887" spans="1:11" ht="12.75">
      <c r="A5887" s="69">
        <f ca="1">IFERROR(__xludf.DUMMYFUNCTION("""COMPUTED_VALUE"""),106992)</f>
        <v>106992</v>
      </c>
      <c r="B5887" s="4">
        <f ca="1">IFERROR(__xludf.DUMMYFUNCTION("""COMPUTED_VALUE"""),44820)</f>
        <v>44820</v>
      </c>
      <c r="C5887" t="str">
        <f ca="1">IFERROR(__xludf.DUMMYFUNCTION("""COMPUTED_VALUE"""),"БУ Г. ОМСКА ""УДХБ"" 197-РДО от 01.07.2022")</f>
        <v>БУ Г. ОМСКА "УДХБ" 197-РДО от 01.07.2022</v>
      </c>
      <c r="D58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7" t="str">
        <f ca="1">IFERROR(__xludf.DUMMYFUNCTION("""COMPUTED_VALUE"""),"Новый")</f>
        <v>Новый</v>
      </c>
      <c r="G5887" s="68"/>
      <c r="K5887" s="68"/>
    </row>
    <row r="5888" spans="1:11" ht="12.75">
      <c r="A5888" s="69">
        <f ca="1">IFERROR(__xludf.DUMMYFUNCTION("""COMPUTED_VALUE"""),106993)</f>
        <v>106993</v>
      </c>
      <c r="B5888" s="4">
        <f ca="1">IFERROR(__xludf.DUMMYFUNCTION("""COMPUTED_VALUE"""),44820)</f>
        <v>44820</v>
      </c>
      <c r="C5888" t="str">
        <f ca="1">IFERROR(__xludf.DUMMYFUNCTION("""COMPUTED_VALUE"""),"БУ Г. ОМСКА ""УДХБ"" 197-РДО от 01.07.2022")</f>
        <v>БУ Г. ОМСКА "УДХБ" 197-РДО от 01.07.2022</v>
      </c>
      <c r="D58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8" t="str">
        <f ca="1">IFERROR(__xludf.DUMMYFUNCTION("""COMPUTED_VALUE"""),"Новый")</f>
        <v>Новый</v>
      </c>
      <c r="G5888" s="68"/>
      <c r="K5888" s="68"/>
    </row>
    <row r="5889" spans="1:11" ht="12.75">
      <c r="A5889" s="69">
        <f ca="1">IFERROR(__xludf.DUMMYFUNCTION("""COMPUTED_VALUE"""),106994)</f>
        <v>106994</v>
      </c>
      <c r="B5889" s="4">
        <f ca="1">IFERROR(__xludf.DUMMYFUNCTION("""COMPUTED_VALUE"""),44820)</f>
        <v>44820</v>
      </c>
      <c r="C5889" t="str">
        <f ca="1">IFERROR(__xludf.DUMMYFUNCTION("""COMPUTED_VALUE"""),"БУ Г. ОМСКА ""УДХБ"" 197-РДО от 01.07.2022")</f>
        <v>БУ Г. ОМСКА "УДХБ" 197-РДО от 01.07.2022</v>
      </c>
      <c r="D58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89" t="str">
        <f ca="1">IFERROR(__xludf.DUMMYFUNCTION("""COMPUTED_VALUE"""),"Новый")</f>
        <v>Новый</v>
      </c>
      <c r="G5889" s="68"/>
      <c r="K5889" s="68"/>
    </row>
    <row r="5890" spans="1:11" ht="12.75">
      <c r="A5890" s="69">
        <f ca="1">IFERROR(__xludf.DUMMYFUNCTION("""COMPUTED_VALUE"""),106995)</f>
        <v>106995</v>
      </c>
      <c r="B5890" s="4">
        <f ca="1">IFERROR(__xludf.DUMMYFUNCTION("""COMPUTED_VALUE"""),44820)</f>
        <v>44820</v>
      </c>
      <c r="C5890" t="str">
        <f ca="1">IFERROR(__xludf.DUMMYFUNCTION("""COMPUTED_VALUE"""),"БУ Г. ОМСКА ""УДХБ"" 197-РДО от 01.07.2022")</f>
        <v>БУ Г. ОМСКА "УДХБ" 197-РДО от 01.07.2022</v>
      </c>
      <c r="D58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0" t="str">
        <f ca="1">IFERROR(__xludf.DUMMYFUNCTION("""COMPUTED_VALUE"""),"Новый")</f>
        <v>Новый</v>
      </c>
      <c r="G5890" s="68"/>
      <c r="K5890" s="68"/>
    </row>
    <row r="5891" spans="1:11" ht="12.75">
      <c r="A5891" s="69">
        <f ca="1">IFERROR(__xludf.DUMMYFUNCTION("""COMPUTED_VALUE"""),106996)</f>
        <v>106996</v>
      </c>
      <c r="B5891" s="4">
        <f ca="1">IFERROR(__xludf.DUMMYFUNCTION("""COMPUTED_VALUE"""),44820)</f>
        <v>44820</v>
      </c>
      <c r="C5891" t="str">
        <f ca="1">IFERROR(__xludf.DUMMYFUNCTION("""COMPUTED_VALUE"""),"БУ Г. ОМСКА ""УДХБ"" 197-РДО от 01.07.2022")</f>
        <v>БУ Г. ОМСКА "УДХБ" 197-РДО от 01.07.2022</v>
      </c>
      <c r="D58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1" t="str">
        <f ca="1">IFERROR(__xludf.DUMMYFUNCTION("""COMPUTED_VALUE"""),"Новый")</f>
        <v>Новый</v>
      </c>
      <c r="G5891" s="68"/>
      <c r="K5891" s="68"/>
    </row>
    <row r="5892" spans="1:11" ht="12.75">
      <c r="A5892" s="69">
        <f ca="1">IFERROR(__xludf.DUMMYFUNCTION("""COMPUTED_VALUE"""),106997)</f>
        <v>106997</v>
      </c>
      <c r="B5892" s="4">
        <f ca="1">IFERROR(__xludf.DUMMYFUNCTION("""COMPUTED_VALUE"""),44820)</f>
        <v>44820</v>
      </c>
      <c r="C5892" t="str">
        <f ca="1">IFERROR(__xludf.DUMMYFUNCTION("""COMPUTED_VALUE"""),"БУ Г. ОМСКА ""УДХБ"" 197-РДО от 01.07.2022")</f>
        <v>БУ Г. ОМСКА "УДХБ" 197-РДО от 01.07.2022</v>
      </c>
      <c r="D58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2" t="str">
        <f ca="1">IFERROR(__xludf.DUMMYFUNCTION("""COMPUTED_VALUE"""),"Новый")</f>
        <v>Новый</v>
      </c>
      <c r="G5892" s="68"/>
      <c r="K5892" s="68"/>
    </row>
    <row r="5893" spans="1:11" ht="12.75">
      <c r="A5893" s="69">
        <f ca="1">IFERROR(__xludf.DUMMYFUNCTION("""COMPUTED_VALUE"""),106998)</f>
        <v>106998</v>
      </c>
      <c r="B5893" s="4">
        <f ca="1">IFERROR(__xludf.DUMMYFUNCTION("""COMPUTED_VALUE"""),44820)</f>
        <v>44820</v>
      </c>
      <c r="C5893" t="str">
        <f ca="1">IFERROR(__xludf.DUMMYFUNCTION("""COMPUTED_VALUE"""),"БУ Г. ОМСКА ""УДХБ"" 197-РДО от 01.07.2022")</f>
        <v>БУ Г. ОМСКА "УДХБ" 197-РДО от 01.07.2022</v>
      </c>
      <c r="D58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3" t="str">
        <f ca="1">IFERROR(__xludf.DUMMYFUNCTION("""COMPUTED_VALUE"""),"Новый")</f>
        <v>Новый</v>
      </c>
      <c r="G5893" s="68"/>
      <c r="K5893" s="68"/>
    </row>
    <row r="5894" spans="1:11" ht="12.75">
      <c r="A5894" s="69">
        <f ca="1">IFERROR(__xludf.DUMMYFUNCTION("""COMPUTED_VALUE"""),106999)</f>
        <v>106999</v>
      </c>
      <c r="B5894" s="4">
        <f ca="1">IFERROR(__xludf.DUMMYFUNCTION("""COMPUTED_VALUE"""),44820)</f>
        <v>44820</v>
      </c>
      <c r="C5894" t="str">
        <f ca="1">IFERROR(__xludf.DUMMYFUNCTION("""COMPUTED_VALUE"""),"БУ Г. ОМСКА ""УДХБ"" 197-РДО от 01.07.2022")</f>
        <v>БУ Г. ОМСКА "УДХБ" 197-РДО от 01.07.2022</v>
      </c>
      <c r="D58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4" t="str">
        <f ca="1">IFERROR(__xludf.DUMMYFUNCTION("""COMPUTED_VALUE"""),"Новый")</f>
        <v>Новый</v>
      </c>
      <c r="G5894" s="68"/>
      <c r="K5894" s="68"/>
    </row>
    <row r="5895" spans="1:11" ht="12.75">
      <c r="A5895" s="69">
        <f ca="1">IFERROR(__xludf.DUMMYFUNCTION("""COMPUTED_VALUE"""),107000)</f>
        <v>107000</v>
      </c>
      <c r="B5895" s="4">
        <f ca="1">IFERROR(__xludf.DUMMYFUNCTION("""COMPUTED_VALUE"""),44820)</f>
        <v>44820</v>
      </c>
      <c r="C5895" t="str">
        <f ca="1">IFERROR(__xludf.DUMMYFUNCTION("""COMPUTED_VALUE"""),"БУ Г. ОМСКА ""УДХБ"" 197-РДО от 01.07.2022")</f>
        <v>БУ Г. ОМСКА "УДХБ" 197-РДО от 01.07.2022</v>
      </c>
      <c r="D58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5" t="str">
        <f ca="1">IFERROR(__xludf.DUMMYFUNCTION("""COMPUTED_VALUE"""),"Новый")</f>
        <v>Новый</v>
      </c>
      <c r="G5895" s="68"/>
      <c r="K5895" s="68"/>
    </row>
    <row r="5896" spans="1:11" ht="12.75">
      <c r="A5896" s="69">
        <f ca="1">IFERROR(__xludf.DUMMYFUNCTION("""COMPUTED_VALUE"""),107001)</f>
        <v>107001</v>
      </c>
      <c r="B5896" s="4">
        <f ca="1">IFERROR(__xludf.DUMMYFUNCTION("""COMPUTED_VALUE"""),44820)</f>
        <v>44820</v>
      </c>
      <c r="C5896" t="str">
        <f ca="1">IFERROR(__xludf.DUMMYFUNCTION("""COMPUTED_VALUE"""),"БУ Г. ОМСКА ""УДХБ"" 197-РДО от 01.07.2022")</f>
        <v>БУ Г. ОМСКА "УДХБ" 197-РДО от 01.07.2022</v>
      </c>
      <c r="D58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6" t="str">
        <f ca="1">IFERROR(__xludf.DUMMYFUNCTION("""COMPUTED_VALUE"""),"Новый")</f>
        <v>Новый</v>
      </c>
      <c r="G5896" s="68"/>
      <c r="K5896" s="68"/>
    </row>
    <row r="5897" spans="1:11" ht="12.75">
      <c r="A5897" s="69">
        <f ca="1">IFERROR(__xludf.DUMMYFUNCTION("""COMPUTED_VALUE"""),107002)</f>
        <v>107002</v>
      </c>
      <c r="B5897" s="4">
        <f ca="1">IFERROR(__xludf.DUMMYFUNCTION("""COMPUTED_VALUE"""),44820)</f>
        <v>44820</v>
      </c>
      <c r="C5897" t="str">
        <f ca="1">IFERROR(__xludf.DUMMYFUNCTION("""COMPUTED_VALUE"""),"БУ Г. ОМСКА ""УДХБ"" 197-РДО от 01.07.2022")</f>
        <v>БУ Г. ОМСКА "УДХБ" 197-РДО от 01.07.2022</v>
      </c>
      <c r="D58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7" t="str">
        <f ca="1">IFERROR(__xludf.DUMMYFUNCTION("""COMPUTED_VALUE"""),"Новый")</f>
        <v>Новый</v>
      </c>
      <c r="G5897" s="68"/>
      <c r="K5897" s="68"/>
    </row>
    <row r="5898" spans="1:11" ht="12.75">
      <c r="A5898" s="69">
        <f ca="1">IFERROR(__xludf.DUMMYFUNCTION("""COMPUTED_VALUE"""),107003)</f>
        <v>107003</v>
      </c>
      <c r="B5898" s="4">
        <f ca="1">IFERROR(__xludf.DUMMYFUNCTION("""COMPUTED_VALUE"""),44820)</f>
        <v>44820</v>
      </c>
      <c r="C5898" t="str">
        <f ca="1">IFERROR(__xludf.DUMMYFUNCTION("""COMPUTED_VALUE"""),"БУ Г. ОМСКА ""УДХБ"" 197-РДО от 01.07.2022")</f>
        <v>БУ Г. ОМСКА "УДХБ" 197-РДО от 01.07.2022</v>
      </c>
      <c r="D58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8" t="str">
        <f ca="1">IFERROR(__xludf.DUMMYFUNCTION("""COMPUTED_VALUE"""),"Новый")</f>
        <v>Новый</v>
      </c>
      <c r="G5898" s="68"/>
      <c r="K5898" s="68"/>
    </row>
    <row r="5899" spans="1:11" ht="12.75">
      <c r="A5899" s="69">
        <f ca="1">IFERROR(__xludf.DUMMYFUNCTION("""COMPUTED_VALUE"""),107004)</f>
        <v>107004</v>
      </c>
      <c r="B5899" s="4">
        <f ca="1">IFERROR(__xludf.DUMMYFUNCTION("""COMPUTED_VALUE"""),44820)</f>
        <v>44820</v>
      </c>
      <c r="C5899" t="str">
        <f ca="1">IFERROR(__xludf.DUMMYFUNCTION("""COMPUTED_VALUE"""),"БУ Г. ОМСКА ""УДХБ"" 197-РДО от 01.07.2022")</f>
        <v>БУ Г. ОМСКА "УДХБ" 197-РДО от 01.07.2022</v>
      </c>
      <c r="D58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899" t="str">
        <f ca="1">IFERROR(__xludf.DUMMYFUNCTION("""COMPUTED_VALUE"""),"Новый")</f>
        <v>Новый</v>
      </c>
      <c r="G5899" s="68"/>
      <c r="K5899" s="68"/>
    </row>
    <row r="5900" spans="1:11" ht="12.75">
      <c r="A5900" s="69">
        <f ca="1">IFERROR(__xludf.DUMMYFUNCTION("""COMPUTED_VALUE"""),107005)</f>
        <v>107005</v>
      </c>
      <c r="B5900" s="4">
        <f ca="1">IFERROR(__xludf.DUMMYFUNCTION("""COMPUTED_VALUE"""),44820)</f>
        <v>44820</v>
      </c>
      <c r="C5900" t="str">
        <f ca="1">IFERROR(__xludf.DUMMYFUNCTION("""COMPUTED_VALUE"""),"БУ Г. ОМСКА ""УДХБ"" 197-РДО от 01.07.2022")</f>
        <v>БУ Г. ОМСКА "УДХБ" 197-РДО от 01.07.2022</v>
      </c>
      <c r="D59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0" t="str">
        <f ca="1">IFERROR(__xludf.DUMMYFUNCTION("""COMPUTED_VALUE"""),"Новый")</f>
        <v>Новый</v>
      </c>
      <c r="G5900" s="68"/>
      <c r="K5900" s="68"/>
    </row>
    <row r="5901" spans="1:11" ht="12.75">
      <c r="A5901" s="69">
        <f ca="1">IFERROR(__xludf.DUMMYFUNCTION("""COMPUTED_VALUE"""),107006)</f>
        <v>107006</v>
      </c>
      <c r="B5901" s="4">
        <f ca="1">IFERROR(__xludf.DUMMYFUNCTION("""COMPUTED_VALUE"""),44820)</f>
        <v>44820</v>
      </c>
      <c r="C5901" t="str">
        <f ca="1">IFERROR(__xludf.DUMMYFUNCTION("""COMPUTED_VALUE"""),"БУ Г. ОМСКА ""УДХБ"" 197-РДО от 01.07.2022")</f>
        <v>БУ Г. ОМСКА "УДХБ" 197-РДО от 01.07.2022</v>
      </c>
      <c r="D59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1" t="str">
        <f ca="1">IFERROR(__xludf.DUMMYFUNCTION("""COMPUTED_VALUE"""),"Новый")</f>
        <v>Новый</v>
      </c>
      <c r="G5901" s="68"/>
      <c r="K5901" s="68"/>
    </row>
    <row r="5902" spans="1:11" ht="12.75">
      <c r="A5902" s="69">
        <f ca="1">IFERROR(__xludf.DUMMYFUNCTION("""COMPUTED_VALUE"""),107007)</f>
        <v>107007</v>
      </c>
      <c r="B5902" s="4">
        <f ca="1">IFERROR(__xludf.DUMMYFUNCTION("""COMPUTED_VALUE"""),44820)</f>
        <v>44820</v>
      </c>
      <c r="C5902" t="str">
        <f ca="1">IFERROR(__xludf.DUMMYFUNCTION("""COMPUTED_VALUE"""),"БУ Г. ОМСКА ""УДХБ"" 197-РДО от 01.07.2022")</f>
        <v>БУ Г. ОМСКА "УДХБ" 197-РДО от 01.07.2022</v>
      </c>
      <c r="D59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2" t="str">
        <f ca="1">IFERROR(__xludf.DUMMYFUNCTION("""COMPUTED_VALUE"""),"Новый")</f>
        <v>Новый</v>
      </c>
      <c r="G5902" s="68"/>
      <c r="K5902" s="68"/>
    </row>
    <row r="5903" spans="1:11" ht="12.75">
      <c r="A5903" s="69">
        <f ca="1">IFERROR(__xludf.DUMMYFUNCTION("""COMPUTED_VALUE"""),107008)</f>
        <v>107008</v>
      </c>
      <c r="B5903" s="4">
        <f ca="1">IFERROR(__xludf.DUMMYFUNCTION("""COMPUTED_VALUE"""),44820)</f>
        <v>44820</v>
      </c>
      <c r="C5903" t="str">
        <f ca="1">IFERROR(__xludf.DUMMYFUNCTION("""COMPUTED_VALUE"""),"БУ Г. ОМСКА ""УДХБ"" 197-РДО от 01.07.2022")</f>
        <v>БУ Г. ОМСКА "УДХБ" 197-РДО от 01.07.2022</v>
      </c>
      <c r="D59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3" t="str">
        <f ca="1">IFERROR(__xludf.DUMMYFUNCTION("""COMPUTED_VALUE"""),"Новый")</f>
        <v>Новый</v>
      </c>
      <c r="G5903" s="68"/>
      <c r="K5903" s="68"/>
    </row>
    <row r="5904" spans="1:11" ht="12.75">
      <c r="A5904" s="69">
        <f ca="1">IFERROR(__xludf.DUMMYFUNCTION("""COMPUTED_VALUE"""),107009)</f>
        <v>107009</v>
      </c>
      <c r="B5904" s="4">
        <f ca="1">IFERROR(__xludf.DUMMYFUNCTION("""COMPUTED_VALUE"""),44820)</f>
        <v>44820</v>
      </c>
      <c r="C5904" t="str">
        <f ca="1">IFERROR(__xludf.DUMMYFUNCTION("""COMPUTED_VALUE"""),"БУ Г. ОМСКА ""УДХБ"" 197-РДО от 01.07.2022")</f>
        <v>БУ Г. ОМСКА "УДХБ" 197-РДО от 01.07.2022</v>
      </c>
      <c r="D59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4" t="str">
        <f ca="1">IFERROR(__xludf.DUMMYFUNCTION("""COMPUTED_VALUE"""),"Новый")</f>
        <v>Новый</v>
      </c>
      <c r="G5904" s="68"/>
      <c r="K5904" s="68"/>
    </row>
    <row r="5905" spans="1:11" ht="12.75">
      <c r="A5905" s="69">
        <f ca="1">IFERROR(__xludf.DUMMYFUNCTION("""COMPUTED_VALUE"""),107010)</f>
        <v>107010</v>
      </c>
      <c r="B5905" s="4">
        <f ca="1">IFERROR(__xludf.DUMMYFUNCTION("""COMPUTED_VALUE"""),44820)</f>
        <v>44820</v>
      </c>
      <c r="C5905" t="str">
        <f ca="1">IFERROR(__xludf.DUMMYFUNCTION("""COMPUTED_VALUE"""),"БУ Г. ОМСКА ""УДХБ"" 197-РДО от 01.07.2022")</f>
        <v>БУ Г. ОМСКА "УДХБ" 197-РДО от 01.07.2022</v>
      </c>
      <c r="D59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5" t="str">
        <f ca="1">IFERROR(__xludf.DUMMYFUNCTION("""COMPUTED_VALUE"""),"Новый")</f>
        <v>Новый</v>
      </c>
      <c r="G5905" s="68"/>
      <c r="K5905" s="68"/>
    </row>
    <row r="5906" spans="1:11" ht="12.75">
      <c r="A5906" s="69">
        <f ca="1">IFERROR(__xludf.DUMMYFUNCTION("""COMPUTED_VALUE"""),107011)</f>
        <v>107011</v>
      </c>
      <c r="B5906" s="4">
        <f ca="1">IFERROR(__xludf.DUMMYFUNCTION("""COMPUTED_VALUE"""),44820)</f>
        <v>44820</v>
      </c>
      <c r="C5906" t="str">
        <f ca="1">IFERROR(__xludf.DUMMYFUNCTION("""COMPUTED_VALUE"""),"БУ Г. ОМСКА ""УДХБ"" 197-РДО от 01.07.2022")</f>
        <v>БУ Г. ОМСКА "УДХБ" 197-РДО от 01.07.2022</v>
      </c>
      <c r="D59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6" t="str">
        <f ca="1">IFERROR(__xludf.DUMMYFUNCTION("""COMPUTED_VALUE"""),"Новый")</f>
        <v>Новый</v>
      </c>
      <c r="G5906" s="68"/>
      <c r="K5906" s="68"/>
    </row>
    <row r="5907" spans="1:11" ht="12.75">
      <c r="A5907" s="69">
        <f ca="1">IFERROR(__xludf.DUMMYFUNCTION("""COMPUTED_VALUE"""),107014)</f>
        <v>107014</v>
      </c>
      <c r="B5907" s="4">
        <f ca="1">IFERROR(__xludf.DUMMYFUNCTION("""COMPUTED_VALUE"""),44820)</f>
        <v>44820</v>
      </c>
      <c r="C5907" t="str">
        <f ca="1">IFERROR(__xludf.DUMMYFUNCTION("""COMPUTED_VALUE"""),"БУ Г. ОМСКА ""УДХБ"" 197-РДО от 01.07.2022")</f>
        <v>БУ Г. ОМСКА "УДХБ" 197-РДО от 01.07.2022</v>
      </c>
      <c r="D59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7" t="str">
        <f ca="1">IFERROR(__xludf.DUMMYFUNCTION("""COMPUTED_VALUE"""),"Новый")</f>
        <v>Новый</v>
      </c>
      <c r="G5907" s="68"/>
      <c r="K5907" s="68"/>
    </row>
    <row r="5908" spans="1:11" ht="12.75">
      <c r="A5908" s="69">
        <f ca="1">IFERROR(__xludf.DUMMYFUNCTION("""COMPUTED_VALUE"""),107016)</f>
        <v>107016</v>
      </c>
      <c r="B5908" s="4">
        <f ca="1">IFERROR(__xludf.DUMMYFUNCTION("""COMPUTED_VALUE"""),44820)</f>
        <v>44820</v>
      </c>
      <c r="C5908" t="str">
        <f ca="1">IFERROR(__xludf.DUMMYFUNCTION("""COMPUTED_VALUE"""),"БУ Г. ОМСКА ""УДХБ"" 197-РДО от 01.07.2022")</f>
        <v>БУ Г. ОМСКА "УДХБ" 197-РДО от 01.07.2022</v>
      </c>
      <c r="D59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8" t="str">
        <f ca="1">IFERROR(__xludf.DUMMYFUNCTION("""COMPUTED_VALUE"""),"Новый")</f>
        <v>Новый</v>
      </c>
      <c r="G5908" s="68"/>
      <c r="K5908" s="68"/>
    </row>
    <row r="5909" spans="1:11" ht="12.75">
      <c r="A5909" s="69">
        <f ca="1">IFERROR(__xludf.DUMMYFUNCTION("""COMPUTED_VALUE"""),107017)</f>
        <v>107017</v>
      </c>
      <c r="B5909" s="4">
        <f ca="1">IFERROR(__xludf.DUMMYFUNCTION("""COMPUTED_VALUE"""),44820)</f>
        <v>44820</v>
      </c>
      <c r="C5909" t="str">
        <f ca="1">IFERROR(__xludf.DUMMYFUNCTION("""COMPUTED_VALUE"""),"БУ Г. ОМСКА ""УДХБ"" 197-РДО от 01.07.2022")</f>
        <v>БУ Г. ОМСКА "УДХБ" 197-РДО от 01.07.2022</v>
      </c>
      <c r="D59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09" t="str">
        <f ca="1">IFERROR(__xludf.DUMMYFUNCTION("""COMPUTED_VALUE"""),"Новый")</f>
        <v>Новый</v>
      </c>
      <c r="G5909" s="68"/>
      <c r="K5909" s="68"/>
    </row>
    <row r="5910" spans="1:11" ht="12.75">
      <c r="A5910" s="69">
        <f ca="1">IFERROR(__xludf.DUMMYFUNCTION("""COMPUTED_VALUE"""),107025)</f>
        <v>107025</v>
      </c>
      <c r="B5910" s="4">
        <f ca="1">IFERROR(__xludf.DUMMYFUNCTION("""COMPUTED_VALUE"""),44820)</f>
        <v>44820</v>
      </c>
      <c r="C5910" t="str">
        <f ca="1">IFERROR(__xludf.DUMMYFUNCTION("""COMPUTED_VALUE"""),"БУ Г. ОМСКА ""УДХБ"" 197-РДО от 01.07.2022")</f>
        <v>БУ Г. ОМСКА "УДХБ" 197-РДО от 01.07.2022</v>
      </c>
      <c r="D59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0" t="str">
        <f ca="1">IFERROR(__xludf.DUMMYFUNCTION("""COMPUTED_VALUE"""),"Новый")</f>
        <v>Новый</v>
      </c>
      <c r="G5910" s="68"/>
      <c r="K5910" s="68"/>
    </row>
    <row r="5911" spans="1:11" ht="12.75">
      <c r="A5911" s="69">
        <f ca="1">IFERROR(__xludf.DUMMYFUNCTION("""COMPUTED_VALUE"""),107026)</f>
        <v>107026</v>
      </c>
      <c r="B5911" s="4">
        <f ca="1">IFERROR(__xludf.DUMMYFUNCTION("""COMPUTED_VALUE"""),44820)</f>
        <v>44820</v>
      </c>
      <c r="C5911" t="str">
        <f ca="1">IFERROR(__xludf.DUMMYFUNCTION("""COMPUTED_VALUE"""),"БУ Г. ОМСКА ""УДХБ"" 197-РДО от 01.07.2022")</f>
        <v>БУ Г. ОМСКА "УДХБ" 197-РДО от 01.07.2022</v>
      </c>
      <c r="D59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1" t="str">
        <f ca="1">IFERROR(__xludf.DUMMYFUNCTION("""COMPUTED_VALUE"""),"Новый")</f>
        <v>Новый</v>
      </c>
      <c r="G5911" s="68"/>
      <c r="K5911" s="68"/>
    </row>
    <row r="5912" spans="1:11" ht="12.75">
      <c r="A5912" s="69">
        <f ca="1">IFERROR(__xludf.DUMMYFUNCTION("""COMPUTED_VALUE"""),107027)</f>
        <v>107027</v>
      </c>
      <c r="B5912" s="4">
        <f ca="1">IFERROR(__xludf.DUMMYFUNCTION("""COMPUTED_VALUE"""),44820)</f>
        <v>44820</v>
      </c>
      <c r="C5912" t="str">
        <f ca="1">IFERROR(__xludf.DUMMYFUNCTION("""COMPUTED_VALUE"""),"БУ Г. ОМСКА ""УДХБ"" 197-РДО от 01.07.2022")</f>
        <v>БУ Г. ОМСКА "УДХБ" 197-РДО от 01.07.2022</v>
      </c>
      <c r="D59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2" t="str">
        <f ca="1">IFERROR(__xludf.DUMMYFUNCTION("""COMPUTED_VALUE"""),"Новый")</f>
        <v>Новый</v>
      </c>
      <c r="G5912" s="68"/>
      <c r="K5912" s="68"/>
    </row>
    <row r="5913" spans="1:11" ht="12.75">
      <c r="A5913" s="69">
        <f ca="1">IFERROR(__xludf.DUMMYFUNCTION("""COMPUTED_VALUE"""),107028)</f>
        <v>107028</v>
      </c>
      <c r="B5913" s="4">
        <f ca="1">IFERROR(__xludf.DUMMYFUNCTION("""COMPUTED_VALUE"""),44820)</f>
        <v>44820</v>
      </c>
      <c r="C5913" t="str">
        <f ca="1">IFERROR(__xludf.DUMMYFUNCTION("""COMPUTED_VALUE"""),"БУ Г. ОМСКА ""УДХБ"" 197-РДО от 01.07.2022")</f>
        <v>БУ Г. ОМСКА "УДХБ" 197-РДО от 01.07.2022</v>
      </c>
      <c r="D59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3" t="str">
        <f ca="1">IFERROR(__xludf.DUMMYFUNCTION("""COMPUTED_VALUE"""),"Новый")</f>
        <v>Новый</v>
      </c>
      <c r="G5913" s="68"/>
      <c r="K5913" s="68"/>
    </row>
    <row r="5914" spans="1:11" ht="12.75">
      <c r="A5914" s="69">
        <f ca="1">IFERROR(__xludf.DUMMYFUNCTION("""COMPUTED_VALUE"""),107029)</f>
        <v>107029</v>
      </c>
      <c r="B5914" s="4">
        <f ca="1">IFERROR(__xludf.DUMMYFUNCTION("""COMPUTED_VALUE"""),44820)</f>
        <v>44820</v>
      </c>
      <c r="C5914" t="str">
        <f ca="1">IFERROR(__xludf.DUMMYFUNCTION("""COMPUTED_VALUE"""),"БУ Г. ОМСКА ""УДХБ"" 197-РДО от 01.07.2022")</f>
        <v>БУ Г. ОМСКА "УДХБ" 197-РДО от 01.07.2022</v>
      </c>
      <c r="D59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4" t="str">
        <f ca="1">IFERROR(__xludf.DUMMYFUNCTION("""COMPUTED_VALUE"""),"Новый")</f>
        <v>Новый</v>
      </c>
      <c r="G5914" s="68"/>
      <c r="K5914" s="68"/>
    </row>
    <row r="5915" spans="1:11" ht="12.75">
      <c r="A5915" s="69">
        <f ca="1">IFERROR(__xludf.DUMMYFUNCTION("""COMPUTED_VALUE"""),107030)</f>
        <v>107030</v>
      </c>
      <c r="B5915" s="4">
        <f ca="1">IFERROR(__xludf.DUMMYFUNCTION("""COMPUTED_VALUE"""),44820)</f>
        <v>44820</v>
      </c>
      <c r="C5915" t="str">
        <f ca="1">IFERROR(__xludf.DUMMYFUNCTION("""COMPUTED_VALUE"""),"БУ Г. ОМСКА ""УДХБ"" 197-РДО от 01.07.2022")</f>
        <v>БУ Г. ОМСКА "УДХБ" 197-РДО от 01.07.2022</v>
      </c>
      <c r="D59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5" t="str">
        <f ca="1">IFERROR(__xludf.DUMMYFUNCTION("""COMPUTED_VALUE"""),"Новый")</f>
        <v>Новый</v>
      </c>
      <c r="G5915" s="68"/>
      <c r="K5915" s="68"/>
    </row>
    <row r="5916" spans="1:11" ht="12.75">
      <c r="A5916" s="69">
        <f ca="1">IFERROR(__xludf.DUMMYFUNCTION("""COMPUTED_VALUE"""),107031)</f>
        <v>107031</v>
      </c>
      <c r="B5916" s="4">
        <f ca="1">IFERROR(__xludf.DUMMYFUNCTION("""COMPUTED_VALUE"""),44820)</f>
        <v>44820</v>
      </c>
      <c r="C5916" t="str">
        <f ca="1">IFERROR(__xludf.DUMMYFUNCTION("""COMPUTED_VALUE"""),"БУ Г. ОМСКА ""УДХБ"" 197-РДО от 01.07.2022")</f>
        <v>БУ Г. ОМСКА "УДХБ" 197-РДО от 01.07.2022</v>
      </c>
      <c r="D59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6" t="str">
        <f ca="1">IFERROR(__xludf.DUMMYFUNCTION("""COMPUTED_VALUE"""),"Новый")</f>
        <v>Новый</v>
      </c>
      <c r="G5916" s="68"/>
      <c r="K5916" s="68"/>
    </row>
    <row r="5917" spans="1:11" ht="12.75">
      <c r="A5917" s="69">
        <f ca="1">IFERROR(__xludf.DUMMYFUNCTION("""COMPUTED_VALUE"""),107032)</f>
        <v>107032</v>
      </c>
      <c r="B5917" s="4">
        <f ca="1">IFERROR(__xludf.DUMMYFUNCTION("""COMPUTED_VALUE"""),44820)</f>
        <v>44820</v>
      </c>
      <c r="C5917" t="str">
        <f ca="1">IFERROR(__xludf.DUMMYFUNCTION("""COMPUTED_VALUE"""),"БУ Г. ОМСКА ""УДХБ"" 197-РДО от 01.07.2022")</f>
        <v>БУ Г. ОМСКА "УДХБ" 197-РДО от 01.07.2022</v>
      </c>
      <c r="D59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7" t="str">
        <f ca="1">IFERROR(__xludf.DUMMYFUNCTION("""COMPUTED_VALUE"""),"Новый")</f>
        <v>Новый</v>
      </c>
      <c r="G5917" s="68"/>
      <c r="K5917" s="68"/>
    </row>
    <row r="5918" spans="1:11" ht="12.75">
      <c r="A5918" s="69">
        <f ca="1">IFERROR(__xludf.DUMMYFUNCTION("""COMPUTED_VALUE"""),107033)</f>
        <v>107033</v>
      </c>
      <c r="B5918" s="4">
        <f ca="1">IFERROR(__xludf.DUMMYFUNCTION("""COMPUTED_VALUE"""),44820)</f>
        <v>44820</v>
      </c>
      <c r="C5918" t="str">
        <f ca="1">IFERROR(__xludf.DUMMYFUNCTION("""COMPUTED_VALUE"""),"БУ Г. ОМСКА ""УДХБ"" 197-РДО от 01.07.2022")</f>
        <v>БУ Г. ОМСКА "УДХБ" 197-РДО от 01.07.2022</v>
      </c>
      <c r="D59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8" t="str">
        <f ca="1">IFERROR(__xludf.DUMMYFUNCTION("""COMPUTED_VALUE"""),"Новый")</f>
        <v>Новый</v>
      </c>
      <c r="G5918" s="68"/>
      <c r="K5918" s="68"/>
    </row>
    <row r="5919" spans="1:11" ht="12.75">
      <c r="A5919" s="69">
        <f ca="1">IFERROR(__xludf.DUMMYFUNCTION("""COMPUTED_VALUE"""),107034)</f>
        <v>107034</v>
      </c>
      <c r="B5919" s="4">
        <f ca="1">IFERROR(__xludf.DUMMYFUNCTION("""COMPUTED_VALUE"""),44820)</f>
        <v>44820</v>
      </c>
      <c r="C5919" t="str">
        <f ca="1">IFERROR(__xludf.DUMMYFUNCTION("""COMPUTED_VALUE"""),"БУ Г. ОМСКА ""УДХБ"" 197-РДО от 01.07.2022")</f>
        <v>БУ Г. ОМСКА "УДХБ" 197-РДО от 01.07.2022</v>
      </c>
      <c r="D59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19" t="str">
        <f ca="1">IFERROR(__xludf.DUMMYFUNCTION("""COMPUTED_VALUE"""),"Новый")</f>
        <v>Новый</v>
      </c>
      <c r="G5919" s="68"/>
      <c r="K5919" s="68"/>
    </row>
    <row r="5920" spans="1:11" ht="12.75">
      <c r="A5920" s="69">
        <f ca="1">IFERROR(__xludf.DUMMYFUNCTION("""COMPUTED_VALUE"""),107035)</f>
        <v>107035</v>
      </c>
      <c r="B5920" s="4">
        <f ca="1">IFERROR(__xludf.DUMMYFUNCTION("""COMPUTED_VALUE"""),44820)</f>
        <v>44820</v>
      </c>
      <c r="C5920" t="str">
        <f ca="1">IFERROR(__xludf.DUMMYFUNCTION("""COMPUTED_VALUE"""),"БУ Г. ОМСКА ""УДХБ"" 197-РДО от 01.07.2022")</f>
        <v>БУ Г. ОМСКА "УДХБ" 197-РДО от 01.07.2022</v>
      </c>
      <c r="D59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0" t="str">
        <f ca="1">IFERROR(__xludf.DUMMYFUNCTION("""COMPUTED_VALUE"""),"Новый")</f>
        <v>Новый</v>
      </c>
      <c r="G5920" s="68"/>
      <c r="K5920" s="68"/>
    </row>
    <row r="5921" spans="1:11" ht="12.75">
      <c r="A5921" s="69">
        <f ca="1">IFERROR(__xludf.DUMMYFUNCTION("""COMPUTED_VALUE"""),107036)</f>
        <v>107036</v>
      </c>
      <c r="B5921" s="4">
        <f ca="1">IFERROR(__xludf.DUMMYFUNCTION("""COMPUTED_VALUE"""),44820)</f>
        <v>44820</v>
      </c>
      <c r="C5921" t="str">
        <f ca="1">IFERROR(__xludf.DUMMYFUNCTION("""COMPUTED_VALUE"""),"БУ Г. ОМСКА ""УДХБ"" 197-РДО от 01.07.2022")</f>
        <v>БУ Г. ОМСКА "УДХБ" 197-РДО от 01.07.2022</v>
      </c>
      <c r="D59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1" t="str">
        <f ca="1">IFERROR(__xludf.DUMMYFUNCTION("""COMPUTED_VALUE"""),"Новый")</f>
        <v>Новый</v>
      </c>
      <c r="G5921" s="68"/>
      <c r="K5921" s="68"/>
    </row>
    <row r="5922" spans="1:11" ht="12.75">
      <c r="A5922" s="69">
        <f ca="1">IFERROR(__xludf.DUMMYFUNCTION("""COMPUTED_VALUE"""),107037)</f>
        <v>107037</v>
      </c>
      <c r="B5922" s="4">
        <f ca="1">IFERROR(__xludf.DUMMYFUNCTION("""COMPUTED_VALUE"""),44820)</f>
        <v>44820</v>
      </c>
      <c r="C5922" t="str">
        <f ca="1">IFERROR(__xludf.DUMMYFUNCTION("""COMPUTED_VALUE"""),"БУ Г. ОМСКА ""УДХБ"" 197-РДО от 01.07.2022")</f>
        <v>БУ Г. ОМСКА "УДХБ" 197-РДО от 01.07.2022</v>
      </c>
      <c r="D59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2" t="str">
        <f ca="1">IFERROR(__xludf.DUMMYFUNCTION("""COMPUTED_VALUE"""),"Новый")</f>
        <v>Новый</v>
      </c>
      <c r="G5922" s="68"/>
      <c r="K5922" s="68"/>
    </row>
    <row r="5923" spans="1:11" ht="12.75">
      <c r="A5923" s="69">
        <f ca="1">IFERROR(__xludf.DUMMYFUNCTION("""COMPUTED_VALUE"""),107038)</f>
        <v>107038</v>
      </c>
      <c r="B5923" s="4">
        <f ca="1">IFERROR(__xludf.DUMMYFUNCTION("""COMPUTED_VALUE"""),44820)</f>
        <v>44820</v>
      </c>
      <c r="C5923" t="str">
        <f ca="1">IFERROR(__xludf.DUMMYFUNCTION("""COMPUTED_VALUE"""),"БУ Г. ОМСКА ""УДХБ"" 197-РДО от 01.07.2022")</f>
        <v>БУ Г. ОМСКА "УДХБ" 197-РДО от 01.07.2022</v>
      </c>
      <c r="D59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3" t="str">
        <f ca="1">IFERROR(__xludf.DUMMYFUNCTION("""COMPUTED_VALUE"""),"Новый")</f>
        <v>Новый</v>
      </c>
      <c r="G5923" s="68"/>
      <c r="K5923" s="68"/>
    </row>
    <row r="5924" spans="1:11" ht="12.75">
      <c r="A5924" s="69">
        <f ca="1">IFERROR(__xludf.DUMMYFUNCTION("""COMPUTED_VALUE"""),107039)</f>
        <v>107039</v>
      </c>
      <c r="B5924" s="4">
        <f ca="1">IFERROR(__xludf.DUMMYFUNCTION("""COMPUTED_VALUE"""),44820)</f>
        <v>44820</v>
      </c>
      <c r="C5924" t="str">
        <f ca="1">IFERROR(__xludf.DUMMYFUNCTION("""COMPUTED_VALUE"""),"БУ Г. ОМСКА ""УДХБ"" 197-РДО от 01.07.2022")</f>
        <v>БУ Г. ОМСКА "УДХБ" 197-РДО от 01.07.2022</v>
      </c>
      <c r="D59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4" t="str">
        <f ca="1">IFERROR(__xludf.DUMMYFUNCTION("""COMPUTED_VALUE"""),"Новый")</f>
        <v>Новый</v>
      </c>
      <c r="G5924" s="68"/>
      <c r="K5924" s="68"/>
    </row>
    <row r="5925" spans="1:11" ht="12.75">
      <c r="A5925" s="69">
        <f ca="1">IFERROR(__xludf.DUMMYFUNCTION("""COMPUTED_VALUE"""),107040)</f>
        <v>107040</v>
      </c>
      <c r="B5925" s="4">
        <f ca="1">IFERROR(__xludf.DUMMYFUNCTION("""COMPUTED_VALUE"""),44820)</f>
        <v>44820</v>
      </c>
      <c r="C5925" t="str">
        <f ca="1">IFERROR(__xludf.DUMMYFUNCTION("""COMPUTED_VALUE"""),"БУ Г. ОМСКА ""УДХБ"" 197-РДО от 01.07.2022")</f>
        <v>БУ Г. ОМСКА "УДХБ" 197-РДО от 01.07.2022</v>
      </c>
      <c r="D59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5" t="str">
        <f ca="1">IFERROR(__xludf.DUMMYFUNCTION("""COMPUTED_VALUE"""),"Новый")</f>
        <v>Новый</v>
      </c>
      <c r="G5925" s="68"/>
      <c r="K5925" s="68"/>
    </row>
    <row r="5926" spans="1:11" ht="12.75">
      <c r="A5926" s="69">
        <f ca="1">IFERROR(__xludf.DUMMYFUNCTION("""COMPUTED_VALUE"""),107041)</f>
        <v>107041</v>
      </c>
      <c r="B5926" s="4">
        <f ca="1">IFERROR(__xludf.DUMMYFUNCTION("""COMPUTED_VALUE"""),44820)</f>
        <v>44820</v>
      </c>
      <c r="C5926" t="str">
        <f ca="1">IFERROR(__xludf.DUMMYFUNCTION("""COMPUTED_VALUE"""),"БУ Г. ОМСКА ""УДХБ"" 197-РДО от 01.07.2022")</f>
        <v>БУ Г. ОМСКА "УДХБ" 197-РДО от 01.07.2022</v>
      </c>
      <c r="D59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6" t="str">
        <f ca="1">IFERROR(__xludf.DUMMYFUNCTION("""COMPUTED_VALUE"""),"Новый")</f>
        <v>Новый</v>
      </c>
      <c r="G5926" s="68"/>
      <c r="K5926" s="68"/>
    </row>
    <row r="5927" spans="1:11" ht="12.75">
      <c r="A5927" s="69">
        <f ca="1">IFERROR(__xludf.DUMMYFUNCTION("""COMPUTED_VALUE"""),107042)</f>
        <v>107042</v>
      </c>
      <c r="B5927" s="4">
        <f ca="1">IFERROR(__xludf.DUMMYFUNCTION("""COMPUTED_VALUE"""),44820)</f>
        <v>44820</v>
      </c>
      <c r="C5927" t="str">
        <f ca="1">IFERROR(__xludf.DUMMYFUNCTION("""COMPUTED_VALUE"""),"БУ Г. ОМСКА ""УДХБ"" 197-РДО от 01.07.2022")</f>
        <v>БУ Г. ОМСКА "УДХБ" 197-РДО от 01.07.2022</v>
      </c>
      <c r="D59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7" t="str">
        <f ca="1">IFERROR(__xludf.DUMMYFUNCTION("""COMPUTED_VALUE"""),"Новый")</f>
        <v>Новый</v>
      </c>
      <c r="G5927" s="68"/>
      <c r="K5927" s="68"/>
    </row>
    <row r="5928" spans="1:11" ht="12.75">
      <c r="A5928" s="69">
        <f ca="1">IFERROR(__xludf.DUMMYFUNCTION("""COMPUTED_VALUE"""),107043)</f>
        <v>107043</v>
      </c>
      <c r="B5928" s="4">
        <f ca="1">IFERROR(__xludf.DUMMYFUNCTION("""COMPUTED_VALUE"""),44820)</f>
        <v>44820</v>
      </c>
      <c r="C5928" t="str">
        <f ca="1">IFERROR(__xludf.DUMMYFUNCTION("""COMPUTED_VALUE"""),"БУ Г. ОМСКА ""УДХБ"" 197-РДО от 01.07.2022")</f>
        <v>БУ Г. ОМСКА "УДХБ" 197-РДО от 01.07.2022</v>
      </c>
      <c r="D59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8" t="str">
        <f ca="1">IFERROR(__xludf.DUMMYFUNCTION("""COMPUTED_VALUE"""),"Новый")</f>
        <v>Новый</v>
      </c>
      <c r="G5928" s="68"/>
      <c r="K5928" s="68"/>
    </row>
    <row r="5929" spans="1:11" ht="12.75">
      <c r="A5929" s="69">
        <f ca="1">IFERROR(__xludf.DUMMYFUNCTION("""COMPUTED_VALUE"""),107044)</f>
        <v>107044</v>
      </c>
      <c r="B5929" s="4">
        <f ca="1">IFERROR(__xludf.DUMMYFUNCTION("""COMPUTED_VALUE"""),44820)</f>
        <v>44820</v>
      </c>
      <c r="C5929" t="str">
        <f ca="1">IFERROR(__xludf.DUMMYFUNCTION("""COMPUTED_VALUE"""),"БУ Г. ОМСКА ""УДХБ"" 197-РДО от 01.07.2022")</f>
        <v>БУ Г. ОМСКА "УДХБ" 197-РДО от 01.07.2022</v>
      </c>
      <c r="D59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29" t="str">
        <f ca="1">IFERROR(__xludf.DUMMYFUNCTION("""COMPUTED_VALUE"""),"Новый")</f>
        <v>Новый</v>
      </c>
      <c r="G5929" s="68"/>
      <c r="K5929" s="68"/>
    </row>
    <row r="5930" spans="1:11" ht="12.75">
      <c r="A5930" s="69">
        <f ca="1">IFERROR(__xludf.DUMMYFUNCTION("""COMPUTED_VALUE"""),107045)</f>
        <v>107045</v>
      </c>
      <c r="B5930" s="4">
        <f ca="1">IFERROR(__xludf.DUMMYFUNCTION("""COMPUTED_VALUE"""),44820)</f>
        <v>44820</v>
      </c>
      <c r="C5930" t="str">
        <f ca="1">IFERROR(__xludf.DUMMYFUNCTION("""COMPUTED_VALUE"""),"БУ Г. ОМСКА ""УДХБ"" 197-РДО от 01.07.2022")</f>
        <v>БУ Г. ОМСКА "УДХБ" 197-РДО от 01.07.2022</v>
      </c>
      <c r="D59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0" t="str">
        <f ca="1">IFERROR(__xludf.DUMMYFUNCTION("""COMPUTED_VALUE"""),"Новый")</f>
        <v>Новый</v>
      </c>
      <c r="G5930" s="68"/>
      <c r="K5930" s="68"/>
    </row>
    <row r="5931" spans="1:11" ht="12.75">
      <c r="A5931" s="69">
        <f ca="1">IFERROR(__xludf.DUMMYFUNCTION("""COMPUTED_VALUE"""),107046)</f>
        <v>107046</v>
      </c>
      <c r="B5931" s="4">
        <f ca="1">IFERROR(__xludf.DUMMYFUNCTION("""COMPUTED_VALUE"""),44820)</f>
        <v>44820</v>
      </c>
      <c r="C5931" t="str">
        <f ca="1">IFERROR(__xludf.DUMMYFUNCTION("""COMPUTED_VALUE"""),"БУ Г. ОМСКА ""УДХБ"" 197-РДО от 01.07.2022")</f>
        <v>БУ Г. ОМСКА "УДХБ" 197-РДО от 01.07.2022</v>
      </c>
      <c r="D59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1" t="str">
        <f ca="1">IFERROR(__xludf.DUMMYFUNCTION("""COMPUTED_VALUE"""),"Новый")</f>
        <v>Новый</v>
      </c>
      <c r="G5931" s="68"/>
      <c r="K5931" s="68"/>
    </row>
    <row r="5932" spans="1:11" ht="12.75">
      <c r="A5932" s="69">
        <f ca="1">IFERROR(__xludf.DUMMYFUNCTION("""COMPUTED_VALUE"""),107047)</f>
        <v>107047</v>
      </c>
      <c r="B5932" s="4">
        <f ca="1">IFERROR(__xludf.DUMMYFUNCTION("""COMPUTED_VALUE"""),44820)</f>
        <v>44820</v>
      </c>
      <c r="C5932" t="str">
        <f ca="1">IFERROR(__xludf.DUMMYFUNCTION("""COMPUTED_VALUE"""),"БУ Г. ОМСКА ""УДХБ"" 197-РДО от 01.07.2022")</f>
        <v>БУ Г. ОМСКА "УДХБ" 197-РДО от 01.07.2022</v>
      </c>
      <c r="D59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2" t="str">
        <f ca="1">IFERROR(__xludf.DUMMYFUNCTION("""COMPUTED_VALUE"""),"Новый")</f>
        <v>Новый</v>
      </c>
      <c r="G5932" s="68"/>
      <c r="K5932" s="68"/>
    </row>
    <row r="5933" spans="1:11" ht="12.75">
      <c r="A5933" s="69">
        <f ca="1">IFERROR(__xludf.DUMMYFUNCTION("""COMPUTED_VALUE"""),107048)</f>
        <v>107048</v>
      </c>
      <c r="B5933" s="4">
        <f ca="1">IFERROR(__xludf.DUMMYFUNCTION("""COMPUTED_VALUE"""),44820)</f>
        <v>44820</v>
      </c>
      <c r="C5933" t="str">
        <f ca="1">IFERROR(__xludf.DUMMYFUNCTION("""COMPUTED_VALUE"""),"БУ Г. ОМСКА ""УДХБ"" 197-РДО от 01.07.2022")</f>
        <v>БУ Г. ОМСКА "УДХБ" 197-РДО от 01.07.2022</v>
      </c>
      <c r="D59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3" t="str">
        <f ca="1">IFERROR(__xludf.DUMMYFUNCTION("""COMPUTED_VALUE"""),"Новый")</f>
        <v>Новый</v>
      </c>
      <c r="G5933" s="68"/>
      <c r="K5933" s="68"/>
    </row>
    <row r="5934" spans="1:11" ht="12.75">
      <c r="A5934" s="69">
        <f ca="1">IFERROR(__xludf.DUMMYFUNCTION("""COMPUTED_VALUE"""),107049)</f>
        <v>107049</v>
      </c>
      <c r="B5934" s="4">
        <f ca="1">IFERROR(__xludf.DUMMYFUNCTION("""COMPUTED_VALUE"""),44820)</f>
        <v>44820</v>
      </c>
      <c r="C5934" t="str">
        <f ca="1">IFERROR(__xludf.DUMMYFUNCTION("""COMPUTED_VALUE"""),"БУ Г. ОМСКА ""УДХБ"" 197-РДО от 01.07.2022")</f>
        <v>БУ Г. ОМСКА "УДХБ" 197-РДО от 01.07.2022</v>
      </c>
      <c r="D59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4" t="str">
        <f ca="1">IFERROR(__xludf.DUMMYFUNCTION("""COMPUTED_VALUE"""),"Новый")</f>
        <v>Новый</v>
      </c>
      <c r="G5934" s="68"/>
      <c r="K5934" s="68"/>
    </row>
    <row r="5935" spans="1:11" ht="12.75">
      <c r="A5935" s="69">
        <f ca="1">IFERROR(__xludf.DUMMYFUNCTION("""COMPUTED_VALUE"""),107050)</f>
        <v>107050</v>
      </c>
      <c r="B5935" s="4">
        <f ca="1">IFERROR(__xludf.DUMMYFUNCTION("""COMPUTED_VALUE"""),44820)</f>
        <v>44820</v>
      </c>
      <c r="C5935" t="str">
        <f ca="1">IFERROR(__xludf.DUMMYFUNCTION("""COMPUTED_VALUE"""),"БУ Г. ОМСКА ""УДХБ"" 197-РДО от 01.07.2022")</f>
        <v>БУ Г. ОМСКА "УДХБ" 197-РДО от 01.07.2022</v>
      </c>
      <c r="D59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5" t="str">
        <f ca="1">IFERROR(__xludf.DUMMYFUNCTION("""COMPUTED_VALUE"""),"Новый")</f>
        <v>Новый</v>
      </c>
      <c r="G5935" s="68"/>
      <c r="K5935" s="68"/>
    </row>
    <row r="5936" spans="1:11" ht="12.75">
      <c r="A5936" s="69">
        <f ca="1">IFERROR(__xludf.DUMMYFUNCTION("""COMPUTED_VALUE"""),107051)</f>
        <v>107051</v>
      </c>
      <c r="B5936" s="4">
        <f ca="1">IFERROR(__xludf.DUMMYFUNCTION("""COMPUTED_VALUE"""),44820)</f>
        <v>44820</v>
      </c>
      <c r="C5936" t="str">
        <f ca="1">IFERROR(__xludf.DUMMYFUNCTION("""COMPUTED_VALUE"""),"БУ Г. ОМСКА ""УДХБ"" 197-РДО от 01.07.2022")</f>
        <v>БУ Г. ОМСКА "УДХБ" 197-РДО от 01.07.2022</v>
      </c>
      <c r="D59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6" t="str">
        <f ca="1">IFERROR(__xludf.DUMMYFUNCTION("""COMPUTED_VALUE"""),"Новый")</f>
        <v>Новый</v>
      </c>
      <c r="G5936" s="68"/>
      <c r="K5936" s="68"/>
    </row>
    <row r="5937" spans="1:11" ht="12.75">
      <c r="A5937" s="69">
        <f ca="1">IFERROR(__xludf.DUMMYFUNCTION("""COMPUTED_VALUE"""),107052)</f>
        <v>107052</v>
      </c>
      <c r="B5937" s="4">
        <f ca="1">IFERROR(__xludf.DUMMYFUNCTION("""COMPUTED_VALUE"""),44820)</f>
        <v>44820</v>
      </c>
      <c r="C5937" t="str">
        <f ca="1">IFERROR(__xludf.DUMMYFUNCTION("""COMPUTED_VALUE"""),"БУ Г. ОМСКА ""УДХБ"" 197-РДО от 01.07.2022")</f>
        <v>БУ Г. ОМСКА "УДХБ" 197-РДО от 01.07.2022</v>
      </c>
      <c r="D59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7" t="str">
        <f ca="1">IFERROR(__xludf.DUMMYFUNCTION("""COMPUTED_VALUE"""),"Новый")</f>
        <v>Новый</v>
      </c>
      <c r="G5937" s="68"/>
      <c r="K5937" s="68"/>
    </row>
    <row r="5938" spans="1:11" ht="12.75">
      <c r="A5938" s="69">
        <f ca="1">IFERROR(__xludf.DUMMYFUNCTION("""COMPUTED_VALUE"""),107053)</f>
        <v>107053</v>
      </c>
      <c r="B5938" s="4">
        <f ca="1">IFERROR(__xludf.DUMMYFUNCTION("""COMPUTED_VALUE"""),44820)</f>
        <v>44820</v>
      </c>
      <c r="C5938" t="str">
        <f ca="1">IFERROR(__xludf.DUMMYFUNCTION("""COMPUTED_VALUE"""),"БУ Г. ОМСКА ""УДХБ"" 197-РДО от 01.07.2022")</f>
        <v>БУ Г. ОМСКА "УДХБ" 197-РДО от 01.07.2022</v>
      </c>
      <c r="D59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8" t="str">
        <f ca="1">IFERROR(__xludf.DUMMYFUNCTION("""COMPUTED_VALUE"""),"Новый")</f>
        <v>Новый</v>
      </c>
      <c r="G5938" s="68"/>
      <c r="K5938" s="68"/>
    </row>
    <row r="5939" spans="1:11" ht="12.75">
      <c r="A5939" s="69">
        <f ca="1">IFERROR(__xludf.DUMMYFUNCTION("""COMPUTED_VALUE"""),107054)</f>
        <v>107054</v>
      </c>
      <c r="B5939" s="4">
        <f ca="1">IFERROR(__xludf.DUMMYFUNCTION("""COMPUTED_VALUE"""),44820)</f>
        <v>44820</v>
      </c>
      <c r="C5939" t="str">
        <f ca="1">IFERROR(__xludf.DUMMYFUNCTION("""COMPUTED_VALUE"""),"БУ Г. ОМСКА ""УДХБ"" 197-РДО от 01.07.2022")</f>
        <v>БУ Г. ОМСКА "УДХБ" 197-РДО от 01.07.2022</v>
      </c>
      <c r="D59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39" t="str">
        <f ca="1">IFERROR(__xludf.DUMMYFUNCTION("""COMPUTED_VALUE"""),"Новый")</f>
        <v>Новый</v>
      </c>
      <c r="G5939" s="68"/>
      <c r="K5939" s="68"/>
    </row>
    <row r="5940" spans="1:11" ht="12.75">
      <c r="A5940" s="69">
        <f ca="1">IFERROR(__xludf.DUMMYFUNCTION("""COMPUTED_VALUE"""),107055)</f>
        <v>107055</v>
      </c>
      <c r="B5940" s="4">
        <f ca="1">IFERROR(__xludf.DUMMYFUNCTION("""COMPUTED_VALUE"""),44820)</f>
        <v>44820</v>
      </c>
      <c r="C5940" t="str">
        <f ca="1">IFERROR(__xludf.DUMMYFUNCTION("""COMPUTED_VALUE"""),"БУ Г. ОМСКА ""УДХБ"" 197-РДО от 01.07.2022")</f>
        <v>БУ Г. ОМСКА "УДХБ" 197-РДО от 01.07.2022</v>
      </c>
      <c r="D59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0" t="str">
        <f ca="1">IFERROR(__xludf.DUMMYFUNCTION("""COMPUTED_VALUE"""),"Новый")</f>
        <v>Новый</v>
      </c>
      <c r="G5940" s="68"/>
      <c r="K5940" s="68"/>
    </row>
    <row r="5941" spans="1:11" ht="12.75">
      <c r="A5941" s="69">
        <f ca="1">IFERROR(__xludf.DUMMYFUNCTION("""COMPUTED_VALUE"""),107056)</f>
        <v>107056</v>
      </c>
      <c r="B5941" s="4">
        <f ca="1">IFERROR(__xludf.DUMMYFUNCTION("""COMPUTED_VALUE"""),44820)</f>
        <v>44820</v>
      </c>
      <c r="C5941" t="str">
        <f ca="1">IFERROR(__xludf.DUMMYFUNCTION("""COMPUTED_VALUE"""),"БУ Г. ОМСКА ""УДХБ"" 197-РДО от 01.07.2022")</f>
        <v>БУ Г. ОМСКА "УДХБ" 197-РДО от 01.07.2022</v>
      </c>
      <c r="D59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1" t="str">
        <f ca="1">IFERROR(__xludf.DUMMYFUNCTION("""COMPUTED_VALUE"""),"Новый")</f>
        <v>Новый</v>
      </c>
      <c r="G5941" s="68"/>
      <c r="K5941" s="68"/>
    </row>
    <row r="5942" spans="1:11" ht="12.75">
      <c r="A5942" s="69">
        <f ca="1">IFERROR(__xludf.DUMMYFUNCTION("""COMPUTED_VALUE"""),107057)</f>
        <v>107057</v>
      </c>
      <c r="B5942" s="4">
        <f ca="1">IFERROR(__xludf.DUMMYFUNCTION("""COMPUTED_VALUE"""),44820)</f>
        <v>44820</v>
      </c>
      <c r="C5942" t="str">
        <f ca="1">IFERROR(__xludf.DUMMYFUNCTION("""COMPUTED_VALUE"""),"БУ Г. ОМСКА ""УДХБ"" 197-РДО от 01.07.2022")</f>
        <v>БУ Г. ОМСКА "УДХБ" 197-РДО от 01.07.2022</v>
      </c>
      <c r="D59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2" t="str">
        <f ca="1">IFERROR(__xludf.DUMMYFUNCTION("""COMPUTED_VALUE"""),"Новый")</f>
        <v>Новый</v>
      </c>
      <c r="G5942" s="68"/>
      <c r="K5942" s="68"/>
    </row>
    <row r="5943" spans="1:11" ht="12.75">
      <c r="A5943" s="69">
        <f ca="1">IFERROR(__xludf.DUMMYFUNCTION("""COMPUTED_VALUE"""),107058)</f>
        <v>107058</v>
      </c>
      <c r="B5943" s="4">
        <f ca="1">IFERROR(__xludf.DUMMYFUNCTION("""COMPUTED_VALUE"""),44820)</f>
        <v>44820</v>
      </c>
      <c r="C5943" t="str">
        <f ca="1">IFERROR(__xludf.DUMMYFUNCTION("""COMPUTED_VALUE"""),"БУ Г. ОМСКА ""УДХБ"" 197-РДО от 01.07.2022")</f>
        <v>БУ Г. ОМСКА "УДХБ" 197-РДО от 01.07.2022</v>
      </c>
      <c r="D59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3" t="str">
        <f ca="1">IFERROR(__xludf.DUMMYFUNCTION("""COMPUTED_VALUE"""),"Новый")</f>
        <v>Новый</v>
      </c>
      <c r="G5943" s="68"/>
      <c r="K5943" s="68"/>
    </row>
    <row r="5944" spans="1:11" ht="12.75">
      <c r="A5944" s="69">
        <f ca="1">IFERROR(__xludf.DUMMYFUNCTION("""COMPUTED_VALUE"""),107059)</f>
        <v>107059</v>
      </c>
      <c r="B5944" s="4">
        <f ca="1">IFERROR(__xludf.DUMMYFUNCTION("""COMPUTED_VALUE"""),44820)</f>
        <v>44820</v>
      </c>
      <c r="C5944" t="str">
        <f ca="1">IFERROR(__xludf.DUMMYFUNCTION("""COMPUTED_VALUE"""),"БУ Г. ОМСКА ""УДХБ"" 197-РДО от 01.07.2022")</f>
        <v>БУ Г. ОМСКА "УДХБ" 197-РДО от 01.07.2022</v>
      </c>
      <c r="D59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4" t="str">
        <f ca="1">IFERROR(__xludf.DUMMYFUNCTION("""COMPUTED_VALUE"""),"Новый")</f>
        <v>Новый</v>
      </c>
      <c r="G5944" s="68"/>
      <c r="K5944" s="68"/>
    </row>
    <row r="5945" spans="1:11" ht="12.75">
      <c r="A5945" s="69">
        <f ca="1">IFERROR(__xludf.DUMMYFUNCTION("""COMPUTED_VALUE"""),107060)</f>
        <v>107060</v>
      </c>
      <c r="B5945" s="4">
        <f ca="1">IFERROR(__xludf.DUMMYFUNCTION("""COMPUTED_VALUE"""),44820)</f>
        <v>44820</v>
      </c>
      <c r="C5945" t="str">
        <f ca="1">IFERROR(__xludf.DUMMYFUNCTION("""COMPUTED_VALUE"""),"БУ Г. ОМСКА ""УДХБ"" 197-РДО от 01.07.2022")</f>
        <v>БУ Г. ОМСКА "УДХБ" 197-РДО от 01.07.2022</v>
      </c>
      <c r="D59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5" t="str">
        <f ca="1">IFERROR(__xludf.DUMMYFUNCTION("""COMPUTED_VALUE"""),"Новый")</f>
        <v>Новый</v>
      </c>
      <c r="G5945" s="68"/>
      <c r="K5945" s="68"/>
    </row>
    <row r="5946" spans="1:11" ht="12.75">
      <c r="A5946" s="69">
        <f ca="1">IFERROR(__xludf.DUMMYFUNCTION("""COMPUTED_VALUE"""),107061)</f>
        <v>107061</v>
      </c>
      <c r="B5946" s="4">
        <f ca="1">IFERROR(__xludf.DUMMYFUNCTION("""COMPUTED_VALUE"""),44820)</f>
        <v>44820</v>
      </c>
      <c r="C5946" t="str">
        <f ca="1">IFERROR(__xludf.DUMMYFUNCTION("""COMPUTED_VALUE"""),"БУ Г. ОМСКА ""УДХБ"" 197-РДО от 01.07.2022")</f>
        <v>БУ Г. ОМСКА "УДХБ" 197-РДО от 01.07.2022</v>
      </c>
      <c r="D59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6" t="str">
        <f ca="1">IFERROR(__xludf.DUMMYFUNCTION("""COMPUTED_VALUE"""),"Новый")</f>
        <v>Новый</v>
      </c>
      <c r="G5946" s="68"/>
      <c r="K5946" s="68"/>
    </row>
    <row r="5947" spans="1:11" ht="12.75">
      <c r="A5947" s="69">
        <f ca="1">IFERROR(__xludf.DUMMYFUNCTION("""COMPUTED_VALUE"""),107062)</f>
        <v>107062</v>
      </c>
      <c r="B5947" s="4">
        <f ca="1">IFERROR(__xludf.DUMMYFUNCTION("""COMPUTED_VALUE"""),44820)</f>
        <v>44820</v>
      </c>
      <c r="C5947" t="str">
        <f ca="1">IFERROR(__xludf.DUMMYFUNCTION("""COMPUTED_VALUE"""),"БУ Г. ОМСКА ""УДХБ"" 197-РДО от 01.07.2022")</f>
        <v>БУ Г. ОМСКА "УДХБ" 197-РДО от 01.07.2022</v>
      </c>
      <c r="D59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7" t="str">
        <f ca="1">IFERROR(__xludf.DUMMYFUNCTION("""COMPUTED_VALUE"""),"Новый")</f>
        <v>Новый</v>
      </c>
      <c r="G5947" s="68"/>
      <c r="K5947" s="68"/>
    </row>
    <row r="5948" spans="1:11" ht="12.75">
      <c r="A5948" s="69">
        <f ca="1">IFERROR(__xludf.DUMMYFUNCTION("""COMPUTED_VALUE"""),107063)</f>
        <v>107063</v>
      </c>
      <c r="B5948" s="4">
        <f ca="1">IFERROR(__xludf.DUMMYFUNCTION("""COMPUTED_VALUE"""),44820)</f>
        <v>44820</v>
      </c>
      <c r="C5948" t="str">
        <f ca="1">IFERROR(__xludf.DUMMYFUNCTION("""COMPUTED_VALUE"""),"БУ Г. ОМСКА ""УДХБ"" 197-РДО от 01.07.2022")</f>
        <v>БУ Г. ОМСКА "УДХБ" 197-РДО от 01.07.2022</v>
      </c>
      <c r="D59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8" t="str">
        <f ca="1">IFERROR(__xludf.DUMMYFUNCTION("""COMPUTED_VALUE"""),"Новый")</f>
        <v>Новый</v>
      </c>
      <c r="G5948" s="68"/>
      <c r="K5948" s="68"/>
    </row>
    <row r="5949" spans="1:11" ht="12.75">
      <c r="A5949" s="69">
        <f ca="1">IFERROR(__xludf.DUMMYFUNCTION("""COMPUTED_VALUE"""),107064)</f>
        <v>107064</v>
      </c>
      <c r="B5949" s="4">
        <f ca="1">IFERROR(__xludf.DUMMYFUNCTION("""COMPUTED_VALUE"""),44820)</f>
        <v>44820</v>
      </c>
      <c r="C5949" t="str">
        <f ca="1">IFERROR(__xludf.DUMMYFUNCTION("""COMPUTED_VALUE"""),"БУ Г. ОМСКА ""УДХБ"" 197-РДО от 01.07.2022")</f>
        <v>БУ Г. ОМСКА "УДХБ" 197-РДО от 01.07.2022</v>
      </c>
      <c r="D59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49" t="str">
        <f ca="1">IFERROR(__xludf.DUMMYFUNCTION("""COMPUTED_VALUE"""),"Новый")</f>
        <v>Новый</v>
      </c>
      <c r="G5949" s="68"/>
      <c r="K5949" s="68"/>
    </row>
    <row r="5950" spans="1:11" ht="12.75">
      <c r="A5950" s="69">
        <f ca="1">IFERROR(__xludf.DUMMYFUNCTION("""COMPUTED_VALUE"""),107065)</f>
        <v>107065</v>
      </c>
      <c r="B5950" s="4">
        <f ca="1">IFERROR(__xludf.DUMMYFUNCTION("""COMPUTED_VALUE"""),44820)</f>
        <v>44820</v>
      </c>
      <c r="C5950" t="str">
        <f ca="1">IFERROR(__xludf.DUMMYFUNCTION("""COMPUTED_VALUE"""),"БУ Г. ОМСКА ""УДХБ"" 197-РДО от 01.07.2022")</f>
        <v>БУ Г. ОМСКА "УДХБ" 197-РДО от 01.07.2022</v>
      </c>
      <c r="D59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0" t="str">
        <f ca="1">IFERROR(__xludf.DUMMYFUNCTION("""COMPUTED_VALUE"""),"Новый")</f>
        <v>Новый</v>
      </c>
      <c r="G5950" s="68"/>
      <c r="K5950" s="68"/>
    </row>
    <row r="5951" spans="1:11" ht="12.75">
      <c r="A5951" s="69">
        <f ca="1">IFERROR(__xludf.DUMMYFUNCTION("""COMPUTED_VALUE"""),107066)</f>
        <v>107066</v>
      </c>
      <c r="B5951" s="4">
        <f ca="1">IFERROR(__xludf.DUMMYFUNCTION("""COMPUTED_VALUE"""),44820)</f>
        <v>44820</v>
      </c>
      <c r="C5951" t="str">
        <f ca="1">IFERROR(__xludf.DUMMYFUNCTION("""COMPUTED_VALUE"""),"БУ Г. ОМСКА ""УДХБ"" 197-РДО от 01.07.2022")</f>
        <v>БУ Г. ОМСКА "УДХБ" 197-РДО от 01.07.2022</v>
      </c>
      <c r="D59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1" t="str">
        <f ca="1">IFERROR(__xludf.DUMMYFUNCTION("""COMPUTED_VALUE"""),"Новый")</f>
        <v>Новый</v>
      </c>
      <c r="G5951" s="68"/>
      <c r="K5951" s="68"/>
    </row>
    <row r="5952" spans="1:11" ht="12.75">
      <c r="A5952" s="69">
        <f ca="1">IFERROR(__xludf.DUMMYFUNCTION("""COMPUTED_VALUE"""),107067)</f>
        <v>107067</v>
      </c>
      <c r="B5952" s="4">
        <f ca="1">IFERROR(__xludf.DUMMYFUNCTION("""COMPUTED_VALUE"""),44820)</f>
        <v>44820</v>
      </c>
      <c r="C5952" t="str">
        <f ca="1">IFERROR(__xludf.DUMMYFUNCTION("""COMPUTED_VALUE"""),"БУ Г. ОМСКА ""УДХБ"" 197-РДО от 01.07.2022")</f>
        <v>БУ Г. ОМСКА "УДХБ" 197-РДО от 01.07.2022</v>
      </c>
      <c r="D59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2" t="str">
        <f ca="1">IFERROR(__xludf.DUMMYFUNCTION("""COMPUTED_VALUE"""),"Новый")</f>
        <v>Новый</v>
      </c>
      <c r="G5952" s="68"/>
      <c r="K5952" s="68"/>
    </row>
    <row r="5953" spans="1:11" ht="12.75">
      <c r="A5953" s="69">
        <f ca="1">IFERROR(__xludf.DUMMYFUNCTION("""COMPUTED_VALUE"""),107068)</f>
        <v>107068</v>
      </c>
      <c r="B5953" s="4">
        <f ca="1">IFERROR(__xludf.DUMMYFUNCTION("""COMPUTED_VALUE"""),44820)</f>
        <v>44820</v>
      </c>
      <c r="C5953" t="str">
        <f ca="1">IFERROR(__xludf.DUMMYFUNCTION("""COMPUTED_VALUE"""),"БУ Г. ОМСКА ""УДХБ"" 197-РДО от 01.07.2022")</f>
        <v>БУ Г. ОМСКА "УДХБ" 197-РДО от 01.07.2022</v>
      </c>
      <c r="D59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3" t="str">
        <f ca="1">IFERROR(__xludf.DUMMYFUNCTION("""COMPUTED_VALUE"""),"Новый")</f>
        <v>Новый</v>
      </c>
      <c r="G5953" s="68"/>
      <c r="K5953" s="68"/>
    </row>
    <row r="5954" spans="1:11" ht="12.75">
      <c r="A5954" s="69">
        <f ca="1">IFERROR(__xludf.DUMMYFUNCTION("""COMPUTED_VALUE"""),107069)</f>
        <v>107069</v>
      </c>
      <c r="B5954" s="4">
        <f ca="1">IFERROR(__xludf.DUMMYFUNCTION("""COMPUTED_VALUE"""),44820)</f>
        <v>44820</v>
      </c>
      <c r="C5954" t="str">
        <f ca="1">IFERROR(__xludf.DUMMYFUNCTION("""COMPUTED_VALUE"""),"БУ Г. ОМСКА ""УДХБ"" 197-РДО от 01.07.2022")</f>
        <v>БУ Г. ОМСКА "УДХБ" 197-РДО от 01.07.2022</v>
      </c>
      <c r="D59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4" t="str">
        <f ca="1">IFERROR(__xludf.DUMMYFUNCTION("""COMPUTED_VALUE"""),"Новый")</f>
        <v>Новый</v>
      </c>
      <c r="G5954" s="68"/>
      <c r="K5954" s="68"/>
    </row>
    <row r="5955" spans="1:11" ht="12.75">
      <c r="A5955" s="69">
        <f ca="1">IFERROR(__xludf.DUMMYFUNCTION("""COMPUTED_VALUE"""),107070)</f>
        <v>107070</v>
      </c>
      <c r="B5955" s="4">
        <f ca="1">IFERROR(__xludf.DUMMYFUNCTION("""COMPUTED_VALUE"""),44820)</f>
        <v>44820</v>
      </c>
      <c r="C5955" t="str">
        <f ca="1">IFERROR(__xludf.DUMMYFUNCTION("""COMPUTED_VALUE"""),"БУ Г. ОМСКА ""УДХБ"" 197-РДО от 01.07.2022")</f>
        <v>БУ Г. ОМСКА "УДХБ" 197-РДО от 01.07.2022</v>
      </c>
      <c r="D59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5" t="str">
        <f ca="1">IFERROR(__xludf.DUMMYFUNCTION("""COMPUTED_VALUE"""),"Новый")</f>
        <v>Новый</v>
      </c>
      <c r="G5955" s="68"/>
      <c r="K5955" s="68"/>
    </row>
    <row r="5956" spans="1:11" ht="12.75">
      <c r="A5956" s="69">
        <f ca="1">IFERROR(__xludf.DUMMYFUNCTION("""COMPUTED_VALUE"""),107071)</f>
        <v>107071</v>
      </c>
      <c r="B5956" s="4">
        <f ca="1">IFERROR(__xludf.DUMMYFUNCTION("""COMPUTED_VALUE"""),44820)</f>
        <v>44820</v>
      </c>
      <c r="C5956" t="str">
        <f ca="1">IFERROR(__xludf.DUMMYFUNCTION("""COMPUTED_VALUE"""),"БУ Г. ОМСКА ""УДХБ"" 197-РДО от 01.07.2022")</f>
        <v>БУ Г. ОМСКА "УДХБ" 197-РДО от 01.07.2022</v>
      </c>
      <c r="D59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6" t="str">
        <f ca="1">IFERROR(__xludf.DUMMYFUNCTION("""COMPUTED_VALUE"""),"Новый")</f>
        <v>Новый</v>
      </c>
      <c r="G5956" s="68"/>
      <c r="K5956" s="68"/>
    </row>
    <row r="5957" spans="1:11" ht="12.75">
      <c r="A5957" s="69">
        <f ca="1">IFERROR(__xludf.DUMMYFUNCTION("""COMPUTED_VALUE"""),107072)</f>
        <v>107072</v>
      </c>
      <c r="B5957" s="4">
        <f ca="1">IFERROR(__xludf.DUMMYFUNCTION("""COMPUTED_VALUE"""),44820)</f>
        <v>44820</v>
      </c>
      <c r="C5957" t="str">
        <f ca="1">IFERROR(__xludf.DUMMYFUNCTION("""COMPUTED_VALUE"""),"БУ Г. ОМСКА ""УДХБ"" 197-РДО от 01.07.2022")</f>
        <v>БУ Г. ОМСКА "УДХБ" 197-РДО от 01.07.2022</v>
      </c>
      <c r="D59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7" t="str">
        <f ca="1">IFERROR(__xludf.DUMMYFUNCTION("""COMPUTED_VALUE"""),"Новый")</f>
        <v>Новый</v>
      </c>
      <c r="G5957" s="68"/>
      <c r="K5957" s="68"/>
    </row>
    <row r="5958" spans="1:11" ht="12.75">
      <c r="A5958" s="69">
        <f ca="1">IFERROR(__xludf.DUMMYFUNCTION("""COMPUTED_VALUE"""),107073)</f>
        <v>107073</v>
      </c>
      <c r="B5958" s="4">
        <f ca="1">IFERROR(__xludf.DUMMYFUNCTION("""COMPUTED_VALUE"""),44820)</f>
        <v>44820</v>
      </c>
      <c r="C5958" t="str">
        <f ca="1">IFERROR(__xludf.DUMMYFUNCTION("""COMPUTED_VALUE"""),"БУ Г. ОМСКА ""УДХБ"" 197-РДО от 01.07.2022")</f>
        <v>БУ Г. ОМСКА "УДХБ" 197-РДО от 01.07.2022</v>
      </c>
      <c r="D59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8" t="str">
        <f ca="1">IFERROR(__xludf.DUMMYFUNCTION("""COMPUTED_VALUE"""),"Новый")</f>
        <v>Новый</v>
      </c>
      <c r="G5958" s="68"/>
      <c r="K5958" s="68"/>
    </row>
    <row r="5959" spans="1:11" ht="12.75">
      <c r="A5959" s="69">
        <f ca="1">IFERROR(__xludf.DUMMYFUNCTION("""COMPUTED_VALUE"""),107074)</f>
        <v>107074</v>
      </c>
      <c r="B5959" s="4">
        <f ca="1">IFERROR(__xludf.DUMMYFUNCTION("""COMPUTED_VALUE"""),44820)</f>
        <v>44820</v>
      </c>
      <c r="C5959" t="str">
        <f ca="1">IFERROR(__xludf.DUMMYFUNCTION("""COMPUTED_VALUE"""),"БУ Г. ОМСКА ""УДХБ"" 197-РДО от 01.07.2022")</f>
        <v>БУ Г. ОМСКА "УДХБ" 197-РДО от 01.07.2022</v>
      </c>
      <c r="D59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59" t="str">
        <f ca="1">IFERROR(__xludf.DUMMYFUNCTION("""COMPUTED_VALUE"""),"Новый")</f>
        <v>Новый</v>
      </c>
      <c r="G5959" s="68"/>
      <c r="K5959" s="68"/>
    </row>
    <row r="5960" spans="1:11" ht="12.75">
      <c r="A5960" s="69">
        <f ca="1">IFERROR(__xludf.DUMMYFUNCTION("""COMPUTED_VALUE"""),107075)</f>
        <v>107075</v>
      </c>
      <c r="B5960" s="4">
        <f ca="1">IFERROR(__xludf.DUMMYFUNCTION("""COMPUTED_VALUE"""),44820)</f>
        <v>44820</v>
      </c>
      <c r="C5960" t="str">
        <f ca="1">IFERROR(__xludf.DUMMYFUNCTION("""COMPUTED_VALUE"""),"БУ Г. ОМСКА ""УДХБ"" 197-РДО от 01.07.2022")</f>
        <v>БУ Г. ОМСКА "УДХБ" 197-РДО от 01.07.2022</v>
      </c>
      <c r="D59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0" t="str">
        <f ca="1">IFERROR(__xludf.DUMMYFUNCTION("""COMPUTED_VALUE"""),"Новый")</f>
        <v>Новый</v>
      </c>
      <c r="G5960" s="68"/>
      <c r="K5960" s="68"/>
    </row>
    <row r="5961" spans="1:11" ht="12.75">
      <c r="A5961" s="69">
        <f ca="1">IFERROR(__xludf.DUMMYFUNCTION("""COMPUTED_VALUE"""),107076)</f>
        <v>107076</v>
      </c>
      <c r="B5961" s="4">
        <f ca="1">IFERROR(__xludf.DUMMYFUNCTION("""COMPUTED_VALUE"""),44820)</f>
        <v>44820</v>
      </c>
      <c r="C5961" t="str">
        <f ca="1">IFERROR(__xludf.DUMMYFUNCTION("""COMPUTED_VALUE"""),"БУ Г. ОМСКА ""УДХБ"" 197-РДО от 01.07.2022")</f>
        <v>БУ Г. ОМСКА "УДХБ" 197-РДО от 01.07.2022</v>
      </c>
      <c r="D59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1" t="str">
        <f ca="1">IFERROR(__xludf.DUMMYFUNCTION("""COMPUTED_VALUE"""),"Новый")</f>
        <v>Новый</v>
      </c>
      <c r="G5961" s="68"/>
      <c r="K5961" s="68"/>
    </row>
    <row r="5962" spans="1:11" ht="12.75">
      <c r="A5962" s="69">
        <f ca="1">IFERROR(__xludf.DUMMYFUNCTION("""COMPUTED_VALUE"""),107077)</f>
        <v>107077</v>
      </c>
      <c r="B5962" s="4">
        <f ca="1">IFERROR(__xludf.DUMMYFUNCTION("""COMPUTED_VALUE"""),44820)</f>
        <v>44820</v>
      </c>
      <c r="C5962" t="str">
        <f ca="1">IFERROR(__xludf.DUMMYFUNCTION("""COMPUTED_VALUE"""),"БУ Г. ОМСКА ""УДХБ"" 197-РДО от 01.07.2022")</f>
        <v>БУ Г. ОМСКА "УДХБ" 197-РДО от 01.07.2022</v>
      </c>
      <c r="D59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2" t="str">
        <f ca="1">IFERROR(__xludf.DUMMYFUNCTION("""COMPUTED_VALUE"""),"Новый")</f>
        <v>Новый</v>
      </c>
      <c r="G5962" s="68"/>
      <c r="K5962" s="68"/>
    </row>
    <row r="5963" spans="1:11" ht="12.75">
      <c r="A5963" s="69">
        <f ca="1">IFERROR(__xludf.DUMMYFUNCTION("""COMPUTED_VALUE"""),107078)</f>
        <v>107078</v>
      </c>
      <c r="B5963" s="4">
        <f ca="1">IFERROR(__xludf.DUMMYFUNCTION("""COMPUTED_VALUE"""),44820)</f>
        <v>44820</v>
      </c>
      <c r="C5963" t="str">
        <f ca="1">IFERROR(__xludf.DUMMYFUNCTION("""COMPUTED_VALUE"""),"БУ Г. ОМСКА ""УДХБ"" 197-РДО от 01.07.2022")</f>
        <v>БУ Г. ОМСКА "УДХБ" 197-РДО от 01.07.2022</v>
      </c>
      <c r="D59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3" t="str">
        <f ca="1">IFERROR(__xludf.DUMMYFUNCTION("""COMPUTED_VALUE"""),"Новый")</f>
        <v>Новый</v>
      </c>
      <c r="G5963" s="68"/>
      <c r="K5963" s="68"/>
    </row>
    <row r="5964" spans="1:11" ht="12.75">
      <c r="A5964" s="69">
        <f ca="1">IFERROR(__xludf.DUMMYFUNCTION("""COMPUTED_VALUE"""),107079)</f>
        <v>107079</v>
      </c>
      <c r="B5964" s="4">
        <f ca="1">IFERROR(__xludf.DUMMYFUNCTION("""COMPUTED_VALUE"""),44820)</f>
        <v>44820</v>
      </c>
      <c r="C5964" t="str">
        <f ca="1">IFERROR(__xludf.DUMMYFUNCTION("""COMPUTED_VALUE"""),"БУ Г. ОМСКА ""УДХБ"" 197-РДО от 01.07.2022")</f>
        <v>БУ Г. ОМСКА "УДХБ" 197-РДО от 01.07.2022</v>
      </c>
      <c r="D59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4" t="str">
        <f ca="1">IFERROR(__xludf.DUMMYFUNCTION("""COMPUTED_VALUE"""),"Новый")</f>
        <v>Новый</v>
      </c>
      <c r="G5964" s="68"/>
      <c r="K5964" s="68"/>
    </row>
    <row r="5965" spans="1:11" ht="12.75">
      <c r="A5965" s="69">
        <f ca="1">IFERROR(__xludf.DUMMYFUNCTION("""COMPUTED_VALUE"""),107080)</f>
        <v>107080</v>
      </c>
      <c r="B5965" s="4">
        <f ca="1">IFERROR(__xludf.DUMMYFUNCTION("""COMPUTED_VALUE"""),44820)</f>
        <v>44820</v>
      </c>
      <c r="C5965" t="str">
        <f ca="1">IFERROR(__xludf.DUMMYFUNCTION("""COMPUTED_VALUE"""),"БУ Г. ОМСКА ""УДХБ"" 197-РДО от 01.07.2022")</f>
        <v>БУ Г. ОМСКА "УДХБ" 197-РДО от 01.07.2022</v>
      </c>
      <c r="D59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5" t="str">
        <f ca="1">IFERROR(__xludf.DUMMYFUNCTION("""COMPUTED_VALUE"""),"Новый")</f>
        <v>Новый</v>
      </c>
      <c r="G5965" s="68"/>
      <c r="K5965" s="68"/>
    </row>
    <row r="5966" spans="1:11" ht="12.75">
      <c r="A5966" s="69">
        <f ca="1">IFERROR(__xludf.DUMMYFUNCTION("""COMPUTED_VALUE"""),107081)</f>
        <v>107081</v>
      </c>
      <c r="B5966" s="4">
        <f ca="1">IFERROR(__xludf.DUMMYFUNCTION("""COMPUTED_VALUE"""),44820)</f>
        <v>44820</v>
      </c>
      <c r="C5966" t="str">
        <f ca="1">IFERROR(__xludf.DUMMYFUNCTION("""COMPUTED_VALUE"""),"БУ Г. ОМСКА ""УДХБ"" 197-РДО от 01.07.2022")</f>
        <v>БУ Г. ОМСКА "УДХБ" 197-РДО от 01.07.2022</v>
      </c>
      <c r="D59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6" t="str">
        <f ca="1">IFERROR(__xludf.DUMMYFUNCTION("""COMPUTED_VALUE"""),"Новый")</f>
        <v>Новый</v>
      </c>
      <c r="G5966" s="68"/>
      <c r="K5966" s="68"/>
    </row>
    <row r="5967" spans="1:11" ht="12.75">
      <c r="A5967" s="69">
        <f ca="1">IFERROR(__xludf.DUMMYFUNCTION("""COMPUTED_VALUE"""),107082)</f>
        <v>107082</v>
      </c>
      <c r="B5967" s="4">
        <f ca="1">IFERROR(__xludf.DUMMYFUNCTION("""COMPUTED_VALUE"""),44820)</f>
        <v>44820</v>
      </c>
      <c r="C5967" t="str">
        <f ca="1">IFERROR(__xludf.DUMMYFUNCTION("""COMPUTED_VALUE"""),"БУ Г. ОМСКА ""УДХБ"" 197-РДО от 01.07.2022")</f>
        <v>БУ Г. ОМСКА "УДХБ" 197-РДО от 01.07.2022</v>
      </c>
      <c r="D59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7" t="str">
        <f ca="1">IFERROR(__xludf.DUMMYFUNCTION("""COMPUTED_VALUE"""),"Новый")</f>
        <v>Новый</v>
      </c>
      <c r="G5967" s="68"/>
      <c r="K5967" s="68"/>
    </row>
    <row r="5968" spans="1:11" ht="12.75">
      <c r="A5968" s="69">
        <f ca="1">IFERROR(__xludf.DUMMYFUNCTION("""COMPUTED_VALUE"""),107083)</f>
        <v>107083</v>
      </c>
      <c r="B5968" s="4">
        <f ca="1">IFERROR(__xludf.DUMMYFUNCTION("""COMPUTED_VALUE"""),44820)</f>
        <v>44820</v>
      </c>
      <c r="C5968" t="str">
        <f ca="1">IFERROR(__xludf.DUMMYFUNCTION("""COMPUTED_VALUE"""),"БУ Г. ОМСКА ""УДХБ"" 197-РДО от 01.07.2022")</f>
        <v>БУ Г. ОМСКА "УДХБ" 197-РДО от 01.07.2022</v>
      </c>
      <c r="D59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8" t="str">
        <f ca="1">IFERROR(__xludf.DUMMYFUNCTION("""COMPUTED_VALUE"""),"Новый")</f>
        <v>Новый</v>
      </c>
      <c r="G5968" s="68"/>
      <c r="K5968" s="68"/>
    </row>
    <row r="5969" spans="1:11" ht="12.75">
      <c r="A5969" s="69">
        <f ca="1">IFERROR(__xludf.DUMMYFUNCTION("""COMPUTED_VALUE"""),107084)</f>
        <v>107084</v>
      </c>
      <c r="B5969" s="4">
        <f ca="1">IFERROR(__xludf.DUMMYFUNCTION("""COMPUTED_VALUE"""),44820)</f>
        <v>44820</v>
      </c>
      <c r="C5969" t="str">
        <f ca="1">IFERROR(__xludf.DUMMYFUNCTION("""COMPUTED_VALUE"""),"БУ Г. ОМСКА ""УДХБ"" 197-РДО от 01.07.2022")</f>
        <v>БУ Г. ОМСКА "УДХБ" 197-РДО от 01.07.2022</v>
      </c>
      <c r="D59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69" t="str">
        <f ca="1">IFERROR(__xludf.DUMMYFUNCTION("""COMPUTED_VALUE"""),"Новый")</f>
        <v>Новый</v>
      </c>
      <c r="G5969" s="68"/>
      <c r="K5969" s="68"/>
    </row>
    <row r="5970" spans="1:11" ht="12.75">
      <c r="A5970" s="69">
        <f ca="1">IFERROR(__xludf.DUMMYFUNCTION("""COMPUTED_VALUE"""),107085)</f>
        <v>107085</v>
      </c>
      <c r="B5970" s="4">
        <f ca="1">IFERROR(__xludf.DUMMYFUNCTION("""COMPUTED_VALUE"""),44820)</f>
        <v>44820</v>
      </c>
      <c r="C5970" t="str">
        <f ca="1">IFERROR(__xludf.DUMMYFUNCTION("""COMPUTED_VALUE"""),"БУ Г. ОМСКА ""УДХБ"" 197-РДО от 01.07.2022")</f>
        <v>БУ Г. ОМСКА "УДХБ" 197-РДО от 01.07.2022</v>
      </c>
      <c r="D59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0" t="str">
        <f ca="1">IFERROR(__xludf.DUMMYFUNCTION("""COMPUTED_VALUE"""),"Новый")</f>
        <v>Новый</v>
      </c>
      <c r="G5970" s="68"/>
      <c r="K5970" s="68"/>
    </row>
    <row r="5971" spans="1:11" ht="12.75">
      <c r="A5971" s="69">
        <f ca="1">IFERROR(__xludf.DUMMYFUNCTION("""COMPUTED_VALUE"""),107086)</f>
        <v>107086</v>
      </c>
      <c r="B5971" s="4">
        <f ca="1">IFERROR(__xludf.DUMMYFUNCTION("""COMPUTED_VALUE"""),44820)</f>
        <v>44820</v>
      </c>
      <c r="C5971" t="str">
        <f ca="1">IFERROR(__xludf.DUMMYFUNCTION("""COMPUTED_VALUE"""),"БУ Г. ОМСКА ""УДХБ"" 197-РДО от 01.07.2022")</f>
        <v>БУ Г. ОМСКА "УДХБ" 197-РДО от 01.07.2022</v>
      </c>
      <c r="D59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1" t="str">
        <f ca="1">IFERROR(__xludf.DUMMYFUNCTION("""COMPUTED_VALUE"""),"Новый")</f>
        <v>Новый</v>
      </c>
      <c r="G5971" s="68"/>
      <c r="K5971" s="68"/>
    </row>
    <row r="5972" spans="1:11" ht="12.75">
      <c r="A5972" s="69">
        <f ca="1">IFERROR(__xludf.DUMMYFUNCTION("""COMPUTED_VALUE"""),107087)</f>
        <v>107087</v>
      </c>
      <c r="B5972" s="4">
        <f ca="1">IFERROR(__xludf.DUMMYFUNCTION("""COMPUTED_VALUE"""),44820)</f>
        <v>44820</v>
      </c>
      <c r="C5972" t="str">
        <f ca="1">IFERROR(__xludf.DUMMYFUNCTION("""COMPUTED_VALUE"""),"БУ Г. ОМСКА ""УДХБ"" 197-РДО от 01.07.2022")</f>
        <v>БУ Г. ОМСКА "УДХБ" 197-РДО от 01.07.2022</v>
      </c>
      <c r="D59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2" t="str">
        <f ca="1">IFERROR(__xludf.DUMMYFUNCTION("""COMPUTED_VALUE"""),"Новый")</f>
        <v>Новый</v>
      </c>
      <c r="G5972" s="68"/>
      <c r="K5972" s="68"/>
    </row>
    <row r="5973" spans="1:11" ht="12.75">
      <c r="A5973" s="69">
        <f ca="1">IFERROR(__xludf.DUMMYFUNCTION("""COMPUTED_VALUE"""),107088)</f>
        <v>107088</v>
      </c>
      <c r="B5973" s="4">
        <f ca="1">IFERROR(__xludf.DUMMYFUNCTION("""COMPUTED_VALUE"""),44820)</f>
        <v>44820</v>
      </c>
      <c r="C5973" t="str">
        <f ca="1">IFERROR(__xludf.DUMMYFUNCTION("""COMPUTED_VALUE"""),"БУ Г. ОМСКА ""УДХБ"" 197-РДО от 01.07.2022")</f>
        <v>БУ Г. ОМСКА "УДХБ" 197-РДО от 01.07.2022</v>
      </c>
      <c r="D59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3" t="str">
        <f ca="1">IFERROR(__xludf.DUMMYFUNCTION("""COMPUTED_VALUE"""),"Новый")</f>
        <v>Новый</v>
      </c>
      <c r="G5973" s="68"/>
      <c r="K5973" s="68"/>
    </row>
    <row r="5974" spans="1:11" ht="12.75">
      <c r="A5974" s="69">
        <f ca="1">IFERROR(__xludf.DUMMYFUNCTION("""COMPUTED_VALUE"""),107089)</f>
        <v>107089</v>
      </c>
      <c r="B5974" s="4">
        <f ca="1">IFERROR(__xludf.DUMMYFUNCTION("""COMPUTED_VALUE"""),44820)</f>
        <v>44820</v>
      </c>
      <c r="C5974" t="str">
        <f ca="1">IFERROR(__xludf.DUMMYFUNCTION("""COMPUTED_VALUE"""),"БУ Г. ОМСКА ""УДХБ"" 197-РДО от 01.07.2022")</f>
        <v>БУ Г. ОМСКА "УДХБ" 197-РДО от 01.07.2022</v>
      </c>
      <c r="D59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4" t="str">
        <f ca="1">IFERROR(__xludf.DUMMYFUNCTION("""COMPUTED_VALUE"""),"Новый")</f>
        <v>Новый</v>
      </c>
      <c r="G5974" s="68"/>
      <c r="K5974" s="68"/>
    </row>
    <row r="5975" spans="1:11" ht="12.75">
      <c r="A5975" s="69">
        <f ca="1">IFERROR(__xludf.DUMMYFUNCTION("""COMPUTED_VALUE"""),107090)</f>
        <v>107090</v>
      </c>
      <c r="B5975" s="4">
        <f ca="1">IFERROR(__xludf.DUMMYFUNCTION("""COMPUTED_VALUE"""),44820)</f>
        <v>44820</v>
      </c>
      <c r="C5975" t="str">
        <f ca="1">IFERROR(__xludf.DUMMYFUNCTION("""COMPUTED_VALUE"""),"БУ Г. ОМСКА ""УДХБ"" 197-РДО от 01.07.2022")</f>
        <v>БУ Г. ОМСКА "УДХБ" 197-РДО от 01.07.2022</v>
      </c>
      <c r="D59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5" t="str">
        <f ca="1">IFERROR(__xludf.DUMMYFUNCTION("""COMPUTED_VALUE"""),"Новый")</f>
        <v>Новый</v>
      </c>
      <c r="G5975" s="68"/>
      <c r="K5975" s="68"/>
    </row>
    <row r="5976" spans="1:11" ht="12.75">
      <c r="A5976" s="69">
        <f ca="1">IFERROR(__xludf.DUMMYFUNCTION("""COMPUTED_VALUE"""),107091)</f>
        <v>107091</v>
      </c>
      <c r="B5976" s="4">
        <f ca="1">IFERROR(__xludf.DUMMYFUNCTION("""COMPUTED_VALUE"""),44820)</f>
        <v>44820</v>
      </c>
      <c r="C5976" t="str">
        <f ca="1">IFERROR(__xludf.DUMMYFUNCTION("""COMPUTED_VALUE"""),"БУ Г. ОМСКА ""УДХБ"" 197-РДО от 01.07.2022")</f>
        <v>БУ Г. ОМСКА "УДХБ" 197-РДО от 01.07.2022</v>
      </c>
      <c r="D59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6" t="str">
        <f ca="1">IFERROR(__xludf.DUMMYFUNCTION("""COMPUTED_VALUE"""),"Новый")</f>
        <v>Новый</v>
      </c>
      <c r="G5976" s="68"/>
      <c r="K5976" s="68"/>
    </row>
    <row r="5977" spans="1:11" ht="12.75">
      <c r="A5977" s="69">
        <f ca="1">IFERROR(__xludf.DUMMYFUNCTION("""COMPUTED_VALUE"""),107108)</f>
        <v>107108</v>
      </c>
      <c r="B5977" s="4">
        <f ca="1">IFERROR(__xludf.DUMMYFUNCTION("""COMPUTED_VALUE"""),44820)</f>
        <v>44820</v>
      </c>
      <c r="C5977" t="str">
        <f ca="1">IFERROR(__xludf.DUMMYFUNCTION("""COMPUTED_VALUE"""),"БУ Г. ОМСКА ""УДХБ"" 197-РДО от 01.07.2022")</f>
        <v>БУ Г. ОМСКА "УДХБ" 197-РДО от 01.07.2022</v>
      </c>
      <c r="D59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7" t="str">
        <f ca="1">IFERROR(__xludf.DUMMYFUNCTION("""COMPUTED_VALUE"""),"Новый")</f>
        <v>Новый</v>
      </c>
      <c r="G5977" s="68"/>
      <c r="K5977" s="68"/>
    </row>
    <row r="5978" spans="1:11" ht="12.75">
      <c r="A5978" s="69">
        <f ca="1">IFERROR(__xludf.DUMMYFUNCTION("""COMPUTED_VALUE"""),107109)</f>
        <v>107109</v>
      </c>
      <c r="B5978" s="4">
        <f ca="1">IFERROR(__xludf.DUMMYFUNCTION("""COMPUTED_VALUE"""),44820)</f>
        <v>44820</v>
      </c>
      <c r="C5978" t="str">
        <f ca="1">IFERROR(__xludf.DUMMYFUNCTION("""COMPUTED_VALUE"""),"БУ Г. ОМСКА ""УДХБ"" 197-РДО от 01.07.2022")</f>
        <v>БУ Г. ОМСКА "УДХБ" 197-РДО от 01.07.2022</v>
      </c>
      <c r="D59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8" t="str">
        <f ca="1">IFERROR(__xludf.DUMMYFUNCTION("""COMPUTED_VALUE"""),"Новый")</f>
        <v>Новый</v>
      </c>
      <c r="G5978" s="68"/>
      <c r="K5978" s="68"/>
    </row>
    <row r="5979" spans="1:11" ht="12.75">
      <c r="A5979" s="69">
        <f ca="1">IFERROR(__xludf.DUMMYFUNCTION("""COMPUTED_VALUE"""),107116)</f>
        <v>107116</v>
      </c>
      <c r="B5979" s="4">
        <f ca="1">IFERROR(__xludf.DUMMYFUNCTION("""COMPUTED_VALUE"""),44820)</f>
        <v>44820</v>
      </c>
      <c r="C5979" t="str">
        <f ca="1">IFERROR(__xludf.DUMMYFUNCTION("""COMPUTED_VALUE"""),"БУ Г. ОМСКА ""УДХБ"" 197-РДО от 01.07.2022")</f>
        <v>БУ Г. ОМСКА "УДХБ" 197-РДО от 01.07.2022</v>
      </c>
      <c r="D59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79" t="str">
        <f ca="1">IFERROR(__xludf.DUMMYFUNCTION("""COMPUTED_VALUE"""),"Новый")</f>
        <v>Новый</v>
      </c>
      <c r="G5979" s="68"/>
      <c r="K5979" s="68"/>
    </row>
    <row r="5980" spans="1:11" ht="12.75">
      <c r="A5980" s="69">
        <f ca="1">IFERROR(__xludf.DUMMYFUNCTION("""COMPUTED_VALUE"""),107118)</f>
        <v>107118</v>
      </c>
      <c r="B5980" s="4">
        <f ca="1">IFERROR(__xludf.DUMMYFUNCTION("""COMPUTED_VALUE"""),44820)</f>
        <v>44820</v>
      </c>
      <c r="C5980" t="str">
        <f ca="1">IFERROR(__xludf.DUMMYFUNCTION("""COMPUTED_VALUE"""),"БУ Г. ОМСКА ""УДХБ"" 197-РДО от 01.07.2022")</f>
        <v>БУ Г. ОМСКА "УДХБ" 197-РДО от 01.07.2022</v>
      </c>
      <c r="D59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0" t="str">
        <f ca="1">IFERROR(__xludf.DUMMYFUNCTION("""COMPUTED_VALUE"""),"Новый")</f>
        <v>Новый</v>
      </c>
      <c r="G5980" s="68"/>
      <c r="K5980" s="68"/>
    </row>
    <row r="5981" spans="1:11" ht="12.75">
      <c r="A5981" s="69">
        <f ca="1">IFERROR(__xludf.DUMMYFUNCTION("""COMPUTED_VALUE"""),107119)</f>
        <v>107119</v>
      </c>
      <c r="B5981" s="4">
        <f ca="1">IFERROR(__xludf.DUMMYFUNCTION("""COMPUTED_VALUE"""),44820)</f>
        <v>44820</v>
      </c>
      <c r="C5981" t="str">
        <f ca="1">IFERROR(__xludf.DUMMYFUNCTION("""COMPUTED_VALUE"""),"БУ Г. ОМСКА ""УДХБ"" 197-РДО от 01.07.2022")</f>
        <v>БУ Г. ОМСКА "УДХБ" 197-РДО от 01.07.2022</v>
      </c>
      <c r="D59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1" t="str">
        <f ca="1">IFERROR(__xludf.DUMMYFUNCTION("""COMPUTED_VALUE"""),"Новый")</f>
        <v>Новый</v>
      </c>
      <c r="G5981" s="68"/>
      <c r="K5981" s="68"/>
    </row>
    <row r="5982" spans="1:11" ht="12.75">
      <c r="A5982" s="69">
        <f ca="1">IFERROR(__xludf.DUMMYFUNCTION("""COMPUTED_VALUE"""),107120)</f>
        <v>107120</v>
      </c>
      <c r="B5982" s="4">
        <f ca="1">IFERROR(__xludf.DUMMYFUNCTION("""COMPUTED_VALUE"""),44820)</f>
        <v>44820</v>
      </c>
      <c r="C5982" t="str">
        <f ca="1">IFERROR(__xludf.DUMMYFUNCTION("""COMPUTED_VALUE"""),"БУ Г. ОМСКА ""УДХБ"" 197-РДО от 01.07.2022")</f>
        <v>БУ Г. ОМСКА "УДХБ" 197-РДО от 01.07.2022</v>
      </c>
      <c r="D59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2" t="str">
        <f ca="1">IFERROR(__xludf.DUMMYFUNCTION("""COMPUTED_VALUE"""),"Новый")</f>
        <v>Новый</v>
      </c>
      <c r="G5982" s="68"/>
      <c r="K5982" s="68"/>
    </row>
    <row r="5983" spans="1:11" ht="12.75">
      <c r="A5983" s="69">
        <f ca="1">IFERROR(__xludf.DUMMYFUNCTION("""COMPUTED_VALUE"""),107122)</f>
        <v>107122</v>
      </c>
      <c r="B5983" s="4">
        <f ca="1">IFERROR(__xludf.DUMMYFUNCTION("""COMPUTED_VALUE"""),44820)</f>
        <v>44820</v>
      </c>
      <c r="C5983" t="str">
        <f ca="1">IFERROR(__xludf.DUMMYFUNCTION("""COMPUTED_VALUE"""),"БУ Г. ОМСКА ""УДХБ"" 197-РДО от 01.07.2022")</f>
        <v>БУ Г. ОМСКА "УДХБ" 197-РДО от 01.07.2022</v>
      </c>
      <c r="D59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3" t="str">
        <f ca="1">IFERROR(__xludf.DUMMYFUNCTION("""COMPUTED_VALUE"""),"Новый")</f>
        <v>Новый</v>
      </c>
      <c r="G5983" s="68"/>
      <c r="K5983" s="68"/>
    </row>
    <row r="5984" spans="1:11" ht="12.75">
      <c r="A5984" s="69">
        <f ca="1">IFERROR(__xludf.DUMMYFUNCTION("""COMPUTED_VALUE"""),107123)</f>
        <v>107123</v>
      </c>
      <c r="B5984" s="4">
        <f ca="1">IFERROR(__xludf.DUMMYFUNCTION("""COMPUTED_VALUE"""),44820)</f>
        <v>44820</v>
      </c>
      <c r="C5984" t="str">
        <f ca="1">IFERROR(__xludf.DUMMYFUNCTION("""COMPUTED_VALUE"""),"БУ Г. ОМСКА ""УДХБ"" 197-РДО от 01.07.2022")</f>
        <v>БУ Г. ОМСКА "УДХБ" 197-РДО от 01.07.2022</v>
      </c>
      <c r="D59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4" t="str">
        <f ca="1">IFERROR(__xludf.DUMMYFUNCTION("""COMPUTED_VALUE"""),"Новый")</f>
        <v>Новый</v>
      </c>
      <c r="G5984" s="68"/>
      <c r="K5984" s="68"/>
    </row>
    <row r="5985" spans="1:11" ht="12.75">
      <c r="A5985" s="69">
        <f ca="1">IFERROR(__xludf.DUMMYFUNCTION("""COMPUTED_VALUE"""),107124)</f>
        <v>107124</v>
      </c>
      <c r="B5985" s="4">
        <f ca="1">IFERROR(__xludf.DUMMYFUNCTION("""COMPUTED_VALUE"""),44820)</f>
        <v>44820</v>
      </c>
      <c r="C5985" t="str">
        <f ca="1">IFERROR(__xludf.DUMMYFUNCTION("""COMPUTED_VALUE"""),"БУ Г. ОМСКА ""УДХБ"" 197-РДО от 01.07.2022")</f>
        <v>БУ Г. ОМСКА "УДХБ" 197-РДО от 01.07.2022</v>
      </c>
      <c r="D59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5" t="str">
        <f ca="1">IFERROR(__xludf.DUMMYFUNCTION("""COMPUTED_VALUE"""),"Новый")</f>
        <v>Новый</v>
      </c>
      <c r="G5985" s="68"/>
      <c r="K5985" s="68"/>
    </row>
    <row r="5986" spans="1:11" ht="12.75">
      <c r="A5986" s="69">
        <f ca="1">IFERROR(__xludf.DUMMYFUNCTION("""COMPUTED_VALUE"""),107125)</f>
        <v>107125</v>
      </c>
      <c r="B5986" s="4">
        <f ca="1">IFERROR(__xludf.DUMMYFUNCTION("""COMPUTED_VALUE"""),44820)</f>
        <v>44820</v>
      </c>
      <c r="C5986" t="str">
        <f ca="1">IFERROR(__xludf.DUMMYFUNCTION("""COMPUTED_VALUE"""),"БУ Г. ОМСКА ""УДХБ"" 197-РДО от 01.07.2022")</f>
        <v>БУ Г. ОМСКА "УДХБ" 197-РДО от 01.07.2022</v>
      </c>
      <c r="D59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6" t="str">
        <f ca="1">IFERROR(__xludf.DUMMYFUNCTION("""COMPUTED_VALUE"""),"Новый")</f>
        <v>Новый</v>
      </c>
      <c r="G5986" s="68"/>
      <c r="K5986" s="68"/>
    </row>
    <row r="5987" spans="1:11" ht="12.75">
      <c r="A5987" s="69">
        <f ca="1">IFERROR(__xludf.DUMMYFUNCTION("""COMPUTED_VALUE"""),107126)</f>
        <v>107126</v>
      </c>
      <c r="B5987" s="4">
        <f ca="1">IFERROR(__xludf.DUMMYFUNCTION("""COMPUTED_VALUE"""),44820)</f>
        <v>44820</v>
      </c>
      <c r="C5987" t="str">
        <f ca="1">IFERROR(__xludf.DUMMYFUNCTION("""COMPUTED_VALUE"""),"БУ Г. ОМСКА ""УДХБ"" 197-РДО от 01.07.2022")</f>
        <v>БУ Г. ОМСКА "УДХБ" 197-РДО от 01.07.2022</v>
      </c>
      <c r="D59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7" t="str">
        <f ca="1">IFERROR(__xludf.DUMMYFUNCTION("""COMPUTED_VALUE"""),"Новый")</f>
        <v>Новый</v>
      </c>
      <c r="G5987" s="68"/>
      <c r="K5987" s="68"/>
    </row>
    <row r="5988" spans="1:11" ht="12.75">
      <c r="A5988" s="69">
        <f ca="1">IFERROR(__xludf.DUMMYFUNCTION("""COMPUTED_VALUE"""),107127)</f>
        <v>107127</v>
      </c>
      <c r="B5988" s="4">
        <f ca="1">IFERROR(__xludf.DUMMYFUNCTION("""COMPUTED_VALUE"""),44820)</f>
        <v>44820</v>
      </c>
      <c r="C5988" t="str">
        <f ca="1">IFERROR(__xludf.DUMMYFUNCTION("""COMPUTED_VALUE"""),"БУ Г. ОМСКА ""УДХБ"" 197-РДО от 01.07.2022")</f>
        <v>БУ Г. ОМСКА "УДХБ" 197-РДО от 01.07.2022</v>
      </c>
      <c r="D59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8" t="str">
        <f ca="1">IFERROR(__xludf.DUMMYFUNCTION("""COMPUTED_VALUE"""),"Новый")</f>
        <v>Новый</v>
      </c>
      <c r="G5988" s="68"/>
      <c r="K5988" s="68"/>
    </row>
    <row r="5989" spans="1:11" ht="12.75">
      <c r="A5989" s="69">
        <f ca="1">IFERROR(__xludf.DUMMYFUNCTION("""COMPUTED_VALUE"""),107128)</f>
        <v>107128</v>
      </c>
      <c r="B5989" s="4">
        <f ca="1">IFERROR(__xludf.DUMMYFUNCTION("""COMPUTED_VALUE"""),44820)</f>
        <v>44820</v>
      </c>
      <c r="C5989" t="str">
        <f ca="1">IFERROR(__xludf.DUMMYFUNCTION("""COMPUTED_VALUE"""),"БУ Г. ОМСКА ""УДХБ"" 197-РДО от 01.07.2022")</f>
        <v>БУ Г. ОМСКА "УДХБ" 197-РДО от 01.07.2022</v>
      </c>
      <c r="D59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89" t="str">
        <f ca="1">IFERROR(__xludf.DUMMYFUNCTION("""COMPUTED_VALUE"""),"Новый")</f>
        <v>Новый</v>
      </c>
      <c r="G5989" s="68"/>
      <c r="K5989" s="68"/>
    </row>
    <row r="5990" spans="1:11" ht="12.75">
      <c r="A5990" s="69">
        <f ca="1">IFERROR(__xludf.DUMMYFUNCTION("""COMPUTED_VALUE"""),107129)</f>
        <v>107129</v>
      </c>
      <c r="B5990" s="4">
        <f ca="1">IFERROR(__xludf.DUMMYFUNCTION("""COMPUTED_VALUE"""),44820)</f>
        <v>44820</v>
      </c>
      <c r="C5990" t="str">
        <f ca="1">IFERROR(__xludf.DUMMYFUNCTION("""COMPUTED_VALUE"""),"БУ Г. ОМСКА ""УДХБ"" 197-РДО от 01.07.2022")</f>
        <v>БУ Г. ОМСКА "УДХБ" 197-РДО от 01.07.2022</v>
      </c>
      <c r="D59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0" t="str">
        <f ca="1">IFERROR(__xludf.DUMMYFUNCTION("""COMPUTED_VALUE"""),"Новый")</f>
        <v>Новый</v>
      </c>
      <c r="G5990" s="68"/>
      <c r="K5990" s="68"/>
    </row>
    <row r="5991" spans="1:11" ht="12.75">
      <c r="A5991" s="69">
        <f ca="1">IFERROR(__xludf.DUMMYFUNCTION("""COMPUTED_VALUE"""),107130)</f>
        <v>107130</v>
      </c>
      <c r="B5991" s="4">
        <f ca="1">IFERROR(__xludf.DUMMYFUNCTION("""COMPUTED_VALUE"""),44820)</f>
        <v>44820</v>
      </c>
      <c r="C5991" t="str">
        <f ca="1">IFERROR(__xludf.DUMMYFUNCTION("""COMPUTED_VALUE"""),"БУ Г. ОМСКА ""УДХБ"" 197-РДО от 01.07.2022")</f>
        <v>БУ Г. ОМСКА "УДХБ" 197-РДО от 01.07.2022</v>
      </c>
      <c r="D59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1" t="str">
        <f ca="1">IFERROR(__xludf.DUMMYFUNCTION("""COMPUTED_VALUE"""),"Новый")</f>
        <v>Новый</v>
      </c>
      <c r="G5991" s="68"/>
      <c r="K5991" s="68"/>
    </row>
    <row r="5992" spans="1:11" ht="12.75">
      <c r="A5992" s="69">
        <f ca="1">IFERROR(__xludf.DUMMYFUNCTION("""COMPUTED_VALUE"""),107131)</f>
        <v>107131</v>
      </c>
      <c r="B5992" s="4">
        <f ca="1">IFERROR(__xludf.DUMMYFUNCTION("""COMPUTED_VALUE"""),44820)</f>
        <v>44820</v>
      </c>
      <c r="C5992" t="str">
        <f ca="1">IFERROR(__xludf.DUMMYFUNCTION("""COMPUTED_VALUE"""),"БУ Г. ОМСКА ""УДХБ"" 197-РДО от 01.07.2022")</f>
        <v>БУ Г. ОМСКА "УДХБ" 197-РДО от 01.07.2022</v>
      </c>
      <c r="D59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2" t="str">
        <f ca="1">IFERROR(__xludf.DUMMYFUNCTION("""COMPUTED_VALUE"""),"Новый")</f>
        <v>Новый</v>
      </c>
      <c r="G5992" s="68"/>
      <c r="K5992" s="68"/>
    </row>
    <row r="5993" spans="1:11" ht="12.75">
      <c r="A5993" s="69">
        <f ca="1">IFERROR(__xludf.DUMMYFUNCTION("""COMPUTED_VALUE"""),107132)</f>
        <v>107132</v>
      </c>
      <c r="B5993" s="4">
        <f ca="1">IFERROR(__xludf.DUMMYFUNCTION("""COMPUTED_VALUE"""),44820)</f>
        <v>44820</v>
      </c>
      <c r="C5993" t="str">
        <f ca="1">IFERROR(__xludf.DUMMYFUNCTION("""COMPUTED_VALUE"""),"БУ Г. ОМСКА ""УДХБ"" 197-РДО от 01.07.2022")</f>
        <v>БУ Г. ОМСКА "УДХБ" 197-РДО от 01.07.2022</v>
      </c>
      <c r="D59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3" t="str">
        <f ca="1">IFERROR(__xludf.DUMMYFUNCTION("""COMPUTED_VALUE"""),"Новый")</f>
        <v>Новый</v>
      </c>
      <c r="G5993" s="68"/>
      <c r="K5993" s="68"/>
    </row>
    <row r="5994" spans="1:11" ht="12.75">
      <c r="A5994" s="69">
        <f ca="1">IFERROR(__xludf.DUMMYFUNCTION("""COMPUTED_VALUE"""),107133)</f>
        <v>107133</v>
      </c>
      <c r="B5994" s="4">
        <f ca="1">IFERROR(__xludf.DUMMYFUNCTION("""COMPUTED_VALUE"""),44820)</f>
        <v>44820</v>
      </c>
      <c r="C5994" t="str">
        <f ca="1">IFERROR(__xludf.DUMMYFUNCTION("""COMPUTED_VALUE"""),"БУ Г. ОМСКА ""УДХБ"" 197-РДО от 01.07.2022")</f>
        <v>БУ Г. ОМСКА "УДХБ" 197-РДО от 01.07.2022</v>
      </c>
      <c r="D59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4" t="str">
        <f ca="1">IFERROR(__xludf.DUMMYFUNCTION("""COMPUTED_VALUE"""),"Новый")</f>
        <v>Новый</v>
      </c>
      <c r="G5994" s="68"/>
      <c r="K5994" s="68"/>
    </row>
    <row r="5995" spans="1:11" ht="12.75">
      <c r="A5995" s="69">
        <f ca="1">IFERROR(__xludf.DUMMYFUNCTION("""COMPUTED_VALUE"""),107134)</f>
        <v>107134</v>
      </c>
      <c r="B5995" s="4">
        <f ca="1">IFERROR(__xludf.DUMMYFUNCTION("""COMPUTED_VALUE"""),44820)</f>
        <v>44820</v>
      </c>
      <c r="C5995" t="str">
        <f ca="1">IFERROR(__xludf.DUMMYFUNCTION("""COMPUTED_VALUE"""),"БУ Г. ОМСКА ""УДХБ"" 197-РДО от 01.07.2022")</f>
        <v>БУ Г. ОМСКА "УДХБ" 197-РДО от 01.07.2022</v>
      </c>
      <c r="D59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5" t="str">
        <f ca="1">IFERROR(__xludf.DUMMYFUNCTION("""COMPUTED_VALUE"""),"Новый")</f>
        <v>Новый</v>
      </c>
      <c r="G5995" s="68"/>
      <c r="K5995" s="68"/>
    </row>
    <row r="5996" spans="1:11" ht="12.75">
      <c r="A5996" s="69">
        <f ca="1">IFERROR(__xludf.DUMMYFUNCTION("""COMPUTED_VALUE"""),107135)</f>
        <v>107135</v>
      </c>
      <c r="B5996" s="4">
        <f ca="1">IFERROR(__xludf.DUMMYFUNCTION("""COMPUTED_VALUE"""),44820)</f>
        <v>44820</v>
      </c>
      <c r="C5996" t="str">
        <f ca="1">IFERROR(__xludf.DUMMYFUNCTION("""COMPUTED_VALUE"""),"БУ Г. ОМСКА ""УДХБ"" 197-РДО от 01.07.2022")</f>
        <v>БУ Г. ОМСКА "УДХБ" 197-РДО от 01.07.2022</v>
      </c>
      <c r="D59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6" t="str">
        <f ca="1">IFERROR(__xludf.DUMMYFUNCTION("""COMPUTED_VALUE"""),"Новый")</f>
        <v>Новый</v>
      </c>
      <c r="G5996" s="68"/>
      <c r="K5996" s="68"/>
    </row>
    <row r="5997" spans="1:11" ht="12.75">
      <c r="A5997" s="69">
        <f ca="1">IFERROR(__xludf.DUMMYFUNCTION("""COMPUTED_VALUE"""),107136)</f>
        <v>107136</v>
      </c>
      <c r="B5997" s="4">
        <f ca="1">IFERROR(__xludf.DUMMYFUNCTION("""COMPUTED_VALUE"""),44820)</f>
        <v>44820</v>
      </c>
      <c r="C5997" t="str">
        <f ca="1">IFERROR(__xludf.DUMMYFUNCTION("""COMPUTED_VALUE"""),"БУ Г. ОМСКА ""УДХБ"" 197-РДО от 01.07.2022")</f>
        <v>БУ Г. ОМСКА "УДХБ" 197-РДО от 01.07.2022</v>
      </c>
      <c r="D59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7" t="str">
        <f ca="1">IFERROR(__xludf.DUMMYFUNCTION("""COMPUTED_VALUE"""),"Новый")</f>
        <v>Новый</v>
      </c>
      <c r="G5997" s="68"/>
      <c r="K5997" s="68"/>
    </row>
    <row r="5998" spans="1:11" ht="12.75">
      <c r="A5998" s="69">
        <f ca="1">IFERROR(__xludf.DUMMYFUNCTION("""COMPUTED_VALUE"""),107137)</f>
        <v>107137</v>
      </c>
      <c r="B5998" s="4">
        <f ca="1">IFERROR(__xludf.DUMMYFUNCTION("""COMPUTED_VALUE"""),44820)</f>
        <v>44820</v>
      </c>
      <c r="C5998" t="str">
        <f ca="1">IFERROR(__xludf.DUMMYFUNCTION("""COMPUTED_VALUE"""),"БУ Г. ОМСКА ""УДХБ"" 197-РДО от 01.07.2022")</f>
        <v>БУ Г. ОМСКА "УДХБ" 197-РДО от 01.07.2022</v>
      </c>
      <c r="D59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8" t="str">
        <f ca="1">IFERROR(__xludf.DUMMYFUNCTION("""COMPUTED_VALUE"""),"Новый")</f>
        <v>Новый</v>
      </c>
      <c r="G5998" s="68"/>
      <c r="K5998" s="68"/>
    </row>
    <row r="5999" spans="1:11" ht="12.75">
      <c r="A5999" s="69">
        <f ca="1">IFERROR(__xludf.DUMMYFUNCTION("""COMPUTED_VALUE"""),107142)</f>
        <v>107142</v>
      </c>
      <c r="B5999" s="4">
        <f ca="1">IFERROR(__xludf.DUMMYFUNCTION("""COMPUTED_VALUE"""),44820)</f>
        <v>44820</v>
      </c>
      <c r="C5999" t="str">
        <f ca="1">IFERROR(__xludf.DUMMYFUNCTION("""COMPUTED_VALUE"""),"БУ Г. ОМСКА ""УДХБ"" 197-РДО от 01.07.2022")</f>
        <v>БУ Г. ОМСКА "УДХБ" 197-РДО от 01.07.2022</v>
      </c>
      <c r="D59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5999" t="str">
        <f ca="1">IFERROR(__xludf.DUMMYFUNCTION("""COMPUTED_VALUE"""),"Новый")</f>
        <v>Новый</v>
      </c>
      <c r="G5999" s="68"/>
      <c r="K5999" s="68"/>
    </row>
    <row r="6000" spans="1:11" ht="12.75">
      <c r="A6000" s="69">
        <f ca="1">IFERROR(__xludf.DUMMYFUNCTION("""COMPUTED_VALUE"""),107143)</f>
        <v>107143</v>
      </c>
      <c r="B6000" s="4">
        <f ca="1">IFERROR(__xludf.DUMMYFUNCTION("""COMPUTED_VALUE"""),44820)</f>
        <v>44820</v>
      </c>
      <c r="C6000" t="str">
        <f ca="1">IFERROR(__xludf.DUMMYFUNCTION("""COMPUTED_VALUE"""),"БУ Г. ОМСКА ""УДХБ"" 197-РДО от 01.07.2022")</f>
        <v>БУ Г. ОМСКА "УДХБ" 197-РДО от 01.07.2022</v>
      </c>
      <c r="D60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0" t="str">
        <f ca="1">IFERROR(__xludf.DUMMYFUNCTION("""COMPUTED_VALUE"""),"Новый")</f>
        <v>Новый</v>
      </c>
      <c r="G6000" s="68"/>
      <c r="K6000" s="68"/>
    </row>
    <row r="6001" spans="1:11" ht="12.75">
      <c r="A6001" s="69">
        <f ca="1">IFERROR(__xludf.DUMMYFUNCTION("""COMPUTED_VALUE"""),107144)</f>
        <v>107144</v>
      </c>
      <c r="B6001" s="4">
        <f ca="1">IFERROR(__xludf.DUMMYFUNCTION("""COMPUTED_VALUE"""),44820)</f>
        <v>44820</v>
      </c>
      <c r="C6001" t="str">
        <f ca="1">IFERROR(__xludf.DUMMYFUNCTION("""COMPUTED_VALUE"""),"БУ Г. ОМСКА ""УДХБ"" 197-РДО от 01.07.2022")</f>
        <v>БУ Г. ОМСКА "УДХБ" 197-РДО от 01.07.2022</v>
      </c>
      <c r="D60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1" t="str">
        <f ca="1">IFERROR(__xludf.DUMMYFUNCTION("""COMPUTED_VALUE"""),"Новый")</f>
        <v>Новый</v>
      </c>
      <c r="G6001" s="68"/>
      <c r="K6001" s="68"/>
    </row>
    <row r="6002" spans="1:11" ht="12.75">
      <c r="A6002" s="69">
        <f ca="1">IFERROR(__xludf.DUMMYFUNCTION("""COMPUTED_VALUE"""),107145)</f>
        <v>107145</v>
      </c>
      <c r="B6002" s="4">
        <f ca="1">IFERROR(__xludf.DUMMYFUNCTION("""COMPUTED_VALUE"""),44820)</f>
        <v>44820</v>
      </c>
      <c r="C6002" t="str">
        <f ca="1">IFERROR(__xludf.DUMMYFUNCTION("""COMPUTED_VALUE"""),"БУ Г. ОМСКА ""УДХБ"" 197-РДО от 01.07.2022")</f>
        <v>БУ Г. ОМСКА "УДХБ" 197-РДО от 01.07.2022</v>
      </c>
      <c r="D60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2" t="str">
        <f ca="1">IFERROR(__xludf.DUMMYFUNCTION("""COMPUTED_VALUE"""),"Новый")</f>
        <v>Новый</v>
      </c>
      <c r="G6002" s="68"/>
      <c r="K6002" s="68"/>
    </row>
    <row r="6003" spans="1:11" ht="12.75">
      <c r="A6003" s="69">
        <f ca="1">IFERROR(__xludf.DUMMYFUNCTION("""COMPUTED_VALUE"""),107146)</f>
        <v>107146</v>
      </c>
      <c r="B6003" s="4">
        <f ca="1">IFERROR(__xludf.DUMMYFUNCTION("""COMPUTED_VALUE"""),44820)</f>
        <v>44820</v>
      </c>
      <c r="C6003" t="str">
        <f ca="1">IFERROR(__xludf.DUMMYFUNCTION("""COMPUTED_VALUE"""),"БУ Г. ОМСКА ""УДХБ"" 197-РДО от 01.07.2022")</f>
        <v>БУ Г. ОМСКА "УДХБ" 197-РДО от 01.07.2022</v>
      </c>
      <c r="D60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3" t="str">
        <f ca="1">IFERROR(__xludf.DUMMYFUNCTION("""COMPUTED_VALUE"""),"Новый")</f>
        <v>Новый</v>
      </c>
      <c r="G6003" s="68"/>
      <c r="K6003" s="68"/>
    </row>
    <row r="6004" spans="1:11" ht="12.75">
      <c r="A6004" s="69">
        <f ca="1">IFERROR(__xludf.DUMMYFUNCTION("""COMPUTED_VALUE"""),107147)</f>
        <v>107147</v>
      </c>
      <c r="B6004" s="4">
        <f ca="1">IFERROR(__xludf.DUMMYFUNCTION("""COMPUTED_VALUE"""),44820)</f>
        <v>44820</v>
      </c>
      <c r="C6004" t="str">
        <f ca="1">IFERROR(__xludf.DUMMYFUNCTION("""COMPUTED_VALUE"""),"БУ Г. ОМСКА ""УДХБ"" 197-РДО от 01.07.2022")</f>
        <v>БУ Г. ОМСКА "УДХБ" 197-РДО от 01.07.2022</v>
      </c>
      <c r="D60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4" t="str">
        <f ca="1">IFERROR(__xludf.DUMMYFUNCTION("""COMPUTED_VALUE"""),"Новый")</f>
        <v>Новый</v>
      </c>
      <c r="G6004" s="68"/>
      <c r="K6004" s="68"/>
    </row>
    <row r="6005" spans="1:11" ht="12.75">
      <c r="A6005" s="69">
        <f ca="1">IFERROR(__xludf.DUMMYFUNCTION("""COMPUTED_VALUE"""),107148)</f>
        <v>107148</v>
      </c>
      <c r="B6005" s="4">
        <f ca="1">IFERROR(__xludf.DUMMYFUNCTION("""COMPUTED_VALUE"""),44820)</f>
        <v>44820</v>
      </c>
      <c r="C6005" t="str">
        <f ca="1">IFERROR(__xludf.DUMMYFUNCTION("""COMPUTED_VALUE"""),"БУ Г. ОМСКА ""УДХБ"" 197-РДО от 01.07.2022")</f>
        <v>БУ Г. ОМСКА "УДХБ" 197-РДО от 01.07.2022</v>
      </c>
      <c r="D60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5" t="str">
        <f ca="1">IFERROR(__xludf.DUMMYFUNCTION("""COMPUTED_VALUE"""),"Новый")</f>
        <v>Новый</v>
      </c>
      <c r="G6005" s="68"/>
      <c r="K6005" s="68"/>
    </row>
    <row r="6006" spans="1:11" ht="12.75">
      <c r="A6006" s="69">
        <f ca="1">IFERROR(__xludf.DUMMYFUNCTION("""COMPUTED_VALUE"""),107149)</f>
        <v>107149</v>
      </c>
      <c r="B6006" s="4">
        <f ca="1">IFERROR(__xludf.DUMMYFUNCTION("""COMPUTED_VALUE"""),44820)</f>
        <v>44820</v>
      </c>
      <c r="C6006" t="str">
        <f ca="1">IFERROR(__xludf.DUMMYFUNCTION("""COMPUTED_VALUE"""),"БУ Г. ОМСКА ""УДХБ"" 197-РДО от 01.07.2022")</f>
        <v>БУ Г. ОМСКА "УДХБ" 197-РДО от 01.07.2022</v>
      </c>
      <c r="D60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6" t="str">
        <f ca="1">IFERROR(__xludf.DUMMYFUNCTION("""COMPUTED_VALUE"""),"Новый")</f>
        <v>Новый</v>
      </c>
      <c r="G6006" s="68"/>
      <c r="K6006" s="68"/>
    </row>
    <row r="6007" spans="1:11" ht="12.75">
      <c r="A6007" s="69">
        <f ca="1">IFERROR(__xludf.DUMMYFUNCTION("""COMPUTED_VALUE"""),107150)</f>
        <v>107150</v>
      </c>
      <c r="B6007" s="4">
        <f ca="1">IFERROR(__xludf.DUMMYFUNCTION("""COMPUTED_VALUE"""),44820)</f>
        <v>44820</v>
      </c>
      <c r="C6007" t="str">
        <f ca="1">IFERROR(__xludf.DUMMYFUNCTION("""COMPUTED_VALUE"""),"БУ Г. ОМСКА ""УДХБ"" 197-РДО от 01.07.2022")</f>
        <v>БУ Г. ОМСКА "УДХБ" 197-РДО от 01.07.2022</v>
      </c>
      <c r="D60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7" t="str">
        <f ca="1">IFERROR(__xludf.DUMMYFUNCTION("""COMPUTED_VALUE"""),"Новый")</f>
        <v>Новый</v>
      </c>
      <c r="G6007" s="68"/>
      <c r="K6007" s="68"/>
    </row>
    <row r="6008" spans="1:11" ht="12.75">
      <c r="A6008" s="69">
        <f ca="1">IFERROR(__xludf.DUMMYFUNCTION("""COMPUTED_VALUE"""),107151)</f>
        <v>107151</v>
      </c>
      <c r="B6008" s="4">
        <f ca="1">IFERROR(__xludf.DUMMYFUNCTION("""COMPUTED_VALUE"""),44820)</f>
        <v>44820</v>
      </c>
      <c r="C6008" t="str">
        <f ca="1">IFERROR(__xludf.DUMMYFUNCTION("""COMPUTED_VALUE"""),"БУ Г. ОМСКА ""УДХБ"" 197-РДО от 01.07.2022")</f>
        <v>БУ Г. ОМСКА "УДХБ" 197-РДО от 01.07.2022</v>
      </c>
      <c r="D60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8" t="str">
        <f ca="1">IFERROR(__xludf.DUMMYFUNCTION("""COMPUTED_VALUE"""),"Новый")</f>
        <v>Новый</v>
      </c>
      <c r="G6008" s="68"/>
      <c r="K6008" s="68"/>
    </row>
    <row r="6009" spans="1:11" ht="12.75">
      <c r="A6009" s="69">
        <f ca="1">IFERROR(__xludf.DUMMYFUNCTION("""COMPUTED_VALUE"""),107152)</f>
        <v>107152</v>
      </c>
      <c r="B6009" s="4">
        <f ca="1">IFERROR(__xludf.DUMMYFUNCTION("""COMPUTED_VALUE"""),44820)</f>
        <v>44820</v>
      </c>
      <c r="C6009" t="str">
        <f ca="1">IFERROR(__xludf.DUMMYFUNCTION("""COMPUTED_VALUE"""),"БУ Г. ОМСКА ""УДХБ"" 197-РДО от 01.07.2022")</f>
        <v>БУ Г. ОМСКА "УДХБ" 197-РДО от 01.07.2022</v>
      </c>
      <c r="D60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09" t="str">
        <f ca="1">IFERROR(__xludf.DUMMYFUNCTION("""COMPUTED_VALUE"""),"Новый")</f>
        <v>Новый</v>
      </c>
      <c r="G6009" s="68"/>
      <c r="K6009" s="68"/>
    </row>
    <row r="6010" spans="1:11" ht="12.75">
      <c r="A6010" s="69">
        <f ca="1">IFERROR(__xludf.DUMMYFUNCTION("""COMPUTED_VALUE"""),107153)</f>
        <v>107153</v>
      </c>
      <c r="B6010" s="4">
        <f ca="1">IFERROR(__xludf.DUMMYFUNCTION("""COMPUTED_VALUE"""),44820)</f>
        <v>44820</v>
      </c>
      <c r="C6010" t="str">
        <f ca="1">IFERROR(__xludf.DUMMYFUNCTION("""COMPUTED_VALUE"""),"БУ Г. ОМСКА ""УДХБ"" 197-РДО от 01.07.2022")</f>
        <v>БУ Г. ОМСКА "УДХБ" 197-РДО от 01.07.2022</v>
      </c>
      <c r="D60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0" t="str">
        <f ca="1">IFERROR(__xludf.DUMMYFUNCTION("""COMPUTED_VALUE"""),"Новый")</f>
        <v>Новый</v>
      </c>
      <c r="G6010" s="68"/>
      <c r="K6010" s="68"/>
    </row>
    <row r="6011" spans="1:11" ht="12.75">
      <c r="A6011" s="69">
        <f ca="1">IFERROR(__xludf.DUMMYFUNCTION("""COMPUTED_VALUE"""),107154)</f>
        <v>107154</v>
      </c>
      <c r="B6011" s="4">
        <f ca="1">IFERROR(__xludf.DUMMYFUNCTION("""COMPUTED_VALUE"""),44820)</f>
        <v>44820</v>
      </c>
      <c r="C6011" t="str">
        <f ca="1">IFERROR(__xludf.DUMMYFUNCTION("""COMPUTED_VALUE"""),"БУ Г. ОМСКА ""УДХБ"" 197-РДО от 01.07.2022")</f>
        <v>БУ Г. ОМСКА "УДХБ" 197-РДО от 01.07.2022</v>
      </c>
      <c r="D60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1" t="str">
        <f ca="1">IFERROR(__xludf.DUMMYFUNCTION("""COMPUTED_VALUE"""),"Новый")</f>
        <v>Новый</v>
      </c>
      <c r="G6011" s="68"/>
      <c r="K6011" s="68"/>
    </row>
    <row r="6012" spans="1:11" ht="12.75">
      <c r="A6012" s="69">
        <f ca="1">IFERROR(__xludf.DUMMYFUNCTION("""COMPUTED_VALUE"""),107155)</f>
        <v>107155</v>
      </c>
      <c r="B6012" s="4">
        <f ca="1">IFERROR(__xludf.DUMMYFUNCTION("""COMPUTED_VALUE"""),44820)</f>
        <v>44820</v>
      </c>
      <c r="C6012" t="str">
        <f ca="1">IFERROR(__xludf.DUMMYFUNCTION("""COMPUTED_VALUE"""),"БУ Г. ОМСКА ""УДХБ"" 197-РДО от 01.07.2022")</f>
        <v>БУ Г. ОМСКА "УДХБ" 197-РДО от 01.07.2022</v>
      </c>
      <c r="D60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2" t="str">
        <f ca="1">IFERROR(__xludf.DUMMYFUNCTION("""COMPUTED_VALUE"""),"Новый")</f>
        <v>Новый</v>
      </c>
      <c r="G6012" s="68"/>
      <c r="K6012" s="68"/>
    </row>
    <row r="6013" spans="1:11" ht="12.75">
      <c r="A6013" s="69">
        <f ca="1">IFERROR(__xludf.DUMMYFUNCTION("""COMPUTED_VALUE"""),107156)</f>
        <v>107156</v>
      </c>
      <c r="B6013" s="4">
        <f ca="1">IFERROR(__xludf.DUMMYFUNCTION("""COMPUTED_VALUE"""),44820)</f>
        <v>44820</v>
      </c>
      <c r="C6013" t="str">
        <f ca="1">IFERROR(__xludf.DUMMYFUNCTION("""COMPUTED_VALUE"""),"БУ Г. ОМСКА ""УДХБ"" 197-РДО от 01.07.2022")</f>
        <v>БУ Г. ОМСКА "УДХБ" 197-РДО от 01.07.2022</v>
      </c>
      <c r="D60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3" t="str">
        <f ca="1">IFERROR(__xludf.DUMMYFUNCTION("""COMPUTED_VALUE"""),"Новый")</f>
        <v>Новый</v>
      </c>
      <c r="G6013" s="68"/>
      <c r="K6013" s="68"/>
    </row>
    <row r="6014" spans="1:11" ht="12.75">
      <c r="A6014" s="69">
        <f ca="1">IFERROR(__xludf.DUMMYFUNCTION("""COMPUTED_VALUE"""),107157)</f>
        <v>107157</v>
      </c>
      <c r="B6014" s="4">
        <f ca="1">IFERROR(__xludf.DUMMYFUNCTION("""COMPUTED_VALUE"""),44820)</f>
        <v>44820</v>
      </c>
      <c r="C6014" t="str">
        <f ca="1">IFERROR(__xludf.DUMMYFUNCTION("""COMPUTED_VALUE"""),"БУ Г. ОМСКА ""УДХБ"" 197-РДО от 01.07.2022")</f>
        <v>БУ Г. ОМСКА "УДХБ" 197-РДО от 01.07.2022</v>
      </c>
      <c r="D60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4" t="str">
        <f ca="1">IFERROR(__xludf.DUMMYFUNCTION("""COMPUTED_VALUE"""),"Новый")</f>
        <v>Новый</v>
      </c>
      <c r="G6014" s="68"/>
      <c r="K6014" s="68"/>
    </row>
    <row r="6015" spans="1:11" ht="12.75">
      <c r="A6015" s="69">
        <f ca="1">IFERROR(__xludf.DUMMYFUNCTION("""COMPUTED_VALUE"""),107158)</f>
        <v>107158</v>
      </c>
      <c r="B6015" s="4">
        <f ca="1">IFERROR(__xludf.DUMMYFUNCTION("""COMPUTED_VALUE"""),44820)</f>
        <v>44820</v>
      </c>
      <c r="C6015" t="str">
        <f ca="1">IFERROR(__xludf.DUMMYFUNCTION("""COMPUTED_VALUE"""),"БУ Г. ОМСКА ""УДХБ"" 197-РДО от 01.07.2022")</f>
        <v>БУ Г. ОМСКА "УДХБ" 197-РДО от 01.07.2022</v>
      </c>
      <c r="D60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5" t="str">
        <f ca="1">IFERROR(__xludf.DUMMYFUNCTION("""COMPUTED_VALUE"""),"Новый")</f>
        <v>Новый</v>
      </c>
      <c r="G6015" s="68"/>
      <c r="K6015" s="68"/>
    </row>
    <row r="6016" spans="1:11" ht="12.75">
      <c r="A6016" s="69">
        <f ca="1">IFERROR(__xludf.DUMMYFUNCTION("""COMPUTED_VALUE"""),107159)</f>
        <v>107159</v>
      </c>
      <c r="B6016" s="4">
        <f ca="1">IFERROR(__xludf.DUMMYFUNCTION("""COMPUTED_VALUE"""),44820)</f>
        <v>44820</v>
      </c>
      <c r="C6016" t="str">
        <f ca="1">IFERROR(__xludf.DUMMYFUNCTION("""COMPUTED_VALUE"""),"БУ Г. ОМСКА ""УДХБ"" 197-РДО от 01.07.2022")</f>
        <v>БУ Г. ОМСКА "УДХБ" 197-РДО от 01.07.2022</v>
      </c>
      <c r="D60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6" t="str">
        <f ca="1">IFERROR(__xludf.DUMMYFUNCTION("""COMPUTED_VALUE"""),"Новый")</f>
        <v>Новый</v>
      </c>
      <c r="G6016" s="68"/>
      <c r="K6016" s="68"/>
    </row>
    <row r="6017" spans="1:11" ht="12.75">
      <c r="A6017" s="69">
        <f ca="1">IFERROR(__xludf.DUMMYFUNCTION("""COMPUTED_VALUE"""),107160)</f>
        <v>107160</v>
      </c>
      <c r="B6017" s="4">
        <f ca="1">IFERROR(__xludf.DUMMYFUNCTION("""COMPUTED_VALUE"""),44820)</f>
        <v>44820</v>
      </c>
      <c r="C6017" t="str">
        <f ca="1">IFERROR(__xludf.DUMMYFUNCTION("""COMPUTED_VALUE"""),"БУ Г. ОМСКА ""УДХБ"" 197-РДО от 01.07.2022")</f>
        <v>БУ Г. ОМСКА "УДХБ" 197-РДО от 01.07.2022</v>
      </c>
      <c r="D60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7" t="str">
        <f ca="1">IFERROR(__xludf.DUMMYFUNCTION("""COMPUTED_VALUE"""),"Новый")</f>
        <v>Новый</v>
      </c>
      <c r="G6017" s="68"/>
      <c r="K6017" s="68"/>
    </row>
    <row r="6018" spans="1:11" ht="12.75">
      <c r="A6018" s="69">
        <f ca="1">IFERROR(__xludf.DUMMYFUNCTION("""COMPUTED_VALUE"""),107161)</f>
        <v>107161</v>
      </c>
      <c r="B6018" s="4">
        <f ca="1">IFERROR(__xludf.DUMMYFUNCTION("""COMPUTED_VALUE"""),44820)</f>
        <v>44820</v>
      </c>
      <c r="C6018" t="str">
        <f ca="1">IFERROR(__xludf.DUMMYFUNCTION("""COMPUTED_VALUE"""),"БУ Г. ОМСКА ""УДХБ"" 197-РДО от 01.07.2022")</f>
        <v>БУ Г. ОМСКА "УДХБ" 197-РДО от 01.07.2022</v>
      </c>
      <c r="D60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8" t="str">
        <f ca="1">IFERROR(__xludf.DUMMYFUNCTION("""COMPUTED_VALUE"""),"Новый")</f>
        <v>Новый</v>
      </c>
      <c r="G6018" s="68"/>
      <c r="K6018" s="68"/>
    </row>
    <row r="6019" spans="1:11" ht="12.75">
      <c r="A6019" s="69">
        <f ca="1">IFERROR(__xludf.DUMMYFUNCTION("""COMPUTED_VALUE"""),107162)</f>
        <v>107162</v>
      </c>
      <c r="B6019" s="4">
        <f ca="1">IFERROR(__xludf.DUMMYFUNCTION("""COMPUTED_VALUE"""),44820)</f>
        <v>44820</v>
      </c>
      <c r="C6019" t="str">
        <f ca="1">IFERROR(__xludf.DUMMYFUNCTION("""COMPUTED_VALUE"""),"БУ Г. ОМСКА ""УДХБ"" 197-РДО от 01.07.2022")</f>
        <v>БУ Г. ОМСКА "УДХБ" 197-РДО от 01.07.2022</v>
      </c>
      <c r="D60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19" t="str">
        <f ca="1">IFERROR(__xludf.DUMMYFUNCTION("""COMPUTED_VALUE"""),"Новый")</f>
        <v>Новый</v>
      </c>
      <c r="G6019" s="68"/>
      <c r="K6019" s="68"/>
    </row>
    <row r="6020" spans="1:11" ht="12.75">
      <c r="A6020" s="69">
        <f ca="1">IFERROR(__xludf.DUMMYFUNCTION("""COMPUTED_VALUE"""),107163)</f>
        <v>107163</v>
      </c>
      <c r="B6020" s="4">
        <f ca="1">IFERROR(__xludf.DUMMYFUNCTION("""COMPUTED_VALUE"""),44820)</f>
        <v>44820</v>
      </c>
      <c r="C6020" t="str">
        <f ca="1">IFERROR(__xludf.DUMMYFUNCTION("""COMPUTED_VALUE"""),"БУ Г. ОМСКА ""УДХБ"" 197-РДО от 01.07.2022")</f>
        <v>БУ Г. ОМСКА "УДХБ" 197-РДО от 01.07.2022</v>
      </c>
      <c r="D60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0" t="str">
        <f ca="1">IFERROR(__xludf.DUMMYFUNCTION("""COMPUTED_VALUE"""),"Новый")</f>
        <v>Новый</v>
      </c>
      <c r="G6020" s="68"/>
      <c r="K6020" s="68"/>
    </row>
    <row r="6021" spans="1:11" ht="12.75">
      <c r="A6021" s="69">
        <f ca="1">IFERROR(__xludf.DUMMYFUNCTION("""COMPUTED_VALUE"""),107164)</f>
        <v>107164</v>
      </c>
      <c r="B6021" s="4">
        <f ca="1">IFERROR(__xludf.DUMMYFUNCTION("""COMPUTED_VALUE"""),44820)</f>
        <v>44820</v>
      </c>
      <c r="C6021" t="str">
        <f ca="1">IFERROR(__xludf.DUMMYFUNCTION("""COMPUTED_VALUE"""),"БУ Г. ОМСКА ""УДХБ"" 197-РДО от 01.07.2022")</f>
        <v>БУ Г. ОМСКА "УДХБ" 197-РДО от 01.07.2022</v>
      </c>
      <c r="D60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1" t="str">
        <f ca="1">IFERROR(__xludf.DUMMYFUNCTION("""COMPUTED_VALUE"""),"Новый")</f>
        <v>Новый</v>
      </c>
      <c r="G6021" s="68"/>
      <c r="K6021" s="68"/>
    </row>
    <row r="6022" spans="1:11" ht="12.75">
      <c r="A6022" s="69">
        <f ca="1">IFERROR(__xludf.DUMMYFUNCTION("""COMPUTED_VALUE"""),107165)</f>
        <v>107165</v>
      </c>
      <c r="B6022" s="4">
        <f ca="1">IFERROR(__xludf.DUMMYFUNCTION("""COMPUTED_VALUE"""),44820)</f>
        <v>44820</v>
      </c>
      <c r="C6022" t="str">
        <f ca="1">IFERROR(__xludf.DUMMYFUNCTION("""COMPUTED_VALUE"""),"БУ Г. ОМСКА ""УДХБ"" 197-РДО от 01.07.2022")</f>
        <v>БУ Г. ОМСКА "УДХБ" 197-РДО от 01.07.2022</v>
      </c>
      <c r="D60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2" t="str">
        <f ca="1">IFERROR(__xludf.DUMMYFUNCTION("""COMPUTED_VALUE"""),"Новый")</f>
        <v>Новый</v>
      </c>
      <c r="G6022" s="68"/>
      <c r="K6022" s="68"/>
    </row>
    <row r="6023" spans="1:11" ht="12.75">
      <c r="A6023" s="69">
        <f ca="1">IFERROR(__xludf.DUMMYFUNCTION("""COMPUTED_VALUE"""),107166)</f>
        <v>107166</v>
      </c>
      <c r="B6023" s="4">
        <f ca="1">IFERROR(__xludf.DUMMYFUNCTION("""COMPUTED_VALUE"""),44820)</f>
        <v>44820</v>
      </c>
      <c r="C6023" t="str">
        <f ca="1">IFERROR(__xludf.DUMMYFUNCTION("""COMPUTED_VALUE"""),"БУ Г. ОМСКА ""УДХБ"" 197-РДО от 01.07.2022")</f>
        <v>БУ Г. ОМСКА "УДХБ" 197-РДО от 01.07.2022</v>
      </c>
      <c r="D60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3" t="str">
        <f ca="1">IFERROR(__xludf.DUMMYFUNCTION("""COMPUTED_VALUE"""),"Новый")</f>
        <v>Новый</v>
      </c>
      <c r="G6023" s="68"/>
      <c r="K6023" s="68"/>
    </row>
    <row r="6024" spans="1:11" ht="12.75">
      <c r="A6024" s="69">
        <f ca="1">IFERROR(__xludf.DUMMYFUNCTION("""COMPUTED_VALUE"""),107167)</f>
        <v>107167</v>
      </c>
      <c r="B6024" s="4">
        <f ca="1">IFERROR(__xludf.DUMMYFUNCTION("""COMPUTED_VALUE"""),44820)</f>
        <v>44820</v>
      </c>
      <c r="C6024" t="str">
        <f ca="1">IFERROR(__xludf.DUMMYFUNCTION("""COMPUTED_VALUE"""),"БУ Г. ОМСКА ""УДХБ"" 197-РДО от 01.07.2022")</f>
        <v>БУ Г. ОМСКА "УДХБ" 197-РДО от 01.07.2022</v>
      </c>
      <c r="D60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4" t="str">
        <f ca="1">IFERROR(__xludf.DUMMYFUNCTION("""COMPUTED_VALUE"""),"Новый")</f>
        <v>Новый</v>
      </c>
      <c r="G6024" s="68"/>
      <c r="K6024" s="68"/>
    </row>
    <row r="6025" spans="1:11" ht="12.75">
      <c r="A6025" s="69">
        <f ca="1">IFERROR(__xludf.DUMMYFUNCTION("""COMPUTED_VALUE"""),107170)</f>
        <v>107170</v>
      </c>
      <c r="B6025" s="4">
        <f ca="1">IFERROR(__xludf.DUMMYFUNCTION("""COMPUTED_VALUE"""),44820)</f>
        <v>44820</v>
      </c>
      <c r="C6025" t="str">
        <f ca="1">IFERROR(__xludf.DUMMYFUNCTION("""COMPUTED_VALUE"""),"БУ Г. ОМСКА ""УДХБ"" 197-РДО от 01.07.2022")</f>
        <v>БУ Г. ОМСКА "УДХБ" 197-РДО от 01.07.2022</v>
      </c>
      <c r="D60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5" t="str">
        <f ca="1">IFERROR(__xludf.DUMMYFUNCTION("""COMPUTED_VALUE"""),"Новый")</f>
        <v>Новый</v>
      </c>
      <c r="G6025" s="68"/>
      <c r="K6025" s="68"/>
    </row>
    <row r="6026" spans="1:11" ht="12.75">
      <c r="A6026" s="69">
        <f ca="1">IFERROR(__xludf.DUMMYFUNCTION("""COMPUTED_VALUE"""),107171)</f>
        <v>107171</v>
      </c>
      <c r="B6026" s="4">
        <f ca="1">IFERROR(__xludf.DUMMYFUNCTION("""COMPUTED_VALUE"""),44820)</f>
        <v>44820</v>
      </c>
      <c r="C6026" t="str">
        <f ca="1">IFERROR(__xludf.DUMMYFUNCTION("""COMPUTED_VALUE"""),"БУ Г. ОМСКА ""УДХБ"" 197-РДО от 01.07.2022")</f>
        <v>БУ Г. ОМСКА "УДХБ" 197-РДО от 01.07.2022</v>
      </c>
      <c r="D60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6" t="str">
        <f ca="1">IFERROR(__xludf.DUMMYFUNCTION("""COMPUTED_VALUE"""),"Новый")</f>
        <v>Новый</v>
      </c>
      <c r="G6026" s="68"/>
      <c r="K6026" s="68"/>
    </row>
    <row r="6027" spans="1:11" ht="12.75">
      <c r="A6027" s="69">
        <f ca="1">IFERROR(__xludf.DUMMYFUNCTION("""COMPUTED_VALUE"""),107226)</f>
        <v>107226</v>
      </c>
      <c r="B6027" s="4">
        <f ca="1">IFERROR(__xludf.DUMMYFUNCTION("""COMPUTED_VALUE"""),44820)</f>
        <v>44820</v>
      </c>
      <c r="C6027" t="str">
        <f ca="1">IFERROR(__xludf.DUMMYFUNCTION("""COMPUTED_VALUE"""),"БУ Г. ОМСКА ""УДХБ"" 197-РДО от 01.07.2022")</f>
        <v>БУ Г. ОМСКА "УДХБ" 197-РДО от 01.07.2022</v>
      </c>
      <c r="D60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7" t="str">
        <f ca="1">IFERROR(__xludf.DUMMYFUNCTION("""COMPUTED_VALUE"""),"Новый")</f>
        <v>Новый</v>
      </c>
      <c r="G6027" s="68"/>
      <c r="K6027" s="68"/>
    </row>
    <row r="6028" spans="1:11" ht="12.75">
      <c r="A6028" s="69">
        <f ca="1">IFERROR(__xludf.DUMMYFUNCTION("""COMPUTED_VALUE"""),107227)</f>
        <v>107227</v>
      </c>
      <c r="B6028" s="4">
        <f ca="1">IFERROR(__xludf.DUMMYFUNCTION("""COMPUTED_VALUE"""),44820)</f>
        <v>44820</v>
      </c>
      <c r="C6028" t="str">
        <f ca="1">IFERROR(__xludf.DUMMYFUNCTION("""COMPUTED_VALUE"""),"БУ Г. ОМСКА ""УДХБ"" 197-РДО от 01.07.2022")</f>
        <v>БУ Г. ОМСКА "УДХБ" 197-РДО от 01.07.2022</v>
      </c>
      <c r="D60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8" t="str">
        <f ca="1">IFERROR(__xludf.DUMMYFUNCTION("""COMPUTED_VALUE"""),"Новый")</f>
        <v>Новый</v>
      </c>
      <c r="G6028" s="68"/>
      <c r="K6028" s="68"/>
    </row>
    <row r="6029" spans="1:11" ht="12.75">
      <c r="A6029" s="69">
        <f ca="1">IFERROR(__xludf.DUMMYFUNCTION("""COMPUTED_VALUE"""),107228)</f>
        <v>107228</v>
      </c>
      <c r="B6029" s="4">
        <f ca="1">IFERROR(__xludf.DUMMYFUNCTION("""COMPUTED_VALUE"""),44820)</f>
        <v>44820</v>
      </c>
      <c r="C6029" t="str">
        <f ca="1">IFERROR(__xludf.DUMMYFUNCTION("""COMPUTED_VALUE"""),"БУ Г. ОМСКА ""УДХБ"" 197-РДО от 01.07.2022")</f>
        <v>БУ Г. ОМСКА "УДХБ" 197-РДО от 01.07.2022</v>
      </c>
      <c r="D60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29" t="str">
        <f ca="1">IFERROR(__xludf.DUMMYFUNCTION("""COMPUTED_VALUE"""),"Новый")</f>
        <v>Новый</v>
      </c>
      <c r="G6029" s="68"/>
      <c r="K6029" s="68"/>
    </row>
    <row r="6030" spans="1:11" ht="12.75">
      <c r="A6030" s="69">
        <f ca="1">IFERROR(__xludf.DUMMYFUNCTION("""COMPUTED_VALUE"""),107229)</f>
        <v>107229</v>
      </c>
      <c r="B6030" s="4">
        <f ca="1">IFERROR(__xludf.DUMMYFUNCTION("""COMPUTED_VALUE"""),44820)</f>
        <v>44820</v>
      </c>
      <c r="C6030" t="str">
        <f ca="1">IFERROR(__xludf.DUMMYFUNCTION("""COMPUTED_VALUE"""),"БУ Г. ОМСКА ""УДХБ"" 197-РДО от 01.07.2022")</f>
        <v>БУ Г. ОМСКА "УДХБ" 197-РДО от 01.07.2022</v>
      </c>
      <c r="D60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0" t="str">
        <f ca="1">IFERROR(__xludf.DUMMYFUNCTION("""COMPUTED_VALUE"""),"Новый")</f>
        <v>Новый</v>
      </c>
      <c r="G6030" s="68"/>
      <c r="K6030" s="68"/>
    </row>
    <row r="6031" spans="1:11" ht="12.75">
      <c r="A6031" s="69">
        <f ca="1">IFERROR(__xludf.DUMMYFUNCTION("""COMPUTED_VALUE"""),107240)</f>
        <v>107240</v>
      </c>
      <c r="B6031" s="4">
        <f ca="1">IFERROR(__xludf.DUMMYFUNCTION("""COMPUTED_VALUE"""),44823)</f>
        <v>44823</v>
      </c>
      <c r="C6031" t="str">
        <f ca="1">IFERROR(__xludf.DUMMYFUNCTION("""COMPUTED_VALUE"""),"Омскэлектро, АО 207-РДО от 08.08.2022")</f>
        <v>Омскэлектро, АО 207-РДО от 08.08.2022</v>
      </c>
      <c r="D60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1" t="str">
        <f ca="1">IFERROR(__xludf.DUMMYFUNCTION("""COMPUTED_VALUE"""),"Новый")</f>
        <v>Новый</v>
      </c>
      <c r="G6031" s="68"/>
      <c r="K6031" s="68"/>
    </row>
    <row r="6032" spans="1:11" ht="12.75">
      <c r="A6032" s="69">
        <f ca="1">IFERROR(__xludf.DUMMYFUNCTION("""COMPUTED_VALUE"""),107244)</f>
        <v>107244</v>
      </c>
      <c r="B6032" s="4">
        <f ca="1">IFERROR(__xludf.DUMMYFUNCTION("""COMPUTED_VALUE"""),44823)</f>
        <v>44823</v>
      </c>
      <c r="C6032" t="str">
        <f ca="1">IFERROR(__xludf.DUMMYFUNCTION("""COMPUTED_VALUE"""),"Омскэлектро, АО 207-РДО от 08.08.2022")</f>
        <v>Омскэлектро, АО 207-РДО от 08.08.2022</v>
      </c>
      <c r="D60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2" t="str">
        <f ca="1">IFERROR(__xludf.DUMMYFUNCTION("""COMPUTED_VALUE"""),"Новый")</f>
        <v>Новый</v>
      </c>
      <c r="G6032" s="68"/>
      <c r="K6032" s="68"/>
    </row>
    <row r="6033" spans="1:11" ht="12.75">
      <c r="A6033" s="69">
        <f ca="1">IFERROR(__xludf.DUMMYFUNCTION("""COMPUTED_VALUE"""),107246)</f>
        <v>107246</v>
      </c>
      <c r="B6033" s="4">
        <f ca="1">IFERROR(__xludf.DUMMYFUNCTION("""COMPUTED_VALUE"""),44823)</f>
        <v>44823</v>
      </c>
      <c r="C6033" t="str">
        <f ca="1">IFERROR(__xludf.DUMMYFUNCTION("""COMPUTED_VALUE"""),"Омскэлектро, АО 207-РДО от 08.08.2022")</f>
        <v>Омскэлектро, АО 207-РДО от 08.08.2022</v>
      </c>
      <c r="D60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3" t="str">
        <f ca="1">IFERROR(__xludf.DUMMYFUNCTION("""COMPUTED_VALUE"""),"Новый")</f>
        <v>Новый</v>
      </c>
      <c r="G6033" s="68"/>
      <c r="K6033" s="68"/>
    </row>
    <row r="6034" spans="1:11" ht="12.75">
      <c r="A6034" s="69">
        <f ca="1">IFERROR(__xludf.DUMMYFUNCTION("""COMPUTED_VALUE"""),107247)</f>
        <v>107247</v>
      </c>
      <c r="B6034" s="4">
        <f ca="1">IFERROR(__xludf.DUMMYFUNCTION("""COMPUTED_VALUE"""),44823)</f>
        <v>44823</v>
      </c>
      <c r="C6034" t="str">
        <f ca="1">IFERROR(__xludf.DUMMYFUNCTION("""COMPUTED_VALUE"""),"Омскэлектро, АО 207-РДО от 08.08.2022")</f>
        <v>Омскэлектро, АО 207-РДО от 08.08.2022</v>
      </c>
      <c r="D60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4" t="str">
        <f ca="1">IFERROR(__xludf.DUMMYFUNCTION("""COMPUTED_VALUE"""),"Новый")</f>
        <v>Новый</v>
      </c>
      <c r="G6034" s="68"/>
      <c r="K6034" s="68"/>
    </row>
    <row r="6035" spans="1:11" ht="12.75">
      <c r="A6035" s="69">
        <f ca="1">IFERROR(__xludf.DUMMYFUNCTION("""COMPUTED_VALUE"""),107250)</f>
        <v>107250</v>
      </c>
      <c r="B6035" s="4">
        <f ca="1">IFERROR(__xludf.DUMMYFUNCTION("""COMPUTED_VALUE"""),44823)</f>
        <v>44823</v>
      </c>
      <c r="C6035" t="str">
        <f ca="1">IFERROR(__xludf.DUMMYFUNCTION("""COMPUTED_VALUE"""),"Омскэлектро, АО 207-РДО от 08.08.2022")</f>
        <v>Омскэлектро, АО 207-РДО от 08.08.2022</v>
      </c>
      <c r="D60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5" t="str">
        <f ca="1">IFERROR(__xludf.DUMMYFUNCTION("""COMPUTED_VALUE"""),"Новый")</f>
        <v>Новый</v>
      </c>
      <c r="G6035" s="68"/>
      <c r="K6035" s="68"/>
    </row>
    <row r="6036" spans="1:11" ht="12.75">
      <c r="A6036" s="69">
        <f ca="1">IFERROR(__xludf.DUMMYFUNCTION("""COMPUTED_VALUE"""),107252)</f>
        <v>107252</v>
      </c>
      <c r="B6036" s="4">
        <f ca="1">IFERROR(__xludf.DUMMYFUNCTION("""COMPUTED_VALUE"""),44823)</f>
        <v>44823</v>
      </c>
      <c r="C6036" t="str">
        <f ca="1">IFERROR(__xludf.DUMMYFUNCTION("""COMPUTED_VALUE"""),"Омскэлектро, АО 207-РДО от 08.08.2022")</f>
        <v>Омскэлектро, АО 207-РДО от 08.08.2022</v>
      </c>
      <c r="D60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6" t="str">
        <f ca="1">IFERROR(__xludf.DUMMYFUNCTION("""COMPUTED_VALUE"""),"Новый")</f>
        <v>Новый</v>
      </c>
      <c r="G6036" s="68"/>
      <c r="K6036" s="68"/>
    </row>
    <row r="6037" spans="1:11" ht="12.75">
      <c r="A6037" s="69">
        <f ca="1">IFERROR(__xludf.DUMMYFUNCTION("""COMPUTED_VALUE"""),107253)</f>
        <v>107253</v>
      </c>
      <c r="B6037" s="4">
        <f ca="1">IFERROR(__xludf.DUMMYFUNCTION("""COMPUTED_VALUE"""),44823)</f>
        <v>44823</v>
      </c>
      <c r="C6037" t="str">
        <f ca="1">IFERROR(__xludf.DUMMYFUNCTION("""COMPUTED_VALUE"""),"Омскэлектро, АО 207-РДО от 08.08.2022")</f>
        <v>Омскэлектро, АО 207-РДО от 08.08.2022</v>
      </c>
      <c r="D60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7" t="str">
        <f ca="1">IFERROR(__xludf.DUMMYFUNCTION("""COMPUTED_VALUE"""),"Новый")</f>
        <v>Новый</v>
      </c>
      <c r="G6037" s="68"/>
      <c r="K6037" s="68"/>
    </row>
    <row r="6038" spans="1:11" ht="12.75">
      <c r="A6038" s="69">
        <f ca="1">IFERROR(__xludf.DUMMYFUNCTION("""COMPUTED_VALUE"""),107254)</f>
        <v>107254</v>
      </c>
      <c r="B6038" s="4">
        <f ca="1">IFERROR(__xludf.DUMMYFUNCTION("""COMPUTED_VALUE"""),44823)</f>
        <v>44823</v>
      </c>
      <c r="C6038" t="str">
        <f ca="1">IFERROR(__xludf.DUMMYFUNCTION("""COMPUTED_VALUE"""),"Омскэлектро, АО 207-РДО от 08.08.2022")</f>
        <v>Омскэлектро, АО 207-РДО от 08.08.2022</v>
      </c>
      <c r="D60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8" t="str">
        <f ca="1">IFERROR(__xludf.DUMMYFUNCTION("""COMPUTED_VALUE"""),"Новый")</f>
        <v>Новый</v>
      </c>
      <c r="G6038" s="68"/>
      <c r="K6038" s="68"/>
    </row>
    <row r="6039" spans="1:11" ht="12.75">
      <c r="A6039" s="69">
        <f ca="1">IFERROR(__xludf.DUMMYFUNCTION("""COMPUTED_VALUE"""),107255)</f>
        <v>107255</v>
      </c>
      <c r="B6039" s="4">
        <f ca="1">IFERROR(__xludf.DUMMYFUNCTION("""COMPUTED_VALUE"""),44823)</f>
        <v>44823</v>
      </c>
      <c r="C6039" t="str">
        <f ca="1">IFERROR(__xludf.DUMMYFUNCTION("""COMPUTED_VALUE"""),"Омскэлектро, АО 207-РДО от 08.08.2022")</f>
        <v>Омскэлектро, АО 207-РДО от 08.08.2022</v>
      </c>
      <c r="D60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39" t="str">
        <f ca="1">IFERROR(__xludf.DUMMYFUNCTION("""COMPUTED_VALUE"""),"Новый")</f>
        <v>Новый</v>
      </c>
      <c r="G6039" s="68"/>
      <c r="K6039" s="68"/>
    </row>
    <row r="6040" spans="1:11" ht="12.75">
      <c r="A6040" s="69">
        <f ca="1">IFERROR(__xludf.DUMMYFUNCTION("""COMPUTED_VALUE"""),107256)</f>
        <v>107256</v>
      </c>
      <c r="B6040" s="4">
        <f ca="1">IFERROR(__xludf.DUMMYFUNCTION("""COMPUTED_VALUE"""),44823)</f>
        <v>44823</v>
      </c>
      <c r="C6040" t="str">
        <f ca="1">IFERROR(__xludf.DUMMYFUNCTION("""COMPUTED_VALUE"""),"Омскэлектро, АО 207-РДО от 08.08.2022")</f>
        <v>Омскэлектро, АО 207-РДО от 08.08.2022</v>
      </c>
      <c r="D60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0" t="str">
        <f ca="1">IFERROR(__xludf.DUMMYFUNCTION("""COMPUTED_VALUE"""),"Новый")</f>
        <v>Новый</v>
      </c>
      <c r="G6040" s="68"/>
      <c r="K6040" s="68"/>
    </row>
    <row r="6041" spans="1:11" ht="12.75">
      <c r="A6041" s="69">
        <f ca="1">IFERROR(__xludf.DUMMYFUNCTION("""COMPUTED_VALUE"""),107257)</f>
        <v>107257</v>
      </c>
      <c r="B6041" s="4">
        <f ca="1">IFERROR(__xludf.DUMMYFUNCTION("""COMPUTED_VALUE"""),44823)</f>
        <v>44823</v>
      </c>
      <c r="C6041" t="str">
        <f ca="1">IFERROR(__xludf.DUMMYFUNCTION("""COMPUTED_VALUE"""),"Омскэлектро, АО 207-РДО от 08.08.2022")</f>
        <v>Омскэлектро, АО 207-РДО от 08.08.2022</v>
      </c>
      <c r="D60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1" t="str">
        <f ca="1">IFERROR(__xludf.DUMMYFUNCTION("""COMPUTED_VALUE"""),"Новый")</f>
        <v>Новый</v>
      </c>
      <c r="G6041" s="68"/>
      <c r="K6041" s="68"/>
    </row>
    <row r="6042" spans="1:11" ht="12.75">
      <c r="A6042" s="69">
        <f ca="1">IFERROR(__xludf.DUMMYFUNCTION("""COMPUTED_VALUE"""),107258)</f>
        <v>107258</v>
      </c>
      <c r="B6042" s="4">
        <f ca="1">IFERROR(__xludf.DUMMYFUNCTION("""COMPUTED_VALUE"""),44823)</f>
        <v>44823</v>
      </c>
      <c r="C6042" t="str">
        <f ca="1">IFERROR(__xludf.DUMMYFUNCTION("""COMPUTED_VALUE"""),"Омскэлектро, АО 207-РДО от 08.08.2022")</f>
        <v>Омскэлектро, АО 207-РДО от 08.08.2022</v>
      </c>
      <c r="D60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2" t="str">
        <f ca="1">IFERROR(__xludf.DUMMYFUNCTION("""COMPUTED_VALUE"""),"Новый")</f>
        <v>Новый</v>
      </c>
      <c r="G6042" s="68"/>
      <c r="K6042" s="68"/>
    </row>
    <row r="6043" spans="1:11" ht="12.75">
      <c r="A6043" s="69">
        <f ca="1">IFERROR(__xludf.DUMMYFUNCTION("""COMPUTED_VALUE"""),107259)</f>
        <v>107259</v>
      </c>
      <c r="B6043" s="4">
        <f ca="1">IFERROR(__xludf.DUMMYFUNCTION("""COMPUTED_VALUE"""),44823)</f>
        <v>44823</v>
      </c>
      <c r="C6043" t="str">
        <f ca="1">IFERROR(__xludf.DUMMYFUNCTION("""COMPUTED_VALUE"""),"Омскэлектро, АО 207-РДО от 08.08.2022")</f>
        <v>Омскэлектро, АО 207-РДО от 08.08.2022</v>
      </c>
      <c r="D60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3" t="str">
        <f ca="1">IFERROR(__xludf.DUMMYFUNCTION("""COMPUTED_VALUE"""),"Новый")</f>
        <v>Новый</v>
      </c>
      <c r="G6043" s="68"/>
      <c r="K6043" s="68"/>
    </row>
    <row r="6044" spans="1:11" ht="12.75">
      <c r="A6044" s="69">
        <f ca="1">IFERROR(__xludf.DUMMYFUNCTION("""COMPUTED_VALUE"""),107260)</f>
        <v>107260</v>
      </c>
      <c r="B6044" s="4">
        <f ca="1">IFERROR(__xludf.DUMMYFUNCTION("""COMPUTED_VALUE"""),44823)</f>
        <v>44823</v>
      </c>
      <c r="C6044" t="str">
        <f ca="1">IFERROR(__xludf.DUMMYFUNCTION("""COMPUTED_VALUE"""),"Омскэлектро, АО 207-РДО от 08.08.2022")</f>
        <v>Омскэлектро, АО 207-РДО от 08.08.2022</v>
      </c>
      <c r="D60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4" t="str">
        <f ca="1">IFERROR(__xludf.DUMMYFUNCTION("""COMPUTED_VALUE"""),"Новый")</f>
        <v>Новый</v>
      </c>
      <c r="G6044" s="68"/>
      <c r="K6044" s="68"/>
    </row>
    <row r="6045" spans="1:11" ht="12.75">
      <c r="A6045" s="69">
        <f ca="1">IFERROR(__xludf.DUMMYFUNCTION("""COMPUTED_VALUE"""),107261)</f>
        <v>107261</v>
      </c>
      <c r="B6045" s="4">
        <f ca="1">IFERROR(__xludf.DUMMYFUNCTION("""COMPUTED_VALUE"""),44823)</f>
        <v>44823</v>
      </c>
      <c r="C6045" t="str">
        <f ca="1">IFERROR(__xludf.DUMMYFUNCTION("""COMPUTED_VALUE"""),"Омскэлектро, АО 207-РДО от 08.08.2022")</f>
        <v>Омскэлектро, АО 207-РДО от 08.08.2022</v>
      </c>
      <c r="D60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5" t="str">
        <f ca="1">IFERROR(__xludf.DUMMYFUNCTION("""COMPUTED_VALUE"""),"Новый")</f>
        <v>Новый</v>
      </c>
      <c r="G6045" s="68"/>
      <c r="K6045" s="68"/>
    </row>
    <row r="6046" spans="1:11" ht="12.75">
      <c r="A6046" s="69">
        <f ca="1">IFERROR(__xludf.DUMMYFUNCTION("""COMPUTED_VALUE"""),107262)</f>
        <v>107262</v>
      </c>
      <c r="B6046" s="4">
        <f ca="1">IFERROR(__xludf.DUMMYFUNCTION("""COMPUTED_VALUE"""),44823)</f>
        <v>44823</v>
      </c>
      <c r="C6046" t="str">
        <f ca="1">IFERROR(__xludf.DUMMYFUNCTION("""COMPUTED_VALUE"""),"Омскэлектро, АО 207-РДО от 08.08.2022")</f>
        <v>Омскэлектро, АО 207-РДО от 08.08.2022</v>
      </c>
      <c r="D60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6" t="str">
        <f ca="1">IFERROR(__xludf.DUMMYFUNCTION("""COMPUTED_VALUE"""),"Новый")</f>
        <v>Новый</v>
      </c>
      <c r="G6046" s="68"/>
      <c r="K6046" s="68"/>
    </row>
    <row r="6047" spans="1:11" ht="12.75">
      <c r="A6047" s="69">
        <f ca="1">IFERROR(__xludf.DUMMYFUNCTION("""COMPUTED_VALUE"""),107263)</f>
        <v>107263</v>
      </c>
      <c r="B6047" s="4">
        <f ca="1">IFERROR(__xludf.DUMMYFUNCTION("""COMPUTED_VALUE"""),44823)</f>
        <v>44823</v>
      </c>
      <c r="C6047" t="str">
        <f ca="1">IFERROR(__xludf.DUMMYFUNCTION("""COMPUTED_VALUE"""),"Омскэлектро, АО 207-РДО от 08.08.2022")</f>
        <v>Омскэлектро, АО 207-РДО от 08.08.2022</v>
      </c>
      <c r="D60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7" t="str">
        <f ca="1">IFERROR(__xludf.DUMMYFUNCTION("""COMPUTED_VALUE"""),"Новый")</f>
        <v>Новый</v>
      </c>
      <c r="G6047" s="68"/>
      <c r="K6047" s="68"/>
    </row>
    <row r="6048" spans="1:11" ht="12.75">
      <c r="A6048" s="69">
        <f ca="1">IFERROR(__xludf.DUMMYFUNCTION("""COMPUTED_VALUE"""),107264)</f>
        <v>107264</v>
      </c>
      <c r="B6048" s="4">
        <f ca="1">IFERROR(__xludf.DUMMYFUNCTION("""COMPUTED_VALUE"""),44823)</f>
        <v>44823</v>
      </c>
      <c r="C6048" t="str">
        <f ca="1">IFERROR(__xludf.DUMMYFUNCTION("""COMPUTED_VALUE"""),"Омскэлектро, АО 207-РДО от 08.08.2022")</f>
        <v>Омскэлектро, АО 207-РДО от 08.08.2022</v>
      </c>
      <c r="D60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8" t="str">
        <f ca="1">IFERROR(__xludf.DUMMYFUNCTION("""COMPUTED_VALUE"""),"Новый")</f>
        <v>Новый</v>
      </c>
      <c r="G6048" s="68"/>
      <c r="K6048" s="68"/>
    </row>
    <row r="6049" spans="1:11" ht="12.75">
      <c r="A6049" s="69">
        <f ca="1">IFERROR(__xludf.DUMMYFUNCTION("""COMPUTED_VALUE"""),107265)</f>
        <v>107265</v>
      </c>
      <c r="B6049" s="4">
        <f ca="1">IFERROR(__xludf.DUMMYFUNCTION("""COMPUTED_VALUE"""),44823)</f>
        <v>44823</v>
      </c>
      <c r="C6049" t="str">
        <f ca="1">IFERROR(__xludf.DUMMYFUNCTION("""COMPUTED_VALUE"""),"Омскэлектро, АО 207-РДО от 08.08.2022")</f>
        <v>Омскэлектро, АО 207-РДО от 08.08.2022</v>
      </c>
      <c r="D60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49" t="str">
        <f ca="1">IFERROR(__xludf.DUMMYFUNCTION("""COMPUTED_VALUE"""),"Новый")</f>
        <v>Новый</v>
      </c>
      <c r="G6049" s="68"/>
      <c r="K6049" s="68"/>
    </row>
    <row r="6050" spans="1:11" ht="12.75">
      <c r="A6050" s="69">
        <f ca="1">IFERROR(__xludf.DUMMYFUNCTION("""COMPUTED_VALUE"""),107266)</f>
        <v>107266</v>
      </c>
      <c r="B6050" s="4">
        <f ca="1">IFERROR(__xludf.DUMMYFUNCTION("""COMPUTED_VALUE"""),44823)</f>
        <v>44823</v>
      </c>
      <c r="C6050" t="str">
        <f ca="1">IFERROR(__xludf.DUMMYFUNCTION("""COMPUTED_VALUE"""),"Омскэлектро, АО 207-РДО от 08.08.2022")</f>
        <v>Омскэлектро, АО 207-РДО от 08.08.2022</v>
      </c>
      <c r="D60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0" t="str">
        <f ca="1">IFERROR(__xludf.DUMMYFUNCTION("""COMPUTED_VALUE"""),"Новый")</f>
        <v>Новый</v>
      </c>
      <c r="G6050" s="68"/>
      <c r="K6050" s="68"/>
    </row>
    <row r="6051" spans="1:11" ht="12.75">
      <c r="A6051" s="69">
        <f ca="1">IFERROR(__xludf.DUMMYFUNCTION("""COMPUTED_VALUE"""),107267)</f>
        <v>107267</v>
      </c>
      <c r="B6051" s="4">
        <f ca="1">IFERROR(__xludf.DUMMYFUNCTION("""COMPUTED_VALUE"""),44823)</f>
        <v>44823</v>
      </c>
      <c r="C6051" t="str">
        <f ca="1">IFERROR(__xludf.DUMMYFUNCTION("""COMPUTED_VALUE"""),"Омскэлектро, АО 207-РДО от 08.08.2022")</f>
        <v>Омскэлектро, АО 207-РДО от 08.08.2022</v>
      </c>
      <c r="D60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1" t="str">
        <f ca="1">IFERROR(__xludf.DUMMYFUNCTION("""COMPUTED_VALUE"""),"Новый")</f>
        <v>Новый</v>
      </c>
      <c r="G6051" s="68"/>
      <c r="K6051" s="68"/>
    </row>
    <row r="6052" spans="1:11" ht="12.75">
      <c r="A6052" s="69">
        <f ca="1">IFERROR(__xludf.DUMMYFUNCTION("""COMPUTED_VALUE"""),107268)</f>
        <v>107268</v>
      </c>
      <c r="B6052" s="4">
        <f ca="1">IFERROR(__xludf.DUMMYFUNCTION("""COMPUTED_VALUE"""),44823)</f>
        <v>44823</v>
      </c>
      <c r="C6052" t="str">
        <f ca="1">IFERROR(__xludf.DUMMYFUNCTION("""COMPUTED_VALUE"""),"Омскэлектро, АО 207-РДО от 08.08.2022")</f>
        <v>Омскэлектро, АО 207-РДО от 08.08.2022</v>
      </c>
      <c r="D60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2" t="str">
        <f ca="1">IFERROR(__xludf.DUMMYFUNCTION("""COMPUTED_VALUE"""),"Новый")</f>
        <v>Новый</v>
      </c>
      <c r="G6052" s="68"/>
      <c r="K6052" s="68"/>
    </row>
    <row r="6053" spans="1:11" ht="12.75">
      <c r="A6053" s="69">
        <f ca="1">IFERROR(__xludf.DUMMYFUNCTION("""COMPUTED_VALUE"""),107269)</f>
        <v>107269</v>
      </c>
      <c r="B6053" s="4">
        <f ca="1">IFERROR(__xludf.DUMMYFUNCTION("""COMPUTED_VALUE"""),44823)</f>
        <v>44823</v>
      </c>
      <c r="C6053" t="str">
        <f ca="1">IFERROR(__xludf.DUMMYFUNCTION("""COMPUTED_VALUE"""),"Омскэлектро, АО 207-РДО от 08.08.2022")</f>
        <v>Омскэлектро, АО 207-РДО от 08.08.2022</v>
      </c>
      <c r="D60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3" t="str">
        <f ca="1">IFERROR(__xludf.DUMMYFUNCTION("""COMPUTED_VALUE"""),"Новый")</f>
        <v>Новый</v>
      </c>
      <c r="G6053" s="68"/>
      <c r="K6053" s="68"/>
    </row>
    <row r="6054" spans="1:11" ht="12.75">
      <c r="A6054" s="69">
        <f ca="1">IFERROR(__xludf.DUMMYFUNCTION("""COMPUTED_VALUE"""),107270)</f>
        <v>107270</v>
      </c>
      <c r="B6054" s="4">
        <f ca="1">IFERROR(__xludf.DUMMYFUNCTION("""COMPUTED_VALUE"""),44823)</f>
        <v>44823</v>
      </c>
      <c r="C6054" t="str">
        <f ca="1">IFERROR(__xludf.DUMMYFUNCTION("""COMPUTED_VALUE"""),"Омскэлектро, АО 207-РДО от 08.08.2022")</f>
        <v>Омскэлектро, АО 207-РДО от 08.08.2022</v>
      </c>
      <c r="D60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4" t="str">
        <f ca="1">IFERROR(__xludf.DUMMYFUNCTION("""COMPUTED_VALUE"""),"Новый")</f>
        <v>Новый</v>
      </c>
      <c r="G6054" s="68"/>
      <c r="K6054" s="68"/>
    </row>
    <row r="6055" spans="1:11" ht="12.75">
      <c r="A6055" s="69">
        <f ca="1">IFERROR(__xludf.DUMMYFUNCTION("""COMPUTED_VALUE"""),107271)</f>
        <v>107271</v>
      </c>
      <c r="B6055" s="4">
        <f ca="1">IFERROR(__xludf.DUMMYFUNCTION("""COMPUTED_VALUE"""),44823)</f>
        <v>44823</v>
      </c>
      <c r="C6055" t="str">
        <f ca="1">IFERROR(__xludf.DUMMYFUNCTION("""COMPUTED_VALUE"""),"Омскэлектро, АО 207-РДО от 08.08.2022")</f>
        <v>Омскэлектро, АО 207-РДО от 08.08.2022</v>
      </c>
      <c r="D60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55" t="str">
        <f ca="1">IFERROR(__xludf.DUMMYFUNCTION("""COMPUTED_VALUE"""),"Новый")</f>
        <v>Новый</v>
      </c>
      <c r="G6055" s="68"/>
      <c r="K6055" s="68"/>
    </row>
    <row r="6056" spans="1:11" ht="12.75">
      <c r="A6056" s="69">
        <f ca="1">IFERROR(__xludf.DUMMYFUNCTION("""COMPUTED_VALUE"""),107286)</f>
        <v>107286</v>
      </c>
      <c r="B6056" s="4">
        <f ca="1">IFERROR(__xludf.DUMMYFUNCTION("""COMPUTED_VALUE"""),44823)</f>
        <v>44823</v>
      </c>
      <c r="C6056" t="str">
        <f ca="1">IFERROR(__xludf.DUMMYFUNCTION("""COMPUTED_VALUE"""),"ООО УК ""НАШ ДОМ - ЖЭУ №1"" 180-СТР от 16.09.2022")</f>
        <v>ООО УК "НАШ ДОМ - ЖЭУ №1" 180-СТР от 16.09.2022</v>
      </c>
      <c r="D60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56" t="str">
        <f ca="1">IFERROR(__xludf.DUMMYFUNCTION("""COMPUTED_VALUE"""),"Новый")</f>
        <v>Новый</v>
      </c>
      <c r="G6056" s="68"/>
      <c r="K6056" s="68"/>
    </row>
    <row r="6057" spans="1:11" ht="12.75">
      <c r="A6057" s="69">
        <f ca="1">IFERROR(__xludf.DUMMYFUNCTION("""COMPUTED_VALUE"""),107287)</f>
        <v>107287</v>
      </c>
      <c r="B6057" s="4">
        <f ca="1">IFERROR(__xludf.DUMMYFUNCTION("""COMPUTED_VALUE"""),44823)</f>
        <v>44823</v>
      </c>
      <c r="C6057" t="str">
        <f ca="1">IFERROR(__xludf.DUMMYFUNCTION("""COMPUTED_VALUE"""),"ООО УК ""НАШ ДОМ - ЖЭУ №1"" 180-СТР от 16.09.2022")</f>
        <v>ООО УК "НАШ ДОМ - ЖЭУ №1" 180-СТР от 16.09.2022</v>
      </c>
      <c r="D60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57" t="str">
        <f ca="1">IFERROR(__xludf.DUMMYFUNCTION("""COMPUTED_VALUE"""),"Новый")</f>
        <v>Новый</v>
      </c>
      <c r="G6057" s="68"/>
      <c r="K6057" s="68"/>
    </row>
    <row r="6058" spans="1:11" ht="12.75">
      <c r="A6058" s="69">
        <f ca="1">IFERROR(__xludf.DUMMYFUNCTION("""COMPUTED_VALUE"""),107288)</f>
        <v>107288</v>
      </c>
      <c r="B6058" s="4">
        <f ca="1">IFERROR(__xludf.DUMMYFUNCTION("""COMPUTED_VALUE"""),44823)</f>
        <v>44823</v>
      </c>
      <c r="C6058" t="str">
        <f ca="1">IFERROR(__xludf.DUMMYFUNCTION("""COMPUTED_VALUE"""),"ООО УК ""НАШ ДОМ - ЖЭУ №1"" 180-СТР от 16.09.2022")</f>
        <v>ООО УК "НАШ ДОМ - ЖЭУ №1" 180-СТР от 16.09.2022</v>
      </c>
      <c r="D60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58" t="str">
        <f ca="1">IFERROR(__xludf.DUMMYFUNCTION("""COMPUTED_VALUE"""),"Новый")</f>
        <v>Новый</v>
      </c>
      <c r="G6058" s="68"/>
      <c r="K6058" s="68"/>
    </row>
    <row r="6059" spans="1:11" ht="12.75">
      <c r="A6059" s="69">
        <f ca="1">IFERROR(__xludf.DUMMYFUNCTION("""COMPUTED_VALUE"""),107289)</f>
        <v>107289</v>
      </c>
      <c r="B6059" s="4">
        <f ca="1">IFERROR(__xludf.DUMMYFUNCTION("""COMPUTED_VALUE"""),44823)</f>
        <v>44823</v>
      </c>
      <c r="C6059" t="str">
        <f ca="1">IFERROR(__xludf.DUMMYFUNCTION("""COMPUTED_VALUE"""),"ООО УК ""НАШ ДОМ - ЖЭУ №1"" 180-СТР от 16.09.2022")</f>
        <v>ООО УК "НАШ ДОМ - ЖЭУ №1" 180-СТР от 16.09.2022</v>
      </c>
      <c r="D60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59" t="str">
        <f ca="1">IFERROR(__xludf.DUMMYFUNCTION("""COMPUTED_VALUE"""),"Новый")</f>
        <v>Новый</v>
      </c>
      <c r="G6059" s="68"/>
      <c r="K6059" s="68"/>
    </row>
    <row r="6060" spans="1:11" ht="12.75">
      <c r="A6060" s="69">
        <f ca="1">IFERROR(__xludf.DUMMYFUNCTION("""COMPUTED_VALUE"""),107290)</f>
        <v>107290</v>
      </c>
      <c r="B6060" s="4">
        <f ca="1">IFERROR(__xludf.DUMMYFUNCTION("""COMPUTED_VALUE"""),44823)</f>
        <v>44823</v>
      </c>
      <c r="C6060" t="str">
        <f ca="1">IFERROR(__xludf.DUMMYFUNCTION("""COMPUTED_VALUE"""),"ООО УК ""НАШ ДОМ - ЖЭУ №1"" 180-СТР от 16.09.2022")</f>
        <v>ООО УК "НАШ ДОМ - ЖЭУ №1" 180-СТР от 16.09.2022</v>
      </c>
      <c r="D60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0" t="str">
        <f ca="1">IFERROR(__xludf.DUMMYFUNCTION("""COMPUTED_VALUE"""),"Новый")</f>
        <v>Новый</v>
      </c>
      <c r="G6060" s="68"/>
      <c r="K6060" s="68"/>
    </row>
    <row r="6061" spans="1:11" ht="12.75">
      <c r="A6061" s="69">
        <f ca="1">IFERROR(__xludf.DUMMYFUNCTION("""COMPUTED_VALUE"""),107291)</f>
        <v>107291</v>
      </c>
      <c r="B6061" s="4">
        <f ca="1">IFERROR(__xludf.DUMMYFUNCTION("""COMPUTED_VALUE"""),44823)</f>
        <v>44823</v>
      </c>
      <c r="C6061" t="str">
        <f ca="1">IFERROR(__xludf.DUMMYFUNCTION("""COMPUTED_VALUE"""),"ООО УК ""НАШ ДОМ - ЖЭУ №1"" 180-СТР от 16.09.2022")</f>
        <v>ООО УК "НАШ ДОМ - ЖЭУ №1" 180-СТР от 16.09.2022</v>
      </c>
      <c r="D60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1" t="str">
        <f ca="1">IFERROR(__xludf.DUMMYFUNCTION("""COMPUTED_VALUE"""),"Новый")</f>
        <v>Новый</v>
      </c>
      <c r="G6061" s="68"/>
      <c r="K6061" s="68"/>
    </row>
    <row r="6062" spans="1:11" ht="12.75">
      <c r="A6062" s="69">
        <f ca="1">IFERROR(__xludf.DUMMYFUNCTION("""COMPUTED_VALUE"""),107295)</f>
        <v>107295</v>
      </c>
      <c r="B6062" s="4">
        <f ca="1">IFERROR(__xludf.DUMMYFUNCTION("""COMPUTED_VALUE"""),44823)</f>
        <v>44823</v>
      </c>
      <c r="C6062" t="str">
        <f ca="1">IFERROR(__xludf.DUMMYFUNCTION("""COMPUTED_VALUE"""),"ООО «КОНТАКТ-АВТО» 120-СТР от 17.03.2021")</f>
        <v>ООО «КОНТАКТ-АВТО» 120-СТР от 17.03.2021</v>
      </c>
      <c r="D60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2" t="str">
        <f ca="1">IFERROR(__xludf.DUMMYFUNCTION("""COMPUTED_VALUE"""),"Новый")</f>
        <v>Новый</v>
      </c>
      <c r="G6062" s="68"/>
      <c r="K6062" s="68"/>
    </row>
    <row r="6063" spans="1:11" ht="12.75">
      <c r="A6063" s="69">
        <f ca="1">IFERROR(__xludf.DUMMYFUNCTION("""COMPUTED_VALUE"""),107296)</f>
        <v>107296</v>
      </c>
      <c r="B6063" s="4">
        <f ca="1">IFERROR(__xludf.DUMMYFUNCTION("""COMPUTED_VALUE"""),44823)</f>
        <v>44823</v>
      </c>
      <c r="C6063" t="str">
        <f ca="1">IFERROR(__xludf.DUMMYFUNCTION("""COMPUTED_VALUE"""),"ООО «КОНТАКТ-АВТО» 120-СТР от 17.03.2021")</f>
        <v>ООО «КОНТАКТ-АВТО» 120-СТР от 17.03.2021</v>
      </c>
      <c r="D60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3" t="str">
        <f ca="1">IFERROR(__xludf.DUMMYFUNCTION("""COMPUTED_VALUE"""),"Новый")</f>
        <v>Новый</v>
      </c>
      <c r="G6063" s="68"/>
      <c r="K6063" s="68"/>
    </row>
    <row r="6064" spans="1:11" ht="12.75">
      <c r="A6064" s="69">
        <f ca="1">IFERROR(__xludf.DUMMYFUNCTION("""COMPUTED_VALUE"""),107297)</f>
        <v>107297</v>
      </c>
      <c r="B6064" s="4">
        <f ca="1">IFERROR(__xludf.DUMMYFUNCTION("""COMPUTED_VALUE"""),44823)</f>
        <v>44823</v>
      </c>
      <c r="C6064" t="str">
        <f ca="1">IFERROR(__xludf.DUMMYFUNCTION("""COMPUTED_VALUE"""),"ООО «КОНТАКТ-АВТО» 120-СТР от 17.03.2021")</f>
        <v>ООО «КОНТАКТ-АВТО» 120-СТР от 17.03.2021</v>
      </c>
      <c r="D60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4" t="str">
        <f ca="1">IFERROR(__xludf.DUMMYFUNCTION("""COMPUTED_VALUE"""),"Новый")</f>
        <v>Новый</v>
      </c>
      <c r="G6064" s="68"/>
      <c r="K6064" s="68"/>
    </row>
    <row r="6065" spans="1:11" ht="12.75">
      <c r="A6065" s="69">
        <f ca="1">IFERROR(__xludf.DUMMYFUNCTION("""COMPUTED_VALUE"""),107311)</f>
        <v>107311</v>
      </c>
      <c r="B6065" s="4">
        <f ca="1">IFERROR(__xludf.DUMMYFUNCTION("""COMPUTED_VALUE"""),44823)</f>
        <v>44823</v>
      </c>
      <c r="C6065" t="str">
        <f ca="1">IFERROR(__xludf.DUMMYFUNCTION("""COMPUTED_VALUE"""),"ООО «КОНТАКТ-АВТО» 120-СТР от 17.03.2021")</f>
        <v>ООО «КОНТАКТ-АВТО» 120-СТР от 17.03.2021</v>
      </c>
      <c r="D60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5" t="str">
        <f ca="1">IFERROR(__xludf.DUMMYFUNCTION("""COMPUTED_VALUE"""),"Новый")</f>
        <v>Новый</v>
      </c>
      <c r="G6065" s="68"/>
      <c r="K6065" s="68"/>
    </row>
    <row r="6066" spans="1:11" ht="12.75">
      <c r="A6066" s="69">
        <f ca="1">IFERROR(__xludf.DUMMYFUNCTION("""COMPUTED_VALUE"""),107312)</f>
        <v>107312</v>
      </c>
      <c r="B6066" s="4">
        <f ca="1">IFERROR(__xludf.DUMMYFUNCTION("""COMPUTED_VALUE"""),44823)</f>
        <v>44823</v>
      </c>
      <c r="C6066" t="str">
        <f ca="1">IFERROR(__xludf.DUMMYFUNCTION("""COMPUTED_VALUE"""),"ООО «КОНТАКТ-АВТО» 120-СТР от 17.03.2021")</f>
        <v>ООО «КОНТАКТ-АВТО» 120-СТР от 17.03.2021</v>
      </c>
      <c r="D60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6" t="str">
        <f ca="1">IFERROR(__xludf.DUMMYFUNCTION("""COMPUTED_VALUE"""),"Новый")</f>
        <v>Новый</v>
      </c>
      <c r="G6066" s="68"/>
      <c r="K6066" s="68"/>
    </row>
    <row r="6067" spans="1:11" ht="12.75">
      <c r="A6067" s="69">
        <f ca="1">IFERROR(__xludf.DUMMYFUNCTION("""COMPUTED_VALUE"""),107313)</f>
        <v>107313</v>
      </c>
      <c r="B6067" s="4">
        <f ca="1">IFERROR(__xludf.DUMMYFUNCTION("""COMPUTED_VALUE"""),44823)</f>
        <v>44823</v>
      </c>
      <c r="C6067" t="str">
        <f ca="1">IFERROR(__xludf.DUMMYFUNCTION("""COMPUTED_VALUE"""),"ООО «КОНТАКТ-АВТО» 120-СТР от 17.03.2021")</f>
        <v>ООО «КОНТАКТ-АВТО» 120-СТР от 17.03.2021</v>
      </c>
      <c r="D60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7" t="str">
        <f ca="1">IFERROR(__xludf.DUMMYFUNCTION("""COMPUTED_VALUE"""),"Новый")</f>
        <v>Новый</v>
      </c>
      <c r="G6067" s="68"/>
      <c r="K6067" s="68"/>
    </row>
    <row r="6068" spans="1:11" ht="12.75">
      <c r="A6068" s="69">
        <f ca="1">IFERROR(__xludf.DUMMYFUNCTION("""COMPUTED_VALUE"""),107314)</f>
        <v>107314</v>
      </c>
      <c r="B6068" s="4">
        <f ca="1">IFERROR(__xludf.DUMMYFUNCTION("""COMPUTED_VALUE"""),44823)</f>
        <v>44823</v>
      </c>
      <c r="C6068" t="str">
        <f ca="1">IFERROR(__xludf.DUMMYFUNCTION("""COMPUTED_VALUE"""),"ООО «КОНТАКТ-АВТО» 120-СТР от 17.03.2021")</f>
        <v>ООО «КОНТАКТ-АВТО» 120-СТР от 17.03.2021</v>
      </c>
      <c r="D60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8" t="str">
        <f ca="1">IFERROR(__xludf.DUMMYFUNCTION("""COMPUTED_VALUE"""),"Новый")</f>
        <v>Новый</v>
      </c>
      <c r="G6068" s="68"/>
      <c r="K6068" s="68"/>
    </row>
    <row r="6069" spans="1:11" ht="12.75">
      <c r="A6069" s="69">
        <f ca="1">IFERROR(__xludf.DUMMYFUNCTION("""COMPUTED_VALUE"""),107315)</f>
        <v>107315</v>
      </c>
      <c r="B6069" s="4">
        <f ca="1">IFERROR(__xludf.DUMMYFUNCTION("""COMPUTED_VALUE"""),44823)</f>
        <v>44823</v>
      </c>
      <c r="C6069" t="str">
        <f ca="1">IFERROR(__xludf.DUMMYFUNCTION("""COMPUTED_VALUE"""),"ООО «КОНТАКТ-АВТО» 120-СТР от 17.03.2021")</f>
        <v>ООО «КОНТАКТ-АВТО» 120-СТР от 17.03.2021</v>
      </c>
      <c r="D60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69" t="str">
        <f ca="1">IFERROR(__xludf.DUMMYFUNCTION("""COMPUTED_VALUE"""),"Новый")</f>
        <v>Новый</v>
      </c>
      <c r="G6069" s="68"/>
      <c r="K6069" s="68"/>
    </row>
    <row r="6070" spans="1:11" ht="12.75">
      <c r="A6070" s="69">
        <f ca="1">IFERROR(__xludf.DUMMYFUNCTION("""COMPUTED_VALUE"""),107316)</f>
        <v>107316</v>
      </c>
      <c r="B6070" s="4">
        <f ca="1">IFERROR(__xludf.DUMMYFUNCTION("""COMPUTED_VALUE"""),44823)</f>
        <v>44823</v>
      </c>
      <c r="C6070" t="str">
        <f ca="1">IFERROR(__xludf.DUMMYFUNCTION("""COMPUTED_VALUE"""),"ООО «КОНТАКТ-АВТО» 120-СТР от 17.03.2021")</f>
        <v>ООО «КОНТАКТ-АВТО» 120-СТР от 17.03.2021</v>
      </c>
      <c r="D60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0" t="str">
        <f ca="1">IFERROR(__xludf.DUMMYFUNCTION("""COMPUTED_VALUE"""),"Новый")</f>
        <v>Новый</v>
      </c>
      <c r="G6070" s="68"/>
      <c r="K6070" s="68"/>
    </row>
    <row r="6071" spans="1:11" ht="12.75">
      <c r="A6071" s="69">
        <f ca="1">IFERROR(__xludf.DUMMYFUNCTION("""COMPUTED_VALUE"""),107317)</f>
        <v>107317</v>
      </c>
      <c r="B6071" s="4">
        <f ca="1">IFERROR(__xludf.DUMMYFUNCTION("""COMPUTED_VALUE"""),44823)</f>
        <v>44823</v>
      </c>
      <c r="C6071" t="str">
        <f ca="1">IFERROR(__xludf.DUMMYFUNCTION("""COMPUTED_VALUE"""),"ООО «КОНТАКТ-АВТО» 120-СТР от 17.03.2021")</f>
        <v>ООО «КОНТАКТ-АВТО» 120-СТР от 17.03.2021</v>
      </c>
      <c r="D60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1" t="str">
        <f ca="1">IFERROR(__xludf.DUMMYFUNCTION("""COMPUTED_VALUE"""),"Новый")</f>
        <v>Новый</v>
      </c>
      <c r="G6071" s="68"/>
      <c r="K6071" s="68"/>
    </row>
    <row r="6072" spans="1:11" ht="12.75">
      <c r="A6072" s="69">
        <f ca="1">IFERROR(__xludf.DUMMYFUNCTION("""COMPUTED_VALUE"""),107318)</f>
        <v>107318</v>
      </c>
      <c r="B6072" s="4">
        <f ca="1">IFERROR(__xludf.DUMMYFUNCTION("""COMPUTED_VALUE"""),44823)</f>
        <v>44823</v>
      </c>
      <c r="C6072" t="str">
        <f ca="1">IFERROR(__xludf.DUMMYFUNCTION("""COMPUTED_VALUE"""),"ООО «КОНТАКТ-АВТО» 120-СТР от 17.03.2021")</f>
        <v>ООО «КОНТАКТ-АВТО» 120-СТР от 17.03.2021</v>
      </c>
      <c r="D60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2" t="str">
        <f ca="1">IFERROR(__xludf.DUMMYFUNCTION("""COMPUTED_VALUE"""),"Новый")</f>
        <v>Новый</v>
      </c>
      <c r="G6072" s="68"/>
      <c r="K6072" s="68"/>
    </row>
    <row r="6073" spans="1:11" ht="12.75">
      <c r="A6073" s="69">
        <f ca="1">IFERROR(__xludf.DUMMYFUNCTION("""COMPUTED_VALUE"""),107319)</f>
        <v>107319</v>
      </c>
      <c r="B6073" s="4">
        <f ca="1">IFERROR(__xludf.DUMMYFUNCTION("""COMPUTED_VALUE"""),44823)</f>
        <v>44823</v>
      </c>
      <c r="C6073" t="str">
        <f ca="1">IFERROR(__xludf.DUMMYFUNCTION("""COMPUTED_VALUE"""),"ООО «КОНТАКТ-АВТО» 120-СТР от 17.03.2021")</f>
        <v>ООО «КОНТАКТ-АВТО» 120-СТР от 17.03.2021</v>
      </c>
      <c r="D60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3" t="str">
        <f ca="1">IFERROR(__xludf.DUMMYFUNCTION("""COMPUTED_VALUE"""),"Новый")</f>
        <v>Новый</v>
      </c>
      <c r="G6073" s="68"/>
      <c r="K6073" s="68"/>
    </row>
    <row r="6074" spans="1:11" ht="12.75">
      <c r="A6074" s="69">
        <f ca="1">IFERROR(__xludf.DUMMYFUNCTION("""COMPUTED_VALUE"""),107320)</f>
        <v>107320</v>
      </c>
      <c r="B6074" s="4">
        <f ca="1">IFERROR(__xludf.DUMMYFUNCTION("""COMPUTED_VALUE"""),44823)</f>
        <v>44823</v>
      </c>
      <c r="C6074" t="str">
        <f ca="1">IFERROR(__xludf.DUMMYFUNCTION("""COMPUTED_VALUE"""),"ООО «КОНТАКТ-АВТО» 120-СТР от 17.03.2021")</f>
        <v>ООО «КОНТАКТ-АВТО» 120-СТР от 17.03.2021</v>
      </c>
      <c r="D60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4" t="str">
        <f ca="1">IFERROR(__xludf.DUMMYFUNCTION("""COMPUTED_VALUE"""),"Новый")</f>
        <v>Новый</v>
      </c>
      <c r="G6074" s="68"/>
      <c r="K6074" s="68"/>
    </row>
    <row r="6075" spans="1:11" ht="12.75">
      <c r="A6075" s="69">
        <f ca="1">IFERROR(__xludf.DUMMYFUNCTION("""COMPUTED_VALUE"""),107321)</f>
        <v>107321</v>
      </c>
      <c r="B6075" s="4">
        <f ca="1">IFERROR(__xludf.DUMMYFUNCTION("""COMPUTED_VALUE"""),44823)</f>
        <v>44823</v>
      </c>
      <c r="C6075" t="str">
        <f ca="1">IFERROR(__xludf.DUMMYFUNCTION("""COMPUTED_VALUE"""),"ООО «КОНТАКТ-АВТО» 120-СТР от 17.03.2021")</f>
        <v>ООО «КОНТАКТ-АВТО» 120-СТР от 17.03.2021</v>
      </c>
      <c r="D60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75" t="str">
        <f ca="1">IFERROR(__xludf.DUMMYFUNCTION("""COMPUTED_VALUE"""),"Новый")</f>
        <v>Новый</v>
      </c>
      <c r="G6075" s="68"/>
      <c r="K6075" s="68"/>
    </row>
    <row r="6076" spans="1:11" ht="12.75">
      <c r="A6076" s="69">
        <f ca="1">IFERROR(__xludf.DUMMYFUNCTION("""COMPUTED_VALUE"""),107322)</f>
        <v>107322</v>
      </c>
      <c r="B6076" s="4">
        <f ca="1">IFERROR(__xludf.DUMMYFUNCTION("""COMPUTED_VALUE"""),44823)</f>
        <v>44823</v>
      </c>
      <c r="C6076" t="str">
        <f ca="1">IFERROR(__xludf.DUMMYFUNCTION("""COMPUTED_VALUE"""),"ООО «КОНТАКТ-АВТО» 135-РДО от 17.03.2022")</f>
        <v>ООО «КОНТАКТ-АВТО» 135-РДО от 17.03.2022</v>
      </c>
      <c r="D60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76" t="str">
        <f ca="1">IFERROR(__xludf.DUMMYFUNCTION("""COMPUTED_VALUE"""),"Новый")</f>
        <v>Новый</v>
      </c>
      <c r="G6076" s="68"/>
      <c r="K6076" s="68"/>
    </row>
    <row r="6077" spans="1:11" ht="12.75">
      <c r="A6077" s="69">
        <f ca="1">IFERROR(__xludf.DUMMYFUNCTION("""COMPUTED_VALUE"""),107323)</f>
        <v>107323</v>
      </c>
      <c r="B6077" s="4">
        <f ca="1">IFERROR(__xludf.DUMMYFUNCTION("""COMPUTED_VALUE"""),44823)</f>
        <v>44823</v>
      </c>
      <c r="C6077" t="str">
        <f ca="1">IFERROR(__xludf.DUMMYFUNCTION("""COMPUTED_VALUE"""),"ООО «КОНТАКТ-АВТО» 135-РДО от 17.03.2022")</f>
        <v>ООО «КОНТАКТ-АВТО» 135-РДО от 17.03.2022</v>
      </c>
      <c r="D60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77" t="str">
        <f ca="1">IFERROR(__xludf.DUMMYFUNCTION("""COMPUTED_VALUE"""),"Новый")</f>
        <v>Новый</v>
      </c>
      <c r="G6077" s="68"/>
      <c r="K6077" s="68"/>
    </row>
    <row r="6078" spans="1:11" ht="12.75">
      <c r="A6078" s="69">
        <f ca="1">IFERROR(__xludf.DUMMYFUNCTION("""COMPUTED_VALUE"""),107324)</f>
        <v>107324</v>
      </c>
      <c r="B6078" s="4">
        <f ca="1">IFERROR(__xludf.DUMMYFUNCTION("""COMPUTED_VALUE"""),44823)</f>
        <v>44823</v>
      </c>
      <c r="C6078" t="str">
        <f ca="1">IFERROR(__xludf.DUMMYFUNCTION("""COMPUTED_VALUE"""),"ООО «КОНТАКТ-АВТО» 135-РДО от 17.03.2022")</f>
        <v>ООО «КОНТАКТ-АВТО» 135-РДО от 17.03.2022</v>
      </c>
      <c r="D60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78" t="str">
        <f ca="1">IFERROR(__xludf.DUMMYFUNCTION("""COMPUTED_VALUE"""),"Новый")</f>
        <v>Новый</v>
      </c>
      <c r="G6078" s="68"/>
      <c r="K6078" s="68"/>
    </row>
    <row r="6079" spans="1:11" ht="12.75">
      <c r="A6079" s="69">
        <f ca="1">IFERROR(__xludf.DUMMYFUNCTION("""COMPUTED_VALUE"""),107325)</f>
        <v>107325</v>
      </c>
      <c r="B6079" s="4">
        <f ca="1">IFERROR(__xludf.DUMMYFUNCTION("""COMPUTED_VALUE"""),44823)</f>
        <v>44823</v>
      </c>
      <c r="C6079" t="str">
        <f ca="1">IFERROR(__xludf.DUMMYFUNCTION("""COMPUTED_VALUE"""),"ООО «КОНТАКТ-АВТО» 135-РДО от 17.03.2022")</f>
        <v>ООО «КОНТАКТ-АВТО» 135-РДО от 17.03.2022</v>
      </c>
      <c r="D60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79" t="str">
        <f ca="1">IFERROR(__xludf.DUMMYFUNCTION("""COMPUTED_VALUE"""),"Новый")</f>
        <v>Новый</v>
      </c>
      <c r="G6079" s="68"/>
      <c r="K6079" s="68"/>
    </row>
    <row r="6080" spans="1:11" ht="12.75">
      <c r="A6080" s="69">
        <f ca="1">IFERROR(__xludf.DUMMYFUNCTION("""COMPUTED_VALUE"""),107326)</f>
        <v>107326</v>
      </c>
      <c r="B6080" s="4">
        <f ca="1">IFERROR(__xludf.DUMMYFUNCTION("""COMPUTED_VALUE"""),44823)</f>
        <v>44823</v>
      </c>
      <c r="C6080" t="str">
        <f ca="1">IFERROR(__xludf.DUMMYFUNCTION("""COMPUTED_VALUE"""),"ООО «КОНТАКТ-АВТО» 135-РДО от 17.03.2022")</f>
        <v>ООО «КОНТАКТ-АВТО» 135-РДО от 17.03.2022</v>
      </c>
      <c r="D60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0" t="str">
        <f ca="1">IFERROR(__xludf.DUMMYFUNCTION("""COMPUTED_VALUE"""),"Новый")</f>
        <v>Новый</v>
      </c>
      <c r="G6080" s="68"/>
      <c r="K6080" s="68"/>
    </row>
    <row r="6081" spans="1:11" ht="12.75">
      <c r="A6081" s="69">
        <f ca="1">IFERROR(__xludf.DUMMYFUNCTION("""COMPUTED_VALUE"""),107327)</f>
        <v>107327</v>
      </c>
      <c r="B6081" s="4">
        <f ca="1">IFERROR(__xludf.DUMMYFUNCTION("""COMPUTED_VALUE"""),44823)</f>
        <v>44823</v>
      </c>
      <c r="C6081" t="str">
        <f ca="1">IFERROR(__xludf.DUMMYFUNCTION("""COMPUTED_VALUE"""),"ООО «КОНТАКТ-АВТО» 135-РДО от 17.03.2022")</f>
        <v>ООО «КОНТАКТ-АВТО» 135-РДО от 17.03.2022</v>
      </c>
      <c r="D60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1" t="str">
        <f ca="1">IFERROR(__xludf.DUMMYFUNCTION("""COMPUTED_VALUE"""),"Новый")</f>
        <v>Новый</v>
      </c>
      <c r="G6081" s="68"/>
      <c r="K6081" s="68"/>
    </row>
    <row r="6082" spans="1:11" ht="12.75">
      <c r="A6082" s="69">
        <f ca="1">IFERROR(__xludf.DUMMYFUNCTION("""COMPUTED_VALUE"""),107328)</f>
        <v>107328</v>
      </c>
      <c r="B6082" s="4">
        <f ca="1">IFERROR(__xludf.DUMMYFUNCTION("""COMPUTED_VALUE"""),44823)</f>
        <v>44823</v>
      </c>
      <c r="C6082" t="str">
        <f ca="1">IFERROR(__xludf.DUMMYFUNCTION("""COMPUTED_VALUE"""),"ООО «КОНТАКТ-АВТО» 135-РДО от 17.03.2022")</f>
        <v>ООО «КОНТАКТ-АВТО» 135-РДО от 17.03.2022</v>
      </c>
      <c r="D60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2" t="str">
        <f ca="1">IFERROR(__xludf.DUMMYFUNCTION("""COMPUTED_VALUE"""),"Новый")</f>
        <v>Новый</v>
      </c>
      <c r="G6082" s="68"/>
      <c r="K6082" s="68"/>
    </row>
    <row r="6083" spans="1:11" ht="12.75">
      <c r="A6083" s="69">
        <f ca="1">IFERROR(__xludf.DUMMYFUNCTION("""COMPUTED_VALUE"""),107329)</f>
        <v>107329</v>
      </c>
      <c r="B6083" s="4">
        <f ca="1">IFERROR(__xludf.DUMMYFUNCTION("""COMPUTED_VALUE"""),44823)</f>
        <v>44823</v>
      </c>
      <c r="C6083" t="str">
        <f ca="1">IFERROR(__xludf.DUMMYFUNCTION("""COMPUTED_VALUE"""),"ООО «КОНТАКТ-АВТО» 135-РДО от 17.03.2022")</f>
        <v>ООО «КОНТАКТ-АВТО» 135-РДО от 17.03.2022</v>
      </c>
      <c r="D60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3" t="str">
        <f ca="1">IFERROR(__xludf.DUMMYFUNCTION("""COMPUTED_VALUE"""),"Новый")</f>
        <v>Новый</v>
      </c>
      <c r="G6083" s="68"/>
      <c r="K6083" s="68"/>
    </row>
    <row r="6084" spans="1:11" ht="12.75">
      <c r="A6084" s="69">
        <f ca="1">IFERROR(__xludf.DUMMYFUNCTION("""COMPUTED_VALUE"""),107330)</f>
        <v>107330</v>
      </c>
      <c r="B6084" s="4">
        <f ca="1">IFERROR(__xludf.DUMMYFUNCTION("""COMPUTED_VALUE"""),44823)</f>
        <v>44823</v>
      </c>
      <c r="C6084" t="str">
        <f ca="1">IFERROR(__xludf.DUMMYFUNCTION("""COMPUTED_VALUE"""),"ООО «КОНТАКТ-АВТО» 135-РДО от 17.03.2022")</f>
        <v>ООО «КОНТАКТ-АВТО» 135-РДО от 17.03.2022</v>
      </c>
      <c r="D60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4" t="str">
        <f ca="1">IFERROR(__xludf.DUMMYFUNCTION("""COMPUTED_VALUE"""),"Новый")</f>
        <v>Новый</v>
      </c>
      <c r="G6084" s="68"/>
      <c r="K6084" s="68"/>
    </row>
    <row r="6085" spans="1:11" ht="12.75">
      <c r="A6085" s="69">
        <f ca="1">IFERROR(__xludf.DUMMYFUNCTION("""COMPUTED_VALUE"""),107331)</f>
        <v>107331</v>
      </c>
      <c r="B6085" s="4">
        <f ca="1">IFERROR(__xludf.DUMMYFUNCTION("""COMPUTED_VALUE"""),44823)</f>
        <v>44823</v>
      </c>
      <c r="C6085" t="str">
        <f ca="1">IFERROR(__xludf.DUMMYFUNCTION("""COMPUTED_VALUE"""),"ООО «КОНТАКТ-АВТО» 135-РДО от 17.03.2022")</f>
        <v>ООО «КОНТАКТ-АВТО» 135-РДО от 17.03.2022</v>
      </c>
      <c r="D60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5" t="str">
        <f ca="1">IFERROR(__xludf.DUMMYFUNCTION("""COMPUTED_VALUE"""),"Новый")</f>
        <v>Новый</v>
      </c>
      <c r="G6085" s="68"/>
      <c r="K6085" s="68"/>
    </row>
    <row r="6086" spans="1:11" ht="12.75">
      <c r="A6086" s="69">
        <f ca="1">IFERROR(__xludf.DUMMYFUNCTION("""COMPUTED_VALUE"""),107332)</f>
        <v>107332</v>
      </c>
      <c r="B6086" s="4">
        <f ca="1">IFERROR(__xludf.DUMMYFUNCTION("""COMPUTED_VALUE"""),44823)</f>
        <v>44823</v>
      </c>
      <c r="C6086" t="str">
        <f ca="1">IFERROR(__xludf.DUMMYFUNCTION("""COMPUTED_VALUE"""),"ООО «КОНТАКТ-АВТО» 135-РДО от 17.03.2022")</f>
        <v>ООО «КОНТАКТ-АВТО» 135-РДО от 17.03.2022</v>
      </c>
      <c r="D60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6" t="str">
        <f ca="1">IFERROR(__xludf.DUMMYFUNCTION("""COMPUTED_VALUE"""),"Новый")</f>
        <v>Новый</v>
      </c>
      <c r="G6086" s="68"/>
      <c r="K6086" s="68"/>
    </row>
    <row r="6087" spans="1:11" ht="12.75">
      <c r="A6087" s="69">
        <f ca="1">IFERROR(__xludf.DUMMYFUNCTION("""COMPUTED_VALUE"""),107333)</f>
        <v>107333</v>
      </c>
      <c r="B6087" s="4">
        <f ca="1">IFERROR(__xludf.DUMMYFUNCTION("""COMPUTED_VALUE"""),44823)</f>
        <v>44823</v>
      </c>
      <c r="C6087" t="str">
        <f ca="1">IFERROR(__xludf.DUMMYFUNCTION("""COMPUTED_VALUE"""),"ООО «КОНТАКТ-АВТО» 135-РДО от 17.03.2022")</f>
        <v>ООО «КОНТАКТ-АВТО» 135-РДО от 17.03.2022</v>
      </c>
      <c r="D60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7" t="str">
        <f ca="1">IFERROR(__xludf.DUMMYFUNCTION("""COMPUTED_VALUE"""),"Новый")</f>
        <v>Новый</v>
      </c>
      <c r="G6087" s="68"/>
      <c r="K6087" s="68"/>
    </row>
    <row r="6088" spans="1:11" ht="12.75">
      <c r="A6088" s="69">
        <f ca="1">IFERROR(__xludf.DUMMYFUNCTION("""COMPUTED_VALUE"""),107334)</f>
        <v>107334</v>
      </c>
      <c r="B6088" s="4">
        <f ca="1">IFERROR(__xludf.DUMMYFUNCTION("""COMPUTED_VALUE"""),44823)</f>
        <v>44823</v>
      </c>
      <c r="C6088" t="str">
        <f ca="1">IFERROR(__xludf.DUMMYFUNCTION("""COMPUTED_VALUE"""),"ООО «КОНТАКТ-АВТО» 135-РДО от 17.03.2022")</f>
        <v>ООО «КОНТАКТ-АВТО» 135-РДО от 17.03.2022</v>
      </c>
      <c r="D60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8" t="str">
        <f ca="1">IFERROR(__xludf.DUMMYFUNCTION("""COMPUTED_VALUE"""),"Новый")</f>
        <v>Новый</v>
      </c>
      <c r="G6088" s="68"/>
      <c r="K6088" s="68"/>
    </row>
    <row r="6089" spans="1:11" ht="12.75">
      <c r="A6089" s="69">
        <f ca="1">IFERROR(__xludf.DUMMYFUNCTION("""COMPUTED_VALUE"""),107335)</f>
        <v>107335</v>
      </c>
      <c r="B6089" s="4">
        <f ca="1">IFERROR(__xludf.DUMMYFUNCTION("""COMPUTED_VALUE"""),44823)</f>
        <v>44823</v>
      </c>
      <c r="C6089" t="str">
        <f ca="1">IFERROR(__xludf.DUMMYFUNCTION("""COMPUTED_VALUE"""),"ООО «КОНТАКТ-АВТО» 135-РДО от 17.03.2022")</f>
        <v>ООО «КОНТАКТ-АВТО» 135-РДО от 17.03.2022</v>
      </c>
      <c r="D60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89" t="str">
        <f ca="1">IFERROR(__xludf.DUMMYFUNCTION("""COMPUTED_VALUE"""),"Новый")</f>
        <v>Новый</v>
      </c>
      <c r="G6089" s="68"/>
      <c r="K6089" s="68"/>
    </row>
    <row r="6090" spans="1:11" ht="12.75">
      <c r="A6090" s="69">
        <f ca="1">IFERROR(__xludf.DUMMYFUNCTION("""COMPUTED_VALUE"""),107336)</f>
        <v>107336</v>
      </c>
      <c r="B6090" s="4">
        <f ca="1">IFERROR(__xludf.DUMMYFUNCTION("""COMPUTED_VALUE"""),44823)</f>
        <v>44823</v>
      </c>
      <c r="C6090" t="str">
        <f ca="1">IFERROR(__xludf.DUMMYFUNCTION("""COMPUTED_VALUE"""),"ООО «КОНТАКТ-АВТО» 135-РДО от 17.03.2022")</f>
        <v>ООО «КОНТАКТ-АВТО» 135-РДО от 17.03.2022</v>
      </c>
      <c r="D60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0" t="str">
        <f ca="1">IFERROR(__xludf.DUMMYFUNCTION("""COMPUTED_VALUE"""),"Новый")</f>
        <v>Новый</v>
      </c>
      <c r="G6090" s="68"/>
      <c r="K6090" s="68"/>
    </row>
    <row r="6091" spans="1:11" ht="12.75">
      <c r="A6091" s="69">
        <f ca="1">IFERROR(__xludf.DUMMYFUNCTION("""COMPUTED_VALUE"""),107337)</f>
        <v>107337</v>
      </c>
      <c r="B6091" s="4">
        <f ca="1">IFERROR(__xludf.DUMMYFUNCTION("""COMPUTED_VALUE"""),44823)</f>
        <v>44823</v>
      </c>
      <c r="C6091" t="str">
        <f ca="1">IFERROR(__xludf.DUMMYFUNCTION("""COMPUTED_VALUE"""),"ООО «КОНТАКТ-АВТО» 135-РДО от 17.03.2022")</f>
        <v>ООО «КОНТАКТ-АВТО» 135-РДО от 17.03.2022</v>
      </c>
      <c r="D60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1" t="str">
        <f ca="1">IFERROR(__xludf.DUMMYFUNCTION("""COMPUTED_VALUE"""),"Новый")</f>
        <v>Новый</v>
      </c>
      <c r="G6091" s="68"/>
      <c r="K6091" s="68"/>
    </row>
    <row r="6092" spans="1:11" ht="12.75">
      <c r="A6092" s="69">
        <f ca="1">IFERROR(__xludf.DUMMYFUNCTION("""COMPUTED_VALUE"""),107338)</f>
        <v>107338</v>
      </c>
      <c r="B6092" s="4">
        <f ca="1">IFERROR(__xludf.DUMMYFUNCTION("""COMPUTED_VALUE"""),44823)</f>
        <v>44823</v>
      </c>
      <c r="C6092" t="str">
        <f ca="1">IFERROR(__xludf.DUMMYFUNCTION("""COMPUTED_VALUE"""),"ООО «КОНТАКТ-АВТО» 135-РДО от 17.03.2022")</f>
        <v>ООО «КОНТАКТ-АВТО» 135-РДО от 17.03.2022</v>
      </c>
      <c r="D60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2" t="str">
        <f ca="1">IFERROR(__xludf.DUMMYFUNCTION("""COMPUTED_VALUE"""),"Новый")</f>
        <v>Новый</v>
      </c>
      <c r="G6092" s="68"/>
      <c r="K6092" s="68"/>
    </row>
    <row r="6093" spans="1:11" ht="12.75">
      <c r="A6093" s="69">
        <f ca="1">IFERROR(__xludf.DUMMYFUNCTION("""COMPUTED_VALUE"""),107339)</f>
        <v>107339</v>
      </c>
      <c r="B6093" s="4">
        <f ca="1">IFERROR(__xludf.DUMMYFUNCTION("""COMPUTED_VALUE"""),44823)</f>
        <v>44823</v>
      </c>
      <c r="C6093" t="str">
        <f ca="1">IFERROR(__xludf.DUMMYFUNCTION("""COMPUTED_VALUE"""),"ООО «КОНТАКТ-АВТО» 135-РДО от 17.03.2022")</f>
        <v>ООО «КОНТАКТ-АВТО» 135-РДО от 17.03.2022</v>
      </c>
      <c r="D60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3" t="str">
        <f ca="1">IFERROR(__xludf.DUMMYFUNCTION("""COMPUTED_VALUE"""),"Новый")</f>
        <v>Новый</v>
      </c>
      <c r="G6093" s="68"/>
      <c r="K6093" s="68"/>
    </row>
    <row r="6094" spans="1:11" ht="12.75">
      <c r="A6094" s="69">
        <f ca="1">IFERROR(__xludf.DUMMYFUNCTION("""COMPUTED_VALUE"""),107340)</f>
        <v>107340</v>
      </c>
      <c r="B6094" s="4">
        <f ca="1">IFERROR(__xludf.DUMMYFUNCTION("""COMPUTED_VALUE"""),44823)</f>
        <v>44823</v>
      </c>
      <c r="C6094" t="str">
        <f ca="1">IFERROR(__xludf.DUMMYFUNCTION("""COMPUTED_VALUE"""),"ООО «КОНТАКТ-АВТО» 135-РДО от 17.03.2022")</f>
        <v>ООО «КОНТАКТ-АВТО» 135-РДО от 17.03.2022</v>
      </c>
      <c r="D60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4" t="str">
        <f ca="1">IFERROR(__xludf.DUMMYFUNCTION("""COMPUTED_VALUE"""),"Новый")</f>
        <v>Новый</v>
      </c>
      <c r="G6094" s="68"/>
      <c r="K6094" s="68"/>
    </row>
    <row r="6095" spans="1:11" ht="12.75">
      <c r="A6095" s="69">
        <f ca="1">IFERROR(__xludf.DUMMYFUNCTION("""COMPUTED_VALUE"""),107341)</f>
        <v>107341</v>
      </c>
      <c r="B6095" s="4">
        <f ca="1">IFERROR(__xludf.DUMMYFUNCTION("""COMPUTED_VALUE"""),44823)</f>
        <v>44823</v>
      </c>
      <c r="C6095" t="str">
        <f ca="1">IFERROR(__xludf.DUMMYFUNCTION("""COMPUTED_VALUE"""),"ООО «КОНТАКТ-АВТО» 135-РДО от 17.03.2022")</f>
        <v>ООО «КОНТАКТ-АВТО» 135-РДО от 17.03.2022</v>
      </c>
      <c r="D60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095" t="str">
        <f ca="1">IFERROR(__xludf.DUMMYFUNCTION("""COMPUTED_VALUE"""),"Новый")</f>
        <v>Новый</v>
      </c>
      <c r="G6095" s="68"/>
      <c r="K6095" s="68"/>
    </row>
    <row r="6096" spans="1:11" ht="12.75">
      <c r="A6096" s="69">
        <f ca="1">IFERROR(__xludf.DUMMYFUNCTION("""COMPUTED_VALUE"""),107342)</f>
        <v>107342</v>
      </c>
      <c r="B6096" s="4">
        <f ca="1">IFERROR(__xludf.DUMMYFUNCTION("""COMPUTED_VALUE"""),44824)</f>
        <v>44824</v>
      </c>
      <c r="C6096" t="str">
        <f ca="1">IFERROR(__xludf.DUMMYFUNCTION("""COMPUTED_VALUE"""),"ООО ""СИБСТРОЙ"" 69-СТР от 23.03.2021")</f>
        <v>ООО "СИБСТРОЙ" 69-СТР от 23.03.2021</v>
      </c>
      <c r="D60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96" t="str">
        <f ca="1">IFERROR(__xludf.DUMMYFUNCTION("""COMPUTED_VALUE"""),"Новый")</f>
        <v>Новый</v>
      </c>
      <c r="G6096" s="68"/>
      <c r="K6096" s="68"/>
    </row>
    <row r="6097" spans="1:11" ht="12.75">
      <c r="A6097" s="69">
        <f ca="1">IFERROR(__xludf.DUMMYFUNCTION("""COMPUTED_VALUE"""),107343)</f>
        <v>107343</v>
      </c>
      <c r="B6097" s="4">
        <f ca="1">IFERROR(__xludf.DUMMYFUNCTION("""COMPUTED_VALUE"""),44824)</f>
        <v>44824</v>
      </c>
      <c r="C6097" t="str">
        <f ca="1">IFERROR(__xludf.DUMMYFUNCTION("""COMPUTED_VALUE"""),"ООО ""СИБСТРОЙ"" 69-СТР от 23.03.2021")</f>
        <v>ООО "СИБСТРОЙ" 69-СТР от 23.03.2021</v>
      </c>
      <c r="D60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97" t="str">
        <f ca="1">IFERROR(__xludf.DUMMYFUNCTION("""COMPUTED_VALUE"""),"Новый")</f>
        <v>Новый</v>
      </c>
      <c r="G6097" s="68"/>
      <c r="K6097" s="68"/>
    </row>
    <row r="6098" spans="1:11" ht="12.75">
      <c r="A6098" s="69">
        <f ca="1">IFERROR(__xludf.DUMMYFUNCTION("""COMPUTED_VALUE"""),107344)</f>
        <v>107344</v>
      </c>
      <c r="B6098" s="4">
        <f ca="1">IFERROR(__xludf.DUMMYFUNCTION("""COMPUTED_VALUE"""),44824)</f>
        <v>44824</v>
      </c>
      <c r="C6098" t="str">
        <f ca="1">IFERROR(__xludf.DUMMYFUNCTION("""COMPUTED_VALUE"""),"ООО ""СИБСТРОЙ"" 69-СТР от 23.03.2021")</f>
        <v>ООО "СИБСТРОЙ" 69-СТР от 23.03.2021</v>
      </c>
      <c r="D60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98" t="str">
        <f ca="1">IFERROR(__xludf.DUMMYFUNCTION("""COMPUTED_VALUE"""),"Новый")</f>
        <v>Новый</v>
      </c>
      <c r="G6098" s="68"/>
      <c r="K6098" s="68"/>
    </row>
    <row r="6099" spans="1:11" ht="12.75">
      <c r="A6099" s="69">
        <f ca="1">IFERROR(__xludf.DUMMYFUNCTION("""COMPUTED_VALUE"""),107345)</f>
        <v>107345</v>
      </c>
      <c r="B6099" s="4">
        <f ca="1">IFERROR(__xludf.DUMMYFUNCTION("""COMPUTED_VALUE"""),44824)</f>
        <v>44824</v>
      </c>
      <c r="C6099" t="str">
        <f ca="1">IFERROR(__xludf.DUMMYFUNCTION("""COMPUTED_VALUE"""),"ООО ""СИБСТРОЙ"" 69-СТР от 23.03.2021")</f>
        <v>ООО "СИБСТРОЙ" 69-СТР от 23.03.2021</v>
      </c>
      <c r="D60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099" t="str">
        <f ca="1">IFERROR(__xludf.DUMMYFUNCTION("""COMPUTED_VALUE"""),"Новый")</f>
        <v>Новый</v>
      </c>
      <c r="G6099" s="68"/>
      <c r="K6099" s="68"/>
    </row>
    <row r="6100" spans="1:11" ht="12.75">
      <c r="A6100" s="69">
        <f ca="1">IFERROR(__xludf.DUMMYFUNCTION("""COMPUTED_VALUE"""),107346)</f>
        <v>107346</v>
      </c>
      <c r="B6100" s="4">
        <f ca="1">IFERROR(__xludf.DUMMYFUNCTION("""COMPUTED_VALUE"""),44824)</f>
        <v>44824</v>
      </c>
      <c r="C6100" t="str">
        <f ca="1">IFERROR(__xludf.DUMMYFUNCTION("""COMPUTED_VALUE"""),"ООО ""СИБСТРОЙ"" 69-СТР от 23.03.2021")</f>
        <v>ООО "СИБСТРОЙ" 69-СТР от 23.03.2021</v>
      </c>
      <c r="D61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0" t="str">
        <f ca="1">IFERROR(__xludf.DUMMYFUNCTION("""COMPUTED_VALUE"""),"Новый")</f>
        <v>Новый</v>
      </c>
      <c r="G6100" s="68"/>
      <c r="K6100" s="68"/>
    </row>
    <row r="6101" spans="1:11" ht="12.75">
      <c r="A6101" s="69">
        <f ca="1">IFERROR(__xludf.DUMMYFUNCTION("""COMPUTED_VALUE"""),107347)</f>
        <v>107347</v>
      </c>
      <c r="B6101" s="4">
        <f ca="1">IFERROR(__xludf.DUMMYFUNCTION("""COMPUTED_VALUE"""),44824)</f>
        <v>44824</v>
      </c>
      <c r="C6101" t="str">
        <f ca="1">IFERROR(__xludf.DUMMYFUNCTION("""COMPUTED_VALUE"""),"ООО ""СИБСТРОЙ"" 69-СТР от 23.03.2021")</f>
        <v>ООО "СИБСТРОЙ" 69-СТР от 23.03.2021</v>
      </c>
      <c r="D61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1" t="str">
        <f ca="1">IFERROR(__xludf.DUMMYFUNCTION("""COMPUTED_VALUE"""),"Новый")</f>
        <v>Новый</v>
      </c>
      <c r="G6101" s="68"/>
      <c r="K6101" s="68"/>
    </row>
    <row r="6102" spans="1:11" ht="12.75">
      <c r="A6102" s="69">
        <f ca="1">IFERROR(__xludf.DUMMYFUNCTION("""COMPUTED_VALUE"""),107348)</f>
        <v>107348</v>
      </c>
      <c r="B6102" s="4">
        <f ca="1">IFERROR(__xludf.DUMMYFUNCTION("""COMPUTED_VALUE"""),44824)</f>
        <v>44824</v>
      </c>
      <c r="C6102" t="str">
        <f ca="1">IFERROR(__xludf.DUMMYFUNCTION("""COMPUTED_VALUE"""),"ООО ""СИБСТРОЙ"" 69-СТР от 23.03.2021")</f>
        <v>ООО "СИБСТРОЙ" 69-СТР от 23.03.2021</v>
      </c>
      <c r="D61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2" t="str">
        <f ca="1">IFERROR(__xludf.DUMMYFUNCTION("""COMPUTED_VALUE"""),"Новый")</f>
        <v>Новый</v>
      </c>
      <c r="G6102" s="68"/>
      <c r="K6102" s="68"/>
    </row>
    <row r="6103" spans="1:11" ht="12.75">
      <c r="A6103" s="69">
        <f ca="1">IFERROR(__xludf.DUMMYFUNCTION("""COMPUTED_VALUE"""),107349)</f>
        <v>107349</v>
      </c>
      <c r="B6103" s="4">
        <f ca="1">IFERROR(__xludf.DUMMYFUNCTION("""COMPUTED_VALUE"""),44824)</f>
        <v>44824</v>
      </c>
      <c r="C6103" t="str">
        <f ca="1">IFERROR(__xludf.DUMMYFUNCTION("""COMPUTED_VALUE"""),"ООО ""СИБСТРОЙ"" 69-СТР от 23.03.2021")</f>
        <v>ООО "СИБСТРОЙ" 69-СТР от 23.03.2021</v>
      </c>
      <c r="D61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3" t="str">
        <f ca="1">IFERROR(__xludf.DUMMYFUNCTION("""COMPUTED_VALUE"""),"Новый")</f>
        <v>Новый</v>
      </c>
      <c r="G6103" s="68"/>
      <c r="K6103" s="68"/>
    </row>
    <row r="6104" spans="1:11" ht="12.75">
      <c r="A6104" s="69">
        <f ca="1">IFERROR(__xludf.DUMMYFUNCTION("""COMPUTED_VALUE"""),107350)</f>
        <v>107350</v>
      </c>
      <c r="B6104" s="4">
        <f ca="1">IFERROR(__xludf.DUMMYFUNCTION("""COMPUTED_VALUE"""),44824)</f>
        <v>44824</v>
      </c>
      <c r="C6104" t="str">
        <f ca="1">IFERROR(__xludf.DUMMYFUNCTION("""COMPUTED_VALUE"""),"ООО ""СИБСТРОЙ"" 69-СТР от 23.03.2021")</f>
        <v>ООО "СИБСТРОЙ" 69-СТР от 23.03.2021</v>
      </c>
      <c r="D61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4" t="str">
        <f ca="1">IFERROR(__xludf.DUMMYFUNCTION("""COMPUTED_VALUE"""),"Новый")</f>
        <v>Новый</v>
      </c>
      <c r="G6104" s="68"/>
      <c r="K6104" s="68"/>
    </row>
    <row r="6105" spans="1:11" ht="12.75">
      <c r="A6105" s="69">
        <f ca="1">IFERROR(__xludf.DUMMYFUNCTION("""COMPUTED_VALUE"""),107351)</f>
        <v>107351</v>
      </c>
      <c r="B6105" s="4">
        <f ca="1">IFERROR(__xludf.DUMMYFUNCTION("""COMPUTED_VALUE"""),44824)</f>
        <v>44824</v>
      </c>
      <c r="C6105" t="str">
        <f ca="1">IFERROR(__xludf.DUMMYFUNCTION("""COMPUTED_VALUE"""),"ООО ""СИБСТРОЙ"" 69-СТР от 23.03.2021")</f>
        <v>ООО "СИБСТРОЙ" 69-СТР от 23.03.2021</v>
      </c>
      <c r="D61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5" t="str">
        <f ca="1">IFERROR(__xludf.DUMMYFUNCTION("""COMPUTED_VALUE"""),"Новый")</f>
        <v>Новый</v>
      </c>
      <c r="G6105" s="68"/>
      <c r="K6105" s="68"/>
    </row>
    <row r="6106" spans="1:11" ht="12.75">
      <c r="A6106" s="69">
        <f ca="1">IFERROR(__xludf.DUMMYFUNCTION("""COMPUTED_VALUE"""),107352)</f>
        <v>107352</v>
      </c>
      <c r="B6106" s="4">
        <f ca="1">IFERROR(__xludf.DUMMYFUNCTION("""COMPUTED_VALUE"""),44824)</f>
        <v>44824</v>
      </c>
      <c r="C6106" t="str">
        <f ca="1">IFERROR(__xludf.DUMMYFUNCTION("""COMPUTED_VALUE"""),"ООО ""СИБСТРОЙ"" 69-СТР от 23.03.2021")</f>
        <v>ООО "СИБСТРОЙ" 69-СТР от 23.03.2021</v>
      </c>
      <c r="D61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6" t="str">
        <f ca="1">IFERROR(__xludf.DUMMYFUNCTION("""COMPUTED_VALUE"""),"Новый")</f>
        <v>Новый</v>
      </c>
      <c r="G6106" s="68"/>
      <c r="K6106" s="68"/>
    </row>
    <row r="6107" spans="1:11" ht="12.75">
      <c r="A6107" s="69">
        <f ca="1">IFERROR(__xludf.DUMMYFUNCTION("""COMPUTED_VALUE"""),107353)</f>
        <v>107353</v>
      </c>
      <c r="B6107" s="4">
        <f ca="1">IFERROR(__xludf.DUMMYFUNCTION("""COMPUTED_VALUE"""),44824)</f>
        <v>44824</v>
      </c>
      <c r="C6107" t="str">
        <f ca="1">IFERROR(__xludf.DUMMYFUNCTION("""COMPUTED_VALUE"""),"ООО ""СИБСТРОЙ"" 69-СТР от 23.03.2021")</f>
        <v>ООО "СИБСТРОЙ" 69-СТР от 23.03.2021</v>
      </c>
      <c r="D61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7" t="str">
        <f ca="1">IFERROR(__xludf.DUMMYFUNCTION("""COMPUTED_VALUE"""),"Новый")</f>
        <v>Новый</v>
      </c>
      <c r="G6107" s="68"/>
      <c r="K6107" s="68"/>
    </row>
    <row r="6108" spans="1:11" ht="12.75">
      <c r="A6108" s="69">
        <f ca="1">IFERROR(__xludf.DUMMYFUNCTION("""COMPUTED_VALUE"""),107354)</f>
        <v>107354</v>
      </c>
      <c r="B6108" s="4">
        <f ca="1">IFERROR(__xludf.DUMMYFUNCTION("""COMPUTED_VALUE"""),44824)</f>
        <v>44824</v>
      </c>
      <c r="C6108" t="str">
        <f ca="1">IFERROR(__xludf.DUMMYFUNCTION("""COMPUTED_VALUE"""),"ООО ""СИБСТРОЙ"" 69-СТР от 23.03.2021")</f>
        <v>ООО "СИБСТРОЙ" 69-СТР от 23.03.2021</v>
      </c>
      <c r="D61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8" t="str">
        <f ca="1">IFERROR(__xludf.DUMMYFUNCTION("""COMPUTED_VALUE"""),"Новый")</f>
        <v>Новый</v>
      </c>
      <c r="G6108" s="68"/>
      <c r="K6108" s="68"/>
    </row>
    <row r="6109" spans="1:11" ht="12.75">
      <c r="A6109" s="69">
        <f ca="1">IFERROR(__xludf.DUMMYFUNCTION("""COMPUTED_VALUE"""),107355)</f>
        <v>107355</v>
      </c>
      <c r="B6109" s="4">
        <f ca="1">IFERROR(__xludf.DUMMYFUNCTION("""COMPUTED_VALUE"""),44824)</f>
        <v>44824</v>
      </c>
      <c r="C6109" t="str">
        <f ca="1">IFERROR(__xludf.DUMMYFUNCTION("""COMPUTED_VALUE"""),"ООО ""СИБСТРОЙ"" 69-СТР от 23.03.2021")</f>
        <v>ООО "СИБСТРОЙ" 69-СТР от 23.03.2021</v>
      </c>
      <c r="D61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09" t="str">
        <f ca="1">IFERROR(__xludf.DUMMYFUNCTION("""COMPUTED_VALUE"""),"Новый")</f>
        <v>Новый</v>
      </c>
      <c r="G6109" s="68"/>
      <c r="K6109" s="68"/>
    </row>
    <row r="6110" spans="1:11" ht="12.75">
      <c r="A6110" s="69">
        <f ca="1">IFERROR(__xludf.DUMMYFUNCTION("""COMPUTED_VALUE"""),107356)</f>
        <v>107356</v>
      </c>
      <c r="B6110" s="4">
        <f ca="1">IFERROR(__xludf.DUMMYFUNCTION("""COMPUTED_VALUE"""),44824)</f>
        <v>44824</v>
      </c>
      <c r="C6110" t="str">
        <f ca="1">IFERROR(__xludf.DUMMYFUNCTION("""COMPUTED_VALUE"""),"ООО ""СИБСТРОЙ"" 69-СТР от 23.03.2021")</f>
        <v>ООО "СИБСТРОЙ" 69-СТР от 23.03.2021</v>
      </c>
      <c r="D61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0" t="str">
        <f ca="1">IFERROR(__xludf.DUMMYFUNCTION("""COMPUTED_VALUE"""),"Новый")</f>
        <v>Новый</v>
      </c>
      <c r="G6110" s="68"/>
      <c r="K6110" s="68"/>
    </row>
    <row r="6111" spans="1:11" ht="12.75">
      <c r="A6111" s="69">
        <f ca="1">IFERROR(__xludf.DUMMYFUNCTION("""COMPUTED_VALUE"""),107357)</f>
        <v>107357</v>
      </c>
      <c r="B6111" s="4">
        <f ca="1">IFERROR(__xludf.DUMMYFUNCTION("""COMPUTED_VALUE"""),44824)</f>
        <v>44824</v>
      </c>
      <c r="C6111" t="str">
        <f ca="1">IFERROR(__xludf.DUMMYFUNCTION("""COMPUTED_VALUE"""),"ООО ""СИБСТРОЙ"" 69-СТР от 23.03.2021")</f>
        <v>ООО "СИБСТРОЙ" 69-СТР от 23.03.2021</v>
      </c>
      <c r="D61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1" t="str">
        <f ca="1">IFERROR(__xludf.DUMMYFUNCTION("""COMPUTED_VALUE"""),"Новый")</f>
        <v>Новый</v>
      </c>
      <c r="G6111" s="68"/>
      <c r="K6111" s="68"/>
    </row>
    <row r="6112" spans="1:11" ht="12.75">
      <c r="A6112" s="69">
        <f ca="1">IFERROR(__xludf.DUMMYFUNCTION("""COMPUTED_VALUE"""),107358)</f>
        <v>107358</v>
      </c>
      <c r="B6112" s="4">
        <f ca="1">IFERROR(__xludf.DUMMYFUNCTION("""COMPUTED_VALUE"""),44824)</f>
        <v>44824</v>
      </c>
      <c r="C6112" t="str">
        <f ca="1">IFERROR(__xludf.DUMMYFUNCTION("""COMPUTED_VALUE"""),"ООО ""СИБСТРОЙ"" 69-СТР от 23.03.2021")</f>
        <v>ООО "СИБСТРОЙ" 69-СТР от 23.03.2021</v>
      </c>
      <c r="D61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2" t="str">
        <f ca="1">IFERROR(__xludf.DUMMYFUNCTION("""COMPUTED_VALUE"""),"Новый")</f>
        <v>Новый</v>
      </c>
      <c r="G6112" s="68"/>
      <c r="K6112" s="68"/>
    </row>
    <row r="6113" spans="1:11" ht="12.75">
      <c r="A6113" s="69">
        <f ca="1">IFERROR(__xludf.DUMMYFUNCTION("""COMPUTED_VALUE"""),107359)</f>
        <v>107359</v>
      </c>
      <c r="B6113" s="4">
        <f ca="1">IFERROR(__xludf.DUMMYFUNCTION("""COMPUTED_VALUE"""),44824)</f>
        <v>44824</v>
      </c>
      <c r="C6113" t="str">
        <f ca="1">IFERROR(__xludf.DUMMYFUNCTION("""COMPUTED_VALUE"""),"ООО ""СИБСТРОЙ"" 69-СТР от 23.03.2021")</f>
        <v>ООО "СИБСТРОЙ" 69-СТР от 23.03.2021</v>
      </c>
      <c r="D61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3" t="str">
        <f ca="1">IFERROR(__xludf.DUMMYFUNCTION("""COMPUTED_VALUE"""),"Новый")</f>
        <v>Новый</v>
      </c>
      <c r="G6113" s="68"/>
      <c r="K6113" s="68"/>
    </row>
    <row r="6114" spans="1:11" ht="12.75">
      <c r="A6114" s="69">
        <f ca="1">IFERROR(__xludf.DUMMYFUNCTION("""COMPUTED_VALUE"""),107360)</f>
        <v>107360</v>
      </c>
      <c r="B6114" s="4">
        <f ca="1">IFERROR(__xludf.DUMMYFUNCTION("""COMPUTED_VALUE"""),44824)</f>
        <v>44824</v>
      </c>
      <c r="C6114" t="str">
        <f ca="1">IFERROR(__xludf.DUMMYFUNCTION("""COMPUTED_VALUE"""),"ООО ""СИБСТРОЙ"" 69-СТР от 23.03.2021")</f>
        <v>ООО "СИБСТРОЙ" 69-СТР от 23.03.2021</v>
      </c>
      <c r="D61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4" t="str">
        <f ca="1">IFERROR(__xludf.DUMMYFUNCTION("""COMPUTED_VALUE"""),"Новый")</f>
        <v>Новый</v>
      </c>
      <c r="G6114" s="68"/>
      <c r="K6114" s="68"/>
    </row>
    <row r="6115" spans="1:11" ht="12.75">
      <c r="A6115" s="69">
        <f ca="1">IFERROR(__xludf.DUMMYFUNCTION("""COMPUTED_VALUE"""),107361)</f>
        <v>107361</v>
      </c>
      <c r="B6115" s="4">
        <f ca="1">IFERROR(__xludf.DUMMYFUNCTION("""COMPUTED_VALUE"""),44824)</f>
        <v>44824</v>
      </c>
      <c r="C6115" t="str">
        <f ca="1">IFERROR(__xludf.DUMMYFUNCTION("""COMPUTED_VALUE"""),"ООО ""СИБСТРОЙ"" 69-СТР от 23.03.2021")</f>
        <v>ООО "СИБСТРОЙ" 69-СТР от 23.03.2021</v>
      </c>
      <c r="D61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5" t="str">
        <f ca="1">IFERROR(__xludf.DUMMYFUNCTION("""COMPUTED_VALUE"""),"Новый")</f>
        <v>Новый</v>
      </c>
      <c r="G6115" s="68"/>
      <c r="K6115" s="68"/>
    </row>
    <row r="6116" spans="1:11" ht="12.75">
      <c r="A6116" s="69">
        <f ca="1">IFERROR(__xludf.DUMMYFUNCTION("""COMPUTED_VALUE"""),107362)</f>
        <v>107362</v>
      </c>
      <c r="B6116" s="4">
        <f ca="1">IFERROR(__xludf.DUMMYFUNCTION("""COMPUTED_VALUE"""),44824)</f>
        <v>44824</v>
      </c>
      <c r="C6116" t="str">
        <f ca="1">IFERROR(__xludf.DUMMYFUNCTION("""COMPUTED_VALUE"""),"ООО ""СИБСТРОЙ"" 69-СТР от 23.03.2021")</f>
        <v>ООО "СИБСТРОЙ" 69-СТР от 23.03.2021</v>
      </c>
      <c r="D61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6" t="str">
        <f ca="1">IFERROR(__xludf.DUMMYFUNCTION("""COMPUTED_VALUE"""),"Новый")</f>
        <v>Новый</v>
      </c>
      <c r="G6116" s="68"/>
      <c r="K6116" s="68"/>
    </row>
    <row r="6117" spans="1:11" ht="12.75">
      <c r="A6117" s="69">
        <f ca="1">IFERROR(__xludf.DUMMYFUNCTION("""COMPUTED_VALUE"""),107363)</f>
        <v>107363</v>
      </c>
      <c r="B6117" s="4">
        <f ca="1">IFERROR(__xludf.DUMMYFUNCTION("""COMPUTED_VALUE"""),44824)</f>
        <v>44824</v>
      </c>
      <c r="C6117" t="str">
        <f ca="1">IFERROR(__xludf.DUMMYFUNCTION("""COMPUTED_VALUE"""),"ООО ""СИБСТРОЙ"" 69-СТР от 23.03.2021")</f>
        <v>ООО "СИБСТРОЙ" 69-СТР от 23.03.2021</v>
      </c>
      <c r="D61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7" t="str">
        <f ca="1">IFERROR(__xludf.DUMMYFUNCTION("""COMPUTED_VALUE"""),"Новый")</f>
        <v>Новый</v>
      </c>
      <c r="G6117" s="68"/>
      <c r="K6117" s="68"/>
    </row>
    <row r="6118" spans="1:11" ht="12.75">
      <c r="A6118" s="69">
        <f ca="1">IFERROR(__xludf.DUMMYFUNCTION("""COMPUTED_VALUE"""),107364)</f>
        <v>107364</v>
      </c>
      <c r="B6118" s="4">
        <f ca="1">IFERROR(__xludf.DUMMYFUNCTION("""COMPUTED_VALUE"""),44824)</f>
        <v>44824</v>
      </c>
      <c r="C6118" t="str">
        <f ca="1">IFERROR(__xludf.DUMMYFUNCTION("""COMPUTED_VALUE"""),"ООО ""СИБСТРОЙ"" 69-СТР от 23.03.2021")</f>
        <v>ООО "СИБСТРОЙ" 69-СТР от 23.03.2021</v>
      </c>
      <c r="D61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8" t="str">
        <f ca="1">IFERROR(__xludf.DUMMYFUNCTION("""COMPUTED_VALUE"""),"Новый")</f>
        <v>Новый</v>
      </c>
      <c r="G6118" s="68"/>
      <c r="K6118" s="68"/>
    </row>
    <row r="6119" spans="1:11" ht="12.75">
      <c r="A6119" s="69">
        <f ca="1">IFERROR(__xludf.DUMMYFUNCTION("""COMPUTED_VALUE"""),107365)</f>
        <v>107365</v>
      </c>
      <c r="B6119" s="4">
        <f ca="1">IFERROR(__xludf.DUMMYFUNCTION("""COMPUTED_VALUE"""),44824)</f>
        <v>44824</v>
      </c>
      <c r="C6119" t="str">
        <f ca="1">IFERROR(__xludf.DUMMYFUNCTION("""COMPUTED_VALUE"""),"ООО ""СИБСТРОЙ"" 69-СТР от 23.03.2021")</f>
        <v>ООО "СИБСТРОЙ" 69-СТР от 23.03.2021</v>
      </c>
      <c r="D61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19" t="str">
        <f ca="1">IFERROR(__xludf.DUMMYFUNCTION("""COMPUTED_VALUE"""),"Новый")</f>
        <v>Новый</v>
      </c>
      <c r="G6119" s="68"/>
      <c r="K6119" s="68"/>
    </row>
    <row r="6120" spans="1:11" ht="12.75">
      <c r="A6120" s="69">
        <f ca="1">IFERROR(__xludf.DUMMYFUNCTION("""COMPUTED_VALUE"""),107366)</f>
        <v>107366</v>
      </c>
      <c r="B6120" s="4">
        <f ca="1">IFERROR(__xludf.DUMMYFUNCTION("""COMPUTED_VALUE"""),44824)</f>
        <v>44824</v>
      </c>
      <c r="C6120" t="str">
        <f ca="1">IFERROR(__xludf.DUMMYFUNCTION("""COMPUTED_VALUE"""),"ООО ""СИБСТРОЙ"" 69-СТР от 23.03.2021")</f>
        <v>ООО "СИБСТРОЙ" 69-СТР от 23.03.2021</v>
      </c>
      <c r="D61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0" t="str">
        <f ca="1">IFERROR(__xludf.DUMMYFUNCTION("""COMPUTED_VALUE"""),"Новый")</f>
        <v>Новый</v>
      </c>
      <c r="G6120" s="68"/>
      <c r="K6120" s="68"/>
    </row>
    <row r="6121" spans="1:11" ht="12.75">
      <c r="A6121" s="69">
        <f ca="1">IFERROR(__xludf.DUMMYFUNCTION("""COMPUTED_VALUE"""),107367)</f>
        <v>107367</v>
      </c>
      <c r="B6121" s="4">
        <f ca="1">IFERROR(__xludf.DUMMYFUNCTION("""COMPUTED_VALUE"""),44824)</f>
        <v>44824</v>
      </c>
      <c r="C6121" t="str">
        <f ca="1">IFERROR(__xludf.DUMMYFUNCTION("""COMPUTED_VALUE"""),"ООО ""СИБСТРОЙ"" 69-СТР от 23.03.2021")</f>
        <v>ООО "СИБСТРОЙ" 69-СТР от 23.03.2021</v>
      </c>
      <c r="D61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1" t="str">
        <f ca="1">IFERROR(__xludf.DUMMYFUNCTION("""COMPUTED_VALUE"""),"Новый")</f>
        <v>Новый</v>
      </c>
      <c r="G6121" s="68"/>
      <c r="K6121" s="68"/>
    </row>
    <row r="6122" spans="1:11" ht="12.75">
      <c r="A6122" s="69">
        <f ca="1">IFERROR(__xludf.DUMMYFUNCTION("""COMPUTED_VALUE"""),107368)</f>
        <v>107368</v>
      </c>
      <c r="B6122" s="4">
        <f ca="1">IFERROR(__xludf.DUMMYFUNCTION("""COMPUTED_VALUE"""),44824)</f>
        <v>44824</v>
      </c>
      <c r="C6122" t="str">
        <f ca="1">IFERROR(__xludf.DUMMYFUNCTION("""COMPUTED_VALUE"""),"ООО ""СИБСТРОЙ"" 69-СТР от 23.03.2021")</f>
        <v>ООО "СИБСТРОЙ" 69-СТР от 23.03.2021</v>
      </c>
      <c r="D61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2" t="str">
        <f ca="1">IFERROR(__xludf.DUMMYFUNCTION("""COMPUTED_VALUE"""),"Новый")</f>
        <v>Новый</v>
      </c>
      <c r="G6122" s="68"/>
      <c r="K6122" s="68"/>
    </row>
    <row r="6123" spans="1:11" ht="12.75">
      <c r="A6123" s="69">
        <f ca="1">IFERROR(__xludf.DUMMYFUNCTION("""COMPUTED_VALUE"""),107369)</f>
        <v>107369</v>
      </c>
      <c r="B6123" s="4">
        <f ca="1">IFERROR(__xludf.DUMMYFUNCTION("""COMPUTED_VALUE"""),44824)</f>
        <v>44824</v>
      </c>
      <c r="C6123" t="str">
        <f ca="1">IFERROR(__xludf.DUMMYFUNCTION("""COMPUTED_VALUE"""),"ООО ""СИБСТРОЙ"" 69-СТР от 23.03.2021")</f>
        <v>ООО "СИБСТРОЙ" 69-СТР от 23.03.2021</v>
      </c>
      <c r="D61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3" t="str">
        <f ca="1">IFERROR(__xludf.DUMMYFUNCTION("""COMPUTED_VALUE"""),"Новый")</f>
        <v>Новый</v>
      </c>
      <c r="G6123" s="68"/>
      <c r="K6123" s="68"/>
    </row>
    <row r="6124" spans="1:11" ht="12.75">
      <c r="A6124" s="69">
        <f ca="1">IFERROR(__xludf.DUMMYFUNCTION("""COMPUTED_VALUE"""),107370)</f>
        <v>107370</v>
      </c>
      <c r="B6124" s="4">
        <f ca="1">IFERROR(__xludf.DUMMYFUNCTION("""COMPUTED_VALUE"""),44824)</f>
        <v>44824</v>
      </c>
      <c r="C6124" t="str">
        <f ca="1">IFERROR(__xludf.DUMMYFUNCTION("""COMPUTED_VALUE"""),"ООО ""СИБСТРОЙ"" 69-СТР от 23.03.2021")</f>
        <v>ООО "СИБСТРОЙ" 69-СТР от 23.03.2021</v>
      </c>
      <c r="D61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4" t="str">
        <f ca="1">IFERROR(__xludf.DUMMYFUNCTION("""COMPUTED_VALUE"""),"Новый")</f>
        <v>Новый</v>
      </c>
      <c r="G6124" s="68"/>
      <c r="K6124" s="68"/>
    </row>
    <row r="6125" spans="1:11" ht="12.75">
      <c r="A6125" s="69">
        <f ca="1">IFERROR(__xludf.DUMMYFUNCTION("""COMPUTED_VALUE"""),107371)</f>
        <v>107371</v>
      </c>
      <c r="B6125" s="4">
        <f ca="1">IFERROR(__xludf.DUMMYFUNCTION("""COMPUTED_VALUE"""),44824)</f>
        <v>44824</v>
      </c>
      <c r="C6125" t="str">
        <f ca="1">IFERROR(__xludf.DUMMYFUNCTION("""COMPUTED_VALUE"""),"ООО ""СИБСТРОЙ"" 69-СТР от 23.03.2021")</f>
        <v>ООО "СИБСТРОЙ" 69-СТР от 23.03.2021</v>
      </c>
      <c r="D61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5" t="str">
        <f ca="1">IFERROR(__xludf.DUMMYFUNCTION("""COMPUTED_VALUE"""),"Новый")</f>
        <v>Новый</v>
      </c>
      <c r="G6125" s="68"/>
      <c r="K6125" s="68"/>
    </row>
    <row r="6126" spans="1:11" ht="12.75">
      <c r="A6126" s="69">
        <f ca="1">IFERROR(__xludf.DUMMYFUNCTION("""COMPUTED_VALUE"""),107372)</f>
        <v>107372</v>
      </c>
      <c r="B6126" s="4">
        <f ca="1">IFERROR(__xludf.DUMMYFUNCTION("""COMPUTED_VALUE"""),44824)</f>
        <v>44824</v>
      </c>
      <c r="C6126" t="str">
        <f ca="1">IFERROR(__xludf.DUMMYFUNCTION("""COMPUTED_VALUE"""),"ООО ""СИБСТРОЙ"" 69-СТР от 23.03.2021")</f>
        <v>ООО "СИБСТРОЙ" 69-СТР от 23.03.2021</v>
      </c>
      <c r="D61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6" t="str">
        <f ca="1">IFERROR(__xludf.DUMMYFUNCTION("""COMPUTED_VALUE"""),"Новый")</f>
        <v>Новый</v>
      </c>
      <c r="G6126" s="68"/>
      <c r="K6126" s="68"/>
    </row>
    <row r="6127" spans="1:11" ht="12.75">
      <c r="A6127" s="69">
        <f ca="1">IFERROR(__xludf.DUMMYFUNCTION("""COMPUTED_VALUE"""),107373)</f>
        <v>107373</v>
      </c>
      <c r="B6127" s="4">
        <f ca="1">IFERROR(__xludf.DUMMYFUNCTION("""COMPUTED_VALUE"""),44824)</f>
        <v>44824</v>
      </c>
      <c r="C6127" t="str">
        <f ca="1">IFERROR(__xludf.DUMMYFUNCTION("""COMPUTED_VALUE"""),"ООО ""СИБСТРОЙ"" 69-СТР от 23.03.2021")</f>
        <v>ООО "СИБСТРОЙ" 69-СТР от 23.03.2021</v>
      </c>
      <c r="D61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7" t="str">
        <f ca="1">IFERROR(__xludf.DUMMYFUNCTION("""COMPUTED_VALUE"""),"Новый")</f>
        <v>Новый</v>
      </c>
      <c r="G6127" s="68"/>
      <c r="K6127" s="68"/>
    </row>
    <row r="6128" spans="1:11" ht="12.75">
      <c r="A6128" s="69">
        <f ca="1">IFERROR(__xludf.DUMMYFUNCTION("""COMPUTED_VALUE"""),107374)</f>
        <v>107374</v>
      </c>
      <c r="B6128" s="4">
        <f ca="1">IFERROR(__xludf.DUMMYFUNCTION("""COMPUTED_VALUE"""),44824)</f>
        <v>44824</v>
      </c>
      <c r="C6128" t="str">
        <f ca="1">IFERROR(__xludf.DUMMYFUNCTION("""COMPUTED_VALUE"""),"ООО ""СИБСТРОЙ"" 69-СТР от 23.03.2021")</f>
        <v>ООО "СИБСТРОЙ" 69-СТР от 23.03.2021</v>
      </c>
      <c r="D61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8" t="str">
        <f ca="1">IFERROR(__xludf.DUMMYFUNCTION("""COMPUTED_VALUE"""),"Новый")</f>
        <v>Новый</v>
      </c>
      <c r="G6128" s="68"/>
      <c r="K6128" s="68"/>
    </row>
    <row r="6129" spans="1:11" ht="12.75">
      <c r="A6129" s="69">
        <f ca="1">IFERROR(__xludf.DUMMYFUNCTION("""COMPUTED_VALUE"""),107375)</f>
        <v>107375</v>
      </c>
      <c r="B6129" s="4">
        <f ca="1">IFERROR(__xludf.DUMMYFUNCTION("""COMPUTED_VALUE"""),44824)</f>
        <v>44824</v>
      </c>
      <c r="C6129" t="str">
        <f ca="1">IFERROR(__xludf.DUMMYFUNCTION("""COMPUTED_VALUE"""),"ООО ""СИБСТРОЙ"" 69-СТР от 23.03.2021")</f>
        <v>ООО "СИБСТРОЙ" 69-СТР от 23.03.2021</v>
      </c>
      <c r="D61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29" t="str">
        <f ca="1">IFERROR(__xludf.DUMMYFUNCTION("""COMPUTED_VALUE"""),"Новый")</f>
        <v>Новый</v>
      </c>
      <c r="G6129" s="68"/>
      <c r="K6129" s="68"/>
    </row>
    <row r="6130" spans="1:11" ht="12.75">
      <c r="A6130" s="69">
        <f ca="1">IFERROR(__xludf.DUMMYFUNCTION("""COMPUTED_VALUE"""),107376)</f>
        <v>107376</v>
      </c>
      <c r="B6130" s="4">
        <f ca="1">IFERROR(__xludf.DUMMYFUNCTION("""COMPUTED_VALUE"""),44824)</f>
        <v>44824</v>
      </c>
      <c r="C6130" t="str">
        <f ca="1">IFERROR(__xludf.DUMMYFUNCTION("""COMPUTED_VALUE"""),"ООО ""СИБСТРОЙ"" 69-СТР от 23.03.2021")</f>
        <v>ООО "СИБСТРОЙ" 69-СТР от 23.03.2021</v>
      </c>
      <c r="D61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0" t="str">
        <f ca="1">IFERROR(__xludf.DUMMYFUNCTION("""COMPUTED_VALUE"""),"Новый")</f>
        <v>Новый</v>
      </c>
      <c r="G6130" s="68"/>
      <c r="K6130" s="68"/>
    </row>
    <row r="6131" spans="1:11" ht="12.75">
      <c r="A6131" s="69">
        <f ca="1">IFERROR(__xludf.DUMMYFUNCTION("""COMPUTED_VALUE"""),107377)</f>
        <v>107377</v>
      </c>
      <c r="B6131" s="4">
        <f ca="1">IFERROR(__xludf.DUMMYFUNCTION("""COMPUTED_VALUE"""),44824)</f>
        <v>44824</v>
      </c>
      <c r="C6131" t="str">
        <f ca="1">IFERROR(__xludf.DUMMYFUNCTION("""COMPUTED_VALUE"""),"ООО ""СИБСТРОЙ"" 69-СТР от 23.03.2021")</f>
        <v>ООО "СИБСТРОЙ" 69-СТР от 23.03.2021</v>
      </c>
      <c r="D61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1" t="str">
        <f ca="1">IFERROR(__xludf.DUMMYFUNCTION("""COMPUTED_VALUE"""),"Новый")</f>
        <v>Новый</v>
      </c>
      <c r="G6131" s="68"/>
      <c r="K6131" s="68"/>
    </row>
    <row r="6132" spans="1:11" ht="12.75">
      <c r="A6132" s="69">
        <f ca="1">IFERROR(__xludf.DUMMYFUNCTION("""COMPUTED_VALUE"""),107378)</f>
        <v>107378</v>
      </c>
      <c r="B6132" s="4">
        <f ca="1">IFERROR(__xludf.DUMMYFUNCTION("""COMPUTED_VALUE"""),44824)</f>
        <v>44824</v>
      </c>
      <c r="C6132" t="str">
        <f ca="1">IFERROR(__xludf.DUMMYFUNCTION("""COMPUTED_VALUE"""),"ООО ""СИБСТРОЙ"" 69-СТР от 23.03.2021")</f>
        <v>ООО "СИБСТРОЙ" 69-СТР от 23.03.2021</v>
      </c>
      <c r="D61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2" t="str">
        <f ca="1">IFERROR(__xludf.DUMMYFUNCTION("""COMPUTED_VALUE"""),"Новый")</f>
        <v>Новый</v>
      </c>
      <c r="G6132" s="68"/>
      <c r="K6132" s="68"/>
    </row>
    <row r="6133" spans="1:11" ht="12.75">
      <c r="A6133" s="69">
        <f ca="1">IFERROR(__xludf.DUMMYFUNCTION("""COMPUTED_VALUE"""),107379)</f>
        <v>107379</v>
      </c>
      <c r="B6133" s="4">
        <f ca="1">IFERROR(__xludf.DUMMYFUNCTION("""COMPUTED_VALUE"""),44824)</f>
        <v>44824</v>
      </c>
      <c r="C6133" t="str">
        <f ca="1">IFERROR(__xludf.DUMMYFUNCTION("""COMPUTED_VALUE"""),"ООО ""СИБСТРОЙ"" 69-СТР от 23.03.2021")</f>
        <v>ООО "СИБСТРОЙ" 69-СТР от 23.03.2021</v>
      </c>
      <c r="D61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3" t="str">
        <f ca="1">IFERROR(__xludf.DUMMYFUNCTION("""COMPUTED_VALUE"""),"Новый")</f>
        <v>Новый</v>
      </c>
      <c r="G6133" s="68"/>
      <c r="K6133" s="68"/>
    </row>
    <row r="6134" spans="1:11" ht="12.75">
      <c r="A6134" s="69">
        <f ca="1">IFERROR(__xludf.DUMMYFUNCTION("""COMPUTED_VALUE"""),107380)</f>
        <v>107380</v>
      </c>
      <c r="B6134" s="4">
        <f ca="1">IFERROR(__xludf.DUMMYFUNCTION("""COMPUTED_VALUE"""),44824)</f>
        <v>44824</v>
      </c>
      <c r="C6134" t="str">
        <f ca="1">IFERROR(__xludf.DUMMYFUNCTION("""COMPUTED_VALUE"""),"ООО ""СИБСТРОЙ"" 69-СТР от 23.03.2021")</f>
        <v>ООО "СИБСТРОЙ" 69-СТР от 23.03.2021</v>
      </c>
      <c r="D61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4" t="str">
        <f ca="1">IFERROR(__xludf.DUMMYFUNCTION("""COMPUTED_VALUE"""),"Новый")</f>
        <v>Новый</v>
      </c>
      <c r="G6134" s="68"/>
      <c r="K6134" s="68"/>
    </row>
    <row r="6135" spans="1:11" ht="12.75">
      <c r="A6135" s="69">
        <f ca="1">IFERROR(__xludf.DUMMYFUNCTION("""COMPUTED_VALUE"""),107381)</f>
        <v>107381</v>
      </c>
      <c r="B6135" s="4">
        <f ca="1">IFERROR(__xludf.DUMMYFUNCTION("""COMPUTED_VALUE"""),44824)</f>
        <v>44824</v>
      </c>
      <c r="C6135" t="str">
        <f ca="1">IFERROR(__xludf.DUMMYFUNCTION("""COMPUTED_VALUE"""),"ООО ""СИБСТРОЙ"" 69-СТР от 23.03.2021")</f>
        <v>ООО "СИБСТРОЙ" 69-СТР от 23.03.2021</v>
      </c>
      <c r="D61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5" t="str">
        <f ca="1">IFERROR(__xludf.DUMMYFUNCTION("""COMPUTED_VALUE"""),"Новый")</f>
        <v>Новый</v>
      </c>
      <c r="G6135" s="68"/>
      <c r="K6135" s="68"/>
    </row>
    <row r="6136" spans="1:11" ht="12.75">
      <c r="A6136" s="69">
        <f ca="1">IFERROR(__xludf.DUMMYFUNCTION("""COMPUTED_VALUE"""),107383)</f>
        <v>107383</v>
      </c>
      <c r="B6136" s="4">
        <f ca="1">IFERROR(__xludf.DUMMYFUNCTION("""COMPUTED_VALUE"""),44824)</f>
        <v>44824</v>
      </c>
      <c r="C6136" t="str">
        <f ca="1">IFERROR(__xludf.DUMMYFUNCTION("""COMPUTED_VALUE"""),"ООО ""СИБСТРОЙ"" 69-СТР от 23.03.2021")</f>
        <v>ООО "СИБСТРОЙ" 69-СТР от 23.03.2021</v>
      </c>
      <c r="D61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6" t="str">
        <f ca="1">IFERROR(__xludf.DUMMYFUNCTION("""COMPUTED_VALUE"""),"Новый")</f>
        <v>Новый</v>
      </c>
      <c r="G6136" s="68"/>
      <c r="K6136" s="68"/>
    </row>
    <row r="6137" spans="1:11" ht="12.75">
      <c r="A6137" s="69">
        <f ca="1">IFERROR(__xludf.DUMMYFUNCTION("""COMPUTED_VALUE"""),107384)</f>
        <v>107384</v>
      </c>
      <c r="B6137" s="4">
        <f ca="1">IFERROR(__xludf.DUMMYFUNCTION("""COMPUTED_VALUE"""),44824)</f>
        <v>44824</v>
      </c>
      <c r="C6137" t="str">
        <f ca="1">IFERROR(__xludf.DUMMYFUNCTION("""COMPUTED_VALUE"""),"ООО ""СИБСТРОЙ"" 69-СТР от 23.03.2021")</f>
        <v>ООО "СИБСТРОЙ" 69-СТР от 23.03.2021</v>
      </c>
      <c r="D61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7" t="str">
        <f ca="1">IFERROR(__xludf.DUMMYFUNCTION("""COMPUTED_VALUE"""),"Новый")</f>
        <v>Новый</v>
      </c>
      <c r="G6137" s="68"/>
      <c r="K6137" s="68"/>
    </row>
    <row r="6138" spans="1:11" ht="12.75">
      <c r="A6138" s="69">
        <f ca="1">IFERROR(__xludf.DUMMYFUNCTION("""COMPUTED_VALUE"""),107385)</f>
        <v>107385</v>
      </c>
      <c r="B6138" s="4">
        <f ca="1">IFERROR(__xludf.DUMMYFUNCTION("""COMPUTED_VALUE"""),44824)</f>
        <v>44824</v>
      </c>
      <c r="C6138" t="str">
        <f ca="1">IFERROR(__xludf.DUMMYFUNCTION("""COMPUTED_VALUE"""),"ООО ""СИБСТРОЙ"" 69-СТР от 23.03.2021")</f>
        <v>ООО "СИБСТРОЙ" 69-СТР от 23.03.2021</v>
      </c>
      <c r="D61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8" t="str">
        <f ca="1">IFERROR(__xludf.DUMMYFUNCTION("""COMPUTED_VALUE"""),"Новый")</f>
        <v>Новый</v>
      </c>
      <c r="G6138" s="68"/>
      <c r="K6138" s="68"/>
    </row>
    <row r="6139" spans="1:11" ht="12.75">
      <c r="A6139" s="69">
        <f ca="1">IFERROR(__xludf.DUMMYFUNCTION("""COMPUTED_VALUE"""),107393)</f>
        <v>107393</v>
      </c>
      <c r="B6139" s="4">
        <f ca="1">IFERROR(__xludf.DUMMYFUNCTION("""COMPUTED_VALUE"""),44824)</f>
        <v>44824</v>
      </c>
      <c r="C6139" t="str">
        <f ca="1">IFERROR(__xludf.DUMMYFUNCTION("""COMPUTED_VALUE"""),"ООО ""СИБСТРОЙ"" 69-СТР от 23.03.2021")</f>
        <v>ООО "СИБСТРОЙ" 69-СТР от 23.03.2021</v>
      </c>
      <c r="D61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39" t="str">
        <f ca="1">IFERROR(__xludf.DUMMYFUNCTION("""COMPUTED_VALUE"""),"Новый")</f>
        <v>Новый</v>
      </c>
      <c r="G6139" s="68"/>
      <c r="K6139" s="68"/>
    </row>
    <row r="6140" spans="1:11" ht="12.75">
      <c r="A6140" s="69">
        <f ca="1">IFERROR(__xludf.DUMMYFUNCTION("""COMPUTED_VALUE"""),107394)</f>
        <v>107394</v>
      </c>
      <c r="B6140" s="4">
        <f ca="1">IFERROR(__xludf.DUMMYFUNCTION("""COMPUTED_VALUE"""),44824)</f>
        <v>44824</v>
      </c>
      <c r="C6140" t="str">
        <f ca="1">IFERROR(__xludf.DUMMYFUNCTION("""COMPUTED_VALUE"""),"ООО ""СИБСТРОЙ"" 69-СТР от 23.03.2021")</f>
        <v>ООО "СИБСТРОЙ" 69-СТР от 23.03.2021</v>
      </c>
      <c r="D61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0" t="str">
        <f ca="1">IFERROR(__xludf.DUMMYFUNCTION("""COMPUTED_VALUE"""),"Новый")</f>
        <v>Новый</v>
      </c>
      <c r="G6140" s="68"/>
      <c r="K6140" s="68"/>
    </row>
    <row r="6141" spans="1:11" ht="12.75">
      <c r="A6141" s="69">
        <f ca="1">IFERROR(__xludf.DUMMYFUNCTION("""COMPUTED_VALUE"""),107395)</f>
        <v>107395</v>
      </c>
      <c r="B6141" s="4">
        <f ca="1">IFERROR(__xludf.DUMMYFUNCTION("""COMPUTED_VALUE"""),44824)</f>
        <v>44824</v>
      </c>
      <c r="C6141" t="str">
        <f ca="1">IFERROR(__xludf.DUMMYFUNCTION("""COMPUTED_VALUE"""),"ООО ""СИБСТРОЙ"" 69-СТР от 23.03.2021")</f>
        <v>ООО "СИБСТРОЙ" 69-СТР от 23.03.2021</v>
      </c>
      <c r="D61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1" t="str">
        <f ca="1">IFERROR(__xludf.DUMMYFUNCTION("""COMPUTED_VALUE"""),"Новый")</f>
        <v>Новый</v>
      </c>
      <c r="G6141" s="68"/>
      <c r="K6141" s="68"/>
    </row>
    <row r="6142" spans="1:11" ht="12.75">
      <c r="A6142" s="69">
        <f ca="1">IFERROR(__xludf.DUMMYFUNCTION("""COMPUTED_VALUE"""),107396)</f>
        <v>107396</v>
      </c>
      <c r="B6142" s="4">
        <f ca="1">IFERROR(__xludf.DUMMYFUNCTION("""COMPUTED_VALUE"""),44824)</f>
        <v>44824</v>
      </c>
      <c r="C6142" t="str">
        <f ca="1">IFERROR(__xludf.DUMMYFUNCTION("""COMPUTED_VALUE"""),"ООО ""СИБСТРОЙ"" 69-СТР от 23.03.2021")</f>
        <v>ООО "СИБСТРОЙ" 69-СТР от 23.03.2021</v>
      </c>
      <c r="D61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2" t="str">
        <f ca="1">IFERROR(__xludf.DUMMYFUNCTION("""COMPUTED_VALUE"""),"Новый")</f>
        <v>Новый</v>
      </c>
      <c r="G6142" s="68"/>
      <c r="K6142" s="68"/>
    </row>
    <row r="6143" spans="1:11" ht="12.75">
      <c r="A6143" s="69">
        <f ca="1">IFERROR(__xludf.DUMMYFUNCTION("""COMPUTED_VALUE"""),107397)</f>
        <v>107397</v>
      </c>
      <c r="B6143" s="4">
        <f ca="1">IFERROR(__xludf.DUMMYFUNCTION("""COMPUTED_VALUE"""),44824)</f>
        <v>44824</v>
      </c>
      <c r="C6143" t="str">
        <f ca="1">IFERROR(__xludf.DUMMYFUNCTION("""COMPUTED_VALUE"""),"ООО ""СИБСТРОЙ"" 69-СТР от 23.03.2021")</f>
        <v>ООО "СИБСТРОЙ" 69-СТР от 23.03.2021</v>
      </c>
      <c r="D61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3" t="str">
        <f ca="1">IFERROR(__xludf.DUMMYFUNCTION("""COMPUTED_VALUE"""),"Новый")</f>
        <v>Новый</v>
      </c>
      <c r="G6143" s="68"/>
      <c r="K6143" s="68"/>
    </row>
    <row r="6144" spans="1:11" ht="12.75">
      <c r="A6144" s="69">
        <f ca="1">IFERROR(__xludf.DUMMYFUNCTION("""COMPUTED_VALUE"""),107398)</f>
        <v>107398</v>
      </c>
      <c r="B6144" s="4">
        <f ca="1">IFERROR(__xludf.DUMMYFUNCTION("""COMPUTED_VALUE"""),44824)</f>
        <v>44824</v>
      </c>
      <c r="C6144" t="str">
        <f ca="1">IFERROR(__xludf.DUMMYFUNCTION("""COMPUTED_VALUE"""),"ООО ""СИБСТРОЙ"" 69-СТР от 23.03.2021")</f>
        <v>ООО "СИБСТРОЙ" 69-СТР от 23.03.2021</v>
      </c>
      <c r="D61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4" t="str">
        <f ca="1">IFERROR(__xludf.DUMMYFUNCTION("""COMPUTED_VALUE"""),"Новый")</f>
        <v>Новый</v>
      </c>
      <c r="G6144" s="68"/>
      <c r="K6144" s="68"/>
    </row>
    <row r="6145" spans="1:11" ht="12.75">
      <c r="A6145" s="69">
        <f ca="1">IFERROR(__xludf.DUMMYFUNCTION("""COMPUTED_VALUE"""),107399)</f>
        <v>107399</v>
      </c>
      <c r="B6145" s="4">
        <f ca="1">IFERROR(__xludf.DUMMYFUNCTION("""COMPUTED_VALUE"""),44824)</f>
        <v>44824</v>
      </c>
      <c r="C6145" t="str">
        <f ca="1">IFERROR(__xludf.DUMMYFUNCTION("""COMPUTED_VALUE"""),"ООО ""СИБСТРОЙ"" 69-СТР от 23.03.2021")</f>
        <v>ООО "СИБСТРОЙ" 69-СТР от 23.03.2021</v>
      </c>
      <c r="D61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5" t="str">
        <f ca="1">IFERROR(__xludf.DUMMYFUNCTION("""COMPUTED_VALUE"""),"Новый")</f>
        <v>Новый</v>
      </c>
      <c r="G6145" s="68"/>
      <c r="K6145" s="68"/>
    </row>
    <row r="6146" spans="1:11" ht="12.75">
      <c r="A6146" s="69">
        <f ca="1">IFERROR(__xludf.DUMMYFUNCTION("""COMPUTED_VALUE"""),107400)</f>
        <v>107400</v>
      </c>
      <c r="B6146" s="4">
        <f ca="1">IFERROR(__xludf.DUMMYFUNCTION("""COMPUTED_VALUE"""),44824)</f>
        <v>44824</v>
      </c>
      <c r="C6146" t="str">
        <f ca="1">IFERROR(__xludf.DUMMYFUNCTION("""COMPUTED_VALUE"""),"ООО ""СИБСТРОЙ"" 69-СТР от 23.03.2021")</f>
        <v>ООО "СИБСТРОЙ" 69-СТР от 23.03.2021</v>
      </c>
      <c r="D61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6" t="str">
        <f ca="1">IFERROR(__xludf.DUMMYFUNCTION("""COMPUTED_VALUE"""),"Новый")</f>
        <v>Новый</v>
      </c>
      <c r="G6146" s="68"/>
      <c r="K6146" s="68"/>
    </row>
    <row r="6147" spans="1:11" ht="12.75">
      <c r="A6147" s="69">
        <f ca="1">IFERROR(__xludf.DUMMYFUNCTION("""COMPUTED_VALUE"""),107401)</f>
        <v>107401</v>
      </c>
      <c r="B6147" s="4">
        <f ca="1">IFERROR(__xludf.DUMMYFUNCTION("""COMPUTED_VALUE"""),44824)</f>
        <v>44824</v>
      </c>
      <c r="C6147" t="str">
        <f ca="1">IFERROR(__xludf.DUMMYFUNCTION("""COMPUTED_VALUE"""),"ООО ""СИБСТРОЙ"" 69-СТР от 23.03.2021")</f>
        <v>ООО "СИБСТРОЙ" 69-СТР от 23.03.2021</v>
      </c>
      <c r="D61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7" t="str">
        <f ca="1">IFERROR(__xludf.DUMMYFUNCTION("""COMPUTED_VALUE"""),"Новый")</f>
        <v>Новый</v>
      </c>
      <c r="G6147" s="68"/>
      <c r="K6147" s="68"/>
    </row>
    <row r="6148" spans="1:11" ht="12.75">
      <c r="A6148" s="69">
        <f ca="1">IFERROR(__xludf.DUMMYFUNCTION("""COMPUTED_VALUE"""),107402)</f>
        <v>107402</v>
      </c>
      <c r="B6148" s="4">
        <f ca="1">IFERROR(__xludf.DUMMYFUNCTION("""COMPUTED_VALUE"""),44824)</f>
        <v>44824</v>
      </c>
      <c r="C6148" t="str">
        <f ca="1">IFERROR(__xludf.DUMMYFUNCTION("""COMPUTED_VALUE"""),"БУ Г. ОМСКА ""УДХБ"" 144-СТР от 01.07.2022")</f>
        <v>БУ Г. ОМСКА "УДХБ" 144-СТР от 01.07.2022</v>
      </c>
      <c r="D61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8" t="str">
        <f ca="1">IFERROR(__xludf.DUMMYFUNCTION("""COMPUTED_VALUE"""),"Новый")</f>
        <v>Новый</v>
      </c>
      <c r="G6148" s="68"/>
      <c r="K6148" s="68"/>
    </row>
    <row r="6149" spans="1:11" ht="12.75">
      <c r="A6149" s="69">
        <f ca="1">IFERROR(__xludf.DUMMYFUNCTION("""COMPUTED_VALUE"""),107403)</f>
        <v>107403</v>
      </c>
      <c r="B6149" s="4">
        <f ca="1">IFERROR(__xludf.DUMMYFUNCTION("""COMPUTED_VALUE"""),44824)</f>
        <v>44824</v>
      </c>
      <c r="C6149" t="str">
        <f ca="1">IFERROR(__xludf.DUMMYFUNCTION("""COMPUTED_VALUE"""),"БУ Г. ОМСКА ""УДХБ"" 144-СТР от 01.07.2022")</f>
        <v>БУ Г. ОМСКА "УДХБ" 144-СТР от 01.07.2022</v>
      </c>
      <c r="D61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49" t="str">
        <f ca="1">IFERROR(__xludf.DUMMYFUNCTION("""COMPUTED_VALUE"""),"Новый")</f>
        <v>Новый</v>
      </c>
      <c r="G6149" s="68"/>
      <c r="K6149" s="68"/>
    </row>
    <row r="6150" spans="1:11" ht="12.75">
      <c r="A6150" s="69">
        <f ca="1">IFERROR(__xludf.DUMMYFUNCTION("""COMPUTED_VALUE"""),107404)</f>
        <v>107404</v>
      </c>
      <c r="B6150" s="4">
        <f ca="1">IFERROR(__xludf.DUMMYFUNCTION("""COMPUTED_VALUE"""),44824)</f>
        <v>44824</v>
      </c>
      <c r="C6150" t="str">
        <f ca="1">IFERROR(__xludf.DUMMYFUNCTION("""COMPUTED_VALUE"""),"БУ Г. ОМСКА ""УДХБ"" 144-СТР от 01.07.2022")</f>
        <v>БУ Г. ОМСКА "УДХБ" 144-СТР от 01.07.2022</v>
      </c>
      <c r="D61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0" t="str">
        <f ca="1">IFERROR(__xludf.DUMMYFUNCTION("""COMPUTED_VALUE"""),"Новый")</f>
        <v>Новый</v>
      </c>
      <c r="G6150" s="68"/>
      <c r="K6150" s="68"/>
    </row>
    <row r="6151" spans="1:11" ht="12.75">
      <c r="A6151" s="69">
        <f ca="1">IFERROR(__xludf.DUMMYFUNCTION("""COMPUTED_VALUE"""),107405)</f>
        <v>107405</v>
      </c>
      <c r="B6151" s="4">
        <f ca="1">IFERROR(__xludf.DUMMYFUNCTION("""COMPUTED_VALUE"""),44824)</f>
        <v>44824</v>
      </c>
      <c r="C6151" t="str">
        <f ca="1">IFERROR(__xludf.DUMMYFUNCTION("""COMPUTED_VALUE"""),"БУ Г. ОМСКА ""УДХБ"" 144-СТР от 01.07.2022")</f>
        <v>БУ Г. ОМСКА "УДХБ" 144-СТР от 01.07.2022</v>
      </c>
      <c r="D61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1" t="str">
        <f ca="1">IFERROR(__xludf.DUMMYFUNCTION("""COMPUTED_VALUE"""),"Новый")</f>
        <v>Новый</v>
      </c>
      <c r="G6151" s="68"/>
      <c r="K6151" s="68"/>
    </row>
    <row r="6152" spans="1:11" ht="12.75">
      <c r="A6152" s="69">
        <f ca="1">IFERROR(__xludf.DUMMYFUNCTION("""COMPUTED_VALUE"""),107406)</f>
        <v>107406</v>
      </c>
      <c r="B6152" s="4">
        <f ca="1">IFERROR(__xludf.DUMMYFUNCTION("""COMPUTED_VALUE"""),44824)</f>
        <v>44824</v>
      </c>
      <c r="C6152" t="str">
        <f ca="1">IFERROR(__xludf.DUMMYFUNCTION("""COMPUTED_VALUE"""),"БУ Г. ОМСКА ""УДХБ"" 144-СТР от 01.07.2022")</f>
        <v>БУ Г. ОМСКА "УДХБ" 144-СТР от 01.07.2022</v>
      </c>
      <c r="D61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2" t="str">
        <f ca="1">IFERROR(__xludf.DUMMYFUNCTION("""COMPUTED_VALUE"""),"Новый")</f>
        <v>Новый</v>
      </c>
      <c r="G6152" s="68"/>
      <c r="K6152" s="68"/>
    </row>
    <row r="6153" spans="1:11" ht="12.75">
      <c r="A6153" s="69">
        <f ca="1">IFERROR(__xludf.DUMMYFUNCTION("""COMPUTED_VALUE"""),107407)</f>
        <v>107407</v>
      </c>
      <c r="B6153" s="4">
        <f ca="1">IFERROR(__xludf.DUMMYFUNCTION("""COMPUTED_VALUE"""),44824)</f>
        <v>44824</v>
      </c>
      <c r="C6153" t="str">
        <f ca="1">IFERROR(__xludf.DUMMYFUNCTION("""COMPUTED_VALUE"""),"БУ Г. ОМСКА ""УДХБ"" 144-СТР от 01.07.2022")</f>
        <v>БУ Г. ОМСКА "УДХБ" 144-СТР от 01.07.2022</v>
      </c>
      <c r="D61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3" t="str">
        <f ca="1">IFERROR(__xludf.DUMMYFUNCTION("""COMPUTED_VALUE"""),"Новый")</f>
        <v>Новый</v>
      </c>
      <c r="G6153" s="68"/>
      <c r="K6153" s="68"/>
    </row>
    <row r="6154" spans="1:11" ht="12.75">
      <c r="A6154" s="69">
        <f ca="1">IFERROR(__xludf.DUMMYFUNCTION("""COMPUTED_VALUE"""),107408)</f>
        <v>107408</v>
      </c>
      <c r="B6154" s="4">
        <f ca="1">IFERROR(__xludf.DUMMYFUNCTION("""COMPUTED_VALUE"""),44824)</f>
        <v>44824</v>
      </c>
      <c r="C6154" t="str">
        <f ca="1">IFERROR(__xludf.DUMMYFUNCTION("""COMPUTED_VALUE"""),"БУ Г. ОМСКА ""УДХБ"" 144-СТР от 01.07.2022")</f>
        <v>БУ Г. ОМСКА "УДХБ" 144-СТР от 01.07.2022</v>
      </c>
      <c r="D61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4" t="str">
        <f ca="1">IFERROR(__xludf.DUMMYFUNCTION("""COMPUTED_VALUE"""),"Новый")</f>
        <v>Новый</v>
      </c>
      <c r="G6154" s="68"/>
      <c r="K6154" s="68"/>
    </row>
    <row r="6155" spans="1:11" ht="12.75">
      <c r="A6155" s="69">
        <f ca="1">IFERROR(__xludf.DUMMYFUNCTION("""COMPUTED_VALUE"""),107409)</f>
        <v>107409</v>
      </c>
      <c r="B6155" s="4">
        <f ca="1">IFERROR(__xludf.DUMMYFUNCTION("""COMPUTED_VALUE"""),44824)</f>
        <v>44824</v>
      </c>
      <c r="C6155" t="str">
        <f ca="1">IFERROR(__xludf.DUMMYFUNCTION("""COMPUTED_VALUE"""),"БУ Г. ОМСКА ""УДХБ"" 144-СТР от 01.07.2022")</f>
        <v>БУ Г. ОМСКА "УДХБ" 144-СТР от 01.07.2022</v>
      </c>
      <c r="D61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5" t="str">
        <f ca="1">IFERROR(__xludf.DUMMYFUNCTION("""COMPUTED_VALUE"""),"Новый")</f>
        <v>Новый</v>
      </c>
      <c r="G6155" s="68"/>
      <c r="K6155" s="68"/>
    </row>
    <row r="6156" spans="1:11" ht="12.75">
      <c r="A6156" s="69">
        <f ca="1">IFERROR(__xludf.DUMMYFUNCTION("""COMPUTED_VALUE"""),107410)</f>
        <v>107410</v>
      </c>
      <c r="B6156" s="4">
        <f ca="1">IFERROR(__xludf.DUMMYFUNCTION("""COMPUTED_VALUE"""),44824)</f>
        <v>44824</v>
      </c>
      <c r="C6156" t="str">
        <f ca="1">IFERROR(__xludf.DUMMYFUNCTION("""COMPUTED_VALUE"""),"БУ Г. ОМСКА ""УДХБ"" 144-СТР от 01.07.2022")</f>
        <v>БУ Г. ОМСКА "УДХБ" 144-СТР от 01.07.2022</v>
      </c>
      <c r="D61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6" t="str">
        <f ca="1">IFERROR(__xludf.DUMMYFUNCTION("""COMPUTED_VALUE"""),"Новый")</f>
        <v>Новый</v>
      </c>
      <c r="G6156" s="68"/>
      <c r="K6156" s="68"/>
    </row>
    <row r="6157" spans="1:11" ht="12.75">
      <c r="A6157" s="69">
        <f ca="1">IFERROR(__xludf.DUMMYFUNCTION("""COMPUTED_VALUE"""),107411)</f>
        <v>107411</v>
      </c>
      <c r="B6157" s="4">
        <f ca="1">IFERROR(__xludf.DUMMYFUNCTION("""COMPUTED_VALUE"""),44824)</f>
        <v>44824</v>
      </c>
      <c r="C6157" t="str">
        <f ca="1">IFERROR(__xludf.DUMMYFUNCTION("""COMPUTED_VALUE"""),"БУ Г. ОМСКА ""УДХБ"" 144-СТР от 01.07.2022")</f>
        <v>БУ Г. ОМСКА "УДХБ" 144-СТР от 01.07.2022</v>
      </c>
      <c r="D61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7" t="str">
        <f ca="1">IFERROR(__xludf.DUMMYFUNCTION("""COMPUTED_VALUE"""),"Новый")</f>
        <v>Новый</v>
      </c>
      <c r="G6157" s="68"/>
      <c r="K6157" s="68"/>
    </row>
    <row r="6158" spans="1:11" ht="12.75">
      <c r="A6158" s="69">
        <f ca="1">IFERROR(__xludf.DUMMYFUNCTION("""COMPUTED_VALUE"""),107412)</f>
        <v>107412</v>
      </c>
      <c r="B6158" s="4">
        <f ca="1">IFERROR(__xludf.DUMMYFUNCTION("""COMPUTED_VALUE"""),44824)</f>
        <v>44824</v>
      </c>
      <c r="C6158" t="str">
        <f ca="1">IFERROR(__xludf.DUMMYFUNCTION("""COMPUTED_VALUE"""),"БУ Г. ОМСКА ""УДХБ"" 144-СТР от 01.07.2022")</f>
        <v>БУ Г. ОМСКА "УДХБ" 144-СТР от 01.07.2022</v>
      </c>
      <c r="D61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8" t="str">
        <f ca="1">IFERROR(__xludf.DUMMYFUNCTION("""COMPUTED_VALUE"""),"Новый")</f>
        <v>Новый</v>
      </c>
      <c r="G6158" s="68"/>
      <c r="K6158" s="68"/>
    </row>
    <row r="6159" spans="1:11" ht="12.75">
      <c r="A6159" s="69">
        <f ca="1">IFERROR(__xludf.DUMMYFUNCTION("""COMPUTED_VALUE"""),107413)</f>
        <v>107413</v>
      </c>
      <c r="B6159" s="4">
        <f ca="1">IFERROR(__xludf.DUMMYFUNCTION("""COMPUTED_VALUE"""),44824)</f>
        <v>44824</v>
      </c>
      <c r="C6159" t="str">
        <f ca="1">IFERROR(__xludf.DUMMYFUNCTION("""COMPUTED_VALUE"""),"БУ Г. ОМСКА ""УДХБ"" 144-СТР от 01.07.2022")</f>
        <v>БУ Г. ОМСКА "УДХБ" 144-СТР от 01.07.2022</v>
      </c>
      <c r="D61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59" t="str">
        <f ca="1">IFERROR(__xludf.DUMMYFUNCTION("""COMPUTED_VALUE"""),"Новый")</f>
        <v>Новый</v>
      </c>
      <c r="G6159" s="68"/>
      <c r="K6159" s="68"/>
    </row>
    <row r="6160" spans="1:11" ht="12.75">
      <c r="A6160" s="69">
        <f ca="1">IFERROR(__xludf.DUMMYFUNCTION("""COMPUTED_VALUE"""),107414)</f>
        <v>107414</v>
      </c>
      <c r="B6160" s="4">
        <f ca="1">IFERROR(__xludf.DUMMYFUNCTION("""COMPUTED_VALUE"""),44824)</f>
        <v>44824</v>
      </c>
      <c r="C6160" t="str">
        <f ca="1">IFERROR(__xludf.DUMMYFUNCTION("""COMPUTED_VALUE"""),"БУ Г. ОМСКА ""УДХБ"" 144-СТР от 01.07.2022")</f>
        <v>БУ Г. ОМСКА "УДХБ" 144-СТР от 01.07.2022</v>
      </c>
      <c r="D61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0" t="str">
        <f ca="1">IFERROR(__xludf.DUMMYFUNCTION("""COMPUTED_VALUE"""),"Новый")</f>
        <v>Новый</v>
      </c>
      <c r="G6160" s="68"/>
      <c r="K6160" s="68"/>
    </row>
    <row r="6161" spans="1:11" ht="12.75">
      <c r="A6161" s="69">
        <f ca="1">IFERROR(__xludf.DUMMYFUNCTION("""COMPUTED_VALUE"""),107415)</f>
        <v>107415</v>
      </c>
      <c r="B6161" s="4">
        <f ca="1">IFERROR(__xludf.DUMMYFUNCTION("""COMPUTED_VALUE"""),44824)</f>
        <v>44824</v>
      </c>
      <c r="C6161" t="str">
        <f ca="1">IFERROR(__xludf.DUMMYFUNCTION("""COMPUTED_VALUE"""),"БУ Г. ОМСКА ""УДХБ"" 144-СТР от 01.07.2022")</f>
        <v>БУ Г. ОМСКА "УДХБ" 144-СТР от 01.07.2022</v>
      </c>
      <c r="D61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1" t="str">
        <f ca="1">IFERROR(__xludf.DUMMYFUNCTION("""COMPUTED_VALUE"""),"Новый")</f>
        <v>Новый</v>
      </c>
      <c r="G6161" s="68"/>
      <c r="K6161" s="68"/>
    </row>
    <row r="6162" spans="1:11" ht="12.75">
      <c r="A6162" s="69">
        <f ca="1">IFERROR(__xludf.DUMMYFUNCTION("""COMPUTED_VALUE"""),107416)</f>
        <v>107416</v>
      </c>
      <c r="B6162" s="4">
        <f ca="1">IFERROR(__xludf.DUMMYFUNCTION("""COMPUTED_VALUE"""),44824)</f>
        <v>44824</v>
      </c>
      <c r="C6162" t="str">
        <f ca="1">IFERROR(__xludf.DUMMYFUNCTION("""COMPUTED_VALUE"""),"БУ Г. ОМСКА ""УДХБ"" 144-СТР от 01.07.2022")</f>
        <v>БУ Г. ОМСКА "УДХБ" 144-СТР от 01.07.2022</v>
      </c>
      <c r="D61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2" t="str">
        <f ca="1">IFERROR(__xludf.DUMMYFUNCTION("""COMPUTED_VALUE"""),"Новый")</f>
        <v>Новый</v>
      </c>
      <c r="G6162" s="68"/>
      <c r="K6162" s="68"/>
    </row>
    <row r="6163" spans="1:11" ht="12.75">
      <c r="A6163" s="69">
        <f ca="1">IFERROR(__xludf.DUMMYFUNCTION("""COMPUTED_VALUE"""),107417)</f>
        <v>107417</v>
      </c>
      <c r="B6163" s="4">
        <f ca="1">IFERROR(__xludf.DUMMYFUNCTION("""COMPUTED_VALUE"""),44824)</f>
        <v>44824</v>
      </c>
      <c r="C6163" t="str">
        <f ca="1">IFERROR(__xludf.DUMMYFUNCTION("""COMPUTED_VALUE"""),"БУ Г. ОМСКА ""УДХБ"" 144-СТР от 01.07.2022")</f>
        <v>БУ Г. ОМСКА "УДХБ" 144-СТР от 01.07.2022</v>
      </c>
      <c r="D61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3" t="str">
        <f ca="1">IFERROR(__xludf.DUMMYFUNCTION("""COMPUTED_VALUE"""),"Новый")</f>
        <v>Новый</v>
      </c>
      <c r="G6163" s="68"/>
      <c r="K6163" s="68"/>
    </row>
    <row r="6164" spans="1:11" ht="12.75">
      <c r="A6164" s="69">
        <f ca="1">IFERROR(__xludf.DUMMYFUNCTION("""COMPUTED_VALUE"""),107418)</f>
        <v>107418</v>
      </c>
      <c r="B6164" s="4">
        <f ca="1">IFERROR(__xludf.DUMMYFUNCTION("""COMPUTED_VALUE"""),44824)</f>
        <v>44824</v>
      </c>
      <c r="C6164" t="str">
        <f ca="1">IFERROR(__xludf.DUMMYFUNCTION("""COMPUTED_VALUE"""),"БУ Г. ОМСКА ""УДХБ"" 144-СТР от 01.07.2022")</f>
        <v>БУ Г. ОМСКА "УДХБ" 144-СТР от 01.07.2022</v>
      </c>
      <c r="D61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4" t="str">
        <f ca="1">IFERROR(__xludf.DUMMYFUNCTION("""COMPUTED_VALUE"""),"Новый")</f>
        <v>Новый</v>
      </c>
      <c r="G6164" s="68"/>
      <c r="K6164" s="68"/>
    </row>
    <row r="6165" spans="1:11" ht="12.75">
      <c r="A6165" s="69">
        <f ca="1">IFERROR(__xludf.DUMMYFUNCTION("""COMPUTED_VALUE"""),107419)</f>
        <v>107419</v>
      </c>
      <c r="B6165" s="4">
        <f ca="1">IFERROR(__xludf.DUMMYFUNCTION("""COMPUTED_VALUE"""),44824)</f>
        <v>44824</v>
      </c>
      <c r="C6165" t="str">
        <f ca="1">IFERROR(__xludf.DUMMYFUNCTION("""COMPUTED_VALUE"""),"БУ Г. ОМСКА ""УДХБ"" 144-СТР от 01.07.2022")</f>
        <v>БУ Г. ОМСКА "УДХБ" 144-СТР от 01.07.2022</v>
      </c>
      <c r="D61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5" t="str">
        <f ca="1">IFERROR(__xludf.DUMMYFUNCTION("""COMPUTED_VALUE"""),"Новый")</f>
        <v>Новый</v>
      </c>
      <c r="G6165" s="68"/>
      <c r="K6165" s="68"/>
    </row>
    <row r="6166" spans="1:11" ht="12.75">
      <c r="A6166" s="69">
        <f ca="1">IFERROR(__xludf.DUMMYFUNCTION("""COMPUTED_VALUE"""),107420)</f>
        <v>107420</v>
      </c>
      <c r="B6166" s="4">
        <f ca="1">IFERROR(__xludf.DUMMYFUNCTION("""COMPUTED_VALUE"""),44824)</f>
        <v>44824</v>
      </c>
      <c r="C6166" t="str">
        <f ca="1">IFERROR(__xludf.DUMMYFUNCTION("""COMPUTED_VALUE"""),"БУ Г. ОМСКА ""УДХБ"" 144-СТР от 01.07.2022")</f>
        <v>БУ Г. ОМСКА "УДХБ" 144-СТР от 01.07.2022</v>
      </c>
      <c r="D61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6" t="str">
        <f ca="1">IFERROR(__xludf.DUMMYFUNCTION("""COMPUTED_VALUE"""),"Новый")</f>
        <v>Новый</v>
      </c>
      <c r="G6166" s="68"/>
      <c r="K6166" s="68"/>
    </row>
    <row r="6167" spans="1:11" ht="12.75">
      <c r="A6167" s="69">
        <f ca="1">IFERROR(__xludf.DUMMYFUNCTION("""COMPUTED_VALUE"""),107421)</f>
        <v>107421</v>
      </c>
      <c r="B6167" s="4">
        <f ca="1">IFERROR(__xludf.DUMMYFUNCTION("""COMPUTED_VALUE"""),44824)</f>
        <v>44824</v>
      </c>
      <c r="C6167" t="str">
        <f ca="1">IFERROR(__xludf.DUMMYFUNCTION("""COMPUTED_VALUE"""),"БУ Г. ОМСКА ""УДХБ"" 144-СТР от 01.07.2022")</f>
        <v>БУ Г. ОМСКА "УДХБ" 144-СТР от 01.07.2022</v>
      </c>
      <c r="D61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7" t="str">
        <f ca="1">IFERROR(__xludf.DUMMYFUNCTION("""COMPUTED_VALUE"""),"Новый")</f>
        <v>Новый</v>
      </c>
      <c r="G6167" s="68"/>
      <c r="K6167" s="68"/>
    </row>
    <row r="6168" spans="1:11" ht="12.75">
      <c r="A6168" s="69">
        <f ca="1">IFERROR(__xludf.DUMMYFUNCTION("""COMPUTED_VALUE"""),107422)</f>
        <v>107422</v>
      </c>
      <c r="B6168" s="4">
        <f ca="1">IFERROR(__xludf.DUMMYFUNCTION("""COMPUTED_VALUE"""),44824)</f>
        <v>44824</v>
      </c>
      <c r="C6168" t="str">
        <f ca="1">IFERROR(__xludf.DUMMYFUNCTION("""COMPUTED_VALUE"""),"БУ Г. ОМСКА ""УДХБ"" 144-СТР от 01.07.2022")</f>
        <v>БУ Г. ОМСКА "УДХБ" 144-СТР от 01.07.2022</v>
      </c>
      <c r="D61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8" t="str">
        <f ca="1">IFERROR(__xludf.DUMMYFUNCTION("""COMPUTED_VALUE"""),"Новый")</f>
        <v>Новый</v>
      </c>
      <c r="G6168" s="68"/>
      <c r="K6168" s="68"/>
    </row>
    <row r="6169" spans="1:11" ht="12.75">
      <c r="A6169" s="69">
        <f ca="1">IFERROR(__xludf.DUMMYFUNCTION("""COMPUTED_VALUE"""),107423)</f>
        <v>107423</v>
      </c>
      <c r="B6169" s="4">
        <f ca="1">IFERROR(__xludf.DUMMYFUNCTION("""COMPUTED_VALUE"""),44824)</f>
        <v>44824</v>
      </c>
      <c r="C6169" t="str">
        <f ca="1">IFERROR(__xludf.DUMMYFUNCTION("""COMPUTED_VALUE"""),"БУ Г. ОМСКА ""УДХБ"" 144-СТР от 01.07.2022")</f>
        <v>БУ Г. ОМСКА "УДХБ" 144-СТР от 01.07.2022</v>
      </c>
      <c r="D61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69" t="str">
        <f ca="1">IFERROR(__xludf.DUMMYFUNCTION("""COMPUTED_VALUE"""),"Новый")</f>
        <v>Новый</v>
      </c>
      <c r="G6169" s="68"/>
      <c r="K6169" s="68"/>
    </row>
    <row r="6170" spans="1:11" ht="12.75">
      <c r="A6170" s="69">
        <f ca="1">IFERROR(__xludf.DUMMYFUNCTION("""COMPUTED_VALUE"""),107424)</f>
        <v>107424</v>
      </c>
      <c r="B6170" s="4">
        <f ca="1">IFERROR(__xludf.DUMMYFUNCTION("""COMPUTED_VALUE"""),44824)</f>
        <v>44824</v>
      </c>
      <c r="C6170" t="str">
        <f ca="1">IFERROR(__xludf.DUMMYFUNCTION("""COMPUTED_VALUE"""),"БУ Г. ОМСКА ""УДХБ"" 144-СТР от 01.07.2022")</f>
        <v>БУ Г. ОМСКА "УДХБ" 144-СТР от 01.07.2022</v>
      </c>
      <c r="D61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0" t="str">
        <f ca="1">IFERROR(__xludf.DUMMYFUNCTION("""COMPUTED_VALUE"""),"Новый")</f>
        <v>Новый</v>
      </c>
      <c r="G6170" s="68"/>
      <c r="K6170" s="68"/>
    </row>
    <row r="6171" spans="1:11" ht="12.75">
      <c r="A6171" s="69">
        <f ca="1">IFERROR(__xludf.DUMMYFUNCTION("""COMPUTED_VALUE"""),107425)</f>
        <v>107425</v>
      </c>
      <c r="B6171" s="4">
        <f ca="1">IFERROR(__xludf.DUMMYFUNCTION("""COMPUTED_VALUE"""),44824)</f>
        <v>44824</v>
      </c>
      <c r="C6171" t="str">
        <f ca="1">IFERROR(__xludf.DUMMYFUNCTION("""COMPUTED_VALUE"""),"БУ Г. ОМСКА ""УДХБ"" 144-СТР от 01.07.2022")</f>
        <v>БУ Г. ОМСКА "УДХБ" 144-СТР от 01.07.2022</v>
      </c>
      <c r="D61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1" t="str">
        <f ca="1">IFERROR(__xludf.DUMMYFUNCTION("""COMPUTED_VALUE"""),"Новый")</f>
        <v>Новый</v>
      </c>
      <c r="G6171" s="68"/>
      <c r="K6171" s="68"/>
    </row>
    <row r="6172" spans="1:11" ht="12.75">
      <c r="A6172" s="69">
        <f ca="1">IFERROR(__xludf.DUMMYFUNCTION("""COMPUTED_VALUE"""),107426)</f>
        <v>107426</v>
      </c>
      <c r="B6172" s="4">
        <f ca="1">IFERROR(__xludf.DUMMYFUNCTION("""COMPUTED_VALUE"""),44824)</f>
        <v>44824</v>
      </c>
      <c r="C6172" t="str">
        <f ca="1">IFERROR(__xludf.DUMMYFUNCTION("""COMPUTED_VALUE"""),"БУ Г. ОМСКА ""УДХБ"" 144-СТР от 01.07.2022")</f>
        <v>БУ Г. ОМСКА "УДХБ" 144-СТР от 01.07.2022</v>
      </c>
      <c r="D61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2" t="str">
        <f ca="1">IFERROR(__xludf.DUMMYFUNCTION("""COMPUTED_VALUE"""),"Новый")</f>
        <v>Новый</v>
      </c>
      <c r="G6172" s="68"/>
      <c r="K6172" s="68"/>
    </row>
    <row r="6173" spans="1:11" ht="12.75">
      <c r="A6173" s="69">
        <f ca="1">IFERROR(__xludf.DUMMYFUNCTION("""COMPUTED_VALUE"""),107427)</f>
        <v>107427</v>
      </c>
      <c r="B6173" s="4">
        <f ca="1">IFERROR(__xludf.DUMMYFUNCTION("""COMPUTED_VALUE"""),44824)</f>
        <v>44824</v>
      </c>
      <c r="C6173" t="str">
        <f ca="1">IFERROR(__xludf.DUMMYFUNCTION("""COMPUTED_VALUE"""),"БУ Г. ОМСКА ""УДХБ"" 144-СТР от 01.07.2022")</f>
        <v>БУ Г. ОМСКА "УДХБ" 144-СТР от 01.07.2022</v>
      </c>
      <c r="D61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3" t="str">
        <f ca="1">IFERROR(__xludf.DUMMYFUNCTION("""COMPUTED_VALUE"""),"Новый")</f>
        <v>Новый</v>
      </c>
      <c r="G6173" s="68"/>
      <c r="K6173" s="68"/>
    </row>
    <row r="6174" spans="1:11" ht="12.75">
      <c r="A6174" s="69">
        <f ca="1">IFERROR(__xludf.DUMMYFUNCTION("""COMPUTED_VALUE"""),107428)</f>
        <v>107428</v>
      </c>
      <c r="B6174" s="4">
        <f ca="1">IFERROR(__xludf.DUMMYFUNCTION("""COMPUTED_VALUE"""),44824)</f>
        <v>44824</v>
      </c>
      <c r="C6174" t="str">
        <f ca="1">IFERROR(__xludf.DUMMYFUNCTION("""COMPUTED_VALUE"""),"БУ Г. ОМСКА ""УДХБ"" 144-СТР от 01.07.2022")</f>
        <v>БУ Г. ОМСКА "УДХБ" 144-СТР от 01.07.2022</v>
      </c>
      <c r="D61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4" t="str">
        <f ca="1">IFERROR(__xludf.DUMMYFUNCTION("""COMPUTED_VALUE"""),"Новый")</f>
        <v>Новый</v>
      </c>
      <c r="G6174" s="68"/>
      <c r="K6174" s="68"/>
    </row>
    <row r="6175" spans="1:11" ht="12.75">
      <c r="A6175" s="69">
        <f ca="1">IFERROR(__xludf.DUMMYFUNCTION("""COMPUTED_VALUE"""),107429)</f>
        <v>107429</v>
      </c>
      <c r="B6175" s="4">
        <f ca="1">IFERROR(__xludf.DUMMYFUNCTION("""COMPUTED_VALUE"""),44824)</f>
        <v>44824</v>
      </c>
      <c r="C6175" t="str">
        <f ca="1">IFERROR(__xludf.DUMMYFUNCTION("""COMPUTED_VALUE"""),"БУ Г. ОМСКА ""УДХБ"" 144-СТР от 01.07.2022")</f>
        <v>БУ Г. ОМСКА "УДХБ" 144-СТР от 01.07.2022</v>
      </c>
      <c r="D61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5" t="str">
        <f ca="1">IFERROR(__xludf.DUMMYFUNCTION("""COMPUTED_VALUE"""),"Новый")</f>
        <v>Новый</v>
      </c>
      <c r="G6175" s="68"/>
      <c r="K6175" s="68"/>
    </row>
    <row r="6176" spans="1:11" ht="12.75">
      <c r="A6176" s="69">
        <f ca="1">IFERROR(__xludf.DUMMYFUNCTION("""COMPUTED_VALUE"""),107430)</f>
        <v>107430</v>
      </c>
      <c r="B6176" s="4">
        <f ca="1">IFERROR(__xludf.DUMMYFUNCTION("""COMPUTED_VALUE"""),44824)</f>
        <v>44824</v>
      </c>
      <c r="C6176" t="str">
        <f ca="1">IFERROR(__xludf.DUMMYFUNCTION("""COMPUTED_VALUE"""),"БУ Г. ОМСКА ""УДХБ"" 144-СТР от 01.07.2022")</f>
        <v>БУ Г. ОМСКА "УДХБ" 144-СТР от 01.07.2022</v>
      </c>
      <c r="D61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6" t="str">
        <f ca="1">IFERROR(__xludf.DUMMYFUNCTION("""COMPUTED_VALUE"""),"Новый")</f>
        <v>Новый</v>
      </c>
      <c r="G6176" s="68"/>
      <c r="K6176" s="68"/>
    </row>
    <row r="6177" spans="1:11" ht="12.75">
      <c r="A6177" s="69">
        <f ca="1">IFERROR(__xludf.DUMMYFUNCTION("""COMPUTED_VALUE"""),107431)</f>
        <v>107431</v>
      </c>
      <c r="B6177" s="4">
        <f ca="1">IFERROR(__xludf.DUMMYFUNCTION("""COMPUTED_VALUE"""),44824)</f>
        <v>44824</v>
      </c>
      <c r="C6177" t="str">
        <f ca="1">IFERROR(__xludf.DUMMYFUNCTION("""COMPUTED_VALUE"""),"БУ Г. ОМСКА ""УДХБ"" 144-СТР от 01.07.2022")</f>
        <v>БУ Г. ОМСКА "УДХБ" 144-СТР от 01.07.2022</v>
      </c>
      <c r="D61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7" t="str">
        <f ca="1">IFERROR(__xludf.DUMMYFUNCTION("""COMPUTED_VALUE"""),"Новый")</f>
        <v>Новый</v>
      </c>
      <c r="G6177" s="68"/>
      <c r="K6177" s="68"/>
    </row>
    <row r="6178" spans="1:11" ht="12.75">
      <c r="A6178" s="69">
        <f ca="1">IFERROR(__xludf.DUMMYFUNCTION("""COMPUTED_VALUE"""),107432)</f>
        <v>107432</v>
      </c>
      <c r="B6178" s="4">
        <f ca="1">IFERROR(__xludf.DUMMYFUNCTION("""COMPUTED_VALUE"""),44824)</f>
        <v>44824</v>
      </c>
      <c r="C6178" t="str">
        <f ca="1">IFERROR(__xludf.DUMMYFUNCTION("""COMPUTED_VALUE"""),"БУ Г. ОМСКА ""УДХБ"" 144-СТР от 01.07.2022")</f>
        <v>БУ Г. ОМСКА "УДХБ" 144-СТР от 01.07.2022</v>
      </c>
      <c r="D61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8" t="str">
        <f ca="1">IFERROR(__xludf.DUMMYFUNCTION("""COMPUTED_VALUE"""),"Новый")</f>
        <v>Новый</v>
      </c>
      <c r="G6178" s="68"/>
      <c r="K6178" s="68"/>
    </row>
    <row r="6179" spans="1:11" ht="12.75">
      <c r="A6179" s="69">
        <f ca="1">IFERROR(__xludf.DUMMYFUNCTION("""COMPUTED_VALUE"""),107433)</f>
        <v>107433</v>
      </c>
      <c r="B6179" s="4">
        <f ca="1">IFERROR(__xludf.DUMMYFUNCTION("""COMPUTED_VALUE"""),44824)</f>
        <v>44824</v>
      </c>
      <c r="C6179" t="str">
        <f ca="1">IFERROR(__xludf.DUMMYFUNCTION("""COMPUTED_VALUE"""),"БУ Г. ОМСКА ""УДХБ"" 144-СТР от 01.07.2022")</f>
        <v>БУ Г. ОМСКА "УДХБ" 144-СТР от 01.07.2022</v>
      </c>
      <c r="D61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79" t="str">
        <f ca="1">IFERROR(__xludf.DUMMYFUNCTION("""COMPUTED_VALUE"""),"Новый")</f>
        <v>Новый</v>
      </c>
      <c r="G6179" s="68"/>
      <c r="K6179" s="68"/>
    </row>
    <row r="6180" spans="1:11" ht="12.75">
      <c r="A6180" s="69">
        <f ca="1">IFERROR(__xludf.DUMMYFUNCTION("""COMPUTED_VALUE"""),107434)</f>
        <v>107434</v>
      </c>
      <c r="B6180" s="4">
        <f ca="1">IFERROR(__xludf.DUMMYFUNCTION("""COMPUTED_VALUE"""),44824)</f>
        <v>44824</v>
      </c>
      <c r="C6180" t="str">
        <f ca="1">IFERROR(__xludf.DUMMYFUNCTION("""COMPUTED_VALUE"""),"БУ Г. ОМСКА ""УДХБ"" 144-СТР от 01.07.2022")</f>
        <v>БУ Г. ОМСКА "УДХБ" 144-СТР от 01.07.2022</v>
      </c>
      <c r="D61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0" t="str">
        <f ca="1">IFERROR(__xludf.DUMMYFUNCTION("""COMPUTED_VALUE"""),"Новый")</f>
        <v>Новый</v>
      </c>
      <c r="G6180" s="68"/>
      <c r="K6180" s="68"/>
    </row>
    <row r="6181" spans="1:11" ht="12.75">
      <c r="A6181" s="69">
        <f ca="1">IFERROR(__xludf.DUMMYFUNCTION("""COMPUTED_VALUE"""),107435)</f>
        <v>107435</v>
      </c>
      <c r="B6181" s="4">
        <f ca="1">IFERROR(__xludf.DUMMYFUNCTION("""COMPUTED_VALUE"""),44824)</f>
        <v>44824</v>
      </c>
      <c r="C6181" t="str">
        <f ca="1">IFERROR(__xludf.DUMMYFUNCTION("""COMPUTED_VALUE"""),"БУ Г. ОМСКА ""УДХБ"" 144-СТР от 01.07.2022")</f>
        <v>БУ Г. ОМСКА "УДХБ" 144-СТР от 01.07.2022</v>
      </c>
      <c r="D61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1" t="str">
        <f ca="1">IFERROR(__xludf.DUMMYFUNCTION("""COMPUTED_VALUE"""),"Новый")</f>
        <v>Новый</v>
      </c>
      <c r="G6181" s="68"/>
      <c r="K6181" s="68"/>
    </row>
    <row r="6182" spans="1:11" ht="12.75">
      <c r="A6182" s="69">
        <f ca="1">IFERROR(__xludf.DUMMYFUNCTION("""COMPUTED_VALUE"""),107436)</f>
        <v>107436</v>
      </c>
      <c r="B6182" s="4">
        <f ca="1">IFERROR(__xludf.DUMMYFUNCTION("""COMPUTED_VALUE"""),44824)</f>
        <v>44824</v>
      </c>
      <c r="C6182" t="str">
        <f ca="1">IFERROR(__xludf.DUMMYFUNCTION("""COMPUTED_VALUE"""),"БУ Г. ОМСКА ""УДХБ"" 144-СТР от 01.07.2022")</f>
        <v>БУ Г. ОМСКА "УДХБ" 144-СТР от 01.07.2022</v>
      </c>
      <c r="D61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2" t="str">
        <f ca="1">IFERROR(__xludf.DUMMYFUNCTION("""COMPUTED_VALUE"""),"Новый")</f>
        <v>Новый</v>
      </c>
      <c r="G6182" s="68"/>
      <c r="K6182" s="68"/>
    </row>
    <row r="6183" spans="1:11" ht="12.75">
      <c r="A6183" s="69">
        <f ca="1">IFERROR(__xludf.DUMMYFUNCTION("""COMPUTED_VALUE"""),107437)</f>
        <v>107437</v>
      </c>
      <c r="B6183" s="4">
        <f ca="1">IFERROR(__xludf.DUMMYFUNCTION("""COMPUTED_VALUE"""),44824)</f>
        <v>44824</v>
      </c>
      <c r="C6183" t="str">
        <f ca="1">IFERROR(__xludf.DUMMYFUNCTION("""COMPUTED_VALUE"""),"БУ Г. ОМСКА ""УДХБ"" 144-СТР от 01.07.2022")</f>
        <v>БУ Г. ОМСКА "УДХБ" 144-СТР от 01.07.2022</v>
      </c>
      <c r="D61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3" t="str">
        <f ca="1">IFERROR(__xludf.DUMMYFUNCTION("""COMPUTED_VALUE"""),"Новый")</f>
        <v>Новый</v>
      </c>
      <c r="G6183" s="68"/>
      <c r="K6183" s="68"/>
    </row>
    <row r="6184" spans="1:11" ht="12.75">
      <c r="A6184" s="69">
        <f ca="1">IFERROR(__xludf.DUMMYFUNCTION("""COMPUTED_VALUE"""),107438)</f>
        <v>107438</v>
      </c>
      <c r="B6184" s="4">
        <f ca="1">IFERROR(__xludf.DUMMYFUNCTION("""COMPUTED_VALUE"""),44824)</f>
        <v>44824</v>
      </c>
      <c r="C6184" t="str">
        <f ca="1">IFERROR(__xludf.DUMMYFUNCTION("""COMPUTED_VALUE"""),"БУ Г. ОМСКА ""УДХБ"" 144-СТР от 01.07.2022")</f>
        <v>БУ Г. ОМСКА "УДХБ" 144-СТР от 01.07.2022</v>
      </c>
      <c r="D61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4" t="str">
        <f ca="1">IFERROR(__xludf.DUMMYFUNCTION("""COMPUTED_VALUE"""),"Новый")</f>
        <v>Новый</v>
      </c>
      <c r="G6184" s="68"/>
      <c r="K6184" s="68"/>
    </row>
    <row r="6185" spans="1:11" ht="12.75">
      <c r="A6185" s="69">
        <f ca="1">IFERROR(__xludf.DUMMYFUNCTION("""COMPUTED_VALUE"""),107439)</f>
        <v>107439</v>
      </c>
      <c r="B6185" s="4">
        <f ca="1">IFERROR(__xludf.DUMMYFUNCTION("""COMPUTED_VALUE"""),44824)</f>
        <v>44824</v>
      </c>
      <c r="C6185" t="str">
        <f ca="1">IFERROR(__xludf.DUMMYFUNCTION("""COMPUTED_VALUE"""),"БУ Г. ОМСКА ""УДХБ"" 144-СТР от 01.07.2022")</f>
        <v>БУ Г. ОМСКА "УДХБ" 144-СТР от 01.07.2022</v>
      </c>
      <c r="D61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5" t="str">
        <f ca="1">IFERROR(__xludf.DUMMYFUNCTION("""COMPUTED_VALUE"""),"Новый")</f>
        <v>Новый</v>
      </c>
      <c r="G6185" s="68"/>
      <c r="K6185" s="68"/>
    </row>
    <row r="6186" spans="1:11" ht="12.75">
      <c r="A6186" s="69">
        <f ca="1">IFERROR(__xludf.DUMMYFUNCTION("""COMPUTED_VALUE"""),107440)</f>
        <v>107440</v>
      </c>
      <c r="B6186" s="4">
        <f ca="1">IFERROR(__xludf.DUMMYFUNCTION("""COMPUTED_VALUE"""),44824)</f>
        <v>44824</v>
      </c>
      <c r="C6186" t="str">
        <f ca="1">IFERROR(__xludf.DUMMYFUNCTION("""COMPUTED_VALUE"""),"БУ Г. ОМСКА ""УДХБ"" 144-СТР от 01.07.2022")</f>
        <v>БУ Г. ОМСКА "УДХБ" 144-СТР от 01.07.2022</v>
      </c>
      <c r="D61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6" t="str">
        <f ca="1">IFERROR(__xludf.DUMMYFUNCTION("""COMPUTED_VALUE"""),"Новый")</f>
        <v>Новый</v>
      </c>
      <c r="G6186" s="68"/>
      <c r="K6186" s="68"/>
    </row>
    <row r="6187" spans="1:11" ht="12.75">
      <c r="A6187" s="69">
        <f ca="1">IFERROR(__xludf.DUMMYFUNCTION("""COMPUTED_VALUE"""),107441)</f>
        <v>107441</v>
      </c>
      <c r="B6187" s="4">
        <f ca="1">IFERROR(__xludf.DUMMYFUNCTION("""COMPUTED_VALUE"""),44824)</f>
        <v>44824</v>
      </c>
      <c r="C6187" t="str">
        <f ca="1">IFERROR(__xludf.DUMMYFUNCTION("""COMPUTED_VALUE"""),"БУ Г. ОМСКА ""УДХБ"" 144-СТР от 01.07.2022")</f>
        <v>БУ Г. ОМСКА "УДХБ" 144-СТР от 01.07.2022</v>
      </c>
      <c r="D61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7" t="str">
        <f ca="1">IFERROR(__xludf.DUMMYFUNCTION("""COMPUTED_VALUE"""),"Новый")</f>
        <v>Новый</v>
      </c>
      <c r="G6187" s="68"/>
      <c r="K6187" s="68"/>
    </row>
    <row r="6188" spans="1:11" ht="12.75">
      <c r="A6188" s="69">
        <f ca="1">IFERROR(__xludf.DUMMYFUNCTION("""COMPUTED_VALUE"""),107442)</f>
        <v>107442</v>
      </c>
      <c r="B6188" s="4">
        <f ca="1">IFERROR(__xludf.DUMMYFUNCTION("""COMPUTED_VALUE"""),44824)</f>
        <v>44824</v>
      </c>
      <c r="C6188" t="str">
        <f ca="1">IFERROR(__xludf.DUMMYFUNCTION("""COMPUTED_VALUE"""),"БУ Г. ОМСКА ""УДХБ"" 144-СТР от 01.07.2022")</f>
        <v>БУ Г. ОМСКА "УДХБ" 144-СТР от 01.07.2022</v>
      </c>
      <c r="D61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8" t="str">
        <f ca="1">IFERROR(__xludf.DUMMYFUNCTION("""COMPUTED_VALUE"""),"Новый")</f>
        <v>Новый</v>
      </c>
      <c r="G6188" s="68"/>
      <c r="K6188" s="68"/>
    </row>
    <row r="6189" spans="1:11" ht="12.75">
      <c r="A6189" s="69">
        <f ca="1">IFERROR(__xludf.DUMMYFUNCTION("""COMPUTED_VALUE"""),107443)</f>
        <v>107443</v>
      </c>
      <c r="B6189" s="4">
        <f ca="1">IFERROR(__xludf.DUMMYFUNCTION("""COMPUTED_VALUE"""),44824)</f>
        <v>44824</v>
      </c>
      <c r="C6189" t="str">
        <f ca="1">IFERROR(__xludf.DUMMYFUNCTION("""COMPUTED_VALUE"""),"БУ Г. ОМСКА ""УДХБ"" 144-СТР от 01.07.2022")</f>
        <v>БУ Г. ОМСКА "УДХБ" 144-СТР от 01.07.2022</v>
      </c>
      <c r="D61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89" t="str">
        <f ca="1">IFERROR(__xludf.DUMMYFUNCTION("""COMPUTED_VALUE"""),"Новый")</f>
        <v>Новый</v>
      </c>
      <c r="G6189" s="68"/>
      <c r="K6189" s="68"/>
    </row>
    <row r="6190" spans="1:11" ht="12.75">
      <c r="A6190" s="69">
        <f ca="1">IFERROR(__xludf.DUMMYFUNCTION("""COMPUTED_VALUE"""),107444)</f>
        <v>107444</v>
      </c>
      <c r="B6190" s="4">
        <f ca="1">IFERROR(__xludf.DUMMYFUNCTION("""COMPUTED_VALUE"""),44824)</f>
        <v>44824</v>
      </c>
      <c r="C6190" t="str">
        <f ca="1">IFERROR(__xludf.DUMMYFUNCTION("""COMPUTED_VALUE"""),"БУ Г. ОМСКА ""УДХБ"" 144-СТР от 01.07.2022")</f>
        <v>БУ Г. ОМСКА "УДХБ" 144-СТР от 01.07.2022</v>
      </c>
      <c r="D61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0" t="str">
        <f ca="1">IFERROR(__xludf.DUMMYFUNCTION("""COMPUTED_VALUE"""),"Новый")</f>
        <v>Новый</v>
      </c>
      <c r="G6190" s="68"/>
      <c r="K6190" s="68"/>
    </row>
    <row r="6191" spans="1:11" ht="12.75">
      <c r="A6191" s="69">
        <f ca="1">IFERROR(__xludf.DUMMYFUNCTION("""COMPUTED_VALUE"""),107445)</f>
        <v>107445</v>
      </c>
      <c r="B6191" s="4">
        <f ca="1">IFERROR(__xludf.DUMMYFUNCTION("""COMPUTED_VALUE"""),44824)</f>
        <v>44824</v>
      </c>
      <c r="C6191" t="str">
        <f ca="1">IFERROR(__xludf.DUMMYFUNCTION("""COMPUTED_VALUE"""),"БУ Г. ОМСКА ""УДХБ"" 144-СТР от 01.07.2022")</f>
        <v>БУ Г. ОМСКА "УДХБ" 144-СТР от 01.07.2022</v>
      </c>
      <c r="D61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1" t="str">
        <f ca="1">IFERROR(__xludf.DUMMYFUNCTION("""COMPUTED_VALUE"""),"Новый")</f>
        <v>Новый</v>
      </c>
      <c r="G6191" s="68"/>
      <c r="K6191" s="68"/>
    </row>
    <row r="6192" spans="1:11" ht="12.75">
      <c r="A6192" s="69">
        <f ca="1">IFERROR(__xludf.DUMMYFUNCTION("""COMPUTED_VALUE"""),107446)</f>
        <v>107446</v>
      </c>
      <c r="B6192" s="4">
        <f ca="1">IFERROR(__xludf.DUMMYFUNCTION("""COMPUTED_VALUE"""),44824)</f>
        <v>44824</v>
      </c>
      <c r="C6192" t="str">
        <f ca="1">IFERROR(__xludf.DUMMYFUNCTION("""COMPUTED_VALUE"""),"БУ Г. ОМСКА ""УДХБ"" 144-СТР от 01.07.2022")</f>
        <v>БУ Г. ОМСКА "УДХБ" 144-СТР от 01.07.2022</v>
      </c>
      <c r="D61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2" t="str">
        <f ca="1">IFERROR(__xludf.DUMMYFUNCTION("""COMPUTED_VALUE"""),"Новый")</f>
        <v>Новый</v>
      </c>
      <c r="G6192" s="68"/>
      <c r="K6192" s="68"/>
    </row>
    <row r="6193" spans="1:11" ht="12.75">
      <c r="A6193" s="69">
        <f ca="1">IFERROR(__xludf.DUMMYFUNCTION("""COMPUTED_VALUE"""),107447)</f>
        <v>107447</v>
      </c>
      <c r="B6193" s="4">
        <f ca="1">IFERROR(__xludf.DUMMYFUNCTION("""COMPUTED_VALUE"""),44824)</f>
        <v>44824</v>
      </c>
      <c r="C6193" t="str">
        <f ca="1">IFERROR(__xludf.DUMMYFUNCTION("""COMPUTED_VALUE"""),"БУ Г. ОМСКА ""УДХБ"" 144-СТР от 01.07.2022")</f>
        <v>БУ Г. ОМСКА "УДХБ" 144-СТР от 01.07.2022</v>
      </c>
      <c r="D61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3" t="str">
        <f ca="1">IFERROR(__xludf.DUMMYFUNCTION("""COMPUTED_VALUE"""),"Новый")</f>
        <v>Новый</v>
      </c>
      <c r="G6193" s="68"/>
      <c r="K6193" s="68"/>
    </row>
    <row r="6194" spans="1:11" ht="12.75">
      <c r="A6194" s="69">
        <f ca="1">IFERROR(__xludf.DUMMYFUNCTION("""COMPUTED_VALUE"""),107448)</f>
        <v>107448</v>
      </c>
      <c r="B6194" s="4">
        <f ca="1">IFERROR(__xludf.DUMMYFUNCTION("""COMPUTED_VALUE"""),44824)</f>
        <v>44824</v>
      </c>
      <c r="C6194" t="str">
        <f ca="1">IFERROR(__xludf.DUMMYFUNCTION("""COMPUTED_VALUE"""),"БУ Г. ОМСКА ""УДХБ"" 144-СТР от 01.07.2022")</f>
        <v>БУ Г. ОМСКА "УДХБ" 144-СТР от 01.07.2022</v>
      </c>
      <c r="D61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4" t="str">
        <f ca="1">IFERROR(__xludf.DUMMYFUNCTION("""COMPUTED_VALUE"""),"Новый")</f>
        <v>Новый</v>
      </c>
      <c r="G6194" s="68"/>
      <c r="K6194" s="68"/>
    </row>
    <row r="6195" spans="1:11" ht="12.75">
      <c r="A6195" s="69">
        <f ca="1">IFERROR(__xludf.DUMMYFUNCTION("""COMPUTED_VALUE"""),107449)</f>
        <v>107449</v>
      </c>
      <c r="B6195" s="4">
        <f ca="1">IFERROR(__xludf.DUMMYFUNCTION("""COMPUTED_VALUE"""),44824)</f>
        <v>44824</v>
      </c>
      <c r="C6195" t="str">
        <f ca="1">IFERROR(__xludf.DUMMYFUNCTION("""COMPUTED_VALUE"""),"БУ Г. ОМСКА ""УДХБ"" 144-СТР от 01.07.2022")</f>
        <v>БУ Г. ОМСКА "УДХБ" 144-СТР от 01.07.2022</v>
      </c>
      <c r="D61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5" t="str">
        <f ca="1">IFERROR(__xludf.DUMMYFUNCTION("""COMPUTED_VALUE"""),"Новый")</f>
        <v>Новый</v>
      </c>
      <c r="G6195" s="68"/>
      <c r="K6195" s="68"/>
    </row>
    <row r="6196" spans="1:11" ht="12.75">
      <c r="A6196" s="69">
        <f ca="1">IFERROR(__xludf.DUMMYFUNCTION("""COMPUTED_VALUE"""),107450)</f>
        <v>107450</v>
      </c>
      <c r="B6196" s="4">
        <f ca="1">IFERROR(__xludf.DUMMYFUNCTION("""COMPUTED_VALUE"""),44824)</f>
        <v>44824</v>
      </c>
      <c r="C6196" t="str">
        <f ca="1">IFERROR(__xludf.DUMMYFUNCTION("""COMPUTED_VALUE"""),"БУ Г. ОМСКА ""УДХБ"" 144-СТР от 01.07.2022")</f>
        <v>БУ Г. ОМСКА "УДХБ" 144-СТР от 01.07.2022</v>
      </c>
      <c r="D61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6" t="str">
        <f ca="1">IFERROR(__xludf.DUMMYFUNCTION("""COMPUTED_VALUE"""),"Новый")</f>
        <v>Новый</v>
      </c>
      <c r="G6196" s="68"/>
      <c r="K6196" s="68"/>
    </row>
    <row r="6197" spans="1:11" ht="12.75">
      <c r="A6197" s="69">
        <f ca="1">IFERROR(__xludf.DUMMYFUNCTION("""COMPUTED_VALUE"""),107451)</f>
        <v>107451</v>
      </c>
      <c r="B6197" s="4">
        <f ca="1">IFERROR(__xludf.DUMMYFUNCTION("""COMPUTED_VALUE"""),44824)</f>
        <v>44824</v>
      </c>
      <c r="C6197" t="str">
        <f ca="1">IFERROR(__xludf.DUMMYFUNCTION("""COMPUTED_VALUE"""),"БУ Г. ОМСКА ""УДХБ"" 144-СТР от 01.07.2022")</f>
        <v>БУ Г. ОМСКА "УДХБ" 144-СТР от 01.07.2022</v>
      </c>
      <c r="D61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7" t="str">
        <f ca="1">IFERROR(__xludf.DUMMYFUNCTION("""COMPUTED_VALUE"""),"Новый")</f>
        <v>Новый</v>
      </c>
      <c r="G6197" s="68"/>
      <c r="K6197" s="68"/>
    </row>
    <row r="6198" spans="1:11" ht="12.75">
      <c r="A6198" s="69">
        <f ca="1">IFERROR(__xludf.DUMMYFUNCTION("""COMPUTED_VALUE"""),107452)</f>
        <v>107452</v>
      </c>
      <c r="B6198" s="4">
        <f ca="1">IFERROR(__xludf.DUMMYFUNCTION("""COMPUTED_VALUE"""),44824)</f>
        <v>44824</v>
      </c>
      <c r="C6198" t="str">
        <f ca="1">IFERROR(__xludf.DUMMYFUNCTION("""COMPUTED_VALUE"""),"БУ Г. ОМСКА ""УДХБ"" 144-СТР от 01.07.2022")</f>
        <v>БУ Г. ОМСКА "УДХБ" 144-СТР от 01.07.2022</v>
      </c>
      <c r="D61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8" t="str">
        <f ca="1">IFERROR(__xludf.DUMMYFUNCTION("""COMPUTED_VALUE"""),"Новый")</f>
        <v>Новый</v>
      </c>
      <c r="G6198" s="68"/>
      <c r="K6198" s="68"/>
    </row>
    <row r="6199" spans="1:11" ht="12.75">
      <c r="A6199" s="69">
        <f ca="1">IFERROR(__xludf.DUMMYFUNCTION("""COMPUTED_VALUE"""),107453)</f>
        <v>107453</v>
      </c>
      <c r="B6199" s="4">
        <f ca="1">IFERROR(__xludf.DUMMYFUNCTION("""COMPUTED_VALUE"""),44824)</f>
        <v>44824</v>
      </c>
      <c r="C6199" t="str">
        <f ca="1">IFERROR(__xludf.DUMMYFUNCTION("""COMPUTED_VALUE"""),"БУ Г. ОМСКА ""УДХБ"" 144-СТР от 01.07.2022")</f>
        <v>БУ Г. ОМСКА "УДХБ" 144-СТР от 01.07.2022</v>
      </c>
      <c r="D61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199" t="str">
        <f ca="1">IFERROR(__xludf.DUMMYFUNCTION("""COMPUTED_VALUE"""),"Новый")</f>
        <v>Новый</v>
      </c>
      <c r="G6199" s="68"/>
      <c r="K6199" s="68"/>
    </row>
    <row r="6200" spans="1:11" ht="12.75">
      <c r="A6200" s="69">
        <f ca="1">IFERROR(__xludf.DUMMYFUNCTION("""COMPUTED_VALUE"""),107454)</f>
        <v>107454</v>
      </c>
      <c r="B6200" s="4">
        <f ca="1">IFERROR(__xludf.DUMMYFUNCTION("""COMPUTED_VALUE"""),44824)</f>
        <v>44824</v>
      </c>
      <c r="C6200" t="str">
        <f ca="1">IFERROR(__xludf.DUMMYFUNCTION("""COMPUTED_VALUE"""),"БУ Г. ОМСКА ""УДХБ"" 144-СТР от 01.07.2022")</f>
        <v>БУ Г. ОМСКА "УДХБ" 144-СТР от 01.07.2022</v>
      </c>
      <c r="D62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0" t="str">
        <f ca="1">IFERROR(__xludf.DUMMYFUNCTION("""COMPUTED_VALUE"""),"Новый")</f>
        <v>Новый</v>
      </c>
      <c r="G6200" s="68"/>
      <c r="K6200" s="68"/>
    </row>
    <row r="6201" spans="1:11" ht="12.75">
      <c r="A6201" s="69">
        <f ca="1">IFERROR(__xludf.DUMMYFUNCTION("""COMPUTED_VALUE"""),107455)</f>
        <v>107455</v>
      </c>
      <c r="B6201" s="4">
        <f ca="1">IFERROR(__xludf.DUMMYFUNCTION("""COMPUTED_VALUE"""),44824)</f>
        <v>44824</v>
      </c>
      <c r="C6201" t="str">
        <f ca="1">IFERROR(__xludf.DUMMYFUNCTION("""COMPUTED_VALUE"""),"БУ Г. ОМСКА ""УДХБ"" 144-СТР от 01.07.2022")</f>
        <v>БУ Г. ОМСКА "УДХБ" 144-СТР от 01.07.2022</v>
      </c>
      <c r="D62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1" t="str">
        <f ca="1">IFERROR(__xludf.DUMMYFUNCTION("""COMPUTED_VALUE"""),"Новый")</f>
        <v>Новый</v>
      </c>
      <c r="G6201" s="68"/>
      <c r="K6201" s="68"/>
    </row>
    <row r="6202" spans="1:11" ht="12.75">
      <c r="A6202" s="69">
        <f ca="1">IFERROR(__xludf.DUMMYFUNCTION("""COMPUTED_VALUE"""),107456)</f>
        <v>107456</v>
      </c>
      <c r="B6202" s="4">
        <f ca="1">IFERROR(__xludf.DUMMYFUNCTION("""COMPUTED_VALUE"""),44824)</f>
        <v>44824</v>
      </c>
      <c r="C6202" t="str">
        <f ca="1">IFERROR(__xludf.DUMMYFUNCTION("""COMPUTED_VALUE"""),"БУ Г. ОМСКА ""УДХБ"" 144-СТР от 01.07.2022")</f>
        <v>БУ Г. ОМСКА "УДХБ" 144-СТР от 01.07.2022</v>
      </c>
      <c r="D62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2" t="str">
        <f ca="1">IFERROR(__xludf.DUMMYFUNCTION("""COMPUTED_VALUE"""),"Новый")</f>
        <v>Новый</v>
      </c>
      <c r="G6202" s="68"/>
      <c r="K6202" s="68"/>
    </row>
    <row r="6203" spans="1:11" ht="12.75">
      <c r="A6203" s="69">
        <f ca="1">IFERROR(__xludf.DUMMYFUNCTION("""COMPUTED_VALUE"""),107457)</f>
        <v>107457</v>
      </c>
      <c r="B6203" s="4">
        <f ca="1">IFERROR(__xludf.DUMMYFUNCTION("""COMPUTED_VALUE"""),44824)</f>
        <v>44824</v>
      </c>
      <c r="C6203" t="str">
        <f ca="1">IFERROR(__xludf.DUMMYFUNCTION("""COMPUTED_VALUE"""),"БУ Г. ОМСКА ""УДХБ"" 144-СТР от 01.07.2022")</f>
        <v>БУ Г. ОМСКА "УДХБ" 144-СТР от 01.07.2022</v>
      </c>
      <c r="D62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3" t="str">
        <f ca="1">IFERROR(__xludf.DUMMYFUNCTION("""COMPUTED_VALUE"""),"Новый")</f>
        <v>Новый</v>
      </c>
      <c r="G6203" s="68"/>
      <c r="K6203" s="68"/>
    </row>
    <row r="6204" spans="1:11" ht="12.75">
      <c r="A6204" s="69">
        <f ca="1">IFERROR(__xludf.DUMMYFUNCTION("""COMPUTED_VALUE"""),107458)</f>
        <v>107458</v>
      </c>
      <c r="B6204" s="4">
        <f ca="1">IFERROR(__xludf.DUMMYFUNCTION("""COMPUTED_VALUE"""),44824)</f>
        <v>44824</v>
      </c>
      <c r="C6204" t="str">
        <f ca="1">IFERROR(__xludf.DUMMYFUNCTION("""COMPUTED_VALUE"""),"БУ Г. ОМСКА ""УДХБ"" 144-СТР от 01.07.2022")</f>
        <v>БУ Г. ОМСКА "УДХБ" 144-СТР от 01.07.2022</v>
      </c>
      <c r="D62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4" t="str">
        <f ca="1">IFERROR(__xludf.DUMMYFUNCTION("""COMPUTED_VALUE"""),"Новый")</f>
        <v>Новый</v>
      </c>
      <c r="G6204" s="68"/>
      <c r="K6204" s="68"/>
    </row>
    <row r="6205" spans="1:11" ht="12.75">
      <c r="A6205" s="69">
        <f ca="1">IFERROR(__xludf.DUMMYFUNCTION("""COMPUTED_VALUE"""),107459)</f>
        <v>107459</v>
      </c>
      <c r="B6205" s="4">
        <f ca="1">IFERROR(__xludf.DUMMYFUNCTION("""COMPUTED_VALUE"""),44824)</f>
        <v>44824</v>
      </c>
      <c r="C6205" t="str">
        <f ca="1">IFERROR(__xludf.DUMMYFUNCTION("""COMPUTED_VALUE"""),"БУ Г. ОМСКА ""УДХБ"" 144-СТР от 01.07.2022")</f>
        <v>БУ Г. ОМСКА "УДХБ" 144-СТР от 01.07.2022</v>
      </c>
      <c r="D62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5" t="str">
        <f ca="1">IFERROR(__xludf.DUMMYFUNCTION("""COMPUTED_VALUE"""),"Новый")</f>
        <v>Новый</v>
      </c>
      <c r="G6205" s="68"/>
      <c r="K6205" s="68"/>
    </row>
    <row r="6206" spans="1:11" ht="12.75">
      <c r="A6206" s="69">
        <f ca="1">IFERROR(__xludf.DUMMYFUNCTION("""COMPUTED_VALUE"""),107460)</f>
        <v>107460</v>
      </c>
      <c r="B6206" s="4">
        <f ca="1">IFERROR(__xludf.DUMMYFUNCTION("""COMPUTED_VALUE"""),44824)</f>
        <v>44824</v>
      </c>
      <c r="C6206" t="str">
        <f ca="1">IFERROR(__xludf.DUMMYFUNCTION("""COMPUTED_VALUE"""),"БУ Г. ОМСКА ""УДХБ"" 144-СТР от 01.07.2022")</f>
        <v>БУ Г. ОМСКА "УДХБ" 144-СТР от 01.07.2022</v>
      </c>
      <c r="D62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6" t="str">
        <f ca="1">IFERROR(__xludf.DUMMYFUNCTION("""COMPUTED_VALUE"""),"Новый")</f>
        <v>Новый</v>
      </c>
      <c r="G6206" s="68"/>
      <c r="K6206" s="68"/>
    </row>
    <row r="6207" spans="1:11" ht="12.75">
      <c r="A6207" s="69">
        <f ca="1">IFERROR(__xludf.DUMMYFUNCTION("""COMPUTED_VALUE"""),107461)</f>
        <v>107461</v>
      </c>
      <c r="B6207" s="4">
        <f ca="1">IFERROR(__xludf.DUMMYFUNCTION("""COMPUTED_VALUE"""),44824)</f>
        <v>44824</v>
      </c>
      <c r="C6207" t="str">
        <f ca="1">IFERROR(__xludf.DUMMYFUNCTION("""COMPUTED_VALUE"""),"БУ Г. ОМСКА ""УДХБ"" 144-СТР от 01.07.2022")</f>
        <v>БУ Г. ОМСКА "УДХБ" 144-СТР от 01.07.2022</v>
      </c>
      <c r="D62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7" t="str">
        <f ca="1">IFERROR(__xludf.DUMMYFUNCTION("""COMPUTED_VALUE"""),"Новый")</f>
        <v>Новый</v>
      </c>
      <c r="G6207" s="68"/>
      <c r="K6207" s="68"/>
    </row>
    <row r="6208" spans="1:11" ht="12.75">
      <c r="A6208" s="69">
        <f ca="1">IFERROR(__xludf.DUMMYFUNCTION("""COMPUTED_VALUE"""),107462)</f>
        <v>107462</v>
      </c>
      <c r="B6208" s="4">
        <f ca="1">IFERROR(__xludf.DUMMYFUNCTION("""COMPUTED_VALUE"""),44824)</f>
        <v>44824</v>
      </c>
      <c r="C6208" t="str">
        <f ca="1">IFERROR(__xludf.DUMMYFUNCTION("""COMPUTED_VALUE"""),"БУ Г. ОМСКА ""УДХБ"" 144-СТР от 01.07.2022")</f>
        <v>БУ Г. ОМСКА "УДХБ" 144-СТР от 01.07.2022</v>
      </c>
      <c r="D62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8" t="str">
        <f ca="1">IFERROR(__xludf.DUMMYFUNCTION("""COMPUTED_VALUE"""),"Новый")</f>
        <v>Новый</v>
      </c>
      <c r="G6208" s="68"/>
      <c r="K6208" s="68"/>
    </row>
    <row r="6209" spans="1:11" ht="12.75">
      <c r="A6209" s="69">
        <f ca="1">IFERROR(__xludf.DUMMYFUNCTION("""COMPUTED_VALUE"""),107463)</f>
        <v>107463</v>
      </c>
      <c r="B6209" s="4">
        <f ca="1">IFERROR(__xludf.DUMMYFUNCTION("""COMPUTED_VALUE"""),44824)</f>
        <v>44824</v>
      </c>
      <c r="C6209" t="str">
        <f ca="1">IFERROR(__xludf.DUMMYFUNCTION("""COMPUTED_VALUE"""),"БУ Г. ОМСКА ""УДХБ"" 144-СТР от 01.07.2022")</f>
        <v>БУ Г. ОМСКА "УДХБ" 144-СТР от 01.07.2022</v>
      </c>
      <c r="D62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09" t="str">
        <f ca="1">IFERROR(__xludf.DUMMYFUNCTION("""COMPUTED_VALUE"""),"Новый")</f>
        <v>Новый</v>
      </c>
      <c r="G6209" s="68"/>
      <c r="K6209" s="68"/>
    </row>
    <row r="6210" spans="1:11" ht="12.75">
      <c r="A6210" s="69">
        <f ca="1">IFERROR(__xludf.DUMMYFUNCTION("""COMPUTED_VALUE"""),107464)</f>
        <v>107464</v>
      </c>
      <c r="B6210" s="4">
        <f ca="1">IFERROR(__xludf.DUMMYFUNCTION("""COMPUTED_VALUE"""),44824)</f>
        <v>44824</v>
      </c>
      <c r="C6210" t="str">
        <f ca="1">IFERROR(__xludf.DUMMYFUNCTION("""COMPUTED_VALUE"""),"БУ Г. ОМСКА ""УДХБ"" 144-СТР от 01.07.2022")</f>
        <v>БУ Г. ОМСКА "УДХБ" 144-СТР от 01.07.2022</v>
      </c>
      <c r="D62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0" t="str">
        <f ca="1">IFERROR(__xludf.DUMMYFUNCTION("""COMPUTED_VALUE"""),"Новый")</f>
        <v>Новый</v>
      </c>
      <c r="G6210" s="68"/>
      <c r="K6210" s="68"/>
    </row>
    <row r="6211" spans="1:11" ht="12.75">
      <c r="A6211" s="69">
        <f ca="1">IFERROR(__xludf.DUMMYFUNCTION("""COMPUTED_VALUE"""),107465)</f>
        <v>107465</v>
      </c>
      <c r="B6211" s="4">
        <f ca="1">IFERROR(__xludf.DUMMYFUNCTION("""COMPUTED_VALUE"""),44824)</f>
        <v>44824</v>
      </c>
      <c r="C6211" t="str">
        <f ca="1">IFERROR(__xludf.DUMMYFUNCTION("""COMPUTED_VALUE"""),"БУ Г. ОМСКА ""УДХБ"" 144-СТР от 01.07.2022")</f>
        <v>БУ Г. ОМСКА "УДХБ" 144-СТР от 01.07.2022</v>
      </c>
      <c r="D62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1" t="str">
        <f ca="1">IFERROR(__xludf.DUMMYFUNCTION("""COMPUTED_VALUE"""),"Новый")</f>
        <v>Новый</v>
      </c>
      <c r="G6211" s="68"/>
      <c r="K6211" s="68"/>
    </row>
    <row r="6212" spans="1:11" ht="12.75">
      <c r="A6212" s="69">
        <f ca="1">IFERROR(__xludf.DUMMYFUNCTION("""COMPUTED_VALUE"""),107467)</f>
        <v>107467</v>
      </c>
      <c r="B6212" s="4">
        <f ca="1">IFERROR(__xludf.DUMMYFUNCTION("""COMPUTED_VALUE"""),44824)</f>
        <v>44824</v>
      </c>
      <c r="C6212" t="str">
        <f ca="1">IFERROR(__xludf.DUMMYFUNCTION("""COMPUTED_VALUE"""),"БУ Г. ОМСКА ""УДХБ"" 144-СТР от 01.07.2022")</f>
        <v>БУ Г. ОМСКА "УДХБ" 144-СТР от 01.07.2022</v>
      </c>
      <c r="D62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2" t="str">
        <f ca="1">IFERROR(__xludf.DUMMYFUNCTION("""COMPUTED_VALUE"""),"Новый")</f>
        <v>Новый</v>
      </c>
      <c r="G6212" s="68"/>
      <c r="K6212" s="68"/>
    </row>
    <row r="6213" spans="1:11" ht="12.75">
      <c r="A6213" s="69">
        <f ca="1">IFERROR(__xludf.DUMMYFUNCTION("""COMPUTED_VALUE"""),107468)</f>
        <v>107468</v>
      </c>
      <c r="B6213" s="4">
        <f ca="1">IFERROR(__xludf.DUMMYFUNCTION("""COMPUTED_VALUE"""),44824)</f>
        <v>44824</v>
      </c>
      <c r="C6213" t="str">
        <f ca="1">IFERROR(__xludf.DUMMYFUNCTION("""COMPUTED_VALUE"""),"БУ Г. ОМСКА ""УДХБ"" 144-СТР от 01.07.2022")</f>
        <v>БУ Г. ОМСКА "УДХБ" 144-СТР от 01.07.2022</v>
      </c>
      <c r="D62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3" t="str">
        <f ca="1">IFERROR(__xludf.DUMMYFUNCTION("""COMPUTED_VALUE"""),"Новый")</f>
        <v>Новый</v>
      </c>
      <c r="G6213" s="68"/>
      <c r="K6213" s="68"/>
    </row>
    <row r="6214" spans="1:11" ht="12.75">
      <c r="A6214" s="69">
        <f ca="1">IFERROR(__xludf.DUMMYFUNCTION("""COMPUTED_VALUE"""),107469)</f>
        <v>107469</v>
      </c>
      <c r="B6214" s="4">
        <f ca="1">IFERROR(__xludf.DUMMYFUNCTION("""COMPUTED_VALUE"""),44824)</f>
        <v>44824</v>
      </c>
      <c r="C6214" t="str">
        <f ca="1">IFERROR(__xludf.DUMMYFUNCTION("""COMPUTED_VALUE"""),"БУ Г. ОМСКА ""УДХБ"" 144-СТР от 01.07.2022")</f>
        <v>БУ Г. ОМСКА "УДХБ" 144-СТР от 01.07.2022</v>
      </c>
      <c r="D62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4" t="str">
        <f ca="1">IFERROR(__xludf.DUMMYFUNCTION("""COMPUTED_VALUE"""),"Новый")</f>
        <v>Новый</v>
      </c>
      <c r="G6214" s="68"/>
      <c r="K6214" s="68"/>
    </row>
    <row r="6215" spans="1:11" ht="12.75">
      <c r="A6215" s="69">
        <f ca="1">IFERROR(__xludf.DUMMYFUNCTION("""COMPUTED_VALUE"""),107470)</f>
        <v>107470</v>
      </c>
      <c r="B6215" s="4">
        <f ca="1">IFERROR(__xludf.DUMMYFUNCTION("""COMPUTED_VALUE"""),44824)</f>
        <v>44824</v>
      </c>
      <c r="C6215" t="str">
        <f ca="1">IFERROR(__xludf.DUMMYFUNCTION("""COMPUTED_VALUE"""),"БУ Г. ОМСКА ""УДХБ"" 144-СТР от 01.07.2022")</f>
        <v>БУ Г. ОМСКА "УДХБ" 144-СТР от 01.07.2022</v>
      </c>
      <c r="D62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5" t="str">
        <f ca="1">IFERROR(__xludf.DUMMYFUNCTION("""COMPUTED_VALUE"""),"Новый")</f>
        <v>Новый</v>
      </c>
      <c r="G6215" s="68"/>
      <c r="K6215" s="68"/>
    </row>
    <row r="6216" spans="1:11" ht="12.75">
      <c r="A6216" s="69">
        <f ca="1">IFERROR(__xludf.DUMMYFUNCTION("""COMPUTED_VALUE"""),107471)</f>
        <v>107471</v>
      </c>
      <c r="B6216" s="4">
        <f ca="1">IFERROR(__xludf.DUMMYFUNCTION("""COMPUTED_VALUE"""),44824)</f>
        <v>44824</v>
      </c>
      <c r="C6216" t="str">
        <f ca="1">IFERROR(__xludf.DUMMYFUNCTION("""COMPUTED_VALUE"""),"БУ Г. ОМСКА ""УДХБ"" 144-СТР от 01.07.2022")</f>
        <v>БУ Г. ОМСКА "УДХБ" 144-СТР от 01.07.2022</v>
      </c>
      <c r="D62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6" t="str">
        <f ca="1">IFERROR(__xludf.DUMMYFUNCTION("""COMPUTED_VALUE"""),"Новый")</f>
        <v>Новый</v>
      </c>
      <c r="G6216" s="68"/>
      <c r="K6216" s="68"/>
    </row>
    <row r="6217" spans="1:11" ht="12.75">
      <c r="A6217" s="69">
        <f ca="1">IFERROR(__xludf.DUMMYFUNCTION("""COMPUTED_VALUE"""),107472)</f>
        <v>107472</v>
      </c>
      <c r="B6217" s="4">
        <f ca="1">IFERROR(__xludf.DUMMYFUNCTION("""COMPUTED_VALUE"""),44824)</f>
        <v>44824</v>
      </c>
      <c r="C6217" t="str">
        <f ca="1">IFERROR(__xludf.DUMMYFUNCTION("""COMPUTED_VALUE"""),"БУ Г. ОМСКА ""УДХБ"" 144-СТР от 01.07.2022")</f>
        <v>БУ Г. ОМСКА "УДХБ" 144-СТР от 01.07.2022</v>
      </c>
      <c r="D62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7" t="str">
        <f ca="1">IFERROR(__xludf.DUMMYFUNCTION("""COMPUTED_VALUE"""),"Новый")</f>
        <v>Новый</v>
      </c>
      <c r="G6217" s="68"/>
      <c r="K6217" s="68"/>
    </row>
    <row r="6218" spans="1:11" ht="12.75">
      <c r="A6218" s="69">
        <f ca="1">IFERROR(__xludf.DUMMYFUNCTION("""COMPUTED_VALUE"""),107473)</f>
        <v>107473</v>
      </c>
      <c r="B6218" s="4">
        <f ca="1">IFERROR(__xludf.DUMMYFUNCTION("""COMPUTED_VALUE"""),44824)</f>
        <v>44824</v>
      </c>
      <c r="C6218" t="str">
        <f ca="1">IFERROR(__xludf.DUMMYFUNCTION("""COMPUTED_VALUE"""),"БУ Г. ОМСКА ""УДХБ"" 144-СТР от 01.07.2022")</f>
        <v>БУ Г. ОМСКА "УДХБ" 144-СТР от 01.07.2022</v>
      </c>
      <c r="D62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8" t="str">
        <f ca="1">IFERROR(__xludf.DUMMYFUNCTION("""COMPUTED_VALUE"""),"Новый")</f>
        <v>Новый</v>
      </c>
      <c r="G6218" s="68"/>
      <c r="K6218" s="68"/>
    </row>
    <row r="6219" spans="1:11" ht="12.75">
      <c r="A6219" s="69">
        <f ca="1">IFERROR(__xludf.DUMMYFUNCTION("""COMPUTED_VALUE"""),107474)</f>
        <v>107474</v>
      </c>
      <c r="B6219" s="4">
        <f ca="1">IFERROR(__xludf.DUMMYFUNCTION("""COMPUTED_VALUE"""),44824)</f>
        <v>44824</v>
      </c>
      <c r="C6219" t="str">
        <f ca="1">IFERROR(__xludf.DUMMYFUNCTION("""COMPUTED_VALUE"""),"БУ Г. ОМСКА ""УДХБ"" 144-СТР от 01.07.2022")</f>
        <v>БУ Г. ОМСКА "УДХБ" 144-СТР от 01.07.2022</v>
      </c>
      <c r="D62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19" t="str">
        <f ca="1">IFERROR(__xludf.DUMMYFUNCTION("""COMPUTED_VALUE"""),"Новый")</f>
        <v>Новый</v>
      </c>
      <c r="G6219" s="68"/>
      <c r="K6219" s="68"/>
    </row>
    <row r="6220" spans="1:11" ht="12.75">
      <c r="A6220" s="69">
        <f ca="1">IFERROR(__xludf.DUMMYFUNCTION("""COMPUTED_VALUE"""),107475)</f>
        <v>107475</v>
      </c>
      <c r="B6220" s="4">
        <f ca="1">IFERROR(__xludf.DUMMYFUNCTION("""COMPUTED_VALUE"""),44824)</f>
        <v>44824</v>
      </c>
      <c r="C6220" t="str">
        <f ca="1">IFERROR(__xludf.DUMMYFUNCTION("""COMPUTED_VALUE"""),"БУ Г. ОМСКА ""УДХБ"" 144-СТР от 01.07.2022")</f>
        <v>БУ Г. ОМСКА "УДХБ" 144-СТР от 01.07.2022</v>
      </c>
      <c r="D62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0" t="str">
        <f ca="1">IFERROR(__xludf.DUMMYFUNCTION("""COMPUTED_VALUE"""),"Новый")</f>
        <v>Новый</v>
      </c>
      <c r="G6220" s="68"/>
      <c r="K6220" s="68"/>
    </row>
    <row r="6221" spans="1:11" ht="12.75">
      <c r="A6221" s="69">
        <f ca="1">IFERROR(__xludf.DUMMYFUNCTION("""COMPUTED_VALUE"""),107476)</f>
        <v>107476</v>
      </c>
      <c r="B6221" s="4">
        <f ca="1">IFERROR(__xludf.DUMMYFUNCTION("""COMPUTED_VALUE"""),44824)</f>
        <v>44824</v>
      </c>
      <c r="C6221" t="str">
        <f ca="1">IFERROR(__xludf.DUMMYFUNCTION("""COMPUTED_VALUE"""),"БУ Г. ОМСКА ""УДХБ"" 144-СТР от 01.07.2022")</f>
        <v>БУ Г. ОМСКА "УДХБ" 144-СТР от 01.07.2022</v>
      </c>
      <c r="D62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1" t="str">
        <f ca="1">IFERROR(__xludf.DUMMYFUNCTION("""COMPUTED_VALUE"""),"Новый")</f>
        <v>Новый</v>
      </c>
      <c r="G6221" s="68"/>
      <c r="K6221" s="68"/>
    </row>
    <row r="6222" spans="1:11" ht="12.75">
      <c r="A6222" s="69">
        <f ca="1">IFERROR(__xludf.DUMMYFUNCTION("""COMPUTED_VALUE"""),107477)</f>
        <v>107477</v>
      </c>
      <c r="B6222" s="4">
        <f ca="1">IFERROR(__xludf.DUMMYFUNCTION("""COMPUTED_VALUE"""),44824)</f>
        <v>44824</v>
      </c>
      <c r="C6222" t="str">
        <f ca="1">IFERROR(__xludf.DUMMYFUNCTION("""COMPUTED_VALUE"""),"БУ Г. ОМСКА ""УДХБ"" 144-СТР от 01.07.2022")</f>
        <v>БУ Г. ОМСКА "УДХБ" 144-СТР от 01.07.2022</v>
      </c>
      <c r="D62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2" t="str">
        <f ca="1">IFERROR(__xludf.DUMMYFUNCTION("""COMPUTED_VALUE"""),"Новый")</f>
        <v>Новый</v>
      </c>
      <c r="G6222" s="68"/>
      <c r="K6222" s="68"/>
    </row>
    <row r="6223" spans="1:11" ht="12.75">
      <c r="A6223" s="69">
        <f ca="1">IFERROR(__xludf.DUMMYFUNCTION("""COMPUTED_VALUE"""),107478)</f>
        <v>107478</v>
      </c>
      <c r="B6223" s="4">
        <f ca="1">IFERROR(__xludf.DUMMYFUNCTION("""COMPUTED_VALUE"""),44824)</f>
        <v>44824</v>
      </c>
      <c r="C6223" t="str">
        <f ca="1">IFERROR(__xludf.DUMMYFUNCTION("""COMPUTED_VALUE"""),"БУ Г. ОМСКА ""УДХБ"" 144-СТР от 01.07.2022")</f>
        <v>БУ Г. ОМСКА "УДХБ" 144-СТР от 01.07.2022</v>
      </c>
      <c r="D62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3" t="str">
        <f ca="1">IFERROR(__xludf.DUMMYFUNCTION("""COMPUTED_VALUE"""),"Новый")</f>
        <v>Новый</v>
      </c>
      <c r="G6223" s="68"/>
      <c r="K6223" s="68"/>
    </row>
    <row r="6224" spans="1:11" ht="12.75">
      <c r="A6224" s="69">
        <f ca="1">IFERROR(__xludf.DUMMYFUNCTION("""COMPUTED_VALUE"""),107479)</f>
        <v>107479</v>
      </c>
      <c r="B6224" s="4">
        <f ca="1">IFERROR(__xludf.DUMMYFUNCTION("""COMPUTED_VALUE"""),44824)</f>
        <v>44824</v>
      </c>
      <c r="C6224" t="str">
        <f ca="1">IFERROR(__xludf.DUMMYFUNCTION("""COMPUTED_VALUE"""),"БУ Г. ОМСКА ""УДХБ"" 144-СТР от 01.07.2022")</f>
        <v>БУ Г. ОМСКА "УДХБ" 144-СТР от 01.07.2022</v>
      </c>
      <c r="D62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4" t="str">
        <f ca="1">IFERROR(__xludf.DUMMYFUNCTION("""COMPUTED_VALUE"""),"Новый")</f>
        <v>Новый</v>
      </c>
      <c r="G6224" s="68"/>
      <c r="K6224" s="68"/>
    </row>
    <row r="6225" spans="1:11" ht="12.75">
      <c r="A6225" s="69">
        <f ca="1">IFERROR(__xludf.DUMMYFUNCTION("""COMPUTED_VALUE"""),107480)</f>
        <v>107480</v>
      </c>
      <c r="B6225" s="4">
        <f ca="1">IFERROR(__xludf.DUMMYFUNCTION("""COMPUTED_VALUE"""),44824)</f>
        <v>44824</v>
      </c>
      <c r="C6225" t="str">
        <f ca="1">IFERROR(__xludf.DUMMYFUNCTION("""COMPUTED_VALUE"""),"БУ Г. ОМСКА ""УДХБ"" 144-СТР от 01.07.2022")</f>
        <v>БУ Г. ОМСКА "УДХБ" 144-СТР от 01.07.2022</v>
      </c>
      <c r="D62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5" t="str">
        <f ca="1">IFERROR(__xludf.DUMMYFUNCTION("""COMPUTED_VALUE"""),"Новый")</f>
        <v>Новый</v>
      </c>
      <c r="G6225" s="68"/>
      <c r="K6225" s="68"/>
    </row>
    <row r="6226" spans="1:11" ht="12.75">
      <c r="A6226" s="69">
        <f ca="1">IFERROR(__xludf.DUMMYFUNCTION("""COMPUTED_VALUE"""),107481)</f>
        <v>107481</v>
      </c>
      <c r="B6226" s="4">
        <f ca="1">IFERROR(__xludf.DUMMYFUNCTION("""COMPUTED_VALUE"""),44824)</f>
        <v>44824</v>
      </c>
      <c r="C6226" t="str">
        <f ca="1">IFERROR(__xludf.DUMMYFUNCTION("""COMPUTED_VALUE"""),"БУ Г. ОМСКА ""УДХБ"" 144-СТР от 01.07.2022")</f>
        <v>БУ Г. ОМСКА "УДХБ" 144-СТР от 01.07.2022</v>
      </c>
      <c r="D62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6" t="str">
        <f ca="1">IFERROR(__xludf.DUMMYFUNCTION("""COMPUTED_VALUE"""),"Новый")</f>
        <v>Новый</v>
      </c>
      <c r="G6226" s="68"/>
      <c r="K6226" s="68"/>
    </row>
    <row r="6227" spans="1:11" ht="12.75">
      <c r="A6227" s="69">
        <f ca="1">IFERROR(__xludf.DUMMYFUNCTION("""COMPUTED_VALUE"""),107482)</f>
        <v>107482</v>
      </c>
      <c r="B6227" s="4">
        <f ca="1">IFERROR(__xludf.DUMMYFUNCTION("""COMPUTED_VALUE"""),44824)</f>
        <v>44824</v>
      </c>
      <c r="C6227" t="str">
        <f ca="1">IFERROR(__xludf.DUMMYFUNCTION("""COMPUTED_VALUE"""),"БУ Г. ОМСКА ""УДХБ"" 144-СТР от 01.07.2022")</f>
        <v>БУ Г. ОМСКА "УДХБ" 144-СТР от 01.07.2022</v>
      </c>
      <c r="D62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7" t="str">
        <f ca="1">IFERROR(__xludf.DUMMYFUNCTION("""COMPUTED_VALUE"""),"Новый")</f>
        <v>Новый</v>
      </c>
      <c r="G6227" s="68"/>
      <c r="K6227" s="68"/>
    </row>
    <row r="6228" spans="1:11" ht="12.75">
      <c r="A6228" s="69">
        <f ca="1">IFERROR(__xludf.DUMMYFUNCTION("""COMPUTED_VALUE"""),107483)</f>
        <v>107483</v>
      </c>
      <c r="B6228" s="4">
        <f ca="1">IFERROR(__xludf.DUMMYFUNCTION("""COMPUTED_VALUE"""),44824)</f>
        <v>44824</v>
      </c>
      <c r="C6228" t="str">
        <f ca="1">IFERROR(__xludf.DUMMYFUNCTION("""COMPUTED_VALUE"""),"БУ Г. ОМСКА ""УДХБ"" 144-СТР от 01.07.2022")</f>
        <v>БУ Г. ОМСКА "УДХБ" 144-СТР от 01.07.2022</v>
      </c>
      <c r="D62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8" t="str">
        <f ca="1">IFERROR(__xludf.DUMMYFUNCTION("""COMPUTED_VALUE"""),"Новый")</f>
        <v>Новый</v>
      </c>
      <c r="G6228" s="68"/>
      <c r="K6228" s="68"/>
    </row>
    <row r="6229" spans="1:11" ht="12.75">
      <c r="A6229" s="69">
        <f ca="1">IFERROR(__xludf.DUMMYFUNCTION("""COMPUTED_VALUE"""),107484)</f>
        <v>107484</v>
      </c>
      <c r="B6229" s="4">
        <f ca="1">IFERROR(__xludf.DUMMYFUNCTION("""COMPUTED_VALUE"""),44824)</f>
        <v>44824</v>
      </c>
      <c r="C6229" t="str">
        <f ca="1">IFERROR(__xludf.DUMMYFUNCTION("""COMPUTED_VALUE"""),"БУ Г. ОМСКА ""УДХБ"" 144-СТР от 01.07.2022")</f>
        <v>БУ Г. ОМСКА "УДХБ" 144-СТР от 01.07.2022</v>
      </c>
      <c r="D62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29" t="str">
        <f ca="1">IFERROR(__xludf.DUMMYFUNCTION("""COMPUTED_VALUE"""),"Новый")</f>
        <v>Новый</v>
      </c>
      <c r="G6229" s="68"/>
      <c r="K6229" s="68"/>
    </row>
    <row r="6230" spans="1:11" ht="12.75">
      <c r="A6230" s="69">
        <f ca="1">IFERROR(__xludf.DUMMYFUNCTION("""COMPUTED_VALUE"""),107485)</f>
        <v>107485</v>
      </c>
      <c r="B6230" s="4">
        <f ca="1">IFERROR(__xludf.DUMMYFUNCTION("""COMPUTED_VALUE"""),44824)</f>
        <v>44824</v>
      </c>
      <c r="C6230" t="str">
        <f ca="1">IFERROR(__xludf.DUMMYFUNCTION("""COMPUTED_VALUE"""),"БУ Г. ОМСКА ""УДХБ"" 144-СТР от 01.07.2022")</f>
        <v>БУ Г. ОМСКА "УДХБ" 144-СТР от 01.07.2022</v>
      </c>
      <c r="D62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0" t="str">
        <f ca="1">IFERROR(__xludf.DUMMYFUNCTION("""COMPUTED_VALUE"""),"Новый")</f>
        <v>Новый</v>
      </c>
      <c r="G6230" s="68"/>
      <c r="K6230" s="68"/>
    </row>
    <row r="6231" spans="1:11" ht="12.75">
      <c r="A6231" s="69">
        <f ca="1">IFERROR(__xludf.DUMMYFUNCTION("""COMPUTED_VALUE"""),107486)</f>
        <v>107486</v>
      </c>
      <c r="B6231" s="4">
        <f ca="1">IFERROR(__xludf.DUMMYFUNCTION("""COMPUTED_VALUE"""),44824)</f>
        <v>44824</v>
      </c>
      <c r="C6231" t="str">
        <f ca="1">IFERROR(__xludf.DUMMYFUNCTION("""COMPUTED_VALUE"""),"БУ Г. ОМСКА ""УДХБ"" 144-СТР от 01.07.2022")</f>
        <v>БУ Г. ОМСКА "УДХБ" 144-СТР от 01.07.2022</v>
      </c>
      <c r="D62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1" t="str">
        <f ca="1">IFERROR(__xludf.DUMMYFUNCTION("""COMPUTED_VALUE"""),"Новый")</f>
        <v>Новый</v>
      </c>
      <c r="G6231" s="68"/>
      <c r="K6231" s="68"/>
    </row>
    <row r="6232" spans="1:11" ht="12.75">
      <c r="A6232" s="69">
        <f ca="1">IFERROR(__xludf.DUMMYFUNCTION("""COMPUTED_VALUE"""),107487)</f>
        <v>107487</v>
      </c>
      <c r="B6232" s="4">
        <f ca="1">IFERROR(__xludf.DUMMYFUNCTION("""COMPUTED_VALUE"""),44824)</f>
        <v>44824</v>
      </c>
      <c r="C6232" t="str">
        <f ca="1">IFERROR(__xludf.DUMMYFUNCTION("""COMPUTED_VALUE"""),"БУ Г. ОМСКА ""УДХБ"" 144-СТР от 01.07.2022")</f>
        <v>БУ Г. ОМСКА "УДХБ" 144-СТР от 01.07.2022</v>
      </c>
      <c r="D62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2" t="str">
        <f ca="1">IFERROR(__xludf.DUMMYFUNCTION("""COMPUTED_VALUE"""),"Новый")</f>
        <v>Новый</v>
      </c>
      <c r="G6232" s="68"/>
      <c r="K6232" s="68"/>
    </row>
    <row r="6233" spans="1:11" ht="12.75">
      <c r="A6233" s="69">
        <f ca="1">IFERROR(__xludf.DUMMYFUNCTION("""COMPUTED_VALUE"""),107488)</f>
        <v>107488</v>
      </c>
      <c r="B6233" s="4">
        <f ca="1">IFERROR(__xludf.DUMMYFUNCTION("""COMPUTED_VALUE"""),44824)</f>
        <v>44824</v>
      </c>
      <c r="C6233" t="str">
        <f ca="1">IFERROR(__xludf.DUMMYFUNCTION("""COMPUTED_VALUE"""),"БУ Г. ОМСКА ""УДХБ"" 144-СТР от 01.07.2022")</f>
        <v>БУ Г. ОМСКА "УДХБ" 144-СТР от 01.07.2022</v>
      </c>
      <c r="D62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3" t="str">
        <f ca="1">IFERROR(__xludf.DUMMYFUNCTION("""COMPUTED_VALUE"""),"Новый")</f>
        <v>Новый</v>
      </c>
      <c r="G6233" s="68"/>
      <c r="K6233" s="68"/>
    </row>
    <row r="6234" spans="1:11" ht="12.75">
      <c r="A6234" s="69">
        <f ca="1">IFERROR(__xludf.DUMMYFUNCTION("""COMPUTED_VALUE"""),107489)</f>
        <v>107489</v>
      </c>
      <c r="B6234" s="4">
        <f ca="1">IFERROR(__xludf.DUMMYFUNCTION("""COMPUTED_VALUE"""),44824)</f>
        <v>44824</v>
      </c>
      <c r="C6234" t="str">
        <f ca="1">IFERROR(__xludf.DUMMYFUNCTION("""COMPUTED_VALUE"""),"БУ Г. ОМСКА ""УДХБ"" 144-СТР от 01.07.2022")</f>
        <v>БУ Г. ОМСКА "УДХБ" 144-СТР от 01.07.2022</v>
      </c>
      <c r="D62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4" t="str">
        <f ca="1">IFERROR(__xludf.DUMMYFUNCTION("""COMPUTED_VALUE"""),"Новый")</f>
        <v>Новый</v>
      </c>
      <c r="G6234" s="68"/>
      <c r="K6234" s="68"/>
    </row>
    <row r="6235" spans="1:11" ht="12.75">
      <c r="A6235" s="69">
        <f ca="1">IFERROR(__xludf.DUMMYFUNCTION("""COMPUTED_VALUE"""),107490)</f>
        <v>107490</v>
      </c>
      <c r="B6235" s="4">
        <f ca="1">IFERROR(__xludf.DUMMYFUNCTION("""COMPUTED_VALUE"""),44824)</f>
        <v>44824</v>
      </c>
      <c r="C6235" t="str">
        <f ca="1">IFERROR(__xludf.DUMMYFUNCTION("""COMPUTED_VALUE"""),"БУ Г. ОМСКА ""УДХБ"" 144-СТР от 01.07.2022")</f>
        <v>БУ Г. ОМСКА "УДХБ" 144-СТР от 01.07.2022</v>
      </c>
      <c r="D62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5" t="str">
        <f ca="1">IFERROR(__xludf.DUMMYFUNCTION("""COMPUTED_VALUE"""),"Новый")</f>
        <v>Новый</v>
      </c>
      <c r="G6235" s="68"/>
      <c r="K6235" s="68"/>
    </row>
    <row r="6236" spans="1:11" ht="12.75">
      <c r="A6236" s="69">
        <f ca="1">IFERROR(__xludf.DUMMYFUNCTION("""COMPUTED_VALUE"""),107491)</f>
        <v>107491</v>
      </c>
      <c r="B6236" s="4">
        <f ca="1">IFERROR(__xludf.DUMMYFUNCTION("""COMPUTED_VALUE"""),44824)</f>
        <v>44824</v>
      </c>
      <c r="C6236" t="str">
        <f ca="1">IFERROR(__xludf.DUMMYFUNCTION("""COMPUTED_VALUE"""),"БУ Г. ОМСКА ""УДХБ"" 144-СТР от 01.07.2022")</f>
        <v>БУ Г. ОМСКА "УДХБ" 144-СТР от 01.07.2022</v>
      </c>
      <c r="D62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6" t="str">
        <f ca="1">IFERROR(__xludf.DUMMYFUNCTION("""COMPUTED_VALUE"""),"Новый")</f>
        <v>Новый</v>
      </c>
      <c r="G6236" s="68"/>
      <c r="K6236" s="68"/>
    </row>
    <row r="6237" spans="1:11" ht="12.75">
      <c r="A6237" s="69">
        <f ca="1">IFERROR(__xludf.DUMMYFUNCTION("""COMPUTED_VALUE"""),107492)</f>
        <v>107492</v>
      </c>
      <c r="B6237" s="4">
        <f ca="1">IFERROR(__xludf.DUMMYFUNCTION("""COMPUTED_VALUE"""),44824)</f>
        <v>44824</v>
      </c>
      <c r="C6237" t="str">
        <f ca="1">IFERROR(__xludf.DUMMYFUNCTION("""COMPUTED_VALUE"""),"БУ Г. ОМСКА ""УДХБ"" 144-СТР от 01.07.2022")</f>
        <v>БУ Г. ОМСКА "УДХБ" 144-СТР от 01.07.2022</v>
      </c>
      <c r="D62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7" t="str">
        <f ca="1">IFERROR(__xludf.DUMMYFUNCTION("""COMPUTED_VALUE"""),"Новый")</f>
        <v>Новый</v>
      </c>
      <c r="G6237" s="68"/>
      <c r="K6237" s="68"/>
    </row>
    <row r="6238" spans="1:11" ht="12.75">
      <c r="A6238" s="69">
        <f ca="1">IFERROR(__xludf.DUMMYFUNCTION("""COMPUTED_VALUE"""),107493)</f>
        <v>107493</v>
      </c>
      <c r="B6238" s="4">
        <f ca="1">IFERROR(__xludf.DUMMYFUNCTION("""COMPUTED_VALUE"""),44824)</f>
        <v>44824</v>
      </c>
      <c r="C6238" t="str">
        <f ca="1">IFERROR(__xludf.DUMMYFUNCTION("""COMPUTED_VALUE"""),"БУ Г. ОМСКА ""УДХБ"" 144-СТР от 01.07.2022")</f>
        <v>БУ Г. ОМСКА "УДХБ" 144-СТР от 01.07.2022</v>
      </c>
      <c r="D62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8" t="str">
        <f ca="1">IFERROR(__xludf.DUMMYFUNCTION("""COMPUTED_VALUE"""),"Новый")</f>
        <v>Новый</v>
      </c>
      <c r="G6238" s="68"/>
      <c r="K6238" s="68"/>
    </row>
    <row r="6239" spans="1:11" ht="12.75">
      <c r="A6239" s="69">
        <f ca="1">IFERROR(__xludf.DUMMYFUNCTION("""COMPUTED_VALUE"""),107494)</f>
        <v>107494</v>
      </c>
      <c r="B6239" s="4">
        <f ca="1">IFERROR(__xludf.DUMMYFUNCTION("""COMPUTED_VALUE"""),44824)</f>
        <v>44824</v>
      </c>
      <c r="C6239" t="str">
        <f ca="1">IFERROR(__xludf.DUMMYFUNCTION("""COMPUTED_VALUE"""),"БУ Г. ОМСКА ""УДХБ"" 144-СТР от 01.07.2022")</f>
        <v>БУ Г. ОМСКА "УДХБ" 144-СТР от 01.07.2022</v>
      </c>
      <c r="D62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39" t="str">
        <f ca="1">IFERROR(__xludf.DUMMYFUNCTION("""COMPUTED_VALUE"""),"Новый")</f>
        <v>Новый</v>
      </c>
      <c r="G6239" s="68"/>
      <c r="K6239" s="68"/>
    </row>
    <row r="6240" spans="1:11" ht="12.75">
      <c r="A6240" s="69">
        <f ca="1">IFERROR(__xludf.DUMMYFUNCTION("""COMPUTED_VALUE"""),107495)</f>
        <v>107495</v>
      </c>
      <c r="B6240" s="4">
        <f ca="1">IFERROR(__xludf.DUMMYFUNCTION("""COMPUTED_VALUE"""),44824)</f>
        <v>44824</v>
      </c>
      <c r="C6240" t="str">
        <f ca="1">IFERROR(__xludf.DUMMYFUNCTION("""COMPUTED_VALUE"""),"БУ Г. ОМСКА ""УДХБ"" 144-СТР от 01.07.2022")</f>
        <v>БУ Г. ОМСКА "УДХБ" 144-СТР от 01.07.2022</v>
      </c>
      <c r="D62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0" t="str">
        <f ca="1">IFERROR(__xludf.DUMMYFUNCTION("""COMPUTED_VALUE"""),"Новый")</f>
        <v>Новый</v>
      </c>
      <c r="G6240" s="68"/>
      <c r="K6240" s="68"/>
    </row>
    <row r="6241" spans="1:11" ht="12.75">
      <c r="A6241" s="69">
        <f ca="1">IFERROR(__xludf.DUMMYFUNCTION("""COMPUTED_VALUE"""),107496)</f>
        <v>107496</v>
      </c>
      <c r="B6241" s="4">
        <f ca="1">IFERROR(__xludf.DUMMYFUNCTION("""COMPUTED_VALUE"""),44824)</f>
        <v>44824</v>
      </c>
      <c r="C6241" t="str">
        <f ca="1">IFERROR(__xludf.DUMMYFUNCTION("""COMPUTED_VALUE"""),"БУ Г. ОМСКА ""УДХБ"" 144-СТР от 01.07.2022")</f>
        <v>БУ Г. ОМСКА "УДХБ" 144-СТР от 01.07.2022</v>
      </c>
      <c r="D62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1" t="str">
        <f ca="1">IFERROR(__xludf.DUMMYFUNCTION("""COMPUTED_VALUE"""),"Новый")</f>
        <v>Новый</v>
      </c>
      <c r="G6241" s="68"/>
      <c r="K6241" s="68"/>
    </row>
    <row r="6242" spans="1:11" ht="12.75">
      <c r="A6242" s="69">
        <f ca="1">IFERROR(__xludf.DUMMYFUNCTION("""COMPUTED_VALUE"""),107497)</f>
        <v>107497</v>
      </c>
      <c r="B6242" s="4">
        <f ca="1">IFERROR(__xludf.DUMMYFUNCTION("""COMPUTED_VALUE"""),44824)</f>
        <v>44824</v>
      </c>
      <c r="C6242" t="str">
        <f ca="1">IFERROR(__xludf.DUMMYFUNCTION("""COMPUTED_VALUE"""),"БУ Г. ОМСКА ""УДХБ"" 144-СТР от 01.07.2022")</f>
        <v>БУ Г. ОМСКА "УДХБ" 144-СТР от 01.07.2022</v>
      </c>
      <c r="D62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2" t="str">
        <f ca="1">IFERROR(__xludf.DUMMYFUNCTION("""COMPUTED_VALUE"""),"Новый")</f>
        <v>Новый</v>
      </c>
      <c r="G6242" s="68"/>
      <c r="K6242" s="68"/>
    </row>
    <row r="6243" spans="1:11" ht="12.75">
      <c r="A6243" s="69">
        <f ca="1">IFERROR(__xludf.DUMMYFUNCTION("""COMPUTED_VALUE"""),107498)</f>
        <v>107498</v>
      </c>
      <c r="B6243" s="4">
        <f ca="1">IFERROR(__xludf.DUMMYFUNCTION("""COMPUTED_VALUE"""),44824)</f>
        <v>44824</v>
      </c>
      <c r="C6243" t="str">
        <f ca="1">IFERROR(__xludf.DUMMYFUNCTION("""COMPUTED_VALUE"""),"БУ Г. ОМСКА ""УДХБ"" 144-СТР от 01.07.2022")</f>
        <v>БУ Г. ОМСКА "УДХБ" 144-СТР от 01.07.2022</v>
      </c>
      <c r="D62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3" t="str">
        <f ca="1">IFERROR(__xludf.DUMMYFUNCTION("""COMPUTED_VALUE"""),"Новый")</f>
        <v>Новый</v>
      </c>
      <c r="G6243" s="68"/>
      <c r="K6243" s="68"/>
    </row>
    <row r="6244" spans="1:11" ht="12.75">
      <c r="A6244" s="69">
        <f ca="1">IFERROR(__xludf.DUMMYFUNCTION("""COMPUTED_VALUE"""),107499)</f>
        <v>107499</v>
      </c>
      <c r="B6244" s="4">
        <f ca="1">IFERROR(__xludf.DUMMYFUNCTION("""COMPUTED_VALUE"""),44824)</f>
        <v>44824</v>
      </c>
      <c r="C6244" t="str">
        <f ca="1">IFERROR(__xludf.DUMMYFUNCTION("""COMPUTED_VALUE"""),"БУ Г. ОМСКА ""УДХБ"" 144-СТР от 01.07.2022")</f>
        <v>БУ Г. ОМСКА "УДХБ" 144-СТР от 01.07.2022</v>
      </c>
      <c r="D62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4" t="str">
        <f ca="1">IFERROR(__xludf.DUMMYFUNCTION("""COMPUTED_VALUE"""),"Новый")</f>
        <v>Новый</v>
      </c>
      <c r="G6244" s="68"/>
      <c r="K6244" s="68"/>
    </row>
    <row r="6245" spans="1:11" ht="12.75">
      <c r="A6245" s="69">
        <f ca="1">IFERROR(__xludf.DUMMYFUNCTION("""COMPUTED_VALUE"""),107500)</f>
        <v>107500</v>
      </c>
      <c r="B6245" s="4">
        <f ca="1">IFERROR(__xludf.DUMMYFUNCTION("""COMPUTED_VALUE"""),44824)</f>
        <v>44824</v>
      </c>
      <c r="C6245" t="str">
        <f ca="1">IFERROR(__xludf.DUMMYFUNCTION("""COMPUTED_VALUE"""),"БУ Г. ОМСКА ""УДХБ"" 144-СТР от 01.07.2022")</f>
        <v>БУ Г. ОМСКА "УДХБ" 144-СТР от 01.07.2022</v>
      </c>
      <c r="D62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5" t="str">
        <f ca="1">IFERROR(__xludf.DUMMYFUNCTION("""COMPUTED_VALUE"""),"Новый")</f>
        <v>Новый</v>
      </c>
      <c r="G6245" s="68"/>
      <c r="K6245" s="68"/>
    </row>
    <row r="6246" spans="1:11" ht="12.75">
      <c r="A6246" s="69">
        <f ca="1">IFERROR(__xludf.DUMMYFUNCTION("""COMPUTED_VALUE"""),107501)</f>
        <v>107501</v>
      </c>
      <c r="B6246" s="4">
        <f ca="1">IFERROR(__xludf.DUMMYFUNCTION("""COMPUTED_VALUE"""),44824)</f>
        <v>44824</v>
      </c>
      <c r="C6246" t="str">
        <f ca="1">IFERROR(__xludf.DUMMYFUNCTION("""COMPUTED_VALUE"""),"БУ Г. ОМСКА ""УДХБ"" 144-СТР от 01.07.2022")</f>
        <v>БУ Г. ОМСКА "УДХБ" 144-СТР от 01.07.2022</v>
      </c>
      <c r="D62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6" t="str">
        <f ca="1">IFERROR(__xludf.DUMMYFUNCTION("""COMPUTED_VALUE"""),"Новый")</f>
        <v>Новый</v>
      </c>
      <c r="G6246" s="68"/>
      <c r="K6246" s="68"/>
    </row>
    <row r="6247" spans="1:11" ht="12.75">
      <c r="A6247" s="69">
        <f ca="1">IFERROR(__xludf.DUMMYFUNCTION("""COMPUTED_VALUE"""),107502)</f>
        <v>107502</v>
      </c>
      <c r="B6247" s="4">
        <f ca="1">IFERROR(__xludf.DUMMYFUNCTION("""COMPUTED_VALUE"""),44824)</f>
        <v>44824</v>
      </c>
      <c r="C6247" t="str">
        <f ca="1">IFERROR(__xludf.DUMMYFUNCTION("""COMPUTED_VALUE"""),"БУ Г. ОМСКА ""УДХБ"" 144-СТР от 01.07.2022")</f>
        <v>БУ Г. ОМСКА "УДХБ" 144-СТР от 01.07.2022</v>
      </c>
      <c r="D62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7" t="str">
        <f ca="1">IFERROR(__xludf.DUMMYFUNCTION("""COMPUTED_VALUE"""),"Новый")</f>
        <v>Новый</v>
      </c>
      <c r="G6247" s="68"/>
      <c r="K6247" s="68"/>
    </row>
    <row r="6248" spans="1:11" ht="12.75">
      <c r="A6248" s="69">
        <f ca="1">IFERROR(__xludf.DUMMYFUNCTION("""COMPUTED_VALUE"""),107503)</f>
        <v>107503</v>
      </c>
      <c r="B6248" s="4">
        <f ca="1">IFERROR(__xludf.DUMMYFUNCTION("""COMPUTED_VALUE"""),44824)</f>
        <v>44824</v>
      </c>
      <c r="C6248" t="str">
        <f ca="1">IFERROR(__xludf.DUMMYFUNCTION("""COMPUTED_VALUE"""),"БУ Г. ОМСКА ""УДХБ"" 144-СТР от 01.07.2022")</f>
        <v>БУ Г. ОМСКА "УДХБ" 144-СТР от 01.07.2022</v>
      </c>
      <c r="D62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8" t="str">
        <f ca="1">IFERROR(__xludf.DUMMYFUNCTION("""COMPUTED_VALUE"""),"Новый")</f>
        <v>Новый</v>
      </c>
      <c r="G6248" s="68"/>
      <c r="K6248" s="68"/>
    </row>
    <row r="6249" spans="1:11" ht="12.75">
      <c r="A6249" s="69">
        <f ca="1">IFERROR(__xludf.DUMMYFUNCTION("""COMPUTED_VALUE"""),107504)</f>
        <v>107504</v>
      </c>
      <c r="B6249" s="4">
        <f ca="1">IFERROR(__xludf.DUMMYFUNCTION("""COMPUTED_VALUE"""),44824)</f>
        <v>44824</v>
      </c>
      <c r="C6249" t="str">
        <f ca="1">IFERROR(__xludf.DUMMYFUNCTION("""COMPUTED_VALUE"""),"БУ Г. ОМСКА ""УДХБ"" 144-СТР от 01.07.2022")</f>
        <v>БУ Г. ОМСКА "УДХБ" 144-СТР от 01.07.2022</v>
      </c>
      <c r="D62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49" t="str">
        <f ca="1">IFERROR(__xludf.DUMMYFUNCTION("""COMPUTED_VALUE"""),"Новый")</f>
        <v>Новый</v>
      </c>
      <c r="G6249" s="68"/>
      <c r="K6249" s="68"/>
    </row>
    <row r="6250" spans="1:11" ht="12.75">
      <c r="A6250" s="69">
        <f ca="1">IFERROR(__xludf.DUMMYFUNCTION("""COMPUTED_VALUE"""),107505)</f>
        <v>107505</v>
      </c>
      <c r="B6250" s="4">
        <f ca="1">IFERROR(__xludf.DUMMYFUNCTION("""COMPUTED_VALUE"""),44824)</f>
        <v>44824</v>
      </c>
      <c r="C6250" t="str">
        <f ca="1">IFERROR(__xludf.DUMMYFUNCTION("""COMPUTED_VALUE"""),"БУ Г. ОМСКА ""УДХБ"" 144-СТР от 01.07.2022")</f>
        <v>БУ Г. ОМСКА "УДХБ" 144-СТР от 01.07.2022</v>
      </c>
      <c r="D62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0" t="str">
        <f ca="1">IFERROR(__xludf.DUMMYFUNCTION("""COMPUTED_VALUE"""),"Новый")</f>
        <v>Новый</v>
      </c>
      <c r="G6250" s="68"/>
      <c r="K6250" s="68"/>
    </row>
    <row r="6251" spans="1:11" ht="12.75">
      <c r="A6251" s="69">
        <f ca="1">IFERROR(__xludf.DUMMYFUNCTION("""COMPUTED_VALUE"""),107506)</f>
        <v>107506</v>
      </c>
      <c r="B6251" s="4">
        <f ca="1">IFERROR(__xludf.DUMMYFUNCTION("""COMPUTED_VALUE"""),44824)</f>
        <v>44824</v>
      </c>
      <c r="C6251" t="str">
        <f ca="1">IFERROR(__xludf.DUMMYFUNCTION("""COMPUTED_VALUE"""),"БУ Г. ОМСКА ""УДХБ"" 144-СТР от 01.07.2022")</f>
        <v>БУ Г. ОМСКА "УДХБ" 144-СТР от 01.07.2022</v>
      </c>
      <c r="D62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1" t="str">
        <f ca="1">IFERROR(__xludf.DUMMYFUNCTION("""COMPUTED_VALUE"""),"Новый")</f>
        <v>Новый</v>
      </c>
      <c r="G6251" s="68"/>
      <c r="K6251" s="68"/>
    </row>
    <row r="6252" spans="1:11" ht="12.75">
      <c r="A6252" s="69">
        <f ca="1">IFERROR(__xludf.DUMMYFUNCTION("""COMPUTED_VALUE"""),107507)</f>
        <v>107507</v>
      </c>
      <c r="B6252" s="4">
        <f ca="1">IFERROR(__xludf.DUMMYFUNCTION("""COMPUTED_VALUE"""),44824)</f>
        <v>44824</v>
      </c>
      <c r="C6252" t="str">
        <f ca="1">IFERROR(__xludf.DUMMYFUNCTION("""COMPUTED_VALUE"""),"БУ Г. ОМСКА ""УДХБ"" 144-СТР от 01.07.2022")</f>
        <v>БУ Г. ОМСКА "УДХБ" 144-СТР от 01.07.2022</v>
      </c>
      <c r="D62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2" t="str">
        <f ca="1">IFERROR(__xludf.DUMMYFUNCTION("""COMPUTED_VALUE"""),"Новый")</f>
        <v>Новый</v>
      </c>
      <c r="G6252" s="68"/>
      <c r="K6252" s="68"/>
    </row>
    <row r="6253" spans="1:11" ht="12.75">
      <c r="A6253" s="69">
        <f ca="1">IFERROR(__xludf.DUMMYFUNCTION("""COMPUTED_VALUE"""),107508)</f>
        <v>107508</v>
      </c>
      <c r="B6253" s="4">
        <f ca="1">IFERROR(__xludf.DUMMYFUNCTION("""COMPUTED_VALUE"""),44824)</f>
        <v>44824</v>
      </c>
      <c r="C6253" t="str">
        <f ca="1">IFERROR(__xludf.DUMMYFUNCTION("""COMPUTED_VALUE"""),"БУ Г. ОМСКА ""УДХБ"" 144-СТР от 01.07.2022")</f>
        <v>БУ Г. ОМСКА "УДХБ" 144-СТР от 01.07.2022</v>
      </c>
      <c r="D62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3" t="str">
        <f ca="1">IFERROR(__xludf.DUMMYFUNCTION("""COMPUTED_VALUE"""),"Новый")</f>
        <v>Новый</v>
      </c>
      <c r="G6253" s="68"/>
      <c r="K6253" s="68"/>
    </row>
    <row r="6254" spans="1:11" ht="12.75">
      <c r="A6254" s="69">
        <f ca="1">IFERROR(__xludf.DUMMYFUNCTION("""COMPUTED_VALUE"""),107509)</f>
        <v>107509</v>
      </c>
      <c r="B6254" s="4">
        <f ca="1">IFERROR(__xludf.DUMMYFUNCTION("""COMPUTED_VALUE"""),44824)</f>
        <v>44824</v>
      </c>
      <c r="C6254" t="str">
        <f ca="1">IFERROR(__xludf.DUMMYFUNCTION("""COMPUTED_VALUE"""),"БУ Г. ОМСКА ""УДХБ"" 144-СТР от 01.07.2022")</f>
        <v>БУ Г. ОМСКА "УДХБ" 144-СТР от 01.07.2022</v>
      </c>
      <c r="D62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4" t="str">
        <f ca="1">IFERROR(__xludf.DUMMYFUNCTION("""COMPUTED_VALUE"""),"Новый")</f>
        <v>Новый</v>
      </c>
      <c r="G6254" s="68"/>
      <c r="K6254" s="68"/>
    </row>
    <row r="6255" spans="1:11" ht="12.75">
      <c r="A6255" s="69">
        <f ca="1">IFERROR(__xludf.DUMMYFUNCTION("""COMPUTED_VALUE"""),107510)</f>
        <v>107510</v>
      </c>
      <c r="B6255" s="4">
        <f ca="1">IFERROR(__xludf.DUMMYFUNCTION("""COMPUTED_VALUE"""),44824)</f>
        <v>44824</v>
      </c>
      <c r="C6255" t="str">
        <f ca="1">IFERROR(__xludf.DUMMYFUNCTION("""COMPUTED_VALUE"""),"БУ Г. ОМСКА ""УДХБ"" 144-СТР от 01.07.2022")</f>
        <v>БУ Г. ОМСКА "УДХБ" 144-СТР от 01.07.2022</v>
      </c>
      <c r="D62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5" t="str">
        <f ca="1">IFERROR(__xludf.DUMMYFUNCTION("""COMPUTED_VALUE"""),"Новый")</f>
        <v>Новый</v>
      </c>
      <c r="G6255" s="68"/>
      <c r="K6255" s="68"/>
    </row>
    <row r="6256" spans="1:11" ht="12.75">
      <c r="A6256" s="69">
        <f ca="1">IFERROR(__xludf.DUMMYFUNCTION("""COMPUTED_VALUE"""),107511)</f>
        <v>107511</v>
      </c>
      <c r="B6256" s="4">
        <f ca="1">IFERROR(__xludf.DUMMYFUNCTION("""COMPUTED_VALUE"""),44824)</f>
        <v>44824</v>
      </c>
      <c r="C6256" t="str">
        <f ca="1">IFERROR(__xludf.DUMMYFUNCTION("""COMPUTED_VALUE"""),"БУ Г. ОМСКА ""УДХБ"" 144-СТР от 01.07.2022")</f>
        <v>БУ Г. ОМСКА "УДХБ" 144-СТР от 01.07.2022</v>
      </c>
      <c r="D62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256" t="str">
        <f ca="1">IFERROR(__xludf.DUMMYFUNCTION("""COMPUTED_VALUE"""),"Новый")</f>
        <v>Новый</v>
      </c>
      <c r="G6256" s="68"/>
      <c r="K6256" s="68"/>
    </row>
    <row r="6257" spans="1:11" ht="12.75">
      <c r="A6257" s="69">
        <f ca="1">IFERROR(__xludf.DUMMYFUNCTION("""COMPUTED_VALUE"""),107512)</f>
        <v>107512</v>
      </c>
      <c r="B6257" s="4">
        <f ca="1">IFERROR(__xludf.DUMMYFUNCTION("""COMPUTED_VALUE"""),44824)</f>
        <v>44824</v>
      </c>
      <c r="C6257" t="str">
        <f ca="1">IFERROR(__xludf.DUMMYFUNCTION("""COMPUTED_VALUE"""),"БУ Г. ОМСКА ""УДХБ"" 197-РДО от 01.07.2022")</f>
        <v>БУ Г. ОМСКА "УДХБ" 197-РДО от 01.07.2022</v>
      </c>
      <c r="D62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57" t="str">
        <f ca="1">IFERROR(__xludf.DUMMYFUNCTION("""COMPUTED_VALUE"""),"Новый")</f>
        <v>Новый</v>
      </c>
      <c r="G6257" s="68"/>
      <c r="K6257" s="68"/>
    </row>
    <row r="6258" spans="1:11" ht="12.75">
      <c r="A6258" s="69">
        <f ca="1">IFERROR(__xludf.DUMMYFUNCTION("""COMPUTED_VALUE"""),107513)</f>
        <v>107513</v>
      </c>
      <c r="B6258" s="4">
        <f ca="1">IFERROR(__xludf.DUMMYFUNCTION("""COMPUTED_VALUE"""),44824)</f>
        <v>44824</v>
      </c>
      <c r="C6258" t="str">
        <f ca="1">IFERROR(__xludf.DUMMYFUNCTION("""COMPUTED_VALUE"""),"БУ Г. ОМСКА ""УДХБ"" 197-РДО от 01.07.2022")</f>
        <v>БУ Г. ОМСКА "УДХБ" 197-РДО от 01.07.2022</v>
      </c>
      <c r="D62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58" t="str">
        <f ca="1">IFERROR(__xludf.DUMMYFUNCTION("""COMPUTED_VALUE"""),"Новый")</f>
        <v>Новый</v>
      </c>
      <c r="G6258" s="68"/>
      <c r="K6258" s="68"/>
    </row>
    <row r="6259" spans="1:11" ht="12.75">
      <c r="A6259" s="69">
        <f ca="1">IFERROR(__xludf.DUMMYFUNCTION("""COMPUTED_VALUE"""),107514)</f>
        <v>107514</v>
      </c>
      <c r="B6259" s="4">
        <f ca="1">IFERROR(__xludf.DUMMYFUNCTION("""COMPUTED_VALUE"""),44824)</f>
        <v>44824</v>
      </c>
      <c r="C6259" t="str">
        <f ca="1">IFERROR(__xludf.DUMMYFUNCTION("""COMPUTED_VALUE"""),"БУ Г. ОМСКА ""УДХБ"" 197-РДО от 01.07.2022")</f>
        <v>БУ Г. ОМСКА "УДХБ" 197-РДО от 01.07.2022</v>
      </c>
      <c r="D62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59" t="str">
        <f ca="1">IFERROR(__xludf.DUMMYFUNCTION("""COMPUTED_VALUE"""),"Новый")</f>
        <v>Новый</v>
      </c>
      <c r="G6259" s="68"/>
      <c r="K6259" s="68"/>
    </row>
    <row r="6260" spans="1:11" ht="12.75">
      <c r="A6260" s="69">
        <f ca="1">IFERROR(__xludf.DUMMYFUNCTION("""COMPUTED_VALUE"""),107515)</f>
        <v>107515</v>
      </c>
      <c r="B6260" s="4">
        <f ca="1">IFERROR(__xludf.DUMMYFUNCTION("""COMPUTED_VALUE"""),44824)</f>
        <v>44824</v>
      </c>
      <c r="C6260" t="str">
        <f ca="1">IFERROR(__xludf.DUMMYFUNCTION("""COMPUTED_VALUE"""),"БУ Г. ОМСКА ""УДХБ"" 197-РДО от 01.07.2022")</f>
        <v>БУ Г. ОМСКА "УДХБ" 197-РДО от 01.07.2022</v>
      </c>
      <c r="D62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0" t="str">
        <f ca="1">IFERROR(__xludf.DUMMYFUNCTION("""COMPUTED_VALUE"""),"Новый")</f>
        <v>Новый</v>
      </c>
      <c r="G6260" s="68"/>
      <c r="K6260" s="68"/>
    </row>
    <row r="6261" spans="1:11" ht="12.75">
      <c r="A6261" s="69">
        <f ca="1">IFERROR(__xludf.DUMMYFUNCTION("""COMPUTED_VALUE"""),107516)</f>
        <v>107516</v>
      </c>
      <c r="B6261" s="4">
        <f ca="1">IFERROR(__xludf.DUMMYFUNCTION("""COMPUTED_VALUE"""),44824)</f>
        <v>44824</v>
      </c>
      <c r="C6261" t="str">
        <f ca="1">IFERROR(__xludf.DUMMYFUNCTION("""COMPUTED_VALUE"""),"БУ Г. ОМСКА ""УДХБ"" 197-РДО от 01.07.2022")</f>
        <v>БУ Г. ОМСКА "УДХБ" 197-РДО от 01.07.2022</v>
      </c>
      <c r="D62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1" t="str">
        <f ca="1">IFERROR(__xludf.DUMMYFUNCTION("""COMPUTED_VALUE"""),"Новый")</f>
        <v>Новый</v>
      </c>
      <c r="G6261" s="68"/>
      <c r="K6261" s="68"/>
    </row>
    <row r="6262" spans="1:11" ht="12.75">
      <c r="A6262" s="69">
        <f ca="1">IFERROR(__xludf.DUMMYFUNCTION("""COMPUTED_VALUE"""),107517)</f>
        <v>107517</v>
      </c>
      <c r="B6262" s="4">
        <f ca="1">IFERROR(__xludf.DUMMYFUNCTION("""COMPUTED_VALUE"""),44824)</f>
        <v>44824</v>
      </c>
      <c r="C6262" t="str">
        <f ca="1">IFERROR(__xludf.DUMMYFUNCTION("""COMPUTED_VALUE"""),"БУ Г. ОМСКА ""УДХБ"" 197-РДО от 01.07.2022")</f>
        <v>БУ Г. ОМСКА "УДХБ" 197-РДО от 01.07.2022</v>
      </c>
      <c r="D62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2" t="str">
        <f ca="1">IFERROR(__xludf.DUMMYFUNCTION("""COMPUTED_VALUE"""),"Новый")</f>
        <v>Новый</v>
      </c>
      <c r="G6262" s="68"/>
      <c r="K6262" s="68"/>
    </row>
    <row r="6263" spans="1:11" ht="12.75">
      <c r="A6263" s="69">
        <f ca="1">IFERROR(__xludf.DUMMYFUNCTION("""COMPUTED_VALUE"""),107518)</f>
        <v>107518</v>
      </c>
      <c r="B6263" s="4">
        <f ca="1">IFERROR(__xludf.DUMMYFUNCTION("""COMPUTED_VALUE"""),44824)</f>
        <v>44824</v>
      </c>
      <c r="C6263" t="str">
        <f ca="1">IFERROR(__xludf.DUMMYFUNCTION("""COMPUTED_VALUE"""),"БУ Г. ОМСКА ""УДХБ"" 197-РДО от 01.07.2022")</f>
        <v>БУ Г. ОМСКА "УДХБ" 197-РДО от 01.07.2022</v>
      </c>
      <c r="D62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3" t="str">
        <f ca="1">IFERROR(__xludf.DUMMYFUNCTION("""COMPUTED_VALUE"""),"Новый")</f>
        <v>Новый</v>
      </c>
      <c r="G6263" s="68"/>
      <c r="K6263" s="68"/>
    </row>
    <row r="6264" spans="1:11" ht="12.75">
      <c r="A6264" s="69">
        <f ca="1">IFERROR(__xludf.DUMMYFUNCTION("""COMPUTED_VALUE"""),107519)</f>
        <v>107519</v>
      </c>
      <c r="B6264" s="4">
        <f ca="1">IFERROR(__xludf.DUMMYFUNCTION("""COMPUTED_VALUE"""),44824)</f>
        <v>44824</v>
      </c>
      <c r="C6264" t="str">
        <f ca="1">IFERROR(__xludf.DUMMYFUNCTION("""COMPUTED_VALUE"""),"БУ Г. ОМСКА ""УДХБ"" 197-РДО от 01.07.2022")</f>
        <v>БУ Г. ОМСКА "УДХБ" 197-РДО от 01.07.2022</v>
      </c>
      <c r="D62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4" t="str">
        <f ca="1">IFERROR(__xludf.DUMMYFUNCTION("""COMPUTED_VALUE"""),"Новый")</f>
        <v>Новый</v>
      </c>
      <c r="G6264" s="68"/>
      <c r="K6264" s="68"/>
    </row>
    <row r="6265" spans="1:11" ht="12.75">
      <c r="A6265" s="69">
        <f ca="1">IFERROR(__xludf.DUMMYFUNCTION("""COMPUTED_VALUE"""),107520)</f>
        <v>107520</v>
      </c>
      <c r="B6265" s="4">
        <f ca="1">IFERROR(__xludf.DUMMYFUNCTION("""COMPUTED_VALUE"""),44824)</f>
        <v>44824</v>
      </c>
      <c r="C6265" t="str">
        <f ca="1">IFERROR(__xludf.DUMMYFUNCTION("""COMPUTED_VALUE"""),"БУ Г. ОМСКА ""УДХБ"" 197-РДО от 01.07.2022")</f>
        <v>БУ Г. ОМСКА "УДХБ" 197-РДО от 01.07.2022</v>
      </c>
      <c r="D62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5" t="str">
        <f ca="1">IFERROR(__xludf.DUMMYFUNCTION("""COMPUTED_VALUE"""),"Новый")</f>
        <v>Новый</v>
      </c>
      <c r="G6265" s="68"/>
      <c r="K6265" s="68"/>
    </row>
    <row r="6266" spans="1:11" ht="12.75">
      <c r="A6266" s="69">
        <f ca="1">IFERROR(__xludf.DUMMYFUNCTION("""COMPUTED_VALUE"""),107521)</f>
        <v>107521</v>
      </c>
      <c r="B6266" s="4">
        <f ca="1">IFERROR(__xludf.DUMMYFUNCTION("""COMPUTED_VALUE"""),44824)</f>
        <v>44824</v>
      </c>
      <c r="C6266" t="str">
        <f ca="1">IFERROR(__xludf.DUMMYFUNCTION("""COMPUTED_VALUE"""),"БУ Г. ОМСКА ""УДХБ"" 197-РДО от 01.07.2022")</f>
        <v>БУ Г. ОМСКА "УДХБ" 197-РДО от 01.07.2022</v>
      </c>
      <c r="D62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6" t="str">
        <f ca="1">IFERROR(__xludf.DUMMYFUNCTION("""COMPUTED_VALUE"""),"Новый")</f>
        <v>Новый</v>
      </c>
      <c r="G6266" s="68"/>
      <c r="K6266" s="68"/>
    </row>
    <row r="6267" spans="1:11" ht="12.75">
      <c r="A6267" s="69">
        <f ca="1">IFERROR(__xludf.DUMMYFUNCTION("""COMPUTED_VALUE"""),107522)</f>
        <v>107522</v>
      </c>
      <c r="B6267" s="4">
        <f ca="1">IFERROR(__xludf.DUMMYFUNCTION("""COMPUTED_VALUE"""),44824)</f>
        <v>44824</v>
      </c>
      <c r="C6267" t="str">
        <f ca="1">IFERROR(__xludf.DUMMYFUNCTION("""COMPUTED_VALUE"""),"БУ Г. ОМСКА ""УДХБ"" 197-РДО от 01.07.2022")</f>
        <v>БУ Г. ОМСКА "УДХБ" 197-РДО от 01.07.2022</v>
      </c>
      <c r="D62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7" t="str">
        <f ca="1">IFERROR(__xludf.DUMMYFUNCTION("""COMPUTED_VALUE"""),"Новый")</f>
        <v>Новый</v>
      </c>
      <c r="G6267" s="68"/>
      <c r="K6267" s="68"/>
    </row>
    <row r="6268" spans="1:11" ht="12.75">
      <c r="A6268" s="69">
        <f ca="1">IFERROR(__xludf.DUMMYFUNCTION("""COMPUTED_VALUE"""),107523)</f>
        <v>107523</v>
      </c>
      <c r="B6268" s="4">
        <f ca="1">IFERROR(__xludf.DUMMYFUNCTION("""COMPUTED_VALUE"""),44824)</f>
        <v>44824</v>
      </c>
      <c r="C6268" t="str">
        <f ca="1">IFERROR(__xludf.DUMMYFUNCTION("""COMPUTED_VALUE"""),"БУ Г. ОМСКА ""УДХБ"" 197-РДО от 01.07.2022")</f>
        <v>БУ Г. ОМСКА "УДХБ" 197-РДО от 01.07.2022</v>
      </c>
      <c r="D62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8" t="str">
        <f ca="1">IFERROR(__xludf.DUMMYFUNCTION("""COMPUTED_VALUE"""),"Новый")</f>
        <v>Новый</v>
      </c>
      <c r="G6268" s="68"/>
      <c r="K6268" s="68"/>
    </row>
    <row r="6269" spans="1:11" ht="12.75">
      <c r="A6269" s="69">
        <f ca="1">IFERROR(__xludf.DUMMYFUNCTION("""COMPUTED_VALUE"""),107524)</f>
        <v>107524</v>
      </c>
      <c r="B6269" s="4">
        <f ca="1">IFERROR(__xludf.DUMMYFUNCTION("""COMPUTED_VALUE"""),44824)</f>
        <v>44824</v>
      </c>
      <c r="C6269" t="str">
        <f ca="1">IFERROR(__xludf.DUMMYFUNCTION("""COMPUTED_VALUE"""),"БУ Г. ОМСКА ""УДХБ"" 197-РДО от 01.07.2022")</f>
        <v>БУ Г. ОМСКА "УДХБ" 197-РДО от 01.07.2022</v>
      </c>
      <c r="D62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69" t="str">
        <f ca="1">IFERROR(__xludf.DUMMYFUNCTION("""COMPUTED_VALUE"""),"Новый")</f>
        <v>Новый</v>
      </c>
      <c r="G6269" s="68"/>
      <c r="K6269" s="68"/>
    </row>
    <row r="6270" spans="1:11" ht="12.75">
      <c r="A6270" s="69">
        <f ca="1">IFERROR(__xludf.DUMMYFUNCTION("""COMPUTED_VALUE"""),107525)</f>
        <v>107525</v>
      </c>
      <c r="B6270" s="4">
        <f ca="1">IFERROR(__xludf.DUMMYFUNCTION("""COMPUTED_VALUE"""),44824)</f>
        <v>44824</v>
      </c>
      <c r="C6270" t="str">
        <f ca="1">IFERROR(__xludf.DUMMYFUNCTION("""COMPUTED_VALUE"""),"БУ Г. ОМСКА ""УДХБ"" 197-РДО от 01.07.2022")</f>
        <v>БУ Г. ОМСКА "УДХБ" 197-РДО от 01.07.2022</v>
      </c>
      <c r="D62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0" t="str">
        <f ca="1">IFERROR(__xludf.DUMMYFUNCTION("""COMPUTED_VALUE"""),"Новый")</f>
        <v>Новый</v>
      </c>
      <c r="G6270" s="68"/>
      <c r="K6270" s="68"/>
    </row>
    <row r="6271" spans="1:11" ht="12.75">
      <c r="A6271" s="69">
        <f ca="1">IFERROR(__xludf.DUMMYFUNCTION("""COMPUTED_VALUE"""),107526)</f>
        <v>107526</v>
      </c>
      <c r="B6271" s="4">
        <f ca="1">IFERROR(__xludf.DUMMYFUNCTION("""COMPUTED_VALUE"""),44824)</f>
        <v>44824</v>
      </c>
      <c r="C6271" t="str">
        <f ca="1">IFERROR(__xludf.DUMMYFUNCTION("""COMPUTED_VALUE"""),"БУ Г. ОМСКА ""УДХБ"" 197-РДО от 01.07.2022")</f>
        <v>БУ Г. ОМСКА "УДХБ" 197-РДО от 01.07.2022</v>
      </c>
      <c r="D62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1" t="str">
        <f ca="1">IFERROR(__xludf.DUMMYFUNCTION("""COMPUTED_VALUE"""),"Новый")</f>
        <v>Новый</v>
      </c>
      <c r="G6271" s="68"/>
      <c r="K6271" s="68"/>
    </row>
    <row r="6272" spans="1:11" ht="12.75">
      <c r="A6272" s="69">
        <f ca="1">IFERROR(__xludf.DUMMYFUNCTION("""COMPUTED_VALUE"""),107527)</f>
        <v>107527</v>
      </c>
      <c r="B6272" s="4">
        <f ca="1">IFERROR(__xludf.DUMMYFUNCTION("""COMPUTED_VALUE"""),44824)</f>
        <v>44824</v>
      </c>
      <c r="C6272" t="str">
        <f ca="1">IFERROR(__xludf.DUMMYFUNCTION("""COMPUTED_VALUE"""),"БУ Г. ОМСКА ""УДХБ"" 197-РДО от 01.07.2022")</f>
        <v>БУ Г. ОМСКА "УДХБ" 197-РДО от 01.07.2022</v>
      </c>
      <c r="D62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2" t="str">
        <f ca="1">IFERROR(__xludf.DUMMYFUNCTION("""COMPUTED_VALUE"""),"Новый")</f>
        <v>Новый</v>
      </c>
      <c r="G6272" s="68"/>
      <c r="K6272" s="68"/>
    </row>
    <row r="6273" spans="1:11" ht="12.75">
      <c r="A6273" s="69">
        <f ca="1">IFERROR(__xludf.DUMMYFUNCTION("""COMPUTED_VALUE"""),107528)</f>
        <v>107528</v>
      </c>
      <c r="B6273" s="4">
        <f ca="1">IFERROR(__xludf.DUMMYFUNCTION("""COMPUTED_VALUE"""),44824)</f>
        <v>44824</v>
      </c>
      <c r="C6273" t="str">
        <f ca="1">IFERROR(__xludf.DUMMYFUNCTION("""COMPUTED_VALUE"""),"БУ Г. ОМСКА ""УДХБ"" 197-РДО от 01.07.2022")</f>
        <v>БУ Г. ОМСКА "УДХБ" 197-РДО от 01.07.2022</v>
      </c>
      <c r="D62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3" t="str">
        <f ca="1">IFERROR(__xludf.DUMMYFUNCTION("""COMPUTED_VALUE"""),"Новый")</f>
        <v>Новый</v>
      </c>
      <c r="G6273" s="68"/>
      <c r="K6273" s="68"/>
    </row>
    <row r="6274" spans="1:11" ht="12.75">
      <c r="A6274" s="69">
        <f ca="1">IFERROR(__xludf.DUMMYFUNCTION("""COMPUTED_VALUE"""),107529)</f>
        <v>107529</v>
      </c>
      <c r="B6274" s="4">
        <f ca="1">IFERROR(__xludf.DUMMYFUNCTION("""COMPUTED_VALUE"""),44824)</f>
        <v>44824</v>
      </c>
      <c r="C6274" t="str">
        <f ca="1">IFERROR(__xludf.DUMMYFUNCTION("""COMPUTED_VALUE"""),"БУ Г. ОМСКА ""УДХБ"" 197-РДО от 01.07.2022")</f>
        <v>БУ Г. ОМСКА "УДХБ" 197-РДО от 01.07.2022</v>
      </c>
      <c r="D62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4" t="str">
        <f ca="1">IFERROR(__xludf.DUMMYFUNCTION("""COMPUTED_VALUE"""),"Новый")</f>
        <v>Новый</v>
      </c>
      <c r="G6274" s="68"/>
      <c r="K6274" s="68"/>
    </row>
    <row r="6275" spans="1:11" ht="12.75">
      <c r="A6275" s="69">
        <f ca="1">IFERROR(__xludf.DUMMYFUNCTION("""COMPUTED_VALUE"""),107530)</f>
        <v>107530</v>
      </c>
      <c r="B6275" s="4">
        <f ca="1">IFERROR(__xludf.DUMMYFUNCTION("""COMPUTED_VALUE"""),44824)</f>
        <v>44824</v>
      </c>
      <c r="C6275" t="str">
        <f ca="1">IFERROR(__xludf.DUMMYFUNCTION("""COMPUTED_VALUE"""),"БУ Г. ОМСКА ""УДХБ"" 197-РДО от 01.07.2022")</f>
        <v>БУ Г. ОМСКА "УДХБ" 197-РДО от 01.07.2022</v>
      </c>
      <c r="D62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5" t="str">
        <f ca="1">IFERROR(__xludf.DUMMYFUNCTION("""COMPUTED_VALUE"""),"Новый")</f>
        <v>Новый</v>
      </c>
      <c r="G6275" s="68"/>
      <c r="K6275" s="68"/>
    </row>
    <row r="6276" spans="1:11" ht="12.75">
      <c r="A6276" s="69">
        <f ca="1">IFERROR(__xludf.DUMMYFUNCTION("""COMPUTED_VALUE"""),107531)</f>
        <v>107531</v>
      </c>
      <c r="B6276" s="4">
        <f ca="1">IFERROR(__xludf.DUMMYFUNCTION("""COMPUTED_VALUE"""),44824)</f>
        <v>44824</v>
      </c>
      <c r="C6276" t="str">
        <f ca="1">IFERROR(__xludf.DUMMYFUNCTION("""COMPUTED_VALUE"""),"БУ Г. ОМСКА ""УДХБ"" 197-РДО от 01.07.2022")</f>
        <v>БУ Г. ОМСКА "УДХБ" 197-РДО от 01.07.2022</v>
      </c>
      <c r="D62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6" t="str">
        <f ca="1">IFERROR(__xludf.DUMMYFUNCTION("""COMPUTED_VALUE"""),"Новый")</f>
        <v>Новый</v>
      </c>
      <c r="G6276" s="68"/>
      <c r="K6276" s="68"/>
    </row>
    <row r="6277" spans="1:11" ht="12.75">
      <c r="A6277" s="69">
        <f ca="1">IFERROR(__xludf.DUMMYFUNCTION("""COMPUTED_VALUE"""),107532)</f>
        <v>107532</v>
      </c>
      <c r="B6277" s="4">
        <f ca="1">IFERROR(__xludf.DUMMYFUNCTION("""COMPUTED_VALUE"""),44824)</f>
        <v>44824</v>
      </c>
      <c r="C6277" t="str">
        <f ca="1">IFERROR(__xludf.DUMMYFUNCTION("""COMPUTED_VALUE"""),"БУ Г. ОМСКА ""УДХБ"" 197-РДО от 01.07.2022")</f>
        <v>БУ Г. ОМСКА "УДХБ" 197-РДО от 01.07.2022</v>
      </c>
      <c r="D62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7" t="str">
        <f ca="1">IFERROR(__xludf.DUMMYFUNCTION("""COMPUTED_VALUE"""),"Новый")</f>
        <v>Новый</v>
      </c>
      <c r="G6277" s="68"/>
      <c r="K6277" s="68"/>
    </row>
    <row r="6278" spans="1:11" ht="12.75">
      <c r="A6278" s="69">
        <f ca="1">IFERROR(__xludf.DUMMYFUNCTION("""COMPUTED_VALUE"""),107533)</f>
        <v>107533</v>
      </c>
      <c r="B6278" s="4">
        <f ca="1">IFERROR(__xludf.DUMMYFUNCTION("""COMPUTED_VALUE"""),44824)</f>
        <v>44824</v>
      </c>
      <c r="C6278" t="str">
        <f ca="1">IFERROR(__xludf.DUMMYFUNCTION("""COMPUTED_VALUE"""),"БУ Г. ОМСКА ""УДХБ"" 197-РДО от 01.07.2022")</f>
        <v>БУ Г. ОМСКА "УДХБ" 197-РДО от 01.07.2022</v>
      </c>
      <c r="D62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8" t="str">
        <f ca="1">IFERROR(__xludf.DUMMYFUNCTION("""COMPUTED_VALUE"""),"Новый")</f>
        <v>Новый</v>
      </c>
      <c r="G6278" s="68"/>
      <c r="K6278" s="68"/>
    </row>
    <row r="6279" spans="1:11" ht="12.75">
      <c r="A6279" s="69">
        <f ca="1">IFERROR(__xludf.DUMMYFUNCTION("""COMPUTED_VALUE"""),107534)</f>
        <v>107534</v>
      </c>
      <c r="B6279" s="4">
        <f ca="1">IFERROR(__xludf.DUMMYFUNCTION("""COMPUTED_VALUE"""),44824)</f>
        <v>44824</v>
      </c>
      <c r="C6279" t="str">
        <f ca="1">IFERROR(__xludf.DUMMYFUNCTION("""COMPUTED_VALUE"""),"БУ Г. ОМСКА ""УДХБ"" 197-РДО от 01.07.2022")</f>
        <v>БУ Г. ОМСКА "УДХБ" 197-РДО от 01.07.2022</v>
      </c>
      <c r="D62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79" t="str">
        <f ca="1">IFERROR(__xludf.DUMMYFUNCTION("""COMPUTED_VALUE"""),"Новый")</f>
        <v>Новый</v>
      </c>
      <c r="G6279" s="68"/>
      <c r="K6279" s="68"/>
    </row>
    <row r="6280" spans="1:11" ht="12.75">
      <c r="A6280" s="69">
        <f ca="1">IFERROR(__xludf.DUMMYFUNCTION("""COMPUTED_VALUE"""),107535)</f>
        <v>107535</v>
      </c>
      <c r="B6280" s="4">
        <f ca="1">IFERROR(__xludf.DUMMYFUNCTION("""COMPUTED_VALUE"""),44824)</f>
        <v>44824</v>
      </c>
      <c r="C6280" t="str">
        <f ca="1">IFERROR(__xludf.DUMMYFUNCTION("""COMPUTED_VALUE"""),"БУ Г. ОМСКА ""УДХБ"" 197-РДО от 01.07.2022")</f>
        <v>БУ Г. ОМСКА "УДХБ" 197-РДО от 01.07.2022</v>
      </c>
      <c r="D62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0" t="str">
        <f ca="1">IFERROR(__xludf.DUMMYFUNCTION("""COMPUTED_VALUE"""),"Новый")</f>
        <v>Новый</v>
      </c>
      <c r="G6280" s="68"/>
      <c r="K6280" s="68"/>
    </row>
    <row r="6281" spans="1:11" ht="12.75">
      <c r="A6281" s="69">
        <f ca="1">IFERROR(__xludf.DUMMYFUNCTION("""COMPUTED_VALUE"""),107536)</f>
        <v>107536</v>
      </c>
      <c r="B6281" s="4">
        <f ca="1">IFERROR(__xludf.DUMMYFUNCTION("""COMPUTED_VALUE"""),44824)</f>
        <v>44824</v>
      </c>
      <c r="C6281" t="str">
        <f ca="1">IFERROR(__xludf.DUMMYFUNCTION("""COMPUTED_VALUE"""),"БУ Г. ОМСКА ""УДХБ"" 197-РДО от 01.07.2022")</f>
        <v>БУ Г. ОМСКА "УДХБ" 197-РДО от 01.07.2022</v>
      </c>
      <c r="D62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1" t="str">
        <f ca="1">IFERROR(__xludf.DUMMYFUNCTION("""COMPUTED_VALUE"""),"Новый")</f>
        <v>Новый</v>
      </c>
      <c r="G6281" s="68"/>
      <c r="K6281" s="68"/>
    </row>
    <row r="6282" spans="1:11" ht="12.75">
      <c r="A6282" s="69">
        <f ca="1">IFERROR(__xludf.DUMMYFUNCTION("""COMPUTED_VALUE"""),107537)</f>
        <v>107537</v>
      </c>
      <c r="B6282" s="4">
        <f ca="1">IFERROR(__xludf.DUMMYFUNCTION("""COMPUTED_VALUE"""),44824)</f>
        <v>44824</v>
      </c>
      <c r="C6282" t="str">
        <f ca="1">IFERROR(__xludf.DUMMYFUNCTION("""COMPUTED_VALUE"""),"БУ Г. ОМСКА ""УДХБ"" 197-РДО от 01.07.2022")</f>
        <v>БУ Г. ОМСКА "УДХБ" 197-РДО от 01.07.2022</v>
      </c>
      <c r="D62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2" t="str">
        <f ca="1">IFERROR(__xludf.DUMMYFUNCTION("""COMPUTED_VALUE"""),"Новый")</f>
        <v>Новый</v>
      </c>
      <c r="G6282" s="68"/>
      <c r="K6282" s="68"/>
    </row>
    <row r="6283" spans="1:11" ht="12.75">
      <c r="A6283" s="69">
        <f ca="1">IFERROR(__xludf.DUMMYFUNCTION("""COMPUTED_VALUE"""),107538)</f>
        <v>107538</v>
      </c>
      <c r="B6283" s="4">
        <f ca="1">IFERROR(__xludf.DUMMYFUNCTION("""COMPUTED_VALUE"""),44824)</f>
        <v>44824</v>
      </c>
      <c r="C6283" t="str">
        <f ca="1">IFERROR(__xludf.DUMMYFUNCTION("""COMPUTED_VALUE"""),"БУ Г. ОМСКА ""УДХБ"" 197-РДО от 01.07.2022")</f>
        <v>БУ Г. ОМСКА "УДХБ" 197-РДО от 01.07.2022</v>
      </c>
      <c r="D62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3" t="str">
        <f ca="1">IFERROR(__xludf.DUMMYFUNCTION("""COMPUTED_VALUE"""),"Новый")</f>
        <v>Новый</v>
      </c>
      <c r="G6283" s="68"/>
      <c r="K6283" s="68"/>
    </row>
    <row r="6284" spans="1:11" ht="12.75">
      <c r="A6284" s="69">
        <f ca="1">IFERROR(__xludf.DUMMYFUNCTION("""COMPUTED_VALUE"""),107539)</f>
        <v>107539</v>
      </c>
      <c r="B6284" s="4">
        <f ca="1">IFERROR(__xludf.DUMMYFUNCTION("""COMPUTED_VALUE"""),44824)</f>
        <v>44824</v>
      </c>
      <c r="C6284" t="str">
        <f ca="1">IFERROR(__xludf.DUMMYFUNCTION("""COMPUTED_VALUE"""),"БУ Г. ОМСКА ""УДХБ"" 197-РДО от 01.07.2022")</f>
        <v>БУ Г. ОМСКА "УДХБ" 197-РДО от 01.07.2022</v>
      </c>
      <c r="D62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4" t="str">
        <f ca="1">IFERROR(__xludf.DUMMYFUNCTION("""COMPUTED_VALUE"""),"Новый")</f>
        <v>Новый</v>
      </c>
      <c r="G6284" s="68"/>
      <c r="K6284" s="68"/>
    </row>
    <row r="6285" spans="1:11" ht="12.75">
      <c r="A6285" s="69">
        <f ca="1">IFERROR(__xludf.DUMMYFUNCTION("""COMPUTED_VALUE"""),107540)</f>
        <v>107540</v>
      </c>
      <c r="B6285" s="4">
        <f ca="1">IFERROR(__xludf.DUMMYFUNCTION("""COMPUTED_VALUE"""),44824)</f>
        <v>44824</v>
      </c>
      <c r="C6285" t="str">
        <f ca="1">IFERROR(__xludf.DUMMYFUNCTION("""COMPUTED_VALUE"""),"БУ Г. ОМСКА ""УДХБ"" 197-РДО от 01.07.2022")</f>
        <v>БУ Г. ОМСКА "УДХБ" 197-РДО от 01.07.2022</v>
      </c>
      <c r="D62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5" t="str">
        <f ca="1">IFERROR(__xludf.DUMMYFUNCTION("""COMPUTED_VALUE"""),"Новый")</f>
        <v>Новый</v>
      </c>
      <c r="G6285" s="68"/>
      <c r="K6285" s="68"/>
    </row>
    <row r="6286" spans="1:11" ht="12.75">
      <c r="A6286" s="69">
        <f ca="1">IFERROR(__xludf.DUMMYFUNCTION("""COMPUTED_VALUE"""),107541)</f>
        <v>107541</v>
      </c>
      <c r="B6286" s="4">
        <f ca="1">IFERROR(__xludf.DUMMYFUNCTION("""COMPUTED_VALUE"""),44824)</f>
        <v>44824</v>
      </c>
      <c r="C6286" t="str">
        <f ca="1">IFERROR(__xludf.DUMMYFUNCTION("""COMPUTED_VALUE"""),"БУ Г. ОМСКА ""УДХБ"" 197-РДО от 01.07.2022")</f>
        <v>БУ Г. ОМСКА "УДХБ" 197-РДО от 01.07.2022</v>
      </c>
      <c r="D62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6" t="str">
        <f ca="1">IFERROR(__xludf.DUMMYFUNCTION("""COMPUTED_VALUE"""),"Новый")</f>
        <v>Новый</v>
      </c>
      <c r="G6286" s="68"/>
      <c r="K6286" s="68"/>
    </row>
    <row r="6287" spans="1:11" ht="12.75">
      <c r="A6287" s="69">
        <f ca="1">IFERROR(__xludf.DUMMYFUNCTION("""COMPUTED_VALUE"""),107542)</f>
        <v>107542</v>
      </c>
      <c r="B6287" s="4">
        <f ca="1">IFERROR(__xludf.DUMMYFUNCTION("""COMPUTED_VALUE"""),44824)</f>
        <v>44824</v>
      </c>
      <c r="C6287" t="str">
        <f ca="1">IFERROR(__xludf.DUMMYFUNCTION("""COMPUTED_VALUE"""),"БУ Г. ОМСКА ""УДХБ"" 197-РДО от 01.07.2022")</f>
        <v>БУ Г. ОМСКА "УДХБ" 197-РДО от 01.07.2022</v>
      </c>
      <c r="D62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7" t="str">
        <f ca="1">IFERROR(__xludf.DUMMYFUNCTION("""COMPUTED_VALUE"""),"Новый")</f>
        <v>Новый</v>
      </c>
      <c r="G6287" s="68"/>
      <c r="K6287" s="68"/>
    </row>
    <row r="6288" spans="1:11" ht="12.75">
      <c r="A6288" s="69">
        <f ca="1">IFERROR(__xludf.DUMMYFUNCTION("""COMPUTED_VALUE"""),107543)</f>
        <v>107543</v>
      </c>
      <c r="B6288" s="4">
        <f ca="1">IFERROR(__xludf.DUMMYFUNCTION("""COMPUTED_VALUE"""),44824)</f>
        <v>44824</v>
      </c>
      <c r="C6288" t="str">
        <f ca="1">IFERROR(__xludf.DUMMYFUNCTION("""COMPUTED_VALUE"""),"БУ Г. ОМСКА ""УДХБ"" 197-РДО от 01.07.2022")</f>
        <v>БУ Г. ОМСКА "УДХБ" 197-РДО от 01.07.2022</v>
      </c>
      <c r="D62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8" t="str">
        <f ca="1">IFERROR(__xludf.DUMMYFUNCTION("""COMPUTED_VALUE"""),"Новый")</f>
        <v>Новый</v>
      </c>
      <c r="G6288" s="68"/>
      <c r="K6288" s="68"/>
    </row>
    <row r="6289" spans="1:11" ht="12.75">
      <c r="A6289" s="69">
        <f ca="1">IFERROR(__xludf.DUMMYFUNCTION("""COMPUTED_VALUE"""),107544)</f>
        <v>107544</v>
      </c>
      <c r="B6289" s="4">
        <f ca="1">IFERROR(__xludf.DUMMYFUNCTION("""COMPUTED_VALUE"""),44824)</f>
        <v>44824</v>
      </c>
      <c r="C6289" t="str">
        <f ca="1">IFERROR(__xludf.DUMMYFUNCTION("""COMPUTED_VALUE"""),"БУ Г. ОМСКА ""УДХБ"" 197-РДО от 01.07.2022")</f>
        <v>БУ Г. ОМСКА "УДХБ" 197-РДО от 01.07.2022</v>
      </c>
      <c r="D62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89" t="str">
        <f ca="1">IFERROR(__xludf.DUMMYFUNCTION("""COMPUTED_VALUE"""),"Новый")</f>
        <v>Новый</v>
      </c>
      <c r="G6289" s="68"/>
      <c r="K6289" s="68"/>
    </row>
    <row r="6290" spans="1:11" ht="12.75">
      <c r="A6290" s="69">
        <f ca="1">IFERROR(__xludf.DUMMYFUNCTION("""COMPUTED_VALUE"""),107545)</f>
        <v>107545</v>
      </c>
      <c r="B6290" s="4">
        <f ca="1">IFERROR(__xludf.DUMMYFUNCTION("""COMPUTED_VALUE"""),44824)</f>
        <v>44824</v>
      </c>
      <c r="C6290" t="str">
        <f ca="1">IFERROR(__xludf.DUMMYFUNCTION("""COMPUTED_VALUE"""),"БУ Г. ОМСКА ""УДХБ"" 197-РДО от 01.07.2022")</f>
        <v>БУ Г. ОМСКА "УДХБ" 197-РДО от 01.07.2022</v>
      </c>
      <c r="D62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0" t="str">
        <f ca="1">IFERROR(__xludf.DUMMYFUNCTION("""COMPUTED_VALUE"""),"Новый")</f>
        <v>Новый</v>
      </c>
      <c r="G6290" s="68"/>
      <c r="K6290" s="68"/>
    </row>
    <row r="6291" spans="1:11" ht="12.75">
      <c r="A6291" s="69">
        <f ca="1">IFERROR(__xludf.DUMMYFUNCTION("""COMPUTED_VALUE"""),107546)</f>
        <v>107546</v>
      </c>
      <c r="B6291" s="4">
        <f ca="1">IFERROR(__xludf.DUMMYFUNCTION("""COMPUTED_VALUE"""),44824)</f>
        <v>44824</v>
      </c>
      <c r="C6291" t="str">
        <f ca="1">IFERROR(__xludf.DUMMYFUNCTION("""COMPUTED_VALUE"""),"БУ Г. ОМСКА ""УДХБ"" 197-РДО от 01.07.2022")</f>
        <v>БУ Г. ОМСКА "УДХБ" 197-РДО от 01.07.2022</v>
      </c>
      <c r="D62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1" t="str">
        <f ca="1">IFERROR(__xludf.DUMMYFUNCTION("""COMPUTED_VALUE"""),"Новый")</f>
        <v>Новый</v>
      </c>
      <c r="G6291" s="68"/>
      <c r="K6291" s="68"/>
    </row>
    <row r="6292" spans="1:11" ht="12.75">
      <c r="A6292" s="69">
        <f ca="1">IFERROR(__xludf.DUMMYFUNCTION("""COMPUTED_VALUE"""),107547)</f>
        <v>107547</v>
      </c>
      <c r="B6292" s="4">
        <f ca="1">IFERROR(__xludf.DUMMYFUNCTION("""COMPUTED_VALUE"""),44824)</f>
        <v>44824</v>
      </c>
      <c r="C6292" t="str">
        <f ca="1">IFERROR(__xludf.DUMMYFUNCTION("""COMPUTED_VALUE"""),"БУ Г. ОМСКА ""УДХБ"" 197-РДО от 01.07.2022")</f>
        <v>БУ Г. ОМСКА "УДХБ" 197-РДО от 01.07.2022</v>
      </c>
      <c r="D62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2" t="str">
        <f ca="1">IFERROR(__xludf.DUMMYFUNCTION("""COMPUTED_VALUE"""),"Новый")</f>
        <v>Новый</v>
      </c>
      <c r="G6292" s="68"/>
      <c r="K6292" s="68"/>
    </row>
    <row r="6293" spans="1:11" ht="12.75">
      <c r="A6293" s="69">
        <f ca="1">IFERROR(__xludf.DUMMYFUNCTION("""COMPUTED_VALUE"""),107548)</f>
        <v>107548</v>
      </c>
      <c r="B6293" s="4">
        <f ca="1">IFERROR(__xludf.DUMMYFUNCTION("""COMPUTED_VALUE"""),44824)</f>
        <v>44824</v>
      </c>
      <c r="C6293" t="str">
        <f ca="1">IFERROR(__xludf.DUMMYFUNCTION("""COMPUTED_VALUE"""),"БУ Г. ОМСКА ""УДХБ"" 197-РДО от 01.07.2022")</f>
        <v>БУ Г. ОМСКА "УДХБ" 197-РДО от 01.07.2022</v>
      </c>
      <c r="D62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3" t="str">
        <f ca="1">IFERROR(__xludf.DUMMYFUNCTION("""COMPUTED_VALUE"""),"Новый")</f>
        <v>Новый</v>
      </c>
      <c r="G6293" s="68"/>
      <c r="K6293" s="68"/>
    </row>
    <row r="6294" spans="1:11" ht="12.75">
      <c r="A6294" s="69">
        <f ca="1">IFERROR(__xludf.DUMMYFUNCTION("""COMPUTED_VALUE"""),107549)</f>
        <v>107549</v>
      </c>
      <c r="B6294" s="4">
        <f ca="1">IFERROR(__xludf.DUMMYFUNCTION("""COMPUTED_VALUE"""),44824)</f>
        <v>44824</v>
      </c>
      <c r="C6294" t="str">
        <f ca="1">IFERROR(__xludf.DUMMYFUNCTION("""COMPUTED_VALUE"""),"БУ Г. ОМСКА ""УДХБ"" 197-РДО от 01.07.2022")</f>
        <v>БУ Г. ОМСКА "УДХБ" 197-РДО от 01.07.2022</v>
      </c>
      <c r="D62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4" t="str">
        <f ca="1">IFERROR(__xludf.DUMMYFUNCTION("""COMPUTED_VALUE"""),"Новый")</f>
        <v>Новый</v>
      </c>
      <c r="G6294" s="68"/>
      <c r="K6294" s="68"/>
    </row>
    <row r="6295" spans="1:11" ht="12.75">
      <c r="A6295" s="69">
        <f ca="1">IFERROR(__xludf.DUMMYFUNCTION("""COMPUTED_VALUE"""),107550)</f>
        <v>107550</v>
      </c>
      <c r="B6295" s="4">
        <f ca="1">IFERROR(__xludf.DUMMYFUNCTION("""COMPUTED_VALUE"""),44824)</f>
        <v>44824</v>
      </c>
      <c r="C6295" t="str">
        <f ca="1">IFERROR(__xludf.DUMMYFUNCTION("""COMPUTED_VALUE"""),"БУ Г. ОМСКА ""УДХБ"" 197-РДО от 01.07.2022")</f>
        <v>БУ Г. ОМСКА "УДХБ" 197-РДО от 01.07.2022</v>
      </c>
      <c r="D62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5" t="str">
        <f ca="1">IFERROR(__xludf.DUMMYFUNCTION("""COMPUTED_VALUE"""),"Новый")</f>
        <v>Новый</v>
      </c>
      <c r="G6295" s="68"/>
      <c r="K6295" s="68"/>
    </row>
    <row r="6296" spans="1:11" ht="12.75">
      <c r="A6296" s="69">
        <f ca="1">IFERROR(__xludf.DUMMYFUNCTION("""COMPUTED_VALUE"""),107551)</f>
        <v>107551</v>
      </c>
      <c r="B6296" s="4">
        <f ca="1">IFERROR(__xludf.DUMMYFUNCTION("""COMPUTED_VALUE"""),44824)</f>
        <v>44824</v>
      </c>
      <c r="C6296" t="str">
        <f ca="1">IFERROR(__xludf.DUMMYFUNCTION("""COMPUTED_VALUE"""),"БУ Г. ОМСКА ""УДХБ"" 197-РДО от 01.07.2022")</f>
        <v>БУ Г. ОМСКА "УДХБ" 197-РДО от 01.07.2022</v>
      </c>
      <c r="D62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6" t="str">
        <f ca="1">IFERROR(__xludf.DUMMYFUNCTION("""COMPUTED_VALUE"""),"Новый")</f>
        <v>Новый</v>
      </c>
      <c r="G6296" s="68"/>
      <c r="K6296" s="68"/>
    </row>
    <row r="6297" spans="1:11" ht="12.75">
      <c r="A6297" s="69">
        <f ca="1">IFERROR(__xludf.DUMMYFUNCTION("""COMPUTED_VALUE"""),107552)</f>
        <v>107552</v>
      </c>
      <c r="B6297" s="4">
        <f ca="1">IFERROR(__xludf.DUMMYFUNCTION("""COMPUTED_VALUE"""),44824)</f>
        <v>44824</v>
      </c>
      <c r="C6297" t="str">
        <f ca="1">IFERROR(__xludf.DUMMYFUNCTION("""COMPUTED_VALUE"""),"БУ Г. ОМСКА ""УДХБ"" 197-РДО от 01.07.2022")</f>
        <v>БУ Г. ОМСКА "УДХБ" 197-РДО от 01.07.2022</v>
      </c>
      <c r="D62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7" t="str">
        <f ca="1">IFERROR(__xludf.DUMMYFUNCTION("""COMPUTED_VALUE"""),"Новый")</f>
        <v>Новый</v>
      </c>
      <c r="G6297" s="68"/>
      <c r="K6297" s="68"/>
    </row>
    <row r="6298" spans="1:11" ht="12.75">
      <c r="A6298" s="69">
        <f ca="1">IFERROR(__xludf.DUMMYFUNCTION("""COMPUTED_VALUE"""),107553)</f>
        <v>107553</v>
      </c>
      <c r="B6298" s="4">
        <f ca="1">IFERROR(__xludf.DUMMYFUNCTION("""COMPUTED_VALUE"""),44824)</f>
        <v>44824</v>
      </c>
      <c r="C6298" t="str">
        <f ca="1">IFERROR(__xludf.DUMMYFUNCTION("""COMPUTED_VALUE"""),"БУ Г. ОМСКА ""УДХБ"" 197-РДО от 01.07.2022")</f>
        <v>БУ Г. ОМСКА "УДХБ" 197-РДО от 01.07.2022</v>
      </c>
      <c r="D62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8" t="str">
        <f ca="1">IFERROR(__xludf.DUMMYFUNCTION("""COMPUTED_VALUE"""),"Новый")</f>
        <v>Новый</v>
      </c>
      <c r="G6298" s="68"/>
      <c r="K6298" s="68"/>
    </row>
    <row r="6299" spans="1:11" ht="12.75">
      <c r="A6299" s="69">
        <f ca="1">IFERROR(__xludf.DUMMYFUNCTION("""COMPUTED_VALUE"""),107554)</f>
        <v>107554</v>
      </c>
      <c r="B6299" s="4">
        <f ca="1">IFERROR(__xludf.DUMMYFUNCTION("""COMPUTED_VALUE"""),44824)</f>
        <v>44824</v>
      </c>
      <c r="C6299" t="str">
        <f ca="1">IFERROR(__xludf.DUMMYFUNCTION("""COMPUTED_VALUE"""),"БУ Г. ОМСКА ""УДХБ"" 197-РДО от 01.07.2022")</f>
        <v>БУ Г. ОМСКА "УДХБ" 197-РДО от 01.07.2022</v>
      </c>
      <c r="D62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299" t="str">
        <f ca="1">IFERROR(__xludf.DUMMYFUNCTION("""COMPUTED_VALUE"""),"Новый")</f>
        <v>Новый</v>
      </c>
      <c r="G6299" s="68"/>
      <c r="K6299" s="68"/>
    </row>
    <row r="6300" spans="1:11" ht="12.75">
      <c r="A6300" s="69">
        <f ca="1">IFERROR(__xludf.DUMMYFUNCTION("""COMPUTED_VALUE"""),107555)</f>
        <v>107555</v>
      </c>
      <c r="B6300" s="4">
        <f ca="1">IFERROR(__xludf.DUMMYFUNCTION("""COMPUTED_VALUE"""),44824)</f>
        <v>44824</v>
      </c>
      <c r="C6300" t="str">
        <f ca="1">IFERROR(__xludf.DUMMYFUNCTION("""COMPUTED_VALUE"""),"БУ Г. ОМСКА ""УДХБ"" 197-РДО от 01.07.2022")</f>
        <v>БУ Г. ОМСКА "УДХБ" 197-РДО от 01.07.2022</v>
      </c>
      <c r="D63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0" t="str">
        <f ca="1">IFERROR(__xludf.DUMMYFUNCTION("""COMPUTED_VALUE"""),"Новый")</f>
        <v>Новый</v>
      </c>
      <c r="G6300" s="68"/>
      <c r="K6300" s="68"/>
    </row>
    <row r="6301" spans="1:11" ht="12.75">
      <c r="A6301" s="69">
        <f ca="1">IFERROR(__xludf.DUMMYFUNCTION("""COMPUTED_VALUE"""),107556)</f>
        <v>107556</v>
      </c>
      <c r="B6301" s="4">
        <f ca="1">IFERROR(__xludf.DUMMYFUNCTION("""COMPUTED_VALUE"""),44824)</f>
        <v>44824</v>
      </c>
      <c r="C6301" t="str">
        <f ca="1">IFERROR(__xludf.DUMMYFUNCTION("""COMPUTED_VALUE"""),"БУ Г. ОМСКА ""УДХБ"" 197-РДО от 01.07.2022")</f>
        <v>БУ Г. ОМСКА "УДХБ" 197-РДО от 01.07.2022</v>
      </c>
      <c r="D63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1" t="str">
        <f ca="1">IFERROR(__xludf.DUMMYFUNCTION("""COMPUTED_VALUE"""),"Новый")</f>
        <v>Новый</v>
      </c>
      <c r="G6301" s="68"/>
      <c r="K6301" s="68"/>
    </row>
    <row r="6302" spans="1:11" ht="12.75">
      <c r="A6302" s="69">
        <f ca="1">IFERROR(__xludf.DUMMYFUNCTION("""COMPUTED_VALUE"""),107557)</f>
        <v>107557</v>
      </c>
      <c r="B6302" s="4">
        <f ca="1">IFERROR(__xludf.DUMMYFUNCTION("""COMPUTED_VALUE"""),44824)</f>
        <v>44824</v>
      </c>
      <c r="C6302" t="str">
        <f ca="1">IFERROR(__xludf.DUMMYFUNCTION("""COMPUTED_VALUE"""),"БУ Г. ОМСКА ""УДХБ"" 197-РДО от 01.07.2022")</f>
        <v>БУ Г. ОМСКА "УДХБ" 197-РДО от 01.07.2022</v>
      </c>
      <c r="D63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2" t="str">
        <f ca="1">IFERROR(__xludf.DUMMYFUNCTION("""COMPUTED_VALUE"""),"Новый")</f>
        <v>Новый</v>
      </c>
      <c r="G6302" s="68"/>
      <c r="K6302" s="68"/>
    </row>
    <row r="6303" spans="1:11" ht="12.75">
      <c r="A6303" s="69">
        <f ca="1">IFERROR(__xludf.DUMMYFUNCTION("""COMPUTED_VALUE"""),107558)</f>
        <v>107558</v>
      </c>
      <c r="B6303" s="4">
        <f ca="1">IFERROR(__xludf.DUMMYFUNCTION("""COMPUTED_VALUE"""),44824)</f>
        <v>44824</v>
      </c>
      <c r="C6303" t="str">
        <f ca="1">IFERROR(__xludf.DUMMYFUNCTION("""COMPUTED_VALUE"""),"БУ Г. ОМСКА ""УДХБ"" 197-РДО от 01.07.2022")</f>
        <v>БУ Г. ОМСКА "УДХБ" 197-РДО от 01.07.2022</v>
      </c>
      <c r="D63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3" t="str">
        <f ca="1">IFERROR(__xludf.DUMMYFUNCTION("""COMPUTED_VALUE"""),"Новый")</f>
        <v>Новый</v>
      </c>
      <c r="G6303" s="68"/>
      <c r="K6303" s="68"/>
    </row>
    <row r="6304" spans="1:11" ht="12.75">
      <c r="A6304" s="69">
        <f ca="1">IFERROR(__xludf.DUMMYFUNCTION("""COMPUTED_VALUE"""),107559)</f>
        <v>107559</v>
      </c>
      <c r="B6304" s="4">
        <f ca="1">IFERROR(__xludf.DUMMYFUNCTION("""COMPUTED_VALUE"""),44824)</f>
        <v>44824</v>
      </c>
      <c r="C6304" t="str">
        <f ca="1">IFERROR(__xludf.DUMMYFUNCTION("""COMPUTED_VALUE"""),"БУ Г. ОМСКА ""УДХБ"" 197-РДО от 01.07.2022")</f>
        <v>БУ Г. ОМСКА "УДХБ" 197-РДО от 01.07.2022</v>
      </c>
      <c r="D63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4" t="str">
        <f ca="1">IFERROR(__xludf.DUMMYFUNCTION("""COMPUTED_VALUE"""),"Новый")</f>
        <v>Новый</v>
      </c>
      <c r="G6304" s="68"/>
      <c r="K6304" s="68"/>
    </row>
    <row r="6305" spans="1:11" ht="12.75">
      <c r="A6305" s="69">
        <f ca="1">IFERROR(__xludf.DUMMYFUNCTION("""COMPUTED_VALUE"""),107560)</f>
        <v>107560</v>
      </c>
      <c r="B6305" s="4">
        <f ca="1">IFERROR(__xludf.DUMMYFUNCTION("""COMPUTED_VALUE"""),44824)</f>
        <v>44824</v>
      </c>
      <c r="C6305" t="str">
        <f ca="1">IFERROR(__xludf.DUMMYFUNCTION("""COMPUTED_VALUE"""),"БУ Г. ОМСКА ""УДХБ"" 197-РДО от 01.07.2022")</f>
        <v>БУ Г. ОМСКА "УДХБ" 197-РДО от 01.07.2022</v>
      </c>
      <c r="D63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5" t="str">
        <f ca="1">IFERROR(__xludf.DUMMYFUNCTION("""COMPUTED_VALUE"""),"Новый")</f>
        <v>Новый</v>
      </c>
      <c r="G6305" s="68"/>
      <c r="K6305" s="68"/>
    </row>
    <row r="6306" spans="1:11" ht="12.75">
      <c r="A6306" s="69">
        <f ca="1">IFERROR(__xludf.DUMMYFUNCTION("""COMPUTED_VALUE"""),107561)</f>
        <v>107561</v>
      </c>
      <c r="B6306" s="4">
        <f ca="1">IFERROR(__xludf.DUMMYFUNCTION("""COMPUTED_VALUE"""),44824)</f>
        <v>44824</v>
      </c>
      <c r="C6306" t="str">
        <f ca="1">IFERROR(__xludf.DUMMYFUNCTION("""COMPUTED_VALUE"""),"БУ Г. ОМСКА ""УДХБ"" 197-РДО от 01.07.2022")</f>
        <v>БУ Г. ОМСКА "УДХБ" 197-РДО от 01.07.2022</v>
      </c>
      <c r="D63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6" t="str">
        <f ca="1">IFERROR(__xludf.DUMMYFUNCTION("""COMPUTED_VALUE"""),"Новый")</f>
        <v>Новый</v>
      </c>
      <c r="G6306" s="68"/>
      <c r="K6306" s="68"/>
    </row>
    <row r="6307" spans="1:11" ht="12.75">
      <c r="A6307" s="69">
        <f ca="1">IFERROR(__xludf.DUMMYFUNCTION("""COMPUTED_VALUE"""),107562)</f>
        <v>107562</v>
      </c>
      <c r="B6307" s="4">
        <f ca="1">IFERROR(__xludf.DUMMYFUNCTION("""COMPUTED_VALUE"""),44824)</f>
        <v>44824</v>
      </c>
      <c r="C6307" t="str">
        <f ca="1">IFERROR(__xludf.DUMMYFUNCTION("""COMPUTED_VALUE"""),"БУ Г. ОМСКА ""УДХБ"" 197-РДО от 01.07.2022")</f>
        <v>БУ Г. ОМСКА "УДХБ" 197-РДО от 01.07.2022</v>
      </c>
      <c r="D63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7" t="str">
        <f ca="1">IFERROR(__xludf.DUMMYFUNCTION("""COMPUTED_VALUE"""),"Новый")</f>
        <v>Новый</v>
      </c>
      <c r="G6307" s="68"/>
      <c r="K6307" s="68"/>
    </row>
    <row r="6308" spans="1:11" ht="12.75">
      <c r="A6308" s="69">
        <f ca="1">IFERROR(__xludf.DUMMYFUNCTION("""COMPUTED_VALUE"""),107563)</f>
        <v>107563</v>
      </c>
      <c r="B6308" s="4">
        <f ca="1">IFERROR(__xludf.DUMMYFUNCTION("""COMPUTED_VALUE"""),44824)</f>
        <v>44824</v>
      </c>
      <c r="C6308" t="str">
        <f ca="1">IFERROR(__xludf.DUMMYFUNCTION("""COMPUTED_VALUE"""),"БУ Г. ОМСКА ""УДХБ"" 197-РДО от 01.07.2022")</f>
        <v>БУ Г. ОМСКА "УДХБ" 197-РДО от 01.07.2022</v>
      </c>
      <c r="D63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8" t="str">
        <f ca="1">IFERROR(__xludf.DUMMYFUNCTION("""COMPUTED_VALUE"""),"Новый")</f>
        <v>Новый</v>
      </c>
      <c r="G6308" s="68"/>
      <c r="K6308" s="68"/>
    </row>
    <row r="6309" spans="1:11" ht="12.75">
      <c r="A6309" s="69">
        <f ca="1">IFERROR(__xludf.DUMMYFUNCTION("""COMPUTED_VALUE"""),107564)</f>
        <v>107564</v>
      </c>
      <c r="B6309" s="4">
        <f ca="1">IFERROR(__xludf.DUMMYFUNCTION("""COMPUTED_VALUE"""),44824)</f>
        <v>44824</v>
      </c>
      <c r="C6309" t="str">
        <f ca="1">IFERROR(__xludf.DUMMYFUNCTION("""COMPUTED_VALUE"""),"БУ Г. ОМСКА ""УДХБ"" 197-РДО от 01.07.2022")</f>
        <v>БУ Г. ОМСКА "УДХБ" 197-РДО от 01.07.2022</v>
      </c>
      <c r="D63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09" t="str">
        <f ca="1">IFERROR(__xludf.DUMMYFUNCTION("""COMPUTED_VALUE"""),"Новый")</f>
        <v>Новый</v>
      </c>
      <c r="G6309" s="68"/>
      <c r="K6309" s="68"/>
    </row>
    <row r="6310" spans="1:11" ht="12.75">
      <c r="A6310" s="69">
        <f ca="1">IFERROR(__xludf.DUMMYFUNCTION("""COMPUTED_VALUE"""),107565)</f>
        <v>107565</v>
      </c>
      <c r="B6310" s="4">
        <f ca="1">IFERROR(__xludf.DUMMYFUNCTION("""COMPUTED_VALUE"""),44824)</f>
        <v>44824</v>
      </c>
      <c r="C6310" t="str">
        <f ca="1">IFERROR(__xludf.DUMMYFUNCTION("""COMPUTED_VALUE"""),"БУ Г. ОМСКА ""УДХБ"" 197-РДО от 01.07.2022")</f>
        <v>БУ Г. ОМСКА "УДХБ" 197-РДО от 01.07.2022</v>
      </c>
      <c r="D63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0" t="str">
        <f ca="1">IFERROR(__xludf.DUMMYFUNCTION("""COMPUTED_VALUE"""),"Новый")</f>
        <v>Новый</v>
      </c>
      <c r="G6310" s="68"/>
      <c r="K6310" s="68"/>
    </row>
    <row r="6311" spans="1:11" ht="12.75">
      <c r="A6311" s="69">
        <f ca="1">IFERROR(__xludf.DUMMYFUNCTION("""COMPUTED_VALUE"""),107566)</f>
        <v>107566</v>
      </c>
      <c r="B6311" s="4">
        <f ca="1">IFERROR(__xludf.DUMMYFUNCTION("""COMPUTED_VALUE"""),44824)</f>
        <v>44824</v>
      </c>
      <c r="C6311" t="str">
        <f ca="1">IFERROR(__xludf.DUMMYFUNCTION("""COMPUTED_VALUE"""),"БУ Г. ОМСКА ""УДХБ"" 197-РДО от 01.07.2022")</f>
        <v>БУ Г. ОМСКА "УДХБ" 197-РДО от 01.07.2022</v>
      </c>
      <c r="D63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1" t="str">
        <f ca="1">IFERROR(__xludf.DUMMYFUNCTION("""COMPUTED_VALUE"""),"Новый")</f>
        <v>Новый</v>
      </c>
      <c r="G6311" s="68"/>
      <c r="K6311" s="68"/>
    </row>
    <row r="6312" spans="1:11" ht="12.75">
      <c r="A6312" s="69">
        <f ca="1">IFERROR(__xludf.DUMMYFUNCTION("""COMPUTED_VALUE"""),107567)</f>
        <v>107567</v>
      </c>
      <c r="B6312" s="4">
        <f ca="1">IFERROR(__xludf.DUMMYFUNCTION("""COMPUTED_VALUE"""),44824)</f>
        <v>44824</v>
      </c>
      <c r="C6312" t="str">
        <f ca="1">IFERROR(__xludf.DUMMYFUNCTION("""COMPUTED_VALUE"""),"БУ Г. ОМСКА ""УДХБ"" 197-РДО от 01.07.2022")</f>
        <v>БУ Г. ОМСКА "УДХБ" 197-РДО от 01.07.2022</v>
      </c>
      <c r="D63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2" t="str">
        <f ca="1">IFERROR(__xludf.DUMMYFUNCTION("""COMPUTED_VALUE"""),"Новый")</f>
        <v>Новый</v>
      </c>
      <c r="G6312" s="68"/>
      <c r="K6312" s="68"/>
    </row>
    <row r="6313" spans="1:11" ht="12.75">
      <c r="A6313" s="69">
        <f ca="1">IFERROR(__xludf.DUMMYFUNCTION("""COMPUTED_VALUE"""),107568)</f>
        <v>107568</v>
      </c>
      <c r="B6313" s="4">
        <f ca="1">IFERROR(__xludf.DUMMYFUNCTION("""COMPUTED_VALUE"""),44824)</f>
        <v>44824</v>
      </c>
      <c r="C6313" t="str">
        <f ca="1">IFERROR(__xludf.DUMMYFUNCTION("""COMPUTED_VALUE"""),"БУ Г. ОМСКА ""УДХБ"" 197-РДО от 01.07.2022")</f>
        <v>БУ Г. ОМСКА "УДХБ" 197-РДО от 01.07.2022</v>
      </c>
      <c r="D63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3" t="str">
        <f ca="1">IFERROR(__xludf.DUMMYFUNCTION("""COMPUTED_VALUE"""),"Новый")</f>
        <v>Новый</v>
      </c>
      <c r="G6313" s="68"/>
      <c r="K6313" s="68"/>
    </row>
    <row r="6314" spans="1:11" ht="12.75">
      <c r="A6314" s="69">
        <f ca="1">IFERROR(__xludf.DUMMYFUNCTION("""COMPUTED_VALUE"""),107569)</f>
        <v>107569</v>
      </c>
      <c r="B6314" s="4">
        <f ca="1">IFERROR(__xludf.DUMMYFUNCTION("""COMPUTED_VALUE"""),44824)</f>
        <v>44824</v>
      </c>
      <c r="C6314" t="str">
        <f ca="1">IFERROR(__xludf.DUMMYFUNCTION("""COMPUTED_VALUE"""),"БУ Г. ОМСКА ""УДХБ"" 197-РДО от 01.07.2022")</f>
        <v>БУ Г. ОМСКА "УДХБ" 197-РДО от 01.07.2022</v>
      </c>
      <c r="D63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4" t="str">
        <f ca="1">IFERROR(__xludf.DUMMYFUNCTION("""COMPUTED_VALUE"""),"Новый")</f>
        <v>Новый</v>
      </c>
      <c r="G6314" s="68"/>
      <c r="K6314" s="68"/>
    </row>
    <row r="6315" spans="1:11" ht="12.75">
      <c r="A6315" s="69">
        <f ca="1">IFERROR(__xludf.DUMMYFUNCTION("""COMPUTED_VALUE"""),107570)</f>
        <v>107570</v>
      </c>
      <c r="B6315" s="4">
        <f ca="1">IFERROR(__xludf.DUMMYFUNCTION("""COMPUTED_VALUE"""),44824)</f>
        <v>44824</v>
      </c>
      <c r="C6315" t="str">
        <f ca="1">IFERROR(__xludf.DUMMYFUNCTION("""COMPUTED_VALUE"""),"БУ Г. ОМСКА ""УДХБ"" 197-РДО от 01.07.2022")</f>
        <v>БУ Г. ОМСКА "УДХБ" 197-РДО от 01.07.2022</v>
      </c>
      <c r="D63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5" t="str">
        <f ca="1">IFERROR(__xludf.DUMMYFUNCTION("""COMPUTED_VALUE"""),"Новый")</f>
        <v>Новый</v>
      </c>
      <c r="G6315" s="68"/>
      <c r="K6315" s="68"/>
    </row>
    <row r="6316" spans="1:11" ht="12.75">
      <c r="A6316" s="69">
        <f ca="1">IFERROR(__xludf.DUMMYFUNCTION("""COMPUTED_VALUE"""),107571)</f>
        <v>107571</v>
      </c>
      <c r="B6316" s="4">
        <f ca="1">IFERROR(__xludf.DUMMYFUNCTION("""COMPUTED_VALUE"""),44824)</f>
        <v>44824</v>
      </c>
      <c r="C6316" t="str">
        <f ca="1">IFERROR(__xludf.DUMMYFUNCTION("""COMPUTED_VALUE"""),"БУ Г. ОМСКА ""УДХБ"" 197-РДО от 01.07.2022")</f>
        <v>БУ Г. ОМСКА "УДХБ" 197-РДО от 01.07.2022</v>
      </c>
      <c r="D63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6" t="str">
        <f ca="1">IFERROR(__xludf.DUMMYFUNCTION("""COMPUTED_VALUE"""),"Новый")</f>
        <v>Новый</v>
      </c>
      <c r="G6316" s="68"/>
      <c r="K6316" s="68"/>
    </row>
    <row r="6317" spans="1:11" ht="12.75">
      <c r="A6317" s="69">
        <f ca="1">IFERROR(__xludf.DUMMYFUNCTION("""COMPUTED_VALUE"""),107572)</f>
        <v>107572</v>
      </c>
      <c r="B6317" s="4">
        <f ca="1">IFERROR(__xludf.DUMMYFUNCTION("""COMPUTED_VALUE"""),44824)</f>
        <v>44824</v>
      </c>
      <c r="C6317" t="str">
        <f ca="1">IFERROR(__xludf.DUMMYFUNCTION("""COMPUTED_VALUE"""),"БУ Г. ОМСКА ""УДХБ"" 197-РДО от 01.07.2022")</f>
        <v>БУ Г. ОМСКА "УДХБ" 197-РДО от 01.07.2022</v>
      </c>
      <c r="D63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7" t="str">
        <f ca="1">IFERROR(__xludf.DUMMYFUNCTION("""COMPUTED_VALUE"""),"Новый")</f>
        <v>Новый</v>
      </c>
      <c r="G6317" s="68"/>
      <c r="K6317" s="68"/>
    </row>
    <row r="6318" spans="1:11" ht="12.75">
      <c r="A6318" s="69">
        <f ca="1">IFERROR(__xludf.DUMMYFUNCTION("""COMPUTED_VALUE"""),107573)</f>
        <v>107573</v>
      </c>
      <c r="B6318" s="4">
        <f ca="1">IFERROR(__xludf.DUMMYFUNCTION("""COMPUTED_VALUE"""),44824)</f>
        <v>44824</v>
      </c>
      <c r="C6318" t="str">
        <f ca="1">IFERROR(__xludf.DUMMYFUNCTION("""COMPUTED_VALUE"""),"БУ Г. ОМСКА ""УДХБ"" 197-РДО от 01.07.2022")</f>
        <v>БУ Г. ОМСКА "УДХБ" 197-РДО от 01.07.2022</v>
      </c>
      <c r="D63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8" t="str">
        <f ca="1">IFERROR(__xludf.DUMMYFUNCTION("""COMPUTED_VALUE"""),"Новый")</f>
        <v>Новый</v>
      </c>
      <c r="G6318" s="68"/>
      <c r="K6318" s="68"/>
    </row>
    <row r="6319" spans="1:11" ht="12.75">
      <c r="A6319" s="69">
        <f ca="1">IFERROR(__xludf.DUMMYFUNCTION("""COMPUTED_VALUE"""),107574)</f>
        <v>107574</v>
      </c>
      <c r="B6319" s="4">
        <f ca="1">IFERROR(__xludf.DUMMYFUNCTION("""COMPUTED_VALUE"""),44824)</f>
        <v>44824</v>
      </c>
      <c r="C6319" t="str">
        <f ca="1">IFERROR(__xludf.DUMMYFUNCTION("""COMPUTED_VALUE"""),"БУ Г. ОМСКА ""УДХБ"" 197-РДО от 01.07.2022")</f>
        <v>БУ Г. ОМСКА "УДХБ" 197-РДО от 01.07.2022</v>
      </c>
      <c r="D63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19" t="str">
        <f ca="1">IFERROR(__xludf.DUMMYFUNCTION("""COMPUTED_VALUE"""),"Новый")</f>
        <v>Новый</v>
      </c>
      <c r="G6319" s="68"/>
      <c r="K6319" s="68"/>
    </row>
    <row r="6320" spans="1:11" ht="12.75">
      <c r="A6320" s="69">
        <f ca="1">IFERROR(__xludf.DUMMYFUNCTION("""COMPUTED_VALUE"""),107575)</f>
        <v>107575</v>
      </c>
      <c r="B6320" s="4">
        <f ca="1">IFERROR(__xludf.DUMMYFUNCTION("""COMPUTED_VALUE"""),44824)</f>
        <v>44824</v>
      </c>
      <c r="C6320" t="str">
        <f ca="1">IFERROR(__xludf.DUMMYFUNCTION("""COMPUTED_VALUE"""),"БУ Г. ОМСКА ""УДХБ"" 197-РДО от 01.07.2022")</f>
        <v>БУ Г. ОМСКА "УДХБ" 197-РДО от 01.07.2022</v>
      </c>
      <c r="D63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0" t="str">
        <f ca="1">IFERROR(__xludf.DUMMYFUNCTION("""COMPUTED_VALUE"""),"Новый")</f>
        <v>Новый</v>
      </c>
      <c r="G6320" s="68"/>
      <c r="K6320" s="68"/>
    </row>
    <row r="6321" spans="1:11" ht="12.75">
      <c r="A6321" s="69">
        <f ca="1">IFERROR(__xludf.DUMMYFUNCTION("""COMPUTED_VALUE"""),107576)</f>
        <v>107576</v>
      </c>
      <c r="B6321" s="4">
        <f ca="1">IFERROR(__xludf.DUMMYFUNCTION("""COMPUTED_VALUE"""),44824)</f>
        <v>44824</v>
      </c>
      <c r="C6321" t="str">
        <f ca="1">IFERROR(__xludf.DUMMYFUNCTION("""COMPUTED_VALUE"""),"БУ Г. ОМСКА ""УДХБ"" 197-РДО от 01.07.2022")</f>
        <v>БУ Г. ОМСКА "УДХБ" 197-РДО от 01.07.2022</v>
      </c>
      <c r="D63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1" t="str">
        <f ca="1">IFERROR(__xludf.DUMMYFUNCTION("""COMPUTED_VALUE"""),"Новый")</f>
        <v>Новый</v>
      </c>
      <c r="G6321" s="68"/>
      <c r="K6321" s="68"/>
    </row>
    <row r="6322" spans="1:11" ht="12.75">
      <c r="A6322" s="69">
        <f ca="1">IFERROR(__xludf.DUMMYFUNCTION("""COMPUTED_VALUE"""),107577)</f>
        <v>107577</v>
      </c>
      <c r="B6322" s="4">
        <f ca="1">IFERROR(__xludf.DUMMYFUNCTION("""COMPUTED_VALUE"""),44824)</f>
        <v>44824</v>
      </c>
      <c r="C6322" t="str">
        <f ca="1">IFERROR(__xludf.DUMMYFUNCTION("""COMPUTED_VALUE"""),"БУ Г. ОМСКА ""УДХБ"" 197-РДО от 01.07.2022")</f>
        <v>БУ Г. ОМСКА "УДХБ" 197-РДО от 01.07.2022</v>
      </c>
      <c r="D63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2" t="str">
        <f ca="1">IFERROR(__xludf.DUMMYFUNCTION("""COMPUTED_VALUE"""),"Новый")</f>
        <v>Новый</v>
      </c>
      <c r="G6322" s="68"/>
      <c r="K6322" s="68"/>
    </row>
    <row r="6323" spans="1:11" ht="12.75">
      <c r="A6323" s="69">
        <f ca="1">IFERROR(__xludf.DUMMYFUNCTION("""COMPUTED_VALUE"""),107578)</f>
        <v>107578</v>
      </c>
      <c r="B6323" s="4">
        <f ca="1">IFERROR(__xludf.DUMMYFUNCTION("""COMPUTED_VALUE"""),44824)</f>
        <v>44824</v>
      </c>
      <c r="C6323" t="str">
        <f ca="1">IFERROR(__xludf.DUMMYFUNCTION("""COMPUTED_VALUE"""),"БУ Г. ОМСКА ""УДХБ"" 197-РДО от 01.07.2022")</f>
        <v>БУ Г. ОМСКА "УДХБ" 197-РДО от 01.07.2022</v>
      </c>
      <c r="D63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3" t="str">
        <f ca="1">IFERROR(__xludf.DUMMYFUNCTION("""COMPUTED_VALUE"""),"Новый")</f>
        <v>Новый</v>
      </c>
      <c r="G6323" s="68"/>
      <c r="K6323" s="68"/>
    </row>
    <row r="6324" spans="1:11" ht="12.75">
      <c r="A6324" s="69">
        <f ca="1">IFERROR(__xludf.DUMMYFUNCTION("""COMPUTED_VALUE"""),107579)</f>
        <v>107579</v>
      </c>
      <c r="B6324" s="4">
        <f ca="1">IFERROR(__xludf.DUMMYFUNCTION("""COMPUTED_VALUE"""),44824)</f>
        <v>44824</v>
      </c>
      <c r="C6324" t="str">
        <f ca="1">IFERROR(__xludf.DUMMYFUNCTION("""COMPUTED_VALUE"""),"БУ Г. ОМСКА ""УДХБ"" 197-РДО от 01.07.2022")</f>
        <v>БУ Г. ОМСКА "УДХБ" 197-РДО от 01.07.2022</v>
      </c>
      <c r="D63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4" t="str">
        <f ca="1">IFERROR(__xludf.DUMMYFUNCTION("""COMPUTED_VALUE"""),"Новый")</f>
        <v>Новый</v>
      </c>
      <c r="G6324" s="68"/>
      <c r="K6324" s="68"/>
    </row>
    <row r="6325" spans="1:11" ht="12.75">
      <c r="A6325" s="69">
        <f ca="1">IFERROR(__xludf.DUMMYFUNCTION("""COMPUTED_VALUE"""),107580)</f>
        <v>107580</v>
      </c>
      <c r="B6325" s="4">
        <f ca="1">IFERROR(__xludf.DUMMYFUNCTION("""COMPUTED_VALUE"""),44824)</f>
        <v>44824</v>
      </c>
      <c r="C6325" t="str">
        <f ca="1">IFERROR(__xludf.DUMMYFUNCTION("""COMPUTED_VALUE"""),"БУ Г. ОМСКА ""УДХБ"" 197-РДО от 01.07.2022")</f>
        <v>БУ Г. ОМСКА "УДХБ" 197-РДО от 01.07.2022</v>
      </c>
      <c r="D63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5" t="str">
        <f ca="1">IFERROR(__xludf.DUMMYFUNCTION("""COMPUTED_VALUE"""),"Новый")</f>
        <v>Новый</v>
      </c>
      <c r="G6325" s="68"/>
      <c r="K6325" s="68"/>
    </row>
    <row r="6326" spans="1:11" ht="12.75">
      <c r="A6326" s="69">
        <f ca="1">IFERROR(__xludf.DUMMYFUNCTION("""COMPUTED_VALUE"""),107581)</f>
        <v>107581</v>
      </c>
      <c r="B6326" s="4">
        <f ca="1">IFERROR(__xludf.DUMMYFUNCTION("""COMPUTED_VALUE"""),44824)</f>
        <v>44824</v>
      </c>
      <c r="C6326" t="str">
        <f ca="1">IFERROR(__xludf.DUMMYFUNCTION("""COMPUTED_VALUE"""),"БУ Г. ОМСКА ""УДХБ"" 197-РДО от 01.07.2022")</f>
        <v>БУ Г. ОМСКА "УДХБ" 197-РДО от 01.07.2022</v>
      </c>
      <c r="D63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6" t="str">
        <f ca="1">IFERROR(__xludf.DUMMYFUNCTION("""COMPUTED_VALUE"""),"Новый")</f>
        <v>Новый</v>
      </c>
      <c r="G6326" s="68"/>
      <c r="K6326" s="68"/>
    </row>
    <row r="6327" spans="1:11" ht="12.75">
      <c r="A6327" s="69">
        <f ca="1">IFERROR(__xludf.DUMMYFUNCTION("""COMPUTED_VALUE"""),107582)</f>
        <v>107582</v>
      </c>
      <c r="B6327" s="4">
        <f ca="1">IFERROR(__xludf.DUMMYFUNCTION("""COMPUTED_VALUE"""),44824)</f>
        <v>44824</v>
      </c>
      <c r="C6327" t="str">
        <f ca="1">IFERROR(__xludf.DUMMYFUNCTION("""COMPUTED_VALUE"""),"БУ Г. ОМСКА ""УДХБ"" 197-РДО от 01.07.2022")</f>
        <v>БУ Г. ОМСКА "УДХБ" 197-РДО от 01.07.2022</v>
      </c>
      <c r="D63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7" t="str">
        <f ca="1">IFERROR(__xludf.DUMMYFUNCTION("""COMPUTED_VALUE"""),"Новый")</f>
        <v>Новый</v>
      </c>
      <c r="G6327" s="68"/>
      <c r="K6327" s="68"/>
    </row>
    <row r="6328" spans="1:11" ht="12.75">
      <c r="A6328" s="69">
        <f ca="1">IFERROR(__xludf.DUMMYFUNCTION("""COMPUTED_VALUE"""),107583)</f>
        <v>107583</v>
      </c>
      <c r="B6328" s="4">
        <f ca="1">IFERROR(__xludf.DUMMYFUNCTION("""COMPUTED_VALUE"""),44824)</f>
        <v>44824</v>
      </c>
      <c r="C6328" t="str">
        <f ca="1">IFERROR(__xludf.DUMMYFUNCTION("""COMPUTED_VALUE"""),"БУ Г. ОМСКА ""УДХБ"" 197-РДО от 01.07.2022")</f>
        <v>БУ Г. ОМСКА "УДХБ" 197-РДО от 01.07.2022</v>
      </c>
      <c r="D63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8" t="str">
        <f ca="1">IFERROR(__xludf.DUMMYFUNCTION("""COMPUTED_VALUE"""),"Новый")</f>
        <v>Новый</v>
      </c>
      <c r="G6328" s="68"/>
      <c r="K6328" s="68"/>
    </row>
    <row r="6329" spans="1:11" ht="12.75">
      <c r="A6329" s="69">
        <f ca="1">IFERROR(__xludf.DUMMYFUNCTION("""COMPUTED_VALUE"""),107584)</f>
        <v>107584</v>
      </c>
      <c r="B6329" s="4">
        <f ca="1">IFERROR(__xludf.DUMMYFUNCTION("""COMPUTED_VALUE"""),44824)</f>
        <v>44824</v>
      </c>
      <c r="C6329" t="str">
        <f ca="1">IFERROR(__xludf.DUMMYFUNCTION("""COMPUTED_VALUE"""),"БУ Г. ОМСКА ""УДХБ"" 197-РДО от 01.07.2022")</f>
        <v>БУ Г. ОМСКА "УДХБ" 197-РДО от 01.07.2022</v>
      </c>
      <c r="D63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29" t="str">
        <f ca="1">IFERROR(__xludf.DUMMYFUNCTION("""COMPUTED_VALUE"""),"Новый")</f>
        <v>Новый</v>
      </c>
      <c r="G6329" s="68"/>
      <c r="K6329" s="68"/>
    </row>
    <row r="6330" spans="1:11" ht="12.75">
      <c r="A6330" s="69">
        <f ca="1">IFERROR(__xludf.DUMMYFUNCTION("""COMPUTED_VALUE"""),107585)</f>
        <v>107585</v>
      </c>
      <c r="B6330" s="4">
        <f ca="1">IFERROR(__xludf.DUMMYFUNCTION("""COMPUTED_VALUE"""),44824)</f>
        <v>44824</v>
      </c>
      <c r="C6330" t="str">
        <f ca="1">IFERROR(__xludf.DUMMYFUNCTION("""COMPUTED_VALUE"""),"БУ Г. ОМСКА ""УДХБ"" 197-РДО от 01.07.2022")</f>
        <v>БУ Г. ОМСКА "УДХБ" 197-РДО от 01.07.2022</v>
      </c>
      <c r="D63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0" t="str">
        <f ca="1">IFERROR(__xludf.DUMMYFUNCTION("""COMPUTED_VALUE"""),"Новый")</f>
        <v>Новый</v>
      </c>
      <c r="G6330" s="68"/>
      <c r="K6330" s="68"/>
    </row>
    <row r="6331" spans="1:11" ht="12.75">
      <c r="A6331" s="69">
        <f ca="1">IFERROR(__xludf.DUMMYFUNCTION("""COMPUTED_VALUE"""),107586)</f>
        <v>107586</v>
      </c>
      <c r="B6331" s="4">
        <f ca="1">IFERROR(__xludf.DUMMYFUNCTION("""COMPUTED_VALUE"""),44824)</f>
        <v>44824</v>
      </c>
      <c r="C6331" t="str">
        <f ca="1">IFERROR(__xludf.DUMMYFUNCTION("""COMPUTED_VALUE"""),"БУ Г. ОМСКА ""УДХБ"" 197-РДО от 01.07.2022")</f>
        <v>БУ Г. ОМСКА "УДХБ" 197-РДО от 01.07.2022</v>
      </c>
      <c r="D63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1" t="str">
        <f ca="1">IFERROR(__xludf.DUMMYFUNCTION("""COMPUTED_VALUE"""),"Новый")</f>
        <v>Новый</v>
      </c>
      <c r="G6331" s="68"/>
      <c r="K6331" s="68"/>
    </row>
    <row r="6332" spans="1:11" ht="12.75">
      <c r="A6332" s="69">
        <f ca="1">IFERROR(__xludf.DUMMYFUNCTION("""COMPUTED_VALUE"""),107587)</f>
        <v>107587</v>
      </c>
      <c r="B6332" s="4">
        <f ca="1">IFERROR(__xludf.DUMMYFUNCTION("""COMPUTED_VALUE"""),44824)</f>
        <v>44824</v>
      </c>
      <c r="C6332" t="str">
        <f ca="1">IFERROR(__xludf.DUMMYFUNCTION("""COMPUTED_VALUE"""),"БУ Г. ОМСКА ""УДХБ"" 197-РДО от 01.07.2022")</f>
        <v>БУ Г. ОМСКА "УДХБ" 197-РДО от 01.07.2022</v>
      </c>
      <c r="D63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2" t="str">
        <f ca="1">IFERROR(__xludf.DUMMYFUNCTION("""COMPUTED_VALUE"""),"Новый")</f>
        <v>Новый</v>
      </c>
      <c r="G6332" s="68"/>
      <c r="K6332" s="68"/>
    </row>
    <row r="6333" spans="1:11" ht="12.75">
      <c r="A6333" s="69">
        <f ca="1">IFERROR(__xludf.DUMMYFUNCTION("""COMPUTED_VALUE"""),107588)</f>
        <v>107588</v>
      </c>
      <c r="B6333" s="4">
        <f ca="1">IFERROR(__xludf.DUMMYFUNCTION("""COMPUTED_VALUE"""),44824)</f>
        <v>44824</v>
      </c>
      <c r="C6333" t="str">
        <f ca="1">IFERROR(__xludf.DUMMYFUNCTION("""COMPUTED_VALUE"""),"БУ Г. ОМСКА ""УДХБ"" 197-РДО от 01.07.2022")</f>
        <v>БУ Г. ОМСКА "УДХБ" 197-РДО от 01.07.2022</v>
      </c>
      <c r="D63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3" t="str">
        <f ca="1">IFERROR(__xludf.DUMMYFUNCTION("""COMPUTED_VALUE"""),"Новый")</f>
        <v>Новый</v>
      </c>
      <c r="G6333" s="68"/>
      <c r="K6333" s="68"/>
    </row>
    <row r="6334" spans="1:11" ht="12.75">
      <c r="A6334" s="69">
        <f ca="1">IFERROR(__xludf.DUMMYFUNCTION("""COMPUTED_VALUE"""),107589)</f>
        <v>107589</v>
      </c>
      <c r="B6334" s="4">
        <f ca="1">IFERROR(__xludf.DUMMYFUNCTION("""COMPUTED_VALUE"""),44824)</f>
        <v>44824</v>
      </c>
      <c r="C6334" t="str">
        <f ca="1">IFERROR(__xludf.DUMMYFUNCTION("""COMPUTED_VALUE"""),"БУ Г. ОМСКА ""УДХБ"" 197-РДО от 01.07.2022")</f>
        <v>БУ Г. ОМСКА "УДХБ" 197-РДО от 01.07.2022</v>
      </c>
      <c r="D63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4" t="str">
        <f ca="1">IFERROR(__xludf.DUMMYFUNCTION("""COMPUTED_VALUE"""),"Новый")</f>
        <v>Новый</v>
      </c>
      <c r="G6334" s="68"/>
      <c r="K6334" s="68"/>
    </row>
    <row r="6335" spans="1:11" ht="12.75">
      <c r="A6335" s="69">
        <f ca="1">IFERROR(__xludf.DUMMYFUNCTION("""COMPUTED_VALUE"""),107590)</f>
        <v>107590</v>
      </c>
      <c r="B6335" s="4">
        <f ca="1">IFERROR(__xludf.DUMMYFUNCTION("""COMPUTED_VALUE"""),44824)</f>
        <v>44824</v>
      </c>
      <c r="C6335" t="str">
        <f ca="1">IFERROR(__xludf.DUMMYFUNCTION("""COMPUTED_VALUE"""),"БУ Г. ОМСКА ""УДХБ"" 197-РДО от 01.07.2022")</f>
        <v>БУ Г. ОМСКА "УДХБ" 197-РДО от 01.07.2022</v>
      </c>
      <c r="D63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5" t="str">
        <f ca="1">IFERROR(__xludf.DUMMYFUNCTION("""COMPUTED_VALUE"""),"Новый")</f>
        <v>Новый</v>
      </c>
      <c r="G6335" s="68"/>
      <c r="K6335" s="68"/>
    </row>
    <row r="6336" spans="1:11" ht="12.75">
      <c r="A6336" s="69">
        <f ca="1">IFERROR(__xludf.DUMMYFUNCTION("""COMPUTED_VALUE"""),107591)</f>
        <v>107591</v>
      </c>
      <c r="B6336" s="4">
        <f ca="1">IFERROR(__xludf.DUMMYFUNCTION("""COMPUTED_VALUE"""),44824)</f>
        <v>44824</v>
      </c>
      <c r="C6336" t="str">
        <f ca="1">IFERROR(__xludf.DUMMYFUNCTION("""COMPUTED_VALUE"""),"БУ Г. ОМСКА ""УДХБ"" 197-РДО от 01.07.2022")</f>
        <v>БУ Г. ОМСКА "УДХБ" 197-РДО от 01.07.2022</v>
      </c>
      <c r="D63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6" t="str">
        <f ca="1">IFERROR(__xludf.DUMMYFUNCTION("""COMPUTED_VALUE"""),"Новый")</f>
        <v>Новый</v>
      </c>
      <c r="G6336" s="68"/>
      <c r="K6336" s="68"/>
    </row>
    <row r="6337" spans="1:11" ht="12.75">
      <c r="A6337" s="69">
        <f ca="1">IFERROR(__xludf.DUMMYFUNCTION("""COMPUTED_VALUE"""),107592)</f>
        <v>107592</v>
      </c>
      <c r="B6337" s="4">
        <f ca="1">IFERROR(__xludf.DUMMYFUNCTION("""COMPUTED_VALUE"""),44824)</f>
        <v>44824</v>
      </c>
      <c r="C6337" t="str">
        <f ca="1">IFERROR(__xludf.DUMMYFUNCTION("""COMPUTED_VALUE"""),"БУ Г. ОМСКА ""УДХБ"" 197-РДО от 01.07.2022")</f>
        <v>БУ Г. ОМСКА "УДХБ" 197-РДО от 01.07.2022</v>
      </c>
      <c r="D63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7" t="str">
        <f ca="1">IFERROR(__xludf.DUMMYFUNCTION("""COMPUTED_VALUE"""),"Новый")</f>
        <v>Новый</v>
      </c>
      <c r="G6337" s="68"/>
      <c r="K6337" s="68"/>
    </row>
    <row r="6338" spans="1:11" ht="12.75">
      <c r="A6338" s="69">
        <f ca="1">IFERROR(__xludf.DUMMYFUNCTION("""COMPUTED_VALUE"""),107593)</f>
        <v>107593</v>
      </c>
      <c r="B6338" s="4">
        <f ca="1">IFERROR(__xludf.DUMMYFUNCTION("""COMPUTED_VALUE"""),44824)</f>
        <v>44824</v>
      </c>
      <c r="C6338" t="str">
        <f ca="1">IFERROR(__xludf.DUMMYFUNCTION("""COMPUTED_VALUE"""),"БУ Г. ОМСКА ""УДХБ"" 197-РДО от 01.07.2022")</f>
        <v>БУ Г. ОМСКА "УДХБ" 197-РДО от 01.07.2022</v>
      </c>
      <c r="D63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8" t="str">
        <f ca="1">IFERROR(__xludf.DUMMYFUNCTION("""COMPUTED_VALUE"""),"Новый")</f>
        <v>Новый</v>
      </c>
      <c r="G6338" s="68"/>
      <c r="K6338" s="68"/>
    </row>
    <row r="6339" spans="1:11" ht="12.75">
      <c r="A6339" s="69">
        <f ca="1">IFERROR(__xludf.DUMMYFUNCTION("""COMPUTED_VALUE"""),107594)</f>
        <v>107594</v>
      </c>
      <c r="B6339" s="4">
        <f ca="1">IFERROR(__xludf.DUMMYFUNCTION("""COMPUTED_VALUE"""),44824)</f>
        <v>44824</v>
      </c>
      <c r="C6339" t="str">
        <f ca="1">IFERROR(__xludf.DUMMYFUNCTION("""COMPUTED_VALUE"""),"БУ Г. ОМСКА ""УДХБ"" 197-РДО от 01.07.2022")</f>
        <v>БУ Г. ОМСКА "УДХБ" 197-РДО от 01.07.2022</v>
      </c>
      <c r="D63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39" t="str">
        <f ca="1">IFERROR(__xludf.DUMMYFUNCTION("""COMPUTED_VALUE"""),"Новый")</f>
        <v>Новый</v>
      </c>
      <c r="G6339" s="68"/>
      <c r="K6339" s="68"/>
    </row>
    <row r="6340" spans="1:11" ht="12.75">
      <c r="A6340" s="69">
        <f ca="1">IFERROR(__xludf.DUMMYFUNCTION("""COMPUTED_VALUE"""),107595)</f>
        <v>107595</v>
      </c>
      <c r="B6340" s="4">
        <f ca="1">IFERROR(__xludf.DUMMYFUNCTION("""COMPUTED_VALUE"""),44824)</f>
        <v>44824</v>
      </c>
      <c r="C6340" t="str">
        <f ca="1">IFERROR(__xludf.DUMMYFUNCTION("""COMPUTED_VALUE"""),"БУ Г. ОМСКА ""УДХБ"" 197-РДО от 01.07.2022")</f>
        <v>БУ Г. ОМСКА "УДХБ" 197-РДО от 01.07.2022</v>
      </c>
      <c r="D63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0" t="str">
        <f ca="1">IFERROR(__xludf.DUMMYFUNCTION("""COMPUTED_VALUE"""),"Новый")</f>
        <v>Новый</v>
      </c>
      <c r="G6340" s="68"/>
      <c r="K6340" s="68"/>
    </row>
    <row r="6341" spans="1:11" ht="12.75">
      <c r="A6341" s="69">
        <f ca="1">IFERROR(__xludf.DUMMYFUNCTION("""COMPUTED_VALUE"""),107596)</f>
        <v>107596</v>
      </c>
      <c r="B6341" s="4">
        <f ca="1">IFERROR(__xludf.DUMMYFUNCTION("""COMPUTED_VALUE"""),44824)</f>
        <v>44824</v>
      </c>
      <c r="C6341" t="str">
        <f ca="1">IFERROR(__xludf.DUMMYFUNCTION("""COMPUTED_VALUE"""),"БУ Г. ОМСКА ""УДХБ"" 197-РДО от 01.07.2022")</f>
        <v>БУ Г. ОМСКА "УДХБ" 197-РДО от 01.07.2022</v>
      </c>
      <c r="D63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1" t="str">
        <f ca="1">IFERROR(__xludf.DUMMYFUNCTION("""COMPUTED_VALUE"""),"Новый")</f>
        <v>Новый</v>
      </c>
      <c r="G6341" s="68"/>
      <c r="K6341" s="68"/>
    </row>
    <row r="6342" spans="1:11" ht="12.75">
      <c r="A6342" s="69">
        <f ca="1">IFERROR(__xludf.DUMMYFUNCTION("""COMPUTED_VALUE"""),107597)</f>
        <v>107597</v>
      </c>
      <c r="B6342" s="4">
        <f ca="1">IFERROR(__xludf.DUMMYFUNCTION("""COMPUTED_VALUE"""),44824)</f>
        <v>44824</v>
      </c>
      <c r="C6342" t="str">
        <f ca="1">IFERROR(__xludf.DUMMYFUNCTION("""COMPUTED_VALUE"""),"БУ Г. ОМСКА ""УДХБ"" 197-РДО от 01.07.2022")</f>
        <v>БУ Г. ОМСКА "УДХБ" 197-РДО от 01.07.2022</v>
      </c>
      <c r="D63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2" t="str">
        <f ca="1">IFERROR(__xludf.DUMMYFUNCTION("""COMPUTED_VALUE"""),"Новый")</f>
        <v>Новый</v>
      </c>
      <c r="G6342" s="68"/>
      <c r="K6342" s="68"/>
    </row>
    <row r="6343" spans="1:11" ht="12.75">
      <c r="A6343" s="69">
        <f ca="1">IFERROR(__xludf.DUMMYFUNCTION("""COMPUTED_VALUE"""),107598)</f>
        <v>107598</v>
      </c>
      <c r="B6343" s="4">
        <f ca="1">IFERROR(__xludf.DUMMYFUNCTION("""COMPUTED_VALUE"""),44824)</f>
        <v>44824</v>
      </c>
      <c r="C6343" t="str">
        <f ca="1">IFERROR(__xludf.DUMMYFUNCTION("""COMPUTED_VALUE"""),"БУ Г. ОМСКА ""УДХБ"" 197-РДО от 01.07.2022")</f>
        <v>БУ Г. ОМСКА "УДХБ" 197-РДО от 01.07.2022</v>
      </c>
      <c r="D63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3" t="str">
        <f ca="1">IFERROR(__xludf.DUMMYFUNCTION("""COMPUTED_VALUE"""),"Новый")</f>
        <v>Новый</v>
      </c>
      <c r="G6343" s="68"/>
      <c r="K6343" s="68"/>
    </row>
    <row r="6344" spans="1:11" ht="12.75">
      <c r="A6344" s="69">
        <f ca="1">IFERROR(__xludf.DUMMYFUNCTION("""COMPUTED_VALUE"""),107599)</f>
        <v>107599</v>
      </c>
      <c r="B6344" s="4">
        <f ca="1">IFERROR(__xludf.DUMMYFUNCTION("""COMPUTED_VALUE"""),44824)</f>
        <v>44824</v>
      </c>
      <c r="C6344" t="str">
        <f ca="1">IFERROR(__xludf.DUMMYFUNCTION("""COMPUTED_VALUE"""),"БУ Г. ОМСКА ""УДХБ"" 197-РДО от 01.07.2022")</f>
        <v>БУ Г. ОМСКА "УДХБ" 197-РДО от 01.07.2022</v>
      </c>
      <c r="D63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4" t="str">
        <f ca="1">IFERROR(__xludf.DUMMYFUNCTION("""COMPUTED_VALUE"""),"Новый")</f>
        <v>Новый</v>
      </c>
      <c r="G6344" s="68"/>
      <c r="K6344" s="68"/>
    </row>
    <row r="6345" spans="1:11" ht="12.75">
      <c r="A6345" s="69">
        <f ca="1">IFERROR(__xludf.DUMMYFUNCTION("""COMPUTED_VALUE"""),107600)</f>
        <v>107600</v>
      </c>
      <c r="B6345" s="4">
        <f ca="1">IFERROR(__xludf.DUMMYFUNCTION("""COMPUTED_VALUE"""),44824)</f>
        <v>44824</v>
      </c>
      <c r="C6345" t="str">
        <f ca="1">IFERROR(__xludf.DUMMYFUNCTION("""COMPUTED_VALUE"""),"БУ Г. ОМСКА ""УДХБ"" 197-РДО от 01.07.2022")</f>
        <v>БУ Г. ОМСКА "УДХБ" 197-РДО от 01.07.2022</v>
      </c>
      <c r="D63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5" t="str">
        <f ca="1">IFERROR(__xludf.DUMMYFUNCTION("""COMPUTED_VALUE"""),"Новый")</f>
        <v>Новый</v>
      </c>
      <c r="G6345" s="68"/>
      <c r="K6345" s="68"/>
    </row>
    <row r="6346" spans="1:11" ht="12.75">
      <c r="A6346" s="69">
        <f ca="1">IFERROR(__xludf.DUMMYFUNCTION("""COMPUTED_VALUE"""),107601)</f>
        <v>107601</v>
      </c>
      <c r="B6346" s="4">
        <f ca="1">IFERROR(__xludf.DUMMYFUNCTION("""COMPUTED_VALUE"""),44824)</f>
        <v>44824</v>
      </c>
      <c r="C6346" t="str">
        <f ca="1">IFERROR(__xludf.DUMMYFUNCTION("""COMPUTED_VALUE"""),"БУ Г. ОМСКА ""УДХБ"" 197-РДО от 01.07.2022")</f>
        <v>БУ Г. ОМСКА "УДХБ" 197-РДО от 01.07.2022</v>
      </c>
      <c r="D63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6" t="str">
        <f ca="1">IFERROR(__xludf.DUMMYFUNCTION("""COMPUTED_VALUE"""),"Новый")</f>
        <v>Новый</v>
      </c>
      <c r="G6346" s="68"/>
      <c r="K6346" s="68"/>
    </row>
    <row r="6347" spans="1:11" ht="12.75">
      <c r="A6347" s="69">
        <f ca="1">IFERROR(__xludf.DUMMYFUNCTION("""COMPUTED_VALUE"""),107602)</f>
        <v>107602</v>
      </c>
      <c r="B6347" s="4">
        <f ca="1">IFERROR(__xludf.DUMMYFUNCTION("""COMPUTED_VALUE"""),44824)</f>
        <v>44824</v>
      </c>
      <c r="C6347" t="str">
        <f ca="1">IFERROR(__xludf.DUMMYFUNCTION("""COMPUTED_VALUE"""),"БУ Г. ОМСКА ""УДХБ"" 197-РДО от 01.07.2022")</f>
        <v>БУ Г. ОМСКА "УДХБ" 197-РДО от 01.07.2022</v>
      </c>
      <c r="D63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7" t="str">
        <f ca="1">IFERROR(__xludf.DUMMYFUNCTION("""COMPUTED_VALUE"""),"Новый")</f>
        <v>Новый</v>
      </c>
      <c r="G6347" s="68"/>
      <c r="K6347" s="68"/>
    </row>
    <row r="6348" spans="1:11" ht="12.75">
      <c r="A6348" s="69">
        <f ca="1">IFERROR(__xludf.DUMMYFUNCTION("""COMPUTED_VALUE"""),107603)</f>
        <v>107603</v>
      </c>
      <c r="B6348" s="4">
        <f ca="1">IFERROR(__xludf.DUMMYFUNCTION("""COMPUTED_VALUE"""),44824)</f>
        <v>44824</v>
      </c>
      <c r="C6348" t="str">
        <f ca="1">IFERROR(__xludf.DUMMYFUNCTION("""COMPUTED_VALUE"""),"БУ Г. ОМСКА ""УДХБ"" 197-РДО от 01.07.2022")</f>
        <v>БУ Г. ОМСКА "УДХБ" 197-РДО от 01.07.2022</v>
      </c>
      <c r="D63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8" t="str">
        <f ca="1">IFERROR(__xludf.DUMMYFUNCTION("""COMPUTED_VALUE"""),"Новый")</f>
        <v>Новый</v>
      </c>
      <c r="G6348" s="68"/>
      <c r="K6348" s="68"/>
    </row>
    <row r="6349" spans="1:11" ht="12.75">
      <c r="A6349" s="69">
        <f ca="1">IFERROR(__xludf.DUMMYFUNCTION("""COMPUTED_VALUE"""),107604)</f>
        <v>107604</v>
      </c>
      <c r="B6349" s="4">
        <f ca="1">IFERROR(__xludf.DUMMYFUNCTION("""COMPUTED_VALUE"""),44824)</f>
        <v>44824</v>
      </c>
      <c r="C6349" t="str">
        <f ca="1">IFERROR(__xludf.DUMMYFUNCTION("""COMPUTED_VALUE"""),"БУ Г. ОМСКА ""УДХБ"" 197-РДО от 01.07.2022")</f>
        <v>БУ Г. ОМСКА "УДХБ" 197-РДО от 01.07.2022</v>
      </c>
      <c r="D63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49" t="str">
        <f ca="1">IFERROR(__xludf.DUMMYFUNCTION("""COMPUTED_VALUE"""),"Новый")</f>
        <v>Новый</v>
      </c>
      <c r="G6349" s="68"/>
      <c r="K6349" s="68"/>
    </row>
    <row r="6350" spans="1:11" ht="12.75">
      <c r="A6350" s="69">
        <f ca="1">IFERROR(__xludf.DUMMYFUNCTION("""COMPUTED_VALUE"""),107605)</f>
        <v>107605</v>
      </c>
      <c r="B6350" s="4">
        <f ca="1">IFERROR(__xludf.DUMMYFUNCTION("""COMPUTED_VALUE"""),44824)</f>
        <v>44824</v>
      </c>
      <c r="C6350" t="str">
        <f ca="1">IFERROR(__xludf.DUMMYFUNCTION("""COMPUTED_VALUE"""),"БУ Г. ОМСКА ""УДХБ"" 197-РДО от 01.07.2022")</f>
        <v>БУ Г. ОМСКА "УДХБ" 197-РДО от 01.07.2022</v>
      </c>
      <c r="D63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0" t="str">
        <f ca="1">IFERROR(__xludf.DUMMYFUNCTION("""COMPUTED_VALUE"""),"Новый")</f>
        <v>Новый</v>
      </c>
      <c r="G6350" s="68"/>
      <c r="K6350" s="68"/>
    </row>
    <row r="6351" spans="1:11" ht="12.75">
      <c r="A6351" s="69">
        <f ca="1">IFERROR(__xludf.DUMMYFUNCTION("""COMPUTED_VALUE"""),107606)</f>
        <v>107606</v>
      </c>
      <c r="B6351" s="4">
        <f ca="1">IFERROR(__xludf.DUMMYFUNCTION("""COMPUTED_VALUE"""),44824)</f>
        <v>44824</v>
      </c>
      <c r="C6351" t="str">
        <f ca="1">IFERROR(__xludf.DUMMYFUNCTION("""COMPUTED_VALUE"""),"БУ Г. ОМСКА ""УДХБ"" 197-РДО от 01.07.2022")</f>
        <v>БУ Г. ОМСКА "УДХБ" 197-РДО от 01.07.2022</v>
      </c>
      <c r="D63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1" t="str">
        <f ca="1">IFERROR(__xludf.DUMMYFUNCTION("""COMPUTED_VALUE"""),"Новый")</f>
        <v>Новый</v>
      </c>
      <c r="G6351" s="68"/>
      <c r="K6351" s="68"/>
    </row>
    <row r="6352" spans="1:11" ht="12.75">
      <c r="A6352" s="69">
        <f ca="1">IFERROR(__xludf.DUMMYFUNCTION("""COMPUTED_VALUE"""),107607)</f>
        <v>107607</v>
      </c>
      <c r="B6352" s="4">
        <f ca="1">IFERROR(__xludf.DUMMYFUNCTION("""COMPUTED_VALUE"""),44824)</f>
        <v>44824</v>
      </c>
      <c r="C6352" t="str">
        <f ca="1">IFERROR(__xludf.DUMMYFUNCTION("""COMPUTED_VALUE"""),"БУ Г. ОМСКА ""УДХБ"" 197-РДО от 01.07.2022")</f>
        <v>БУ Г. ОМСКА "УДХБ" 197-РДО от 01.07.2022</v>
      </c>
      <c r="D63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2" t="str">
        <f ca="1">IFERROR(__xludf.DUMMYFUNCTION("""COMPUTED_VALUE"""),"Новый")</f>
        <v>Новый</v>
      </c>
      <c r="G6352" s="68"/>
      <c r="K6352" s="68"/>
    </row>
    <row r="6353" spans="1:11" ht="12.75">
      <c r="A6353" s="69">
        <f ca="1">IFERROR(__xludf.DUMMYFUNCTION("""COMPUTED_VALUE"""),107608)</f>
        <v>107608</v>
      </c>
      <c r="B6353" s="4">
        <f ca="1">IFERROR(__xludf.DUMMYFUNCTION("""COMPUTED_VALUE"""),44824)</f>
        <v>44824</v>
      </c>
      <c r="C6353" t="str">
        <f ca="1">IFERROR(__xludf.DUMMYFUNCTION("""COMPUTED_VALUE"""),"БУ Г. ОМСКА ""УДХБ"" 197-РДО от 01.07.2022")</f>
        <v>БУ Г. ОМСКА "УДХБ" 197-РДО от 01.07.2022</v>
      </c>
      <c r="D63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3" t="str">
        <f ca="1">IFERROR(__xludf.DUMMYFUNCTION("""COMPUTED_VALUE"""),"Новый")</f>
        <v>Новый</v>
      </c>
      <c r="G6353" s="68"/>
      <c r="K6353" s="68"/>
    </row>
    <row r="6354" spans="1:11" ht="12.75">
      <c r="A6354" s="69">
        <f ca="1">IFERROR(__xludf.DUMMYFUNCTION("""COMPUTED_VALUE"""),107609)</f>
        <v>107609</v>
      </c>
      <c r="B6354" s="4">
        <f ca="1">IFERROR(__xludf.DUMMYFUNCTION("""COMPUTED_VALUE"""),44824)</f>
        <v>44824</v>
      </c>
      <c r="C6354" t="str">
        <f ca="1">IFERROR(__xludf.DUMMYFUNCTION("""COMPUTED_VALUE"""),"БУ Г. ОМСКА ""УДХБ"" 197-РДО от 01.07.2022")</f>
        <v>БУ Г. ОМСКА "УДХБ" 197-РДО от 01.07.2022</v>
      </c>
      <c r="D63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4" t="str">
        <f ca="1">IFERROR(__xludf.DUMMYFUNCTION("""COMPUTED_VALUE"""),"Новый")</f>
        <v>Новый</v>
      </c>
      <c r="G6354" s="68"/>
      <c r="K6354" s="68"/>
    </row>
    <row r="6355" spans="1:11" ht="12.75">
      <c r="A6355" s="69">
        <f ca="1">IFERROR(__xludf.DUMMYFUNCTION("""COMPUTED_VALUE"""),107610)</f>
        <v>107610</v>
      </c>
      <c r="B6355" s="4">
        <f ca="1">IFERROR(__xludf.DUMMYFUNCTION("""COMPUTED_VALUE"""),44824)</f>
        <v>44824</v>
      </c>
      <c r="C6355" t="str">
        <f ca="1">IFERROR(__xludf.DUMMYFUNCTION("""COMPUTED_VALUE"""),"БУ Г. ОМСКА ""УДХБ"" 197-РДО от 01.07.2022")</f>
        <v>БУ Г. ОМСКА "УДХБ" 197-РДО от 01.07.2022</v>
      </c>
      <c r="D63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5" t="str">
        <f ca="1">IFERROR(__xludf.DUMMYFUNCTION("""COMPUTED_VALUE"""),"Новый")</f>
        <v>Новый</v>
      </c>
      <c r="G6355" s="68"/>
      <c r="K6355" s="68"/>
    </row>
    <row r="6356" spans="1:11" ht="12.75">
      <c r="A6356" s="69">
        <f ca="1">IFERROR(__xludf.DUMMYFUNCTION("""COMPUTED_VALUE"""),107611)</f>
        <v>107611</v>
      </c>
      <c r="B6356" s="4">
        <f ca="1">IFERROR(__xludf.DUMMYFUNCTION("""COMPUTED_VALUE"""),44824)</f>
        <v>44824</v>
      </c>
      <c r="C6356" t="str">
        <f ca="1">IFERROR(__xludf.DUMMYFUNCTION("""COMPUTED_VALUE"""),"БУ Г. ОМСКА ""УДХБ"" 197-РДО от 01.07.2022")</f>
        <v>БУ Г. ОМСКА "УДХБ" 197-РДО от 01.07.2022</v>
      </c>
      <c r="D63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6" t="str">
        <f ca="1">IFERROR(__xludf.DUMMYFUNCTION("""COMPUTED_VALUE"""),"Новый")</f>
        <v>Новый</v>
      </c>
      <c r="G6356" s="68"/>
      <c r="K6356" s="68"/>
    </row>
    <row r="6357" spans="1:11" ht="12.75">
      <c r="A6357" s="69">
        <f ca="1">IFERROR(__xludf.DUMMYFUNCTION("""COMPUTED_VALUE"""),107612)</f>
        <v>107612</v>
      </c>
      <c r="B6357" s="4">
        <f ca="1">IFERROR(__xludf.DUMMYFUNCTION("""COMPUTED_VALUE"""),44824)</f>
        <v>44824</v>
      </c>
      <c r="C6357" t="str">
        <f ca="1">IFERROR(__xludf.DUMMYFUNCTION("""COMPUTED_VALUE"""),"БУ Г. ОМСКА ""УДХБ"" 197-РДО от 01.07.2022")</f>
        <v>БУ Г. ОМСКА "УДХБ" 197-РДО от 01.07.2022</v>
      </c>
      <c r="D63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7" t="str">
        <f ca="1">IFERROR(__xludf.DUMMYFUNCTION("""COMPUTED_VALUE"""),"Новый")</f>
        <v>Новый</v>
      </c>
      <c r="G6357" s="68"/>
      <c r="K6357" s="68"/>
    </row>
    <row r="6358" spans="1:11" ht="12.75">
      <c r="A6358" s="69">
        <f ca="1">IFERROR(__xludf.DUMMYFUNCTION("""COMPUTED_VALUE"""),107613)</f>
        <v>107613</v>
      </c>
      <c r="B6358" s="4">
        <f ca="1">IFERROR(__xludf.DUMMYFUNCTION("""COMPUTED_VALUE"""),44824)</f>
        <v>44824</v>
      </c>
      <c r="C6358" t="str">
        <f ca="1">IFERROR(__xludf.DUMMYFUNCTION("""COMPUTED_VALUE"""),"БУ Г. ОМСКА ""УДХБ"" 197-РДО от 01.07.2022")</f>
        <v>БУ Г. ОМСКА "УДХБ" 197-РДО от 01.07.2022</v>
      </c>
      <c r="D63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8" t="str">
        <f ca="1">IFERROR(__xludf.DUMMYFUNCTION("""COMPUTED_VALUE"""),"Новый")</f>
        <v>Новый</v>
      </c>
      <c r="G6358" s="68"/>
      <c r="K6358" s="68"/>
    </row>
    <row r="6359" spans="1:11" ht="12.75">
      <c r="A6359" s="69">
        <f ca="1">IFERROR(__xludf.DUMMYFUNCTION("""COMPUTED_VALUE"""),107614)</f>
        <v>107614</v>
      </c>
      <c r="B6359" s="4">
        <f ca="1">IFERROR(__xludf.DUMMYFUNCTION("""COMPUTED_VALUE"""),44824)</f>
        <v>44824</v>
      </c>
      <c r="C6359" t="str">
        <f ca="1">IFERROR(__xludf.DUMMYFUNCTION("""COMPUTED_VALUE"""),"БУ Г. ОМСКА ""УДХБ"" 197-РДО от 01.07.2022")</f>
        <v>БУ Г. ОМСКА "УДХБ" 197-РДО от 01.07.2022</v>
      </c>
      <c r="D63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59" t="str">
        <f ca="1">IFERROR(__xludf.DUMMYFUNCTION("""COMPUTED_VALUE"""),"Новый")</f>
        <v>Новый</v>
      </c>
      <c r="G6359" s="68"/>
      <c r="K6359" s="68"/>
    </row>
    <row r="6360" spans="1:11" ht="12.75">
      <c r="A6360" s="69">
        <f ca="1">IFERROR(__xludf.DUMMYFUNCTION("""COMPUTED_VALUE"""),107615)</f>
        <v>107615</v>
      </c>
      <c r="B6360" s="4">
        <f ca="1">IFERROR(__xludf.DUMMYFUNCTION("""COMPUTED_VALUE"""),44824)</f>
        <v>44824</v>
      </c>
      <c r="C6360" t="str">
        <f ca="1">IFERROR(__xludf.DUMMYFUNCTION("""COMPUTED_VALUE"""),"БУ Г. ОМСКА ""УДХБ"" 197-РДО от 01.07.2022")</f>
        <v>БУ Г. ОМСКА "УДХБ" 197-РДО от 01.07.2022</v>
      </c>
      <c r="D63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0" t="str">
        <f ca="1">IFERROR(__xludf.DUMMYFUNCTION("""COMPUTED_VALUE"""),"Новый")</f>
        <v>Новый</v>
      </c>
      <c r="G6360" s="68"/>
      <c r="K6360" s="68"/>
    </row>
    <row r="6361" spans="1:11" ht="12.75">
      <c r="A6361" s="69">
        <f ca="1">IFERROR(__xludf.DUMMYFUNCTION("""COMPUTED_VALUE"""),107616)</f>
        <v>107616</v>
      </c>
      <c r="B6361" s="4">
        <f ca="1">IFERROR(__xludf.DUMMYFUNCTION("""COMPUTED_VALUE"""),44824)</f>
        <v>44824</v>
      </c>
      <c r="C6361" t="str">
        <f ca="1">IFERROR(__xludf.DUMMYFUNCTION("""COMPUTED_VALUE"""),"БУ Г. ОМСКА ""УДХБ"" 197-РДО от 01.07.2022")</f>
        <v>БУ Г. ОМСКА "УДХБ" 197-РДО от 01.07.2022</v>
      </c>
      <c r="D63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1" t="str">
        <f ca="1">IFERROR(__xludf.DUMMYFUNCTION("""COMPUTED_VALUE"""),"Новый")</f>
        <v>Новый</v>
      </c>
      <c r="G6361" s="68"/>
      <c r="K6361" s="68"/>
    </row>
    <row r="6362" spans="1:11" ht="12.75">
      <c r="A6362" s="69">
        <f ca="1">IFERROR(__xludf.DUMMYFUNCTION("""COMPUTED_VALUE"""),107617)</f>
        <v>107617</v>
      </c>
      <c r="B6362" s="4">
        <f ca="1">IFERROR(__xludf.DUMMYFUNCTION("""COMPUTED_VALUE"""),44824)</f>
        <v>44824</v>
      </c>
      <c r="C6362" t="str">
        <f ca="1">IFERROR(__xludf.DUMMYFUNCTION("""COMPUTED_VALUE"""),"БУ Г. ОМСКА ""УДХБ"" 197-РДО от 01.07.2022")</f>
        <v>БУ Г. ОМСКА "УДХБ" 197-РДО от 01.07.2022</v>
      </c>
      <c r="D63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2" t="str">
        <f ca="1">IFERROR(__xludf.DUMMYFUNCTION("""COMPUTED_VALUE"""),"Новый")</f>
        <v>Новый</v>
      </c>
      <c r="G6362" s="68"/>
      <c r="K6362" s="68"/>
    </row>
    <row r="6363" spans="1:11" ht="12.75">
      <c r="A6363" s="69">
        <f ca="1">IFERROR(__xludf.DUMMYFUNCTION("""COMPUTED_VALUE"""),107618)</f>
        <v>107618</v>
      </c>
      <c r="B6363" s="4">
        <f ca="1">IFERROR(__xludf.DUMMYFUNCTION("""COMPUTED_VALUE"""),44824)</f>
        <v>44824</v>
      </c>
      <c r="C6363" t="str">
        <f ca="1">IFERROR(__xludf.DUMMYFUNCTION("""COMPUTED_VALUE"""),"БУ Г. ОМСКА ""УДХБ"" 197-РДО от 01.07.2022")</f>
        <v>БУ Г. ОМСКА "УДХБ" 197-РДО от 01.07.2022</v>
      </c>
      <c r="D63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3" t="str">
        <f ca="1">IFERROR(__xludf.DUMMYFUNCTION("""COMPUTED_VALUE"""),"Новый")</f>
        <v>Новый</v>
      </c>
      <c r="G6363" s="68"/>
      <c r="K6363" s="68"/>
    </row>
    <row r="6364" spans="1:11" ht="12.75">
      <c r="A6364" s="69">
        <f ca="1">IFERROR(__xludf.DUMMYFUNCTION("""COMPUTED_VALUE"""),107619)</f>
        <v>107619</v>
      </c>
      <c r="B6364" s="4">
        <f ca="1">IFERROR(__xludf.DUMMYFUNCTION("""COMPUTED_VALUE"""),44824)</f>
        <v>44824</v>
      </c>
      <c r="C6364" t="str">
        <f ca="1">IFERROR(__xludf.DUMMYFUNCTION("""COMPUTED_VALUE"""),"БУ Г. ОМСКА ""УДХБ"" 197-РДО от 01.07.2022")</f>
        <v>БУ Г. ОМСКА "УДХБ" 197-РДО от 01.07.2022</v>
      </c>
      <c r="D63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4" t="str">
        <f ca="1">IFERROR(__xludf.DUMMYFUNCTION("""COMPUTED_VALUE"""),"Новый")</f>
        <v>Новый</v>
      </c>
      <c r="G6364" s="68"/>
      <c r="K6364" s="68"/>
    </row>
    <row r="6365" spans="1:11" ht="12.75">
      <c r="A6365" s="69">
        <f ca="1">IFERROR(__xludf.DUMMYFUNCTION("""COMPUTED_VALUE"""),107620)</f>
        <v>107620</v>
      </c>
      <c r="B6365" s="4">
        <f ca="1">IFERROR(__xludf.DUMMYFUNCTION("""COMPUTED_VALUE"""),44824)</f>
        <v>44824</v>
      </c>
      <c r="C6365" t="str">
        <f ca="1">IFERROR(__xludf.DUMMYFUNCTION("""COMPUTED_VALUE"""),"БУ Г. ОМСКА ""УДХБ"" 197-РДО от 01.07.2022")</f>
        <v>БУ Г. ОМСКА "УДХБ" 197-РДО от 01.07.2022</v>
      </c>
      <c r="D63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5" t="str">
        <f ca="1">IFERROR(__xludf.DUMMYFUNCTION("""COMPUTED_VALUE"""),"Новый")</f>
        <v>Новый</v>
      </c>
      <c r="G6365" s="68"/>
      <c r="K6365" s="68"/>
    </row>
    <row r="6366" spans="1:11" ht="12.75">
      <c r="A6366" s="69">
        <f ca="1">IFERROR(__xludf.DUMMYFUNCTION("""COMPUTED_VALUE"""),107621)</f>
        <v>107621</v>
      </c>
      <c r="B6366" s="4">
        <f ca="1">IFERROR(__xludf.DUMMYFUNCTION("""COMPUTED_VALUE"""),44824)</f>
        <v>44824</v>
      </c>
      <c r="C6366" t="str">
        <f ca="1">IFERROR(__xludf.DUMMYFUNCTION("""COMPUTED_VALUE"""),"БУ Г. ОМСКА ""УДХБ"" 197-РДО от 01.07.2022")</f>
        <v>БУ Г. ОМСКА "УДХБ" 197-РДО от 01.07.2022</v>
      </c>
      <c r="D63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6" t="str">
        <f ca="1">IFERROR(__xludf.DUMMYFUNCTION("""COMPUTED_VALUE"""),"Новый")</f>
        <v>Новый</v>
      </c>
      <c r="G6366" s="68"/>
      <c r="K6366" s="68"/>
    </row>
    <row r="6367" spans="1:11" ht="12.75">
      <c r="A6367" s="69">
        <f ca="1">IFERROR(__xludf.DUMMYFUNCTION("""COMPUTED_VALUE"""),107622)</f>
        <v>107622</v>
      </c>
      <c r="B6367" s="4">
        <f ca="1">IFERROR(__xludf.DUMMYFUNCTION("""COMPUTED_VALUE"""),44824)</f>
        <v>44824</v>
      </c>
      <c r="C6367" t="str">
        <f ca="1">IFERROR(__xludf.DUMMYFUNCTION("""COMPUTED_VALUE"""),"БУ Г. ОМСКА ""УДХБ"" 197-РДО от 01.07.2022")</f>
        <v>БУ Г. ОМСКА "УДХБ" 197-РДО от 01.07.2022</v>
      </c>
      <c r="D63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7" t="str">
        <f ca="1">IFERROR(__xludf.DUMMYFUNCTION("""COMPUTED_VALUE"""),"Новый")</f>
        <v>Новый</v>
      </c>
      <c r="G6367" s="68"/>
      <c r="K6367" s="68"/>
    </row>
    <row r="6368" spans="1:11" ht="12.75">
      <c r="A6368" s="69">
        <f ca="1">IFERROR(__xludf.DUMMYFUNCTION("""COMPUTED_VALUE"""),107623)</f>
        <v>107623</v>
      </c>
      <c r="B6368" s="4">
        <f ca="1">IFERROR(__xludf.DUMMYFUNCTION("""COMPUTED_VALUE"""),44824)</f>
        <v>44824</v>
      </c>
      <c r="C6368" t="str">
        <f ca="1">IFERROR(__xludf.DUMMYFUNCTION("""COMPUTED_VALUE"""),"БУ Г. ОМСКА ""УДХБ"" 197-РДО от 01.07.2022")</f>
        <v>БУ Г. ОМСКА "УДХБ" 197-РДО от 01.07.2022</v>
      </c>
      <c r="D63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8" t="str">
        <f ca="1">IFERROR(__xludf.DUMMYFUNCTION("""COMPUTED_VALUE"""),"Новый")</f>
        <v>Новый</v>
      </c>
      <c r="G6368" s="68"/>
      <c r="K6368" s="68"/>
    </row>
    <row r="6369" spans="1:11" ht="12.75">
      <c r="A6369" s="69">
        <f ca="1">IFERROR(__xludf.DUMMYFUNCTION("""COMPUTED_VALUE"""),107624)</f>
        <v>107624</v>
      </c>
      <c r="B6369" s="4">
        <f ca="1">IFERROR(__xludf.DUMMYFUNCTION("""COMPUTED_VALUE"""),44824)</f>
        <v>44824</v>
      </c>
      <c r="C6369" t="str">
        <f ca="1">IFERROR(__xludf.DUMMYFUNCTION("""COMPUTED_VALUE"""),"БУ Г. ОМСКА ""УДХБ"" 197-РДО от 01.07.2022")</f>
        <v>БУ Г. ОМСКА "УДХБ" 197-РДО от 01.07.2022</v>
      </c>
      <c r="D63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69" t="str">
        <f ca="1">IFERROR(__xludf.DUMMYFUNCTION("""COMPUTED_VALUE"""),"Новый")</f>
        <v>Новый</v>
      </c>
      <c r="G6369" s="68"/>
      <c r="K6369" s="68"/>
    </row>
    <row r="6370" spans="1:11" ht="12.75">
      <c r="A6370" s="69">
        <f ca="1">IFERROR(__xludf.DUMMYFUNCTION("""COMPUTED_VALUE"""),107625)</f>
        <v>107625</v>
      </c>
      <c r="B6370" s="4">
        <f ca="1">IFERROR(__xludf.DUMMYFUNCTION("""COMPUTED_VALUE"""),44824)</f>
        <v>44824</v>
      </c>
      <c r="C6370" t="str">
        <f ca="1">IFERROR(__xludf.DUMMYFUNCTION("""COMPUTED_VALUE"""),"БУ Г. ОМСКА ""УДХБ"" 197-РДО от 01.07.2022")</f>
        <v>БУ Г. ОМСКА "УДХБ" 197-РДО от 01.07.2022</v>
      </c>
      <c r="D63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0" t="str">
        <f ca="1">IFERROR(__xludf.DUMMYFUNCTION("""COMPUTED_VALUE"""),"Новый")</f>
        <v>Новый</v>
      </c>
      <c r="G6370" s="68"/>
      <c r="K6370" s="68"/>
    </row>
    <row r="6371" spans="1:11" ht="12.75">
      <c r="A6371" s="69">
        <f ca="1">IFERROR(__xludf.DUMMYFUNCTION("""COMPUTED_VALUE"""),107626)</f>
        <v>107626</v>
      </c>
      <c r="B6371" s="4">
        <f ca="1">IFERROR(__xludf.DUMMYFUNCTION("""COMPUTED_VALUE"""),44824)</f>
        <v>44824</v>
      </c>
      <c r="C6371" t="str">
        <f ca="1">IFERROR(__xludf.DUMMYFUNCTION("""COMPUTED_VALUE"""),"БУ Г. ОМСКА ""УДХБ"" 197-РДО от 01.07.2022")</f>
        <v>БУ Г. ОМСКА "УДХБ" 197-РДО от 01.07.2022</v>
      </c>
      <c r="D63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1" t="str">
        <f ca="1">IFERROR(__xludf.DUMMYFUNCTION("""COMPUTED_VALUE"""),"Новый")</f>
        <v>Новый</v>
      </c>
      <c r="G6371" s="68"/>
      <c r="K6371" s="68"/>
    </row>
    <row r="6372" spans="1:11" ht="12.75">
      <c r="A6372" s="69">
        <f ca="1">IFERROR(__xludf.DUMMYFUNCTION("""COMPUTED_VALUE"""),107627)</f>
        <v>107627</v>
      </c>
      <c r="B6372" s="4">
        <f ca="1">IFERROR(__xludf.DUMMYFUNCTION("""COMPUTED_VALUE"""),44824)</f>
        <v>44824</v>
      </c>
      <c r="C6372" t="str">
        <f ca="1">IFERROR(__xludf.DUMMYFUNCTION("""COMPUTED_VALUE"""),"БУ Г. ОМСКА ""УДХБ"" 197-РДО от 01.07.2022")</f>
        <v>БУ Г. ОМСКА "УДХБ" 197-РДО от 01.07.2022</v>
      </c>
      <c r="D63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2" t="str">
        <f ca="1">IFERROR(__xludf.DUMMYFUNCTION("""COMPUTED_VALUE"""),"Новый")</f>
        <v>Новый</v>
      </c>
      <c r="G6372" s="68"/>
      <c r="K6372" s="68"/>
    </row>
    <row r="6373" spans="1:11" ht="12.75">
      <c r="A6373" s="69">
        <f ca="1">IFERROR(__xludf.DUMMYFUNCTION("""COMPUTED_VALUE"""),107632)</f>
        <v>107632</v>
      </c>
      <c r="B6373" s="4">
        <f ca="1">IFERROR(__xludf.DUMMYFUNCTION("""COMPUTED_VALUE"""),44824)</f>
        <v>44824</v>
      </c>
      <c r="C6373" t="str">
        <f ca="1">IFERROR(__xludf.DUMMYFUNCTION("""COMPUTED_VALUE"""),"БУ Г. ОМСКА ""УДХБ"" 197-РДО от 01.07.2022")</f>
        <v>БУ Г. ОМСКА "УДХБ" 197-РДО от 01.07.2022</v>
      </c>
      <c r="D63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3" t="str">
        <f ca="1">IFERROR(__xludf.DUMMYFUNCTION("""COMPUTED_VALUE"""),"Новый")</f>
        <v>Новый</v>
      </c>
      <c r="G6373" s="68"/>
      <c r="K6373" s="68"/>
    </row>
    <row r="6374" spans="1:11" ht="12.75">
      <c r="A6374" s="69">
        <f ca="1">IFERROR(__xludf.DUMMYFUNCTION("""COMPUTED_VALUE"""),107636)</f>
        <v>107636</v>
      </c>
      <c r="B6374" s="4">
        <f ca="1">IFERROR(__xludf.DUMMYFUNCTION("""COMPUTED_VALUE"""),44824)</f>
        <v>44824</v>
      </c>
      <c r="C6374" t="str">
        <f ca="1">IFERROR(__xludf.DUMMYFUNCTION("""COMPUTED_VALUE"""),"БУ Г. ОМСКА ""УДХБ"" 197-РДО от 01.07.2022")</f>
        <v>БУ Г. ОМСКА "УДХБ" 197-РДО от 01.07.2022</v>
      </c>
      <c r="D63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4" t="str">
        <f ca="1">IFERROR(__xludf.DUMMYFUNCTION("""COMPUTED_VALUE"""),"Новый")</f>
        <v>Новый</v>
      </c>
      <c r="G6374" s="68"/>
      <c r="K6374" s="68"/>
    </row>
    <row r="6375" spans="1:11" ht="12.75">
      <c r="A6375" s="69">
        <f ca="1">IFERROR(__xludf.DUMMYFUNCTION("""COMPUTED_VALUE"""),107642)</f>
        <v>107642</v>
      </c>
      <c r="B6375" s="4">
        <f ca="1">IFERROR(__xludf.DUMMYFUNCTION("""COMPUTED_VALUE"""),44824)</f>
        <v>44824</v>
      </c>
      <c r="C6375" t="str">
        <f ca="1">IFERROR(__xludf.DUMMYFUNCTION("""COMPUTED_VALUE"""),"БУ Г. ОМСКА ""УДХБ"" 197-РДО от 01.07.2022")</f>
        <v>БУ Г. ОМСКА "УДХБ" 197-РДО от 01.07.2022</v>
      </c>
      <c r="D63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5" t="str">
        <f ca="1">IFERROR(__xludf.DUMMYFUNCTION("""COMPUTED_VALUE"""),"Новый")</f>
        <v>Новый</v>
      </c>
      <c r="G6375" s="68"/>
      <c r="K6375" s="68"/>
    </row>
    <row r="6376" spans="1:11" ht="12.75">
      <c r="A6376" s="69">
        <f ca="1">IFERROR(__xludf.DUMMYFUNCTION("""COMPUTED_VALUE"""),107643)</f>
        <v>107643</v>
      </c>
      <c r="B6376" s="4">
        <f ca="1">IFERROR(__xludf.DUMMYFUNCTION("""COMPUTED_VALUE"""),44824)</f>
        <v>44824</v>
      </c>
      <c r="C6376" t="str">
        <f ca="1">IFERROR(__xludf.DUMMYFUNCTION("""COMPUTED_VALUE"""),"БУ Г. ОМСКА ""УДХБ"" 197-РДО от 01.07.2022")</f>
        <v>БУ Г. ОМСКА "УДХБ" 197-РДО от 01.07.2022</v>
      </c>
      <c r="D63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6" t="str">
        <f ca="1">IFERROR(__xludf.DUMMYFUNCTION("""COMPUTED_VALUE"""),"Новый")</f>
        <v>Новый</v>
      </c>
      <c r="G6376" s="68"/>
      <c r="K6376" s="68"/>
    </row>
    <row r="6377" spans="1:11" ht="12.75">
      <c r="A6377" s="69">
        <f ca="1">IFERROR(__xludf.DUMMYFUNCTION("""COMPUTED_VALUE"""),107644)</f>
        <v>107644</v>
      </c>
      <c r="B6377" s="4">
        <f ca="1">IFERROR(__xludf.DUMMYFUNCTION("""COMPUTED_VALUE"""),44824)</f>
        <v>44824</v>
      </c>
      <c r="C6377" t="str">
        <f ca="1">IFERROR(__xludf.DUMMYFUNCTION("""COMPUTED_VALUE"""),"БУ Г. ОМСКА ""УДХБ"" 197-РДО от 01.07.2022")</f>
        <v>БУ Г. ОМСКА "УДХБ" 197-РДО от 01.07.2022</v>
      </c>
      <c r="D63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7" t="str">
        <f ca="1">IFERROR(__xludf.DUMMYFUNCTION("""COMPUTED_VALUE"""),"Новый")</f>
        <v>Новый</v>
      </c>
      <c r="G6377" s="68"/>
      <c r="K6377" s="68"/>
    </row>
    <row r="6378" spans="1:11" ht="12.75">
      <c r="A6378" s="69">
        <f ca="1">IFERROR(__xludf.DUMMYFUNCTION("""COMPUTED_VALUE"""),107645)</f>
        <v>107645</v>
      </c>
      <c r="B6378" s="4">
        <f ca="1">IFERROR(__xludf.DUMMYFUNCTION("""COMPUTED_VALUE"""),44824)</f>
        <v>44824</v>
      </c>
      <c r="C6378" t="str">
        <f ca="1">IFERROR(__xludf.DUMMYFUNCTION("""COMPUTED_VALUE"""),"БУ Г. ОМСКА ""УДХБ"" 197-РДО от 01.07.2022")</f>
        <v>БУ Г. ОМСКА "УДХБ" 197-РДО от 01.07.2022</v>
      </c>
      <c r="D63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8" t="str">
        <f ca="1">IFERROR(__xludf.DUMMYFUNCTION("""COMPUTED_VALUE"""),"Новый")</f>
        <v>Новый</v>
      </c>
      <c r="G6378" s="68"/>
      <c r="K6378" s="68"/>
    </row>
    <row r="6379" spans="1:11" ht="12.75">
      <c r="A6379" s="69">
        <f ca="1">IFERROR(__xludf.DUMMYFUNCTION("""COMPUTED_VALUE"""),107646)</f>
        <v>107646</v>
      </c>
      <c r="B6379" s="4">
        <f ca="1">IFERROR(__xludf.DUMMYFUNCTION("""COMPUTED_VALUE"""),44824)</f>
        <v>44824</v>
      </c>
      <c r="C6379" t="str">
        <f ca="1">IFERROR(__xludf.DUMMYFUNCTION("""COMPUTED_VALUE"""),"БУ Г. ОМСКА ""УДХБ"" 197-РДО от 01.07.2022")</f>
        <v>БУ Г. ОМСКА "УДХБ" 197-РДО от 01.07.2022</v>
      </c>
      <c r="D63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79" t="str">
        <f ca="1">IFERROR(__xludf.DUMMYFUNCTION("""COMPUTED_VALUE"""),"Новый")</f>
        <v>Новый</v>
      </c>
      <c r="G6379" s="68"/>
      <c r="K6379" s="68"/>
    </row>
    <row r="6380" spans="1:11" ht="12.75">
      <c r="A6380" s="69">
        <f ca="1">IFERROR(__xludf.DUMMYFUNCTION("""COMPUTED_VALUE"""),107647)</f>
        <v>107647</v>
      </c>
      <c r="B6380" s="4">
        <f ca="1">IFERROR(__xludf.DUMMYFUNCTION("""COMPUTED_VALUE"""),44824)</f>
        <v>44824</v>
      </c>
      <c r="C6380" t="str">
        <f ca="1">IFERROR(__xludf.DUMMYFUNCTION("""COMPUTED_VALUE"""),"БУ Г. ОМСКА ""УДХБ"" 197-РДО от 01.07.2022")</f>
        <v>БУ Г. ОМСКА "УДХБ" 197-РДО от 01.07.2022</v>
      </c>
      <c r="D63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0" t="str">
        <f ca="1">IFERROR(__xludf.DUMMYFUNCTION("""COMPUTED_VALUE"""),"Новый")</f>
        <v>Новый</v>
      </c>
      <c r="G6380" s="68"/>
      <c r="K6380" s="68"/>
    </row>
    <row r="6381" spans="1:11" ht="12.75">
      <c r="A6381" s="69">
        <f ca="1">IFERROR(__xludf.DUMMYFUNCTION("""COMPUTED_VALUE"""),107648)</f>
        <v>107648</v>
      </c>
      <c r="B6381" s="4">
        <f ca="1">IFERROR(__xludf.DUMMYFUNCTION("""COMPUTED_VALUE"""),44824)</f>
        <v>44824</v>
      </c>
      <c r="C6381" t="str">
        <f ca="1">IFERROR(__xludf.DUMMYFUNCTION("""COMPUTED_VALUE"""),"БУ Г. ОМСКА ""УДХБ"" 197-РДО от 01.07.2022")</f>
        <v>БУ Г. ОМСКА "УДХБ" 197-РДО от 01.07.2022</v>
      </c>
      <c r="D63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1" t="str">
        <f ca="1">IFERROR(__xludf.DUMMYFUNCTION("""COMPUTED_VALUE"""),"Новый")</f>
        <v>Новый</v>
      </c>
      <c r="G6381" s="68"/>
      <c r="K6381" s="68"/>
    </row>
    <row r="6382" spans="1:11" ht="12.75">
      <c r="A6382" s="69">
        <f ca="1">IFERROR(__xludf.DUMMYFUNCTION("""COMPUTED_VALUE"""),107649)</f>
        <v>107649</v>
      </c>
      <c r="B6382" s="4">
        <f ca="1">IFERROR(__xludf.DUMMYFUNCTION("""COMPUTED_VALUE"""),44824)</f>
        <v>44824</v>
      </c>
      <c r="C6382" t="str">
        <f ca="1">IFERROR(__xludf.DUMMYFUNCTION("""COMPUTED_VALUE"""),"БУ Г. ОМСКА ""УДХБ"" 197-РДО от 01.07.2022")</f>
        <v>БУ Г. ОМСКА "УДХБ" 197-РДО от 01.07.2022</v>
      </c>
      <c r="D63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2" t="str">
        <f ca="1">IFERROR(__xludf.DUMMYFUNCTION("""COMPUTED_VALUE"""),"Новый")</f>
        <v>Новый</v>
      </c>
      <c r="G6382" s="68"/>
      <c r="K6382" s="68"/>
    </row>
    <row r="6383" spans="1:11" ht="12.75">
      <c r="A6383" s="69">
        <f ca="1">IFERROR(__xludf.DUMMYFUNCTION("""COMPUTED_VALUE"""),107650)</f>
        <v>107650</v>
      </c>
      <c r="B6383" s="4">
        <f ca="1">IFERROR(__xludf.DUMMYFUNCTION("""COMPUTED_VALUE"""),44824)</f>
        <v>44824</v>
      </c>
      <c r="C6383" t="str">
        <f ca="1">IFERROR(__xludf.DUMMYFUNCTION("""COMPUTED_VALUE"""),"БУ Г. ОМСКА ""УДХБ"" 197-РДО от 01.07.2022")</f>
        <v>БУ Г. ОМСКА "УДХБ" 197-РДО от 01.07.2022</v>
      </c>
      <c r="D63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3" t="str">
        <f ca="1">IFERROR(__xludf.DUMMYFUNCTION("""COMPUTED_VALUE"""),"Новый")</f>
        <v>Новый</v>
      </c>
      <c r="G6383" s="68"/>
      <c r="K6383" s="68"/>
    </row>
    <row r="6384" spans="1:11" ht="12.75">
      <c r="A6384" s="69">
        <f ca="1">IFERROR(__xludf.DUMMYFUNCTION("""COMPUTED_VALUE"""),107651)</f>
        <v>107651</v>
      </c>
      <c r="B6384" s="4">
        <f ca="1">IFERROR(__xludf.DUMMYFUNCTION("""COMPUTED_VALUE"""),44824)</f>
        <v>44824</v>
      </c>
      <c r="C6384" t="str">
        <f ca="1">IFERROR(__xludf.DUMMYFUNCTION("""COMPUTED_VALUE"""),"БУ Г. ОМСКА ""УДХБ"" 197-РДО от 01.07.2022")</f>
        <v>БУ Г. ОМСКА "УДХБ" 197-РДО от 01.07.2022</v>
      </c>
      <c r="D63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4" t="str">
        <f ca="1">IFERROR(__xludf.DUMMYFUNCTION("""COMPUTED_VALUE"""),"Новый")</f>
        <v>Новый</v>
      </c>
      <c r="G6384" s="68"/>
      <c r="K6384" s="68"/>
    </row>
    <row r="6385" spans="1:11" ht="12.75">
      <c r="A6385" s="69">
        <f ca="1">IFERROR(__xludf.DUMMYFUNCTION("""COMPUTED_VALUE"""),107656)</f>
        <v>107656</v>
      </c>
      <c r="B6385" s="4">
        <f ca="1">IFERROR(__xludf.DUMMYFUNCTION("""COMPUTED_VALUE"""),44824)</f>
        <v>44824</v>
      </c>
      <c r="C6385" t="str">
        <f ca="1">IFERROR(__xludf.DUMMYFUNCTION("""COMPUTED_VALUE"""),"БУ Г. ОМСКА ""УДХБ"" 197-РДО от 01.07.2022")</f>
        <v>БУ Г. ОМСКА "УДХБ" 197-РДО от 01.07.2022</v>
      </c>
      <c r="D63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5" t="str">
        <f ca="1">IFERROR(__xludf.DUMMYFUNCTION("""COMPUTED_VALUE"""),"Новый")</f>
        <v>Новый</v>
      </c>
      <c r="G6385" s="68"/>
      <c r="K6385" s="68"/>
    </row>
    <row r="6386" spans="1:11" ht="12.75">
      <c r="A6386" s="69">
        <f ca="1">IFERROR(__xludf.DUMMYFUNCTION("""COMPUTED_VALUE"""),107657)</f>
        <v>107657</v>
      </c>
      <c r="B6386" s="4">
        <f ca="1">IFERROR(__xludf.DUMMYFUNCTION("""COMPUTED_VALUE"""),44824)</f>
        <v>44824</v>
      </c>
      <c r="C6386" t="str">
        <f ca="1">IFERROR(__xludf.DUMMYFUNCTION("""COMPUTED_VALUE"""),"БУ Г. ОМСКА ""УДХБ"" 197-РДО от 01.07.2022")</f>
        <v>БУ Г. ОМСКА "УДХБ" 197-РДО от 01.07.2022</v>
      </c>
      <c r="D63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6" t="str">
        <f ca="1">IFERROR(__xludf.DUMMYFUNCTION("""COMPUTED_VALUE"""),"Новый")</f>
        <v>Новый</v>
      </c>
      <c r="G6386" s="68"/>
      <c r="K6386" s="68"/>
    </row>
    <row r="6387" spans="1:11" ht="12.75">
      <c r="A6387" s="69">
        <f ca="1">IFERROR(__xludf.DUMMYFUNCTION("""COMPUTED_VALUE"""),107659)</f>
        <v>107659</v>
      </c>
      <c r="B6387" s="4">
        <f ca="1">IFERROR(__xludf.DUMMYFUNCTION("""COMPUTED_VALUE"""),44824)</f>
        <v>44824</v>
      </c>
      <c r="C6387" t="str">
        <f ca="1">IFERROR(__xludf.DUMMYFUNCTION("""COMPUTED_VALUE"""),"БУ Г. ОМСКА ""УДХБ"" 197-РДО от 01.07.2022")</f>
        <v>БУ Г. ОМСКА "УДХБ" 197-РДО от 01.07.2022</v>
      </c>
      <c r="D63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7" t="str">
        <f ca="1">IFERROR(__xludf.DUMMYFUNCTION("""COMPUTED_VALUE"""),"Новый")</f>
        <v>Новый</v>
      </c>
      <c r="G6387" s="68"/>
      <c r="K6387" s="68"/>
    </row>
    <row r="6388" spans="1:11" ht="12.75">
      <c r="A6388" s="69">
        <f ca="1">IFERROR(__xludf.DUMMYFUNCTION("""COMPUTED_VALUE"""),107683)</f>
        <v>107683</v>
      </c>
      <c r="B6388" s="4">
        <f ca="1">IFERROR(__xludf.DUMMYFUNCTION("""COMPUTED_VALUE"""),44824)</f>
        <v>44824</v>
      </c>
      <c r="C6388" t="str">
        <f ca="1">IFERROR(__xludf.DUMMYFUNCTION("""COMPUTED_VALUE"""),"БУ Г. ОМСКА ""УДХБ"" 197-РДО от 01.07.2022")</f>
        <v>БУ Г. ОМСКА "УДХБ" 197-РДО от 01.07.2022</v>
      </c>
      <c r="D63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8" t="str">
        <f ca="1">IFERROR(__xludf.DUMMYFUNCTION("""COMPUTED_VALUE"""),"Новый")</f>
        <v>Новый</v>
      </c>
      <c r="G6388" s="68"/>
      <c r="K6388" s="68"/>
    </row>
    <row r="6389" spans="1:11" ht="12.75">
      <c r="A6389" s="69">
        <f ca="1">IFERROR(__xludf.DUMMYFUNCTION("""COMPUTED_VALUE"""),107685)</f>
        <v>107685</v>
      </c>
      <c r="B6389" s="4">
        <f ca="1">IFERROR(__xludf.DUMMYFUNCTION("""COMPUTED_VALUE"""),44824)</f>
        <v>44824</v>
      </c>
      <c r="C6389" t="str">
        <f ca="1">IFERROR(__xludf.DUMMYFUNCTION("""COMPUTED_VALUE"""),"БУ Г. ОМСКА ""УДХБ"" 197-РДО от 01.07.2022")</f>
        <v>БУ Г. ОМСКА "УДХБ" 197-РДО от 01.07.2022</v>
      </c>
      <c r="D63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89" t="str">
        <f ca="1">IFERROR(__xludf.DUMMYFUNCTION("""COMPUTED_VALUE"""),"Новый")</f>
        <v>Новый</v>
      </c>
      <c r="G6389" s="68"/>
      <c r="K6389" s="68"/>
    </row>
    <row r="6390" spans="1:11" ht="12.75">
      <c r="A6390" s="69">
        <f ca="1">IFERROR(__xludf.DUMMYFUNCTION("""COMPUTED_VALUE"""),107687)</f>
        <v>107687</v>
      </c>
      <c r="B6390" s="4">
        <f ca="1">IFERROR(__xludf.DUMMYFUNCTION("""COMPUTED_VALUE"""),44824)</f>
        <v>44824</v>
      </c>
      <c r="C6390" t="str">
        <f ca="1">IFERROR(__xludf.DUMMYFUNCTION("""COMPUTED_VALUE"""),"БУ Г. ОМСКА ""УДХБ"" 197-РДО от 01.07.2022")</f>
        <v>БУ Г. ОМСКА "УДХБ" 197-РДО от 01.07.2022</v>
      </c>
      <c r="D63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0" t="str">
        <f ca="1">IFERROR(__xludf.DUMMYFUNCTION("""COMPUTED_VALUE"""),"Новый")</f>
        <v>Новый</v>
      </c>
      <c r="G6390" s="68"/>
      <c r="K6390" s="68"/>
    </row>
    <row r="6391" spans="1:11" ht="12.75">
      <c r="A6391" s="69">
        <f ca="1">IFERROR(__xludf.DUMMYFUNCTION("""COMPUTED_VALUE"""),107689)</f>
        <v>107689</v>
      </c>
      <c r="B6391" s="4">
        <f ca="1">IFERROR(__xludf.DUMMYFUNCTION("""COMPUTED_VALUE"""),44824)</f>
        <v>44824</v>
      </c>
      <c r="C6391" t="str">
        <f ca="1">IFERROR(__xludf.DUMMYFUNCTION("""COMPUTED_VALUE"""),"БУ Г. ОМСКА ""УДХБ"" 197-РДО от 01.07.2022")</f>
        <v>БУ Г. ОМСКА "УДХБ" 197-РДО от 01.07.2022</v>
      </c>
      <c r="D63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1" t="str">
        <f ca="1">IFERROR(__xludf.DUMMYFUNCTION("""COMPUTED_VALUE"""),"Новый")</f>
        <v>Новый</v>
      </c>
      <c r="G6391" s="68"/>
      <c r="K6391" s="68"/>
    </row>
    <row r="6392" spans="1:11" ht="12.75">
      <c r="A6392" s="69">
        <f ca="1">IFERROR(__xludf.DUMMYFUNCTION("""COMPUTED_VALUE"""),107691)</f>
        <v>107691</v>
      </c>
      <c r="B6392" s="4">
        <f ca="1">IFERROR(__xludf.DUMMYFUNCTION("""COMPUTED_VALUE"""),44824)</f>
        <v>44824</v>
      </c>
      <c r="C6392" t="str">
        <f ca="1">IFERROR(__xludf.DUMMYFUNCTION("""COMPUTED_VALUE"""),"БУ Г. ОМСКА ""УДХБ"" 197-РДО от 01.07.2022")</f>
        <v>БУ Г. ОМСКА "УДХБ" 197-РДО от 01.07.2022</v>
      </c>
      <c r="D63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2" t="str">
        <f ca="1">IFERROR(__xludf.DUMMYFUNCTION("""COMPUTED_VALUE"""),"Новый")</f>
        <v>Новый</v>
      </c>
      <c r="G6392" s="68"/>
      <c r="K6392" s="68"/>
    </row>
    <row r="6393" spans="1:11" ht="12.75">
      <c r="A6393" s="69">
        <f ca="1">IFERROR(__xludf.DUMMYFUNCTION("""COMPUTED_VALUE"""),107692)</f>
        <v>107692</v>
      </c>
      <c r="B6393" s="4">
        <f ca="1">IFERROR(__xludf.DUMMYFUNCTION("""COMPUTED_VALUE"""),44824)</f>
        <v>44824</v>
      </c>
      <c r="C6393" t="str">
        <f ca="1">IFERROR(__xludf.DUMMYFUNCTION("""COMPUTED_VALUE"""),"БУ Г. ОМСКА ""УДХБ"" 197-РДО от 01.07.2022")</f>
        <v>БУ Г. ОМСКА "УДХБ" 197-РДО от 01.07.2022</v>
      </c>
      <c r="D63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3" t="str">
        <f ca="1">IFERROR(__xludf.DUMMYFUNCTION("""COMPUTED_VALUE"""),"Новый")</f>
        <v>Новый</v>
      </c>
      <c r="G6393" s="68"/>
      <c r="K6393" s="68"/>
    </row>
    <row r="6394" spans="1:11" ht="12.75">
      <c r="A6394" s="69">
        <f ca="1">IFERROR(__xludf.DUMMYFUNCTION("""COMPUTED_VALUE"""),107693)</f>
        <v>107693</v>
      </c>
      <c r="B6394" s="4">
        <f ca="1">IFERROR(__xludf.DUMMYFUNCTION("""COMPUTED_VALUE"""),44824)</f>
        <v>44824</v>
      </c>
      <c r="C6394" t="str">
        <f ca="1">IFERROR(__xludf.DUMMYFUNCTION("""COMPUTED_VALUE"""),"БУ Г. ОМСКА ""УДХБ"" 197-РДО от 01.07.2022")</f>
        <v>БУ Г. ОМСКА "УДХБ" 197-РДО от 01.07.2022</v>
      </c>
      <c r="D63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4" t="str">
        <f ca="1">IFERROR(__xludf.DUMMYFUNCTION("""COMPUTED_VALUE"""),"Новый")</f>
        <v>Новый</v>
      </c>
      <c r="G6394" s="68"/>
      <c r="K6394" s="68"/>
    </row>
    <row r="6395" spans="1:11" ht="12.75">
      <c r="A6395" s="69">
        <f ca="1">IFERROR(__xludf.DUMMYFUNCTION("""COMPUTED_VALUE"""),107695)</f>
        <v>107695</v>
      </c>
      <c r="B6395" s="4">
        <f ca="1">IFERROR(__xludf.DUMMYFUNCTION("""COMPUTED_VALUE"""),44824)</f>
        <v>44824</v>
      </c>
      <c r="C6395" t="str">
        <f ca="1">IFERROR(__xludf.DUMMYFUNCTION("""COMPUTED_VALUE"""),"БУ Г. ОМСКА ""УДХБ"" 197-РДО от 01.07.2022")</f>
        <v>БУ Г. ОМСКА "УДХБ" 197-РДО от 01.07.2022</v>
      </c>
      <c r="D63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5" t="str">
        <f ca="1">IFERROR(__xludf.DUMMYFUNCTION("""COMPUTED_VALUE"""),"Новый")</f>
        <v>Новый</v>
      </c>
      <c r="G6395" s="68"/>
      <c r="K6395" s="68"/>
    </row>
    <row r="6396" spans="1:11" ht="12.75">
      <c r="A6396" s="69">
        <f ca="1">IFERROR(__xludf.DUMMYFUNCTION("""COMPUTED_VALUE"""),107697)</f>
        <v>107697</v>
      </c>
      <c r="B6396" s="4">
        <f ca="1">IFERROR(__xludf.DUMMYFUNCTION("""COMPUTED_VALUE"""),44824)</f>
        <v>44824</v>
      </c>
      <c r="C6396" t="str">
        <f ca="1">IFERROR(__xludf.DUMMYFUNCTION("""COMPUTED_VALUE"""),"БУ Г. ОМСКА ""УДХБ"" 197-РДО от 01.07.2022")</f>
        <v>БУ Г. ОМСКА "УДХБ" 197-РДО от 01.07.2022</v>
      </c>
      <c r="D63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6" t="str">
        <f ca="1">IFERROR(__xludf.DUMMYFUNCTION("""COMPUTED_VALUE"""),"Новый")</f>
        <v>Новый</v>
      </c>
      <c r="G6396" s="68"/>
      <c r="K6396" s="68"/>
    </row>
    <row r="6397" spans="1:11" ht="12.75">
      <c r="A6397" s="69">
        <f ca="1">IFERROR(__xludf.DUMMYFUNCTION("""COMPUTED_VALUE"""),107703)</f>
        <v>107703</v>
      </c>
      <c r="B6397" s="4">
        <f ca="1">IFERROR(__xludf.DUMMYFUNCTION("""COMPUTED_VALUE"""),44824)</f>
        <v>44824</v>
      </c>
      <c r="C6397" t="str">
        <f ca="1">IFERROR(__xludf.DUMMYFUNCTION("""COMPUTED_VALUE"""),"БУ Г. ОМСКА ""УДХБ"" 197-РДО от 01.07.2022")</f>
        <v>БУ Г. ОМСКА "УДХБ" 197-РДО от 01.07.2022</v>
      </c>
      <c r="D63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7" t="str">
        <f ca="1">IFERROR(__xludf.DUMMYFUNCTION("""COMPUTED_VALUE"""),"Новый")</f>
        <v>Новый</v>
      </c>
      <c r="G6397" s="68"/>
      <c r="K6397" s="68"/>
    </row>
    <row r="6398" spans="1:11" ht="12.75">
      <c r="A6398" s="69">
        <f ca="1">IFERROR(__xludf.DUMMYFUNCTION("""COMPUTED_VALUE"""),107705)</f>
        <v>107705</v>
      </c>
      <c r="B6398" s="4">
        <f ca="1">IFERROR(__xludf.DUMMYFUNCTION("""COMPUTED_VALUE"""),44824)</f>
        <v>44824</v>
      </c>
      <c r="C6398" t="str">
        <f ca="1">IFERROR(__xludf.DUMMYFUNCTION("""COMPUTED_VALUE"""),"БУ Г. ОМСКА ""УДХБ"" 197-РДО от 01.07.2022")</f>
        <v>БУ Г. ОМСКА "УДХБ" 197-РДО от 01.07.2022</v>
      </c>
      <c r="D63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8" t="str">
        <f ca="1">IFERROR(__xludf.DUMMYFUNCTION("""COMPUTED_VALUE"""),"Новый")</f>
        <v>Новый</v>
      </c>
      <c r="G6398" s="68"/>
      <c r="K6398" s="68"/>
    </row>
    <row r="6399" spans="1:11" ht="12.75">
      <c r="A6399" s="69">
        <f ca="1">IFERROR(__xludf.DUMMYFUNCTION("""COMPUTED_VALUE"""),107707)</f>
        <v>107707</v>
      </c>
      <c r="B6399" s="4">
        <f ca="1">IFERROR(__xludf.DUMMYFUNCTION("""COMPUTED_VALUE"""),44824)</f>
        <v>44824</v>
      </c>
      <c r="C6399" t="str">
        <f ca="1">IFERROR(__xludf.DUMMYFUNCTION("""COMPUTED_VALUE"""),"БУ Г. ОМСКА ""УДХБ"" 197-РДО от 01.07.2022")</f>
        <v>БУ Г. ОМСКА "УДХБ" 197-РДО от 01.07.2022</v>
      </c>
      <c r="D63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399" t="str">
        <f ca="1">IFERROR(__xludf.DUMMYFUNCTION("""COMPUTED_VALUE"""),"Новый")</f>
        <v>Новый</v>
      </c>
      <c r="G6399" s="68"/>
      <c r="K6399" s="68"/>
    </row>
    <row r="6400" spans="1:11" ht="12.75">
      <c r="A6400" s="69">
        <f ca="1">IFERROR(__xludf.DUMMYFUNCTION("""COMPUTED_VALUE"""),107709)</f>
        <v>107709</v>
      </c>
      <c r="B6400" s="4">
        <f ca="1">IFERROR(__xludf.DUMMYFUNCTION("""COMPUTED_VALUE"""),44824)</f>
        <v>44824</v>
      </c>
      <c r="C6400" t="str">
        <f ca="1">IFERROR(__xludf.DUMMYFUNCTION("""COMPUTED_VALUE"""),"БУ Г. ОМСКА ""УДХБ"" 197-РДО от 01.07.2022")</f>
        <v>БУ Г. ОМСКА "УДХБ" 197-РДО от 01.07.2022</v>
      </c>
      <c r="D64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0" t="str">
        <f ca="1">IFERROR(__xludf.DUMMYFUNCTION("""COMPUTED_VALUE"""),"Новый")</f>
        <v>Новый</v>
      </c>
      <c r="G6400" s="68"/>
      <c r="K6400" s="68"/>
    </row>
    <row r="6401" spans="1:11" ht="12.75">
      <c r="A6401" s="69">
        <f ca="1">IFERROR(__xludf.DUMMYFUNCTION("""COMPUTED_VALUE"""),107711)</f>
        <v>107711</v>
      </c>
      <c r="B6401" s="4">
        <f ca="1">IFERROR(__xludf.DUMMYFUNCTION("""COMPUTED_VALUE"""),44824)</f>
        <v>44824</v>
      </c>
      <c r="C6401" t="str">
        <f ca="1">IFERROR(__xludf.DUMMYFUNCTION("""COMPUTED_VALUE"""),"БУ Г. ОМСКА ""УДХБ"" 197-РДО от 01.07.2022")</f>
        <v>БУ Г. ОМСКА "УДХБ" 197-РДО от 01.07.2022</v>
      </c>
      <c r="D64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1" t="str">
        <f ca="1">IFERROR(__xludf.DUMMYFUNCTION("""COMPUTED_VALUE"""),"Новый")</f>
        <v>Новый</v>
      </c>
      <c r="G6401" s="68"/>
      <c r="K6401" s="68"/>
    </row>
    <row r="6402" spans="1:11" ht="12.75">
      <c r="A6402" s="69">
        <f ca="1">IFERROR(__xludf.DUMMYFUNCTION("""COMPUTED_VALUE"""),107713)</f>
        <v>107713</v>
      </c>
      <c r="B6402" s="4">
        <f ca="1">IFERROR(__xludf.DUMMYFUNCTION("""COMPUTED_VALUE"""),44824)</f>
        <v>44824</v>
      </c>
      <c r="C6402" t="str">
        <f ca="1">IFERROR(__xludf.DUMMYFUNCTION("""COMPUTED_VALUE"""),"БУ Г. ОМСКА ""УДХБ"" 197-РДО от 01.07.2022")</f>
        <v>БУ Г. ОМСКА "УДХБ" 197-РДО от 01.07.2022</v>
      </c>
      <c r="D64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2" t="str">
        <f ca="1">IFERROR(__xludf.DUMMYFUNCTION("""COMPUTED_VALUE"""),"Новый")</f>
        <v>Новый</v>
      </c>
      <c r="G6402" s="68"/>
      <c r="K6402" s="68"/>
    </row>
    <row r="6403" spans="1:11" ht="12.75">
      <c r="A6403" s="69">
        <f ca="1">IFERROR(__xludf.DUMMYFUNCTION("""COMPUTED_VALUE"""),107715)</f>
        <v>107715</v>
      </c>
      <c r="B6403" s="4">
        <f ca="1">IFERROR(__xludf.DUMMYFUNCTION("""COMPUTED_VALUE"""),44824)</f>
        <v>44824</v>
      </c>
      <c r="C6403" t="str">
        <f ca="1">IFERROR(__xludf.DUMMYFUNCTION("""COMPUTED_VALUE"""),"БУ Г. ОМСКА ""УДХБ"" 197-РДО от 01.07.2022")</f>
        <v>БУ Г. ОМСКА "УДХБ" 197-РДО от 01.07.2022</v>
      </c>
      <c r="D64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3" t="str">
        <f ca="1">IFERROR(__xludf.DUMMYFUNCTION("""COMPUTED_VALUE"""),"Новый")</f>
        <v>Новый</v>
      </c>
      <c r="G6403" s="68"/>
      <c r="K6403" s="68"/>
    </row>
    <row r="6404" spans="1:11" ht="12.75">
      <c r="A6404" s="69">
        <f ca="1">IFERROR(__xludf.DUMMYFUNCTION("""COMPUTED_VALUE"""),107717)</f>
        <v>107717</v>
      </c>
      <c r="B6404" s="4">
        <f ca="1">IFERROR(__xludf.DUMMYFUNCTION("""COMPUTED_VALUE"""),44824)</f>
        <v>44824</v>
      </c>
      <c r="C6404" t="str">
        <f ca="1">IFERROR(__xludf.DUMMYFUNCTION("""COMPUTED_VALUE"""),"БУ Г. ОМСКА ""УДХБ"" 197-РДО от 01.07.2022")</f>
        <v>БУ Г. ОМСКА "УДХБ" 197-РДО от 01.07.2022</v>
      </c>
      <c r="D64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4" t="str">
        <f ca="1">IFERROR(__xludf.DUMMYFUNCTION("""COMPUTED_VALUE"""),"Новый")</f>
        <v>Новый</v>
      </c>
      <c r="G6404" s="68"/>
      <c r="K6404" s="68"/>
    </row>
    <row r="6405" spans="1:11" ht="12.75">
      <c r="A6405" s="69">
        <f ca="1">IFERROR(__xludf.DUMMYFUNCTION("""COMPUTED_VALUE"""),107722)</f>
        <v>107722</v>
      </c>
      <c r="B6405" s="4">
        <f ca="1">IFERROR(__xludf.DUMMYFUNCTION("""COMPUTED_VALUE"""),44824)</f>
        <v>44824</v>
      </c>
      <c r="C6405" t="str">
        <f ca="1">IFERROR(__xludf.DUMMYFUNCTION("""COMPUTED_VALUE"""),"БУ Г. ОМСКА ""УДХБ"" 197-РДО от 01.07.2022")</f>
        <v>БУ Г. ОМСКА "УДХБ" 197-РДО от 01.07.2022</v>
      </c>
      <c r="D64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5" t="str">
        <f ca="1">IFERROR(__xludf.DUMMYFUNCTION("""COMPUTED_VALUE"""),"Новый")</f>
        <v>Новый</v>
      </c>
      <c r="G6405" s="68"/>
      <c r="K6405" s="68"/>
    </row>
    <row r="6406" spans="1:11" ht="12.75">
      <c r="A6406" s="69">
        <f ca="1">IFERROR(__xludf.DUMMYFUNCTION("""COMPUTED_VALUE"""),107723)</f>
        <v>107723</v>
      </c>
      <c r="B6406" s="4">
        <f ca="1">IFERROR(__xludf.DUMMYFUNCTION("""COMPUTED_VALUE"""),44824)</f>
        <v>44824</v>
      </c>
      <c r="C6406" t="str">
        <f ca="1">IFERROR(__xludf.DUMMYFUNCTION("""COMPUTED_VALUE"""),"БУ Г. ОМСКА ""УДХБ"" 197-РДО от 01.07.2022")</f>
        <v>БУ Г. ОМСКА "УДХБ" 197-РДО от 01.07.2022</v>
      </c>
      <c r="D64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6" t="str">
        <f ca="1">IFERROR(__xludf.DUMMYFUNCTION("""COMPUTED_VALUE"""),"Новый")</f>
        <v>Новый</v>
      </c>
      <c r="G6406" s="68"/>
      <c r="K6406" s="68"/>
    </row>
    <row r="6407" spans="1:11" ht="12.75">
      <c r="A6407" s="69">
        <f ca="1">IFERROR(__xludf.DUMMYFUNCTION("""COMPUTED_VALUE"""),107724)</f>
        <v>107724</v>
      </c>
      <c r="B6407" s="4">
        <f ca="1">IFERROR(__xludf.DUMMYFUNCTION("""COMPUTED_VALUE"""),44824)</f>
        <v>44824</v>
      </c>
      <c r="C6407" t="str">
        <f ca="1">IFERROR(__xludf.DUMMYFUNCTION("""COMPUTED_VALUE"""),"БУ Г. ОМСКА ""УДХБ"" 197-РДО от 01.07.2022")</f>
        <v>БУ Г. ОМСКА "УДХБ" 197-РДО от 01.07.2022</v>
      </c>
      <c r="D64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7" t="str">
        <f ca="1">IFERROR(__xludf.DUMMYFUNCTION("""COMPUTED_VALUE"""),"Новый")</f>
        <v>Новый</v>
      </c>
      <c r="G6407" s="68"/>
      <c r="K6407" s="68"/>
    </row>
    <row r="6408" spans="1:11" ht="12.75">
      <c r="A6408" s="69">
        <f ca="1">IFERROR(__xludf.DUMMYFUNCTION("""COMPUTED_VALUE"""),107725)</f>
        <v>107725</v>
      </c>
      <c r="B6408" s="4">
        <f ca="1">IFERROR(__xludf.DUMMYFUNCTION("""COMPUTED_VALUE"""),44824)</f>
        <v>44824</v>
      </c>
      <c r="C6408" t="str">
        <f ca="1">IFERROR(__xludf.DUMMYFUNCTION("""COMPUTED_VALUE"""),"БУ Г. ОМСКА ""УДХБ"" 197-РДО от 01.07.2022")</f>
        <v>БУ Г. ОМСКА "УДХБ" 197-РДО от 01.07.2022</v>
      </c>
      <c r="D64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8" t="str">
        <f ca="1">IFERROR(__xludf.DUMMYFUNCTION("""COMPUTED_VALUE"""),"Новый")</f>
        <v>Новый</v>
      </c>
      <c r="G6408" s="68"/>
      <c r="K6408" s="68"/>
    </row>
    <row r="6409" spans="1:11" ht="12.75">
      <c r="A6409" s="69">
        <f ca="1">IFERROR(__xludf.DUMMYFUNCTION("""COMPUTED_VALUE"""),107726)</f>
        <v>107726</v>
      </c>
      <c r="B6409" s="4">
        <f ca="1">IFERROR(__xludf.DUMMYFUNCTION("""COMPUTED_VALUE"""),44824)</f>
        <v>44824</v>
      </c>
      <c r="C6409" t="str">
        <f ca="1">IFERROR(__xludf.DUMMYFUNCTION("""COMPUTED_VALUE"""),"БУ Г. ОМСКА ""УДХБ"" 197-РДО от 01.07.2022")</f>
        <v>БУ Г. ОМСКА "УДХБ" 197-РДО от 01.07.2022</v>
      </c>
      <c r="D64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09" t="str">
        <f ca="1">IFERROR(__xludf.DUMMYFUNCTION("""COMPUTED_VALUE"""),"Новый")</f>
        <v>Новый</v>
      </c>
      <c r="G6409" s="68"/>
      <c r="K6409" s="68"/>
    </row>
    <row r="6410" spans="1:11" ht="12.75">
      <c r="A6410" s="69">
        <f ca="1">IFERROR(__xludf.DUMMYFUNCTION("""COMPUTED_VALUE"""),107727)</f>
        <v>107727</v>
      </c>
      <c r="B6410" s="4">
        <f ca="1">IFERROR(__xludf.DUMMYFUNCTION("""COMPUTED_VALUE"""),44824)</f>
        <v>44824</v>
      </c>
      <c r="C6410" t="str">
        <f ca="1">IFERROR(__xludf.DUMMYFUNCTION("""COMPUTED_VALUE"""),"БУ Г. ОМСКА ""УДХБ"" 197-РДО от 01.07.2022")</f>
        <v>БУ Г. ОМСКА "УДХБ" 197-РДО от 01.07.2022</v>
      </c>
      <c r="D64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0" t="str">
        <f ca="1">IFERROR(__xludf.DUMMYFUNCTION("""COMPUTED_VALUE"""),"Новый")</f>
        <v>Новый</v>
      </c>
      <c r="G6410" s="68"/>
      <c r="K6410" s="68"/>
    </row>
    <row r="6411" spans="1:11" ht="12.75">
      <c r="A6411" s="69">
        <f ca="1">IFERROR(__xludf.DUMMYFUNCTION("""COMPUTED_VALUE"""),107728)</f>
        <v>107728</v>
      </c>
      <c r="B6411" s="4">
        <f ca="1">IFERROR(__xludf.DUMMYFUNCTION("""COMPUTED_VALUE"""),44824)</f>
        <v>44824</v>
      </c>
      <c r="C6411" t="str">
        <f ca="1">IFERROR(__xludf.DUMMYFUNCTION("""COMPUTED_VALUE"""),"БУ Г. ОМСКА ""УДХБ"" 197-РДО от 01.07.2022")</f>
        <v>БУ Г. ОМСКА "УДХБ" 197-РДО от 01.07.2022</v>
      </c>
      <c r="D64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1" t="str">
        <f ca="1">IFERROR(__xludf.DUMMYFUNCTION("""COMPUTED_VALUE"""),"Новый")</f>
        <v>Новый</v>
      </c>
      <c r="G6411" s="68"/>
      <c r="K6411" s="68"/>
    </row>
    <row r="6412" spans="1:11" ht="12.75">
      <c r="A6412" s="69">
        <f ca="1">IFERROR(__xludf.DUMMYFUNCTION("""COMPUTED_VALUE"""),107729)</f>
        <v>107729</v>
      </c>
      <c r="B6412" s="4">
        <f ca="1">IFERROR(__xludf.DUMMYFUNCTION("""COMPUTED_VALUE"""),44824)</f>
        <v>44824</v>
      </c>
      <c r="C6412" t="str">
        <f ca="1">IFERROR(__xludf.DUMMYFUNCTION("""COMPUTED_VALUE"""),"БУ Г. ОМСКА ""УДХБ"" 197-РДО от 01.07.2022")</f>
        <v>БУ Г. ОМСКА "УДХБ" 197-РДО от 01.07.2022</v>
      </c>
      <c r="D64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2" t="str">
        <f ca="1">IFERROR(__xludf.DUMMYFUNCTION("""COMPUTED_VALUE"""),"Новый")</f>
        <v>Новый</v>
      </c>
      <c r="G6412" s="68"/>
      <c r="K6412" s="68"/>
    </row>
    <row r="6413" spans="1:11" ht="12.75">
      <c r="A6413" s="69">
        <f ca="1">IFERROR(__xludf.DUMMYFUNCTION("""COMPUTED_VALUE"""),107730)</f>
        <v>107730</v>
      </c>
      <c r="B6413" s="4">
        <f ca="1">IFERROR(__xludf.DUMMYFUNCTION("""COMPUTED_VALUE"""),44824)</f>
        <v>44824</v>
      </c>
      <c r="C6413" t="str">
        <f ca="1">IFERROR(__xludf.DUMMYFUNCTION("""COMPUTED_VALUE"""),"БУ Г. ОМСКА ""УДХБ"" 197-РДО от 01.07.2022")</f>
        <v>БУ Г. ОМСКА "УДХБ" 197-РДО от 01.07.2022</v>
      </c>
      <c r="D64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3" t="str">
        <f ca="1">IFERROR(__xludf.DUMMYFUNCTION("""COMPUTED_VALUE"""),"Новый")</f>
        <v>Новый</v>
      </c>
      <c r="G6413" s="68"/>
      <c r="K6413" s="68"/>
    </row>
    <row r="6414" spans="1:11" ht="12.75">
      <c r="A6414" s="69">
        <f ca="1">IFERROR(__xludf.DUMMYFUNCTION("""COMPUTED_VALUE"""),107731)</f>
        <v>107731</v>
      </c>
      <c r="B6414" s="4">
        <f ca="1">IFERROR(__xludf.DUMMYFUNCTION("""COMPUTED_VALUE"""),44824)</f>
        <v>44824</v>
      </c>
      <c r="C6414" t="str">
        <f ca="1">IFERROR(__xludf.DUMMYFUNCTION("""COMPUTED_VALUE"""),"БУ Г. ОМСКА ""УДХБ"" 197-РДО от 01.07.2022")</f>
        <v>БУ Г. ОМСКА "УДХБ" 197-РДО от 01.07.2022</v>
      </c>
      <c r="D64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4" t="str">
        <f ca="1">IFERROR(__xludf.DUMMYFUNCTION("""COMPUTED_VALUE"""),"Новый")</f>
        <v>Новый</v>
      </c>
      <c r="G6414" s="68"/>
      <c r="K6414" s="68"/>
    </row>
    <row r="6415" spans="1:11" ht="12.75">
      <c r="A6415" s="69">
        <f ca="1">IFERROR(__xludf.DUMMYFUNCTION("""COMPUTED_VALUE"""),107732)</f>
        <v>107732</v>
      </c>
      <c r="B6415" s="4">
        <f ca="1">IFERROR(__xludf.DUMMYFUNCTION("""COMPUTED_VALUE"""),44824)</f>
        <v>44824</v>
      </c>
      <c r="C6415" t="str">
        <f ca="1">IFERROR(__xludf.DUMMYFUNCTION("""COMPUTED_VALUE"""),"БУ Г. ОМСКА ""УДХБ"" 197-РДО от 01.07.2022")</f>
        <v>БУ Г. ОМСКА "УДХБ" 197-РДО от 01.07.2022</v>
      </c>
      <c r="D64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5" t="str">
        <f ca="1">IFERROR(__xludf.DUMMYFUNCTION("""COMPUTED_VALUE"""),"Новый")</f>
        <v>Новый</v>
      </c>
      <c r="G6415" s="68"/>
      <c r="K6415" s="68"/>
    </row>
    <row r="6416" spans="1:11" ht="12.75">
      <c r="A6416" s="69">
        <f ca="1">IFERROR(__xludf.DUMMYFUNCTION("""COMPUTED_VALUE"""),107733)</f>
        <v>107733</v>
      </c>
      <c r="B6416" s="4">
        <f ca="1">IFERROR(__xludf.DUMMYFUNCTION("""COMPUTED_VALUE"""),44824)</f>
        <v>44824</v>
      </c>
      <c r="C6416" t="str">
        <f ca="1">IFERROR(__xludf.DUMMYFUNCTION("""COMPUTED_VALUE"""),"БУ Г. ОМСКА ""УДХБ"" 197-РДО от 01.07.2022")</f>
        <v>БУ Г. ОМСКА "УДХБ" 197-РДО от 01.07.2022</v>
      </c>
      <c r="D64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6" t="str">
        <f ca="1">IFERROR(__xludf.DUMMYFUNCTION("""COMPUTED_VALUE"""),"Новый")</f>
        <v>Новый</v>
      </c>
      <c r="G6416" s="68"/>
      <c r="K6416" s="68"/>
    </row>
    <row r="6417" spans="1:11" ht="12.75">
      <c r="A6417" s="69">
        <f ca="1">IFERROR(__xludf.DUMMYFUNCTION("""COMPUTED_VALUE"""),107734)</f>
        <v>107734</v>
      </c>
      <c r="B6417" s="4">
        <f ca="1">IFERROR(__xludf.DUMMYFUNCTION("""COMPUTED_VALUE"""),44824)</f>
        <v>44824</v>
      </c>
      <c r="C6417" t="str">
        <f ca="1">IFERROR(__xludf.DUMMYFUNCTION("""COMPUTED_VALUE"""),"БУ Г. ОМСКА ""УДХБ"" 197-РДО от 01.07.2022")</f>
        <v>БУ Г. ОМСКА "УДХБ" 197-РДО от 01.07.2022</v>
      </c>
      <c r="D64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7" t="str">
        <f ca="1">IFERROR(__xludf.DUMMYFUNCTION("""COMPUTED_VALUE"""),"Новый")</f>
        <v>Новый</v>
      </c>
      <c r="G6417" s="68"/>
      <c r="K6417" s="68"/>
    </row>
    <row r="6418" spans="1:11" ht="12.75">
      <c r="A6418" s="69">
        <f ca="1">IFERROR(__xludf.DUMMYFUNCTION("""COMPUTED_VALUE"""),107735)</f>
        <v>107735</v>
      </c>
      <c r="B6418" s="4">
        <f ca="1">IFERROR(__xludf.DUMMYFUNCTION("""COMPUTED_VALUE"""),44824)</f>
        <v>44824</v>
      </c>
      <c r="C6418" t="str">
        <f ca="1">IFERROR(__xludf.DUMMYFUNCTION("""COMPUTED_VALUE"""),"БУ Г. ОМСКА ""УДХБ"" 197-РДО от 01.07.2022")</f>
        <v>БУ Г. ОМСКА "УДХБ" 197-РДО от 01.07.2022</v>
      </c>
      <c r="D64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8" t="str">
        <f ca="1">IFERROR(__xludf.DUMMYFUNCTION("""COMPUTED_VALUE"""),"Новый")</f>
        <v>Новый</v>
      </c>
      <c r="G6418" s="68"/>
      <c r="K6418" s="68"/>
    </row>
    <row r="6419" spans="1:11" ht="12.75">
      <c r="A6419" s="69">
        <f ca="1">IFERROR(__xludf.DUMMYFUNCTION("""COMPUTED_VALUE"""),107736)</f>
        <v>107736</v>
      </c>
      <c r="B6419" s="4">
        <f ca="1">IFERROR(__xludf.DUMMYFUNCTION("""COMPUTED_VALUE"""),44824)</f>
        <v>44824</v>
      </c>
      <c r="C6419" t="str">
        <f ca="1">IFERROR(__xludf.DUMMYFUNCTION("""COMPUTED_VALUE"""),"БУ Г. ОМСКА ""УДХБ"" 197-РДО от 01.07.2022")</f>
        <v>БУ Г. ОМСКА "УДХБ" 197-РДО от 01.07.2022</v>
      </c>
      <c r="D64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19" t="str">
        <f ca="1">IFERROR(__xludf.DUMMYFUNCTION("""COMPUTED_VALUE"""),"Новый")</f>
        <v>Новый</v>
      </c>
      <c r="G6419" s="68"/>
      <c r="K6419" s="68"/>
    </row>
    <row r="6420" spans="1:11" ht="12.75">
      <c r="A6420" s="69">
        <f ca="1">IFERROR(__xludf.DUMMYFUNCTION("""COMPUTED_VALUE"""),107737)</f>
        <v>107737</v>
      </c>
      <c r="B6420" s="4">
        <f ca="1">IFERROR(__xludf.DUMMYFUNCTION("""COMPUTED_VALUE"""),44824)</f>
        <v>44824</v>
      </c>
      <c r="C6420" t="str">
        <f ca="1">IFERROR(__xludf.DUMMYFUNCTION("""COMPUTED_VALUE"""),"БУ Г. ОМСКА ""УДХБ"" 197-РДО от 01.07.2022")</f>
        <v>БУ Г. ОМСКА "УДХБ" 197-РДО от 01.07.2022</v>
      </c>
      <c r="D64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0" t="str">
        <f ca="1">IFERROR(__xludf.DUMMYFUNCTION("""COMPUTED_VALUE"""),"Новый")</f>
        <v>Новый</v>
      </c>
      <c r="G6420" s="68"/>
      <c r="K6420" s="68"/>
    </row>
    <row r="6421" spans="1:11" ht="12.75">
      <c r="A6421" s="69">
        <f ca="1">IFERROR(__xludf.DUMMYFUNCTION("""COMPUTED_VALUE"""),107738)</f>
        <v>107738</v>
      </c>
      <c r="B6421" s="4">
        <f ca="1">IFERROR(__xludf.DUMMYFUNCTION("""COMPUTED_VALUE"""),44824)</f>
        <v>44824</v>
      </c>
      <c r="C6421" t="str">
        <f ca="1">IFERROR(__xludf.DUMMYFUNCTION("""COMPUTED_VALUE"""),"БУ Г. ОМСКА ""УДХБ"" 197-РДО от 01.07.2022")</f>
        <v>БУ Г. ОМСКА "УДХБ" 197-РДО от 01.07.2022</v>
      </c>
      <c r="D64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1" t="str">
        <f ca="1">IFERROR(__xludf.DUMMYFUNCTION("""COMPUTED_VALUE"""),"Новый")</f>
        <v>Новый</v>
      </c>
      <c r="G6421" s="68"/>
      <c r="K6421" s="68"/>
    </row>
    <row r="6422" spans="1:11" ht="12.75">
      <c r="A6422" s="69">
        <f ca="1">IFERROR(__xludf.DUMMYFUNCTION("""COMPUTED_VALUE"""),107739)</f>
        <v>107739</v>
      </c>
      <c r="B6422" s="4">
        <f ca="1">IFERROR(__xludf.DUMMYFUNCTION("""COMPUTED_VALUE"""),44824)</f>
        <v>44824</v>
      </c>
      <c r="C6422" t="str">
        <f ca="1">IFERROR(__xludf.DUMMYFUNCTION("""COMPUTED_VALUE"""),"БУ Г. ОМСКА ""УДХБ"" 197-РДО от 01.07.2022")</f>
        <v>БУ Г. ОМСКА "УДХБ" 197-РДО от 01.07.2022</v>
      </c>
      <c r="D64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2" t="str">
        <f ca="1">IFERROR(__xludf.DUMMYFUNCTION("""COMPUTED_VALUE"""),"Новый")</f>
        <v>Новый</v>
      </c>
      <c r="G6422" s="68"/>
      <c r="K6422" s="68"/>
    </row>
    <row r="6423" spans="1:11" ht="12.75">
      <c r="A6423" s="69">
        <f ca="1">IFERROR(__xludf.DUMMYFUNCTION("""COMPUTED_VALUE"""),107740)</f>
        <v>107740</v>
      </c>
      <c r="B6423" s="4">
        <f ca="1">IFERROR(__xludf.DUMMYFUNCTION("""COMPUTED_VALUE"""),44824)</f>
        <v>44824</v>
      </c>
      <c r="C6423" t="str">
        <f ca="1">IFERROR(__xludf.DUMMYFUNCTION("""COMPUTED_VALUE"""),"БУ Г. ОМСКА ""УДХБ"" 197-РДО от 01.07.2022")</f>
        <v>БУ Г. ОМСКА "УДХБ" 197-РДО от 01.07.2022</v>
      </c>
      <c r="D64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3" t="str">
        <f ca="1">IFERROR(__xludf.DUMMYFUNCTION("""COMPUTED_VALUE"""),"Новый")</f>
        <v>Новый</v>
      </c>
      <c r="G6423" s="68"/>
      <c r="K6423" s="68"/>
    </row>
    <row r="6424" spans="1:11" ht="12.75">
      <c r="A6424" s="69">
        <f ca="1">IFERROR(__xludf.DUMMYFUNCTION("""COMPUTED_VALUE"""),107741)</f>
        <v>107741</v>
      </c>
      <c r="B6424" s="4">
        <f ca="1">IFERROR(__xludf.DUMMYFUNCTION("""COMPUTED_VALUE"""),44824)</f>
        <v>44824</v>
      </c>
      <c r="C6424" t="str">
        <f ca="1">IFERROR(__xludf.DUMMYFUNCTION("""COMPUTED_VALUE"""),"БУ Г. ОМСКА ""УДХБ"" 197-РДО от 01.07.2022")</f>
        <v>БУ Г. ОМСКА "УДХБ" 197-РДО от 01.07.2022</v>
      </c>
      <c r="D64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24" t="str">
        <f ca="1">IFERROR(__xludf.DUMMYFUNCTION("""COMPUTED_VALUE"""),"Новый")</f>
        <v>Новый</v>
      </c>
      <c r="G6424" s="68"/>
      <c r="K6424" s="68"/>
    </row>
    <row r="6425" spans="1:11" ht="12.75">
      <c r="A6425" s="69">
        <f ca="1">IFERROR(__xludf.DUMMYFUNCTION("""COMPUTED_VALUE"""),107742)</f>
        <v>107742</v>
      </c>
      <c r="B6425" s="4">
        <f ca="1">IFERROR(__xludf.DUMMYFUNCTION("""COMPUTED_VALUE"""),44824)</f>
        <v>44824</v>
      </c>
      <c r="C6425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25" t="str">
        <f ca="1">IFERROR(__xludf.DUMMYFUNCTION("""COMPUTED_VALUE"""),"Новый")</f>
        <v>Новый</v>
      </c>
      <c r="G6425" s="68"/>
      <c r="K6425" s="68"/>
    </row>
    <row r="6426" spans="1:11" ht="12.75">
      <c r="A6426" s="69">
        <f ca="1">IFERROR(__xludf.DUMMYFUNCTION("""COMPUTED_VALUE"""),107743)</f>
        <v>107743</v>
      </c>
      <c r="B6426" s="4">
        <f ca="1">IFERROR(__xludf.DUMMYFUNCTION("""COMPUTED_VALUE"""),44824)</f>
        <v>44824</v>
      </c>
      <c r="C6426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26" t="str">
        <f ca="1">IFERROR(__xludf.DUMMYFUNCTION("""COMPUTED_VALUE"""),"Новый")</f>
        <v>Новый</v>
      </c>
      <c r="G6426" s="68"/>
      <c r="K6426" s="68"/>
    </row>
    <row r="6427" spans="1:11" ht="12.75">
      <c r="A6427" s="69">
        <f ca="1">IFERROR(__xludf.DUMMYFUNCTION("""COMPUTED_VALUE"""),107744)</f>
        <v>107744</v>
      </c>
      <c r="B6427" s="4">
        <f ca="1">IFERROR(__xludf.DUMMYFUNCTION("""COMPUTED_VALUE"""),44824)</f>
        <v>44824</v>
      </c>
      <c r="C6427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27" t="str">
        <f ca="1">IFERROR(__xludf.DUMMYFUNCTION("""COMPUTED_VALUE"""),"Новый")</f>
        <v>Новый</v>
      </c>
      <c r="G6427" s="68"/>
      <c r="K6427" s="68"/>
    </row>
    <row r="6428" spans="1:11" ht="12.75">
      <c r="A6428" s="69">
        <f ca="1">IFERROR(__xludf.DUMMYFUNCTION("""COMPUTED_VALUE"""),107745)</f>
        <v>107745</v>
      </c>
      <c r="B6428" s="4">
        <f ca="1">IFERROR(__xludf.DUMMYFUNCTION("""COMPUTED_VALUE"""),44824)</f>
        <v>44824</v>
      </c>
      <c r="C6428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28" t="str">
        <f ca="1">IFERROR(__xludf.DUMMYFUNCTION("""COMPUTED_VALUE"""),"Новый")</f>
        <v>Новый</v>
      </c>
      <c r="G6428" s="68"/>
      <c r="K6428" s="68"/>
    </row>
    <row r="6429" spans="1:11" ht="12.75">
      <c r="A6429" s="69">
        <f ca="1">IFERROR(__xludf.DUMMYFUNCTION("""COMPUTED_VALUE"""),107746)</f>
        <v>107746</v>
      </c>
      <c r="B6429" s="4">
        <f ca="1">IFERROR(__xludf.DUMMYFUNCTION("""COMPUTED_VALUE"""),44824)</f>
        <v>44824</v>
      </c>
      <c r="C6429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29" t="str">
        <f ca="1">IFERROR(__xludf.DUMMYFUNCTION("""COMPUTED_VALUE"""),"Новый")</f>
        <v>Новый</v>
      </c>
      <c r="G6429" s="68"/>
      <c r="K6429" s="68"/>
    </row>
    <row r="6430" spans="1:11" ht="12.75">
      <c r="A6430" s="69">
        <f ca="1">IFERROR(__xludf.DUMMYFUNCTION("""COMPUTED_VALUE"""),107747)</f>
        <v>107747</v>
      </c>
      <c r="B6430" s="4">
        <f ca="1">IFERROR(__xludf.DUMMYFUNCTION("""COMPUTED_VALUE"""),44824)</f>
        <v>44824</v>
      </c>
      <c r="C6430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0" t="str">
        <f ca="1">IFERROR(__xludf.DUMMYFUNCTION("""COMPUTED_VALUE"""),"Новый")</f>
        <v>Новый</v>
      </c>
      <c r="G6430" s="68"/>
      <c r="K6430" s="68"/>
    </row>
    <row r="6431" spans="1:11" ht="12.75">
      <c r="A6431" s="69">
        <f ca="1">IFERROR(__xludf.DUMMYFUNCTION("""COMPUTED_VALUE"""),107748)</f>
        <v>107748</v>
      </c>
      <c r="B6431" s="4">
        <f ca="1">IFERROR(__xludf.DUMMYFUNCTION("""COMPUTED_VALUE"""),44824)</f>
        <v>44824</v>
      </c>
      <c r="C6431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1" t="str">
        <f ca="1">IFERROR(__xludf.DUMMYFUNCTION("""COMPUTED_VALUE"""),"Новый")</f>
        <v>Новый</v>
      </c>
      <c r="G6431" s="68"/>
      <c r="K6431" s="68"/>
    </row>
    <row r="6432" spans="1:11" ht="12.75">
      <c r="A6432" s="69">
        <f ca="1">IFERROR(__xludf.DUMMYFUNCTION("""COMPUTED_VALUE"""),107749)</f>
        <v>107749</v>
      </c>
      <c r="B6432" s="4">
        <f ca="1">IFERROR(__xludf.DUMMYFUNCTION("""COMPUTED_VALUE"""),44824)</f>
        <v>44824</v>
      </c>
      <c r="C6432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2" t="str">
        <f ca="1">IFERROR(__xludf.DUMMYFUNCTION("""COMPUTED_VALUE"""),"Новый")</f>
        <v>Новый</v>
      </c>
      <c r="G6432" s="68"/>
      <c r="K6432" s="68"/>
    </row>
    <row r="6433" spans="1:11" ht="12.75">
      <c r="A6433" s="69">
        <f ca="1">IFERROR(__xludf.DUMMYFUNCTION("""COMPUTED_VALUE"""),107750)</f>
        <v>107750</v>
      </c>
      <c r="B6433" s="4">
        <f ca="1">IFERROR(__xludf.DUMMYFUNCTION("""COMPUTED_VALUE"""),44824)</f>
        <v>44824</v>
      </c>
      <c r="C6433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3" t="str">
        <f ca="1">IFERROR(__xludf.DUMMYFUNCTION("""COMPUTED_VALUE"""),"Новый")</f>
        <v>Новый</v>
      </c>
      <c r="G6433" s="68"/>
      <c r="K6433" s="68"/>
    </row>
    <row r="6434" spans="1:11" ht="12.75">
      <c r="A6434" s="69">
        <f ca="1">IFERROR(__xludf.DUMMYFUNCTION("""COMPUTED_VALUE"""),107751)</f>
        <v>107751</v>
      </c>
      <c r="B6434" s="4">
        <f ca="1">IFERROR(__xludf.DUMMYFUNCTION("""COMPUTED_VALUE"""),44824)</f>
        <v>44824</v>
      </c>
      <c r="C6434" t="str">
        <f ca="1">IFERROR(__xludf.DUMMYFUNCTION("""COMPUTED_VALUE"""),"ООО ""Бизнес-Партнер"", договор 13-СТР от 19.02.2020")</f>
        <v>ООО "Бизнес-Партнер", договор 13-СТР от 19.02.2020</v>
      </c>
      <c r="D64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4" t="str">
        <f ca="1">IFERROR(__xludf.DUMMYFUNCTION("""COMPUTED_VALUE"""),"Новый")</f>
        <v>Новый</v>
      </c>
      <c r="G6434" s="68"/>
      <c r="K6434" s="68"/>
    </row>
    <row r="6435" spans="1:11" ht="12.75">
      <c r="A6435" s="69">
        <f ca="1">IFERROR(__xludf.DUMMYFUNCTION("""COMPUTED_VALUE"""),107752)</f>
        <v>107752</v>
      </c>
      <c r="B6435" s="4">
        <f ca="1">IFERROR(__xludf.DUMMYFUNCTION("""COMPUTED_VALUE"""),44824)</f>
        <v>44824</v>
      </c>
      <c r="C6435" t="str">
        <f ca="1">IFERROR(__xludf.DUMMYFUNCTION("""COMPUTED_VALUE"""),"ООО НИЦ «Сертом»")</f>
        <v>ООО НИЦ «Сертом»</v>
      </c>
      <c r="D64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5" t="str">
        <f ca="1">IFERROR(__xludf.DUMMYFUNCTION("""COMPUTED_VALUE"""),"Новый")</f>
        <v>Новый</v>
      </c>
      <c r="G6435" s="68"/>
      <c r="K6435" s="68"/>
    </row>
    <row r="6436" spans="1:11" ht="12.75">
      <c r="A6436" s="69">
        <f ca="1">IFERROR(__xludf.DUMMYFUNCTION("""COMPUTED_VALUE"""),107753)</f>
        <v>107753</v>
      </c>
      <c r="B6436" s="4">
        <f ca="1">IFERROR(__xludf.DUMMYFUNCTION("""COMPUTED_VALUE"""),44824)</f>
        <v>44824</v>
      </c>
      <c r="C6436" t="str">
        <f ca="1">IFERROR(__xludf.DUMMYFUNCTION("""COMPUTED_VALUE"""),"ООО НИЦ «Сертом»")</f>
        <v>ООО НИЦ «Сертом»</v>
      </c>
      <c r="D64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6" t="str">
        <f ca="1">IFERROR(__xludf.DUMMYFUNCTION("""COMPUTED_VALUE"""),"Новый")</f>
        <v>Новый</v>
      </c>
      <c r="G6436" s="68"/>
      <c r="K6436" s="68"/>
    </row>
    <row r="6437" spans="1:11" ht="12.75">
      <c r="A6437" s="69">
        <f ca="1">IFERROR(__xludf.DUMMYFUNCTION("""COMPUTED_VALUE"""),107754)</f>
        <v>107754</v>
      </c>
      <c r="B6437" s="4">
        <f ca="1">IFERROR(__xludf.DUMMYFUNCTION("""COMPUTED_VALUE"""),44824)</f>
        <v>44824</v>
      </c>
      <c r="C6437" t="str">
        <f ca="1">IFERROR(__xludf.DUMMYFUNCTION("""COMPUTED_VALUE"""),"ООО НИЦ «Сертом»")</f>
        <v>ООО НИЦ «Сертом»</v>
      </c>
      <c r="D64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7" t="str">
        <f ca="1">IFERROR(__xludf.DUMMYFUNCTION("""COMPUTED_VALUE"""),"Новый")</f>
        <v>Новый</v>
      </c>
      <c r="G6437" s="68"/>
      <c r="K6437" s="68"/>
    </row>
    <row r="6438" spans="1:11" ht="12.75">
      <c r="A6438" s="69">
        <f ca="1">IFERROR(__xludf.DUMMYFUNCTION("""COMPUTED_VALUE"""),107755)</f>
        <v>107755</v>
      </c>
      <c r="B6438" s="4">
        <f ca="1">IFERROR(__xludf.DUMMYFUNCTION("""COMPUTED_VALUE"""),44824)</f>
        <v>44824</v>
      </c>
      <c r="C6438" t="str">
        <f ca="1">IFERROR(__xludf.DUMMYFUNCTION("""COMPUTED_VALUE"""),"ООО НИЦ «Сертом»")</f>
        <v>ООО НИЦ «Сертом»</v>
      </c>
      <c r="D64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8" t="str">
        <f ca="1">IFERROR(__xludf.DUMMYFUNCTION("""COMPUTED_VALUE"""),"Новый")</f>
        <v>Новый</v>
      </c>
      <c r="G6438" s="68"/>
      <c r="K6438" s="68"/>
    </row>
    <row r="6439" spans="1:11" ht="12.75">
      <c r="A6439" s="69">
        <f ca="1">IFERROR(__xludf.DUMMYFUNCTION("""COMPUTED_VALUE"""),107756)</f>
        <v>107756</v>
      </c>
      <c r="B6439" s="4">
        <f ca="1">IFERROR(__xludf.DUMMYFUNCTION("""COMPUTED_VALUE"""),44824)</f>
        <v>44824</v>
      </c>
      <c r="C6439" t="str">
        <f ca="1">IFERROR(__xludf.DUMMYFUNCTION("""COMPUTED_VALUE"""),"ООО НИЦ «Сертом»")</f>
        <v>ООО НИЦ «Сертом»</v>
      </c>
      <c r="D64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39" t="str">
        <f ca="1">IFERROR(__xludf.DUMMYFUNCTION("""COMPUTED_VALUE"""),"Новый")</f>
        <v>Новый</v>
      </c>
      <c r="G6439" s="68"/>
      <c r="K6439" s="68"/>
    </row>
    <row r="6440" spans="1:11" ht="12.75">
      <c r="A6440" s="69">
        <f ca="1">IFERROR(__xludf.DUMMYFUNCTION("""COMPUTED_VALUE"""),107757)</f>
        <v>107757</v>
      </c>
      <c r="B6440" s="4">
        <f ca="1">IFERROR(__xludf.DUMMYFUNCTION("""COMPUTED_VALUE"""),44824)</f>
        <v>44824</v>
      </c>
      <c r="C6440" t="str">
        <f ca="1">IFERROR(__xludf.DUMMYFUNCTION("""COMPUTED_VALUE"""),"ООО НИЦ «Сертом»")</f>
        <v>ООО НИЦ «Сертом»</v>
      </c>
      <c r="D64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40" t="str">
        <f ca="1">IFERROR(__xludf.DUMMYFUNCTION("""COMPUTED_VALUE"""),"Новый")</f>
        <v>Новый</v>
      </c>
      <c r="G6440" s="68"/>
      <c r="K6440" s="68"/>
    </row>
    <row r="6441" spans="1:11" ht="12.75">
      <c r="A6441" s="69">
        <f ca="1">IFERROR(__xludf.DUMMYFUNCTION("""COMPUTED_VALUE"""),107758)</f>
        <v>107758</v>
      </c>
      <c r="B6441" s="4">
        <f ca="1">IFERROR(__xludf.DUMMYFUNCTION("""COMPUTED_VALUE"""),44824)</f>
        <v>44824</v>
      </c>
      <c r="C6441" t="str">
        <f ca="1">IFERROR(__xludf.DUMMYFUNCTION("""COMPUTED_VALUE"""),"ООО НИЦ «Сертом»")</f>
        <v>ООО НИЦ «Сертом»</v>
      </c>
      <c r="D64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41" t="str">
        <f ca="1">IFERROR(__xludf.DUMMYFUNCTION("""COMPUTED_VALUE"""),"Новый")</f>
        <v>Новый</v>
      </c>
      <c r="G6441" s="68"/>
      <c r="K6441" s="68"/>
    </row>
    <row r="6442" spans="1:11" ht="12.75">
      <c r="A6442" s="69">
        <f ca="1">IFERROR(__xludf.DUMMYFUNCTION("""COMPUTED_VALUE"""),107759)</f>
        <v>107759</v>
      </c>
      <c r="B6442" s="4">
        <f ca="1">IFERROR(__xludf.DUMMYFUNCTION("""COMPUTED_VALUE"""),44824)</f>
        <v>44824</v>
      </c>
      <c r="C6442" t="str">
        <f ca="1">IFERROR(__xludf.DUMMYFUNCTION("""COMPUTED_VALUE"""),"ООО НИЦ «Сертом»")</f>
        <v>ООО НИЦ «Сертом»</v>
      </c>
      <c r="D64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42" t="str">
        <f ca="1">IFERROR(__xludf.DUMMYFUNCTION("""COMPUTED_VALUE"""),"Новый")</f>
        <v>Новый</v>
      </c>
      <c r="G6442" s="68"/>
      <c r="K6442" s="68"/>
    </row>
    <row r="6443" spans="1:11" ht="12.75">
      <c r="A6443" s="69">
        <f ca="1">IFERROR(__xludf.DUMMYFUNCTION("""COMPUTED_VALUE"""),107760)</f>
        <v>107760</v>
      </c>
      <c r="B6443" s="4">
        <f ca="1">IFERROR(__xludf.DUMMYFUNCTION("""COMPUTED_VALUE"""),44824)</f>
        <v>44824</v>
      </c>
      <c r="C6443" t="str">
        <f ca="1">IFERROR(__xludf.DUMMYFUNCTION("""COMPUTED_VALUE"""),"ООО НИЦ «Сертом»")</f>
        <v>ООО НИЦ «Сертом»</v>
      </c>
      <c r="D64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43" t="str">
        <f ca="1">IFERROR(__xludf.DUMMYFUNCTION("""COMPUTED_VALUE"""),"Новый")</f>
        <v>Новый</v>
      </c>
      <c r="G6443" s="68"/>
      <c r="K6443" s="68"/>
    </row>
    <row r="6444" spans="1:11" ht="12.75">
      <c r="A6444" s="69">
        <f ca="1">IFERROR(__xludf.DUMMYFUNCTION("""COMPUTED_VALUE"""),107761)</f>
        <v>107761</v>
      </c>
      <c r="B6444" s="4">
        <f ca="1">IFERROR(__xludf.DUMMYFUNCTION("""COMPUTED_VALUE"""),44824)</f>
        <v>44824</v>
      </c>
      <c r="C6444" t="str">
        <f ca="1">IFERROR(__xludf.DUMMYFUNCTION("""COMPUTED_VALUE"""),"ООО НИЦ «Сертом»")</f>
        <v>ООО НИЦ «Сертом»</v>
      </c>
      <c r="D64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444" t="str">
        <f ca="1">IFERROR(__xludf.DUMMYFUNCTION("""COMPUTED_VALUE"""),"Новый")</f>
        <v>Новый</v>
      </c>
      <c r="G6444" s="68"/>
      <c r="K6444" s="68"/>
    </row>
    <row r="6445" spans="1:11" ht="12.75">
      <c r="A6445" s="69">
        <f ca="1">IFERROR(__xludf.DUMMYFUNCTION("""COMPUTED_VALUE"""),107762)</f>
        <v>107762</v>
      </c>
      <c r="B6445" s="4">
        <f ca="1">IFERROR(__xludf.DUMMYFUNCTION("""COMPUTED_VALUE"""),44825)</f>
        <v>44825</v>
      </c>
      <c r="C644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5" t="str">
        <f ca="1">IFERROR(__xludf.DUMMYFUNCTION("""COMPUTED_VALUE"""),"Новый")</f>
        <v>Новый</v>
      </c>
      <c r="G6445" s="68"/>
      <c r="K6445" s="68"/>
    </row>
    <row r="6446" spans="1:11" ht="12.75">
      <c r="A6446" s="69">
        <f ca="1">IFERROR(__xludf.DUMMYFUNCTION("""COMPUTED_VALUE"""),107763)</f>
        <v>107763</v>
      </c>
      <c r="B6446" s="4">
        <f ca="1">IFERROR(__xludf.DUMMYFUNCTION("""COMPUTED_VALUE"""),44825)</f>
        <v>44825</v>
      </c>
      <c r="C644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6" t="str">
        <f ca="1">IFERROR(__xludf.DUMMYFUNCTION("""COMPUTED_VALUE"""),"Новый")</f>
        <v>Новый</v>
      </c>
      <c r="G6446" s="68"/>
      <c r="K6446" s="68"/>
    </row>
    <row r="6447" spans="1:11" ht="12.75">
      <c r="A6447" s="69">
        <f ca="1">IFERROR(__xludf.DUMMYFUNCTION("""COMPUTED_VALUE"""),107764)</f>
        <v>107764</v>
      </c>
      <c r="B6447" s="4">
        <f ca="1">IFERROR(__xludf.DUMMYFUNCTION("""COMPUTED_VALUE"""),44825)</f>
        <v>44825</v>
      </c>
      <c r="C644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7" t="str">
        <f ca="1">IFERROR(__xludf.DUMMYFUNCTION("""COMPUTED_VALUE"""),"Новый")</f>
        <v>Новый</v>
      </c>
      <c r="G6447" s="68"/>
      <c r="K6447" s="68"/>
    </row>
    <row r="6448" spans="1:11" ht="12.75">
      <c r="A6448" s="69">
        <f ca="1">IFERROR(__xludf.DUMMYFUNCTION("""COMPUTED_VALUE"""),107765)</f>
        <v>107765</v>
      </c>
      <c r="B6448" s="4">
        <f ca="1">IFERROR(__xludf.DUMMYFUNCTION("""COMPUTED_VALUE"""),44825)</f>
        <v>44825</v>
      </c>
      <c r="C644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8" t="str">
        <f ca="1">IFERROR(__xludf.DUMMYFUNCTION("""COMPUTED_VALUE"""),"Новый")</f>
        <v>Новый</v>
      </c>
      <c r="G6448" s="68"/>
      <c r="K6448" s="68"/>
    </row>
    <row r="6449" spans="1:11" ht="12.75">
      <c r="A6449" s="69">
        <f ca="1">IFERROR(__xludf.DUMMYFUNCTION("""COMPUTED_VALUE"""),107766)</f>
        <v>107766</v>
      </c>
      <c r="B6449" s="4">
        <f ca="1">IFERROR(__xludf.DUMMYFUNCTION("""COMPUTED_VALUE"""),44825)</f>
        <v>44825</v>
      </c>
      <c r="C644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49" t="str">
        <f ca="1">IFERROR(__xludf.DUMMYFUNCTION("""COMPUTED_VALUE"""),"Новый")</f>
        <v>Новый</v>
      </c>
      <c r="G6449" s="68"/>
      <c r="K6449" s="68"/>
    </row>
    <row r="6450" spans="1:11" ht="12.75">
      <c r="A6450" s="69">
        <f ca="1">IFERROR(__xludf.DUMMYFUNCTION("""COMPUTED_VALUE"""),107767)</f>
        <v>107767</v>
      </c>
      <c r="B6450" s="4">
        <f ca="1">IFERROR(__xludf.DUMMYFUNCTION("""COMPUTED_VALUE"""),44825)</f>
        <v>44825</v>
      </c>
      <c r="C645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0" t="str">
        <f ca="1">IFERROR(__xludf.DUMMYFUNCTION("""COMPUTED_VALUE"""),"Новый")</f>
        <v>Новый</v>
      </c>
      <c r="G6450" s="68"/>
      <c r="K6450" s="68"/>
    </row>
    <row r="6451" spans="1:11" ht="12.75">
      <c r="A6451" s="69">
        <f ca="1">IFERROR(__xludf.DUMMYFUNCTION("""COMPUTED_VALUE"""),107768)</f>
        <v>107768</v>
      </c>
      <c r="B6451" s="4">
        <f ca="1">IFERROR(__xludf.DUMMYFUNCTION("""COMPUTED_VALUE"""),44825)</f>
        <v>44825</v>
      </c>
      <c r="C645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1" t="str">
        <f ca="1">IFERROR(__xludf.DUMMYFUNCTION("""COMPUTED_VALUE"""),"Новый")</f>
        <v>Новый</v>
      </c>
      <c r="G6451" s="68"/>
      <c r="K6451" s="68"/>
    </row>
    <row r="6452" spans="1:11" ht="12.75">
      <c r="A6452" s="69">
        <f ca="1">IFERROR(__xludf.DUMMYFUNCTION("""COMPUTED_VALUE"""),107769)</f>
        <v>107769</v>
      </c>
      <c r="B6452" s="4">
        <f ca="1">IFERROR(__xludf.DUMMYFUNCTION("""COMPUTED_VALUE"""),44825)</f>
        <v>44825</v>
      </c>
      <c r="C645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2" t="str">
        <f ca="1">IFERROR(__xludf.DUMMYFUNCTION("""COMPUTED_VALUE"""),"Новый")</f>
        <v>Новый</v>
      </c>
      <c r="G6452" s="68"/>
      <c r="K6452" s="68"/>
    </row>
    <row r="6453" spans="1:11" ht="12.75">
      <c r="A6453" s="69">
        <f ca="1">IFERROR(__xludf.DUMMYFUNCTION("""COMPUTED_VALUE"""),107770)</f>
        <v>107770</v>
      </c>
      <c r="B6453" s="4">
        <f ca="1">IFERROR(__xludf.DUMMYFUNCTION("""COMPUTED_VALUE"""),44825)</f>
        <v>44825</v>
      </c>
      <c r="C645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3" t="str">
        <f ca="1">IFERROR(__xludf.DUMMYFUNCTION("""COMPUTED_VALUE"""),"Новый")</f>
        <v>Новый</v>
      </c>
      <c r="G6453" s="68"/>
      <c r="K6453" s="68"/>
    </row>
    <row r="6454" spans="1:11" ht="12.75">
      <c r="A6454" s="69">
        <f ca="1">IFERROR(__xludf.DUMMYFUNCTION("""COMPUTED_VALUE"""),107771)</f>
        <v>107771</v>
      </c>
      <c r="B6454" s="4">
        <f ca="1">IFERROR(__xludf.DUMMYFUNCTION("""COMPUTED_VALUE"""),44825)</f>
        <v>44825</v>
      </c>
      <c r="C645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4" t="str">
        <f ca="1">IFERROR(__xludf.DUMMYFUNCTION("""COMPUTED_VALUE"""),"Новый")</f>
        <v>Новый</v>
      </c>
      <c r="G6454" s="68"/>
      <c r="K6454" s="68"/>
    </row>
    <row r="6455" spans="1:11" ht="12.75">
      <c r="A6455" s="69">
        <f ca="1">IFERROR(__xludf.DUMMYFUNCTION("""COMPUTED_VALUE"""),107772)</f>
        <v>107772</v>
      </c>
      <c r="B6455" s="4">
        <f ca="1">IFERROR(__xludf.DUMMYFUNCTION("""COMPUTED_VALUE"""),44825)</f>
        <v>44825</v>
      </c>
      <c r="C645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5" t="str">
        <f ca="1">IFERROR(__xludf.DUMMYFUNCTION("""COMPUTED_VALUE"""),"Новый")</f>
        <v>Новый</v>
      </c>
      <c r="G6455" s="68"/>
      <c r="K6455" s="68"/>
    </row>
    <row r="6456" spans="1:11" ht="12.75">
      <c r="A6456" s="69">
        <f ca="1">IFERROR(__xludf.DUMMYFUNCTION("""COMPUTED_VALUE"""),107773)</f>
        <v>107773</v>
      </c>
      <c r="B6456" s="4">
        <f ca="1">IFERROR(__xludf.DUMMYFUNCTION("""COMPUTED_VALUE"""),44825)</f>
        <v>44825</v>
      </c>
      <c r="C645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6" t="str">
        <f ca="1">IFERROR(__xludf.DUMMYFUNCTION("""COMPUTED_VALUE"""),"Новый")</f>
        <v>Новый</v>
      </c>
      <c r="G6456" s="68"/>
      <c r="K6456" s="68"/>
    </row>
    <row r="6457" spans="1:11" ht="12.75">
      <c r="A6457" s="69">
        <f ca="1">IFERROR(__xludf.DUMMYFUNCTION("""COMPUTED_VALUE"""),107774)</f>
        <v>107774</v>
      </c>
      <c r="B6457" s="4">
        <f ca="1">IFERROR(__xludf.DUMMYFUNCTION("""COMPUTED_VALUE"""),44825)</f>
        <v>44825</v>
      </c>
      <c r="C645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7" t="str">
        <f ca="1">IFERROR(__xludf.DUMMYFUNCTION("""COMPUTED_VALUE"""),"Новый")</f>
        <v>Новый</v>
      </c>
      <c r="G6457" s="68"/>
      <c r="K6457" s="68"/>
    </row>
    <row r="6458" spans="1:11" ht="12.75">
      <c r="A6458" s="69">
        <f ca="1">IFERROR(__xludf.DUMMYFUNCTION("""COMPUTED_VALUE"""),107775)</f>
        <v>107775</v>
      </c>
      <c r="B6458" s="4">
        <f ca="1">IFERROR(__xludf.DUMMYFUNCTION("""COMPUTED_VALUE"""),44825)</f>
        <v>44825</v>
      </c>
      <c r="C645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8" t="str">
        <f ca="1">IFERROR(__xludf.DUMMYFUNCTION("""COMPUTED_VALUE"""),"Новый")</f>
        <v>Новый</v>
      </c>
      <c r="G6458" s="68"/>
      <c r="K6458" s="68"/>
    </row>
    <row r="6459" spans="1:11" ht="12.75">
      <c r="A6459" s="69">
        <f ca="1">IFERROR(__xludf.DUMMYFUNCTION("""COMPUTED_VALUE"""),107776)</f>
        <v>107776</v>
      </c>
      <c r="B6459" s="4">
        <f ca="1">IFERROR(__xludf.DUMMYFUNCTION("""COMPUTED_VALUE"""),44825)</f>
        <v>44825</v>
      </c>
      <c r="C645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59" t="str">
        <f ca="1">IFERROR(__xludf.DUMMYFUNCTION("""COMPUTED_VALUE"""),"Новый")</f>
        <v>Новый</v>
      </c>
      <c r="G6459" s="68"/>
      <c r="K6459" s="68"/>
    </row>
    <row r="6460" spans="1:11" ht="12.75">
      <c r="A6460" s="69">
        <f ca="1">IFERROR(__xludf.DUMMYFUNCTION("""COMPUTED_VALUE"""),107777)</f>
        <v>107777</v>
      </c>
      <c r="B6460" s="4">
        <f ca="1">IFERROR(__xludf.DUMMYFUNCTION("""COMPUTED_VALUE"""),44825)</f>
        <v>44825</v>
      </c>
      <c r="C646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0" t="str">
        <f ca="1">IFERROR(__xludf.DUMMYFUNCTION("""COMPUTED_VALUE"""),"Новый")</f>
        <v>Новый</v>
      </c>
      <c r="G6460" s="68"/>
      <c r="K6460" s="68"/>
    </row>
    <row r="6461" spans="1:11" ht="12.75">
      <c r="A6461" s="69">
        <f ca="1">IFERROR(__xludf.DUMMYFUNCTION("""COMPUTED_VALUE"""),107778)</f>
        <v>107778</v>
      </c>
      <c r="B6461" s="4">
        <f ca="1">IFERROR(__xludf.DUMMYFUNCTION("""COMPUTED_VALUE"""),44825)</f>
        <v>44825</v>
      </c>
      <c r="C646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1" t="str">
        <f ca="1">IFERROR(__xludf.DUMMYFUNCTION("""COMPUTED_VALUE"""),"Новый")</f>
        <v>Новый</v>
      </c>
      <c r="G6461" s="68"/>
      <c r="K6461" s="68"/>
    </row>
    <row r="6462" spans="1:11" ht="12.75">
      <c r="A6462" s="69">
        <f ca="1">IFERROR(__xludf.DUMMYFUNCTION("""COMPUTED_VALUE"""),107779)</f>
        <v>107779</v>
      </c>
      <c r="B6462" s="4">
        <f ca="1">IFERROR(__xludf.DUMMYFUNCTION("""COMPUTED_VALUE"""),44825)</f>
        <v>44825</v>
      </c>
      <c r="C646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2" t="str">
        <f ca="1">IFERROR(__xludf.DUMMYFUNCTION("""COMPUTED_VALUE"""),"Новый")</f>
        <v>Новый</v>
      </c>
      <c r="G6462" s="68"/>
      <c r="K6462" s="68"/>
    </row>
    <row r="6463" spans="1:11" ht="12.75">
      <c r="A6463" s="69">
        <f ca="1">IFERROR(__xludf.DUMMYFUNCTION("""COMPUTED_VALUE"""),107780)</f>
        <v>107780</v>
      </c>
      <c r="B6463" s="4">
        <f ca="1">IFERROR(__xludf.DUMMYFUNCTION("""COMPUTED_VALUE"""),44825)</f>
        <v>44825</v>
      </c>
      <c r="C646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3" t="str">
        <f ca="1">IFERROR(__xludf.DUMMYFUNCTION("""COMPUTED_VALUE"""),"Новый")</f>
        <v>Новый</v>
      </c>
      <c r="G6463" s="68"/>
      <c r="K6463" s="68"/>
    </row>
    <row r="6464" spans="1:11" ht="12.75">
      <c r="A6464" s="69">
        <f ca="1">IFERROR(__xludf.DUMMYFUNCTION("""COMPUTED_VALUE"""),107781)</f>
        <v>107781</v>
      </c>
      <c r="B6464" s="4">
        <f ca="1">IFERROR(__xludf.DUMMYFUNCTION("""COMPUTED_VALUE"""),44825)</f>
        <v>44825</v>
      </c>
      <c r="C646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4" t="str">
        <f ca="1">IFERROR(__xludf.DUMMYFUNCTION("""COMPUTED_VALUE"""),"Новый")</f>
        <v>Новый</v>
      </c>
      <c r="G6464" s="68"/>
      <c r="K6464" s="68"/>
    </row>
    <row r="6465" spans="1:11" ht="12.75">
      <c r="A6465" s="69">
        <f ca="1">IFERROR(__xludf.DUMMYFUNCTION("""COMPUTED_VALUE"""),107782)</f>
        <v>107782</v>
      </c>
      <c r="B6465" s="4">
        <f ca="1">IFERROR(__xludf.DUMMYFUNCTION("""COMPUTED_VALUE"""),44825)</f>
        <v>44825</v>
      </c>
      <c r="C646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5" t="str">
        <f ca="1">IFERROR(__xludf.DUMMYFUNCTION("""COMPUTED_VALUE"""),"Новый")</f>
        <v>Новый</v>
      </c>
      <c r="G6465" s="68"/>
      <c r="K6465" s="68"/>
    </row>
    <row r="6466" spans="1:11" ht="12.75">
      <c r="A6466" s="69">
        <f ca="1">IFERROR(__xludf.DUMMYFUNCTION("""COMPUTED_VALUE"""),107783)</f>
        <v>107783</v>
      </c>
      <c r="B6466" s="4">
        <f ca="1">IFERROR(__xludf.DUMMYFUNCTION("""COMPUTED_VALUE"""),44825)</f>
        <v>44825</v>
      </c>
      <c r="C646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6" t="str">
        <f ca="1">IFERROR(__xludf.DUMMYFUNCTION("""COMPUTED_VALUE"""),"Новый")</f>
        <v>Новый</v>
      </c>
      <c r="G6466" s="68"/>
      <c r="K6466" s="68"/>
    </row>
    <row r="6467" spans="1:11" ht="12.75">
      <c r="A6467" s="69">
        <f ca="1">IFERROR(__xludf.DUMMYFUNCTION("""COMPUTED_VALUE"""),107784)</f>
        <v>107784</v>
      </c>
      <c r="B6467" s="4">
        <f ca="1">IFERROR(__xludf.DUMMYFUNCTION("""COMPUTED_VALUE"""),44825)</f>
        <v>44825</v>
      </c>
      <c r="C646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7" t="str">
        <f ca="1">IFERROR(__xludf.DUMMYFUNCTION("""COMPUTED_VALUE"""),"Новый")</f>
        <v>Новый</v>
      </c>
      <c r="G6467" s="68"/>
      <c r="K6467" s="68"/>
    </row>
    <row r="6468" spans="1:11" ht="12.75">
      <c r="A6468" s="69">
        <f ca="1">IFERROR(__xludf.DUMMYFUNCTION("""COMPUTED_VALUE"""),107785)</f>
        <v>107785</v>
      </c>
      <c r="B6468" s="4">
        <f ca="1">IFERROR(__xludf.DUMMYFUNCTION("""COMPUTED_VALUE"""),44825)</f>
        <v>44825</v>
      </c>
      <c r="C646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8" t="str">
        <f ca="1">IFERROR(__xludf.DUMMYFUNCTION("""COMPUTED_VALUE"""),"Новый")</f>
        <v>Новый</v>
      </c>
      <c r="G6468" s="68"/>
      <c r="K6468" s="68"/>
    </row>
    <row r="6469" spans="1:11" ht="12.75">
      <c r="A6469" s="69">
        <f ca="1">IFERROR(__xludf.DUMMYFUNCTION("""COMPUTED_VALUE"""),107786)</f>
        <v>107786</v>
      </c>
      <c r="B6469" s="4">
        <f ca="1">IFERROR(__xludf.DUMMYFUNCTION("""COMPUTED_VALUE"""),44825)</f>
        <v>44825</v>
      </c>
      <c r="C646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69" t="str">
        <f ca="1">IFERROR(__xludf.DUMMYFUNCTION("""COMPUTED_VALUE"""),"Новый")</f>
        <v>Новый</v>
      </c>
      <c r="G6469" s="68"/>
      <c r="K6469" s="68"/>
    </row>
    <row r="6470" spans="1:11" ht="12.75">
      <c r="A6470" s="69">
        <f ca="1">IFERROR(__xludf.DUMMYFUNCTION("""COMPUTED_VALUE"""),107787)</f>
        <v>107787</v>
      </c>
      <c r="B6470" s="4">
        <f ca="1">IFERROR(__xludf.DUMMYFUNCTION("""COMPUTED_VALUE"""),44825)</f>
        <v>44825</v>
      </c>
      <c r="C647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0" t="str">
        <f ca="1">IFERROR(__xludf.DUMMYFUNCTION("""COMPUTED_VALUE"""),"Новый")</f>
        <v>Новый</v>
      </c>
      <c r="G6470" s="68"/>
      <c r="K6470" s="68"/>
    </row>
    <row r="6471" spans="1:11" ht="12.75">
      <c r="A6471" s="69">
        <f ca="1">IFERROR(__xludf.DUMMYFUNCTION("""COMPUTED_VALUE"""),107788)</f>
        <v>107788</v>
      </c>
      <c r="B6471" s="4">
        <f ca="1">IFERROR(__xludf.DUMMYFUNCTION("""COMPUTED_VALUE"""),44825)</f>
        <v>44825</v>
      </c>
      <c r="C647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1" t="str">
        <f ca="1">IFERROR(__xludf.DUMMYFUNCTION("""COMPUTED_VALUE"""),"Новый")</f>
        <v>Новый</v>
      </c>
      <c r="G6471" s="68"/>
      <c r="K6471" s="68"/>
    </row>
    <row r="6472" spans="1:11" ht="12.75">
      <c r="A6472" s="69">
        <f ca="1">IFERROR(__xludf.DUMMYFUNCTION("""COMPUTED_VALUE"""),107789)</f>
        <v>107789</v>
      </c>
      <c r="B6472" s="4">
        <f ca="1">IFERROR(__xludf.DUMMYFUNCTION("""COMPUTED_VALUE"""),44825)</f>
        <v>44825</v>
      </c>
      <c r="C647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2" t="str">
        <f ca="1">IFERROR(__xludf.DUMMYFUNCTION("""COMPUTED_VALUE"""),"Новый")</f>
        <v>Новый</v>
      </c>
      <c r="G6472" s="68"/>
      <c r="K6472" s="68"/>
    </row>
    <row r="6473" spans="1:11" ht="12.75">
      <c r="A6473" s="69">
        <f ca="1">IFERROR(__xludf.DUMMYFUNCTION("""COMPUTED_VALUE"""),107790)</f>
        <v>107790</v>
      </c>
      <c r="B6473" s="4">
        <f ca="1">IFERROR(__xludf.DUMMYFUNCTION("""COMPUTED_VALUE"""),44825)</f>
        <v>44825</v>
      </c>
      <c r="C647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3" t="str">
        <f ca="1">IFERROR(__xludf.DUMMYFUNCTION("""COMPUTED_VALUE"""),"Новый")</f>
        <v>Новый</v>
      </c>
      <c r="G6473" s="68"/>
      <c r="K6473" s="68"/>
    </row>
    <row r="6474" spans="1:11" ht="12.75">
      <c r="A6474" s="69">
        <f ca="1">IFERROR(__xludf.DUMMYFUNCTION("""COMPUTED_VALUE"""),107791)</f>
        <v>107791</v>
      </c>
      <c r="B6474" s="4">
        <f ca="1">IFERROR(__xludf.DUMMYFUNCTION("""COMPUTED_VALUE"""),44825)</f>
        <v>44825</v>
      </c>
      <c r="C647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4" t="str">
        <f ca="1">IFERROR(__xludf.DUMMYFUNCTION("""COMPUTED_VALUE"""),"Новый")</f>
        <v>Новый</v>
      </c>
      <c r="G6474" s="68"/>
      <c r="K6474" s="68"/>
    </row>
    <row r="6475" spans="1:11" ht="12.75">
      <c r="A6475" s="69">
        <f ca="1">IFERROR(__xludf.DUMMYFUNCTION("""COMPUTED_VALUE"""),107792)</f>
        <v>107792</v>
      </c>
      <c r="B6475" s="4">
        <f ca="1">IFERROR(__xludf.DUMMYFUNCTION("""COMPUTED_VALUE"""),44825)</f>
        <v>44825</v>
      </c>
      <c r="C647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5" t="str">
        <f ca="1">IFERROR(__xludf.DUMMYFUNCTION("""COMPUTED_VALUE"""),"Новый")</f>
        <v>Новый</v>
      </c>
      <c r="G6475" s="68"/>
      <c r="K6475" s="68"/>
    </row>
    <row r="6476" spans="1:11" ht="12.75">
      <c r="A6476" s="69">
        <f ca="1">IFERROR(__xludf.DUMMYFUNCTION("""COMPUTED_VALUE"""),107793)</f>
        <v>107793</v>
      </c>
      <c r="B6476" s="4">
        <f ca="1">IFERROR(__xludf.DUMMYFUNCTION("""COMPUTED_VALUE"""),44825)</f>
        <v>44825</v>
      </c>
      <c r="C647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6" t="str">
        <f ca="1">IFERROR(__xludf.DUMMYFUNCTION("""COMPUTED_VALUE"""),"Новый")</f>
        <v>Новый</v>
      </c>
      <c r="G6476" s="68"/>
      <c r="K6476" s="68"/>
    </row>
    <row r="6477" spans="1:11" ht="12.75">
      <c r="A6477" s="69">
        <f ca="1">IFERROR(__xludf.DUMMYFUNCTION("""COMPUTED_VALUE"""),107794)</f>
        <v>107794</v>
      </c>
      <c r="B6477" s="4">
        <f ca="1">IFERROR(__xludf.DUMMYFUNCTION("""COMPUTED_VALUE"""),44825)</f>
        <v>44825</v>
      </c>
      <c r="C647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7" t="str">
        <f ca="1">IFERROR(__xludf.DUMMYFUNCTION("""COMPUTED_VALUE"""),"Новый")</f>
        <v>Новый</v>
      </c>
      <c r="G6477" s="68"/>
      <c r="K6477" s="68"/>
    </row>
    <row r="6478" spans="1:11" ht="12.75">
      <c r="A6478" s="69">
        <f ca="1">IFERROR(__xludf.DUMMYFUNCTION("""COMPUTED_VALUE"""),107795)</f>
        <v>107795</v>
      </c>
      <c r="B6478" s="4">
        <f ca="1">IFERROR(__xludf.DUMMYFUNCTION("""COMPUTED_VALUE"""),44825)</f>
        <v>44825</v>
      </c>
      <c r="C647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8" t="str">
        <f ca="1">IFERROR(__xludf.DUMMYFUNCTION("""COMPUTED_VALUE"""),"Новый")</f>
        <v>Новый</v>
      </c>
      <c r="G6478" s="68"/>
      <c r="K6478" s="68"/>
    </row>
    <row r="6479" spans="1:11" ht="12.75">
      <c r="A6479" s="69">
        <f ca="1">IFERROR(__xludf.DUMMYFUNCTION("""COMPUTED_VALUE"""),107796)</f>
        <v>107796</v>
      </c>
      <c r="B6479" s="4">
        <f ca="1">IFERROR(__xludf.DUMMYFUNCTION("""COMPUTED_VALUE"""),44825)</f>
        <v>44825</v>
      </c>
      <c r="C647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79" t="str">
        <f ca="1">IFERROR(__xludf.DUMMYFUNCTION("""COMPUTED_VALUE"""),"Новый")</f>
        <v>Новый</v>
      </c>
      <c r="G6479" s="68"/>
      <c r="K6479" s="68"/>
    </row>
    <row r="6480" spans="1:11" ht="12.75">
      <c r="A6480" s="69">
        <f ca="1">IFERROR(__xludf.DUMMYFUNCTION("""COMPUTED_VALUE"""),107797)</f>
        <v>107797</v>
      </c>
      <c r="B6480" s="4">
        <f ca="1">IFERROR(__xludf.DUMMYFUNCTION("""COMPUTED_VALUE"""),44825)</f>
        <v>44825</v>
      </c>
      <c r="C648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0" t="str">
        <f ca="1">IFERROR(__xludf.DUMMYFUNCTION("""COMPUTED_VALUE"""),"Новый")</f>
        <v>Новый</v>
      </c>
      <c r="G6480" s="68"/>
      <c r="K6480" s="68"/>
    </row>
    <row r="6481" spans="1:11" ht="12.75">
      <c r="A6481" s="69">
        <f ca="1">IFERROR(__xludf.DUMMYFUNCTION("""COMPUTED_VALUE"""),107798)</f>
        <v>107798</v>
      </c>
      <c r="B6481" s="4">
        <f ca="1">IFERROR(__xludf.DUMMYFUNCTION("""COMPUTED_VALUE"""),44825)</f>
        <v>44825</v>
      </c>
      <c r="C648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1" t="str">
        <f ca="1">IFERROR(__xludf.DUMMYFUNCTION("""COMPUTED_VALUE"""),"Новый")</f>
        <v>Новый</v>
      </c>
      <c r="G6481" s="68"/>
      <c r="K6481" s="68"/>
    </row>
    <row r="6482" spans="1:11" ht="12.75">
      <c r="A6482" s="69">
        <f ca="1">IFERROR(__xludf.DUMMYFUNCTION("""COMPUTED_VALUE"""),107799)</f>
        <v>107799</v>
      </c>
      <c r="B6482" s="4">
        <f ca="1">IFERROR(__xludf.DUMMYFUNCTION("""COMPUTED_VALUE"""),44825)</f>
        <v>44825</v>
      </c>
      <c r="C648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2" t="str">
        <f ca="1">IFERROR(__xludf.DUMMYFUNCTION("""COMPUTED_VALUE"""),"Новый")</f>
        <v>Новый</v>
      </c>
      <c r="G6482" s="68"/>
      <c r="K6482" s="68"/>
    </row>
    <row r="6483" spans="1:11" ht="12.75">
      <c r="A6483" s="69">
        <f ca="1">IFERROR(__xludf.DUMMYFUNCTION("""COMPUTED_VALUE"""),107800)</f>
        <v>107800</v>
      </c>
      <c r="B6483" s="4">
        <f ca="1">IFERROR(__xludf.DUMMYFUNCTION("""COMPUTED_VALUE"""),44825)</f>
        <v>44825</v>
      </c>
      <c r="C648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3" t="str">
        <f ca="1">IFERROR(__xludf.DUMMYFUNCTION("""COMPUTED_VALUE"""),"Новый")</f>
        <v>Новый</v>
      </c>
      <c r="G6483" s="68"/>
      <c r="K6483" s="68"/>
    </row>
    <row r="6484" spans="1:11" ht="12.75">
      <c r="A6484" s="69">
        <f ca="1">IFERROR(__xludf.DUMMYFUNCTION("""COMPUTED_VALUE"""),107801)</f>
        <v>107801</v>
      </c>
      <c r="B6484" s="4">
        <f ca="1">IFERROR(__xludf.DUMMYFUNCTION("""COMPUTED_VALUE"""),44825)</f>
        <v>44825</v>
      </c>
      <c r="C648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4" t="str">
        <f ca="1">IFERROR(__xludf.DUMMYFUNCTION("""COMPUTED_VALUE"""),"Новый")</f>
        <v>Новый</v>
      </c>
      <c r="G6484" s="68"/>
      <c r="K6484" s="68"/>
    </row>
    <row r="6485" spans="1:11" ht="12.75">
      <c r="A6485" s="69">
        <f ca="1">IFERROR(__xludf.DUMMYFUNCTION("""COMPUTED_VALUE"""),107802)</f>
        <v>107802</v>
      </c>
      <c r="B6485" s="4">
        <f ca="1">IFERROR(__xludf.DUMMYFUNCTION("""COMPUTED_VALUE"""),44825)</f>
        <v>44825</v>
      </c>
      <c r="C648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5" t="str">
        <f ca="1">IFERROR(__xludf.DUMMYFUNCTION("""COMPUTED_VALUE"""),"Новый")</f>
        <v>Новый</v>
      </c>
      <c r="G6485" s="68"/>
      <c r="K6485" s="68"/>
    </row>
    <row r="6486" spans="1:11" ht="12.75">
      <c r="A6486" s="69">
        <f ca="1">IFERROR(__xludf.DUMMYFUNCTION("""COMPUTED_VALUE"""),107803)</f>
        <v>107803</v>
      </c>
      <c r="B6486" s="4">
        <f ca="1">IFERROR(__xludf.DUMMYFUNCTION("""COMPUTED_VALUE"""),44825)</f>
        <v>44825</v>
      </c>
      <c r="C648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6" t="str">
        <f ca="1">IFERROR(__xludf.DUMMYFUNCTION("""COMPUTED_VALUE"""),"Новый")</f>
        <v>Новый</v>
      </c>
      <c r="G6486" s="68"/>
      <c r="K6486" s="68"/>
    </row>
    <row r="6487" spans="1:11" ht="12.75">
      <c r="A6487" s="69">
        <f ca="1">IFERROR(__xludf.DUMMYFUNCTION("""COMPUTED_VALUE"""),107804)</f>
        <v>107804</v>
      </c>
      <c r="B6487" s="4">
        <f ca="1">IFERROR(__xludf.DUMMYFUNCTION("""COMPUTED_VALUE"""),44825)</f>
        <v>44825</v>
      </c>
      <c r="C648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7" t="str">
        <f ca="1">IFERROR(__xludf.DUMMYFUNCTION("""COMPUTED_VALUE"""),"Новый")</f>
        <v>Новый</v>
      </c>
      <c r="G6487" s="68"/>
      <c r="K6487" s="68"/>
    </row>
    <row r="6488" spans="1:11" ht="12.75">
      <c r="A6488" s="69">
        <f ca="1">IFERROR(__xludf.DUMMYFUNCTION("""COMPUTED_VALUE"""),107805)</f>
        <v>107805</v>
      </c>
      <c r="B6488" s="4">
        <f ca="1">IFERROR(__xludf.DUMMYFUNCTION("""COMPUTED_VALUE"""),44825)</f>
        <v>44825</v>
      </c>
      <c r="C648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8" t="str">
        <f ca="1">IFERROR(__xludf.DUMMYFUNCTION("""COMPUTED_VALUE"""),"Новый")</f>
        <v>Новый</v>
      </c>
      <c r="G6488" s="68"/>
      <c r="K6488" s="68"/>
    </row>
    <row r="6489" spans="1:11" ht="12.75">
      <c r="A6489" s="69">
        <f ca="1">IFERROR(__xludf.DUMMYFUNCTION("""COMPUTED_VALUE"""),107806)</f>
        <v>107806</v>
      </c>
      <c r="B6489" s="4">
        <f ca="1">IFERROR(__xludf.DUMMYFUNCTION("""COMPUTED_VALUE"""),44825)</f>
        <v>44825</v>
      </c>
      <c r="C648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89" t="str">
        <f ca="1">IFERROR(__xludf.DUMMYFUNCTION("""COMPUTED_VALUE"""),"Новый")</f>
        <v>Новый</v>
      </c>
      <c r="G6489" s="68"/>
      <c r="K6489" s="68"/>
    </row>
    <row r="6490" spans="1:11" ht="12.75">
      <c r="A6490" s="69">
        <f ca="1">IFERROR(__xludf.DUMMYFUNCTION("""COMPUTED_VALUE"""),107807)</f>
        <v>107807</v>
      </c>
      <c r="B6490" s="4">
        <f ca="1">IFERROR(__xludf.DUMMYFUNCTION("""COMPUTED_VALUE"""),44825)</f>
        <v>44825</v>
      </c>
      <c r="C649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0" t="str">
        <f ca="1">IFERROR(__xludf.DUMMYFUNCTION("""COMPUTED_VALUE"""),"Новый")</f>
        <v>Новый</v>
      </c>
      <c r="G6490" s="68"/>
      <c r="K6490" s="68"/>
    </row>
    <row r="6491" spans="1:11" ht="12.75">
      <c r="A6491" s="69">
        <f ca="1">IFERROR(__xludf.DUMMYFUNCTION("""COMPUTED_VALUE"""),107808)</f>
        <v>107808</v>
      </c>
      <c r="B6491" s="4">
        <f ca="1">IFERROR(__xludf.DUMMYFUNCTION("""COMPUTED_VALUE"""),44825)</f>
        <v>44825</v>
      </c>
      <c r="C649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1" t="str">
        <f ca="1">IFERROR(__xludf.DUMMYFUNCTION("""COMPUTED_VALUE"""),"Новый")</f>
        <v>Новый</v>
      </c>
      <c r="G6491" s="68"/>
      <c r="K6491" s="68"/>
    </row>
    <row r="6492" spans="1:11" ht="12.75">
      <c r="A6492" s="69">
        <f ca="1">IFERROR(__xludf.DUMMYFUNCTION("""COMPUTED_VALUE"""),107809)</f>
        <v>107809</v>
      </c>
      <c r="B6492" s="4">
        <f ca="1">IFERROR(__xludf.DUMMYFUNCTION("""COMPUTED_VALUE"""),44825)</f>
        <v>44825</v>
      </c>
      <c r="C649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2" t="str">
        <f ca="1">IFERROR(__xludf.DUMMYFUNCTION("""COMPUTED_VALUE"""),"Новый")</f>
        <v>Новый</v>
      </c>
      <c r="G6492" s="68"/>
      <c r="K6492" s="68"/>
    </row>
    <row r="6493" spans="1:11" ht="12.75">
      <c r="A6493" s="69">
        <f ca="1">IFERROR(__xludf.DUMMYFUNCTION("""COMPUTED_VALUE"""),107810)</f>
        <v>107810</v>
      </c>
      <c r="B6493" s="4">
        <f ca="1">IFERROR(__xludf.DUMMYFUNCTION("""COMPUTED_VALUE"""),44825)</f>
        <v>44825</v>
      </c>
      <c r="C649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3" t="str">
        <f ca="1">IFERROR(__xludf.DUMMYFUNCTION("""COMPUTED_VALUE"""),"Новый")</f>
        <v>Новый</v>
      </c>
      <c r="G6493" s="68"/>
      <c r="K6493" s="68"/>
    </row>
    <row r="6494" spans="1:11" ht="12.75">
      <c r="A6494" s="69">
        <f ca="1">IFERROR(__xludf.DUMMYFUNCTION("""COMPUTED_VALUE"""),107811)</f>
        <v>107811</v>
      </c>
      <c r="B6494" s="4">
        <f ca="1">IFERROR(__xludf.DUMMYFUNCTION("""COMPUTED_VALUE"""),44825)</f>
        <v>44825</v>
      </c>
      <c r="C649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4" t="str">
        <f ca="1">IFERROR(__xludf.DUMMYFUNCTION("""COMPUTED_VALUE"""),"Новый")</f>
        <v>Новый</v>
      </c>
      <c r="G6494" s="68"/>
      <c r="K6494" s="68"/>
    </row>
    <row r="6495" spans="1:11" ht="12.75">
      <c r="A6495" s="69">
        <f ca="1">IFERROR(__xludf.DUMMYFUNCTION("""COMPUTED_VALUE"""),107812)</f>
        <v>107812</v>
      </c>
      <c r="B6495" s="4">
        <f ca="1">IFERROR(__xludf.DUMMYFUNCTION("""COMPUTED_VALUE"""),44825)</f>
        <v>44825</v>
      </c>
      <c r="C649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5" t="str">
        <f ca="1">IFERROR(__xludf.DUMMYFUNCTION("""COMPUTED_VALUE"""),"Новый")</f>
        <v>Новый</v>
      </c>
      <c r="G6495" s="68"/>
      <c r="K6495" s="68"/>
    </row>
    <row r="6496" spans="1:11" ht="12.75">
      <c r="A6496" s="69">
        <f ca="1">IFERROR(__xludf.DUMMYFUNCTION("""COMPUTED_VALUE"""),107813)</f>
        <v>107813</v>
      </c>
      <c r="B6496" s="4">
        <f ca="1">IFERROR(__xludf.DUMMYFUNCTION("""COMPUTED_VALUE"""),44825)</f>
        <v>44825</v>
      </c>
      <c r="C649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6" t="str">
        <f ca="1">IFERROR(__xludf.DUMMYFUNCTION("""COMPUTED_VALUE"""),"Новый")</f>
        <v>Новый</v>
      </c>
      <c r="G6496" s="68"/>
      <c r="K6496" s="68"/>
    </row>
    <row r="6497" spans="1:11" ht="12.75">
      <c r="A6497" s="69">
        <f ca="1">IFERROR(__xludf.DUMMYFUNCTION("""COMPUTED_VALUE"""),107814)</f>
        <v>107814</v>
      </c>
      <c r="B6497" s="4">
        <f ca="1">IFERROR(__xludf.DUMMYFUNCTION("""COMPUTED_VALUE"""),44825)</f>
        <v>44825</v>
      </c>
      <c r="C649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7" t="str">
        <f ca="1">IFERROR(__xludf.DUMMYFUNCTION("""COMPUTED_VALUE"""),"Новый")</f>
        <v>Новый</v>
      </c>
      <c r="G6497" s="68"/>
      <c r="K6497" s="68"/>
    </row>
    <row r="6498" spans="1:11" ht="12.75">
      <c r="A6498" s="69">
        <f ca="1">IFERROR(__xludf.DUMMYFUNCTION("""COMPUTED_VALUE"""),107815)</f>
        <v>107815</v>
      </c>
      <c r="B6498" s="4">
        <f ca="1">IFERROR(__xludf.DUMMYFUNCTION("""COMPUTED_VALUE"""),44825)</f>
        <v>44825</v>
      </c>
      <c r="C649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8" t="str">
        <f ca="1">IFERROR(__xludf.DUMMYFUNCTION("""COMPUTED_VALUE"""),"Новый")</f>
        <v>Новый</v>
      </c>
      <c r="G6498" s="68"/>
      <c r="K6498" s="68"/>
    </row>
    <row r="6499" spans="1:11" ht="12.75">
      <c r="A6499" s="69">
        <f ca="1">IFERROR(__xludf.DUMMYFUNCTION("""COMPUTED_VALUE"""),107816)</f>
        <v>107816</v>
      </c>
      <c r="B6499" s="4">
        <f ca="1">IFERROR(__xludf.DUMMYFUNCTION("""COMPUTED_VALUE"""),44825)</f>
        <v>44825</v>
      </c>
      <c r="C649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4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499" t="str">
        <f ca="1">IFERROR(__xludf.DUMMYFUNCTION("""COMPUTED_VALUE"""),"Новый")</f>
        <v>Новый</v>
      </c>
      <c r="G6499" s="68"/>
      <c r="K6499" s="68"/>
    </row>
    <row r="6500" spans="1:11" ht="12.75">
      <c r="A6500" s="69">
        <f ca="1">IFERROR(__xludf.DUMMYFUNCTION("""COMPUTED_VALUE"""),107817)</f>
        <v>107817</v>
      </c>
      <c r="B6500" s="4">
        <f ca="1">IFERROR(__xludf.DUMMYFUNCTION("""COMPUTED_VALUE"""),44825)</f>
        <v>44825</v>
      </c>
      <c r="C650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0" t="str">
        <f ca="1">IFERROR(__xludf.DUMMYFUNCTION("""COMPUTED_VALUE"""),"Новый")</f>
        <v>Новый</v>
      </c>
      <c r="G6500" s="68"/>
      <c r="K6500" s="68"/>
    </row>
    <row r="6501" spans="1:11" ht="12.75">
      <c r="A6501" s="69">
        <f ca="1">IFERROR(__xludf.DUMMYFUNCTION("""COMPUTED_VALUE"""),107818)</f>
        <v>107818</v>
      </c>
      <c r="B6501" s="4">
        <f ca="1">IFERROR(__xludf.DUMMYFUNCTION("""COMPUTED_VALUE"""),44825)</f>
        <v>44825</v>
      </c>
      <c r="C650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1" t="str">
        <f ca="1">IFERROR(__xludf.DUMMYFUNCTION("""COMPUTED_VALUE"""),"Новый")</f>
        <v>Новый</v>
      </c>
      <c r="G6501" s="68"/>
      <c r="K6501" s="68"/>
    </row>
    <row r="6502" spans="1:11" ht="12.75">
      <c r="A6502" s="69">
        <f ca="1">IFERROR(__xludf.DUMMYFUNCTION("""COMPUTED_VALUE"""),107819)</f>
        <v>107819</v>
      </c>
      <c r="B6502" s="4">
        <f ca="1">IFERROR(__xludf.DUMMYFUNCTION("""COMPUTED_VALUE"""),44825)</f>
        <v>44825</v>
      </c>
      <c r="C650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2" t="str">
        <f ca="1">IFERROR(__xludf.DUMMYFUNCTION("""COMPUTED_VALUE"""),"Новый")</f>
        <v>Новый</v>
      </c>
      <c r="G6502" s="68"/>
      <c r="K6502" s="68"/>
    </row>
    <row r="6503" spans="1:11" ht="12.75">
      <c r="A6503" s="69">
        <f ca="1">IFERROR(__xludf.DUMMYFUNCTION("""COMPUTED_VALUE"""),107820)</f>
        <v>107820</v>
      </c>
      <c r="B6503" s="4">
        <f ca="1">IFERROR(__xludf.DUMMYFUNCTION("""COMPUTED_VALUE"""),44825)</f>
        <v>44825</v>
      </c>
      <c r="C6503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3" t="str">
        <f ca="1">IFERROR(__xludf.DUMMYFUNCTION("""COMPUTED_VALUE"""),"Новый")</f>
        <v>Новый</v>
      </c>
      <c r="G6503" s="68"/>
      <c r="K6503" s="68"/>
    </row>
    <row r="6504" spans="1:11" ht="12.75">
      <c r="A6504" s="69">
        <f ca="1">IFERROR(__xludf.DUMMYFUNCTION("""COMPUTED_VALUE"""),107821)</f>
        <v>107821</v>
      </c>
      <c r="B6504" s="4">
        <f ca="1">IFERROR(__xludf.DUMMYFUNCTION("""COMPUTED_VALUE"""),44825)</f>
        <v>44825</v>
      </c>
      <c r="C6504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4" t="str">
        <f ca="1">IFERROR(__xludf.DUMMYFUNCTION("""COMPUTED_VALUE"""),"Новый")</f>
        <v>Новый</v>
      </c>
      <c r="G6504" s="68"/>
      <c r="K6504" s="68"/>
    </row>
    <row r="6505" spans="1:11" ht="12.75">
      <c r="A6505" s="69">
        <f ca="1">IFERROR(__xludf.DUMMYFUNCTION("""COMPUTED_VALUE"""),107822)</f>
        <v>107822</v>
      </c>
      <c r="B6505" s="4">
        <f ca="1">IFERROR(__xludf.DUMMYFUNCTION("""COMPUTED_VALUE"""),44825)</f>
        <v>44825</v>
      </c>
      <c r="C6505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5" t="str">
        <f ca="1">IFERROR(__xludf.DUMMYFUNCTION("""COMPUTED_VALUE"""),"Новый")</f>
        <v>Новый</v>
      </c>
      <c r="G6505" s="68"/>
      <c r="K6505" s="68"/>
    </row>
    <row r="6506" spans="1:11" ht="12.75">
      <c r="A6506" s="69">
        <f ca="1">IFERROR(__xludf.DUMMYFUNCTION("""COMPUTED_VALUE"""),107823)</f>
        <v>107823</v>
      </c>
      <c r="B6506" s="4">
        <f ca="1">IFERROR(__xludf.DUMMYFUNCTION("""COMPUTED_VALUE"""),44825)</f>
        <v>44825</v>
      </c>
      <c r="C6506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6" t="str">
        <f ca="1">IFERROR(__xludf.DUMMYFUNCTION("""COMPUTED_VALUE"""),"Новый")</f>
        <v>Новый</v>
      </c>
      <c r="G6506" s="68"/>
      <c r="K6506" s="68"/>
    </row>
    <row r="6507" spans="1:11" ht="12.75">
      <c r="A6507" s="69">
        <f ca="1">IFERROR(__xludf.DUMMYFUNCTION("""COMPUTED_VALUE"""),107824)</f>
        <v>107824</v>
      </c>
      <c r="B6507" s="4">
        <f ca="1">IFERROR(__xludf.DUMMYFUNCTION("""COMPUTED_VALUE"""),44825)</f>
        <v>44825</v>
      </c>
      <c r="C6507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7" t="str">
        <f ca="1">IFERROR(__xludf.DUMMYFUNCTION("""COMPUTED_VALUE"""),"Новый")</f>
        <v>Новый</v>
      </c>
      <c r="G6507" s="68"/>
      <c r="K6507" s="68"/>
    </row>
    <row r="6508" spans="1:11" ht="12.75">
      <c r="A6508" s="69">
        <f ca="1">IFERROR(__xludf.DUMMYFUNCTION("""COMPUTED_VALUE"""),107825)</f>
        <v>107825</v>
      </c>
      <c r="B6508" s="4">
        <f ca="1">IFERROR(__xludf.DUMMYFUNCTION("""COMPUTED_VALUE"""),44825)</f>
        <v>44825</v>
      </c>
      <c r="C6508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8" t="str">
        <f ca="1">IFERROR(__xludf.DUMMYFUNCTION("""COMPUTED_VALUE"""),"Новый")</f>
        <v>Новый</v>
      </c>
      <c r="G6508" s="68"/>
      <c r="K6508" s="68"/>
    </row>
    <row r="6509" spans="1:11" ht="12.75">
      <c r="A6509" s="69">
        <f ca="1">IFERROR(__xludf.DUMMYFUNCTION("""COMPUTED_VALUE"""),107826)</f>
        <v>107826</v>
      </c>
      <c r="B6509" s="4">
        <f ca="1">IFERROR(__xludf.DUMMYFUNCTION("""COMPUTED_VALUE"""),44825)</f>
        <v>44825</v>
      </c>
      <c r="C6509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09" t="str">
        <f ca="1">IFERROR(__xludf.DUMMYFUNCTION("""COMPUTED_VALUE"""),"Новый")</f>
        <v>Новый</v>
      </c>
      <c r="G6509" s="68"/>
      <c r="K6509" s="68"/>
    </row>
    <row r="6510" spans="1:11" ht="12.75">
      <c r="A6510" s="69">
        <f ca="1">IFERROR(__xludf.DUMMYFUNCTION("""COMPUTED_VALUE"""),107827)</f>
        <v>107827</v>
      </c>
      <c r="B6510" s="4">
        <f ca="1">IFERROR(__xludf.DUMMYFUNCTION("""COMPUTED_VALUE"""),44825)</f>
        <v>44825</v>
      </c>
      <c r="C6510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10" t="str">
        <f ca="1">IFERROR(__xludf.DUMMYFUNCTION("""COMPUTED_VALUE"""),"Новый")</f>
        <v>Новый</v>
      </c>
      <c r="G6510" s="68"/>
      <c r="K6510" s="68"/>
    </row>
    <row r="6511" spans="1:11" ht="12.75">
      <c r="A6511" s="69">
        <f ca="1">IFERROR(__xludf.DUMMYFUNCTION("""COMPUTED_VALUE"""),107829)</f>
        <v>107829</v>
      </c>
      <c r="B6511" s="4">
        <f ca="1">IFERROR(__xludf.DUMMYFUNCTION("""COMPUTED_VALUE"""),44825)</f>
        <v>44825</v>
      </c>
      <c r="C6511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11" t="str">
        <f ca="1">IFERROR(__xludf.DUMMYFUNCTION("""COMPUTED_VALUE"""),"Новый")</f>
        <v>Новый</v>
      </c>
      <c r="G6511" s="68"/>
      <c r="K6511" s="68"/>
    </row>
    <row r="6512" spans="1:11" ht="12.75">
      <c r="A6512" s="69">
        <f ca="1">IFERROR(__xludf.DUMMYFUNCTION("""COMPUTED_VALUE"""),107830)</f>
        <v>107830</v>
      </c>
      <c r="B6512" s="4">
        <f ca="1">IFERROR(__xludf.DUMMYFUNCTION("""COMPUTED_VALUE"""),44825)</f>
        <v>44825</v>
      </c>
      <c r="C6512" t="str">
        <f ca="1">IFERROR(__xludf.DUMMYFUNCTION("""COMPUTED_VALUE"""),"МП ""Электрический транспорт"", 37-РДО от 03.07.2020")</f>
        <v>МП "Электрический транспорт", 37-РДО от 03.07.2020</v>
      </c>
      <c r="D65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12" t="str">
        <f ca="1">IFERROR(__xludf.DUMMYFUNCTION("""COMPUTED_VALUE"""),"Новый")</f>
        <v>Новый</v>
      </c>
      <c r="G6512" s="68"/>
      <c r="K6512" s="68"/>
    </row>
    <row r="6513" spans="1:11" ht="12.75">
      <c r="A6513" s="69">
        <f ca="1">IFERROR(__xludf.DUMMYFUNCTION("""COMPUTED_VALUE"""),107832)</f>
        <v>107832</v>
      </c>
      <c r="B6513" s="4">
        <f ca="1">IFERROR(__xludf.DUMMYFUNCTION("""COMPUTED_VALUE"""),44825)</f>
        <v>44825</v>
      </c>
      <c r="C6513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3" t="str">
        <f ca="1">IFERROR(__xludf.DUMMYFUNCTION("""COMPUTED_VALUE"""),"Новый")</f>
        <v>Новый</v>
      </c>
      <c r="G6513" s="68"/>
      <c r="K6513" s="68"/>
    </row>
    <row r="6514" spans="1:11" ht="12.75">
      <c r="A6514" s="69">
        <f ca="1">IFERROR(__xludf.DUMMYFUNCTION("""COMPUTED_VALUE"""),107834)</f>
        <v>107834</v>
      </c>
      <c r="B6514" s="4">
        <f ca="1">IFERROR(__xludf.DUMMYFUNCTION("""COMPUTED_VALUE"""),44825)</f>
        <v>44825</v>
      </c>
      <c r="C6514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4" t="str">
        <f ca="1">IFERROR(__xludf.DUMMYFUNCTION("""COMPUTED_VALUE"""),"Новый")</f>
        <v>Новый</v>
      </c>
      <c r="G6514" s="68"/>
      <c r="K6514" s="68"/>
    </row>
    <row r="6515" spans="1:11" ht="12.75">
      <c r="A6515" s="69">
        <f ca="1">IFERROR(__xludf.DUMMYFUNCTION("""COMPUTED_VALUE"""),107835)</f>
        <v>107835</v>
      </c>
      <c r="B6515" s="4">
        <f ca="1">IFERROR(__xludf.DUMMYFUNCTION("""COMPUTED_VALUE"""),44825)</f>
        <v>44825</v>
      </c>
      <c r="C6515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5" t="str">
        <f ca="1">IFERROR(__xludf.DUMMYFUNCTION("""COMPUTED_VALUE"""),"Новый")</f>
        <v>Новый</v>
      </c>
      <c r="G6515" s="68"/>
      <c r="K6515" s="68"/>
    </row>
    <row r="6516" spans="1:11" ht="12.75">
      <c r="A6516" s="69">
        <f ca="1">IFERROR(__xludf.DUMMYFUNCTION("""COMPUTED_VALUE"""),107838)</f>
        <v>107838</v>
      </c>
      <c r="B6516" s="4">
        <f ca="1">IFERROR(__xludf.DUMMYFUNCTION("""COMPUTED_VALUE"""),44825)</f>
        <v>44825</v>
      </c>
      <c r="C6516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6" t="str">
        <f ca="1">IFERROR(__xludf.DUMMYFUNCTION("""COMPUTED_VALUE"""),"Новый")</f>
        <v>Новый</v>
      </c>
      <c r="G6516" s="68"/>
      <c r="K6516" s="68"/>
    </row>
    <row r="6517" spans="1:11" ht="12.75">
      <c r="A6517" s="69">
        <f ca="1">IFERROR(__xludf.DUMMYFUNCTION("""COMPUTED_VALUE"""),107839)</f>
        <v>107839</v>
      </c>
      <c r="B6517" s="4">
        <f ca="1">IFERROR(__xludf.DUMMYFUNCTION("""COMPUTED_VALUE"""),44825)</f>
        <v>44825</v>
      </c>
      <c r="C6517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7" t="str">
        <f ca="1">IFERROR(__xludf.DUMMYFUNCTION("""COMPUTED_VALUE"""),"Новый")</f>
        <v>Новый</v>
      </c>
      <c r="G6517" s="68"/>
      <c r="K6517" s="68"/>
    </row>
    <row r="6518" spans="1:11" ht="12.75">
      <c r="A6518" s="69">
        <f ca="1">IFERROR(__xludf.DUMMYFUNCTION("""COMPUTED_VALUE"""),107840)</f>
        <v>107840</v>
      </c>
      <c r="B6518" s="4">
        <f ca="1">IFERROR(__xludf.DUMMYFUNCTION("""COMPUTED_VALUE"""),44825)</f>
        <v>44825</v>
      </c>
      <c r="C6518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8" t="str">
        <f ca="1">IFERROR(__xludf.DUMMYFUNCTION("""COMPUTED_VALUE"""),"Новый")</f>
        <v>Новый</v>
      </c>
      <c r="G6518" s="68"/>
      <c r="K6518" s="68"/>
    </row>
    <row r="6519" spans="1:11" ht="12.75">
      <c r="A6519" s="69">
        <f ca="1">IFERROR(__xludf.DUMMYFUNCTION("""COMPUTED_VALUE"""),107842)</f>
        <v>107842</v>
      </c>
      <c r="B6519" s="4">
        <f ca="1">IFERROR(__xludf.DUMMYFUNCTION("""COMPUTED_VALUE"""),44825)</f>
        <v>44825</v>
      </c>
      <c r="C6519" t="str">
        <f ca="1">IFERROR(__xludf.DUMMYFUNCTION("""COMPUTED_VALUE"""),"ИП Зюлин Егор Геннадьевич 104-СТР от 24.08.2012")</f>
        <v>ИП Зюлин Егор Геннадьевич 104-СТР от 24.08.2012</v>
      </c>
      <c r="D65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19" t="str">
        <f ca="1">IFERROR(__xludf.DUMMYFUNCTION("""COMPUTED_VALUE"""),"Новый")</f>
        <v>Новый</v>
      </c>
      <c r="G6519" s="68"/>
      <c r="K6519" s="68"/>
    </row>
    <row r="6520" spans="1:11" ht="12.75">
      <c r="A6520" s="69">
        <f ca="1">IFERROR(__xludf.DUMMYFUNCTION("""COMPUTED_VALUE"""),107843)</f>
        <v>107843</v>
      </c>
      <c r="B6520" s="4">
        <f ca="1">IFERROR(__xludf.DUMMYFUNCTION("""COMPUTED_VALUE"""),44825)</f>
        <v>44825</v>
      </c>
      <c r="C6520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0" t="str">
        <f ca="1">IFERROR(__xludf.DUMMYFUNCTION("""COMPUTED_VALUE"""),"Новый")</f>
        <v>Новый</v>
      </c>
      <c r="G6520" s="68"/>
      <c r="K6520" s="68"/>
    </row>
    <row r="6521" spans="1:11" ht="12.75">
      <c r="A6521" s="69">
        <f ca="1">IFERROR(__xludf.DUMMYFUNCTION("""COMPUTED_VALUE"""),107844)</f>
        <v>107844</v>
      </c>
      <c r="B6521" s="4">
        <f ca="1">IFERROR(__xludf.DUMMYFUNCTION("""COMPUTED_VALUE"""),44825)</f>
        <v>44825</v>
      </c>
      <c r="C6521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1" t="str">
        <f ca="1">IFERROR(__xludf.DUMMYFUNCTION("""COMPUTED_VALUE"""),"Новый")</f>
        <v>Новый</v>
      </c>
      <c r="G6521" s="68"/>
      <c r="K6521" s="68"/>
    </row>
    <row r="6522" spans="1:11" ht="12.75">
      <c r="A6522" s="69">
        <f ca="1">IFERROR(__xludf.DUMMYFUNCTION("""COMPUTED_VALUE"""),107845)</f>
        <v>107845</v>
      </c>
      <c r="B6522" s="4">
        <f ca="1">IFERROR(__xludf.DUMMYFUNCTION("""COMPUTED_VALUE"""),44825)</f>
        <v>44825</v>
      </c>
      <c r="C6522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2" t="str">
        <f ca="1">IFERROR(__xludf.DUMMYFUNCTION("""COMPUTED_VALUE"""),"Новый")</f>
        <v>Новый</v>
      </c>
      <c r="G6522" s="68"/>
      <c r="K6522" s="68"/>
    </row>
    <row r="6523" spans="1:11" ht="12.75">
      <c r="A6523" s="69">
        <f ca="1">IFERROR(__xludf.DUMMYFUNCTION("""COMPUTED_VALUE"""),107846)</f>
        <v>107846</v>
      </c>
      <c r="B6523" s="4">
        <f ca="1">IFERROR(__xludf.DUMMYFUNCTION("""COMPUTED_VALUE"""),44825)</f>
        <v>44825</v>
      </c>
      <c r="C6523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3" t="str">
        <f ca="1">IFERROR(__xludf.DUMMYFUNCTION("""COMPUTED_VALUE"""),"Новый")</f>
        <v>Новый</v>
      </c>
      <c r="G6523" s="68"/>
      <c r="K6523" s="68"/>
    </row>
    <row r="6524" spans="1:11" ht="12.75">
      <c r="A6524" s="69">
        <f ca="1">IFERROR(__xludf.DUMMYFUNCTION("""COMPUTED_VALUE"""),107847)</f>
        <v>107847</v>
      </c>
      <c r="B6524" s="4">
        <f ca="1">IFERROR(__xludf.DUMMYFUNCTION("""COMPUTED_VALUE"""),44825)</f>
        <v>44825</v>
      </c>
      <c r="C6524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4" t="str">
        <f ca="1">IFERROR(__xludf.DUMMYFUNCTION("""COMPUTED_VALUE"""),"Новый")</f>
        <v>Новый</v>
      </c>
      <c r="G6524" s="68"/>
      <c r="K6524" s="68"/>
    </row>
    <row r="6525" spans="1:11" ht="12.75">
      <c r="A6525" s="69">
        <f ca="1">IFERROR(__xludf.DUMMYFUNCTION("""COMPUTED_VALUE"""),107848)</f>
        <v>107848</v>
      </c>
      <c r="B6525" s="4">
        <f ca="1">IFERROR(__xludf.DUMMYFUNCTION("""COMPUTED_VALUE"""),44825)</f>
        <v>44825</v>
      </c>
      <c r="C6525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5" t="str">
        <f ca="1">IFERROR(__xludf.DUMMYFUNCTION("""COMPUTED_VALUE"""),"Новый")</f>
        <v>Новый</v>
      </c>
      <c r="G6525" s="68"/>
      <c r="K6525" s="68"/>
    </row>
    <row r="6526" spans="1:11" ht="12.75">
      <c r="A6526" s="69">
        <f ca="1">IFERROR(__xludf.DUMMYFUNCTION("""COMPUTED_VALUE"""),107849)</f>
        <v>107849</v>
      </c>
      <c r="B6526" s="4">
        <f ca="1">IFERROR(__xludf.DUMMYFUNCTION("""COMPUTED_VALUE"""),44825)</f>
        <v>44825</v>
      </c>
      <c r="C6526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6" t="str">
        <f ca="1">IFERROR(__xludf.DUMMYFUNCTION("""COMPUTED_VALUE"""),"Новый")</f>
        <v>Новый</v>
      </c>
      <c r="G6526" s="68"/>
      <c r="K6526" s="68"/>
    </row>
    <row r="6527" spans="1:11" ht="12.75">
      <c r="A6527" s="69">
        <f ca="1">IFERROR(__xludf.DUMMYFUNCTION("""COMPUTED_VALUE"""),107851)</f>
        <v>107851</v>
      </c>
      <c r="B6527" s="4">
        <f ca="1">IFERROR(__xludf.DUMMYFUNCTION("""COMPUTED_VALUE"""),44825)</f>
        <v>44825</v>
      </c>
      <c r="C6527" t="str">
        <f ca="1">IFERROR(__xludf.DUMMYFUNCTION("""COMPUTED_VALUE"""),"ИП Зюлин Егор Геннадьевич 104-СТР от 24.08.2012")</f>
        <v>ИП Зюлин Егор Геннадьевич 104-СТР от 24.08.2012</v>
      </c>
      <c r="D65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27" t="str">
        <f ca="1">IFERROR(__xludf.DUMMYFUNCTION("""COMPUTED_VALUE"""),"Новый")</f>
        <v>Новый</v>
      </c>
      <c r="G6527" s="68"/>
      <c r="K6527" s="68"/>
    </row>
    <row r="6528" spans="1:11" ht="12.75">
      <c r="A6528" s="69">
        <f ca="1">IFERROR(__xludf.DUMMYFUNCTION("""COMPUTED_VALUE"""),107852)</f>
        <v>107852</v>
      </c>
      <c r="B6528" s="4">
        <f ca="1">IFERROR(__xludf.DUMMYFUNCTION("""COMPUTED_VALUE"""),44826)</f>
        <v>44826</v>
      </c>
      <c r="C6528" t="str">
        <f ca="1">IFERROR(__xludf.DUMMYFUNCTION("""COMPUTED_VALUE"""),"ИП Безрук Галина Николаевна 214-РДО от 22.09.2022")</f>
        <v>ИП Безрук Галина Николаевна 214-РДО от 22.09.2022</v>
      </c>
      <c r="D65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28" t="str">
        <f ca="1">IFERROR(__xludf.DUMMYFUNCTION("""COMPUTED_VALUE"""),"Новый")</f>
        <v>Новый</v>
      </c>
      <c r="G6528" s="68"/>
      <c r="K6528" s="68"/>
    </row>
    <row r="6529" spans="1:11" ht="12.75">
      <c r="A6529" s="69">
        <f ca="1">IFERROR(__xludf.DUMMYFUNCTION("""COMPUTED_VALUE"""),107853)</f>
        <v>107853</v>
      </c>
      <c r="B6529" s="4">
        <f ca="1">IFERROR(__xludf.DUMMYFUNCTION("""COMPUTED_VALUE"""),44826)</f>
        <v>44826</v>
      </c>
      <c r="C6529" t="str">
        <f ca="1">IFERROR(__xludf.DUMMYFUNCTION("""COMPUTED_VALUE"""),"ИП Безрук Галина Николаевна 214-РДО от 22.09.2022")</f>
        <v>ИП Безрук Галина Николаевна 214-РДО от 22.09.2022</v>
      </c>
      <c r="D65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29" t="str">
        <f ca="1">IFERROR(__xludf.DUMMYFUNCTION("""COMPUTED_VALUE"""),"Новый")</f>
        <v>Новый</v>
      </c>
      <c r="G6529" s="68"/>
      <c r="K6529" s="68"/>
    </row>
    <row r="6530" spans="1:11" ht="12.75">
      <c r="A6530" s="69">
        <f ca="1">IFERROR(__xludf.DUMMYFUNCTION("""COMPUTED_VALUE"""),107862)</f>
        <v>107862</v>
      </c>
      <c r="B6530" s="4">
        <f ca="1">IFERROR(__xludf.DUMMYFUNCTION("""COMPUTED_VALUE"""),44827)</f>
        <v>44827</v>
      </c>
      <c r="C6530" t="str">
        <f ca="1">IFERROR(__xludf.DUMMYFUNCTION("""COMPUTED_VALUE"""),"ООО ""ОМСКТЕХУГЛЕРОД"" 137-РДО от 25.04.2022")</f>
        <v>ООО "ОМСКТЕХУГЛЕРОД" 137-РДО от 25.04.2022</v>
      </c>
      <c r="D65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0" t="str">
        <f ca="1">IFERROR(__xludf.DUMMYFUNCTION("""COMPUTED_VALUE"""),"Новый")</f>
        <v>Новый</v>
      </c>
      <c r="G6530" s="68"/>
      <c r="K6530" s="68"/>
    </row>
    <row r="6531" spans="1:11" ht="12.75">
      <c r="A6531" s="69">
        <f ca="1">IFERROR(__xludf.DUMMYFUNCTION("""COMPUTED_VALUE"""),107863)</f>
        <v>107863</v>
      </c>
      <c r="B6531" s="4">
        <f ca="1">IFERROR(__xludf.DUMMYFUNCTION("""COMPUTED_VALUE"""),44827)</f>
        <v>44827</v>
      </c>
      <c r="C6531" t="str">
        <f ca="1">IFERROR(__xludf.DUMMYFUNCTION("""COMPUTED_VALUE"""),"ООО ""ОМСКТЕХУГЛЕРОД"" 137-РДО от 25.04.2022")</f>
        <v>ООО "ОМСКТЕХУГЛЕРОД" 137-РДО от 25.04.2022</v>
      </c>
      <c r="D65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1" t="str">
        <f ca="1">IFERROR(__xludf.DUMMYFUNCTION("""COMPUTED_VALUE"""),"Новый")</f>
        <v>Новый</v>
      </c>
      <c r="G6531" s="68"/>
      <c r="K6531" s="68"/>
    </row>
    <row r="6532" spans="1:11" ht="12.75">
      <c r="A6532" s="69">
        <f ca="1">IFERROR(__xludf.DUMMYFUNCTION("""COMPUTED_VALUE"""),107864)</f>
        <v>107864</v>
      </c>
      <c r="B6532" s="4">
        <f ca="1">IFERROR(__xludf.DUMMYFUNCTION("""COMPUTED_VALUE"""),44830)</f>
        <v>44830</v>
      </c>
      <c r="C6532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65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32" t="str">
        <f ca="1">IFERROR(__xludf.DUMMYFUNCTION("""COMPUTED_VALUE"""),"Новый")</f>
        <v>Новый</v>
      </c>
      <c r="G6532" s="68"/>
      <c r="K6532" s="68"/>
    </row>
    <row r="6533" spans="1:11" ht="12.75">
      <c r="A6533" s="69">
        <f ca="1">IFERROR(__xludf.DUMMYFUNCTION("""COMPUTED_VALUE"""),107865)</f>
        <v>107865</v>
      </c>
      <c r="B6533" s="4">
        <f ca="1">IFERROR(__xludf.DUMMYFUNCTION("""COMPUTED_VALUE"""),44830)</f>
        <v>44830</v>
      </c>
      <c r="C6533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65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33" t="str">
        <f ca="1">IFERROR(__xludf.DUMMYFUNCTION("""COMPUTED_VALUE"""),"Новый")</f>
        <v>Новый</v>
      </c>
      <c r="G6533" s="68"/>
      <c r="K6533" s="68"/>
    </row>
    <row r="6534" spans="1:11" ht="12.75">
      <c r="A6534" s="69">
        <f ca="1">IFERROR(__xludf.DUMMYFUNCTION("""COMPUTED_VALUE"""),107866)</f>
        <v>107866</v>
      </c>
      <c r="B6534" s="4">
        <f ca="1">IFERROR(__xludf.DUMMYFUNCTION("""COMPUTED_VALUE"""),44830)</f>
        <v>44830</v>
      </c>
      <c r="C6534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65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34" t="str">
        <f ca="1">IFERROR(__xludf.DUMMYFUNCTION("""COMPUTED_VALUE"""),"Новый")</f>
        <v>Новый</v>
      </c>
      <c r="G6534" s="68"/>
      <c r="K6534" s="68"/>
    </row>
    <row r="6535" spans="1:11" ht="12.75">
      <c r="A6535" s="69">
        <f ca="1">IFERROR(__xludf.DUMMYFUNCTION("""COMPUTED_VALUE"""),107867)</f>
        <v>107867</v>
      </c>
      <c r="B6535" s="4">
        <f ca="1">IFERROR(__xludf.DUMMYFUNCTION("""COMPUTED_VALUE"""),44830)</f>
        <v>44830</v>
      </c>
      <c r="C6535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65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35" t="str">
        <f ca="1">IFERROR(__xludf.DUMMYFUNCTION("""COMPUTED_VALUE"""),"Новый")</f>
        <v>Новый</v>
      </c>
      <c r="G6535" s="68"/>
      <c r="K6535" s="68"/>
    </row>
    <row r="6536" spans="1:11" ht="12.75">
      <c r="A6536" s="69">
        <f ca="1">IFERROR(__xludf.DUMMYFUNCTION("""COMPUTED_VALUE"""),107868)</f>
        <v>107868</v>
      </c>
      <c r="B6536" s="4">
        <f ca="1">IFERROR(__xludf.DUMMYFUNCTION("""COMPUTED_VALUE"""),44830)</f>
        <v>44830</v>
      </c>
      <c r="C6536" t="str">
        <f ca="1">IFERROR(__xludf.DUMMYFUNCTION("""COMPUTED_VALUE"""),"ИП Павлов Станислав Владимирович 105-СТР от 24.08.2021")</f>
        <v>ИП Павлов Станислав Владимирович 105-СТР от 24.08.2021</v>
      </c>
      <c r="D65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36" t="str">
        <f ca="1">IFERROR(__xludf.DUMMYFUNCTION("""COMPUTED_VALUE"""),"Новый")</f>
        <v>Новый</v>
      </c>
      <c r="G6536" s="68"/>
      <c r="K6536" s="68"/>
    </row>
    <row r="6537" spans="1:11" ht="12.75">
      <c r="A6537" s="69">
        <f ca="1">IFERROR(__xludf.DUMMYFUNCTION("""COMPUTED_VALUE"""),107869)</f>
        <v>107869</v>
      </c>
      <c r="B6537" s="4">
        <f ca="1">IFERROR(__xludf.DUMMYFUNCTION("""COMPUTED_VALUE"""),44830)</f>
        <v>44830</v>
      </c>
      <c r="C6537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65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7" t="str">
        <f ca="1">IFERROR(__xludf.DUMMYFUNCTION("""COMPUTED_VALUE"""),"Новый")</f>
        <v>Новый</v>
      </c>
      <c r="G6537" s="68"/>
      <c r="K6537" s="68"/>
    </row>
    <row r="6538" spans="1:11" ht="12.75">
      <c r="A6538" s="69">
        <f ca="1">IFERROR(__xludf.DUMMYFUNCTION("""COMPUTED_VALUE"""),107870)</f>
        <v>107870</v>
      </c>
      <c r="B6538" s="4">
        <f ca="1">IFERROR(__xludf.DUMMYFUNCTION("""COMPUTED_VALUE"""),44830)</f>
        <v>44830</v>
      </c>
      <c r="C6538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65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8" t="str">
        <f ca="1">IFERROR(__xludf.DUMMYFUNCTION("""COMPUTED_VALUE"""),"Новый")</f>
        <v>Новый</v>
      </c>
      <c r="G6538" s="68"/>
      <c r="K6538" s="68"/>
    </row>
    <row r="6539" spans="1:11" ht="12.75">
      <c r="A6539" s="69">
        <f ca="1">IFERROR(__xludf.DUMMYFUNCTION("""COMPUTED_VALUE"""),107871)</f>
        <v>107871</v>
      </c>
      <c r="B6539" s="4">
        <f ca="1">IFERROR(__xludf.DUMMYFUNCTION("""COMPUTED_VALUE"""),44830)</f>
        <v>44830</v>
      </c>
      <c r="C6539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65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39" t="str">
        <f ca="1">IFERROR(__xludf.DUMMYFUNCTION("""COMPUTED_VALUE"""),"Новый")</f>
        <v>Новый</v>
      </c>
      <c r="G6539" s="68"/>
      <c r="K6539" s="68"/>
    </row>
    <row r="6540" spans="1:11" ht="12.75">
      <c r="A6540" s="69">
        <f ca="1">IFERROR(__xludf.DUMMYFUNCTION("""COMPUTED_VALUE"""),107872)</f>
        <v>107872</v>
      </c>
      <c r="B6540" s="4">
        <f ca="1">IFERROR(__xludf.DUMMYFUNCTION("""COMPUTED_VALUE"""),44830)</f>
        <v>44830</v>
      </c>
      <c r="C6540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65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40" t="str">
        <f ca="1">IFERROR(__xludf.DUMMYFUNCTION("""COMPUTED_VALUE"""),"Новый")</f>
        <v>Новый</v>
      </c>
      <c r="G6540" s="68"/>
      <c r="K6540" s="68"/>
    </row>
    <row r="6541" spans="1:11" ht="12.75">
      <c r="A6541" s="69">
        <f ca="1">IFERROR(__xludf.DUMMYFUNCTION("""COMPUTED_VALUE"""),107873)</f>
        <v>107873</v>
      </c>
      <c r="B6541" s="4">
        <f ca="1">IFERROR(__xludf.DUMMYFUNCTION("""COMPUTED_VALUE"""),44830)</f>
        <v>44830</v>
      </c>
      <c r="C6541" t="str">
        <f ca="1">IFERROR(__xludf.DUMMYFUNCTION("""COMPUTED_VALUE"""),"ИП Павлов Станислав Владимирович 119-РДО от 24.08.2021")</f>
        <v>ИП Павлов Станислав Владимирович 119-РДО от 24.08.2021</v>
      </c>
      <c r="D65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41" t="str">
        <f ca="1">IFERROR(__xludf.DUMMYFUNCTION("""COMPUTED_VALUE"""),"Новый")</f>
        <v>Новый</v>
      </c>
      <c r="G6541" s="68"/>
      <c r="K6541" s="68"/>
    </row>
    <row r="6542" spans="1:11" ht="12.75">
      <c r="A6542" s="69">
        <f ca="1">IFERROR(__xludf.DUMMYFUNCTION("""COMPUTED_VALUE"""),107874)</f>
        <v>107874</v>
      </c>
      <c r="B6542" s="4">
        <f ca="1">IFERROR(__xludf.DUMMYFUNCTION("""COMPUTED_VALUE"""),44830)</f>
        <v>44830</v>
      </c>
      <c r="C6542" t="str">
        <f ca="1">IFERROR(__xludf.DUMMYFUNCTION("""COMPUTED_VALUE"""),"ООО Автор 166-СТР от 10.08.2022")</f>
        <v>ООО Автор 166-СТР от 10.08.2022</v>
      </c>
      <c r="D65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2" t="str">
        <f ca="1">IFERROR(__xludf.DUMMYFUNCTION("""COMPUTED_VALUE"""),"Новый")</f>
        <v>Новый</v>
      </c>
      <c r="G6542" s="68"/>
      <c r="K6542" s="68"/>
    </row>
    <row r="6543" spans="1:11" ht="12.75">
      <c r="A6543" s="69">
        <f ca="1">IFERROR(__xludf.DUMMYFUNCTION("""COMPUTED_VALUE"""),107875)</f>
        <v>107875</v>
      </c>
      <c r="B6543" s="4">
        <f ca="1">IFERROR(__xludf.DUMMYFUNCTION("""COMPUTED_VALUE"""),44830)</f>
        <v>44830</v>
      </c>
      <c r="C6543" t="str">
        <f ca="1">IFERROR(__xludf.DUMMYFUNCTION("""COMPUTED_VALUE"""),"ООО Автор 166-СТР от 10.08.2022")</f>
        <v>ООО Автор 166-СТР от 10.08.2022</v>
      </c>
      <c r="D65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3" t="str">
        <f ca="1">IFERROR(__xludf.DUMMYFUNCTION("""COMPUTED_VALUE"""),"Новый")</f>
        <v>Новый</v>
      </c>
      <c r="G6543" s="68"/>
      <c r="K6543" s="68"/>
    </row>
    <row r="6544" spans="1:11" ht="12.75">
      <c r="A6544" s="69">
        <f ca="1">IFERROR(__xludf.DUMMYFUNCTION("""COMPUTED_VALUE"""),107876)</f>
        <v>107876</v>
      </c>
      <c r="B6544" s="4">
        <f ca="1">IFERROR(__xludf.DUMMYFUNCTION("""COMPUTED_VALUE"""),44830)</f>
        <v>44830</v>
      </c>
      <c r="C6544" t="str">
        <f ca="1">IFERROR(__xludf.DUMMYFUNCTION("""COMPUTED_VALUE"""),"ООО Автор 166-СТР от 10.08.2022")</f>
        <v>ООО Автор 166-СТР от 10.08.2022</v>
      </c>
      <c r="D65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4" t="str">
        <f ca="1">IFERROR(__xludf.DUMMYFUNCTION("""COMPUTED_VALUE"""),"Новый")</f>
        <v>Новый</v>
      </c>
      <c r="G6544" s="68"/>
      <c r="K6544" s="68"/>
    </row>
    <row r="6545" spans="1:11" ht="12.75">
      <c r="A6545" s="69">
        <f ca="1">IFERROR(__xludf.DUMMYFUNCTION("""COMPUTED_VALUE"""),107877)</f>
        <v>107877</v>
      </c>
      <c r="B6545" s="4">
        <f ca="1">IFERROR(__xludf.DUMMYFUNCTION("""COMPUTED_VALUE"""),44830)</f>
        <v>44830</v>
      </c>
      <c r="C6545" t="str">
        <f ca="1">IFERROR(__xludf.DUMMYFUNCTION("""COMPUTED_VALUE"""),"ООО Автор 166-СТР от 10.08.2022")</f>
        <v>ООО Автор 166-СТР от 10.08.2022</v>
      </c>
      <c r="D65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5" t="str">
        <f ca="1">IFERROR(__xludf.DUMMYFUNCTION("""COMPUTED_VALUE"""),"Новый")</f>
        <v>Новый</v>
      </c>
      <c r="G6545" s="68"/>
      <c r="K6545" s="68"/>
    </row>
    <row r="6546" spans="1:11" ht="12.75">
      <c r="A6546" s="69">
        <f ca="1">IFERROR(__xludf.DUMMYFUNCTION("""COMPUTED_VALUE"""),107878)</f>
        <v>107878</v>
      </c>
      <c r="B6546" s="4">
        <f ca="1">IFERROR(__xludf.DUMMYFUNCTION("""COMPUTED_VALUE"""),44830)</f>
        <v>44830</v>
      </c>
      <c r="C6546" t="str">
        <f ca="1">IFERROR(__xludf.DUMMYFUNCTION("""COMPUTED_VALUE"""),"ООО Автор 166-СТР от 10.08.2022")</f>
        <v>ООО Автор 166-СТР от 10.08.2022</v>
      </c>
      <c r="D65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6" t="str">
        <f ca="1">IFERROR(__xludf.DUMMYFUNCTION("""COMPUTED_VALUE"""),"Новый")</f>
        <v>Новый</v>
      </c>
      <c r="G6546" s="68"/>
      <c r="K6546" s="68"/>
    </row>
    <row r="6547" spans="1:11" ht="12.75">
      <c r="A6547" s="69">
        <f ca="1">IFERROR(__xludf.DUMMYFUNCTION("""COMPUTED_VALUE"""),107879)</f>
        <v>107879</v>
      </c>
      <c r="B6547" s="4">
        <f ca="1">IFERROR(__xludf.DUMMYFUNCTION("""COMPUTED_VALUE"""),44830)</f>
        <v>44830</v>
      </c>
      <c r="C6547" t="str">
        <f ca="1">IFERROR(__xludf.DUMMYFUNCTION("""COMPUTED_VALUE"""),"ООО Автор 166-СТР от 10.08.2022")</f>
        <v>ООО Автор 166-СТР от 10.08.2022</v>
      </c>
      <c r="D65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7" t="str">
        <f ca="1">IFERROR(__xludf.DUMMYFUNCTION("""COMPUTED_VALUE"""),"Новый")</f>
        <v>Новый</v>
      </c>
      <c r="G6547" s="68"/>
      <c r="K6547" s="68"/>
    </row>
    <row r="6548" spans="1:11" ht="12.75">
      <c r="A6548" s="69">
        <f ca="1">IFERROR(__xludf.DUMMYFUNCTION("""COMPUTED_VALUE"""),107880)</f>
        <v>107880</v>
      </c>
      <c r="B6548" s="4">
        <f ca="1">IFERROR(__xludf.DUMMYFUNCTION("""COMPUTED_VALUE"""),44830)</f>
        <v>44830</v>
      </c>
      <c r="C6548" t="str">
        <f ca="1">IFERROR(__xludf.DUMMYFUNCTION("""COMPUTED_VALUE"""),"ООО Автор 166-СТР от 10.08.2022")</f>
        <v>ООО Автор 166-СТР от 10.08.2022</v>
      </c>
      <c r="D65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8" t="str">
        <f ca="1">IFERROR(__xludf.DUMMYFUNCTION("""COMPUTED_VALUE"""),"Новый")</f>
        <v>Новый</v>
      </c>
      <c r="G6548" s="68"/>
      <c r="K6548" s="68"/>
    </row>
    <row r="6549" spans="1:11" ht="12.75">
      <c r="A6549" s="69">
        <f ca="1">IFERROR(__xludf.DUMMYFUNCTION("""COMPUTED_VALUE"""),107881)</f>
        <v>107881</v>
      </c>
      <c r="B6549" s="4">
        <f ca="1">IFERROR(__xludf.DUMMYFUNCTION("""COMPUTED_VALUE"""),44830)</f>
        <v>44830</v>
      </c>
      <c r="C6549" t="str">
        <f ca="1">IFERROR(__xludf.DUMMYFUNCTION("""COMPUTED_VALUE"""),"ООО Автор 166-СТР от 10.08.2022")</f>
        <v>ООО Автор 166-СТР от 10.08.2022</v>
      </c>
      <c r="D65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49" t="str">
        <f ca="1">IFERROR(__xludf.DUMMYFUNCTION("""COMPUTED_VALUE"""),"Новый")</f>
        <v>Новый</v>
      </c>
      <c r="G6549" s="68"/>
      <c r="K6549" s="68"/>
    </row>
    <row r="6550" spans="1:11" ht="12.75">
      <c r="A6550" s="69">
        <f ca="1">IFERROR(__xludf.DUMMYFUNCTION("""COMPUTED_VALUE"""),107882)</f>
        <v>107882</v>
      </c>
      <c r="B6550" s="4">
        <f ca="1">IFERROR(__xludf.DUMMYFUNCTION("""COMPUTED_VALUE"""),44830)</f>
        <v>44830</v>
      </c>
      <c r="C6550" t="str">
        <f ca="1">IFERROR(__xludf.DUMMYFUNCTION("""COMPUTED_VALUE"""),"ООО Автор 166-СТР от 10.08.2022")</f>
        <v>ООО Автор 166-СТР от 10.08.2022</v>
      </c>
      <c r="D65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0" t="str">
        <f ca="1">IFERROR(__xludf.DUMMYFUNCTION("""COMPUTED_VALUE"""),"Новый")</f>
        <v>Новый</v>
      </c>
      <c r="G6550" s="68"/>
      <c r="K6550" s="68"/>
    </row>
    <row r="6551" spans="1:11" ht="12.75">
      <c r="A6551" s="69">
        <f ca="1">IFERROR(__xludf.DUMMYFUNCTION("""COMPUTED_VALUE"""),107883)</f>
        <v>107883</v>
      </c>
      <c r="B6551" s="4">
        <f ca="1">IFERROR(__xludf.DUMMYFUNCTION("""COMPUTED_VALUE"""),44830)</f>
        <v>44830</v>
      </c>
      <c r="C6551" t="str">
        <f ca="1">IFERROR(__xludf.DUMMYFUNCTION("""COMPUTED_VALUE"""),"ООО Автор 166-СТР от 10.08.2022")</f>
        <v>ООО Автор 166-СТР от 10.08.2022</v>
      </c>
      <c r="D65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1" t="str">
        <f ca="1">IFERROR(__xludf.DUMMYFUNCTION("""COMPUTED_VALUE"""),"Новый")</f>
        <v>Новый</v>
      </c>
      <c r="G6551" s="68"/>
      <c r="K6551" s="68"/>
    </row>
    <row r="6552" spans="1:11" ht="12.75">
      <c r="A6552" s="69">
        <f ca="1">IFERROR(__xludf.DUMMYFUNCTION("""COMPUTED_VALUE"""),107884)</f>
        <v>107884</v>
      </c>
      <c r="B6552" s="4">
        <f ca="1">IFERROR(__xludf.DUMMYFUNCTION("""COMPUTED_VALUE"""),44830)</f>
        <v>44830</v>
      </c>
      <c r="C6552" t="str">
        <f ca="1">IFERROR(__xludf.DUMMYFUNCTION("""COMPUTED_VALUE"""),"ООО Автор 166-СТР от 10.08.2022")</f>
        <v>ООО Автор 166-СТР от 10.08.2022</v>
      </c>
      <c r="D65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2" t="str">
        <f ca="1">IFERROR(__xludf.DUMMYFUNCTION("""COMPUTED_VALUE"""),"Новый")</f>
        <v>Новый</v>
      </c>
      <c r="G6552" s="68"/>
      <c r="K6552" s="68"/>
    </row>
    <row r="6553" spans="1:11" ht="12.75">
      <c r="A6553" s="69">
        <f ca="1">IFERROR(__xludf.DUMMYFUNCTION("""COMPUTED_VALUE"""),107885)</f>
        <v>107885</v>
      </c>
      <c r="B6553" s="4">
        <f ca="1">IFERROR(__xludf.DUMMYFUNCTION("""COMPUTED_VALUE"""),44830)</f>
        <v>44830</v>
      </c>
      <c r="C6553" t="str">
        <f ca="1">IFERROR(__xludf.DUMMYFUNCTION("""COMPUTED_VALUE"""),"ООО Автор 166-СТР от 10.08.2022")</f>
        <v>ООО Автор 166-СТР от 10.08.2022</v>
      </c>
      <c r="D65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3" t="str">
        <f ca="1">IFERROR(__xludf.DUMMYFUNCTION("""COMPUTED_VALUE"""),"Новый")</f>
        <v>Новый</v>
      </c>
      <c r="G6553" s="68"/>
      <c r="K6553" s="68"/>
    </row>
    <row r="6554" spans="1:11" ht="12.75">
      <c r="A6554" s="69">
        <f ca="1">IFERROR(__xludf.DUMMYFUNCTION("""COMPUTED_VALUE"""),107886)</f>
        <v>107886</v>
      </c>
      <c r="B6554" s="4">
        <f ca="1">IFERROR(__xludf.DUMMYFUNCTION("""COMPUTED_VALUE"""),44830)</f>
        <v>44830</v>
      </c>
      <c r="C6554" t="str">
        <f ca="1">IFERROR(__xludf.DUMMYFUNCTION("""COMPUTED_VALUE"""),"ООО Автор 166-СТР от 10.08.2022")</f>
        <v>ООО Автор 166-СТР от 10.08.2022</v>
      </c>
      <c r="D65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4" t="str">
        <f ca="1">IFERROR(__xludf.DUMMYFUNCTION("""COMPUTED_VALUE"""),"Новый")</f>
        <v>Новый</v>
      </c>
      <c r="G6554" s="68"/>
      <c r="K6554" s="68"/>
    </row>
    <row r="6555" spans="1:11" ht="12.75">
      <c r="A6555" s="69">
        <f ca="1">IFERROR(__xludf.DUMMYFUNCTION("""COMPUTED_VALUE"""),107887)</f>
        <v>107887</v>
      </c>
      <c r="B6555" s="4">
        <f ca="1">IFERROR(__xludf.DUMMYFUNCTION("""COMPUTED_VALUE"""),44830)</f>
        <v>44830</v>
      </c>
      <c r="C6555" t="str">
        <f ca="1">IFERROR(__xludf.DUMMYFUNCTION("""COMPUTED_VALUE"""),"ООО Автор 166-СТР от 10.08.2022")</f>
        <v>ООО Автор 166-СТР от 10.08.2022</v>
      </c>
      <c r="D65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5" t="str">
        <f ca="1">IFERROR(__xludf.DUMMYFUNCTION("""COMPUTED_VALUE"""),"Новый")</f>
        <v>Новый</v>
      </c>
      <c r="G6555" s="68"/>
      <c r="K6555" s="68"/>
    </row>
    <row r="6556" spans="1:11" ht="12.75">
      <c r="A6556" s="69">
        <f ca="1">IFERROR(__xludf.DUMMYFUNCTION("""COMPUTED_VALUE"""),107888)</f>
        <v>107888</v>
      </c>
      <c r="B6556" s="4">
        <f ca="1">IFERROR(__xludf.DUMMYFUNCTION("""COMPUTED_VALUE"""),44830)</f>
        <v>44830</v>
      </c>
      <c r="C6556" t="str">
        <f ca="1">IFERROR(__xludf.DUMMYFUNCTION("""COMPUTED_VALUE"""),"ООО Автор 166-СТР от 10.08.2022")</f>
        <v>ООО Автор 166-СТР от 10.08.2022</v>
      </c>
      <c r="D65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6" t="str">
        <f ca="1">IFERROR(__xludf.DUMMYFUNCTION("""COMPUTED_VALUE"""),"Новый")</f>
        <v>Новый</v>
      </c>
      <c r="G6556" s="68"/>
      <c r="K6556" s="68"/>
    </row>
    <row r="6557" spans="1:11" ht="12.75">
      <c r="A6557" s="69">
        <f ca="1">IFERROR(__xludf.DUMMYFUNCTION("""COMPUTED_VALUE"""),107889)</f>
        <v>107889</v>
      </c>
      <c r="B6557" s="4">
        <f ca="1">IFERROR(__xludf.DUMMYFUNCTION("""COMPUTED_VALUE"""),44830)</f>
        <v>44830</v>
      </c>
      <c r="C6557" t="str">
        <f ca="1">IFERROR(__xludf.DUMMYFUNCTION("""COMPUTED_VALUE"""),"ООО Автор 166-СТР от 10.08.2022")</f>
        <v>ООО Автор 166-СТР от 10.08.2022</v>
      </c>
      <c r="D65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7" t="str">
        <f ca="1">IFERROR(__xludf.DUMMYFUNCTION("""COMPUTED_VALUE"""),"Новый")</f>
        <v>Новый</v>
      </c>
      <c r="G6557" s="68"/>
      <c r="K6557" s="68"/>
    </row>
    <row r="6558" spans="1:11" ht="12.75">
      <c r="A6558" s="69">
        <f ca="1">IFERROR(__xludf.DUMMYFUNCTION("""COMPUTED_VALUE"""),107890)</f>
        <v>107890</v>
      </c>
      <c r="B6558" s="4">
        <f ca="1">IFERROR(__xludf.DUMMYFUNCTION("""COMPUTED_VALUE"""),44830)</f>
        <v>44830</v>
      </c>
      <c r="C6558" t="str">
        <f ca="1">IFERROR(__xludf.DUMMYFUNCTION("""COMPUTED_VALUE"""),"ООО Автор 166-СТР от 10.08.2022")</f>
        <v>ООО Автор 166-СТР от 10.08.2022</v>
      </c>
      <c r="D65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8" t="str">
        <f ca="1">IFERROR(__xludf.DUMMYFUNCTION("""COMPUTED_VALUE"""),"Новый")</f>
        <v>Новый</v>
      </c>
      <c r="G6558" s="68"/>
      <c r="K6558" s="68"/>
    </row>
    <row r="6559" spans="1:11" ht="12.75">
      <c r="A6559" s="69">
        <f ca="1">IFERROR(__xludf.DUMMYFUNCTION("""COMPUTED_VALUE"""),107891)</f>
        <v>107891</v>
      </c>
      <c r="B6559" s="4">
        <f ca="1">IFERROR(__xludf.DUMMYFUNCTION("""COMPUTED_VALUE"""),44830)</f>
        <v>44830</v>
      </c>
      <c r="C6559" t="str">
        <f ca="1">IFERROR(__xludf.DUMMYFUNCTION("""COMPUTED_VALUE"""),"ООО Автор 166-СТР от 10.08.2022")</f>
        <v>ООО Автор 166-СТР от 10.08.2022</v>
      </c>
      <c r="D65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59" t="str">
        <f ca="1">IFERROR(__xludf.DUMMYFUNCTION("""COMPUTED_VALUE"""),"Новый")</f>
        <v>Новый</v>
      </c>
      <c r="G6559" s="68"/>
      <c r="K6559" s="68"/>
    </row>
    <row r="6560" spans="1:11" ht="12.75">
      <c r="A6560" s="69">
        <f ca="1">IFERROR(__xludf.DUMMYFUNCTION("""COMPUTED_VALUE"""),107892)</f>
        <v>107892</v>
      </c>
      <c r="B6560" s="4">
        <f ca="1">IFERROR(__xludf.DUMMYFUNCTION("""COMPUTED_VALUE"""),44830)</f>
        <v>44830</v>
      </c>
      <c r="C6560" t="str">
        <f ca="1">IFERROR(__xludf.DUMMYFUNCTION("""COMPUTED_VALUE"""),"ООО Автор 166-СТР от 10.08.2022")</f>
        <v>ООО Автор 166-СТР от 10.08.2022</v>
      </c>
      <c r="D65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0" t="str">
        <f ca="1">IFERROR(__xludf.DUMMYFUNCTION("""COMPUTED_VALUE"""),"Новый")</f>
        <v>Новый</v>
      </c>
      <c r="G6560" s="68"/>
      <c r="K6560" s="68"/>
    </row>
    <row r="6561" spans="1:11" ht="12.75">
      <c r="A6561" s="69">
        <f ca="1">IFERROR(__xludf.DUMMYFUNCTION("""COMPUTED_VALUE"""),107893)</f>
        <v>107893</v>
      </c>
      <c r="B6561" s="4">
        <f ca="1">IFERROR(__xludf.DUMMYFUNCTION("""COMPUTED_VALUE"""),44830)</f>
        <v>44830</v>
      </c>
      <c r="C6561" t="str">
        <f ca="1">IFERROR(__xludf.DUMMYFUNCTION("""COMPUTED_VALUE"""),"ООО Автор 166-СТР от 10.08.2022")</f>
        <v>ООО Автор 166-СТР от 10.08.2022</v>
      </c>
      <c r="D65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1" t="str">
        <f ca="1">IFERROR(__xludf.DUMMYFUNCTION("""COMPUTED_VALUE"""),"Новый")</f>
        <v>Новый</v>
      </c>
      <c r="G6561" s="68"/>
      <c r="K6561" s="68"/>
    </row>
    <row r="6562" spans="1:11" ht="12.75">
      <c r="A6562" s="69">
        <f ca="1">IFERROR(__xludf.DUMMYFUNCTION("""COMPUTED_VALUE"""),107895)</f>
        <v>107895</v>
      </c>
      <c r="B6562" s="4">
        <f ca="1">IFERROR(__xludf.DUMMYFUNCTION("""COMPUTED_VALUE"""),44830)</f>
        <v>44830</v>
      </c>
      <c r="C6562" t="str">
        <f ca="1">IFERROR(__xludf.DUMMYFUNCTION("""COMPUTED_VALUE"""),"ООО Автор 166-СТР от 10.08.2022")</f>
        <v>ООО Автор 166-СТР от 10.08.2022</v>
      </c>
      <c r="D65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2" t="str">
        <f ca="1">IFERROR(__xludf.DUMMYFUNCTION("""COMPUTED_VALUE"""),"Новый")</f>
        <v>Новый</v>
      </c>
      <c r="G6562" s="68"/>
      <c r="K6562" s="68"/>
    </row>
    <row r="6563" spans="1:11" ht="12.75">
      <c r="A6563" s="69">
        <f ca="1">IFERROR(__xludf.DUMMYFUNCTION("""COMPUTED_VALUE"""),107900)</f>
        <v>107900</v>
      </c>
      <c r="B6563" s="4">
        <f ca="1">IFERROR(__xludf.DUMMYFUNCTION("""COMPUTED_VALUE"""),44830)</f>
        <v>44830</v>
      </c>
      <c r="C6563" t="str">
        <f ca="1">IFERROR(__xludf.DUMMYFUNCTION("""COMPUTED_VALUE"""),"ООО Автор 166-СТР от 10.08.2022")</f>
        <v>ООО Автор 166-СТР от 10.08.2022</v>
      </c>
      <c r="D65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3" t="str">
        <f ca="1">IFERROR(__xludf.DUMMYFUNCTION("""COMPUTED_VALUE"""),"Новый")</f>
        <v>Новый</v>
      </c>
      <c r="G6563" s="68"/>
      <c r="K6563" s="68"/>
    </row>
    <row r="6564" spans="1:11" ht="12.75">
      <c r="A6564" s="69">
        <f ca="1">IFERROR(__xludf.DUMMYFUNCTION("""COMPUTED_VALUE"""),107901)</f>
        <v>107901</v>
      </c>
      <c r="B6564" s="4">
        <f ca="1">IFERROR(__xludf.DUMMYFUNCTION("""COMPUTED_VALUE"""),44830)</f>
        <v>44830</v>
      </c>
      <c r="C6564" t="str">
        <f ca="1">IFERROR(__xludf.DUMMYFUNCTION("""COMPUTED_VALUE"""),"ООО Автор 166-СТР от 10.08.2022")</f>
        <v>ООО Автор 166-СТР от 10.08.2022</v>
      </c>
      <c r="D65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4" t="str">
        <f ca="1">IFERROR(__xludf.DUMMYFUNCTION("""COMPUTED_VALUE"""),"Новый")</f>
        <v>Новый</v>
      </c>
      <c r="G6564" s="68"/>
      <c r="K6564" s="68"/>
    </row>
    <row r="6565" spans="1:11" ht="12.75">
      <c r="A6565" s="69">
        <f ca="1">IFERROR(__xludf.DUMMYFUNCTION("""COMPUTED_VALUE"""),107902)</f>
        <v>107902</v>
      </c>
      <c r="B6565" s="4">
        <f ca="1">IFERROR(__xludf.DUMMYFUNCTION("""COMPUTED_VALUE"""),44830)</f>
        <v>44830</v>
      </c>
      <c r="C6565" t="str">
        <f ca="1">IFERROR(__xludf.DUMMYFUNCTION("""COMPUTED_VALUE"""),"ООО Автор 166-СТР от 10.08.2022")</f>
        <v>ООО Автор 166-СТР от 10.08.2022</v>
      </c>
      <c r="D65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5" t="str">
        <f ca="1">IFERROR(__xludf.DUMMYFUNCTION("""COMPUTED_VALUE"""),"Новый")</f>
        <v>Новый</v>
      </c>
      <c r="G6565" s="68"/>
      <c r="K6565" s="68"/>
    </row>
    <row r="6566" spans="1:11" ht="12.75">
      <c r="A6566" s="69">
        <f ca="1">IFERROR(__xludf.DUMMYFUNCTION("""COMPUTED_VALUE"""),107903)</f>
        <v>107903</v>
      </c>
      <c r="B6566" s="4">
        <f ca="1">IFERROR(__xludf.DUMMYFUNCTION("""COMPUTED_VALUE"""),44830)</f>
        <v>44830</v>
      </c>
      <c r="C6566" t="str">
        <f ca="1">IFERROR(__xludf.DUMMYFUNCTION("""COMPUTED_VALUE"""),"ООО Автор 166-СТР от 10.08.2022")</f>
        <v>ООО Автор 166-СТР от 10.08.2022</v>
      </c>
      <c r="D65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6" t="str">
        <f ca="1">IFERROR(__xludf.DUMMYFUNCTION("""COMPUTED_VALUE"""),"Новый")</f>
        <v>Новый</v>
      </c>
      <c r="G6566" s="68"/>
      <c r="K6566" s="68"/>
    </row>
    <row r="6567" spans="1:11" ht="12.75">
      <c r="A6567" s="69">
        <f ca="1">IFERROR(__xludf.DUMMYFUNCTION("""COMPUTED_VALUE"""),107904)</f>
        <v>107904</v>
      </c>
      <c r="B6567" s="4">
        <f ca="1">IFERROR(__xludf.DUMMYFUNCTION("""COMPUTED_VALUE"""),44830)</f>
        <v>44830</v>
      </c>
      <c r="C6567" t="str">
        <f ca="1">IFERROR(__xludf.DUMMYFUNCTION("""COMPUTED_VALUE"""),"ООО Автор 166-СТР от 10.08.2022")</f>
        <v>ООО Автор 166-СТР от 10.08.2022</v>
      </c>
      <c r="D65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7" t="str">
        <f ca="1">IFERROR(__xludf.DUMMYFUNCTION("""COMPUTED_VALUE"""),"Новый")</f>
        <v>Новый</v>
      </c>
      <c r="G6567" s="68"/>
      <c r="K6567" s="68"/>
    </row>
    <row r="6568" spans="1:11" ht="12.75">
      <c r="A6568" s="69">
        <f ca="1">IFERROR(__xludf.DUMMYFUNCTION("""COMPUTED_VALUE"""),107905)</f>
        <v>107905</v>
      </c>
      <c r="B6568" s="4">
        <f ca="1">IFERROR(__xludf.DUMMYFUNCTION("""COMPUTED_VALUE"""),44830)</f>
        <v>44830</v>
      </c>
      <c r="C6568" t="str">
        <f ca="1">IFERROR(__xludf.DUMMYFUNCTION("""COMPUTED_VALUE"""),"ООО Автор 166-СТР от 10.08.2022")</f>
        <v>ООО Автор 166-СТР от 10.08.2022</v>
      </c>
      <c r="D65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8" t="str">
        <f ca="1">IFERROR(__xludf.DUMMYFUNCTION("""COMPUTED_VALUE"""),"Новый")</f>
        <v>Новый</v>
      </c>
      <c r="G6568" s="68"/>
      <c r="K6568" s="68"/>
    </row>
    <row r="6569" spans="1:11" ht="12.75">
      <c r="A6569" s="69">
        <f ca="1">IFERROR(__xludf.DUMMYFUNCTION("""COMPUTED_VALUE"""),107906)</f>
        <v>107906</v>
      </c>
      <c r="B6569" s="4">
        <f ca="1">IFERROR(__xludf.DUMMYFUNCTION("""COMPUTED_VALUE"""),44830)</f>
        <v>44830</v>
      </c>
      <c r="C6569" t="str">
        <f ca="1">IFERROR(__xludf.DUMMYFUNCTION("""COMPUTED_VALUE"""),"ООО Автор 166-СТР от 10.08.2022")</f>
        <v>ООО Автор 166-СТР от 10.08.2022</v>
      </c>
      <c r="D65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69" t="str">
        <f ca="1">IFERROR(__xludf.DUMMYFUNCTION("""COMPUTED_VALUE"""),"Новый")</f>
        <v>Новый</v>
      </c>
      <c r="G6569" s="68"/>
      <c r="K6569" s="68"/>
    </row>
    <row r="6570" spans="1:11" ht="12.75">
      <c r="A6570" s="69">
        <f ca="1">IFERROR(__xludf.DUMMYFUNCTION("""COMPUTED_VALUE"""),107907)</f>
        <v>107907</v>
      </c>
      <c r="B6570" s="4">
        <f ca="1">IFERROR(__xludf.DUMMYFUNCTION("""COMPUTED_VALUE"""),44830)</f>
        <v>44830</v>
      </c>
      <c r="C6570" t="str">
        <f ca="1">IFERROR(__xludf.DUMMYFUNCTION("""COMPUTED_VALUE"""),"ООО Автор 166-СТР от 10.08.2022")</f>
        <v>ООО Автор 166-СТР от 10.08.2022</v>
      </c>
      <c r="D65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0" t="str">
        <f ca="1">IFERROR(__xludf.DUMMYFUNCTION("""COMPUTED_VALUE"""),"Новый")</f>
        <v>Новый</v>
      </c>
      <c r="G6570" s="68"/>
      <c r="K6570" s="68"/>
    </row>
    <row r="6571" spans="1:11" ht="12.75">
      <c r="A6571" s="69">
        <f ca="1">IFERROR(__xludf.DUMMYFUNCTION("""COMPUTED_VALUE"""),107908)</f>
        <v>107908</v>
      </c>
      <c r="B6571" s="4">
        <f ca="1">IFERROR(__xludf.DUMMYFUNCTION("""COMPUTED_VALUE"""),44830)</f>
        <v>44830</v>
      </c>
      <c r="C6571" t="str">
        <f ca="1">IFERROR(__xludf.DUMMYFUNCTION("""COMPUTED_VALUE"""),"ООО Автор 166-СТР от 10.08.2022")</f>
        <v>ООО Автор 166-СТР от 10.08.2022</v>
      </c>
      <c r="D65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1" t="str">
        <f ca="1">IFERROR(__xludf.DUMMYFUNCTION("""COMPUTED_VALUE"""),"Новый")</f>
        <v>Новый</v>
      </c>
      <c r="G6571" s="68"/>
      <c r="K6571" s="68"/>
    </row>
    <row r="6572" spans="1:11" ht="12.75">
      <c r="A6572" s="69">
        <f ca="1">IFERROR(__xludf.DUMMYFUNCTION("""COMPUTED_VALUE"""),107909)</f>
        <v>107909</v>
      </c>
      <c r="B6572" s="4">
        <f ca="1">IFERROR(__xludf.DUMMYFUNCTION("""COMPUTED_VALUE"""),44830)</f>
        <v>44830</v>
      </c>
      <c r="C6572" t="str">
        <f ca="1">IFERROR(__xludf.DUMMYFUNCTION("""COMPUTED_VALUE"""),"ООО Автор 166-СТР от 10.08.2022")</f>
        <v>ООО Автор 166-СТР от 10.08.2022</v>
      </c>
      <c r="D65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2" t="str">
        <f ca="1">IFERROR(__xludf.DUMMYFUNCTION("""COMPUTED_VALUE"""),"Новый")</f>
        <v>Новый</v>
      </c>
      <c r="G6572" s="68"/>
      <c r="K6572" s="68"/>
    </row>
    <row r="6573" spans="1:11" ht="12.75">
      <c r="A6573" s="69">
        <f ca="1">IFERROR(__xludf.DUMMYFUNCTION("""COMPUTED_VALUE"""),107910)</f>
        <v>107910</v>
      </c>
      <c r="B6573" s="4">
        <f ca="1">IFERROR(__xludf.DUMMYFUNCTION("""COMPUTED_VALUE"""),44830)</f>
        <v>44830</v>
      </c>
      <c r="C6573" t="str">
        <f ca="1">IFERROR(__xludf.DUMMYFUNCTION("""COMPUTED_VALUE"""),"ООО Автор 166-СТР от 10.08.2022")</f>
        <v>ООО Автор 166-СТР от 10.08.2022</v>
      </c>
      <c r="D65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3" t="str">
        <f ca="1">IFERROR(__xludf.DUMMYFUNCTION("""COMPUTED_VALUE"""),"Новый")</f>
        <v>Новый</v>
      </c>
      <c r="G6573" s="68"/>
      <c r="K6573" s="68"/>
    </row>
    <row r="6574" spans="1:11" ht="12.75">
      <c r="A6574" s="69">
        <f ca="1">IFERROR(__xludf.DUMMYFUNCTION("""COMPUTED_VALUE"""),107911)</f>
        <v>107911</v>
      </c>
      <c r="B6574" s="4">
        <f ca="1">IFERROR(__xludf.DUMMYFUNCTION("""COMPUTED_VALUE"""),44830)</f>
        <v>44830</v>
      </c>
      <c r="C6574" t="str">
        <f ca="1">IFERROR(__xludf.DUMMYFUNCTION("""COMPUTED_VALUE"""),"ООО Автор 166-СТР от 10.08.2022")</f>
        <v>ООО Автор 166-СТР от 10.08.2022</v>
      </c>
      <c r="D65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4" t="str">
        <f ca="1">IFERROR(__xludf.DUMMYFUNCTION("""COMPUTED_VALUE"""),"Новый")</f>
        <v>Новый</v>
      </c>
      <c r="G6574" s="68"/>
      <c r="K6574" s="68"/>
    </row>
    <row r="6575" spans="1:11" ht="12.75">
      <c r="A6575" s="69">
        <f ca="1">IFERROR(__xludf.DUMMYFUNCTION("""COMPUTED_VALUE"""),107912)</f>
        <v>107912</v>
      </c>
      <c r="B6575" s="4">
        <f ca="1">IFERROR(__xludf.DUMMYFUNCTION("""COMPUTED_VALUE"""),44830)</f>
        <v>44830</v>
      </c>
      <c r="C6575" t="str">
        <f ca="1">IFERROR(__xludf.DUMMYFUNCTION("""COMPUTED_VALUE"""),"ООО Автор 166-СТР от 10.08.2022")</f>
        <v>ООО Автор 166-СТР от 10.08.2022</v>
      </c>
      <c r="D65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5" t="str">
        <f ca="1">IFERROR(__xludf.DUMMYFUNCTION("""COMPUTED_VALUE"""),"Новый")</f>
        <v>Новый</v>
      </c>
      <c r="G6575" s="68"/>
      <c r="K6575" s="68"/>
    </row>
    <row r="6576" spans="1:11" ht="12.75">
      <c r="A6576" s="69">
        <f ca="1">IFERROR(__xludf.DUMMYFUNCTION("""COMPUTED_VALUE"""),107913)</f>
        <v>107913</v>
      </c>
      <c r="B6576" s="4">
        <f ca="1">IFERROR(__xludf.DUMMYFUNCTION("""COMPUTED_VALUE"""),44830)</f>
        <v>44830</v>
      </c>
      <c r="C6576" t="str">
        <f ca="1">IFERROR(__xludf.DUMMYFUNCTION("""COMPUTED_VALUE"""),"ООО Автор 166-СТР от 10.08.2022")</f>
        <v>ООО Автор 166-СТР от 10.08.2022</v>
      </c>
      <c r="D65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6" t="str">
        <f ca="1">IFERROR(__xludf.DUMMYFUNCTION("""COMPUTED_VALUE"""),"Новый")</f>
        <v>Новый</v>
      </c>
      <c r="G6576" s="68"/>
      <c r="K6576" s="68"/>
    </row>
    <row r="6577" spans="1:11" ht="12.75">
      <c r="A6577" s="69">
        <f ca="1">IFERROR(__xludf.DUMMYFUNCTION("""COMPUTED_VALUE"""),107918)</f>
        <v>107918</v>
      </c>
      <c r="B6577" s="4">
        <f ca="1">IFERROR(__xludf.DUMMYFUNCTION("""COMPUTED_VALUE"""),44830)</f>
        <v>44830</v>
      </c>
      <c r="C6577" t="str">
        <f ca="1">IFERROR(__xludf.DUMMYFUNCTION("""COMPUTED_VALUE"""),"ООО Автор 166-СТР от 10.08.2022")</f>
        <v>ООО Автор 166-СТР от 10.08.2022</v>
      </c>
      <c r="D65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7" t="str">
        <f ca="1">IFERROR(__xludf.DUMMYFUNCTION("""COMPUTED_VALUE"""),"Новый")</f>
        <v>Новый</v>
      </c>
      <c r="G6577" s="68"/>
      <c r="K6577" s="68"/>
    </row>
    <row r="6578" spans="1:11" ht="12.75">
      <c r="A6578" s="69">
        <f ca="1">IFERROR(__xludf.DUMMYFUNCTION("""COMPUTED_VALUE"""),107920)</f>
        <v>107920</v>
      </c>
      <c r="B6578" s="4">
        <f ca="1">IFERROR(__xludf.DUMMYFUNCTION("""COMPUTED_VALUE"""),44830)</f>
        <v>44830</v>
      </c>
      <c r="C6578" t="str">
        <f ca="1">IFERROR(__xludf.DUMMYFUNCTION("""COMPUTED_VALUE"""),"ООО Автор 166-СТР от 10.08.2022")</f>
        <v>ООО Автор 166-СТР от 10.08.2022</v>
      </c>
      <c r="D65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578" t="str">
        <f ca="1">IFERROR(__xludf.DUMMYFUNCTION("""COMPUTED_VALUE"""),"Новый")</f>
        <v>Новый</v>
      </c>
      <c r="G6578" s="68"/>
      <c r="K6578" s="68"/>
    </row>
    <row r="6579" spans="1:11" ht="12.75">
      <c r="A6579" s="69">
        <f ca="1">IFERROR(__xludf.DUMMYFUNCTION("""COMPUTED_VALUE"""),107924)</f>
        <v>107924</v>
      </c>
      <c r="B6579" s="4">
        <f ca="1">IFERROR(__xludf.DUMMYFUNCTION("""COMPUTED_VALUE"""),44830)</f>
        <v>44830</v>
      </c>
      <c r="C6579" t="str">
        <f ca="1">IFERROR(__xludf.DUMMYFUNCTION("""COMPUTED_VALUE"""),"ООО ""Триод"" 152-РДО от 15.04.2022")</f>
        <v>ООО "Триод" 152-РДО от 15.04.2022</v>
      </c>
      <c r="D65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79" t="str">
        <f ca="1">IFERROR(__xludf.DUMMYFUNCTION("""COMPUTED_VALUE"""),"Новый")</f>
        <v>Новый</v>
      </c>
      <c r="G6579" s="68"/>
      <c r="K6579" s="68"/>
    </row>
    <row r="6580" spans="1:11" ht="12.75">
      <c r="A6580" s="69">
        <f ca="1">IFERROR(__xludf.DUMMYFUNCTION("""COMPUTED_VALUE"""),107925)</f>
        <v>107925</v>
      </c>
      <c r="B6580" s="4">
        <f ca="1">IFERROR(__xludf.DUMMYFUNCTION("""COMPUTED_VALUE"""),44830)</f>
        <v>44830</v>
      </c>
      <c r="C6580" t="str">
        <f ca="1">IFERROR(__xludf.DUMMYFUNCTION("""COMPUTED_VALUE"""),"ООО ""Триод"" 152-РДО от 15.04.2022")</f>
        <v>ООО "Триод" 152-РДО от 15.04.2022</v>
      </c>
      <c r="D65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0" t="str">
        <f ca="1">IFERROR(__xludf.DUMMYFUNCTION("""COMPUTED_VALUE"""),"Новый")</f>
        <v>Новый</v>
      </c>
      <c r="G6580" s="68"/>
      <c r="K6580" s="68"/>
    </row>
    <row r="6581" spans="1:11" ht="12.75">
      <c r="A6581" s="69">
        <f ca="1">IFERROR(__xludf.DUMMYFUNCTION("""COMPUTED_VALUE"""),107926)</f>
        <v>107926</v>
      </c>
      <c r="B6581" s="4">
        <f ca="1">IFERROR(__xludf.DUMMYFUNCTION("""COMPUTED_VALUE"""),44830)</f>
        <v>44830</v>
      </c>
      <c r="C6581" t="str">
        <f ca="1">IFERROR(__xludf.DUMMYFUNCTION("""COMPUTED_VALUE"""),"ООО ""Триод"" 152-РДО от 15.04.2022")</f>
        <v>ООО "Триод" 152-РДО от 15.04.2022</v>
      </c>
      <c r="D65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1" t="str">
        <f ca="1">IFERROR(__xludf.DUMMYFUNCTION("""COMPUTED_VALUE"""),"Новый")</f>
        <v>Новый</v>
      </c>
      <c r="G6581" s="68"/>
      <c r="K6581" s="68"/>
    </row>
    <row r="6582" spans="1:11" ht="12.75">
      <c r="A6582" s="69">
        <f ca="1">IFERROR(__xludf.DUMMYFUNCTION("""COMPUTED_VALUE"""),107927)</f>
        <v>107927</v>
      </c>
      <c r="B6582" s="4">
        <f ca="1">IFERROR(__xludf.DUMMYFUNCTION("""COMPUTED_VALUE"""),44830)</f>
        <v>44830</v>
      </c>
      <c r="C6582" t="str">
        <f ca="1">IFERROR(__xludf.DUMMYFUNCTION("""COMPUTED_VALUE"""),"ООО ""Триод"" 152-РДО от 15.04.2022")</f>
        <v>ООО "Триод" 152-РДО от 15.04.2022</v>
      </c>
      <c r="D65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2" t="str">
        <f ca="1">IFERROR(__xludf.DUMMYFUNCTION("""COMPUTED_VALUE"""),"Новый")</f>
        <v>Новый</v>
      </c>
      <c r="G6582" s="68"/>
      <c r="K6582" s="68"/>
    </row>
    <row r="6583" spans="1:11" ht="12.75">
      <c r="A6583" s="69">
        <f ca="1">IFERROR(__xludf.DUMMYFUNCTION("""COMPUTED_VALUE"""),107928)</f>
        <v>107928</v>
      </c>
      <c r="B6583" s="4">
        <f ca="1">IFERROR(__xludf.DUMMYFUNCTION("""COMPUTED_VALUE"""),44830)</f>
        <v>44830</v>
      </c>
      <c r="C6583" t="str">
        <f ca="1">IFERROR(__xludf.DUMMYFUNCTION("""COMPUTED_VALUE"""),"ООО ""Триод"" 152-РДО от 15.04.2022")</f>
        <v>ООО "Триод" 152-РДО от 15.04.2022</v>
      </c>
      <c r="D65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3" t="str">
        <f ca="1">IFERROR(__xludf.DUMMYFUNCTION("""COMPUTED_VALUE"""),"Новый")</f>
        <v>Новый</v>
      </c>
      <c r="G6583" s="68"/>
      <c r="K6583" s="68"/>
    </row>
    <row r="6584" spans="1:11" ht="12.75">
      <c r="A6584" s="69">
        <f ca="1">IFERROR(__xludf.DUMMYFUNCTION("""COMPUTED_VALUE"""),107929)</f>
        <v>107929</v>
      </c>
      <c r="B6584" s="4">
        <f ca="1">IFERROR(__xludf.DUMMYFUNCTION("""COMPUTED_VALUE"""),44830)</f>
        <v>44830</v>
      </c>
      <c r="C6584" t="str">
        <f ca="1">IFERROR(__xludf.DUMMYFUNCTION("""COMPUTED_VALUE"""),"ООО ""Триод"" 152-РДО от 15.04.2022")</f>
        <v>ООО "Триод" 152-РДО от 15.04.2022</v>
      </c>
      <c r="D65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4" t="str">
        <f ca="1">IFERROR(__xludf.DUMMYFUNCTION("""COMPUTED_VALUE"""),"Новый")</f>
        <v>Новый</v>
      </c>
      <c r="G6584" s="68"/>
      <c r="K6584" s="68"/>
    </row>
    <row r="6585" spans="1:11" ht="12.75">
      <c r="A6585" s="69">
        <f ca="1">IFERROR(__xludf.DUMMYFUNCTION("""COMPUTED_VALUE"""),107930)</f>
        <v>107930</v>
      </c>
      <c r="B6585" s="4">
        <f ca="1">IFERROR(__xludf.DUMMYFUNCTION("""COMPUTED_VALUE"""),44830)</f>
        <v>44830</v>
      </c>
      <c r="C6585" t="str">
        <f ca="1">IFERROR(__xludf.DUMMYFUNCTION("""COMPUTED_VALUE"""),"ООО ""Триод"" 152-РДО от 15.04.2022")</f>
        <v>ООО "Триод" 152-РДО от 15.04.2022</v>
      </c>
      <c r="D65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5" t="str">
        <f ca="1">IFERROR(__xludf.DUMMYFUNCTION("""COMPUTED_VALUE"""),"Новый")</f>
        <v>Новый</v>
      </c>
      <c r="G6585" s="68"/>
      <c r="K6585" s="68"/>
    </row>
    <row r="6586" spans="1:11" ht="12.75">
      <c r="A6586" s="69">
        <f ca="1">IFERROR(__xludf.DUMMYFUNCTION("""COMPUTED_VALUE"""),107931)</f>
        <v>107931</v>
      </c>
      <c r="B6586" s="4">
        <f ca="1">IFERROR(__xludf.DUMMYFUNCTION("""COMPUTED_VALUE"""),44830)</f>
        <v>44830</v>
      </c>
      <c r="C6586" t="str">
        <f ca="1">IFERROR(__xludf.DUMMYFUNCTION("""COMPUTED_VALUE"""),"ООО ""Триод"" 152-РДО от 15.04.2022")</f>
        <v>ООО "Триод" 152-РДО от 15.04.2022</v>
      </c>
      <c r="D65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6" t="str">
        <f ca="1">IFERROR(__xludf.DUMMYFUNCTION("""COMPUTED_VALUE"""),"Новый")</f>
        <v>Новый</v>
      </c>
      <c r="G6586" s="68"/>
      <c r="K6586" s="68"/>
    </row>
    <row r="6587" spans="1:11" ht="12.75">
      <c r="A6587" s="69">
        <f ca="1">IFERROR(__xludf.DUMMYFUNCTION("""COMPUTED_VALUE"""),107932)</f>
        <v>107932</v>
      </c>
      <c r="B6587" s="4">
        <f ca="1">IFERROR(__xludf.DUMMYFUNCTION("""COMPUTED_VALUE"""),44830)</f>
        <v>44830</v>
      </c>
      <c r="C6587" t="str">
        <f ca="1">IFERROR(__xludf.DUMMYFUNCTION("""COMPUTED_VALUE"""),"ООО ""Триод"" 152-РДО от 15.04.2022")</f>
        <v>ООО "Триод" 152-РДО от 15.04.2022</v>
      </c>
      <c r="D65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7" t="str">
        <f ca="1">IFERROR(__xludf.DUMMYFUNCTION("""COMPUTED_VALUE"""),"Новый")</f>
        <v>Новый</v>
      </c>
      <c r="G6587" s="68"/>
      <c r="K6587" s="68"/>
    </row>
    <row r="6588" spans="1:11" ht="12.75">
      <c r="A6588" s="69">
        <f ca="1">IFERROR(__xludf.DUMMYFUNCTION("""COMPUTED_VALUE"""),107933)</f>
        <v>107933</v>
      </c>
      <c r="B6588" s="4">
        <f ca="1">IFERROR(__xludf.DUMMYFUNCTION("""COMPUTED_VALUE"""),44830)</f>
        <v>44830</v>
      </c>
      <c r="C6588" t="str">
        <f ca="1">IFERROR(__xludf.DUMMYFUNCTION("""COMPUTED_VALUE"""),"ООО ""Триод"" 152-РДО от 15.04.2022")</f>
        <v>ООО "Триод" 152-РДО от 15.04.2022</v>
      </c>
      <c r="D65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8" t="str">
        <f ca="1">IFERROR(__xludf.DUMMYFUNCTION("""COMPUTED_VALUE"""),"Новый")</f>
        <v>Новый</v>
      </c>
      <c r="G6588" s="68"/>
      <c r="K6588" s="68"/>
    </row>
    <row r="6589" spans="1:11" ht="12.75">
      <c r="A6589" s="69">
        <f ca="1">IFERROR(__xludf.DUMMYFUNCTION("""COMPUTED_VALUE"""),107934)</f>
        <v>107934</v>
      </c>
      <c r="B6589" s="4">
        <f ca="1">IFERROR(__xludf.DUMMYFUNCTION("""COMPUTED_VALUE"""),44830)</f>
        <v>44830</v>
      </c>
      <c r="C6589" t="str">
        <f ca="1">IFERROR(__xludf.DUMMYFUNCTION("""COMPUTED_VALUE"""),"ООО ""Триод"" 152-РДО от 15.04.2022")</f>
        <v>ООО "Триод" 152-РДО от 15.04.2022</v>
      </c>
      <c r="D65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89" t="str">
        <f ca="1">IFERROR(__xludf.DUMMYFUNCTION("""COMPUTED_VALUE"""),"Новый")</f>
        <v>Новый</v>
      </c>
      <c r="G6589" s="68"/>
      <c r="K6589" s="68"/>
    </row>
    <row r="6590" spans="1:11" ht="12.75">
      <c r="A6590" s="69">
        <f ca="1">IFERROR(__xludf.DUMMYFUNCTION("""COMPUTED_VALUE"""),107935)</f>
        <v>107935</v>
      </c>
      <c r="B6590" s="4">
        <f ca="1">IFERROR(__xludf.DUMMYFUNCTION("""COMPUTED_VALUE"""),44830)</f>
        <v>44830</v>
      </c>
      <c r="C6590" t="str">
        <f ca="1">IFERROR(__xludf.DUMMYFUNCTION("""COMPUTED_VALUE"""),"ООО ""Триод"" 152-РДО от 15.04.2022")</f>
        <v>ООО "Триод" 152-РДО от 15.04.2022</v>
      </c>
      <c r="D65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0" t="str">
        <f ca="1">IFERROR(__xludf.DUMMYFUNCTION("""COMPUTED_VALUE"""),"Новый")</f>
        <v>Новый</v>
      </c>
      <c r="G6590" s="68"/>
      <c r="K6590" s="68"/>
    </row>
    <row r="6591" spans="1:11" ht="12.75">
      <c r="A6591" s="69">
        <f ca="1">IFERROR(__xludf.DUMMYFUNCTION("""COMPUTED_VALUE"""),107936)</f>
        <v>107936</v>
      </c>
      <c r="B6591" s="4">
        <f ca="1">IFERROR(__xludf.DUMMYFUNCTION("""COMPUTED_VALUE"""),44830)</f>
        <v>44830</v>
      </c>
      <c r="C6591" t="str">
        <f ca="1">IFERROR(__xludf.DUMMYFUNCTION("""COMPUTED_VALUE"""),"ООО ""Триод"" 152-РДО от 15.04.2022")</f>
        <v>ООО "Триод" 152-РДО от 15.04.2022</v>
      </c>
      <c r="D65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1" t="str">
        <f ca="1">IFERROR(__xludf.DUMMYFUNCTION("""COMPUTED_VALUE"""),"Новый")</f>
        <v>Новый</v>
      </c>
      <c r="G6591" s="68"/>
      <c r="K6591" s="68"/>
    </row>
    <row r="6592" spans="1:11" ht="12.75">
      <c r="A6592" s="69">
        <f ca="1">IFERROR(__xludf.DUMMYFUNCTION("""COMPUTED_VALUE"""),107937)</f>
        <v>107937</v>
      </c>
      <c r="B6592" s="4">
        <f ca="1">IFERROR(__xludf.DUMMYFUNCTION("""COMPUTED_VALUE"""),44830)</f>
        <v>44830</v>
      </c>
      <c r="C6592" t="str">
        <f ca="1">IFERROR(__xludf.DUMMYFUNCTION("""COMPUTED_VALUE"""),"ООО ""Триод"" 152-РДО от 15.04.2022")</f>
        <v>ООО "Триод" 152-РДО от 15.04.2022</v>
      </c>
      <c r="D65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2" t="str">
        <f ca="1">IFERROR(__xludf.DUMMYFUNCTION("""COMPUTED_VALUE"""),"Новый")</f>
        <v>Новый</v>
      </c>
      <c r="G6592" s="68"/>
      <c r="K6592" s="68"/>
    </row>
    <row r="6593" spans="1:11" ht="12.75">
      <c r="A6593" s="69">
        <f ca="1">IFERROR(__xludf.DUMMYFUNCTION("""COMPUTED_VALUE"""),107938)</f>
        <v>107938</v>
      </c>
      <c r="B6593" s="4">
        <f ca="1">IFERROR(__xludf.DUMMYFUNCTION("""COMPUTED_VALUE"""),44830)</f>
        <v>44830</v>
      </c>
      <c r="C6593" t="str">
        <f ca="1">IFERROR(__xludf.DUMMYFUNCTION("""COMPUTED_VALUE"""),"ООО ""Триод"" 152-РДО от 15.04.2022")</f>
        <v>ООО "Триод" 152-РДО от 15.04.2022</v>
      </c>
      <c r="D65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3" t="str">
        <f ca="1">IFERROR(__xludf.DUMMYFUNCTION("""COMPUTED_VALUE"""),"Новый")</f>
        <v>Новый</v>
      </c>
      <c r="G6593" s="68"/>
      <c r="K6593" s="68"/>
    </row>
    <row r="6594" spans="1:11" ht="12.75">
      <c r="A6594" s="69">
        <f ca="1">IFERROR(__xludf.DUMMYFUNCTION("""COMPUTED_VALUE"""),107939)</f>
        <v>107939</v>
      </c>
      <c r="B6594" s="4">
        <f ca="1">IFERROR(__xludf.DUMMYFUNCTION("""COMPUTED_VALUE"""),44830)</f>
        <v>44830</v>
      </c>
      <c r="C6594" t="str">
        <f ca="1">IFERROR(__xludf.DUMMYFUNCTION("""COMPUTED_VALUE"""),"ООО ""Триод"" 152-РДО от 15.04.2022")</f>
        <v>ООО "Триод" 152-РДО от 15.04.2022</v>
      </c>
      <c r="D65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4" t="str">
        <f ca="1">IFERROR(__xludf.DUMMYFUNCTION("""COMPUTED_VALUE"""),"Новый")</f>
        <v>Новый</v>
      </c>
      <c r="G6594" s="68"/>
      <c r="K6594" s="68"/>
    </row>
    <row r="6595" spans="1:11" ht="12.75">
      <c r="A6595" s="69">
        <f ca="1">IFERROR(__xludf.DUMMYFUNCTION("""COMPUTED_VALUE"""),107940)</f>
        <v>107940</v>
      </c>
      <c r="B6595" s="4">
        <f ca="1">IFERROR(__xludf.DUMMYFUNCTION("""COMPUTED_VALUE"""),44830)</f>
        <v>44830</v>
      </c>
      <c r="C6595" t="str">
        <f ca="1">IFERROR(__xludf.DUMMYFUNCTION("""COMPUTED_VALUE"""),"ООО ""Триод"" 152-РДО от 15.04.2022")</f>
        <v>ООО "Триод" 152-РДО от 15.04.2022</v>
      </c>
      <c r="D65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5" t="str">
        <f ca="1">IFERROR(__xludf.DUMMYFUNCTION("""COMPUTED_VALUE"""),"Новый")</f>
        <v>Новый</v>
      </c>
      <c r="G6595" s="68"/>
      <c r="K6595" s="68"/>
    </row>
    <row r="6596" spans="1:11" ht="12.75">
      <c r="A6596" s="69">
        <f ca="1">IFERROR(__xludf.DUMMYFUNCTION("""COMPUTED_VALUE"""),107941)</f>
        <v>107941</v>
      </c>
      <c r="B6596" s="4">
        <f ca="1">IFERROR(__xludf.DUMMYFUNCTION("""COMPUTED_VALUE"""),44830)</f>
        <v>44830</v>
      </c>
      <c r="C6596" t="str">
        <f ca="1">IFERROR(__xludf.DUMMYFUNCTION("""COMPUTED_VALUE"""),"ООО ""Триод"" 152-РДО от 15.04.2022")</f>
        <v>ООО "Триод" 152-РДО от 15.04.2022</v>
      </c>
      <c r="D65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6" t="str">
        <f ca="1">IFERROR(__xludf.DUMMYFUNCTION("""COMPUTED_VALUE"""),"Новый")</f>
        <v>Новый</v>
      </c>
      <c r="G6596" s="68"/>
      <c r="K6596" s="68"/>
    </row>
    <row r="6597" spans="1:11" ht="12.75">
      <c r="A6597" s="69">
        <f ca="1">IFERROR(__xludf.DUMMYFUNCTION("""COMPUTED_VALUE"""),107942)</f>
        <v>107942</v>
      </c>
      <c r="B6597" s="4">
        <f ca="1">IFERROR(__xludf.DUMMYFUNCTION("""COMPUTED_VALUE"""),44830)</f>
        <v>44830</v>
      </c>
      <c r="C6597" t="str">
        <f ca="1">IFERROR(__xludf.DUMMYFUNCTION("""COMPUTED_VALUE"""),"ООО ""Триод"" 152-РДО от 15.04.2022")</f>
        <v>ООО "Триод" 152-РДО от 15.04.2022</v>
      </c>
      <c r="D65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7" t="str">
        <f ca="1">IFERROR(__xludf.DUMMYFUNCTION("""COMPUTED_VALUE"""),"Новый")</f>
        <v>Новый</v>
      </c>
      <c r="G6597" s="68"/>
      <c r="K6597" s="68"/>
    </row>
    <row r="6598" spans="1:11" ht="12.75">
      <c r="A6598" s="69">
        <f ca="1">IFERROR(__xludf.DUMMYFUNCTION("""COMPUTED_VALUE"""),107943)</f>
        <v>107943</v>
      </c>
      <c r="B6598" s="4">
        <f ca="1">IFERROR(__xludf.DUMMYFUNCTION("""COMPUTED_VALUE"""),44830)</f>
        <v>44830</v>
      </c>
      <c r="C6598" t="str">
        <f ca="1">IFERROR(__xludf.DUMMYFUNCTION("""COMPUTED_VALUE"""),"ООО ""Триод"" 152-РДО от 15.04.2022")</f>
        <v>ООО "Триод" 152-РДО от 15.04.2022</v>
      </c>
      <c r="D65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8" t="str">
        <f ca="1">IFERROR(__xludf.DUMMYFUNCTION("""COMPUTED_VALUE"""),"Новый")</f>
        <v>Новый</v>
      </c>
      <c r="G6598" s="68"/>
      <c r="K6598" s="68"/>
    </row>
    <row r="6599" spans="1:11" ht="12.75">
      <c r="A6599" s="69">
        <f ca="1">IFERROR(__xludf.DUMMYFUNCTION("""COMPUTED_VALUE"""),107944)</f>
        <v>107944</v>
      </c>
      <c r="B6599" s="4">
        <f ca="1">IFERROR(__xludf.DUMMYFUNCTION("""COMPUTED_VALUE"""),44830)</f>
        <v>44830</v>
      </c>
      <c r="C6599" t="str">
        <f ca="1">IFERROR(__xludf.DUMMYFUNCTION("""COMPUTED_VALUE"""),"СНТ ""АВТОМОБИЛИСТ-6"" 176-РДО от 17.05.2022")</f>
        <v>СНТ "АВТОМОБИЛИСТ-6" 176-РДО от 17.05.2022</v>
      </c>
      <c r="D65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599" t="str">
        <f ca="1">IFERROR(__xludf.DUMMYFUNCTION("""COMPUTED_VALUE"""),"Новый")</f>
        <v>Новый</v>
      </c>
      <c r="G6599" s="68"/>
      <c r="K6599" s="68"/>
    </row>
    <row r="6600" spans="1:11" ht="12.75">
      <c r="A6600" s="69">
        <f ca="1">IFERROR(__xludf.DUMMYFUNCTION("""COMPUTED_VALUE"""),107946)</f>
        <v>107946</v>
      </c>
      <c r="B6600" s="4">
        <f ca="1">IFERROR(__xludf.DUMMYFUNCTION("""COMPUTED_VALUE"""),44831)</f>
        <v>44831</v>
      </c>
      <c r="C6600" t="str">
        <f ca="1">IFERROR(__xludf.DUMMYFUNCTION("""COMPUTED_VALUE"""),"БУ Г. ОМСКА ""УДХБ"" 197-РДО от 01.07.2022")</f>
        <v>БУ Г. ОМСКА "УДХБ" 197-РДО от 01.07.2022</v>
      </c>
      <c r="D66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0" t="str">
        <f ca="1">IFERROR(__xludf.DUMMYFUNCTION("""COMPUTED_VALUE"""),"Новый")</f>
        <v>Новый</v>
      </c>
      <c r="G6600" s="68"/>
      <c r="K6600" s="68"/>
    </row>
    <row r="6601" spans="1:11" ht="12.75">
      <c r="A6601" s="69">
        <f ca="1">IFERROR(__xludf.DUMMYFUNCTION("""COMPUTED_VALUE"""),107947)</f>
        <v>107947</v>
      </c>
      <c r="B6601" s="4">
        <f ca="1">IFERROR(__xludf.DUMMYFUNCTION("""COMPUTED_VALUE"""),44831)</f>
        <v>44831</v>
      </c>
      <c r="C6601" t="str">
        <f ca="1">IFERROR(__xludf.DUMMYFUNCTION("""COMPUTED_VALUE"""),"БУ Г. ОМСКА ""УДХБ"" 197-РДО от 01.07.2022")</f>
        <v>БУ Г. ОМСКА "УДХБ" 197-РДО от 01.07.2022</v>
      </c>
      <c r="D66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1" t="str">
        <f ca="1">IFERROR(__xludf.DUMMYFUNCTION("""COMPUTED_VALUE"""),"Новый")</f>
        <v>Новый</v>
      </c>
      <c r="G6601" s="68"/>
      <c r="K6601" s="68"/>
    </row>
    <row r="6602" spans="1:11" ht="12.75">
      <c r="A6602" s="69">
        <f ca="1">IFERROR(__xludf.DUMMYFUNCTION("""COMPUTED_VALUE"""),107955)</f>
        <v>107955</v>
      </c>
      <c r="B6602" s="4">
        <f ca="1">IFERROR(__xludf.DUMMYFUNCTION("""COMPUTED_VALUE"""),44831)</f>
        <v>44831</v>
      </c>
      <c r="C6602" t="str">
        <f ca="1">IFERROR(__xludf.DUMMYFUNCTION("""COMPUTED_VALUE"""),"БУ Г. ОМСКА ""УДХБ"" 197-РДО от 01.07.2022")</f>
        <v>БУ Г. ОМСКА "УДХБ" 197-РДО от 01.07.2022</v>
      </c>
      <c r="D66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2" t="str">
        <f ca="1">IFERROR(__xludf.DUMMYFUNCTION("""COMPUTED_VALUE"""),"Новый")</f>
        <v>Новый</v>
      </c>
      <c r="G6602" s="68"/>
      <c r="K6602" s="68"/>
    </row>
    <row r="6603" spans="1:11" ht="12.75">
      <c r="A6603" s="69">
        <f ca="1">IFERROR(__xludf.DUMMYFUNCTION("""COMPUTED_VALUE"""),107960)</f>
        <v>107960</v>
      </c>
      <c r="B6603" s="4">
        <f ca="1">IFERROR(__xludf.DUMMYFUNCTION("""COMPUTED_VALUE"""),44831)</f>
        <v>44831</v>
      </c>
      <c r="C6603" t="str">
        <f ca="1">IFERROR(__xludf.DUMMYFUNCTION("""COMPUTED_VALUE"""),"БУ Г. ОМСКА ""УДХБ"" 197-РДО от 01.07.2022")</f>
        <v>БУ Г. ОМСКА "УДХБ" 197-РДО от 01.07.2022</v>
      </c>
      <c r="D66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3" t="str">
        <f ca="1">IFERROR(__xludf.DUMMYFUNCTION("""COMPUTED_VALUE"""),"Новый")</f>
        <v>Новый</v>
      </c>
      <c r="G6603" s="68"/>
      <c r="K6603" s="68"/>
    </row>
    <row r="6604" spans="1:11" ht="12.75">
      <c r="A6604" s="69">
        <f ca="1">IFERROR(__xludf.DUMMYFUNCTION("""COMPUTED_VALUE"""),107961)</f>
        <v>107961</v>
      </c>
      <c r="B6604" s="4">
        <f ca="1">IFERROR(__xludf.DUMMYFUNCTION("""COMPUTED_VALUE"""),44831)</f>
        <v>44831</v>
      </c>
      <c r="C6604" t="str">
        <f ca="1">IFERROR(__xludf.DUMMYFUNCTION("""COMPUTED_VALUE"""),"БУ Г. ОМСКА ""УДХБ"" 197-РДО от 01.07.2022")</f>
        <v>БУ Г. ОМСКА "УДХБ" 197-РДО от 01.07.2022</v>
      </c>
      <c r="D66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4" t="str">
        <f ca="1">IFERROR(__xludf.DUMMYFUNCTION("""COMPUTED_VALUE"""),"Новый")</f>
        <v>Новый</v>
      </c>
      <c r="G6604" s="68"/>
      <c r="K6604" s="68"/>
    </row>
    <row r="6605" spans="1:11" ht="12.75">
      <c r="A6605" s="69">
        <f ca="1">IFERROR(__xludf.DUMMYFUNCTION("""COMPUTED_VALUE"""),107962)</f>
        <v>107962</v>
      </c>
      <c r="B6605" s="4">
        <f ca="1">IFERROR(__xludf.DUMMYFUNCTION("""COMPUTED_VALUE"""),44831)</f>
        <v>44831</v>
      </c>
      <c r="C6605" t="str">
        <f ca="1">IFERROR(__xludf.DUMMYFUNCTION("""COMPUTED_VALUE"""),"БУ Г. ОМСКА ""УДХБ"" 197-РДО от 01.07.2022")</f>
        <v>БУ Г. ОМСКА "УДХБ" 197-РДО от 01.07.2022</v>
      </c>
      <c r="D66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5" t="str">
        <f ca="1">IFERROR(__xludf.DUMMYFUNCTION("""COMPUTED_VALUE"""),"Новый")</f>
        <v>Новый</v>
      </c>
      <c r="G6605" s="68"/>
      <c r="K6605" s="68"/>
    </row>
    <row r="6606" spans="1:11" ht="12.75">
      <c r="A6606" s="69">
        <f ca="1">IFERROR(__xludf.DUMMYFUNCTION("""COMPUTED_VALUE"""),107964)</f>
        <v>107964</v>
      </c>
      <c r="B6606" s="4">
        <f ca="1">IFERROR(__xludf.DUMMYFUNCTION("""COMPUTED_VALUE"""),44831)</f>
        <v>44831</v>
      </c>
      <c r="C6606" t="str">
        <f ca="1">IFERROR(__xludf.DUMMYFUNCTION("""COMPUTED_VALUE"""),"БУ Г. ОМСКА ""УДХБ"" 197-РДО от 01.07.2022")</f>
        <v>БУ Г. ОМСКА "УДХБ" 197-РДО от 01.07.2022</v>
      </c>
      <c r="D66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6" t="str">
        <f ca="1">IFERROR(__xludf.DUMMYFUNCTION("""COMPUTED_VALUE"""),"Новый")</f>
        <v>Новый</v>
      </c>
      <c r="G6606" s="68"/>
      <c r="K6606" s="68"/>
    </row>
    <row r="6607" spans="1:11" ht="12.75">
      <c r="A6607" s="69">
        <f ca="1">IFERROR(__xludf.DUMMYFUNCTION("""COMPUTED_VALUE"""),107965)</f>
        <v>107965</v>
      </c>
      <c r="B6607" s="4">
        <f ca="1">IFERROR(__xludf.DUMMYFUNCTION("""COMPUTED_VALUE"""),44831)</f>
        <v>44831</v>
      </c>
      <c r="C6607" t="str">
        <f ca="1">IFERROR(__xludf.DUMMYFUNCTION("""COMPUTED_VALUE"""),"БУ Г. ОМСКА ""УДХБ"" 197-РДО от 01.07.2022")</f>
        <v>БУ Г. ОМСКА "УДХБ" 197-РДО от 01.07.2022</v>
      </c>
      <c r="D66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7" t="str">
        <f ca="1">IFERROR(__xludf.DUMMYFUNCTION("""COMPUTED_VALUE"""),"Новый")</f>
        <v>Новый</v>
      </c>
      <c r="G6607" s="68"/>
      <c r="K6607" s="68"/>
    </row>
    <row r="6608" spans="1:11" ht="12.75">
      <c r="A6608" s="69">
        <f ca="1">IFERROR(__xludf.DUMMYFUNCTION("""COMPUTED_VALUE"""),107966)</f>
        <v>107966</v>
      </c>
      <c r="B6608" s="4">
        <f ca="1">IFERROR(__xludf.DUMMYFUNCTION("""COMPUTED_VALUE"""),44831)</f>
        <v>44831</v>
      </c>
      <c r="C6608" t="str">
        <f ca="1">IFERROR(__xludf.DUMMYFUNCTION("""COMPUTED_VALUE"""),"БУ Г. ОМСКА ""УДХБ"" 197-РДО от 01.07.2022")</f>
        <v>БУ Г. ОМСКА "УДХБ" 197-РДО от 01.07.2022</v>
      </c>
      <c r="D66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8" t="str">
        <f ca="1">IFERROR(__xludf.DUMMYFUNCTION("""COMPUTED_VALUE"""),"Новый")</f>
        <v>Новый</v>
      </c>
      <c r="G6608" s="68"/>
      <c r="K6608" s="68"/>
    </row>
    <row r="6609" spans="1:11" ht="12.75">
      <c r="A6609" s="69">
        <f ca="1">IFERROR(__xludf.DUMMYFUNCTION("""COMPUTED_VALUE"""),107967)</f>
        <v>107967</v>
      </c>
      <c r="B6609" s="4">
        <f ca="1">IFERROR(__xludf.DUMMYFUNCTION("""COMPUTED_VALUE"""),44831)</f>
        <v>44831</v>
      </c>
      <c r="C6609" t="str">
        <f ca="1">IFERROR(__xludf.DUMMYFUNCTION("""COMPUTED_VALUE"""),"БУ Г. ОМСКА ""УДХБ"" 197-РДО от 01.07.2022")</f>
        <v>БУ Г. ОМСКА "УДХБ" 197-РДО от 01.07.2022</v>
      </c>
      <c r="D66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09" t="str">
        <f ca="1">IFERROR(__xludf.DUMMYFUNCTION("""COMPUTED_VALUE"""),"Новый")</f>
        <v>Новый</v>
      </c>
      <c r="G6609" s="68"/>
      <c r="K6609" s="68"/>
    </row>
    <row r="6610" spans="1:11" ht="12.75">
      <c r="A6610" s="69">
        <f ca="1">IFERROR(__xludf.DUMMYFUNCTION("""COMPUTED_VALUE"""),107968)</f>
        <v>107968</v>
      </c>
      <c r="B6610" s="4">
        <f ca="1">IFERROR(__xludf.DUMMYFUNCTION("""COMPUTED_VALUE"""),44831)</f>
        <v>44831</v>
      </c>
      <c r="C6610" t="str">
        <f ca="1">IFERROR(__xludf.DUMMYFUNCTION("""COMPUTED_VALUE"""),"БУ Г. ОМСКА ""УДХБ"" 197-РДО от 01.07.2022")</f>
        <v>БУ Г. ОМСКА "УДХБ" 197-РДО от 01.07.2022</v>
      </c>
      <c r="D66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0" t="str">
        <f ca="1">IFERROR(__xludf.DUMMYFUNCTION("""COMPUTED_VALUE"""),"Новый")</f>
        <v>Новый</v>
      </c>
      <c r="G6610" s="68"/>
      <c r="K6610" s="68"/>
    </row>
    <row r="6611" spans="1:11" ht="12.75">
      <c r="A6611" s="69">
        <f ca="1">IFERROR(__xludf.DUMMYFUNCTION("""COMPUTED_VALUE"""),107969)</f>
        <v>107969</v>
      </c>
      <c r="B6611" s="4">
        <f ca="1">IFERROR(__xludf.DUMMYFUNCTION("""COMPUTED_VALUE"""),44831)</f>
        <v>44831</v>
      </c>
      <c r="C6611" t="str">
        <f ca="1">IFERROR(__xludf.DUMMYFUNCTION("""COMPUTED_VALUE"""),"БУ Г. ОМСКА ""УДХБ"" 197-РДО от 01.07.2022")</f>
        <v>БУ Г. ОМСКА "УДХБ" 197-РДО от 01.07.2022</v>
      </c>
      <c r="D66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1" t="str">
        <f ca="1">IFERROR(__xludf.DUMMYFUNCTION("""COMPUTED_VALUE"""),"Новый")</f>
        <v>Новый</v>
      </c>
      <c r="G6611" s="68"/>
      <c r="K6611" s="68"/>
    </row>
    <row r="6612" spans="1:11" ht="12.75">
      <c r="A6612" s="69">
        <f ca="1">IFERROR(__xludf.DUMMYFUNCTION("""COMPUTED_VALUE"""),107970)</f>
        <v>107970</v>
      </c>
      <c r="B6612" s="4">
        <f ca="1">IFERROR(__xludf.DUMMYFUNCTION("""COMPUTED_VALUE"""),44831)</f>
        <v>44831</v>
      </c>
      <c r="C6612" t="str">
        <f ca="1">IFERROR(__xludf.DUMMYFUNCTION("""COMPUTED_VALUE"""),"БУ Г. ОМСКА ""УДХБ"" 197-РДО от 01.07.2022")</f>
        <v>БУ Г. ОМСКА "УДХБ" 197-РДО от 01.07.2022</v>
      </c>
      <c r="D66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2" t="str">
        <f ca="1">IFERROR(__xludf.DUMMYFUNCTION("""COMPUTED_VALUE"""),"Новый")</f>
        <v>Новый</v>
      </c>
      <c r="G6612" s="68"/>
      <c r="K6612" s="68"/>
    </row>
    <row r="6613" spans="1:11" ht="12.75">
      <c r="A6613" s="69">
        <f ca="1">IFERROR(__xludf.DUMMYFUNCTION("""COMPUTED_VALUE"""),107971)</f>
        <v>107971</v>
      </c>
      <c r="B6613" s="4">
        <f ca="1">IFERROR(__xludf.DUMMYFUNCTION("""COMPUTED_VALUE"""),44831)</f>
        <v>44831</v>
      </c>
      <c r="C6613" t="str">
        <f ca="1">IFERROR(__xludf.DUMMYFUNCTION("""COMPUTED_VALUE"""),"БУ Г. ОМСКА ""УДХБ"" 197-РДО от 01.07.2022")</f>
        <v>БУ Г. ОМСКА "УДХБ" 197-РДО от 01.07.2022</v>
      </c>
      <c r="D66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3" t="str">
        <f ca="1">IFERROR(__xludf.DUMMYFUNCTION("""COMPUTED_VALUE"""),"Новый")</f>
        <v>Новый</v>
      </c>
      <c r="G6613" s="68"/>
      <c r="K6613" s="68"/>
    </row>
    <row r="6614" spans="1:11" ht="12.75">
      <c r="A6614" s="69">
        <f ca="1">IFERROR(__xludf.DUMMYFUNCTION("""COMPUTED_VALUE"""),107972)</f>
        <v>107972</v>
      </c>
      <c r="B6614" s="4">
        <f ca="1">IFERROR(__xludf.DUMMYFUNCTION("""COMPUTED_VALUE"""),44831)</f>
        <v>44831</v>
      </c>
      <c r="C6614" t="str">
        <f ca="1">IFERROR(__xludf.DUMMYFUNCTION("""COMPUTED_VALUE"""),"БУ Г. ОМСКА ""УДХБ"" 197-РДО от 01.07.2022")</f>
        <v>БУ Г. ОМСКА "УДХБ" 197-РДО от 01.07.2022</v>
      </c>
      <c r="D66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4" t="str">
        <f ca="1">IFERROR(__xludf.DUMMYFUNCTION("""COMPUTED_VALUE"""),"Новый")</f>
        <v>Новый</v>
      </c>
      <c r="G6614" s="68"/>
      <c r="K6614" s="68"/>
    </row>
    <row r="6615" spans="1:11" ht="12.75">
      <c r="A6615" s="69">
        <f ca="1">IFERROR(__xludf.DUMMYFUNCTION("""COMPUTED_VALUE"""),107973)</f>
        <v>107973</v>
      </c>
      <c r="B6615" s="4">
        <f ca="1">IFERROR(__xludf.DUMMYFUNCTION("""COMPUTED_VALUE"""),44831)</f>
        <v>44831</v>
      </c>
      <c r="C6615" t="str">
        <f ca="1">IFERROR(__xludf.DUMMYFUNCTION("""COMPUTED_VALUE"""),"БУ Г. ОМСКА ""УДХБ"" 197-РДО от 01.07.2022")</f>
        <v>БУ Г. ОМСКА "УДХБ" 197-РДО от 01.07.2022</v>
      </c>
      <c r="D66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5" t="str">
        <f ca="1">IFERROR(__xludf.DUMMYFUNCTION("""COMPUTED_VALUE"""),"Новый")</f>
        <v>Новый</v>
      </c>
      <c r="G6615" s="68"/>
      <c r="K6615" s="68"/>
    </row>
    <row r="6616" spans="1:11" ht="12.75">
      <c r="A6616" s="69">
        <f ca="1">IFERROR(__xludf.DUMMYFUNCTION("""COMPUTED_VALUE"""),107974)</f>
        <v>107974</v>
      </c>
      <c r="B6616" s="4">
        <f ca="1">IFERROR(__xludf.DUMMYFUNCTION("""COMPUTED_VALUE"""),44831)</f>
        <v>44831</v>
      </c>
      <c r="C6616" t="str">
        <f ca="1">IFERROR(__xludf.DUMMYFUNCTION("""COMPUTED_VALUE"""),"БУ Г. ОМСКА ""УДХБ"" 197-РДО от 01.07.2022")</f>
        <v>БУ Г. ОМСКА "УДХБ" 197-РДО от 01.07.2022</v>
      </c>
      <c r="D66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6" t="str">
        <f ca="1">IFERROR(__xludf.DUMMYFUNCTION("""COMPUTED_VALUE"""),"Новый")</f>
        <v>Новый</v>
      </c>
      <c r="G6616" s="68"/>
      <c r="K6616" s="68"/>
    </row>
    <row r="6617" spans="1:11" ht="12.75">
      <c r="A6617" s="69">
        <f ca="1">IFERROR(__xludf.DUMMYFUNCTION("""COMPUTED_VALUE"""),107975)</f>
        <v>107975</v>
      </c>
      <c r="B6617" s="4">
        <f ca="1">IFERROR(__xludf.DUMMYFUNCTION("""COMPUTED_VALUE"""),44831)</f>
        <v>44831</v>
      </c>
      <c r="C6617" t="str">
        <f ca="1">IFERROR(__xludf.DUMMYFUNCTION("""COMPUTED_VALUE"""),"БУ Г. ОМСКА ""УДХБ"" 197-РДО от 01.07.2022")</f>
        <v>БУ Г. ОМСКА "УДХБ" 197-РДО от 01.07.2022</v>
      </c>
      <c r="D66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7" t="str">
        <f ca="1">IFERROR(__xludf.DUMMYFUNCTION("""COMPUTED_VALUE"""),"Новый")</f>
        <v>Новый</v>
      </c>
      <c r="G6617" s="68"/>
      <c r="K6617" s="68"/>
    </row>
    <row r="6618" spans="1:11" ht="12.75">
      <c r="A6618" s="69">
        <f ca="1">IFERROR(__xludf.DUMMYFUNCTION("""COMPUTED_VALUE"""),107976)</f>
        <v>107976</v>
      </c>
      <c r="B6618" s="4">
        <f ca="1">IFERROR(__xludf.DUMMYFUNCTION("""COMPUTED_VALUE"""),44831)</f>
        <v>44831</v>
      </c>
      <c r="C6618" t="str">
        <f ca="1">IFERROR(__xludf.DUMMYFUNCTION("""COMPUTED_VALUE"""),"БУ Г. ОМСКА ""УДХБ"" 197-РДО от 01.07.2022")</f>
        <v>БУ Г. ОМСКА "УДХБ" 197-РДО от 01.07.2022</v>
      </c>
      <c r="D66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8" t="str">
        <f ca="1">IFERROR(__xludf.DUMMYFUNCTION("""COMPUTED_VALUE"""),"Новый")</f>
        <v>Новый</v>
      </c>
      <c r="G6618" s="68"/>
      <c r="K6618" s="68"/>
    </row>
    <row r="6619" spans="1:11" ht="12.75">
      <c r="A6619" s="69">
        <f ca="1">IFERROR(__xludf.DUMMYFUNCTION("""COMPUTED_VALUE"""),107977)</f>
        <v>107977</v>
      </c>
      <c r="B6619" s="4">
        <f ca="1">IFERROR(__xludf.DUMMYFUNCTION("""COMPUTED_VALUE"""),44831)</f>
        <v>44831</v>
      </c>
      <c r="C6619" t="str">
        <f ca="1">IFERROR(__xludf.DUMMYFUNCTION("""COMPUTED_VALUE"""),"БУ Г. ОМСКА ""УДХБ"" 197-РДО от 01.07.2022")</f>
        <v>БУ Г. ОМСКА "УДХБ" 197-РДО от 01.07.2022</v>
      </c>
      <c r="D66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19" t="str">
        <f ca="1">IFERROR(__xludf.DUMMYFUNCTION("""COMPUTED_VALUE"""),"Новый")</f>
        <v>Новый</v>
      </c>
      <c r="G6619" s="68"/>
      <c r="K6619" s="68"/>
    </row>
    <row r="6620" spans="1:11" ht="12.75">
      <c r="A6620" s="69">
        <f ca="1">IFERROR(__xludf.DUMMYFUNCTION("""COMPUTED_VALUE"""),107979)</f>
        <v>107979</v>
      </c>
      <c r="B6620" s="4">
        <f ca="1">IFERROR(__xludf.DUMMYFUNCTION("""COMPUTED_VALUE"""),44831)</f>
        <v>44831</v>
      </c>
      <c r="C6620" t="str">
        <f ca="1">IFERROR(__xludf.DUMMYFUNCTION("""COMPUTED_VALUE"""),"БУ Г. ОМСКА ""УДХБ"" 197-РДО от 01.07.2022")</f>
        <v>БУ Г. ОМСКА "УДХБ" 197-РДО от 01.07.2022</v>
      </c>
      <c r="D66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0" t="str">
        <f ca="1">IFERROR(__xludf.DUMMYFUNCTION("""COMPUTED_VALUE"""),"Новый")</f>
        <v>Новый</v>
      </c>
      <c r="G6620" s="68"/>
      <c r="K6620" s="68"/>
    </row>
    <row r="6621" spans="1:11" ht="12.75">
      <c r="A6621" s="69">
        <f ca="1">IFERROR(__xludf.DUMMYFUNCTION("""COMPUTED_VALUE"""),107981)</f>
        <v>107981</v>
      </c>
      <c r="B6621" s="4">
        <f ca="1">IFERROR(__xludf.DUMMYFUNCTION("""COMPUTED_VALUE"""),44831)</f>
        <v>44831</v>
      </c>
      <c r="C6621" t="str">
        <f ca="1">IFERROR(__xludf.DUMMYFUNCTION("""COMPUTED_VALUE"""),"БУ Г. ОМСКА ""УДХБ"" 197-РДО от 01.07.2022")</f>
        <v>БУ Г. ОМСКА "УДХБ" 197-РДО от 01.07.2022</v>
      </c>
      <c r="D66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1" t="str">
        <f ca="1">IFERROR(__xludf.DUMMYFUNCTION("""COMPUTED_VALUE"""),"Новый")</f>
        <v>Новый</v>
      </c>
      <c r="G6621" s="68"/>
      <c r="K6621" s="68"/>
    </row>
    <row r="6622" spans="1:11" ht="12.75">
      <c r="A6622" s="69">
        <f ca="1">IFERROR(__xludf.DUMMYFUNCTION("""COMPUTED_VALUE"""),107982)</f>
        <v>107982</v>
      </c>
      <c r="B6622" s="4">
        <f ca="1">IFERROR(__xludf.DUMMYFUNCTION("""COMPUTED_VALUE"""),44831)</f>
        <v>44831</v>
      </c>
      <c r="C6622" t="str">
        <f ca="1">IFERROR(__xludf.DUMMYFUNCTION("""COMPUTED_VALUE"""),"БУ Г. ОМСКА ""УДХБ"" 197-РДО от 01.07.2022")</f>
        <v>БУ Г. ОМСКА "УДХБ" 197-РДО от 01.07.2022</v>
      </c>
      <c r="D66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2" t="str">
        <f ca="1">IFERROR(__xludf.DUMMYFUNCTION("""COMPUTED_VALUE"""),"Новый")</f>
        <v>Новый</v>
      </c>
      <c r="G6622" s="68"/>
      <c r="K6622" s="68"/>
    </row>
    <row r="6623" spans="1:11" ht="12.75">
      <c r="A6623" s="69">
        <f ca="1">IFERROR(__xludf.DUMMYFUNCTION("""COMPUTED_VALUE"""),107983)</f>
        <v>107983</v>
      </c>
      <c r="B6623" s="4">
        <f ca="1">IFERROR(__xludf.DUMMYFUNCTION("""COMPUTED_VALUE"""),44831)</f>
        <v>44831</v>
      </c>
      <c r="C6623" t="str">
        <f ca="1">IFERROR(__xludf.DUMMYFUNCTION("""COMPUTED_VALUE"""),"БУ Г. ОМСКА ""УДХБ"" 197-РДО от 01.07.2022")</f>
        <v>БУ Г. ОМСКА "УДХБ" 197-РДО от 01.07.2022</v>
      </c>
      <c r="D66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3" t="str">
        <f ca="1">IFERROR(__xludf.DUMMYFUNCTION("""COMPUTED_VALUE"""),"Новый")</f>
        <v>Новый</v>
      </c>
      <c r="G6623" s="68"/>
      <c r="K6623" s="68"/>
    </row>
    <row r="6624" spans="1:11" ht="12.75">
      <c r="A6624" s="69">
        <f ca="1">IFERROR(__xludf.DUMMYFUNCTION("""COMPUTED_VALUE"""),107984)</f>
        <v>107984</v>
      </c>
      <c r="B6624" s="4">
        <f ca="1">IFERROR(__xludf.DUMMYFUNCTION("""COMPUTED_VALUE"""),44831)</f>
        <v>44831</v>
      </c>
      <c r="C6624" t="str">
        <f ca="1">IFERROR(__xludf.DUMMYFUNCTION("""COMPUTED_VALUE"""),"БУ Г. ОМСКА ""УДХБ"" 197-РДО от 01.07.2022")</f>
        <v>БУ Г. ОМСКА "УДХБ" 197-РДО от 01.07.2022</v>
      </c>
      <c r="D66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4" t="str">
        <f ca="1">IFERROR(__xludf.DUMMYFUNCTION("""COMPUTED_VALUE"""),"Новый")</f>
        <v>Новый</v>
      </c>
      <c r="G6624" s="68"/>
      <c r="K6624" s="68"/>
    </row>
    <row r="6625" spans="1:11" ht="12.75">
      <c r="A6625" s="69">
        <f ca="1">IFERROR(__xludf.DUMMYFUNCTION("""COMPUTED_VALUE"""),107985)</f>
        <v>107985</v>
      </c>
      <c r="B6625" s="4">
        <f ca="1">IFERROR(__xludf.DUMMYFUNCTION("""COMPUTED_VALUE"""),44831)</f>
        <v>44831</v>
      </c>
      <c r="C6625" t="str">
        <f ca="1">IFERROR(__xludf.DUMMYFUNCTION("""COMPUTED_VALUE"""),"БУ Г. ОМСКА ""УДХБ"" 197-РДО от 01.07.2022")</f>
        <v>БУ Г. ОМСКА "УДХБ" 197-РДО от 01.07.2022</v>
      </c>
      <c r="D66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5" t="str">
        <f ca="1">IFERROR(__xludf.DUMMYFUNCTION("""COMPUTED_VALUE"""),"Новый")</f>
        <v>Новый</v>
      </c>
      <c r="G6625" s="68"/>
      <c r="K6625" s="68"/>
    </row>
    <row r="6626" spans="1:11" ht="12.75">
      <c r="A6626" s="69">
        <f ca="1">IFERROR(__xludf.DUMMYFUNCTION("""COMPUTED_VALUE"""),107986)</f>
        <v>107986</v>
      </c>
      <c r="B6626" s="4">
        <f ca="1">IFERROR(__xludf.DUMMYFUNCTION("""COMPUTED_VALUE"""),44831)</f>
        <v>44831</v>
      </c>
      <c r="C6626" t="str">
        <f ca="1">IFERROR(__xludf.DUMMYFUNCTION("""COMPUTED_VALUE"""),"БУ Г. ОМСКА ""УДХБ"" 197-РДО от 01.07.2022")</f>
        <v>БУ Г. ОМСКА "УДХБ" 197-РДО от 01.07.2022</v>
      </c>
      <c r="D66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6" t="str">
        <f ca="1">IFERROR(__xludf.DUMMYFUNCTION("""COMPUTED_VALUE"""),"Новый")</f>
        <v>Новый</v>
      </c>
      <c r="G6626" s="68"/>
      <c r="K6626" s="68"/>
    </row>
    <row r="6627" spans="1:11" ht="12.75">
      <c r="A6627" s="69">
        <f ca="1">IFERROR(__xludf.DUMMYFUNCTION("""COMPUTED_VALUE"""),107987)</f>
        <v>107987</v>
      </c>
      <c r="B6627" s="4">
        <f ca="1">IFERROR(__xludf.DUMMYFUNCTION("""COMPUTED_VALUE"""),44831)</f>
        <v>44831</v>
      </c>
      <c r="C6627" t="str">
        <f ca="1">IFERROR(__xludf.DUMMYFUNCTION("""COMPUTED_VALUE"""),"БУ Г. ОМСКА ""УДХБ"" 197-РДО от 01.07.2022")</f>
        <v>БУ Г. ОМСКА "УДХБ" 197-РДО от 01.07.2022</v>
      </c>
      <c r="D66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7" t="str">
        <f ca="1">IFERROR(__xludf.DUMMYFUNCTION("""COMPUTED_VALUE"""),"Новый")</f>
        <v>Новый</v>
      </c>
      <c r="G6627" s="68"/>
      <c r="K6627" s="68"/>
    </row>
    <row r="6628" spans="1:11" ht="12.75">
      <c r="A6628" s="69">
        <f ca="1">IFERROR(__xludf.DUMMYFUNCTION("""COMPUTED_VALUE"""),107988)</f>
        <v>107988</v>
      </c>
      <c r="B6628" s="4">
        <f ca="1">IFERROR(__xludf.DUMMYFUNCTION("""COMPUTED_VALUE"""),44831)</f>
        <v>44831</v>
      </c>
      <c r="C6628" t="str">
        <f ca="1">IFERROR(__xludf.DUMMYFUNCTION("""COMPUTED_VALUE"""),"БУ Г. ОМСКА ""УДХБ"" 197-РДО от 01.07.2022")</f>
        <v>БУ Г. ОМСКА "УДХБ" 197-РДО от 01.07.2022</v>
      </c>
      <c r="D66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8" t="str">
        <f ca="1">IFERROR(__xludf.DUMMYFUNCTION("""COMPUTED_VALUE"""),"Новый")</f>
        <v>Новый</v>
      </c>
      <c r="G6628" s="68"/>
      <c r="K6628" s="68"/>
    </row>
    <row r="6629" spans="1:11" ht="12.75">
      <c r="A6629" s="69">
        <f ca="1">IFERROR(__xludf.DUMMYFUNCTION("""COMPUTED_VALUE"""),107989)</f>
        <v>107989</v>
      </c>
      <c r="B6629" s="4">
        <f ca="1">IFERROR(__xludf.DUMMYFUNCTION("""COMPUTED_VALUE"""),44831)</f>
        <v>44831</v>
      </c>
      <c r="C6629" t="str">
        <f ca="1">IFERROR(__xludf.DUMMYFUNCTION("""COMPUTED_VALUE"""),"БУ Г. ОМСКА ""УДХБ"" 197-РДО от 01.07.2022")</f>
        <v>БУ Г. ОМСКА "УДХБ" 197-РДО от 01.07.2022</v>
      </c>
      <c r="D66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29" t="str">
        <f ca="1">IFERROR(__xludf.DUMMYFUNCTION("""COMPUTED_VALUE"""),"Новый")</f>
        <v>Новый</v>
      </c>
      <c r="G6629" s="68"/>
      <c r="K6629" s="68"/>
    </row>
    <row r="6630" spans="1:11" ht="12.75">
      <c r="A6630" s="69">
        <f ca="1">IFERROR(__xludf.DUMMYFUNCTION("""COMPUTED_VALUE"""),107990)</f>
        <v>107990</v>
      </c>
      <c r="B6630" s="4">
        <f ca="1">IFERROR(__xludf.DUMMYFUNCTION("""COMPUTED_VALUE"""),44831)</f>
        <v>44831</v>
      </c>
      <c r="C6630" t="str">
        <f ca="1">IFERROR(__xludf.DUMMYFUNCTION("""COMPUTED_VALUE"""),"БУ Г. ОМСКА ""УДХБ"" 197-РДО от 01.07.2022")</f>
        <v>БУ Г. ОМСКА "УДХБ" 197-РДО от 01.07.2022</v>
      </c>
      <c r="D66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0" t="str">
        <f ca="1">IFERROR(__xludf.DUMMYFUNCTION("""COMPUTED_VALUE"""),"Новый")</f>
        <v>Новый</v>
      </c>
      <c r="G6630" s="68"/>
      <c r="K6630" s="68"/>
    </row>
    <row r="6631" spans="1:11" ht="12.75">
      <c r="A6631" s="69">
        <f ca="1">IFERROR(__xludf.DUMMYFUNCTION("""COMPUTED_VALUE"""),107991)</f>
        <v>107991</v>
      </c>
      <c r="B6631" s="4">
        <f ca="1">IFERROR(__xludf.DUMMYFUNCTION("""COMPUTED_VALUE"""),44831)</f>
        <v>44831</v>
      </c>
      <c r="C6631" t="str">
        <f ca="1">IFERROR(__xludf.DUMMYFUNCTION("""COMPUTED_VALUE"""),"БУ Г. ОМСКА ""УДХБ"" 197-РДО от 01.07.2022")</f>
        <v>БУ Г. ОМСКА "УДХБ" 197-РДО от 01.07.2022</v>
      </c>
      <c r="D66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1" t="str">
        <f ca="1">IFERROR(__xludf.DUMMYFUNCTION("""COMPUTED_VALUE"""),"Новый")</f>
        <v>Новый</v>
      </c>
      <c r="G6631" s="68"/>
      <c r="K6631" s="68"/>
    </row>
    <row r="6632" spans="1:11" ht="12.75">
      <c r="A6632" s="69">
        <f ca="1">IFERROR(__xludf.DUMMYFUNCTION("""COMPUTED_VALUE"""),107992)</f>
        <v>107992</v>
      </c>
      <c r="B6632" s="4">
        <f ca="1">IFERROR(__xludf.DUMMYFUNCTION("""COMPUTED_VALUE"""),44831)</f>
        <v>44831</v>
      </c>
      <c r="C6632" t="str">
        <f ca="1">IFERROR(__xludf.DUMMYFUNCTION("""COMPUTED_VALUE"""),"БУ Г. ОМСКА ""УДХБ"" 197-РДО от 01.07.2022")</f>
        <v>БУ Г. ОМСКА "УДХБ" 197-РДО от 01.07.2022</v>
      </c>
      <c r="D66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2" t="str">
        <f ca="1">IFERROR(__xludf.DUMMYFUNCTION("""COMPUTED_VALUE"""),"Новый")</f>
        <v>Новый</v>
      </c>
      <c r="G6632" s="68"/>
      <c r="K6632" s="68"/>
    </row>
    <row r="6633" spans="1:11" ht="12.75">
      <c r="A6633" s="69">
        <f ca="1">IFERROR(__xludf.DUMMYFUNCTION("""COMPUTED_VALUE"""),107993)</f>
        <v>107993</v>
      </c>
      <c r="B6633" s="4">
        <f ca="1">IFERROR(__xludf.DUMMYFUNCTION("""COMPUTED_VALUE"""),44831)</f>
        <v>44831</v>
      </c>
      <c r="C6633" t="str">
        <f ca="1">IFERROR(__xludf.DUMMYFUNCTION("""COMPUTED_VALUE"""),"БУ Г. ОМСКА ""УДХБ"" 197-РДО от 01.07.2022")</f>
        <v>БУ Г. ОМСКА "УДХБ" 197-РДО от 01.07.2022</v>
      </c>
      <c r="D66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3" t="str">
        <f ca="1">IFERROR(__xludf.DUMMYFUNCTION("""COMPUTED_VALUE"""),"Новый")</f>
        <v>Новый</v>
      </c>
      <c r="G6633" s="68"/>
      <c r="K6633" s="68"/>
    </row>
    <row r="6634" spans="1:11" ht="12.75">
      <c r="A6634" s="69">
        <f ca="1">IFERROR(__xludf.DUMMYFUNCTION("""COMPUTED_VALUE"""),107994)</f>
        <v>107994</v>
      </c>
      <c r="B6634" s="4">
        <f ca="1">IFERROR(__xludf.DUMMYFUNCTION("""COMPUTED_VALUE"""),44831)</f>
        <v>44831</v>
      </c>
      <c r="C6634" t="str">
        <f ca="1">IFERROR(__xludf.DUMMYFUNCTION("""COMPUTED_VALUE"""),"БУ Г. ОМСКА ""УДХБ"" 197-РДО от 01.07.2022")</f>
        <v>БУ Г. ОМСКА "УДХБ" 197-РДО от 01.07.2022</v>
      </c>
      <c r="D66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4" t="str">
        <f ca="1">IFERROR(__xludf.DUMMYFUNCTION("""COMPUTED_VALUE"""),"Новый")</f>
        <v>Новый</v>
      </c>
      <c r="G6634" s="68"/>
      <c r="K6634" s="68"/>
    </row>
    <row r="6635" spans="1:11" ht="12.75">
      <c r="A6635" s="69">
        <f ca="1">IFERROR(__xludf.DUMMYFUNCTION("""COMPUTED_VALUE"""),107995)</f>
        <v>107995</v>
      </c>
      <c r="B6635" s="4">
        <f ca="1">IFERROR(__xludf.DUMMYFUNCTION("""COMPUTED_VALUE"""),44831)</f>
        <v>44831</v>
      </c>
      <c r="C6635" t="str">
        <f ca="1">IFERROR(__xludf.DUMMYFUNCTION("""COMPUTED_VALUE"""),"БУ Г. ОМСКА ""УДХБ"" 197-РДО от 01.07.2022")</f>
        <v>БУ Г. ОМСКА "УДХБ" 197-РДО от 01.07.2022</v>
      </c>
      <c r="D66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5" t="str">
        <f ca="1">IFERROR(__xludf.DUMMYFUNCTION("""COMPUTED_VALUE"""),"Новый")</f>
        <v>Новый</v>
      </c>
      <c r="G6635" s="68"/>
      <c r="K6635" s="68"/>
    </row>
    <row r="6636" spans="1:11" ht="12.75">
      <c r="A6636" s="69">
        <f ca="1">IFERROR(__xludf.DUMMYFUNCTION("""COMPUTED_VALUE"""),107996)</f>
        <v>107996</v>
      </c>
      <c r="B6636" s="4">
        <f ca="1">IFERROR(__xludf.DUMMYFUNCTION("""COMPUTED_VALUE"""),44831)</f>
        <v>44831</v>
      </c>
      <c r="C6636" t="str">
        <f ca="1">IFERROR(__xludf.DUMMYFUNCTION("""COMPUTED_VALUE"""),"БУ Г. ОМСКА ""УДХБ"" 197-РДО от 01.07.2022")</f>
        <v>БУ Г. ОМСКА "УДХБ" 197-РДО от 01.07.2022</v>
      </c>
      <c r="D66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6" t="str">
        <f ca="1">IFERROR(__xludf.DUMMYFUNCTION("""COMPUTED_VALUE"""),"Новый")</f>
        <v>Новый</v>
      </c>
      <c r="G6636" s="68"/>
      <c r="K6636" s="68"/>
    </row>
    <row r="6637" spans="1:11" ht="12.75">
      <c r="A6637" s="69">
        <f ca="1">IFERROR(__xludf.DUMMYFUNCTION("""COMPUTED_VALUE"""),107997)</f>
        <v>107997</v>
      </c>
      <c r="B6637" s="4">
        <f ca="1">IFERROR(__xludf.DUMMYFUNCTION("""COMPUTED_VALUE"""),44831)</f>
        <v>44831</v>
      </c>
      <c r="C6637" t="str">
        <f ca="1">IFERROR(__xludf.DUMMYFUNCTION("""COMPUTED_VALUE"""),"БУ Г. ОМСКА ""УДХБ"" 197-РДО от 01.07.2022")</f>
        <v>БУ Г. ОМСКА "УДХБ" 197-РДО от 01.07.2022</v>
      </c>
      <c r="D66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7" t="str">
        <f ca="1">IFERROR(__xludf.DUMMYFUNCTION("""COMPUTED_VALUE"""),"Новый")</f>
        <v>Новый</v>
      </c>
      <c r="G6637" s="68"/>
      <c r="K6637" s="68"/>
    </row>
    <row r="6638" spans="1:11" ht="12.75">
      <c r="A6638" s="69">
        <f ca="1">IFERROR(__xludf.DUMMYFUNCTION("""COMPUTED_VALUE"""),107998)</f>
        <v>107998</v>
      </c>
      <c r="B6638" s="4">
        <f ca="1">IFERROR(__xludf.DUMMYFUNCTION("""COMPUTED_VALUE"""),44831)</f>
        <v>44831</v>
      </c>
      <c r="C6638" t="str">
        <f ca="1">IFERROR(__xludf.DUMMYFUNCTION("""COMPUTED_VALUE"""),"БУ Г. ОМСКА ""УДХБ"" 197-РДО от 01.07.2022")</f>
        <v>БУ Г. ОМСКА "УДХБ" 197-РДО от 01.07.2022</v>
      </c>
      <c r="D66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8" t="str">
        <f ca="1">IFERROR(__xludf.DUMMYFUNCTION("""COMPUTED_VALUE"""),"Новый")</f>
        <v>Новый</v>
      </c>
      <c r="G6638" s="68"/>
      <c r="K6638" s="68"/>
    </row>
    <row r="6639" spans="1:11" ht="12.75">
      <c r="A6639" s="69">
        <f ca="1">IFERROR(__xludf.DUMMYFUNCTION("""COMPUTED_VALUE"""),107999)</f>
        <v>107999</v>
      </c>
      <c r="B6639" s="4">
        <f ca="1">IFERROR(__xludf.DUMMYFUNCTION("""COMPUTED_VALUE"""),44831)</f>
        <v>44831</v>
      </c>
      <c r="C6639" t="str">
        <f ca="1">IFERROR(__xludf.DUMMYFUNCTION("""COMPUTED_VALUE"""),"БУ Г. ОМСКА ""УДХБ"" 197-РДО от 01.07.2022")</f>
        <v>БУ Г. ОМСКА "УДХБ" 197-РДО от 01.07.2022</v>
      </c>
      <c r="D66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39" t="str">
        <f ca="1">IFERROR(__xludf.DUMMYFUNCTION("""COMPUTED_VALUE"""),"Новый")</f>
        <v>Новый</v>
      </c>
      <c r="G6639" s="68"/>
      <c r="K6639" s="68"/>
    </row>
    <row r="6640" spans="1:11" ht="12.75">
      <c r="A6640" s="69">
        <f ca="1">IFERROR(__xludf.DUMMYFUNCTION("""COMPUTED_VALUE"""),108000)</f>
        <v>108000</v>
      </c>
      <c r="B6640" s="4">
        <f ca="1">IFERROR(__xludf.DUMMYFUNCTION("""COMPUTED_VALUE"""),44831)</f>
        <v>44831</v>
      </c>
      <c r="C6640" t="str">
        <f ca="1">IFERROR(__xludf.DUMMYFUNCTION("""COMPUTED_VALUE"""),"БУ Г. ОМСКА ""УДХБ"" 197-РДО от 01.07.2022")</f>
        <v>БУ Г. ОМСКА "УДХБ" 197-РДО от 01.07.2022</v>
      </c>
      <c r="D66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0" t="str">
        <f ca="1">IFERROR(__xludf.DUMMYFUNCTION("""COMPUTED_VALUE"""),"Новый")</f>
        <v>Новый</v>
      </c>
      <c r="G6640" s="68"/>
      <c r="K6640" s="68"/>
    </row>
    <row r="6641" spans="1:11" ht="12.75">
      <c r="A6641" s="69">
        <f ca="1">IFERROR(__xludf.DUMMYFUNCTION("""COMPUTED_VALUE"""),108001)</f>
        <v>108001</v>
      </c>
      <c r="B6641" s="4">
        <f ca="1">IFERROR(__xludf.DUMMYFUNCTION("""COMPUTED_VALUE"""),44831)</f>
        <v>44831</v>
      </c>
      <c r="C6641" t="str">
        <f ca="1">IFERROR(__xludf.DUMMYFUNCTION("""COMPUTED_VALUE"""),"БУ Г. ОМСКА ""УДХБ"" 197-РДО от 01.07.2022")</f>
        <v>БУ Г. ОМСКА "УДХБ" 197-РДО от 01.07.2022</v>
      </c>
      <c r="D66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1" t="str">
        <f ca="1">IFERROR(__xludf.DUMMYFUNCTION("""COMPUTED_VALUE"""),"Новый")</f>
        <v>Новый</v>
      </c>
      <c r="G6641" s="68"/>
      <c r="K6641" s="68"/>
    </row>
    <row r="6642" spans="1:11" ht="12.75">
      <c r="A6642" s="69">
        <f ca="1">IFERROR(__xludf.DUMMYFUNCTION("""COMPUTED_VALUE"""),108002)</f>
        <v>108002</v>
      </c>
      <c r="B6642" s="4">
        <f ca="1">IFERROR(__xludf.DUMMYFUNCTION("""COMPUTED_VALUE"""),44831)</f>
        <v>44831</v>
      </c>
      <c r="C6642" t="str">
        <f ca="1">IFERROR(__xludf.DUMMYFUNCTION("""COMPUTED_VALUE"""),"БУ Г. ОМСКА ""УДХБ"" 197-РДО от 01.07.2022")</f>
        <v>БУ Г. ОМСКА "УДХБ" 197-РДО от 01.07.2022</v>
      </c>
      <c r="D66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2" t="str">
        <f ca="1">IFERROR(__xludf.DUMMYFUNCTION("""COMPUTED_VALUE"""),"Новый")</f>
        <v>Новый</v>
      </c>
      <c r="G6642" s="68"/>
      <c r="K6642" s="68"/>
    </row>
    <row r="6643" spans="1:11" ht="12.75">
      <c r="A6643" s="69">
        <f ca="1">IFERROR(__xludf.DUMMYFUNCTION("""COMPUTED_VALUE"""),108003)</f>
        <v>108003</v>
      </c>
      <c r="B6643" s="4">
        <f ca="1">IFERROR(__xludf.DUMMYFUNCTION("""COMPUTED_VALUE"""),44831)</f>
        <v>44831</v>
      </c>
      <c r="C6643" t="str">
        <f ca="1">IFERROR(__xludf.DUMMYFUNCTION("""COMPUTED_VALUE"""),"БУ Г. ОМСКА ""УДХБ"" 197-РДО от 01.07.2022")</f>
        <v>БУ Г. ОМСКА "УДХБ" 197-РДО от 01.07.2022</v>
      </c>
      <c r="D66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3" t="str">
        <f ca="1">IFERROR(__xludf.DUMMYFUNCTION("""COMPUTED_VALUE"""),"Новый")</f>
        <v>Новый</v>
      </c>
      <c r="G6643" s="68"/>
      <c r="K6643" s="68"/>
    </row>
    <row r="6644" spans="1:11" ht="12.75">
      <c r="A6644" s="69">
        <f ca="1">IFERROR(__xludf.DUMMYFUNCTION("""COMPUTED_VALUE"""),108004)</f>
        <v>108004</v>
      </c>
      <c r="B6644" s="4">
        <f ca="1">IFERROR(__xludf.DUMMYFUNCTION("""COMPUTED_VALUE"""),44831)</f>
        <v>44831</v>
      </c>
      <c r="C6644" t="str">
        <f ca="1">IFERROR(__xludf.DUMMYFUNCTION("""COMPUTED_VALUE"""),"БУ Г. ОМСКА ""УДХБ"" 197-РДО от 01.07.2022")</f>
        <v>БУ Г. ОМСКА "УДХБ" 197-РДО от 01.07.2022</v>
      </c>
      <c r="D66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4" t="str">
        <f ca="1">IFERROR(__xludf.DUMMYFUNCTION("""COMPUTED_VALUE"""),"Новый")</f>
        <v>Новый</v>
      </c>
      <c r="G6644" s="68"/>
      <c r="K6644" s="68"/>
    </row>
    <row r="6645" spans="1:11" ht="12.75">
      <c r="A6645" s="69">
        <f ca="1">IFERROR(__xludf.DUMMYFUNCTION("""COMPUTED_VALUE"""),108005)</f>
        <v>108005</v>
      </c>
      <c r="B6645" s="4">
        <f ca="1">IFERROR(__xludf.DUMMYFUNCTION("""COMPUTED_VALUE"""),44831)</f>
        <v>44831</v>
      </c>
      <c r="C6645" t="str">
        <f ca="1">IFERROR(__xludf.DUMMYFUNCTION("""COMPUTED_VALUE"""),"БУ Г. ОМСКА ""УДХБ"" 197-РДО от 01.07.2022")</f>
        <v>БУ Г. ОМСКА "УДХБ" 197-РДО от 01.07.2022</v>
      </c>
      <c r="D66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5" t="str">
        <f ca="1">IFERROR(__xludf.DUMMYFUNCTION("""COMPUTED_VALUE"""),"Новый")</f>
        <v>Новый</v>
      </c>
      <c r="G6645" s="68"/>
      <c r="K6645" s="68"/>
    </row>
    <row r="6646" spans="1:11" ht="12.75">
      <c r="A6646" s="69">
        <f ca="1">IFERROR(__xludf.DUMMYFUNCTION("""COMPUTED_VALUE"""),108006)</f>
        <v>108006</v>
      </c>
      <c r="B6646" s="4">
        <f ca="1">IFERROR(__xludf.DUMMYFUNCTION("""COMPUTED_VALUE"""),44831)</f>
        <v>44831</v>
      </c>
      <c r="C6646" t="str">
        <f ca="1">IFERROR(__xludf.DUMMYFUNCTION("""COMPUTED_VALUE"""),"БУ Г. ОМСКА ""УДХБ"" 197-РДО от 01.07.2022")</f>
        <v>БУ Г. ОМСКА "УДХБ" 197-РДО от 01.07.2022</v>
      </c>
      <c r="D66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6" t="str">
        <f ca="1">IFERROR(__xludf.DUMMYFUNCTION("""COMPUTED_VALUE"""),"Новый")</f>
        <v>Новый</v>
      </c>
      <c r="G6646" s="68"/>
      <c r="K6646" s="68"/>
    </row>
    <row r="6647" spans="1:11" ht="12.75">
      <c r="A6647" s="69">
        <f ca="1">IFERROR(__xludf.DUMMYFUNCTION("""COMPUTED_VALUE"""),108007)</f>
        <v>108007</v>
      </c>
      <c r="B6647" s="4">
        <f ca="1">IFERROR(__xludf.DUMMYFUNCTION("""COMPUTED_VALUE"""),44831)</f>
        <v>44831</v>
      </c>
      <c r="C6647" t="str">
        <f ca="1">IFERROR(__xludf.DUMMYFUNCTION("""COMPUTED_VALUE"""),"БУ Г. ОМСКА ""УДХБ"" 197-РДО от 01.07.2022")</f>
        <v>БУ Г. ОМСКА "УДХБ" 197-РДО от 01.07.2022</v>
      </c>
      <c r="D66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7" t="str">
        <f ca="1">IFERROR(__xludf.DUMMYFUNCTION("""COMPUTED_VALUE"""),"Новый")</f>
        <v>Новый</v>
      </c>
      <c r="G6647" s="68"/>
      <c r="K6647" s="68"/>
    </row>
    <row r="6648" spans="1:11" ht="12.75">
      <c r="A6648" s="69">
        <f ca="1">IFERROR(__xludf.DUMMYFUNCTION("""COMPUTED_VALUE"""),108008)</f>
        <v>108008</v>
      </c>
      <c r="B6648" s="4">
        <f ca="1">IFERROR(__xludf.DUMMYFUNCTION("""COMPUTED_VALUE"""),44831)</f>
        <v>44831</v>
      </c>
      <c r="C6648" t="str">
        <f ca="1">IFERROR(__xludf.DUMMYFUNCTION("""COMPUTED_VALUE"""),"БУ Г. ОМСКА ""УДХБ"" 197-РДО от 01.07.2022")</f>
        <v>БУ Г. ОМСКА "УДХБ" 197-РДО от 01.07.2022</v>
      </c>
      <c r="D66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8" t="str">
        <f ca="1">IFERROR(__xludf.DUMMYFUNCTION("""COMPUTED_VALUE"""),"Новый")</f>
        <v>Новый</v>
      </c>
      <c r="G6648" s="68"/>
      <c r="K6648" s="68"/>
    </row>
    <row r="6649" spans="1:11" ht="12.75">
      <c r="A6649" s="69">
        <f ca="1">IFERROR(__xludf.DUMMYFUNCTION("""COMPUTED_VALUE"""),108009)</f>
        <v>108009</v>
      </c>
      <c r="B6649" s="4">
        <f ca="1">IFERROR(__xludf.DUMMYFUNCTION("""COMPUTED_VALUE"""),44831)</f>
        <v>44831</v>
      </c>
      <c r="C6649" t="str">
        <f ca="1">IFERROR(__xludf.DUMMYFUNCTION("""COMPUTED_VALUE"""),"БУ Г. ОМСКА ""УДХБ"" 197-РДО от 01.07.2022")</f>
        <v>БУ Г. ОМСКА "УДХБ" 197-РДО от 01.07.2022</v>
      </c>
      <c r="D66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49" t="str">
        <f ca="1">IFERROR(__xludf.DUMMYFUNCTION("""COMPUTED_VALUE"""),"Новый")</f>
        <v>Новый</v>
      </c>
      <c r="G6649" s="68"/>
      <c r="K6649" s="68"/>
    </row>
    <row r="6650" spans="1:11" ht="12.75">
      <c r="A6650" s="69">
        <f ca="1">IFERROR(__xludf.DUMMYFUNCTION("""COMPUTED_VALUE"""),108011)</f>
        <v>108011</v>
      </c>
      <c r="B6650" s="4">
        <f ca="1">IFERROR(__xludf.DUMMYFUNCTION("""COMPUTED_VALUE"""),44831)</f>
        <v>44831</v>
      </c>
      <c r="C6650" t="str">
        <f ca="1">IFERROR(__xludf.DUMMYFUNCTION("""COMPUTED_VALUE"""),"БУ Г. ОМСКА ""УДХБ"" 197-РДО от 01.07.2022")</f>
        <v>БУ Г. ОМСКА "УДХБ" 197-РДО от 01.07.2022</v>
      </c>
      <c r="D66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0" t="str">
        <f ca="1">IFERROR(__xludf.DUMMYFUNCTION("""COMPUTED_VALUE"""),"Новый")</f>
        <v>Новый</v>
      </c>
      <c r="G6650" s="68"/>
      <c r="K6650" s="68"/>
    </row>
    <row r="6651" spans="1:11" ht="12.75">
      <c r="A6651" s="69">
        <f ca="1">IFERROR(__xludf.DUMMYFUNCTION("""COMPUTED_VALUE"""),108014)</f>
        <v>108014</v>
      </c>
      <c r="B6651" s="4">
        <f ca="1">IFERROR(__xludf.DUMMYFUNCTION("""COMPUTED_VALUE"""),44831)</f>
        <v>44831</v>
      </c>
      <c r="C6651" t="str">
        <f ca="1">IFERROR(__xludf.DUMMYFUNCTION("""COMPUTED_VALUE"""),"БУ Г. ОМСКА ""УДХБ"" 197-РДО от 01.07.2022")</f>
        <v>БУ Г. ОМСКА "УДХБ" 197-РДО от 01.07.2022</v>
      </c>
      <c r="D66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1" t="str">
        <f ca="1">IFERROR(__xludf.DUMMYFUNCTION("""COMPUTED_VALUE"""),"Новый")</f>
        <v>Новый</v>
      </c>
      <c r="G6651" s="68"/>
      <c r="K6651" s="68"/>
    </row>
    <row r="6652" spans="1:11" ht="12.75">
      <c r="A6652" s="69">
        <f ca="1">IFERROR(__xludf.DUMMYFUNCTION("""COMPUTED_VALUE"""),108015)</f>
        <v>108015</v>
      </c>
      <c r="B6652" s="4">
        <f ca="1">IFERROR(__xludf.DUMMYFUNCTION("""COMPUTED_VALUE"""),44831)</f>
        <v>44831</v>
      </c>
      <c r="C6652" t="str">
        <f ca="1">IFERROR(__xludf.DUMMYFUNCTION("""COMPUTED_VALUE"""),"БУ Г. ОМСКА ""УДХБ"" 197-РДО от 01.07.2022")</f>
        <v>БУ Г. ОМСКА "УДХБ" 197-РДО от 01.07.2022</v>
      </c>
      <c r="D66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2" t="str">
        <f ca="1">IFERROR(__xludf.DUMMYFUNCTION("""COMPUTED_VALUE"""),"Новый")</f>
        <v>Новый</v>
      </c>
      <c r="G6652" s="68"/>
      <c r="K6652" s="68"/>
    </row>
    <row r="6653" spans="1:11" ht="12.75">
      <c r="A6653" s="69">
        <f ca="1">IFERROR(__xludf.DUMMYFUNCTION("""COMPUTED_VALUE"""),108016)</f>
        <v>108016</v>
      </c>
      <c r="B6653" s="4">
        <f ca="1">IFERROR(__xludf.DUMMYFUNCTION("""COMPUTED_VALUE"""),44831)</f>
        <v>44831</v>
      </c>
      <c r="C6653" t="str">
        <f ca="1">IFERROR(__xludf.DUMMYFUNCTION("""COMPUTED_VALUE"""),"БУ Г. ОМСКА ""УДХБ"" 197-РДО от 01.07.2022")</f>
        <v>БУ Г. ОМСКА "УДХБ" 197-РДО от 01.07.2022</v>
      </c>
      <c r="D66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3" t="str">
        <f ca="1">IFERROR(__xludf.DUMMYFUNCTION("""COMPUTED_VALUE"""),"Новый")</f>
        <v>Новый</v>
      </c>
      <c r="G6653" s="68"/>
      <c r="K6653" s="68"/>
    </row>
    <row r="6654" spans="1:11" ht="12.75">
      <c r="A6654" s="69">
        <f ca="1">IFERROR(__xludf.DUMMYFUNCTION("""COMPUTED_VALUE"""),108017)</f>
        <v>108017</v>
      </c>
      <c r="B6654" s="4">
        <f ca="1">IFERROR(__xludf.DUMMYFUNCTION("""COMPUTED_VALUE"""),44831)</f>
        <v>44831</v>
      </c>
      <c r="C6654" t="str">
        <f ca="1">IFERROR(__xludf.DUMMYFUNCTION("""COMPUTED_VALUE"""),"БУ Г. ОМСКА ""УДХБ"" 197-РДО от 01.07.2022")</f>
        <v>БУ Г. ОМСКА "УДХБ" 197-РДО от 01.07.2022</v>
      </c>
      <c r="D66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4" t="str">
        <f ca="1">IFERROR(__xludf.DUMMYFUNCTION("""COMPUTED_VALUE"""),"Новый")</f>
        <v>Новый</v>
      </c>
      <c r="G6654" s="68"/>
      <c r="K6654" s="68"/>
    </row>
    <row r="6655" spans="1:11" ht="12.75">
      <c r="A6655" s="69">
        <f ca="1">IFERROR(__xludf.DUMMYFUNCTION("""COMPUTED_VALUE"""),108018)</f>
        <v>108018</v>
      </c>
      <c r="B6655" s="4">
        <f ca="1">IFERROR(__xludf.DUMMYFUNCTION("""COMPUTED_VALUE"""),44831)</f>
        <v>44831</v>
      </c>
      <c r="C6655" t="str">
        <f ca="1">IFERROR(__xludf.DUMMYFUNCTION("""COMPUTED_VALUE"""),"БУ Г. ОМСКА ""УДХБ"" 197-РДО от 01.07.2022")</f>
        <v>БУ Г. ОМСКА "УДХБ" 197-РДО от 01.07.2022</v>
      </c>
      <c r="D66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5" t="str">
        <f ca="1">IFERROR(__xludf.DUMMYFUNCTION("""COMPUTED_VALUE"""),"Новый")</f>
        <v>Новый</v>
      </c>
      <c r="G6655" s="68"/>
      <c r="K6655" s="68"/>
    </row>
    <row r="6656" spans="1:11" ht="12.75">
      <c r="A6656" s="69">
        <f ca="1">IFERROR(__xludf.DUMMYFUNCTION("""COMPUTED_VALUE"""),108019)</f>
        <v>108019</v>
      </c>
      <c r="B6656" s="4">
        <f ca="1">IFERROR(__xludf.DUMMYFUNCTION("""COMPUTED_VALUE"""),44831)</f>
        <v>44831</v>
      </c>
      <c r="C6656" t="str">
        <f ca="1">IFERROR(__xludf.DUMMYFUNCTION("""COMPUTED_VALUE"""),"БУ Г. ОМСКА ""УДХБ"" 197-РДО от 01.07.2022")</f>
        <v>БУ Г. ОМСКА "УДХБ" 197-РДО от 01.07.2022</v>
      </c>
      <c r="D66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6" t="str">
        <f ca="1">IFERROR(__xludf.DUMMYFUNCTION("""COMPUTED_VALUE"""),"Новый")</f>
        <v>Новый</v>
      </c>
      <c r="G6656" s="68"/>
      <c r="K6656" s="68"/>
    </row>
    <row r="6657" spans="1:11" ht="12.75">
      <c r="A6657" s="69">
        <f ca="1">IFERROR(__xludf.DUMMYFUNCTION("""COMPUTED_VALUE"""),108020)</f>
        <v>108020</v>
      </c>
      <c r="B6657" s="4">
        <f ca="1">IFERROR(__xludf.DUMMYFUNCTION("""COMPUTED_VALUE"""),44831)</f>
        <v>44831</v>
      </c>
      <c r="C6657" t="str">
        <f ca="1">IFERROR(__xludf.DUMMYFUNCTION("""COMPUTED_VALUE"""),"БУ Г. ОМСКА ""УДХБ"" 197-РДО от 01.07.2022")</f>
        <v>БУ Г. ОМСКА "УДХБ" 197-РДО от 01.07.2022</v>
      </c>
      <c r="D66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7" t="str">
        <f ca="1">IFERROR(__xludf.DUMMYFUNCTION("""COMPUTED_VALUE"""),"Новый")</f>
        <v>Новый</v>
      </c>
      <c r="G6657" s="68"/>
      <c r="K6657" s="68"/>
    </row>
    <row r="6658" spans="1:11" ht="12.75">
      <c r="A6658" s="69">
        <f ca="1">IFERROR(__xludf.DUMMYFUNCTION("""COMPUTED_VALUE"""),108021)</f>
        <v>108021</v>
      </c>
      <c r="B6658" s="4">
        <f ca="1">IFERROR(__xludf.DUMMYFUNCTION("""COMPUTED_VALUE"""),44831)</f>
        <v>44831</v>
      </c>
      <c r="C6658" t="str">
        <f ca="1">IFERROR(__xludf.DUMMYFUNCTION("""COMPUTED_VALUE"""),"БУ Г. ОМСКА ""УДХБ"" 197-РДО от 01.07.2022")</f>
        <v>БУ Г. ОМСКА "УДХБ" 197-РДО от 01.07.2022</v>
      </c>
      <c r="D66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8" t="str">
        <f ca="1">IFERROR(__xludf.DUMMYFUNCTION("""COMPUTED_VALUE"""),"Новый")</f>
        <v>Новый</v>
      </c>
      <c r="G6658" s="68"/>
      <c r="K6658" s="68"/>
    </row>
    <row r="6659" spans="1:11" ht="12.75">
      <c r="A6659" s="69">
        <f ca="1">IFERROR(__xludf.DUMMYFUNCTION("""COMPUTED_VALUE"""),108022)</f>
        <v>108022</v>
      </c>
      <c r="B6659" s="4">
        <f ca="1">IFERROR(__xludf.DUMMYFUNCTION("""COMPUTED_VALUE"""),44831)</f>
        <v>44831</v>
      </c>
      <c r="C6659" t="str">
        <f ca="1">IFERROR(__xludf.DUMMYFUNCTION("""COMPUTED_VALUE"""),"БУ Г. ОМСКА ""УДХБ"" 197-РДО от 01.07.2022")</f>
        <v>БУ Г. ОМСКА "УДХБ" 197-РДО от 01.07.2022</v>
      </c>
      <c r="D66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59" t="str">
        <f ca="1">IFERROR(__xludf.DUMMYFUNCTION("""COMPUTED_VALUE"""),"Новый")</f>
        <v>Новый</v>
      </c>
      <c r="G6659" s="68"/>
      <c r="K6659" s="68"/>
    </row>
    <row r="6660" spans="1:11" ht="12.75">
      <c r="A6660" s="69">
        <f ca="1">IFERROR(__xludf.DUMMYFUNCTION("""COMPUTED_VALUE"""),108023)</f>
        <v>108023</v>
      </c>
      <c r="B6660" s="4">
        <f ca="1">IFERROR(__xludf.DUMMYFUNCTION("""COMPUTED_VALUE"""),44831)</f>
        <v>44831</v>
      </c>
      <c r="C6660" t="str">
        <f ca="1">IFERROR(__xludf.DUMMYFUNCTION("""COMPUTED_VALUE"""),"БУ Г. ОМСКА ""УДХБ"" 197-РДО от 01.07.2022")</f>
        <v>БУ Г. ОМСКА "УДХБ" 197-РДО от 01.07.2022</v>
      </c>
      <c r="D66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0" t="str">
        <f ca="1">IFERROR(__xludf.DUMMYFUNCTION("""COMPUTED_VALUE"""),"Новый")</f>
        <v>Новый</v>
      </c>
      <c r="G6660" s="68"/>
      <c r="K6660" s="68"/>
    </row>
    <row r="6661" spans="1:11" ht="12.75">
      <c r="A6661" s="69">
        <f ca="1">IFERROR(__xludf.DUMMYFUNCTION("""COMPUTED_VALUE"""),108024)</f>
        <v>108024</v>
      </c>
      <c r="B6661" s="4">
        <f ca="1">IFERROR(__xludf.DUMMYFUNCTION("""COMPUTED_VALUE"""),44831)</f>
        <v>44831</v>
      </c>
      <c r="C6661" t="str">
        <f ca="1">IFERROR(__xludf.DUMMYFUNCTION("""COMPUTED_VALUE"""),"БУ Г. ОМСКА ""УДХБ"" 197-РДО от 01.07.2022")</f>
        <v>БУ Г. ОМСКА "УДХБ" 197-РДО от 01.07.2022</v>
      </c>
      <c r="D66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1" t="str">
        <f ca="1">IFERROR(__xludf.DUMMYFUNCTION("""COMPUTED_VALUE"""),"Новый")</f>
        <v>Новый</v>
      </c>
      <c r="G6661" s="68"/>
      <c r="K6661" s="68"/>
    </row>
    <row r="6662" spans="1:11" ht="12.75">
      <c r="A6662" s="69">
        <f ca="1">IFERROR(__xludf.DUMMYFUNCTION("""COMPUTED_VALUE"""),108025)</f>
        <v>108025</v>
      </c>
      <c r="B6662" s="4">
        <f ca="1">IFERROR(__xludf.DUMMYFUNCTION("""COMPUTED_VALUE"""),44831)</f>
        <v>44831</v>
      </c>
      <c r="C6662" t="str">
        <f ca="1">IFERROR(__xludf.DUMMYFUNCTION("""COMPUTED_VALUE"""),"БУ Г. ОМСКА ""УДХБ"" 197-РДО от 01.07.2022")</f>
        <v>БУ Г. ОМСКА "УДХБ" 197-РДО от 01.07.2022</v>
      </c>
      <c r="D66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2" t="str">
        <f ca="1">IFERROR(__xludf.DUMMYFUNCTION("""COMPUTED_VALUE"""),"Новый")</f>
        <v>Новый</v>
      </c>
      <c r="G6662" s="68"/>
      <c r="K6662" s="68"/>
    </row>
    <row r="6663" spans="1:11" ht="12.75">
      <c r="A6663" s="69">
        <f ca="1">IFERROR(__xludf.DUMMYFUNCTION("""COMPUTED_VALUE"""),108026)</f>
        <v>108026</v>
      </c>
      <c r="B6663" s="4">
        <f ca="1">IFERROR(__xludf.DUMMYFUNCTION("""COMPUTED_VALUE"""),44831)</f>
        <v>44831</v>
      </c>
      <c r="C6663" t="str">
        <f ca="1">IFERROR(__xludf.DUMMYFUNCTION("""COMPUTED_VALUE"""),"БУ Г. ОМСКА ""УДХБ"" 197-РДО от 01.07.2022")</f>
        <v>БУ Г. ОМСКА "УДХБ" 197-РДО от 01.07.2022</v>
      </c>
      <c r="D66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3" t="str">
        <f ca="1">IFERROR(__xludf.DUMMYFUNCTION("""COMPUTED_VALUE"""),"Новый")</f>
        <v>Новый</v>
      </c>
      <c r="G6663" s="68"/>
      <c r="K6663" s="68"/>
    </row>
    <row r="6664" spans="1:11" ht="12.75">
      <c r="A6664" s="69">
        <f ca="1">IFERROR(__xludf.DUMMYFUNCTION("""COMPUTED_VALUE"""),108027)</f>
        <v>108027</v>
      </c>
      <c r="B6664" s="4">
        <f ca="1">IFERROR(__xludf.DUMMYFUNCTION("""COMPUTED_VALUE"""),44831)</f>
        <v>44831</v>
      </c>
      <c r="C6664" t="str">
        <f ca="1">IFERROR(__xludf.DUMMYFUNCTION("""COMPUTED_VALUE"""),"БУ Г. ОМСКА ""УДХБ"" 197-РДО от 01.07.2022")</f>
        <v>БУ Г. ОМСКА "УДХБ" 197-РДО от 01.07.2022</v>
      </c>
      <c r="D66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4" t="str">
        <f ca="1">IFERROR(__xludf.DUMMYFUNCTION("""COMPUTED_VALUE"""),"Новый")</f>
        <v>Новый</v>
      </c>
      <c r="G6664" s="68"/>
      <c r="K6664" s="68"/>
    </row>
    <row r="6665" spans="1:11" ht="12.75">
      <c r="A6665" s="69">
        <f ca="1">IFERROR(__xludf.DUMMYFUNCTION("""COMPUTED_VALUE"""),108028)</f>
        <v>108028</v>
      </c>
      <c r="B6665" s="4">
        <f ca="1">IFERROR(__xludf.DUMMYFUNCTION("""COMPUTED_VALUE"""),44831)</f>
        <v>44831</v>
      </c>
      <c r="C6665" t="str">
        <f ca="1">IFERROR(__xludf.DUMMYFUNCTION("""COMPUTED_VALUE"""),"БУ Г. ОМСКА ""УДХБ"" 197-РДО от 01.07.2022")</f>
        <v>БУ Г. ОМСКА "УДХБ" 197-РДО от 01.07.2022</v>
      </c>
      <c r="D66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5" t="str">
        <f ca="1">IFERROR(__xludf.DUMMYFUNCTION("""COMPUTED_VALUE"""),"Новый")</f>
        <v>Новый</v>
      </c>
      <c r="G6665" s="68"/>
      <c r="K6665" s="68"/>
    </row>
    <row r="6666" spans="1:11" ht="12.75">
      <c r="A6666" s="69">
        <f ca="1">IFERROR(__xludf.DUMMYFUNCTION("""COMPUTED_VALUE"""),108029)</f>
        <v>108029</v>
      </c>
      <c r="B6666" s="4">
        <f ca="1">IFERROR(__xludf.DUMMYFUNCTION("""COMPUTED_VALUE"""),44831)</f>
        <v>44831</v>
      </c>
      <c r="C6666" t="str">
        <f ca="1">IFERROR(__xludf.DUMMYFUNCTION("""COMPUTED_VALUE"""),"БУ Г. ОМСКА ""УДХБ"" 197-РДО от 01.07.2022")</f>
        <v>БУ Г. ОМСКА "УДХБ" 197-РДО от 01.07.2022</v>
      </c>
      <c r="D66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6" t="str">
        <f ca="1">IFERROR(__xludf.DUMMYFUNCTION("""COMPUTED_VALUE"""),"Новый")</f>
        <v>Новый</v>
      </c>
      <c r="G6666" s="68"/>
      <c r="K6666" s="68"/>
    </row>
    <row r="6667" spans="1:11" ht="12.75">
      <c r="A6667" s="69">
        <f ca="1">IFERROR(__xludf.DUMMYFUNCTION("""COMPUTED_VALUE"""),108030)</f>
        <v>108030</v>
      </c>
      <c r="B6667" s="4">
        <f ca="1">IFERROR(__xludf.DUMMYFUNCTION("""COMPUTED_VALUE"""),44831)</f>
        <v>44831</v>
      </c>
      <c r="C6667" t="str">
        <f ca="1">IFERROR(__xludf.DUMMYFUNCTION("""COMPUTED_VALUE"""),"БУ Г. ОМСКА ""УДХБ"" 197-РДО от 01.07.2022")</f>
        <v>БУ Г. ОМСКА "УДХБ" 197-РДО от 01.07.2022</v>
      </c>
      <c r="D66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7" t="str">
        <f ca="1">IFERROR(__xludf.DUMMYFUNCTION("""COMPUTED_VALUE"""),"Новый")</f>
        <v>Новый</v>
      </c>
      <c r="G6667" s="68"/>
      <c r="K6667" s="68"/>
    </row>
    <row r="6668" spans="1:11" ht="12.75">
      <c r="A6668" s="69">
        <f ca="1">IFERROR(__xludf.DUMMYFUNCTION("""COMPUTED_VALUE"""),108031)</f>
        <v>108031</v>
      </c>
      <c r="B6668" s="4">
        <f ca="1">IFERROR(__xludf.DUMMYFUNCTION("""COMPUTED_VALUE"""),44831)</f>
        <v>44831</v>
      </c>
      <c r="C6668" t="str">
        <f ca="1">IFERROR(__xludf.DUMMYFUNCTION("""COMPUTED_VALUE"""),"БУ Г. ОМСКА ""УДХБ"" 197-РДО от 01.07.2022")</f>
        <v>БУ Г. ОМСКА "УДХБ" 197-РДО от 01.07.2022</v>
      </c>
      <c r="D66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8" t="str">
        <f ca="1">IFERROR(__xludf.DUMMYFUNCTION("""COMPUTED_VALUE"""),"Новый")</f>
        <v>Новый</v>
      </c>
      <c r="G6668" s="68"/>
      <c r="K6668" s="68"/>
    </row>
    <row r="6669" spans="1:11" ht="12.75">
      <c r="A6669" s="69">
        <f ca="1">IFERROR(__xludf.DUMMYFUNCTION("""COMPUTED_VALUE"""),108032)</f>
        <v>108032</v>
      </c>
      <c r="B6669" s="4">
        <f ca="1">IFERROR(__xludf.DUMMYFUNCTION("""COMPUTED_VALUE"""),44831)</f>
        <v>44831</v>
      </c>
      <c r="C6669" t="str">
        <f ca="1">IFERROR(__xludf.DUMMYFUNCTION("""COMPUTED_VALUE"""),"БУ Г. ОМСКА ""УДХБ"" 197-РДО от 01.07.2022")</f>
        <v>БУ Г. ОМСКА "УДХБ" 197-РДО от 01.07.2022</v>
      </c>
      <c r="D66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69" t="str">
        <f ca="1">IFERROR(__xludf.DUMMYFUNCTION("""COMPUTED_VALUE"""),"Новый")</f>
        <v>Новый</v>
      </c>
      <c r="G6669" s="68"/>
      <c r="K6669" s="68"/>
    </row>
    <row r="6670" spans="1:11" ht="12.75">
      <c r="A6670" s="69">
        <f ca="1">IFERROR(__xludf.DUMMYFUNCTION("""COMPUTED_VALUE"""),108033)</f>
        <v>108033</v>
      </c>
      <c r="B6670" s="4">
        <f ca="1">IFERROR(__xludf.DUMMYFUNCTION("""COMPUTED_VALUE"""),44831)</f>
        <v>44831</v>
      </c>
      <c r="C6670" t="str">
        <f ca="1">IFERROR(__xludf.DUMMYFUNCTION("""COMPUTED_VALUE"""),"БУ Г. ОМСКА ""УДХБ"" 197-РДО от 01.07.2022")</f>
        <v>БУ Г. ОМСКА "УДХБ" 197-РДО от 01.07.2022</v>
      </c>
      <c r="D66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0" t="str">
        <f ca="1">IFERROR(__xludf.DUMMYFUNCTION("""COMPUTED_VALUE"""),"Новый")</f>
        <v>Новый</v>
      </c>
      <c r="G6670" s="68"/>
      <c r="K6670" s="68"/>
    </row>
    <row r="6671" spans="1:11" ht="12.75">
      <c r="A6671" s="69">
        <f ca="1">IFERROR(__xludf.DUMMYFUNCTION("""COMPUTED_VALUE"""),108034)</f>
        <v>108034</v>
      </c>
      <c r="B6671" s="4">
        <f ca="1">IFERROR(__xludf.DUMMYFUNCTION("""COMPUTED_VALUE"""),44831)</f>
        <v>44831</v>
      </c>
      <c r="C6671" t="str">
        <f ca="1">IFERROR(__xludf.DUMMYFUNCTION("""COMPUTED_VALUE"""),"БУ Г. ОМСКА ""УДХБ"" 197-РДО от 01.07.2022")</f>
        <v>БУ Г. ОМСКА "УДХБ" 197-РДО от 01.07.2022</v>
      </c>
      <c r="D66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1" t="str">
        <f ca="1">IFERROR(__xludf.DUMMYFUNCTION("""COMPUTED_VALUE"""),"Новый")</f>
        <v>Новый</v>
      </c>
      <c r="G6671" s="68"/>
      <c r="K6671" s="68"/>
    </row>
    <row r="6672" spans="1:11" ht="12.75">
      <c r="A6672" s="69">
        <f ca="1">IFERROR(__xludf.DUMMYFUNCTION("""COMPUTED_VALUE"""),108035)</f>
        <v>108035</v>
      </c>
      <c r="B6672" s="4">
        <f ca="1">IFERROR(__xludf.DUMMYFUNCTION("""COMPUTED_VALUE"""),44831)</f>
        <v>44831</v>
      </c>
      <c r="C6672" t="str">
        <f ca="1">IFERROR(__xludf.DUMMYFUNCTION("""COMPUTED_VALUE"""),"БУ Г. ОМСКА ""УДХБ"" 197-РДО от 01.07.2022")</f>
        <v>БУ Г. ОМСКА "УДХБ" 197-РДО от 01.07.2022</v>
      </c>
      <c r="D66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2" t="str">
        <f ca="1">IFERROR(__xludf.DUMMYFUNCTION("""COMPUTED_VALUE"""),"Новый")</f>
        <v>Новый</v>
      </c>
      <c r="G6672" s="68"/>
      <c r="K6672" s="68"/>
    </row>
    <row r="6673" spans="1:11" ht="12.75">
      <c r="A6673" s="69">
        <f ca="1">IFERROR(__xludf.DUMMYFUNCTION("""COMPUTED_VALUE"""),108036)</f>
        <v>108036</v>
      </c>
      <c r="B6673" s="4">
        <f ca="1">IFERROR(__xludf.DUMMYFUNCTION("""COMPUTED_VALUE"""),44831)</f>
        <v>44831</v>
      </c>
      <c r="C6673" t="str">
        <f ca="1">IFERROR(__xludf.DUMMYFUNCTION("""COMPUTED_VALUE"""),"БУ Г. ОМСКА ""УДХБ"" 197-РДО от 01.07.2022")</f>
        <v>БУ Г. ОМСКА "УДХБ" 197-РДО от 01.07.2022</v>
      </c>
      <c r="D66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3" t="str">
        <f ca="1">IFERROR(__xludf.DUMMYFUNCTION("""COMPUTED_VALUE"""),"Новый")</f>
        <v>Новый</v>
      </c>
      <c r="G6673" s="68"/>
      <c r="K6673" s="68"/>
    </row>
    <row r="6674" spans="1:11" ht="12.75">
      <c r="A6674" s="69">
        <f ca="1">IFERROR(__xludf.DUMMYFUNCTION("""COMPUTED_VALUE"""),108037)</f>
        <v>108037</v>
      </c>
      <c r="B6674" s="4">
        <f ca="1">IFERROR(__xludf.DUMMYFUNCTION("""COMPUTED_VALUE"""),44831)</f>
        <v>44831</v>
      </c>
      <c r="C6674" t="str">
        <f ca="1">IFERROR(__xludf.DUMMYFUNCTION("""COMPUTED_VALUE"""),"БУ Г. ОМСКА ""УДХБ"" 197-РДО от 01.07.2022")</f>
        <v>БУ Г. ОМСКА "УДХБ" 197-РДО от 01.07.2022</v>
      </c>
      <c r="D66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4" t="str">
        <f ca="1">IFERROR(__xludf.DUMMYFUNCTION("""COMPUTED_VALUE"""),"Новый")</f>
        <v>Новый</v>
      </c>
      <c r="G6674" s="68"/>
      <c r="K6674" s="68"/>
    </row>
    <row r="6675" spans="1:11" ht="12.75">
      <c r="A6675" s="69">
        <f ca="1">IFERROR(__xludf.DUMMYFUNCTION("""COMPUTED_VALUE"""),108038)</f>
        <v>108038</v>
      </c>
      <c r="B6675" s="4">
        <f ca="1">IFERROR(__xludf.DUMMYFUNCTION("""COMPUTED_VALUE"""),44831)</f>
        <v>44831</v>
      </c>
      <c r="C6675" t="str">
        <f ca="1">IFERROR(__xludf.DUMMYFUNCTION("""COMPUTED_VALUE"""),"БУ Г. ОМСКА ""УДХБ"" 197-РДО от 01.07.2022")</f>
        <v>БУ Г. ОМСКА "УДХБ" 197-РДО от 01.07.2022</v>
      </c>
      <c r="D66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5" t="str">
        <f ca="1">IFERROR(__xludf.DUMMYFUNCTION("""COMPUTED_VALUE"""),"Новый")</f>
        <v>Новый</v>
      </c>
      <c r="G6675" s="68"/>
      <c r="K6675" s="68"/>
    </row>
    <row r="6676" spans="1:11" ht="12.75">
      <c r="A6676" s="69">
        <f ca="1">IFERROR(__xludf.DUMMYFUNCTION("""COMPUTED_VALUE"""),108039)</f>
        <v>108039</v>
      </c>
      <c r="B6676" s="4">
        <f ca="1">IFERROR(__xludf.DUMMYFUNCTION("""COMPUTED_VALUE"""),44831)</f>
        <v>44831</v>
      </c>
      <c r="C6676" t="str">
        <f ca="1">IFERROR(__xludf.DUMMYFUNCTION("""COMPUTED_VALUE"""),"БУ Г. ОМСКА ""УДХБ"" 197-РДО от 01.07.2022")</f>
        <v>БУ Г. ОМСКА "УДХБ" 197-РДО от 01.07.2022</v>
      </c>
      <c r="D66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6" t="str">
        <f ca="1">IFERROR(__xludf.DUMMYFUNCTION("""COMPUTED_VALUE"""),"Новый")</f>
        <v>Новый</v>
      </c>
      <c r="G6676" s="68"/>
      <c r="K6676" s="68"/>
    </row>
    <row r="6677" spans="1:11" ht="12.75">
      <c r="A6677" s="69">
        <f ca="1">IFERROR(__xludf.DUMMYFUNCTION("""COMPUTED_VALUE"""),108040)</f>
        <v>108040</v>
      </c>
      <c r="B6677" s="4">
        <f ca="1">IFERROR(__xludf.DUMMYFUNCTION("""COMPUTED_VALUE"""),44831)</f>
        <v>44831</v>
      </c>
      <c r="C6677" t="str">
        <f ca="1">IFERROR(__xludf.DUMMYFUNCTION("""COMPUTED_VALUE"""),"БУ Г. ОМСКА ""УДХБ"" 197-РДО от 01.07.2022")</f>
        <v>БУ Г. ОМСКА "УДХБ" 197-РДО от 01.07.2022</v>
      </c>
      <c r="D66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7" t="str">
        <f ca="1">IFERROR(__xludf.DUMMYFUNCTION("""COMPUTED_VALUE"""),"Новый")</f>
        <v>Новый</v>
      </c>
      <c r="G6677" s="68"/>
      <c r="K6677" s="68"/>
    </row>
    <row r="6678" spans="1:11" ht="12.75">
      <c r="A6678" s="69">
        <f ca="1">IFERROR(__xludf.DUMMYFUNCTION("""COMPUTED_VALUE"""),108041)</f>
        <v>108041</v>
      </c>
      <c r="B6678" s="4">
        <f ca="1">IFERROR(__xludf.DUMMYFUNCTION("""COMPUTED_VALUE"""),44831)</f>
        <v>44831</v>
      </c>
      <c r="C6678" t="str">
        <f ca="1">IFERROR(__xludf.DUMMYFUNCTION("""COMPUTED_VALUE"""),"БУ Г. ОМСКА ""УДХБ"" 197-РДО от 01.07.2022")</f>
        <v>БУ Г. ОМСКА "УДХБ" 197-РДО от 01.07.2022</v>
      </c>
      <c r="D66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8" t="str">
        <f ca="1">IFERROR(__xludf.DUMMYFUNCTION("""COMPUTED_VALUE"""),"Новый")</f>
        <v>Новый</v>
      </c>
      <c r="G6678" s="68"/>
      <c r="K6678" s="68"/>
    </row>
    <row r="6679" spans="1:11" ht="12.75">
      <c r="A6679" s="69">
        <f ca="1">IFERROR(__xludf.DUMMYFUNCTION("""COMPUTED_VALUE"""),108042)</f>
        <v>108042</v>
      </c>
      <c r="B6679" s="4">
        <f ca="1">IFERROR(__xludf.DUMMYFUNCTION("""COMPUTED_VALUE"""),44831)</f>
        <v>44831</v>
      </c>
      <c r="C6679" t="str">
        <f ca="1">IFERROR(__xludf.DUMMYFUNCTION("""COMPUTED_VALUE"""),"БУ Г. ОМСКА ""УДХБ"" 197-РДО от 01.07.2022")</f>
        <v>БУ Г. ОМСКА "УДХБ" 197-РДО от 01.07.2022</v>
      </c>
      <c r="D66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79" t="str">
        <f ca="1">IFERROR(__xludf.DUMMYFUNCTION("""COMPUTED_VALUE"""),"Новый")</f>
        <v>Новый</v>
      </c>
      <c r="G6679" s="68"/>
      <c r="K6679" s="68"/>
    </row>
    <row r="6680" spans="1:11" ht="12.75">
      <c r="A6680" s="69">
        <f ca="1">IFERROR(__xludf.DUMMYFUNCTION("""COMPUTED_VALUE"""),108043)</f>
        <v>108043</v>
      </c>
      <c r="B6680" s="4">
        <f ca="1">IFERROR(__xludf.DUMMYFUNCTION("""COMPUTED_VALUE"""),44831)</f>
        <v>44831</v>
      </c>
      <c r="C6680" t="str">
        <f ca="1">IFERROR(__xludf.DUMMYFUNCTION("""COMPUTED_VALUE"""),"БУ Г. ОМСКА ""УДХБ"" 197-РДО от 01.07.2022")</f>
        <v>БУ Г. ОМСКА "УДХБ" 197-РДО от 01.07.2022</v>
      </c>
      <c r="D66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0" t="str">
        <f ca="1">IFERROR(__xludf.DUMMYFUNCTION("""COMPUTED_VALUE"""),"Новый")</f>
        <v>Новый</v>
      </c>
      <c r="G6680" s="68"/>
      <c r="K6680" s="68"/>
    </row>
    <row r="6681" spans="1:11" ht="12.75">
      <c r="A6681" s="69">
        <f ca="1">IFERROR(__xludf.DUMMYFUNCTION("""COMPUTED_VALUE"""),108044)</f>
        <v>108044</v>
      </c>
      <c r="B6681" s="4">
        <f ca="1">IFERROR(__xludf.DUMMYFUNCTION("""COMPUTED_VALUE"""),44831)</f>
        <v>44831</v>
      </c>
      <c r="C6681" t="str">
        <f ca="1">IFERROR(__xludf.DUMMYFUNCTION("""COMPUTED_VALUE"""),"БУ Г. ОМСКА ""УДХБ"" 197-РДО от 01.07.2022")</f>
        <v>БУ Г. ОМСКА "УДХБ" 197-РДО от 01.07.2022</v>
      </c>
      <c r="D66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1" t="str">
        <f ca="1">IFERROR(__xludf.DUMMYFUNCTION("""COMPUTED_VALUE"""),"Новый")</f>
        <v>Новый</v>
      </c>
      <c r="G6681" s="68"/>
      <c r="K6681" s="68"/>
    </row>
    <row r="6682" spans="1:11" ht="12.75">
      <c r="A6682" s="69">
        <f ca="1">IFERROR(__xludf.DUMMYFUNCTION("""COMPUTED_VALUE"""),108045)</f>
        <v>108045</v>
      </c>
      <c r="B6682" s="4">
        <f ca="1">IFERROR(__xludf.DUMMYFUNCTION("""COMPUTED_VALUE"""),44831)</f>
        <v>44831</v>
      </c>
      <c r="C6682" t="str">
        <f ca="1">IFERROR(__xludf.DUMMYFUNCTION("""COMPUTED_VALUE"""),"БУ Г. ОМСКА ""УДХБ"" 197-РДО от 01.07.2022")</f>
        <v>БУ Г. ОМСКА "УДХБ" 197-РДО от 01.07.2022</v>
      </c>
      <c r="D66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2" t="str">
        <f ca="1">IFERROR(__xludf.DUMMYFUNCTION("""COMPUTED_VALUE"""),"Новый")</f>
        <v>Новый</v>
      </c>
      <c r="G6682" s="68"/>
      <c r="K6682" s="68"/>
    </row>
    <row r="6683" spans="1:11" ht="12.75">
      <c r="A6683" s="69">
        <f ca="1">IFERROR(__xludf.DUMMYFUNCTION("""COMPUTED_VALUE"""),108046)</f>
        <v>108046</v>
      </c>
      <c r="B6683" s="4">
        <f ca="1">IFERROR(__xludf.DUMMYFUNCTION("""COMPUTED_VALUE"""),44831)</f>
        <v>44831</v>
      </c>
      <c r="C6683" t="str">
        <f ca="1">IFERROR(__xludf.DUMMYFUNCTION("""COMPUTED_VALUE"""),"БУ Г. ОМСКА ""УДХБ"" 197-РДО от 01.07.2022")</f>
        <v>БУ Г. ОМСКА "УДХБ" 197-РДО от 01.07.2022</v>
      </c>
      <c r="D66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3" t="str">
        <f ca="1">IFERROR(__xludf.DUMMYFUNCTION("""COMPUTED_VALUE"""),"Новый")</f>
        <v>Новый</v>
      </c>
      <c r="G6683" s="68"/>
      <c r="K6683" s="68"/>
    </row>
    <row r="6684" spans="1:11" ht="12.75">
      <c r="A6684" s="69">
        <f ca="1">IFERROR(__xludf.DUMMYFUNCTION("""COMPUTED_VALUE"""),108047)</f>
        <v>108047</v>
      </c>
      <c r="B6684" s="4">
        <f ca="1">IFERROR(__xludf.DUMMYFUNCTION("""COMPUTED_VALUE"""),44831)</f>
        <v>44831</v>
      </c>
      <c r="C6684" t="str">
        <f ca="1">IFERROR(__xludf.DUMMYFUNCTION("""COMPUTED_VALUE"""),"БУ Г. ОМСКА ""УДХБ"" 197-РДО от 01.07.2022")</f>
        <v>БУ Г. ОМСКА "УДХБ" 197-РДО от 01.07.2022</v>
      </c>
      <c r="D66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4" t="str">
        <f ca="1">IFERROR(__xludf.DUMMYFUNCTION("""COMPUTED_VALUE"""),"Новый")</f>
        <v>Новый</v>
      </c>
      <c r="G6684" s="68"/>
      <c r="K6684" s="68"/>
    </row>
    <row r="6685" spans="1:11" ht="12.75">
      <c r="A6685" s="69">
        <f ca="1">IFERROR(__xludf.DUMMYFUNCTION("""COMPUTED_VALUE"""),108048)</f>
        <v>108048</v>
      </c>
      <c r="B6685" s="4">
        <f ca="1">IFERROR(__xludf.DUMMYFUNCTION("""COMPUTED_VALUE"""),44831)</f>
        <v>44831</v>
      </c>
      <c r="C6685" t="str">
        <f ca="1">IFERROR(__xludf.DUMMYFUNCTION("""COMPUTED_VALUE"""),"БУ Г. ОМСКА ""УДХБ"" 197-РДО от 01.07.2022")</f>
        <v>БУ Г. ОМСКА "УДХБ" 197-РДО от 01.07.2022</v>
      </c>
      <c r="D66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5" t="str">
        <f ca="1">IFERROR(__xludf.DUMMYFUNCTION("""COMPUTED_VALUE"""),"Новый")</f>
        <v>Новый</v>
      </c>
      <c r="G6685" s="68"/>
      <c r="K6685" s="68"/>
    </row>
    <row r="6686" spans="1:11" ht="12.75">
      <c r="A6686" s="69">
        <f ca="1">IFERROR(__xludf.DUMMYFUNCTION("""COMPUTED_VALUE"""),108049)</f>
        <v>108049</v>
      </c>
      <c r="B6686" s="4">
        <f ca="1">IFERROR(__xludf.DUMMYFUNCTION("""COMPUTED_VALUE"""),44831)</f>
        <v>44831</v>
      </c>
      <c r="C6686" t="str">
        <f ca="1">IFERROR(__xludf.DUMMYFUNCTION("""COMPUTED_VALUE"""),"БУ Г. ОМСКА ""УДХБ"" 197-РДО от 01.07.2022")</f>
        <v>БУ Г. ОМСКА "УДХБ" 197-РДО от 01.07.2022</v>
      </c>
      <c r="D66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6" t="str">
        <f ca="1">IFERROR(__xludf.DUMMYFUNCTION("""COMPUTED_VALUE"""),"Новый")</f>
        <v>Новый</v>
      </c>
      <c r="G6686" s="68"/>
      <c r="K6686" s="68"/>
    </row>
    <row r="6687" spans="1:11" ht="12.75">
      <c r="A6687" s="69">
        <f ca="1">IFERROR(__xludf.DUMMYFUNCTION("""COMPUTED_VALUE"""),108050)</f>
        <v>108050</v>
      </c>
      <c r="B6687" s="4">
        <f ca="1">IFERROR(__xludf.DUMMYFUNCTION("""COMPUTED_VALUE"""),44831)</f>
        <v>44831</v>
      </c>
      <c r="C6687" t="str">
        <f ca="1">IFERROR(__xludf.DUMMYFUNCTION("""COMPUTED_VALUE"""),"БУ Г. ОМСКА ""УДХБ"" 197-РДО от 01.07.2022")</f>
        <v>БУ Г. ОМСКА "УДХБ" 197-РДО от 01.07.2022</v>
      </c>
      <c r="D66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7" t="str">
        <f ca="1">IFERROR(__xludf.DUMMYFUNCTION("""COMPUTED_VALUE"""),"Новый")</f>
        <v>Новый</v>
      </c>
      <c r="G6687" s="68"/>
      <c r="K6687" s="68"/>
    </row>
    <row r="6688" spans="1:11" ht="12.75">
      <c r="A6688" s="69">
        <f ca="1">IFERROR(__xludf.DUMMYFUNCTION("""COMPUTED_VALUE"""),108051)</f>
        <v>108051</v>
      </c>
      <c r="B6688" s="4">
        <f ca="1">IFERROR(__xludf.DUMMYFUNCTION("""COMPUTED_VALUE"""),44831)</f>
        <v>44831</v>
      </c>
      <c r="C6688" t="str">
        <f ca="1">IFERROR(__xludf.DUMMYFUNCTION("""COMPUTED_VALUE"""),"БУ Г. ОМСКА ""УДХБ"" 197-РДО от 01.07.2022")</f>
        <v>БУ Г. ОМСКА "УДХБ" 197-РДО от 01.07.2022</v>
      </c>
      <c r="D66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8" t="str">
        <f ca="1">IFERROR(__xludf.DUMMYFUNCTION("""COMPUTED_VALUE"""),"Новый")</f>
        <v>Новый</v>
      </c>
      <c r="G6688" s="68"/>
      <c r="K6688" s="68"/>
    </row>
    <row r="6689" spans="1:11" ht="12.75">
      <c r="A6689" s="69">
        <f ca="1">IFERROR(__xludf.DUMMYFUNCTION("""COMPUTED_VALUE"""),108052)</f>
        <v>108052</v>
      </c>
      <c r="B6689" s="4">
        <f ca="1">IFERROR(__xludf.DUMMYFUNCTION("""COMPUTED_VALUE"""),44831)</f>
        <v>44831</v>
      </c>
      <c r="C6689" t="str">
        <f ca="1">IFERROR(__xludf.DUMMYFUNCTION("""COMPUTED_VALUE"""),"БУ Г. ОМСКА ""УДХБ"" 197-РДО от 01.07.2022")</f>
        <v>БУ Г. ОМСКА "УДХБ" 197-РДО от 01.07.2022</v>
      </c>
      <c r="D66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89" t="str">
        <f ca="1">IFERROR(__xludf.DUMMYFUNCTION("""COMPUTED_VALUE"""),"Новый")</f>
        <v>Новый</v>
      </c>
      <c r="G6689" s="68"/>
      <c r="K6689" s="68"/>
    </row>
    <row r="6690" spans="1:11" ht="12.75">
      <c r="A6690" s="69">
        <f ca="1">IFERROR(__xludf.DUMMYFUNCTION("""COMPUTED_VALUE"""),108053)</f>
        <v>108053</v>
      </c>
      <c r="B6690" s="4">
        <f ca="1">IFERROR(__xludf.DUMMYFUNCTION("""COMPUTED_VALUE"""),44831)</f>
        <v>44831</v>
      </c>
      <c r="C6690" t="str">
        <f ca="1">IFERROR(__xludf.DUMMYFUNCTION("""COMPUTED_VALUE"""),"БУ Г. ОМСКА ""УДХБ"" 197-РДО от 01.07.2022")</f>
        <v>БУ Г. ОМСКА "УДХБ" 197-РДО от 01.07.2022</v>
      </c>
      <c r="D66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0" t="str">
        <f ca="1">IFERROR(__xludf.DUMMYFUNCTION("""COMPUTED_VALUE"""),"Новый")</f>
        <v>Новый</v>
      </c>
      <c r="G6690" s="68"/>
      <c r="K6690" s="68"/>
    </row>
    <row r="6691" spans="1:11" ht="12.75">
      <c r="A6691" s="69">
        <f ca="1">IFERROR(__xludf.DUMMYFUNCTION("""COMPUTED_VALUE"""),108054)</f>
        <v>108054</v>
      </c>
      <c r="B6691" s="4">
        <f ca="1">IFERROR(__xludf.DUMMYFUNCTION("""COMPUTED_VALUE"""),44831)</f>
        <v>44831</v>
      </c>
      <c r="C6691" t="str">
        <f ca="1">IFERROR(__xludf.DUMMYFUNCTION("""COMPUTED_VALUE"""),"БУ Г. ОМСКА ""УДХБ"" 197-РДО от 01.07.2022")</f>
        <v>БУ Г. ОМСКА "УДХБ" 197-РДО от 01.07.2022</v>
      </c>
      <c r="D66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1" t="str">
        <f ca="1">IFERROR(__xludf.DUMMYFUNCTION("""COMPUTED_VALUE"""),"Новый")</f>
        <v>Новый</v>
      </c>
      <c r="G6691" s="68"/>
      <c r="K6691" s="68"/>
    </row>
    <row r="6692" spans="1:11" ht="12.75">
      <c r="A6692" s="69">
        <f ca="1">IFERROR(__xludf.DUMMYFUNCTION("""COMPUTED_VALUE"""),108055)</f>
        <v>108055</v>
      </c>
      <c r="B6692" s="4">
        <f ca="1">IFERROR(__xludf.DUMMYFUNCTION("""COMPUTED_VALUE"""),44831)</f>
        <v>44831</v>
      </c>
      <c r="C6692" t="str">
        <f ca="1">IFERROR(__xludf.DUMMYFUNCTION("""COMPUTED_VALUE"""),"БУ Г. ОМСКА ""УДХБ"" 197-РДО от 01.07.2022")</f>
        <v>БУ Г. ОМСКА "УДХБ" 197-РДО от 01.07.2022</v>
      </c>
      <c r="D66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2" t="str">
        <f ca="1">IFERROR(__xludf.DUMMYFUNCTION("""COMPUTED_VALUE"""),"Новый")</f>
        <v>Новый</v>
      </c>
      <c r="G6692" s="68"/>
      <c r="K6692" s="68"/>
    </row>
    <row r="6693" spans="1:11" ht="12.75">
      <c r="A6693" s="69">
        <f ca="1">IFERROR(__xludf.DUMMYFUNCTION("""COMPUTED_VALUE"""),108056)</f>
        <v>108056</v>
      </c>
      <c r="B6693" s="4">
        <f ca="1">IFERROR(__xludf.DUMMYFUNCTION("""COMPUTED_VALUE"""),44831)</f>
        <v>44831</v>
      </c>
      <c r="C6693" t="str">
        <f ca="1">IFERROR(__xludf.DUMMYFUNCTION("""COMPUTED_VALUE"""),"БУ Г. ОМСКА ""УДХБ"" 197-РДО от 01.07.2022")</f>
        <v>БУ Г. ОМСКА "УДХБ" 197-РДО от 01.07.2022</v>
      </c>
      <c r="D66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3" t="str">
        <f ca="1">IFERROR(__xludf.DUMMYFUNCTION("""COMPUTED_VALUE"""),"Новый")</f>
        <v>Новый</v>
      </c>
      <c r="G6693" s="68"/>
      <c r="K6693" s="68"/>
    </row>
    <row r="6694" spans="1:11" ht="12.75">
      <c r="A6694" s="69">
        <f ca="1">IFERROR(__xludf.DUMMYFUNCTION("""COMPUTED_VALUE"""),108057)</f>
        <v>108057</v>
      </c>
      <c r="B6694" s="4">
        <f ca="1">IFERROR(__xludf.DUMMYFUNCTION("""COMPUTED_VALUE"""),44831)</f>
        <v>44831</v>
      </c>
      <c r="C6694" t="str">
        <f ca="1">IFERROR(__xludf.DUMMYFUNCTION("""COMPUTED_VALUE"""),"БУ Г. ОМСКА ""УДХБ"" 197-РДО от 01.07.2022")</f>
        <v>БУ Г. ОМСКА "УДХБ" 197-РДО от 01.07.2022</v>
      </c>
      <c r="D66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4" t="str">
        <f ca="1">IFERROR(__xludf.DUMMYFUNCTION("""COMPUTED_VALUE"""),"Новый")</f>
        <v>Новый</v>
      </c>
      <c r="G6694" s="68"/>
      <c r="K6694" s="68"/>
    </row>
    <row r="6695" spans="1:11" ht="12.75">
      <c r="A6695" s="69">
        <f ca="1">IFERROR(__xludf.DUMMYFUNCTION("""COMPUTED_VALUE"""),108058)</f>
        <v>108058</v>
      </c>
      <c r="B6695" s="4">
        <f ca="1">IFERROR(__xludf.DUMMYFUNCTION("""COMPUTED_VALUE"""),44831)</f>
        <v>44831</v>
      </c>
      <c r="C6695" t="str">
        <f ca="1">IFERROR(__xludf.DUMMYFUNCTION("""COMPUTED_VALUE"""),"БУ Г. ОМСКА ""УДХБ"" 197-РДО от 01.07.2022")</f>
        <v>БУ Г. ОМСКА "УДХБ" 197-РДО от 01.07.2022</v>
      </c>
      <c r="D66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5" t="str">
        <f ca="1">IFERROR(__xludf.DUMMYFUNCTION("""COMPUTED_VALUE"""),"Новый")</f>
        <v>Новый</v>
      </c>
      <c r="G6695" s="68"/>
      <c r="K6695" s="68"/>
    </row>
    <row r="6696" spans="1:11" ht="12.75">
      <c r="A6696" s="69">
        <f ca="1">IFERROR(__xludf.DUMMYFUNCTION("""COMPUTED_VALUE"""),108059)</f>
        <v>108059</v>
      </c>
      <c r="B6696" s="4">
        <f ca="1">IFERROR(__xludf.DUMMYFUNCTION("""COMPUTED_VALUE"""),44831)</f>
        <v>44831</v>
      </c>
      <c r="C6696" t="str">
        <f ca="1">IFERROR(__xludf.DUMMYFUNCTION("""COMPUTED_VALUE"""),"БУ Г. ОМСКА ""УДХБ"" 197-РДО от 01.07.2022")</f>
        <v>БУ Г. ОМСКА "УДХБ" 197-РДО от 01.07.2022</v>
      </c>
      <c r="D66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6" t="str">
        <f ca="1">IFERROR(__xludf.DUMMYFUNCTION("""COMPUTED_VALUE"""),"Новый")</f>
        <v>Новый</v>
      </c>
      <c r="G6696" s="68"/>
      <c r="K6696" s="68"/>
    </row>
    <row r="6697" spans="1:11" ht="12.75">
      <c r="A6697" s="69">
        <f ca="1">IFERROR(__xludf.DUMMYFUNCTION("""COMPUTED_VALUE"""),108060)</f>
        <v>108060</v>
      </c>
      <c r="B6697" s="4">
        <f ca="1">IFERROR(__xludf.DUMMYFUNCTION("""COMPUTED_VALUE"""),44831)</f>
        <v>44831</v>
      </c>
      <c r="C6697" t="str">
        <f ca="1">IFERROR(__xludf.DUMMYFUNCTION("""COMPUTED_VALUE"""),"БУ Г. ОМСКА ""УДХБ"" 197-РДО от 01.07.2022")</f>
        <v>БУ Г. ОМСКА "УДХБ" 197-РДО от 01.07.2022</v>
      </c>
      <c r="D66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7" t="str">
        <f ca="1">IFERROR(__xludf.DUMMYFUNCTION("""COMPUTED_VALUE"""),"Новый")</f>
        <v>Новый</v>
      </c>
      <c r="G6697" s="68"/>
      <c r="K6697" s="68"/>
    </row>
    <row r="6698" spans="1:11" ht="12.75">
      <c r="A6698" s="69">
        <f ca="1">IFERROR(__xludf.DUMMYFUNCTION("""COMPUTED_VALUE"""),108061)</f>
        <v>108061</v>
      </c>
      <c r="B6698" s="4">
        <f ca="1">IFERROR(__xludf.DUMMYFUNCTION("""COMPUTED_VALUE"""),44831)</f>
        <v>44831</v>
      </c>
      <c r="C6698" t="str">
        <f ca="1">IFERROR(__xludf.DUMMYFUNCTION("""COMPUTED_VALUE"""),"БУ Г. ОМСКА ""УДХБ"" 197-РДО от 01.07.2022")</f>
        <v>БУ Г. ОМСКА "УДХБ" 197-РДО от 01.07.2022</v>
      </c>
      <c r="D66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8" t="str">
        <f ca="1">IFERROR(__xludf.DUMMYFUNCTION("""COMPUTED_VALUE"""),"Новый")</f>
        <v>Новый</v>
      </c>
      <c r="G6698" s="68"/>
      <c r="K6698" s="68"/>
    </row>
    <row r="6699" spans="1:11" ht="12.75">
      <c r="A6699" s="69">
        <f ca="1">IFERROR(__xludf.DUMMYFUNCTION("""COMPUTED_VALUE"""),108062)</f>
        <v>108062</v>
      </c>
      <c r="B6699" s="4">
        <f ca="1">IFERROR(__xludf.DUMMYFUNCTION("""COMPUTED_VALUE"""),44831)</f>
        <v>44831</v>
      </c>
      <c r="C6699" t="str">
        <f ca="1">IFERROR(__xludf.DUMMYFUNCTION("""COMPUTED_VALUE"""),"БУ Г. ОМСКА ""УДХБ"" 197-РДО от 01.07.2022")</f>
        <v>БУ Г. ОМСКА "УДХБ" 197-РДО от 01.07.2022</v>
      </c>
      <c r="D66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699" t="str">
        <f ca="1">IFERROR(__xludf.DUMMYFUNCTION("""COMPUTED_VALUE"""),"Новый")</f>
        <v>Новый</v>
      </c>
      <c r="G6699" s="68"/>
      <c r="K6699" s="68"/>
    </row>
    <row r="6700" spans="1:11" ht="12.75">
      <c r="A6700" s="69">
        <f ca="1">IFERROR(__xludf.DUMMYFUNCTION("""COMPUTED_VALUE"""),108063)</f>
        <v>108063</v>
      </c>
      <c r="B6700" s="4">
        <f ca="1">IFERROR(__xludf.DUMMYFUNCTION("""COMPUTED_VALUE"""),44831)</f>
        <v>44831</v>
      </c>
      <c r="C6700" t="str">
        <f ca="1">IFERROR(__xludf.DUMMYFUNCTION("""COMPUTED_VALUE"""),"БУ Г. ОМСКА ""УДХБ"" 197-РДО от 01.07.2022")</f>
        <v>БУ Г. ОМСКА "УДХБ" 197-РДО от 01.07.2022</v>
      </c>
      <c r="D67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00" t="str">
        <f ca="1">IFERROR(__xludf.DUMMYFUNCTION("""COMPUTED_VALUE"""),"Новый")</f>
        <v>Новый</v>
      </c>
      <c r="G6700" s="68"/>
      <c r="K6700" s="68"/>
    </row>
    <row r="6701" spans="1:11" ht="12.75">
      <c r="A6701" s="69">
        <f ca="1">IFERROR(__xludf.DUMMYFUNCTION("""COMPUTED_VALUE"""),108064)</f>
        <v>108064</v>
      </c>
      <c r="B6701" s="4">
        <f ca="1">IFERROR(__xludf.DUMMYFUNCTION("""COMPUTED_VALUE"""),44831)</f>
        <v>44831</v>
      </c>
      <c r="C6701" t="str">
        <f ca="1">IFERROR(__xludf.DUMMYFUNCTION("""COMPUTED_VALUE"""),"БУ Г. ОМСКА ""УДХБ"" 197-РДО от 01.07.2022")</f>
        <v>БУ Г. ОМСКА "УДХБ" 197-РДО от 01.07.2022</v>
      </c>
      <c r="D67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01" t="str">
        <f ca="1">IFERROR(__xludf.DUMMYFUNCTION("""COMPUTED_VALUE"""),"Новый")</f>
        <v>Новый</v>
      </c>
      <c r="G6701" s="68"/>
      <c r="K6701" s="68"/>
    </row>
    <row r="6702" spans="1:11" ht="12.75">
      <c r="A6702" s="69">
        <f ca="1">IFERROR(__xludf.DUMMYFUNCTION("""COMPUTED_VALUE"""),108065)</f>
        <v>108065</v>
      </c>
      <c r="B6702" s="4">
        <f ca="1">IFERROR(__xludf.DUMMYFUNCTION("""COMPUTED_VALUE"""),44831)</f>
        <v>44831</v>
      </c>
      <c r="C6702" t="str">
        <f ca="1">IFERROR(__xludf.DUMMYFUNCTION("""COMPUTED_VALUE"""),"БУ Г. ОМСКА ""УДХБ"" 197-РДО от 01.07.2022")</f>
        <v>БУ Г. ОМСКА "УДХБ" 197-РДО от 01.07.2022</v>
      </c>
      <c r="D67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02" t="str">
        <f ca="1">IFERROR(__xludf.DUMMYFUNCTION("""COMPUTED_VALUE"""),"Новый")</f>
        <v>Новый</v>
      </c>
      <c r="G6702" s="68"/>
      <c r="K6702" s="68"/>
    </row>
    <row r="6703" spans="1:11" ht="12.75">
      <c r="A6703" s="69">
        <f ca="1">IFERROR(__xludf.DUMMYFUNCTION("""COMPUTED_VALUE"""),108067)</f>
        <v>108067</v>
      </c>
      <c r="B6703" s="4">
        <f ca="1">IFERROR(__xludf.DUMMYFUNCTION("""COMPUTED_VALUE"""),44831)</f>
        <v>44831</v>
      </c>
      <c r="C6703" t="str">
        <f ca="1">IFERROR(__xludf.DUMMYFUNCTION("""COMPUTED_VALUE"""),"ЗАО УК ""Левобережье"" 51-СТР")</f>
        <v>ЗАО УК "Левобережье" 51-СТР</v>
      </c>
      <c r="D67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3" t="str">
        <f ca="1">IFERROR(__xludf.DUMMYFUNCTION("""COMPUTED_VALUE"""),"Новый")</f>
        <v>Новый</v>
      </c>
      <c r="G6703" s="68"/>
      <c r="K6703" s="68"/>
    </row>
    <row r="6704" spans="1:11" ht="12.75">
      <c r="A6704" s="69">
        <f ca="1">IFERROR(__xludf.DUMMYFUNCTION("""COMPUTED_VALUE"""),108068)</f>
        <v>108068</v>
      </c>
      <c r="B6704" s="4">
        <f ca="1">IFERROR(__xludf.DUMMYFUNCTION("""COMPUTED_VALUE"""),44831)</f>
        <v>44831</v>
      </c>
      <c r="C6704" t="str">
        <f ca="1">IFERROR(__xludf.DUMMYFUNCTION("""COMPUTED_VALUE"""),"ЗАО УК ""Левобережье"" 51-СТР")</f>
        <v>ЗАО УК "Левобережье" 51-СТР</v>
      </c>
      <c r="D67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4" t="str">
        <f ca="1">IFERROR(__xludf.DUMMYFUNCTION("""COMPUTED_VALUE"""),"Новый")</f>
        <v>Новый</v>
      </c>
      <c r="G6704" s="68"/>
      <c r="K6704" s="68"/>
    </row>
    <row r="6705" spans="1:11" ht="12.75">
      <c r="A6705" s="69">
        <f ca="1">IFERROR(__xludf.DUMMYFUNCTION("""COMPUTED_VALUE"""),108069)</f>
        <v>108069</v>
      </c>
      <c r="B6705" s="4">
        <f ca="1">IFERROR(__xludf.DUMMYFUNCTION("""COMPUTED_VALUE"""),44831)</f>
        <v>44831</v>
      </c>
      <c r="C6705" t="str">
        <f ca="1">IFERROR(__xludf.DUMMYFUNCTION("""COMPUTED_VALUE"""),"ЗАО УК ""Левобережье"" 51-СТР")</f>
        <v>ЗАО УК "Левобережье" 51-СТР</v>
      </c>
      <c r="D67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5" t="str">
        <f ca="1">IFERROR(__xludf.DUMMYFUNCTION("""COMPUTED_VALUE"""),"Новый")</f>
        <v>Новый</v>
      </c>
      <c r="G6705" s="68"/>
      <c r="K6705" s="68"/>
    </row>
    <row r="6706" spans="1:11" ht="12.75">
      <c r="A6706" s="69">
        <f ca="1">IFERROR(__xludf.DUMMYFUNCTION("""COMPUTED_VALUE"""),108070)</f>
        <v>108070</v>
      </c>
      <c r="B6706" s="4">
        <f ca="1">IFERROR(__xludf.DUMMYFUNCTION("""COMPUTED_VALUE"""),44831)</f>
        <v>44831</v>
      </c>
      <c r="C6706" t="str">
        <f ca="1">IFERROR(__xludf.DUMMYFUNCTION("""COMPUTED_VALUE"""),"ЗАО УК ""Левобережье"" 51-СТР")</f>
        <v>ЗАО УК "Левобережье" 51-СТР</v>
      </c>
      <c r="D67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6" t="str">
        <f ca="1">IFERROR(__xludf.DUMMYFUNCTION("""COMPUTED_VALUE"""),"Новый")</f>
        <v>Новый</v>
      </c>
      <c r="G6706" s="68"/>
      <c r="K6706" s="68"/>
    </row>
    <row r="6707" spans="1:11" ht="12.75">
      <c r="A6707" s="69">
        <f ca="1">IFERROR(__xludf.DUMMYFUNCTION("""COMPUTED_VALUE"""),108071)</f>
        <v>108071</v>
      </c>
      <c r="B6707" s="4">
        <f ca="1">IFERROR(__xludf.DUMMYFUNCTION("""COMPUTED_VALUE"""),44831)</f>
        <v>44831</v>
      </c>
      <c r="C6707" t="str">
        <f ca="1">IFERROR(__xludf.DUMMYFUNCTION("""COMPUTED_VALUE"""),"ЗАО УК ""Левобережье"" 51-СТР")</f>
        <v>ЗАО УК "Левобережье" 51-СТР</v>
      </c>
      <c r="D67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7" t="str">
        <f ca="1">IFERROR(__xludf.DUMMYFUNCTION("""COMPUTED_VALUE"""),"Новый")</f>
        <v>Новый</v>
      </c>
      <c r="G6707" s="68"/>
      <c r="K6707" s="68"/>
    </row>
    <row r="6708" spans="1:11" ht="12.75">
      <c r="A6708" s="69">
        <f ca="1">IFERROR(__xludf.DUMMYFUNCTION("""COMPUTED_VALUE"""),108072)</f>
        <v>108072</v>
      </c>
      <c r="B6708" s="4">
        <f ca="1">IFERROR(__xludf.DUMMYFUNCTION("""COMPUTED_VALUE"""),44831)</f>
        <v>44831</v>
      </c>
      <c r="C6708" t="str">
        <f ca="1">IFERROR(__xludf.DUMMYFUNCTION("""COMPUTED_VALUE"""),"ЗАО УК ""Левобережье"" 51-СТР")</f>
        <v>ЗАО УК "Левобережье" 51-СТР</v>
      </c>
      <c r="D67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8" t="str">
        <f ca="1">IFERROR(__xludf.DUMMYFUNCTION("""COMPUTED_VALUE"""),"Новый")</f>
        <v>Новый</v>
      </c>
      <c r="G6708" s="68"/>
      <c r="K6708" s="68"/>
    </row>
    <row r="6709" spans="1:11" ht="12.75">
      <c r="A6709" s="69">
        <f ca="1">IFERROR(__xludf.DUMMYFUNCTION("""COMPUTED_VALUE"""),108073)</f>
        <v>108073</v>
      </c>
      <c r="B6709" s="4">
        <f ca="1">IFERROR(__xludf.DUMMYFUNCTION("""COMPUTED_VALUE"""),44831)</f>
        <v>44831</v>
      </c>
      <c r="C6709" t="str">
        <f ca="1">IFERROR(__xludf.DUMMYFUNCTION("""COMPUTED_VALUE"""),"ЗАО УК ""Левобережье"" 51-СТР")</f>
        <v>ЗАО УК "Левобережье" 51-СТР</v>
      </c>
      <c r="D67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09" t="str">
        <f ca="1">IFERROR(__xludf.DUMMYFUNCTION("""COMPUTED_VALUE"""),"Новый")</f>
        <v>Новый</v>
      </c>
      <c r="G6709" s="68"/>
      <c r="K6709" s="68"/>
    </row>
    <row r="6710" spans="1:11" ht="12.75">
      <c r="A6710" s="69">
        <f ca="1">IFERROR(__xludf.DUMMYFUNCTION("""COMPUTED_VALUE"""),108074)</f>
        <v>108074</v>
      </c>
      <c r="B6710" s="4">
        <f ca="1">IFERROR(__xludf.DUMMYFUNCTION("""COMPUTED_VALUE"""),44831)</f>
        <v>44831</v>
      </c>
      <c r="C6710" t="str">
        <f ca="1">IFERROR(__xludf.DUMMYFUNCTION("""COMPUTED_VALUE"""),"ЗАО УК ""Левобережье"" 51-СТР")</f>
        <v>ЗАО УК "Левобережье" 51-СТР</v>
      </c>
      <c r="D67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0" t="str">
        <f ca="1">IFERROR(__xludf.DUMMYFUNCTION("""COMPUTED_VALUE"""),"Новый")</f>
        <v>Новый</v>
      </c>
      <c r="G6710" s="68"/>
      <c r="K6710" s="68"/>
    </row>
    <row r="6711" spans="1:11" ht="12.75">
      <c r="A6711" s="69">
        <f ca="1">IFERROR(__xludf.DUMMYFUNCTION("""COMPUTED_VALUE"""),108075)</f>
        <v>108075</v>
      </c>
      <c r="B6711" s="4">
        <f ca="1">IFERROR(__xludf.DUMMYFUNCTION("""COMPUTED_VALUE"""),44831)</f>
        <v>44831</v>
      </c>
      <c r="C6711" t="str">
        <f ca="1">IFERROR(__xludf.DUMMYFUNCTION("""COMPUTED_VALUE"""),"ЗАО УК ""Левобережье"" 51-СТР")</f>
        <v>ЗАО УК "Левобережье" 51-СТР</v>
      </c>
      <c r="D67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1" t="str">
        <f ca="1">IFERROR(__xludf.DUMMYFUNCTION("""COMPUTED_VALUE"""),"Новый")</f>
        <v>Новый</v>
      </c>
      <c r="G6711" s="68"/>
      <c r="K6711" s="68"/>
    </row>
    <row r="6712" spans="1:11" ht="12.75">
      <c r="A6712" s="69">
        <f ca="1">IFERROR(__xludf.DUMMYFUNCTION("""COMPUTED_VALUE"""),108076)</f>
        <v>108076</v>
      </c>
      <c r="B6712" s="4">
        <f ca="1">IFERROR(__xludf.DUMMYFUNCTION("""COMPUTED_VALUE"""),44831)</f>
        <v>44831</v>
      </c>
      <c r="C6712" t="str">
        <f ca="1">IFERROR(__xludf.DUMMYFUNCTION("""COMPUTED_VALUE"""),"ЗАО УК ""Левобережье"" 51-СТР")</f>
        <v>ЗАО УК "Левобережье" 51-СТР</v>
      </c>
      <c r="D67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2" t="str">
        <f ca="1">IFERROR(__xludf.DUMMYFUNCTION("""COMPUTED_VALUE"""),"Новый")</f>
        <v>Новый</v>
      </c>
      <c r="G6712" s="68"/>
      <c r="K6712" s="68"/>
    </row>
    <row r="6713" spans="1:11" ht="12.75">
      <c r="A6713" s="69">
        <f ca="1">IFERROR(__xludf.DUMMYFUNCTION("""COMPUTED_VALUE"""),108077)</f>
        <v>108077</v>
      </c>
      <c r="B6713" s="4">
        <f ca="1">IFERROR(__xludf.DUMMYFUNCTION("""COMPUTED_VALUE"""),44831)</f>
        <v>44831</v>
      </c>
      <c r="C6713" t="str">
        <f ca="1">IFERROR(__xludf.DUMMYFUNCTION("""COMPUTED_VALUE"""),"ЗАО УК ""Левобережье"" 51-СТР")</f>
        <v>ЗАО УК "Левобережье" 51-СТР</v>
      </c>
      <c r="D67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3" t="str">
        <f ca="1">IFERROR(__xludf.DUMMYFUNCTION("""COMPUTED_VALUE"""),"Новый")</f>
        <v>Новый</v>
      </c>
      <c r="G6713" s="68"/>
      <c r="K6713" s="68"/>
    </row>
    <row r="6714" spans="1:11" ht="12.75">
      <c r="A6714" s="69">
        <f ca="1">IFERROR(__xludf.DUMMYFUNCTION("""COMPUTED_VALUE"""),108078)</f>
        <v>108078</v>
      </c>
      <c r="B6714" s="4">
        <f ca="1">IFERROR(__xludf.DUMMYFUNCTION("""COMPUTED_VALUE"""),44831)</f>
        <v>44831</v>
      </c>
      <c r="C6714" t="str">
        <f ca="1">IFERROR(__xludf.DUMMYFUNCTION("""COMPUTED_VALUE"""),"ЗАО УК ""Левобережье"" 51-СТР")</f>
        <v>ЗАО УК "Левобережье" 51-СТР</v>
      </c>
      <c r="D67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4" t="str">
        <f ca="1">IFERROR(__xludf.DUMMYFUNCTION("""COMPUTED_VALUE"""),"Новый")</f>
        <v>Новый</v>
      </c>
      <c r="G6714" s="68"/>
      <c r="K6714" s="68"/>
    </row>
    <row r="6715" spans="1:11" ht="12.75">
      <c r="A6715" s="69">
        <f ca="1">IFERROR(__xludf.DUMMYFUNCTION("""COMPUTED_VALUE"""),108079)</f>
        <v>108079</v>
      </c>
      <c r="B6715" s="4">
        <f ca="1">IFERROR(__xludf.DUMMYFUNCTION("""COMPUTED_VALUE"""),44831)</f>
        <v>44831</v>
      </c>
      <c r="C6715" t="str">
        <f ca="1">IFERROR(__xludf.DUMMYFUNCTION("""COMPUTED_VALUE"""),"ЗАО УК ""Левобережье"" 51-СТР")</f>
        <v>ЗАО УК "Левобережье" 51-СТР</v>
      </c>
      <c r="D67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5" t="str">
        <f ca="1">IFERROR(__xludf.DUMMYFUNCTION("""COMPUTED_VALUE"""),"Новый")</f>
        <v>Новый</v>
      </c>
      <c r="G6715" s="68"/>
      <c r="K6715" s="68"/>
    </row>
    <row r="6716" spans="1:11" ht="12.75">
      <c r="A6716" s="69">
        <f ca="1">IFERROR(__xludf.DUMMYFUNCTION("""COMPUTED_VALUE"""),108080)</f>
        <v>108080</v>
      </c>
      <c r="B6716" s="4">
        <f ca="1">IFERROR(__xludf.DUMMYFUNCTION("""COMPUTED_VALUE"""),44831)</f>
        <v>44831</v>
      </c>
      <c r="C6716" t="str">
        <f ca="1">IFERROR(__xludf.DUMMYFUNCTION("""COMPUTED_VALUE"""),"ЗАО УК ""Левобережье"" 51-СТР")</f>
        <v>ЗАО УК "Левобережье" 51-СТР</v>
      </c>
      <c r="D67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6" t="str">
        <f ca="1">IFERROR(__xludf.DUMMYFUNCTION("""COMPUTED_VALUE"""),"Новый")</f>
        <v>Новый</v>
      </c>
      <c r="G6716" s="68"/>
      <c r="K6716" s="68"/>
    </row>
    <row r="6717" spans="1:11" ht="12.75">
      <c r="A6717" s="69">
        <f ca="1">IFERROR(__xludf.DUMMYFUNCTION("""COMPUTED_VALUE"""),108081)</f>
        <v>108081</v>
      </c>
      <c r="B6717" s="4">
        <f ca="1">IFERROR(__xludf.DUMMYFUNCTION("""COMPUTED_VALUE"""),44831)</f>
        <v>44831</v>
      </c>
      <c r="C6717" t="str">
        <f ca="1">IFERROR(__xludf.DUMMYFUNCTION("""COMPUTED_VALUE"""),"ЗАО УК ""Левобережье"" 51-СТР")</f>
        <v>ЗАО УК "Левобережье" 51-СТР</v>
      </c>
      <c r="D67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7" t="str">
        <f ca="1">IFERROR(__xludf.DUMMYFUNCTION("""COMPUTED_VALUE"""),"Новый")</f>
        <v>Новый</v>
      </c>
      <c r="G6717" s="68"/>
      <c r="K6717" s="68"/>
    </row>
    <row r="6718" spans="1:11" ht="12.75">
      <c r="A6718" s="69">
        <f ca="1">IFERROR(__xludf.DUMMYFUNCTION("""COMPUTED_VALUE"""),108082)</f>
        <v>108082</v>
      </c>
      <c r="B6718" s="4">
        <f ca="1">IFERROR(__xludf.DUMMYFUNCTION("""COMPUTED_VALUE"""),44831)</f>
        <v>44831</v>
      </c>
      <c r="C6718" t="str">
        <f ca="1">IFERROR(__xludf.DUMMYFUNCTION("""COMPUTED_VALUE"""),"ЗАО УК ""Левобережье"" 51-СТР")</f>
        <v>ЗАО УК "Левобережье" 51-СТР</v>
      </c>
      <c r="D67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8" t="str">
        <f ca="1">IFERROR(__xludf.DUMMYFUNCTION("""COMPUTED_VALUE"""),"Новый")</f>
        <v>Новый</v>
      </c>
      <c r="G6718" s="68"/>
      <c r="K6718" s="68"/>
    </row>
    <row r="6719" spans="1:11" ht="12.75">
      <c r="A6719" s="69">
        <f ca="1">IFERROR(__xludf.DUMMYFUNCTION("""COMPUTED_VALUE"""),108083)</f>
        <v>108083</v>
      </c>
      <c r="B6719" s="4">
        <f ca="1">IFERROR(__xludf.DUMMYFUNCTION("""COMPUTED_VALUE"""),44831)</f>
        <v>44831</v>
      </c>
      <c r="C6719" t="str">
        <f ca="1">IFERROR(__xludf.DUMMYFUNCTION("""COMPUTED_VALUE"""),"ЗАО УК ""Левобережье"" 51-СТР")</f>
        <v>ЗАО УК "Левобережье" 51-СТР</v>
      </c>
      <c r="D67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19" t="str">
        <f ca="1">IFERROR(__xludf.DUMMYFUNCTION("""COMPUTED_VALUE"""),"Новый")</f>
        <v>Новый</v>
      </c>
      <c r="G6719" s="68"/>
      <c r="K6719" s="68"/>
    </row>
    <row r="6720" spans="1:11" ht="12.75">
      <c r="A6720" s="69">
        <f ca="1">IFERROR(__xludf.DUMMYFUNCTION("""COMPUTED_VALUE"""),108084)</f>
        <v>108084</v>
      </c>
      <c r="B6720" s="4">
        <f ca="1">IFERROR(__xludf.DUMMYFUNCTION("""COMPUTED_VALUE"""),44831)</f>
        <v>44831</v>
      </c>
      <c r="C6720" t="str">
        <f ca="1">IFERROR(__xludf.DUMMYFUNCTION("""COMPUTED_VALUE"""),"ЗАО УК ""Левобережье"" 51-СТР")</f>
        <v>ЗАО УК "Левобережье" 51-СТР</v>
      </c>
      <c r="D67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0" t="str">
        <f ca="1">IFERROR(__xludf.DUMMYFUNCTION("""COMPUTED_VALUE"""),"Новый")</f>
        <v>Новый</v>
      </c>
      <c r="G6720" s="68"/>
      <c r="K6720" s="68"/>
    </row>
    <row r="6721" spans="1:11" ht="12.75">
      <c r="A6721" s="69">
        <f ca="1">IFERROR(__xludf.DUMMYFUNCTION("""COMPUTED_VALUE"""),108085)</f>
        <v>108085</v>
      </c>
      <c r="B6721" s="4">
        <f ca="1">IFERROR(__xludf.DUMMYFUNCTION("""COMPUTED_VALUE"""),44831)</f>
        <v>44831</v>
      </c>
      <c r="C6721" t="str">
        <f ca="1">IFERROR(__xludf.DUMMYFUNCTION("""COMPUTED_VALUE"""),"ЗАО УК ""Левобережье"" 51-СТР")</f>
        <v>ЗАО УК "Левобережье" 51-СТР</v>
      </c>
      <c r="D67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1" t="str">
        <f ca="1">IFERROR(__xludf.DUMMYFUNCTION("""COMPUTED_VALUE"""),"Новый")</f>
        <v>Новый</v>
      </c>
      <c r="G6721" s="68"/>
      <c r="K6721" s="68"/>
    </row>
    <row r="6722" spans="1:11" ht="12.75">
      <c r="A6722" s="69">
        <f ca="1">IFERROR(__xludf.DUMMYFUNCTION("""COMPUTED_VALUE"""),108094)</f>
        <v>108094</v>
      </c>
      <c r="B6722" s="4">
        <f ca="1">IFERROR(__xludf.DUMMYFUNCTION("""COMPUTED_VALUE"""),44832)</f>
        <v>44832</v>
      </c>
      <c r="C6722" t="str">
        <f ca="1">IFERROR(__xludf.DUMMYFUNCTION("""COMPUTED_VALUE"""),"ИП Меньщиков Дмитрий Сергеевич 182-СТР от 28.09.2022")</f>
        <v>ИП Меньщиков Дмитрий Сергеевич 182-СТР от 28.09.2022</v>
      </c>
      <c r="D67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2" t="str">
        <f ca="1">IFERROR(__xludf.DUMMYFUNCTION("""COMPUTED_VALUE"""),"Новый")</f>
        <v>Новый</v>
      </c>
      <c r="G6722" s="68"/>
      <c r="K6722" s="68"/>
    </row>
    <row r="6723" spans="1:11" ht="12.75">
      <c r="A6723" s="69">
        <f ca="1">IFERROR(__xludf.DUMMYFUNCTION("""COMPUTED_VALUE"""),108095)</f>
        <v>108095</v>
      </c>
      <c r="B6723" s="4">
        <f ca="1">IFERROR(__xludf.DUMMYFUNCTION("""COMPUTED_VALUE"""),44832)</f>
        <v>44832</v>
      </c>
      <c r="C6723" t="str">
        <f ca="1">IFERROR(__xludf.DUMMYFUNCTION("""COMPUTED_VALUE"""),"ИП Меньщиков Дмитрий Сергеевич 182-СТР от 28.09.2022")</f>
        <v>ИП Меньщиков Дмитрий Сергеевич 182-СТР от 28.09.2022</v>
      </c>
      <c r="D67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3" t="str">
        <f ca="1">IFERROR(__xludf.DUMMYFUNCTION("""COMPUTED_VALUE"""),"Новый")</f>
        <v>Новый</v>
      </c>
      <c r="G6723" s="68"/>
      <c r="K6723" s="68"/>
    </row>
    <row r="6724" spans="1:11" ht="12.75">
      <c r="A6724" s="69">
        <f ca="1">IFERROR(__xludf.DUMMYFUNCTION("""COMPUTED_VALUE"""),108096)</f>
        <v>108096</v>
      </c>
      <c r="B6724" s="4">
        <f ca="1">IFERROR(__xludf.DUMMYFUNCTION("""COMPUTED_VALUE"""),44832)</f>
        <v>44832</v>
      </c>
      <c r="C6724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4" t="str">
        <f ca="1">IFERROR(__xludf.DUMMYFUNCTION("""COMPUTED_VALUE"""),"Новый")</f>
        <v>Новый</v>
      </c>
      <c r="G6724" s="68"/>
      <c r="K6724" s="68"/>
    </row>
    <row r="6725" spans="1:11" ht="12.75">
      <c r="A6725" s="69">
        <f ca="1">IFERROR(__xludf.DUMMYFUNCTION("""COMPUTED_VALUE"""),108097)</f>
        <v>108097</v>
      </c>
      <c r="B6725" s="4">
        <f ca="1">IFERROR(__xludf.DUMMYFUNCTION("""COMPUTED_VALUE"""),44832)</f>
        <v>44832</v>
      </c>
      <c r="C6725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5" t="str">
        <f ca="1">IFERROR(__xludf.DUMMYFUNCTION("""COMPUTED_VALUE"""),"Новый")</f>
        <v>Новый</v>
      </c>
      <c r="G6725" s="68"/>
      <c r="K6725" s="68"/>
    </row>
    <row r="6726" spans="1:11" ht="12.75">
      <c r="A6726" s="69">
        <f ca="1">IFERROR(__xludf.DUMMYFUNCTION("""COMPUTED_VALUE"""),108098)</f>
        <v>108098</v>
      </c>
      <c r="B6726" s="4">
        <f ca="1">IFERROR(__xludf.DUMMYFUNCTION("""COMPUTED_VALUE"""),44832)</f>
        <v>44832</v>
      </c>
      <c r="C6726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6" t="str">
        <f ca="1">IFERROR(__xludf.DUMMYFUNCTION("""COMPUTED_VALUE"""),"Новый")</f>
        <v>Новый</v>
      </c>
      <c r="G6726" s="68"/>
      <c r="K6726" s="68"/>
    </row>
    <row r="6727" spans="1:11" ht="12.75">
      <c r="A6727" s="69">
        <f ca="1">IFERROR(__xludf.DUMMYFUNCTION("""COMPUTED_VALUE"""),108099)</f>
        <v>108099</v>
      </c>
      <c r="B6727" s="4">
        <f ca="1">IFERROR(__xludf.DUMMYFUNCTION("""COMPUTED_VALUE"""),44832)</f>
        <v>44832</v>
      </c>
      <c r="C6727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7" t="str">
        <f ca="1">IFERROR(__xludf.DUMMYFUNCTION("""COMPUTED_VALUE"""),"Новый")</f>
        <v>Новый</v>
      </c>
      <c r="G6727" s="68"/>
      <c r="K6727" s="68"/>
    </row>
    <row r="6728" spans="1:11" ht="12.75">
      <c r="A6728" s="69">
        <f ca="1">IFERROR(__xludf.DUMMYFUNCTION("""COMPUTED_VALUE"""),108100)</f>
        <v>108100</v>
      </c>
      <c r="B6728" s="4">
        <f ca="1">IFERROR(__xludf.DUMMYFUNCTION("""COMPUTED_VALUE"""),44832)</f>
        <v>44832</v>
      </c>
      <c r="C6728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8" t="str">
        <f ca="1">IFERROR(__xludf.DUMMYFUNCTION("""COMPUTED_VALUE"""),"Новый")</f>
        <v>Новый</v>
      </c>
      <c r="G6728" s="68"/>
      <c r="K6728" s="68"/>
    </row>
    <row r="6729" spans="1:11" ht="12.75">
      <c r="A6729" s="69">
        <f ca="1">IFERROR(__xludf.DUMMYFUNCTION("""COMPUTED_VALUE"""),108101)</f>
        <v>108101</v>
      </c>
      <c r="B6729" s="4">
        <f ca="1">IFERROR(__xludf.DUMMYFUNCTION("""COMPUTED_VALUE"""),44832)</f>
        <v>44832</v>
      </c>
      <c r="C6729" t="str">
        <f ca="1">IFERROR(__xludf.DUMMYFUNCTION("""COMPUTED_VALUE"""),"ФЛ Матвиенко Владимир Федорович 174-СТР от 24.08.2022")</f>
        <v>ФЛ Матвиенко Владимир Федорович 174-СТР от 24.08.2022</v>
      </c>
      <c r="D67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29" t="str">
        <f ca="1">IFERROR(__xludf.DUMMYFUNCTION("""COMPUTED_VALUE"""),"Новый")</f>
        <v>Новый</v>
      </c>
      <c r="G6729" s="68"/>
      <c r="K6729" s="68"/>
    </row>
    <row r="6730" spans="1:11" ht="12.75">
      <c r="A6730" s="69">
        <f ca="1">IFERROR(__xludf.DUMMYFUNCTION("""COMPUTED_VALUE"""),108102)</f>
        <v>108102</v>
      </c>
      <c r="B6730" s="4">
        <f ca="1">IFERROR(__xludf.DUMMYFUNCTION("""COMPUTED_VALUE"""),44833)</f>
        <v>44833</v>
      </c>
      <c r="C6730" t="str">
        <f ca="1">IFERROR(__xludf.DUMMYFUNCTION("""COMPUTED_VALUE"""),"ООО ""БЛАГОУСТРОЙСТВО"" 152-СТР от 22.07.2022")</f>
        <v>ООО "БЛАГОУСТРОЙСТВО" 152-СТР от 22.07.2022</v>
      </c>
      <c r="D67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0" t="str">
        <f ca="1">IFERROR(__xludf.DUMMYFUNCTION("""COMPUTED_VALUE"""),"Новый")</f>
        <v>Новый</v>
      </c>
      <c r="G6730" s="68"/>
      <c r="K6730" s="68"/>
    </row>
    <row r="6731" spans="1:11" ht="12.75">
      <c r="A6731" s="69">
        <f ca="1">IFERROR(__xludf.DUMMYFUNCTION("""COMPUTED_VALUE"""),108103)</f>
        <v>108103</v>
      </c>
      <c r="B6731" s="4">
        <f ca="1">IFERROR(__xludf.DUMMYFUNCTION("""COMPUTED_VALUE"""),44833)</f>
        <v>44833</v>
      </c>
      <c r="C6731" t="str">
        <f ca="1">IFERROR(__xludf.DUMMYFUNCTION("""COMPUTED_VALUE"""),"ООО ""БЛАГОУСТРОЙСТВО"" 152-СТР от 22.07.2022")</f>
        <v>ООО "БЛАГОУСТРОЙСТВО" 152-СТР от 22.07.2022</v>
      </c>
      <c r="D67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1" t="str">
        <f ca="1">IFERROR(__xludf.DUMMYFUNCTION("""COMPUTED_VALUE"""),"Новый")</f>
        <v>Новый</v>
      </c>
      <c r="G6731" s="68"/>
      <c r="K6731" s="68"/>
    </row>
    <row r="6732" spans="1:11" ht="12.75">
      <c r="A6732" s="69">
        <f ca="1">IFERROR(__xludf.DUMMYFUNCTION("""COMPUTED_VALUE"""),108104)</f>
        <v>108104</v>
      </c>
      <c r="B6732" s="4">
        <f ca="1">IFERROR(__xludf.DUMMYFUNCTION("""COMPUTED_VALUE"""),44833)</f>
        <v>44833</v>
      </c>
      <c r="C6732" t="str">
        <f ca="1">IFERROR(__xludf.DUMMYFUNCTION("""COMPUTED_VALUE"""),"ООО ""БЛАГОУСТРОЙСТВО"" 152-СТР от 22.07.2022")</f>
        <v>ООО "БЛАГОУСТРОЙСТВО" 152-СТР от 22.07.2022</v>
      </c>
      <c r="D67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2" t="str">
        <f ca="1">IFERROR(__xludf.DUMMYFUNCTION("""COMPUTED_VALUE"""),"Новый")</f>
        <v>Новый</v>
      </c>
      <c r="G6732" s="68"/>
      <c r="K6732" s="68"/>
    </row>
    <row r="6733" spans="1:11" ht="12.75">
      <c r="A6733" s="69">
        <f ca="1">IFERROR(__xludf.DUMMYFUNCTION("""COMPUTED_VALUE"""),108105)</f>
        <v>108105</v>
      </c>
      <c r="B6733" s="4">
        <f ca="1">IFERROR(__xludf.DUMMYFUNCTION("""COMPUTED_VALUE"""),44833)</f>
        <v>44833</v>
      </c>
      <c r="C6733" t="str">
        <f ca="1">IFERROR(__xludf.DUMMYFUNCTION("""COMPUTED_VALUE"""),"ООО ""БЛАГОУСТРОЙСТВО"" 152-СТР от 22.07.2022")</f>
        <v>ООО "БЛАГОУСТРОЙСТВО" 152-СТР от 22.07.2022</v>
      </c>
      <c r="D67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3" t="str">
        <f ca="1">IFERROR(__xludf.DUMMYFUNCTION("""COMPUTED_VALUE"""),"Новый")</f>
        <v>Новый</v>
      </c>
      <c r="G6733" s="68"/>
      <c r="K6733" s="68"/>
    </row>
    <row r="6734" spans="1:11" ht="12.75">
      <c r="A6734" s="69">
        <f ca="1">IFERROR(__xludf.DUMMYFUNCTION("""COMPUTED_VALUE"""),108106)</f>
        <v>108106</v>
      </c>
      <c r="B6734" s="4">
        <f ca="1">IFERROR(__xludf.DUMMYFUNCTION("""COMPUTED_VALUE"""),44833)</f>
        <v>44833</v>
      </c>
      <c r="C6734" t="str">
        <f ca="1">IFERROR(__xludf.DUMMYFUNCTION("""COMPUTED_VALUE"""),"ООО ""БЛАГОУСТРОЙСТВО"" 152-СТР от 22.07.2022")</f>
        <v>ООО "БЛАГОУСТРОЙСТВО" 152-СТР от 22.07.2022</v>
      </c>
      <c r="D67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4" t="str">
        <f ca="1">IFERROR(__xludf.DUMMYFUNCTION("""COMPUTED_VALUE"""),"Новый")</f>
        <v>Новый</v>
      </c>
      <c r="G6734" s="68"/>
      <c r="K6734" s="68"/>
    </row>
    <row r="6735" spans="1:11" ht="12.75">
      <c r="A6735" s="69">
        <f ca="1">IFERROR(__xludf.DUMMYFUNCTION("""COMPUTED_VALUE"""),108107)</f>
        <v>108107</v>
      </c>
      <c r="B6735" s="4">
        <f ca="1">IFERROR(__xludf.DUMMYFUNCTION("""COMPUTED_VALUE"""),44833)</f>
        <v>44833</v>
      </c>
      <c r="C6735" t="str">
        <f ca="1">IFERROR(__xludf.DUMMYFUNCTION("""COMPUTED_VALUE"""),"ООО ""БЛАГОУСТРОЙСТВО"" 152-СТР от 22.07.2022")</f>
        <v>ООО "БЛАГОУСТРОЙСТВО" 152-СТР от 22.07.2022</v>
      </c>
      <c r="D67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5" t="str">
        <f ca="1">IFERROR(__xludf.DUMMYFUNCTION("""COMPUTED_VALUE"""),"Новый")</f>
        <v>Новый</v>
      </c>
      <c r="G6735" s="68"/>
      <c r="K6735" s="68"/>
    </row>
    <row r="6736" spans="1:11" ht="12.75">
      <c r="A6736" s="69">
        <f ca="1">IFERROR(__xludf.DUMMYFUNCTION("""COMPUTED_VALUE"""),108108)</f>
        <v>108108</v>
      </c>
      <c r="B6736" s="4">
        <f ca="1">IFERROR(__xludf.DUMMYFUNCTION("""COMPUTED_VALUE"""),44833)</f>
        <v>44833</v>
      </c>
      <c r="C6736" t="str">
        <f ca="1">IFERROR(__xludf.DUMMYFUNCTION("""COMPUTED_VALUE"""),"ООО ""БЛАГОУСТРОЙСТВО"" 152-СТР от 22.07.2022")</f>
        <v>ООО "БЛАГОУСТРОЙСТВО" 152-СТР от 22.07.2022</v>
      </c>
      <c r="D67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6" t="str">
        <f ca="1">IFERROR(__xludf.DUMMYFUNCTION("""COMPUTED_VALUE"""),"Новый")</f>
        <v>Новый</v>
      </c>
      <c r="G6736" s="68"/>
      <c r="K6736" s="68"/>
    </row>
    <row r="6737" spans="1:11" ht="12.75">
      <c r="A6737" s="69">
        <f ca="1">IFERROR(__xludf.DUMMYFUNCTION("""COMPUTED_VALUE"""),108109)</f>
        <v>108109</v>
      </c>
      <c r="B6737" s="4">
        <f ca="1">IFERROR(__xludf.DUMMYFUNCTION("""COMPUTED_VALUE"""),44833)</f>
        <v>44833</v>
      </c>
      <c r="C6737" t="str">
        <f ca="1">IFERROR(__xludf.DUMMYFUNCTION("""COMPUTED_VALUE"""),"ООО ""БЛАГОУСТРОЙСТВО"" 152-СТР от 22.07.2022")</f>
        <v>ООО "БЛАГОУСТРОЙСТВО" 152-СТР от 22.07.2022</v>
      </c>
      <c r="D67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7" t="str">
        <f ca="1">IFERROR(__xludf.DUMMYFUNCTION("""COMPUTED_VALUE"""),"Новый")</f>
        <v>Новый</v>
      </c>
      <c r="G6737" s="68"/>
      <c r="K6737" s="68"/>
    </row>
    <row r="6738" spans="1:11" ht="12.75">
      <c r="A6738" s="69">
        <f ca="1">IFERROR(__xludf.DUMMYFUNCTION("""COMPUTED_VALUE"""),108110)</f>
        <v>108110</v>
      </c>
      <c r="B6738" s="4">
        <f ca="1">IFERROR(__xludf.DUMMYFUNCTION("""COMPUTED_VALUE"""),44833)</f>
        <v>44833</v>
      </c>
      <c r="C6738" t="str">
        <f ca="1">IFERROR(__xludf.DUMMYFUNCTION("""COMPUTED_VALUE"""),"ООО ""БЛАГОУСТРОЙСТВО"" 152-СТР от 22.07.2022")</f>
        <v>ООО "БЛАГОУСТРОЙСТВО" 152-СТР от 22.07.2022</v>
      </c>
      <c r="D67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8" t="str">
        <f ca="1">IFERROR(__xludf.DUMMYFUNCTION("""COMPUTED_VALUE"""),"Новый")</f>
        <v>Новый</v>
      </c>
      <c r="G6738" s="68"/>
      <c r="K6738" s="68"/>
    </row>
    <row r="6739" spans="1:11" ht="12.75">
      <c r="A6739" s="69">
        <f ca="1">IFERROR(__xludf.DUMMYFUNCTION("""COMPUTED_VALUE"""),108111)</f>
        <v>108111</v>
      </c>
      <c r="B6739" s="4">
        <f ca="1">IFERROR(__xludf.DUMMYFUNCTION("""COMPUTED_VALUE"""),44833)</f>
        <v>44833</v>
      </c>
      <c r="C6739" t="str">
        <f ca="1">IFERROR(__xludf.DUMMYFUNCTION("""COMPUTED_VALUE"""),"ООО ""БЛАГОУСТРОЙСТВО"" 152-СТР от 22.07.2022")</f>
        <v>ООО "БЛАГОУСТРОЙСТВО" 152-СТР от 22.07.2022</v>
      </c>
      <c r="D67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39" t="str">
        <f ca="1">IFERROR(__xludf.DUMMYFUNCTION("""COMPUTED_VALUE"""),"Новый")</f>
        <v>Новый</v>
      </c>
      <c r="G6739" s="68"/>
      <c r="K6739" s="68"/>
    </row>
    <row r="6740" spans="1:11" ht="12.75">
      <c r="A6740" s="69">
        <f ca="1">IFERROR(__xludf.DUMMYFUNCTION("""COMPUTED_VALUE"""),108112)</f>
        <v>108112</v>
      </c>
      <c r="B6740" s="4">
        <f ca="1">IFERROR(__xludf.DUMMYFUNCTION("""COMPUTED_VALUE"""),44833)</f>
        <v>44833</v>
      </c>
      <c r="C6740" t="str">
        <f ca="1">IFERROR(__xludf.DUMMYFUNCTION("""COMPUTED_VALUE"""),"ООО ""БЛАГОУСТРОЙСТВО"" 152-СТР от 22.07.2022")</f>
        <v>ООО "БЛАГОУСТРОЙСТВО" 152-СТР от 22.07.2022</v>
      </c>
      <c r="D67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0" t="str">
        <f ca="1">IFERROR(__xludf.DUMMYFUNCTION("""COMPUTED_VALUE"""),"Новый")</f>
        <v>Новый</v>
      </c>
      <c r="G6740" s="68"/>
      <c r="K6740" s="68"/>
    </row>
    <row r="6741" spans="1:11" ht="12.75">
      <c r="A6741" s="69">
        <f ca="1">IFERROR(__xludf.DUMMYFUNCTION("""COMPUTED_VALUE"""),108113)</f>
        <v>108113</v>
      </c>
      <c r="B6741" s="4">
        <f ca="1">IFERROR(__xludf.DUMMYFUNCTION("""COMPUTED_VALUE"""),44833)</f>
        <v>44833</v>
      </c>
      <c r="C6741" t="str">
        <f ca="1">IFERROR(__xludf.DUMMYFUNCTION("""COMPUTED_VALUE"""),"ООО ""БЛАГОУСТРОЙСТВО"" 152-СТР от 22.07.2022")</f>
        <v>ООО "БЛАГОУСТРОЙСТВО" 152-СТР от 22.07.2022</v>
      </c>
      <c r="D67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1" t="str">
        <f ca="1">IFERROR(__xludf.DUMMYFUNCTION("""COMPUTED_VALUE"""),"Новый")</f>
        <v>Новый</v>
      </c>
      <c r="G6741" s="68"/>
      <c r="K6741" s="68"/>
    </row>
    <row r="6742" spans="1:11" ht="12.75">
      <c r="A6742" s="69">
        <f ca="1">IFERROR(__xludf.DUMMYFUNCTION("""COMPUTED_VALUE"""),108114)</f>
        <v>108114</v>
      </c>
      <c r="B6742" s="4">
        <f ca="1">IFERROR(__xludf.DUMMYFUNCTION("""COMPUTED_VALUE"""),44833)</f>
        <v>44833</v>
      </c>
      <c r="C6742" t="str">
        <f ca="1">IFERROR(__xludf.DUMMYFUNCTION("""COMPUTED_VALUE"""),"ООО ""БЛАГОУСТРОЙСТВО"" 152-СТР от 22.07.2022")</f>
        <v>ООО "БЛАГОУСТРОЙСТВО" 152-СТР от 22.07.2022</v>
      </c>
      <c r="D67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2" t="str">
        <f ca="1">IFERROR(__xludf.DUMMYFUNCTION("""COMPUTED_VALUE"""),"Новый")</f>
        <v>Новый</v>
      </c>
      <c r="G6742" s="68"/>
      <c r="K6742" s="68"/>
    </row>
    <row r="6743" spans="1:11" ht="12.75">
      <c r="A6743" s="69">
        <f ca="1">IFERROR(__xludf.DUMMYFUNCTION("""COMPUTED_VALUE"""),108115)</f>
        <v>108115</v>
      </c>
      <c r="B6743" s="4">
        <f ca="1">IFERROR(__xludf.DUMMYFUNCTION("""COMPUTED_VALUE"""),44833)</f>
        <v>44833</v>
      </c>
      <c r="C6743" t="str">
        <f ca="1">IFERROR(__xludf.DUMMYFUNCTION("""COMPUTED_VALUE"""),"ООО ""БЛАГОУСТРОЙСТВО"" 152-СТР от 22.07.2022")</f>
        <v>ООО "БЛАГОУСТРОЙСТВО" 152-СТР от 22.07.2022</v>
      </c>
      <c r="D67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3" t="str">
        <f ca="1">IFERROR(__xludf.DUMMYFUNCTION("""COMPUTED_VALUE"""),"Новый")</f>
        <v>Новый</v>
      </c>
      <c r="G6743" s="68"/>
      <c r="K6743" s="68"/>
    </row>
    <row r="6744" spans="1:11" ht="12.75">
      <c r="A6744" s="69">
        <f ca="1">IFERROR(__xludf.DUMMYFUNCTION("""COMPUTED_VALUE"""),108116)</f>
        <v>108116</v>
      </c>
      <c r="B6744" s="4">
        <f ca="1">IFERROR(__xludf.DUMMYFUNCTION("""COMPUTED_VALUE"""),44833)</f>
        <v>44833</v>
      </c>
      <c r="C6744" t="str">
        <f ca="1">IFERROR(__xludf.DUMMYFUNCTION("""COMPUTED_VALUE"""),"ООО ""БЛАГОУСТРОЙСТВО"" 152-СТР от 22.07.2022")</f>
        <v>ООО "БЛАГОУСТРОЙСТВО" 152-СТР от 22.07.2022</v>
      </c>
      <c r="D67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4" t="str">
        <f ca="1">IFERROR(__xludf.DUMMYFUNCTION("""COMPUTED_VALUE"""),"Новый")</f>
        <v>Новый</v>
      </c>
      <c r="G6744" s="68"/>
      <c r="K6744" s="68"/>
    </row>
    <row r="6745" spans="1:11" ht="12.75">
      <c r="A6745" s="69">
        <f ca="1">IFERROR(__xludf.DUMMYFUNCTION("""COMPUTED_VALUE"""),108117)</f>
        <v>108117</v>
      </c>
      <c r="B6745" s="4">
        <f ca="1">IFERROR(__xludf.DUMMYFUNCTION("""COMPUTED_VALUE"""),44833)</f>
        <v>44833</v>
      </c>
      <c r="C6745" t="str">
        <f ca="1">IFERROR(__xludf.DUMMYFUNCTION("""COMPUTED_VALUE"""),"ООО ""БЛАГОУСТРОЙСТВО"" 152-СТР от 22.07.2022")</f>
        <v>ООО "БЛАГОУСТРОЙСТВО" 152-СТР от 22.07.2022</v>
      </c>
      <c r="D67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5" t="str">
        <f ca="1">IFERROR(__xludf.DUMMYFUNCTION("""COMPUTED_VALUE"""),"Новый")</f>
        <v>Новый</v>
      </c>
      <c r="G6745" s="68"/>
      <c r="K6745" s="68"/>
    </row>
    <row r="6746" spans="1:11" ht="12.75">
      <c r="A6746" s="69">
        <f ca="1">IFERROR(__xludf.DUMMYFUNCTION("""COMPUTED_VALUE"""),108118)</f>
        <v>108118</v>
      </c>
      <c r="B6746" s="4">
        <f ca="1">IFERROR(__xludf.DUMMYFUNCTION("""COMPUTED_VALUE"""),44833)</f>
        <v>44833</v>
      </c>
      <c r="C6746" t="str">
        <f ca="1">IFERROR(__xludf.DUMMYFUNCTION("""COMPUTED_VALUE"""),"ООО ""БЛАГОУСТРОЙСТВО"" 152-СТР от 22.07.2022")</f>
        <v>ООО "БЛАГОУСТРОЙСТВО" 152-СТР от 22.07.2022</v>
      </c>
      <c r="D67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6" t="str">
        <f ca="1">IFERROR(__xludf.DUMMYFUNCTION("""COMPUTED_VALUE"""),"Новый")</f>
        <v>Новый</v>
      </c>
      <c r="G6746" s="68"/>
      <c r="K6746" s="68"/>
    </row>
    <row r="6747" spans="1:11" ht="12.75">
      <c r="A6747" s="69">
        <f ca="1">IFERROR(__xludf.DUMMYFUNCTION("""COMPUTED_VALUE"""),108119)</f>
        <v>108119</v>
      </c>
      <c r="B6747" s="4">
        <f ca="1">IFERROR(__xludf.DUMMYFUNCTION("""COMPUTED_VALUE"""),44833)</f>
        <v>44833</v>
      </c>
      <c r="C6747" t="str">
        <f ca="1">IFERROR(__xludf.DUMMYFUNCTION("""COMPUTED_VALUE"""),"ООО ""БЛАГОУСТРОЙСТВО"" 152-СТР от 22.07.2022")</f>
        <v>ООО "БЛАГОУСТРОЙСТВО" 152-СТР от 22.07.2022</v>
      </c>
      <c r="D67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7" t="str">
        <f ca="1">IFERROR(__xludf.DUMMYFUNCTION("""COMPUTED_VALUE"""),"Новый")</f>
        <v>Новый</v>
      </c>
      <c r="G6747" s="68"/>
      <c r="K6747" s="68"/>
    </row>
    <row r="6748" spans="1:11" ht="12.75">
      <c r="A6748" s="69">
        <f ca="1">IFERROR(__xludf.DUMMYFUNCTION("""COMPUTED_VALUE"""),108120)</f>
        <v>108120</v>
      </c>
      <c r="B6748" s="4">
        <f ca="1">IFERROR(__xludf.DUMMYFUNCTION("""COMPUTED_VALUE"""),44833)</f>
        <v>44833</v>
      </c>
      <c r="C6748" t="str">
        <f ca="1">IFERROR(__xludf.DUMMYFUNCTION("""COMPUTED_VALUE"""),"ООО ""БЛАГОУСТРОЙСТВО"" 152-СТР от 22.07.2022")</f>
        <v>ООО "БЛАГОУСТРОЙСТВО" 152-СТР от 22.07.2022</v>
      </c>
      <c r="D67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8" t="str">
        <f ca="1">IFERROR(__xludf.DUMMYFUNCTION("""COMPUTED_VALUE"""),"Новый")</f>
        <v>Новый</v>
      </c>
      <c r="G6748" s="68"/>
      <c r="K6748" s="68"/>
    </row>
    <row r="6749" spans="1:11" ht="12.75">
      <c r="A6749" s="69">
        <f ca="1">IFERROR(__xludf.DUMMYFUNCTION("""COMPUTED_VALUE"""),108121)</f>
        <v>108121</v>
      </c>
      <c r="B6749" s="4">
        <f ca="1">IFERROR(__xludf.DUMMYFUNCTION("""COMPUTED_VALUE"""),44833)</f>
        <v>44833</v>
      </c>
      <c r="C6749" t="str">
        <f ca="1">IFERROR(__xludf.DUMMYFUNCTION("""COMPUTED_VALUE"""),"ООО ""БЛАГОУСТРОЙСТВО"" 152-СТР от 22.07.2022")</f>
        <v>ООО "БЛАГОУСТРОЙСТВО" 152-СТР от 22.07.2022</v>
      </c>
      <c r="D67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49" t="str">
        <f ca="1">IFERROR(__xludf.DUMMYFUNCTION("""COMPUTED_VALUE"""),"Новый")</f>
        <v>Новый</v>
      </c>
      <c r="G6749" s="68"/>
      <c r="K6749" s="68"/>
    </row>
    <row r="6750" spans="1:11" ht="12.75">
      <c r="A6750" s="69">
        <f ca="1">IFERROR(__xludf.DUMMYFUNCTION("""COMPUTED_VALUE"""),108122)</f>
        <v>108122</v>
      </c>
      <c r="B6750" s="4">
        <f ca="1">IFERROR(__xludf.DUMMYFUNCTION("""COMPUTED_VALUE"""),44833)</f>
        <v>44833</v>
      </c>
      <c r="C6750" t="str">
        <f ca="1">IFERROR(__xludf.DUMMYFUNCTION("""COMPUTED_VALUE"""),"ООО ""БЛАГОУСТРОЙСТВО"" 152-СТР от 22.07.2022")</f>
        <v>ООО "БЛАГОУСТРОЙСТВО" 152-СТР от 22.07.2022</v>
      </c>
      <c r="D67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0" t="str">
        <f ca="1">IFERROR(__xludf.DUMMYFUNCTION("""COMPUTED_VALUE"""),"Новый")</f>
        <v>Новый</v>
      </c>
      <c r="G6750" s="68"/>
      <c r="K6750" s="68"/>
    </row>
    <row r="6751" spans="1:11" ht="12.75">
      <c r="A6751" s="69">
        <f ca="1">IFERROR(__xludf.DUMMYFUNCTION("""COMPUTED_VALUE"""),108123)</f>
        <v>108123</v>
      </c>
      <c r="B6751" s="4">
        <f ca="1">IFERROR(__xludf.DUMMYFUNCTION("""COMPUTED_VALUE"""),44833)</f>
        <v>44833</v>
      </c>
      <c r="C6751" t="str">
        <f ca="1">IFERROR(__xludf.DUMMYFUNCTION("""COMPUTED_VALUE"""),"ООО ""БЛАГОУСТРОЙСТВО"" 152-СТР от 22.07.2022")</f>
        <v>ООО "БЛАГОУСТРОЙСТВО" 152-СТР от 22.07.2022</v>
      </c>
      <c r="D67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1" t="str">
        <f ca="1">IFERROR(__xludf.DUMMYFUNCTION("""COMPUTED_VALUE"""),"Новый")</f>
        <v>Новый</v>
      </c>
      <c r="G6751" s="68"/>
      <c r="K6751" s="68"/>
    </row>
    <row r="6752" spans="1:11" ht="12.75">
      <c r="A6752" s="69">
        <f ca="1">IFERROR(__xludf.DUMMYFUNCTION("""COMPUTED_VALUE"""),108124)</f>
        <v>108124</v>
      </c>
      <c r="B6752" s="4">
        <f ca="1">IFERROR(__xludf.DUMMYFUNCTION("""COMPUTED_VALUE"""),44833)</f>
        <v>44833</v>
      </c>
      <c r="C6752" t="str">
        <f ca="1">IFERROR(__xludf.DUMMYFUNCTION("""COMPUTED_VALUE"""),"ООО ""БЛАГОУСТРОЙСТВО"" 152-СТР от 22.07.2022")</f>
        <v>ООО "БЛАГОУСТРОЙСТВО" 152-СТР от 22.07.2022</v>
      </c>
      <c r="D67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2" t="str">
        <f ca="1">IFERROR(__xludf.DUMMYFUNCTION("""COMPUTED_VALUE"""),"Новый")</f>
        <v>Новый</v>
      </c>
      <c r="G6752" s="68"/>
      <c r="K6752" s="68"/>
    </row>
    <row r="6753" spans="1:11" ht="12.75">
      <c r="A6753" s="69">
        <f ca="1">IFERROR(__xludf.DUMMYFUNCTION("""COMPUTED_VALUE"""),108125)</f>
        <v>108125</v>
      </c>
      <c r="B6753" s="4">
        <f ca="1">IFERROR(__xludf.DUMMYFUNCTION("""COMPUTED_VALUE"""),44833)</f>
        <v>44833</v>
      </c>
      <c r="C6753" t="str">
        <f ca="1">IFERROR(__xludf.DUMMYFUNCTION("""COMPUTED_VALUE"""),"ООО ""БЛАГОУСТРОЙСТВО"" 152-СТР от 22.07.2022")</f>
        <v>ООО "БЛАГОУСТРОЙСТВО" 152-СТР от 22.07.2022</v>
      </c>
      <c r="D67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3" t="str">
        <f ca="1">IFERROR(__xludf.DUMMYFUNCTION("""COMPUTED_VALUE"""),"Новый")</f>
        <v>Новый</v>
      </c>
      <c r="G6753" s="68"/>
      <c r="K6753" s="68"/>
    </row>
    <row r="6754" spans="1:11" ht="12.75">
      <c r="A6754" s="69">
        <f ca="1">IFERROR(__xludf.DUMMYFUNCTION("""COMPUTED_VALUE"""),108126)</f>
        <v>108126</v>
      </c>
      <c r="B6754" s="4">
        <f ca="1">IFERROR(__xludf.DUMMYFUNCTION("""COMPUTED_VALUE"""),44833)</f>
        <v>44833</v>
      </c>
      <c r="C6754" t="str">
        <f ca="1">IFERROR(__xludf.DUMMYFUNCTION("""COMPUTED_VALUE"""),"ООО ""БЛАГОУСТРОЙСТВО"" 152-СТР от 22.07.2022")</f>
        <v>ООО "БЛАГОУСТРОЙСТВО" 152-СТР от 22.07.2022</v>
      </c>
      <c r="D67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4" t="str">
        <f ca="1">IFERROR(__xludf.DUMMYFUNCTION("""COMPUTED_VALUE"""),"Новый")</f>
        <v>Новый</v>
      </c>
      <c r="G6754" s="68"/>
      <c r="K6754" s="68"/>
    </row>
    <row r="6755" spans="1:11" ht="12.75">
      <c r="A6755" s="69">
        <f ca="1">IFERROR(__xludf.DUMMYFUNCTION("""COMPUTED_VALUE"""),108127)</f>
        <v>108127</v>
      </c>
      <c r="B6755" s="4">
        <f ca="1">IFERROR(__xludf.DUMMYFUNCTION("""COMPUTED_VALUE"""),44833)</f>
        <v>44833</v>
      </c>
      <c r="C6755" t="str">
        <f ca="1">IFERROR(__xludf.DUMMYFUNCTION("""COMPUTED_VALUE"""),"ООО ""БЛАГОУСТРОЙСТВО"" 152-СТР от 22.07.2022")</f>
        <v>ООО "БЛАГОУСТРОЙСТВО" 152-СТР от 22.07.2022</v>
      </c>
      <c r="D67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5" t="str">
        <f ca="1">IFERROR(__xludf.DUMMYFUNCTION("""COMPUTED_VALUE"""),"Новый")</f>
        <v>Новый</v>
      </c>
      <c r="G6755" s="68"/>
      <c r="K6755" s="68"/>
    </row>
    <row r="6756" spans="1:11" ht="12.75">
      <c r="A6756" s="69">
        <f ca="1">IFERROR(__xludf.DUMMYFUNCTION("""COMPUTED_VALUE"""),108128)</f>
        <v>108128</v>
      </c>
      <c r="B6756" s="4">
        <f ca="1">IFERROR(__xludf.DUMMYFUNCTION("""COMPUTED_VALUE"""),44833)</f>
        <v>44833</v>
      </c>
      <c r="C6756" t="str">
        <f ca="1">IFERROR(__xludf.DUMMYFUNCTION("""COMPUTED_VALUE"""),"ООО ""БЛАГОУСТРОЙСТВО"" 152-СТР от 22.07.2022")</f>
        <v>ООО "БЛАГОУСТРОЙСТВО" 152-СТР от 22.07.2022</v>
      </c>
      <c r="D67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6" t="str">
        <f ca="1">IFERROR(__xludf.DUMMYFUNCTION("""COMPUTED_VALUE"""),"Новый")</f>
        <v>Новый</v>
      </c>
      <c r="G6756" s="68"/>
      <c r="K6756" s="68"/>
    </row>
    <row r="6757" spans="1:11" ht="12.75">
      <c r="A6757" s="69">
        <f ca="1">IFERROR(__xludf.DUMMYFUNCTION("""COMPUTED_VALUE"""),108129)</f>
        <v>108129</v>
      </c>
      <c r="B6757" s="4">
        <f ca="1">IFERROR(__xludf.DUMMYFUNCTION("""COMPUTED_VALUE"""),44833)</f>
        <v>44833</v>
      </c>
      <c r="C6757" t="str">
        <f ca="1">IFERROR(__xludf.DUMMYFUNCTION("""COMPUTED_VALUE"""),"ООО ""БЛАГОУСТРОЙСТВО"" 152-СТР от 22.07.2022")</f>
        <v>ООО "БЛАГОУСТРОЙСТВО" 152-СТР от 22.07.2022</v>
      </c>
      <c r="D67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7" t="str">
        <f ca="1">IFERROR(__xludf.DUMMYFUNCTION("""COMPUTED_VALUE"""),"Новый")</f>
        <v>Новый</v>
      </c>
      <c r="G6757" s="68"/>
      <c r="K6757" s="68"/>
    </row>
    <row r="6758" spans="1:11" ht="12.75">
      <c r="A6758" s="69">
        <f ca="1">IFERROR(__xludf.DUMMYFUNCTION("""COMPUTED_VALUE"""),108130)</f>
        <v>108130</v>
      </c>
      <c r="B6758" s="4">
        <f ca="1">IFERROR(__xludf.DUMMYFUNCTION("""COMPUTED_VALUE"""),44833)</f>
        <v>44833</v>
      </c>
      <c r="C6758" t="str">
        <f ca="1">IFERROR(__xludf.DUMMYFUNCTION("""COMPUTED_VALUE"""),"ООО ""БЛАГОУСТРОЙСТВО"" 152-СТР от 22.07.2022")</f>
        <v>ООО "БЛАГОУСТРОЙСТВО" 152-СТР от 22.07.2022</v>
      </c>
      <c r="D67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8" t="str">
        <f ca="1">IFERROR(__xludf.DUMMYFUNCTION("""COMPUTED_VALUE"""),"Новый")</f>
        <v>Новый</v>
      </c>
      <c r="G6758" s="68"/>
      <c r="K6758" s="68"/>
    </row>
    <row r="6759" spans="1:11" ht="12.75">
      <c r="A6759" s="69">
        <f ca="1">IFERROR(__xludf.DUMMYFUNCTION("""COMPUTED_VALUE"""),108131)</f>
        <v>108131</v>
      </c>
      <c r="B6759" s="4">
        <f ca="1">IFERROR(__xludf.DUMMYFUNCTION("""COMPUTED_VALUE"""),44833)</f>
        <v>44833</v>
      </c>
      <c r="C6759" t="str">
        <f ca="1">IFERROR(__xludf.DUMMYFUNCTION("""COMPUTED_VALUE"""),"ООО ""БЛАГОУСТРОЙСТВО"" 152-СТР от 22.07.2022")</f>
        <v>ООО "БЛАГОУСТРОЙСТВО" 152-СТР от 22.07.2022</v>
      </c>
      <c r="D67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59" t="str">
        <f ca="1">IFERROR(__xludf.DUMMYFUNCTION("""COMPUTED_VALUE"""),"Новый")</f>
        <v>Новый</v>
      </c>
      <c r="G6759" s="68"/>
      <c r="K6759" s="68"/>
    </row>
    <row r="6760" spans="1:11" ht="12.75">
      <c r="A6760" s="69">
        <f ca="1">IFERROR(__xludf.DUMMYFUNCTION("""COMPUTED_VALUE"""),108132)</f>
        <v>108132</v>
      </c>
      <c r="B6760" s="4">
        <f ca="1">IFERROR(__xludf.DUMMYFUNCTION("""COMPUTED_VALUE"""),44833)</f>
        <v>44833</v>
      </c>
      <c r="C6760" t="str">
        <f ca="1">IFERROR(__xludf.DUMMYFUNCTION("""COMPUTED_VALUE"""),"ООО ""БЛАГОУСТРОЙСТВО"" 152-СТР от 22.07.2022")</f>
        <v>ООО "БЛАГОУСТРОЙСТВО" 152-СТР от 22.07.2022</v>
      </c>
      <c r="D67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0" t="str">
        <f ca="1">IFERROR(__xludf.DUMMYFUNCTION("""COMPUTED_VALUE"""),"Новый")</f>
        <v>Новый</v>
      </c>
      <c r="G6760" s="68"/>
      <c r="K6760" s="68"/>
    </row>
    <row r="6761" spans="1:11" ht="12.75">
      <c r="A6761" s="69">
        <f ca="1">IFERROR(__xludf.DUMMYFUNCTION("""COMPUTED_VALUE"""),108133)</f>
        <v>108133</v>
      </c>
      <c r="B6761" s="4">
        <f ca="1">IFERROR(__xludf.DUMMYFUNCTION("""COMPUTED_VALUE"""),44833)</f>
        <v>44833</v>
      </c>
      <c r="C6761" t="str">
        <f ca="1">IFERROR(__xludf.DUMMYFUNCTION("""COMPUTED_VALUE"""),"ООО ""БЛАГОУСТРОЙСТВО"" 152-СТР от 22.07.2022")</f>
        <v>ООО "БЛАГОУСТРОЙСТВО" 152-СТР от 22.07.2022</v>
      </c>
      <c r="D67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1" t="str">
        <f ca="1">IFERROR(__xludf.DUMMYFUNCTION("""COMPUTED_VALUE"""),"Новый")</f>
        <v>Новый</v>
      </c>
      <c r="G6761" s="68"/>
      <c r="K6761" s="68"/>
    </row>
    <row r="6762" spans="1:11" ht="12.75">
      <c r="A6762" s="69">
        <f ca="1">IFERROR(__xludf.DUMMYFUNCTION("""COMPUTED_VALUE"""),108134)</f>
        <v>108134</v>
      </c>
      <c r="B6762" s="4">
        <f ca="1">IFERROR(__xludf.DUMMYFUNCTION("""COMPUTED_VALUE"""),44833)</f>
        <v>44833</v>
      </c>
      <c r="C6762" t="str">
        <f ca="1">IFERROR(__xludf.DUMMYFUNCTION("""COMPUTED_VALUE"""),"ООО ""БЛАГОУСТРОЙСТВО"" 152-СТР от 22.07.2022")</f>
        <v>ООО "БЛАГОУСТРОЙСТВО" 152-СТР от 22.07.2022</v>
      </c>
      <c r="D67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2" t="str">
        <f ca="1">IFERROR(__xludf.DUMMYFUNCTION("""COMPUTED_VALUE"""),"Новый")</f>
        <v>Новый</v>
      </c>
      <c r="G6762" s="68"/>
      <c r="K6762" s="68"/>
    </row>
    <row r="6763" spans="1:11" ht="12.75">
      <c r="A6763" s="69">
        <f ca="1">IFERROR(__xludf.DUMMYFUNCTION("""COMPUTED_VALUE"""),108135)</f>
        <v>108135</v>
      </c>
      <c r="B6763" s="4">
        <f ca="1">IFERROR(__xludf.DUMMYFUNCTION("""COMPUTED_VALUE"""),44833)</f>
        <v>44833</v>
      </c>
      <c r="C6763" t="str">
        <f ca="1">IFERROR(__xludf.DUMMYFUNCTION("""COMPUTED_VALUE"""),"ООО ""БЛАГОУСТРОЙСТВО"" 152-СТР от 22.07.2022")</f>
        <v>ООО "БЛАГОУСТРОЙСТВО" 152-СТР от 22.07.2022</v>
      </c>
      <c r="D67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3" t="str">
        <f ca="1">IFERROR(__xludf.DUMMYFUNCTION("""COMPUTED_VALUE"""),"Новый")</f>
        <v>Новый</v>
      </c>
      <c r="G6763" s="68"/>
      <c r="K6763" s="68"/>
    </row>
    <row r="6764" spans="1:11" ht="12.75">
      <c r="A6764" s="69">
        <f ca="1">IFERROR(__xludf.DUMMYFUNCTION("""COMPUTED_VALUE"""),108136)</f>
        <v>108136</v>
      </c>
      <c r="B6764" s="4">
        <f ca="1">IFERROR(__xludf.DUMMYFUNCTION("""COMPUTED_VALUE"""),44833)</f>
        <v>44833</v>
      </c>
      <c r="C6764" t="str">
        <f ca="1">IFERROR(__xludf.DUMMYFUNCTION("""COMPUTED_VALUE"""),"ООО ""БЛАГОУСТРОЙСТВО"" 152-СТР от 22.07.2022")</f>
        <v>ООО "БЛАГОУСТРОЙСТВО" 152-СТР от 22.07.2022</v>
      </c>
      <c r="D67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4" t="str">
        <f ca="1">IFERROR(__xludf.DUMMYFUNCTION("""COMPUTED_VALUE"""),"Новый")</f>
        <v>Новый</v>
      </c>
      <c r="G6764" s="68"/>
      <c r="K6764" s="68"/>
    </row>
    <row r="6765" spans="1:11" ht="12.75">
      <c r="A6765" s="69">
        <f ca="1">IFERROR(__xludf.DUMMYFUNCTION("""COMPUTED_VALUE"""),108137)</f>
        <v>108137</v>
      </c>
      <c r="B6765" s="4">
        <f ca="1">IFERROR(__xludf.DUMMYFUNCTION("""COMPUTED_VALUE"""),44833)</f>
        <v>44833</v>
      </c>
      <c r="C6765" t="str">
        <f ca="1">IFERROR(__xludf.DUMMYFUNCTION("""COMPUTED_VALUE"""),"ООО ""БЛАГОУСТРОЙСТВО"" 152-СТР от 22.07.2022")</f>
        <v>ООО "БЛАГОУСТРОЙСТВО" 152-СТР от 22.07.2022</v>
      </c>
      <c r="D67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5" t="str">
        <f ca="1">IFERROR(__xludf.DUMMYFUNCTION("""COMPUTED_VALUE"""),"Новый")</f>
        <v>Новый</v>
      </c>
      <c r="G6765" s="68"/>
      <c r="K6765" s="68"/>
    </row>
    <row r="6766" spans="1:11" ht="12.75">
      <c r="A6766" s="69">
        <f ca="1">IFERROR(__xludf.DUMMYFUNCTION("""COMPUTED_VALUE"""),108138)</f>
        <v>108138</v>
      </c>
      <c r="B6766" s="4">
        <f ca="1">IFERROR(__xludf.DUMMYFUNCTION("""COMPUTED_VALUE"""),44833)</f>
        <v>44833</v>
      </c>
      <c r="C6766" t="str">
        <f ca="1">IFERROR(__xludf.DUMMYFUNCTION("""COMPUTED_VALUE"""),"ООО ""БЛАГОУСТРОЙСТВО"" 152-СТР от 22.07.2022")</f>
        <v>ООО "БЛАГОУСТРОЙСТВО" 152-СТР от 22.07.2022</v>
      </c>
      <c r="D67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6" t="str">
        <f ca="1">IFERROR(__xludf.DUMMYFUNCTION("""COMPUTED_VALUE"""),"Новый")</f>
        <v>Новый</v>
      </c>
      <c r="G6766" s="68"/>
      <c r="K6766" s="68"/>
    </row>
    <row r="6767" spans="1:11" ht="12.75">
      <c r="A6767" s="69">
        <f ca="1">IFERROR(__xludf.DUMMYFUNCTION("""COMPUTED_VALUE"""),108139)</f>
        <v>108139</v>
      </c>
      <c r="B6767" s="4">
        <f ca="1">IFERROR(__xludf.DUMMYFUNCTION("""COMPUTED_VALUE"""),44833)</f>
        <v>44833</v>
      </c>
      <c r="C6767" t="str">
        <f ca="1">IFERROR(__xludf.DUMMYFUNCTION("""COMPUTED_VALUE"""),"ООО ""БЛАГОУСТРОЙСТВО"" 152-СТР от 22.07.2022")</f>
        <v>ООО "БЛАГОУСТРОЙСТВО" 152-СТР от 22.07.2022</v>
      </c>
      <c r="D67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7" t="str">
        <f ca="1">IFERROR(__xludf.DUMMYFUNCTION("""COMPUTED_VALUE"""),"Новый")</f>
        <v>Новый</v>
      </c>
      <c r="G6767" s="68"/>
      <c r="K6767" s="68"/>
    </row>
    <row r="6768" spans="1:11" ht="12.75">
      <c r="A6768" s="69">
        <f ca="1">IFERROR(__xludf.DUMMYFUNCTION("""COMPUTED_VALUE"""),108140)</f>
        <v>108140</v>
      </c>
      <c r="B6768" s="4">
        <f ca="1">IFERROR(__xludf.DUMMYFUNCTION("""COMPUTED_VALUE"""),44833)</f>
        <v>44833</v>
      </c>
      <c r="C6768" t="str">
        <f ca="1">IFERROR(__xludf.DUMMYFUNCTION("""COMPUTED_VALUE"""),"ООО ""БЛАГОУСТРОЙСТВО"" 152-СТР от 22.07.2022")</f>
        <v>ООО "БЛАГОУСТРОЙСТВО" 152-СТР от 22.07.2022</v>
      </c>
      <c r="D67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8" t="str">
        <f ca="1">IFERROR(__xludf.DUMMYFUNCTION("""COMPUTED_VALUE"""),"Новый")</f>
        <v>Новый</v>
      </c>
      <c r="G6768" s="68"/>
      <c r="K6768" s="68"/>
    </row>
    <row r="6769" spans="1:11" ht="12.75">
      <c r="A6769" s="69">
        <f ca="1">IFERROR(__xludf.DUMMYFUNCTION("""COMPUTED_VALUE"""),108141)</f>
        <v>108141</v>
      </c>
      <c r="B6769" s="4">
        <f ca="1">IFERROR(__xludf.DUMMYFUNCTION("""COMPUTED_VALUE"""),44833)</f>
        <v>44833</v>
      </c>
      <c r="C6769" t="str">
        <f ca="1">IFERROR(__xludf.DUMMYFUNCTION("""COMPUTED_VALUE"""),"ООО ""БЛАГОУСТРОЙСТВО"" 152-СТР от 22.07.2022")</f>
        <v>ООО "БЛАГОУСТРОЙСТВО" 152-СТР от 22.07.2022</v>
      </c>
      <c r="D67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769" t="str">
        <f ca="1">IFERROR(__xludf.DUMMYFUNCTION("""COMPUTED_VALUE"""),"Новый")</f>
        <v>Новый</v>
      </c>
      <c r="G6769" s="68"/>
      <c r="K6769" s="68"/>
    </row>
    <row r="6770" spans="1:11" ht="12.75">
      <c r="A6770" s="69">
        <f ca="1">IFERROR(__xludf.DUMMYFUNCTION("""COMPUTED_VALUE"""),108144)</f>
        <v>108144</v>
      </c>
      <c r="B6770" s="4">
        <f ca="1">IFERROR(__xludf.DUMMYFUNCTION("""COMPUTED_VALUE"""),44834)</f>
        <v>44834</v>
      </c>
      <c r="C6770" t="str">
        <f ca="1">IFERROR(__xludf.DUMMYFUNCTION("""COMPUTED_VALUE"""),"ООО ""КОМФОРТСЕРВИС"" 215-РДО от 29.09.2022")</f>
        <v>ООО "КОМФОРТСЕРВИС" 215-РДО от 29.09.2022</v>
      </c>
      <c r="D67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0" t="str">
        <f ca="1">IFERROR(__xludf.DUMMYFUNCTION("""COMPUTED_VALUE"""),"Новый")</f>
        <v>Новый</v>
      </c>
      <c r="G6770" s="68"/>
      <c r="K6770" s="68"/>
    </row>
    <row r="6771" spans="1:11" ht="12.75">
      <c r="A6771" s="69">
        <f ca="1">IFERROR(__xludf.DUMMYFUNCTION("""COMPUTED_VALUE"""),108145)</f>
        <v>108145</v>
      </c>
      <c r="B6771" s="4">
        <f ca="1">IFERROR(__xludf.DUMMYFUNCTION("""COMPUTED_VALUE"""),44834)</f>
        <v>44834</v>
      </c>
      <c r="C6771" t="str">
        <f ca="1">IFERROR(__xludf.DUMMYFUNCTION("""COMPUTED_VALUE"""),"ООО ""КОМФОРТСЕРВИС"" 215-РДО от 29.09.2022")</f>
        <v>ООО "КОМФОРТСЕРВИС" 215-РДО от 29.09.2022</v>
      </c>
      <c r="D67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1" t="str">
        <f ca="1">IFERROR(__xludf.DUMMYFUNCTION("""COMPUTED_VALUE"""),"Новый")</f>
        <v>Новый</v>
      </c>
      <c r="G6771" s="68"/>
      <c r="K6771" s="68"/>
    </row>
    <row r="6772" spans="1:11" ht="12.75">
      <c r="A6772" s="69">
        <f ca="1">IFERROR(__xludf.DUMMYFUNCTION("""COMPUTED_VALUE"""),108146)</f>
        <v>108146</v>
      </c>
      <c r="B6772" s="4">
        <f ca="1">IFERROR(__xludf.DUMMYFUNCTION("""COMPUTED_VALUE"""),44834)</f>
        <v>44834</v>
      </c>
      <c r="C6772" t="str">
        <f ca="1">IFERROR(__xludf.DUMMYFUNCTION("""COMPUTED_VALUE"""),"ООО ""КОМФОРТСЕРВИС"" 215-РДО от 29.09.2022")</f>
        <v>ООО "КОМФОРТСЕРВИС" 215-РДО от 29.09.2022</v>
      </c>
      <c r="D67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2" t="str">
        <f ca="1">IFERROR(__xludf.DUMMYFUNCTION("""COMPUTED_VALUE"""),"Новый")</f>
        <v>Новый</v>
      </c>
      <c r="G6772" s="68"/>
      <c r="K6772" s="68"/>
    </row>
    <row r="6773" spans="1:11" ht="12.75">
      <c r="A6773" s="69">
        <f ca="1">IFERROR(__xludf.DUMMYFUNCTION("""COMPUTED_VALUE"""),108147)</f>
        <v>108147</v>
      </c>
      <c r="B6773" s="4">
        <f ca="1">IFERROR(__xludf.DUMMYFUNCTION("""COMPUTED_VALUE"""),44834)</f>
        <v>44834</v>
      </c>
      <c r="C6773" t="str">
        <f ca="1">IFERROR(__xludf.DUMMYFUNCTION("""COMPUTED_VALUE"""),"ООО ""КОМФОРТСЕРВИС"" 215-РДО от 29.09.2022")</f>
        <v>ООО "КОМФОРТСЕРВИС" 215-РДО от 29.09.2022</v>
      </c>
      <c r="D67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3" t="str">
        <f ca="1">IFERROR(__xludf.DUMMYFUNCTION("""COMPUTED_VALUE"""),"Новый")</f>
        <v>Новый</v>
      </c>
      <c r="G6773" s="68"/>
      <c r="K6773" s="68"/>
    </row>
    <row r="6774" spans="1:11" ht="12.75">
      <c r="A6774" s="69">
        <f ca="1">IFERROR(__xludf.DUMMYFUNCTION("""COMPUTED_VALUE"""),108148)</f>
        <v>108148</v>
      </c>
      <c r="B6774" s="4">
        <f ca="1">IFERROR(__xludf.DUMMYFUNCTION("""COMPUTED_VALUE"""),44834)</f>
        <v>44834</v>
      </c>
      <c r="C6774" t="str">
        <f ca="1">IFERROR(__xludf.DUMMYFUNCTION("""COMPUTED_VALUE"""),"ООО ""КОМФОРТСЕРВИС"" 215-РДО от 29.09.2022")</f>
        <v>ООО "КОМФОРТСЕРВИС" 215-РДО от 29.09.2022</v>
      </c>
      <c r="D67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4" t="str">
        <f ca="1">IFERROR(__xludf.DUMMYFUNCTION("""COMPUTED_VALUE"""),"Новый")</f>
        <v>Новый</v>
      </c>
      <c r="G6774" s="68"/>
      <c r="K6774" s="68"/>
    </row>
    <row r="6775" spans="1:11" ht="12.75">
      <c r="A6775" s="69">
        <f ca="1">IFERROR(__xludf.DUMMYFUNCTION("""COMPUTED_VALUE"""),108149)</f>
        <v>108149</v>
      </c>
      <c r="B6775" s="4">
        <f ca="1">IFERROR(__xludf.DUMMYFUNCTION("""COMPUTED_VALUE"""),44834)</f>
        <v>44834</v>
      </c>
      <c r="C6775" t="str">
        <f ca="1">IFERROR(__xludf.DUMMYFUNCTION("""COMPUTED_VALUE"""),"ООО ""КОМФОРТСЕРВИС"" 215-РДО от 29.09.2022")</f>
        <v>ООО "КОМФОРТСЕРВИС" 215-РДО от 29.09.2022</v>
      </c>
      <c r="D67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5" t="str">
        <f ca="1">IFERROR(__xludf.DUMMYFUNCTION("""COMPUTED_VALUE"""),"Новый")</f>
        <v>Новый</v>
      </c>
      <c r="G6775" s="68"/>
      <c r="K6775" s="68"/>
    </row>
    <row r="6776" spans="1:11" ht="12.75">
      <c r="A6776" s="69">
        <f ca="1">IFERROR(__xludf.DUMMYFUNCTION("""COMPUTED_VALUE"""),108150)</f>
        <v>108150</v>
      </c>
      <c r="B6776" s="4">
        <f ca="1">IFERROR(__xludf.DUMMYFUNCTION("""COMPUTED_VALUE"""),44834)</f>
        <v>44834</v>
      </c>
      <c r="C6776" t="str">
        <f ca="1">IFERROR(__xludf.DUMMYFUNCTION("""COMPUTED_VALUE"""),"ООО ""КОМФОРТСЕРВИС"" 215-РДО от 29.09.2022")</f>
        <v>ООО "КОМФОРТСЕРВИС" 215-РДО от 29.09.2022</v>
      </c>
      <c r="D67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6" t="str">
        <f ca="1">IFERROR(__xludf.DUMMYFUNCTION("""COMPUTED_VALUE"""),"Новый")</f>
        <v>Новый</v>
      </c>
      <c r="G6776" s="68"/>
      <c r="K6776" s="68"/>
    </row>
    <row r="6777" spans="1:11" ht="12.75">
      <c r="A6777" s="69">
        <f ca="1">IFERROR(__xludf.DUMMYFUNCTION("""COMPUTED_VALUE"""),108151)</f>
        <v>108151</v>
      </c>
      <c r="B6777" s="4">
        <f ca="1">IFERROR(__xludf.DUMMYFUNCTION("""COMPUTED_VALUE"""),44834)</f>
        <v>44834</v>
      </c>
      <c r="C6777" t="str">
        <f ca="1">IFERROR(__xludf.DUMMYFUNCTION("""COMPUTED_VALUE"""),"ООО ""КОМФОРТСЕРВИС"" 215-РДО от 29.09.2022")</f>
        <v>ООО "КОМФОРТСЕРВИС" 215-РДО от 29.09.2022</v>
      </c>
      <c r="D67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7" t="str">
        <f ca="1">IFERROR(__xludf.DUMMYFUNCTION("""COMPUTED_VALUE"""),"Новый")</f>
        <v>Новый</v>
      </c>
      <c r="G6777" s="68"/>
      <c r="K6777" s="68"/>
    </row>
    <row r="6778" spans="1:11" ht="12.75">
      <c r="A6778" s="69">
        <f ca="1">IFERROR(__xludf.DUMMYFUNCTION("""COMPUTED_VALUE"""),108152)</f>
        <v>108152</v>
      </c>
      <c r="B6778" s="4">
        <f ca="1">IFERROR(__xludf.DUMMYFUNCTION("""COMPUTED_VALUE"""),44834)</f>
        <v>44834</v>
      </c>
      <c r="C6778" t="str">
        <f ca="1">IFERROR(__xludf.DUMMYFUNCTION("""COMPUTED_VALUE"""),"ООО ""КОМФОРТСЕРВИС"" 215-РДО от 29.09.2022")</f>
        <v>ООО "КОМФОРТСЕРВИС" 215-РДО от 29.09.2022</v>
      </c>
      <c r="D67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8" t="str">
        <f ca="1">IFERROR(__xludf.DUMMYFUNCTION("""COMPUTED_VALUE"""),"Новый")</f>
        <v>Новый</v>
      </c>
      <c r="G6778" s="68"/>
      <c r="K6778" s="68"/>
    </row>
    <row r="6779" spans="1:11" ht="12.75">
      <c r="A6779" s="69">
        <f ca="1">IFERROR(__xludf.DUMMYFUNCTION("""COMPUTED_VALUE"""),108153)</f>
        <v>108153</v>
      </c>
      <c r="B6779" s="4">
        <f ca="1">IFERROR(__xludf.DUMMYFUNCTION("""COMPUTED_VALUE"""),44834)</f>
        <v>44834</v>
      </c>
      <c r="C6779" t="str">
        <f ca="1">IFERROR(__xludf.DUMMYFUNCTION("""COMPUTED_VALUE"""),"ООО ""КОМФОРТСЕРВИС"" 215-РДО от 29.09.2022")</f>
        <v>ООО "КОМФОРТСЕРВИС" 215-РДО от 29.09.2022</v>
      </c>
      <c r="D67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79" t="str">
        <f ca="1">IFERROR(__xludf.DUMMYFUNCTION("""COMPUTED_VALUE"""),"Новый")</f>
        <v>Новый</v>
      </c>
      <c r="G6779" s="68"/>
      <c r="K6779" s="68"/>
    </row>
    <row r="6780" spans="1:11" ht="12.75">
      <c r="A6780" s="69">
        <f ca="1">IFERROR(__xludf.DUMMYFUNCTION("""COMPUTED_VALUE"""),108154)</f>
        <v>108154</v>
      </c>
      <c r="B6780" s="4">
        <f ca="1">IFERROR(__xludf.DUMMYFUNCTION("""COMPUTED_VALUE"""),44834)</f>
        <v>44834</v>
      </c>
      <c r="C6780" t="str">
        <f ca="1">IFERROR(__xludf.DUMMYFUNCTION("""COMPUTED_VALUE"""),"ООО ""КОМФОРТСЕРВИС"" 215-РДО от 29.09.2022")</f>
        <v>ООО "КОМФОРТСЕРВИС" 215-РДО от 29.09.2022</v>
      </c>
      <c r="D67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0" t="str">
        <f ca="1">IFERROR(__xludf.DUMMYFUNCTION("""COMPUTED_VALUE"""),"Новый")</f>
        <v>Новый</v>
      </c>
      <c r="G6780" s="68"/>
      <c r="K6780" s="68"/>
    </row>
    <row r="6781" spans="1:11" ht="12.75">
      <c r="A6781" s="69">
        <f ca="1">IFERROR(__xludf.DUMMYFUNCTION("""COMPUTED_VALUE"""),108155)</f>
        <v>108155</v>
      </c>
      <c r="B6781" s="4">
        <f ca="1">IFERROR(__xludf.DUMMYFUNCTION("""COMPUTED_VALUE"""),44834)</f>
        <v>44834</v>
      </c>
      <c r="C6781" t="str">
        <f ca="1">IFERROR(__xludf.DUMMYFUNCTION("""COMPUTED_VALUE"""),"ООО ""КОМФОРТСЕРВИС"" 215-РДО от 29.09.2022")</f>
        <v>ООО "КОМФОРТСЕРВИС" 215-РДО от 29.09.2022</v>
      </c>
      <c r="D67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1" t="str">
        <f ca="1">IFERROR(__xludf.DUMMYFUNCTION("""COMPUTED_VALUE"""),"Новый")</f>
        <v>Новый</v>
      </c>
      <c r="G6781" s="68"/>
      <c r="K6781" s="68"/>
    </row>
    <row r="6782" spans="1:11" ht="12.75">
      <c r="A6782" s="69">
        <f ca="1">IFERROR(__xludf.DUMMYFUNCTION("""COMPUTED_VALUE"""),108156)</f>
        <v>108156</v>
      </c>
      <c r="B6782" s="4">
        <f ca="1">IFERROR(__xludf.DUMMYFUNCTION("""COMPUTED_VALUE"""),44834)</f>
        <v>44834</v>
      </c>
      <c r="C6782" t="str">
        <f ca="1">IFERROR(__xludf.DUMMYFUNCTION("""COMPUTED_VALUE"""),"ООО ""КОМФОРТСЕРВИС"" 215-РДО от 29.09.2022")</f>
        <v>ООО "КОМФОРТСЕРВИС" 215-РДО от 29.09.2022</v>
      </c>
      <c r="D67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2" t="str">
        <f ca="1">IFERROR(__xludf.DUMMYFUNCTION("""COMPUTED_VALUE"""),"Новый")</f>
        <v>Новый</v>
      </c>
      <c r="G6782" s="68"/>
      <c r="K6782" s="68"/>
    </row>
    <row r="6783" spans="1:11" ht="12.75">
      <c r="A6783" s="69">
        <f ca="1">IFERROR(__xludf.DUMMYFUNCTION("""COMPUTED_VALUE"""),108157)</f>
        <v>108157</v>
      </c>
      <c r="B6783" s="4">
        <f ca="1">IFERROR(__xludf.DUMMYFUNCTION("""COMPUTED_VALUE"""),44834)</f>
        <v>44834</v>
      </c>
      <c r="C6783" t="str">
        <f ca="1">IFERROR(__xludf.DUMMYFUNCTION("""COMPUTED_VALUE"""),"ООО ""КОМФОРТСЕРВИС"" 215-РДО от 29.09.2022")</f>
        <v>ООО "КОМФОРТСЕРВИС" 215-РДО от 29.09.2022</v>
      </c>
      <c r="D67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3" t="str">
        <f ca="1">IFERROR(__xludf.DUMMYFUNCTION("""COMPUTED_VALUE"""),"Новый")</f>
        <v>Новый</v>
      </c>
      <c r="G6783" s="68"/>
      <c r="K6783" s="68"/>
    </row>
    <row r="6784" spans="1:11" ht="12.75">
      <c r="A6784" s="69">
        <f ca="1">IFERROR(__xludf.DUMMYFUNCTION("""COMPUTED_VALUE"""),108158)</f>
        <v>108158</v>
      </c>
      <c r="B6784" s="4">
        <f ca="1">IFERROR(__xludf.DUMMYFUNCTION("""COMPUTED_VALUE"""),44834)</f>
        <v>44834</v>
      </c>
      <c r="C6784" t="str">
        <f ca="1">IFERROR(__xludf.DUMMYFUNCTION("""COMPUTED_VALUE"""),"ООО ""КОМФОРТСЕРВИС"" 215-РДО от 29.09.2022")</f>
        <v>ООО "КОМФОРТСЕРВИС" 215-РДО от 29.09.2022</v>
      </c>
      <c r="D67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4" t="str">
        <f ca="1">IFERROR(__xludf.DUMMYFUNCTION("""COMPUTED_VALUE"""),"Новый")</f>
        <v>Новый</v>
      </c>
      <c r="G6784" s="68"/>
      <c r="K6784" s="68"/>
    </row>
    <row r="6785" spans="1:11" ht="12.75">
      <c r="A6785" s="69">
        <f ca="1">IFERROR(__xludf.DUMMYFUNCTION("""COMPUTED_VALUE"""),108159)</f>
        <v>108159</v>
      </c>
      <c r="B6785" s="4">
        <f ca="1">IFERROR(__xludf.DUMMYFUNCTION("""COMPUTED_VALUE"""),44834)</f>
        <v>44834</v>
      </c>
      <c r="C6785" t="str">
        <f ca="1">IFERROR(__xludf.DUMMYFUNCTION("""COMPUTED_VALUE"""),"ООО ""КОМФОРТСЕРВИС"" 215-РДО от 29.09.2022")</f>
        <v>ООО "КОМФОРТСЕРВИС" 215-РДО от 29.09.2022</v>
      </c>
      <c r="D67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5" t="str">
        <f ca="1">IFERROR(__xludf.DUMMYFUNCTION("""COMPUTED_VALUE"""),"Новый")</f>
        <v>Новый</v>
      </c>
      <c r="G6785" s="68"/>
      <c r="K6785" s="68"/>
    </row>
    <row r="6786" spans="1:11" ht="12.75">
      <c r="A6786" s="69">
        <f ca="1">IFERROR(__xludf.DUMMYFUNCTION("""COMPUTED_VALUE"""),108160)</f>
        <v>108160</v>
      </c>
      <c r="B6786" s="4">
        <f ca="1">IFERROR(__xludf.DUMMYFUNCTION("""COMPUTED_VALUE"""),44834)</f>
        <v>44834</v>
      </c>
      <c r="C6786" t="str">
        <f ca="1">IFERROR(__xludf.DUMMYFUNCTION("""COMPUTED_VALUE"""),"ООО ""КОМФОРТСЕРВИС"" 215-РДО от 29.09.2022")</f>
        <v>ООО "КОМФОРТСЕРВИС" 215-РДО от 29.09.2022</v>
      </c>
      <c r="D67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6" t="str">
        <f ca="1">IFERROR(__xludf.DUMMYFUNCTION("""COMPUTED_VALUE"""),"Новый")</f>
        <v>Новый</v>
      </c>
      <c r="G6786" s="68"/>
      <c r="K6786" s="68"/>
    </row>
    <row r="6787" spans="1:11" ht="12.75">
      <c r="A6787" s="69">
        <f ca="1">IFERROR(__xludf.DUMMYFUNCTION("""COMPUTED_VALUE"""),108161)</f>
        <v>108161</v>
      </c>
      <c r="B6787" s="4">
        <f ca="1">IFERROR(__xludf.DUMMYFUNCTION("""COMPUTED_VALUE"""),44834)</f>
        <v>44834</v>
      </c>
      <c r="C6787" t="str">
        <f ca="1">IFERROR(__xludf.DUMMYFUNCTION("""COMPUTED_VALUE"""),"ООО ""КОМФОРТСЕРВИС"" 215-РДО от 29.09.2022")</f>
        <v>ООО "КОМФОРТСЕРВИС" 215-РДО от 29.09.2022</v>
      </c>
      <c r="D67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7" t="str">
        <f ca="1">IFERROR(__xludf.DUMMYFUNCTION("""COMPUTED_VALUE"""),"Новый")</f>
        <v>Новый</v>
      </c>
      <c r="G6787" s="68"/>
      <c r="K6787" s="68"/>
    </row>
    <row r="6788" spans="1:11" ht="12.75">
      <c r="A6788" s="69">
        <f ca="1">IFERROR(__xludf.DUMMYFUNCTION("""COMPUTED_VALUE"""),108182)</f>
        <v>108182</v>
      </c>
      <c r="B6788" s="4">
        <f ca="1">IFERROR(__xludf.DUMMYFUNCTION("""COMPUTED_VALUE"""),44834)</f>
        <v>44834</v>
      </c>
      <c r="C6788" t="str">
        <f ca="1">IFERROR(__xludf.DUMMYFUNCTION("""COMPUTED_VALUE"""),"БУ Г. ОМСКА ""УДХБ"" 197-РДО от 01.07.2022")</f>
        <v>БУ Г. ОМСКА "УДХБ" 197-РДО от 01.07.2022</v>
      </c>
      <c r="D67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8" t="str">
        <f ca="1">IFERROR(__xludf.DUMMYFUNCTION("""COMPUTED_VALUE"""),"Новый")</f>
        <v>Новый</v>
      </c>
      <c r="G6788" s="68"/>
      <c r="K6788" s="68"/>
    </row>
    <row r="6789" spans="1:11" ht="12.75">
      <c r="A6789" s="69">
        <f ca="1">IFERROR(__xludf.DUMMYFUNCTION("""COMPUTED_VALUE"""),108183)</f>
        <v>108183</v>
      </c>
      <c r="B6789" s="4">
        <f ca="1">IFERROR(__xludf.DUMMYFUNCTION("""COMPUTED_VALUE"""),44834)</f>
        <v>44834</v>
      </c>
      <c r="C6789" t="str">
        <f ca="1">IFERROR(__xludf.DUMMYFUNCTION("""COMPUTED_VALUE"""),"БУ Г. ОМСКА ""УДХБ"" 197-РДО от 01.07.2022")</f>
        <v>БУ Г. ОМСКА "УДХБ" 197-РДО от 01.07.2022</v>
      </c>
      <c r="D67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89" t="str">
        <f ca="1">IFERROR(__xludf.DUMMYFUNCTION("""COMPUTED_VALUE"""),"Новый")</f>
        <v>Новый</v>
      </c>
      <c r="G6789" s="68"/>
      <c r="K6789" s="68"/>
    </row>
    <row r="6790" spans="1:11" ht="12.75">
      <c r="A6790" s="69">
        <f ca="1">IFERROR(__xludf.DUMMYFUNCTION("""COMPUTED_VALUE"""),108184)</f>
        <v>108184</v>
      </c>
      <c r="B6790" s="4">
        <f ca="1">IFERROR(__xludf.DUMMYFUNCTION("""COMPUTED_VALUE"""),44834)</f>
        <v>44834</v>
      </c>
      <c r="C6790" t="str">
        <f ca="1">IFERROR(__xludf.DUMMYFUNCTION("""COMPUTED_VALUE"""),"БУ Г. ОМСКА ""УДХБ"" 197-РДО от 01.07.2022")</f>
        <v>БУ Г. ОМСКА "УДХБ" 197-РДО от 01.07.2022</v>
      </c>
      <c r="D67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0" t="str">
        <f ca="1">IFERROR(__xludf.DUMMYFUNCTION("""COMPUTED_VALUE"""),"Новый")</f>
        <v>Новый</v>
      </c>
      <c r="G6790" s="68"/>
      <c r="K6790" s="68"/>
    </row>
    <row r="6791" spans="1:11" ht="12.75">
      <c r="A6791" s="69">
        <f ca="1">IFERROR(__xludf.DUMMYFUNCTION("""COMPUTED_VALUE"""),108185)</f>
        <v>108185</v>
      </c>
      <c r="B6791" s="4">
        <f ca="1">IFERROR(__xludf.DUMMYFUNCTION("""COMPUTED_VALUE"""),44834)</f>
        <v>44834</v>
      </c>
      <c r="C6791" t="str">
        <f ca="1">IFERROR(__xludf.DUMMYFUNCTION("""COMPUTED_VALUE"""),"БУ Г. ОМСКА ""УДХБ"" 197-РДО от 01.07.2022")</f>
        <v>БУ Г. ОМСКА "УДХБ" 197-РДО от 01.07.2022</v>
      </c>
      <c r="D67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1" t="str">
        <f ca="1">IFERROR(__xludf.DUMMYFUNCTION("""COMPUTED_VALUE"""),"Новый")</f>
        <v>Новый</v>
      </c>
      <c r="G6791" s="68"/>
      <c r="K6791" s="68"/>
    </row>
    <row r="6792" spans="1:11" ht="12.75">
      <c r="A6792" s="69">
        <f ca="1">IFERROR(__xludf.DUMMYFUNCTION("""COMPUTED_VALUE"""),108186)</f>
        <v>108186</v>
      </c>
      <c r="B6792" s="4">
        <f ca="1">IFERROR(__xludf.DUMMYFUNCTION("""COMPUTED_VALUE"""),44834)</f>
        <v>44834</v>
      </c>
      <c r="C6792" t="str">
        <f ca="1">IFERROR(__xludf.DUMMYFUNCTION("""COMPUTED_VALUE"""),"БУ Г. ОМСКА ""УДХБ"" 197-РДО от 01.07.2022")</f>
        <v>БУ Г. ОМСКА "УДХБ" 197-РДО от 01.07.2022</v>
      </c>
      <c r="D67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2" t="str">
        <f ca="1">IFERROR(__xludf.DUMMYFUNCTION("""COMPUTED_VALUE"""),"Новый")</f>
        <v>Новый</v>
      </c>
      <c r="G6792" s="68"/>
      <c r="K6792" s="68"/>
    </row>
    <row r="6793" spans="1:11" ht="12.75">
      <c r="A6793" s="69">
        <f ca="1">IFERROR(__xludf.DUMMYFUNCTION("""COMPUTED_VALUE"""),108187)</f>
        <v>108187</v>
      </c>
      <c r="B6793" s="4">
        <f ca="1">IFERROR(__xludf.DUMMYFUNCTION("""COMPUTED_VALUE"""),44834)</f>
        <v>44834</v>
      </c>
      <c r="C6793" t="str">
        <f ca="1">IFERROR(__xludf.DUMMYFUNCTION("""COMPUTED_VALUE"""),"БУ Г. ОМСКА ""УДХБ"" 197-РДО от 01.07.2022")</f>
        <v>БУ Г. ОМСКА "УДХБ" 197-РДО от 01.07.2022</v>
      </c>
      <c r="D67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3" t="str">
        <f ca="1">IFERROR(__xludf.DUMMYFUNCTION("""COMPUTED_VALUE"""),"Новый")</f>
        <v>Новый</v>
      </c>
      <c r="G6793" s="68"/>
      <c r="K6793" s="68"/>
    </row>
    <row r="6794" spans="1:11" ht="12.75">
      <c r="A6794" s="69">
        <f ca="1">IFERROR(__xludf.DUMMYFUNCTION("""COMPUTED_VALUE"""),108188)</f>
        <v>108188</v>
      </c>
      <c r="B6794" s="4">
        <f ca="1">IFERROR(__xludf.DUMMYFUNCTION("""COMPUTED_VALUE"""),44834)</f>
        <v>44834</v>
      </c>
      <c r="C6794" t="str">
        <f ca="1">IFERROR(__xludf.DUMMYFUNCTION("""COMPUTED_VALUE"""),"БУ Г. ОМСКА ""УДХБ"" 197-РДО от 01.07.2022")</f>
        <v>БУ Г. ОМСКА "УДХБ" 197-РДО от 01.07.2022</v>
      </c>
      <c r="D67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4" t="str">
        <f ca="1">IFERROR(__xludf.DUMMYFUNCTION("""COMPUTED_VALUE"""),"Новый")</f>
        <v>Новый</v>
      </c>
      <c r="G6794" s="68"/>
      <c r="K6794" s="68"/>
    </row>
    <row r="6795" spans="1:11" ht="12.75">
      <c r="A6795" s="69">
        <f ca="1">IFERROR(__xludf.DUMMYFUNCTION("""COMPUTED_VALUE"""),108189)</f>
        <v>108189</v>
      </c>
      <c r="B6795" s="4">
        <f ca="1">IFERROR(__xludf.DUMMYFUNCTION("""COMPUTED_VALUE"""),44834)</f>
        <v>44834</v>
      </c>
      <c r="C6795" t="str">
        <f ca="1">IFERROR(__xludf.DUMMYFUNCTION("""COMPUTED_VALUE"""),"БУ Г. ОМСКА ""УДХБ"" 197-РДО от 01.07.2022")</f>
        <v>БУ Г. ОМСКА "УДХБ" 197-РДО от 01.07.2022</v>
      </c>
      <c r="D67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5" t="str">
        <f ca="1">IFERROR(__xludf.DUMMYFUNCTION("""COMPUTED_VALUE"""),"Новый")</f>
        <v>Новый</v>
      </c>
      <c r="G6795" s="68"/>
      <c r="K6795" s="68"/>
    </row>
    <row r="6796" spans="1:11" ht="12.75">
      <c r="A6796" s="69">
        <f ca="1">IFERROR(__xludf.DUMMYFUNCTION("""COMPUTED_VALUE"""),108190)</f>
        <v>108190</v>
      </c>
      <c r="B6796" s="4">
        <f ca="1">IFERROR(__xludf.DUMMYFUNCTION("""COMPUTED_VALUE"""),44834)</f>
        <v>44834</v>
      </c>
      <c r="C6796" t="str">
        <f ca="1">IFERROR(__xludf.DUMMYFUNCTION("""COMPUTED_VALUE"""),"БУ Г. ОМСКА ""УДХБ"" 197-РДО от 01.07.2022")</f>
        <v>БУ Г. ОМСКА "УДХБ" 197-РДО от 01.07.2022</v>
      </c>
      <c r="D67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6" t="str">
        <f ca="1">IFERROR(__xludf.DUMMYFUNCTION("""COMPUTED_VALUE"""),"Новый")</f>
        <v>Новый</v>
      </c>
      <c r="G6796" s="68"/>
      <c r="K6796" s="68"/>
    </row>
    <row r="6797" spans="1:11" ht="12.75">
      <c r="A6797" s="69">
        <f ca="1">IFERROR(__xludf.DUMMYFUNCTION("""COMPUTED_VALUE"""),108191)</f>
        <v>108191</v>
      </c>
      <c r="B6797" s="4">
        <f ca="1">IFERROR(__xludf.DUMMYFUNCTION("""COMPUTED_VALUE"""),44834)</f>
        <v>44834</v>
      </c>
      <c r="C6797" t="str">
        <f ca="1">IFERROR(__xludf.DUMMYFUNCTION("""COMPUTED_VALUE"""),"БУ Г. ОМСКА ""УДХБ"" 197-РДО от 01.07.2022")</f>
        <v>БУ Г. ОМСКА "УДХБ" 197-РДО от 01.07.2022</v>
      </c>
      <c r="D67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7" t="str">
        <f ca="1">IFERROR(__xludf.DUMMYFUNCTION("""COMPUTED_VALUE"""),"Новый")</f>
        <v>Новый</v>
      </c>
      <c r="G6797" s="68"/>
      <c r="K6797" s="68"/>
    </row>
    <row r="6798" spans="1:11" ht="12.75">
      <c r="A6798" s="69">
        <f ca="1">IFERROR(__xludf.DUMMYFUNCTION("""COMPUTED_VALUE"""),108192)</f>
        <v>108192</v>
      </c>
      <c r="B6798" s="4">
        <f ca="1">IFERROR(__xludf.DUMMYFUNCTION("""COMPUTED_VALUE"""),44834)</f>
        <v>44834</v>
      </c>
      <c r="C6798" t="str">
        <f ca="1">IFERROR(__xludf.DUMMYFUNCTION("""COMPUTED_VALUE"""),"БУ Г. ОМСКА ""УДХБ"" 197-РДО от 01.07.2022")</f>
        <v>БУ Г. ОМСКА "УДХБ" 197-РДО от 01.07.2022</v>
      </c>
      <c r="D67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8" t="str">
        <f ca="1">IFERROR(__xludf.DUMMYFUNCTION("""COMPUTED_VALUE"""),"Новый")</f>
        <v>Новый</v>
      </c>
      <c r="G6798" s="68"/>
      <c r="K6798" s="68"/>
    </row>
    <row r="6799" spans="1:11" ht="12.75">
      <c r="A6799" s="69">
        <f ca="1">IFERROR(__xludf.DUMMYFUNCTION("""COMPUTED_VALUE"""),108193)</f>
        <v>108193</v>
      </c>
      <c r="B6799" s="4">
        <f ca="1">IFERROR(__xludf.DUMMYFUNCTION("""COMPUTED_VALUE"""),44834)</f>
        <v>44834</v>
      </c>
      <c r="C6799" t="str">
        <f ca="1">IFERROR(__xludf.DUMMYFUNCTION("""COMPUTED_VALUE"""),"БУ Г. ОМСКА ""УДХБ"" 197-РДО от 01.07.2022")</f>
        <v>БУ Г. ОМСКА "УДХБ" 197-РДО от 01.07.2022</v>
      </c>
      <c r="D67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799" t="str">
        <f ca="1">IFERROR(__xludf.DUMMYFUNCTION("""COMPUTED_VALUE"""),"Новый")</f>
        <v>Новый</v>
      </c>
      <c r="G6799" s="68"/>
      <c r="K6799" s="68"/>
    </row>
    <row r="6800" spans="1:11" ht="12.75">
      <c r="A6800" s="69">
        <f ca="1">IFERROR(__xludf.DUMMYFUNCTION("""COMPUTED_VALUE"""),108194)</f>
        <v>108194</v>
      </c>
      <c r="B6800" s="4">
        <f ca="1">IFERROR(__xludf.DUMMYFUNCTION("""COMPUTED_VALUE"""),44834)</f>
        <v>44834</v>
      </c>
      <c r="C6800" t="str">
        <f ca="1">IFERROR(__xludf.DUMMYFUNCTION("""COMPUTED_VALUE"""),"БУ Г. ОМСКА ""УДХБ"" 197-РДО от 01.07.2022")</f>
        <v>БУ Г. ОМСКА "УДХБ" 197-РДО от 01.07.2022</v>
      </c>
      <c r="D68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0" t="str">
        <f ca="1">IFERROR(__xludf.DUMMYFUNCTION("""COMPUTED_VALUE"""),"Новый")</f>
        <v>Новый</v>
      </c>
      <c r="G6800" s="68"/>
      <c r="K6800" s="68"/>
    </row>
    <row r="6801" spans="1:11" ht="12.75">
      <c r="A6801" s="69">
        <f ca="1">IFERROR(__xludf.DUMMYFUNCTION("""COMPUTED_VALUE"""),108195)</f>
        <v>108195</v>
      </c>
      <c r="B6801" s="4">
        <f ca="1">IFERROR(__xludf.DUMMYFUNCTION("""COMPUTED_VALUE"""),44834)</f>
        <v>44834</v>
      </c>
      <c r="C6801" t="str">
        <f ca="1">IFERROR(__xludf.DUMMYFUNCTION("""COMPUTED_VALUE"""),"БУ Г. ОМСКА ""УДХБ"" 197-РДО от 01.07.2022")</f>
        <v>БУ Г. ОМСКА "УДХБ" 197-РДО от 01.07.2022</v>
      </c>
      <c r="D68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1" t="str">
        <f ca="1">IFERROR(__xludf.DUMMYFUNCTION("""COMPUTED_VALUE"""),"Новый")</f>
        <v>Новый</v>
      </c>
      <c r="G6801" s="68"/>
      <c r="K6801" s="68"/>
    </row>
    <row r="6802" spans="1:11" ht="12.75">
      <c r="A6802" s="69">
        <f ca="1">IFERROR(__xludf.DUMMYFUNCTION("""COMPUTED_VALUE"""),108196)</f>
        <v>108196</v>
      </c>
      <c r="B6802" s="4">
        <f ca="1">IFERROR(__xludf.DUMMYFUNCTION("""COMPUTED_VALUE"""),44834)</f>
        <v>44834</v>
      </c>
      <c r="C6802" t="str">
        <f ca="1">IFERROR(__xludf.DUMMYFUNCTION("""COMPUTED_VALUE"""),"БУ Г. ОМСКА ""УДХБ"" 197-РДО от 01.07.2022")</f>
        <v>БУ Г. ОМСКА "УДХБ" 197-РДО от 01.07.2022</v>
      </c>
      <c r="D68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2" t="str">
        <f ca="1">IFERROR(__xludf.DUMMYFUNCTION("""COMPUTED_VALUE"""),"Новый")</f>
        <v>Новый</v>
      </c>
      <c r="G6802" s="68"/>
      <c r="K6802" s="68"/>
    </row>
    <row r="6803" spans="1:11" ht="12.75">
      <c r="A6803" s="69">
        <f ca="1">IFERROR(__xludf.DUMMYFUNCTION("""COMPUTED_VALUE"""),108197)</f>
        <v>108197</v>
      </c>
      <c r="B6803" s="4">
        <f ca="1">IFERROR(__xludf.DUMMYFUNCTION("""COMPUTED_VALUE"""),44834)</f>
        <v>44834</v>
      </c>
      <c r="C6803" t="str">
        <f ca="1">IFERROR(__xludf.DUMMYFUNCTION("""COMPUTED_VALUE"""),"БУ Г. ОМСКА ""УДХБ"" 197-РДО от 01.07.2022")</f>
        <v>БУ Г. ОМСКА "УДХБ" 197-РДО от 01.07.2022</v>
      </c>
      <c r="D68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3" t="str">
        <f ca="1">IFERROR(__xludf.DUMMYFUNCTION("""COMPUTED_VALUE"""),"Новый")</f>
        <v>Новый</v>
      </c>
      <c r="G6803" s="68"/>
      <c r="K6803" s="68"/>
    </row>
    <row r="6804" spans="1:11" ht="12.75">
      <c r="A6804" s="69">
        <f ca="1">IFERROR(__xludf.DUMMYFUNCTION("""COMPUTED_VALUE"""),108198)</f>
        <v>108198</v>
      </c>
      <c r="B6804" s="4">
        <f ca="1">IFERROR(__xludf.DUMMYFUNCTION("""COMPUTED_VALUE"""),44834)</f>
        <v>44834</v>
      </c>
      <c r="C6804" t="str">
        <f ca="1">IFERROR(__xludf.DUMMYFUNCTION("""COMPUTED_VALUE"""),"БУ Г. ОМСКА ""УДХБ"" 197-РДО от 01.07.2022")</f>
        <v>БУ Г. ОМСКА "УДХБ" 197-РДО от 01.07.2022</v>
      </c>
      <c r="D68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4" t="str">
        <f ca="1">IFERROR(__xludf.DUMMYFUNCTION("""COMPUTED_VALUE"""),"Новый")</f>
        <v>Новый</v>
      </c>
      <c r="G6804" s="68"/>
      <c r="K6804" s="68"/>
    </row>
    <row r="6805" spans="1:11" ht="12.75">
      <c r="A6805" s="69">
        <f ca="1">IFERROR(__xludf.DUMMYFUNCTION("""COMPUTED_VALUE"""),108199)</f>
        <v>108199</v>
      </c>
      <c r="B6805" s="4">
        <f ca="1">IFERROR(__xludf.DUMMYFUNCTION("""COMPUTED_VALUE"""),44834)</f>
        <v>44834</v>
      </c>
      <c r="C6805" t="str">
        <f ca="1">IFERROR(__xludf.DUMMYFUNCTION("""COMPUTED_VALUE"""),"БУ Г. ОМСКА ""УДХБ"" 197-РДО от 01.07.2022")</f>
        <v>БУ Г. ОМСКА "УДХБ" 197-РДО от 01.07.2022</v>
      </c>
      <c r="D68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5" t="str">
        <f ca="1">IFERROR(__xludf.DUMMYFUNCTION("""COMPUTED_VALUE"""),"Новый")</f>
        <v>Новый</v>
      </c>
      <c r="G6805" s="68"/>
      <c r="K6805" s="68"/>
    </row>
    <row r="6806" spans="1:11" ht="12.75">
      <c r="A6806" s="69">
        <f ca="1">IFERROR(__xludf.DUMMYFUNCTION("""COMPUTED_VALUE"""),108200)</f>
        <v>108200</v>
      </c>
      <c r="B6806" s="4">
        <f ca="1">IFERROR(__xludf.DUMMYFUNCTION("""COMPUTED_VALUE"""),44834)</f>
        <v>44834</v>
      </c>
      <c r="C6806" t="str">
        <f ca="1">IFERROR(__xludf.DUMMYFUNCTION("""COMPUTED_VALUE"""),"БУ Г. ОМСКА ""УДХБ"" 197-РДО от 01.07.2022")</f>
        <v>БУ Г. ОМСКА "УДХБ" 197-РДО от 01.07.2022</v>
      </c>
      <c r="D68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6" t="str">
        <f ca="1">IFERROR(__xludf.DUMMYFUNCTION("""COMPUTED_VALUE"""),"Новый")</f>
        <v>Новый</v>
      </c>
      <c r="G6806" s="68"/>
      <c r="K6806" s="68"/>
    </row>
    <row r="6807" spans="1:11" ht="12.75">
      <c r="A6807" s="69">
        <f ca="1">IFERROR(__xludf.DUMMYFUNCTION("""COMPUTED_VALUE"""),108201)</f>
        <v>108201</v>
      </c>
      <c r="B6807" s="4">
        <f ca="1">IFERROR(__xludf.DUMMYFUNCTION("""COMPUTED_VALUE"""),44834)</f>
        <v>44834</v>
      </c>
      <c r="C6807" t="str">
        <f ca="1">IFERROR(__xludf.DUMMYFUNCTION("""COMPUTED_VALUE"""),"БУ Г. ОМСКА ""УДХБ"" 197-РДО от 01.07.2022")</f>
        <v>БУ Г. ОМСКА "УДХБ" 197-РДО от 01.07.2022</v>
      </c>
      <c r="D68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7" t="str">
        <f ca="1">IFERROR(__xludf.DUMMYFUNCTION("""COMPUTED_VALUE"""),"Новый")</f>
        <v>Новый</v>
      </c>
      <c r="G6807" s="68"/>
      <c r="K6807" s="68"/>
    </row>
    <row r="6808" spans="1:11" ht="12.75">
      <c r="A6808" s="69">
        <f ca="1">IFERROR(__xludf.DUMMYFUNCTION("""COMPUTED_VALUE"""),108211)</f>
        <v>108211</v>
      </c>
      <c r="B6808" s="4">
        <f ca="1">IFERROR(__xludf.DUMMYFUNCTION("""COMPUTED_VALUE"""),44834)</f>
        <v>44834</v>
      </c>
      <c r="C6808" t="str">
        <f ca="1">IFERROR(__xludf.DUMMYFUNCTION("""COMPUTED_VALUE"""),"БУ Г. ОМСКА ""УДХБ"" 197-РДО от 01.07.2022")</f>
        <v>БУ Г. ОМСКА "УДХБ" 197-РДО от 01.07.2022</v>
      </c>
      <c r="D68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8" t="str">
        <f ca="1">IFERROR(__xludf.DUMMYFUNCTION("""COMPUTED_VALUE"""),"Новый")</f>
        <v>Новый</v>
      </c>
      <c r="G6808" s="68"/>
      <c r="K6808" s="68"/>
    </row>
    <row r="6809" spans="1:11" ht="12.75">
      <c r="A6809" s="69">
        <f ca="1">IFERROR(__xludf.DUMMYFUNCTION("""COMPUTED_VALUE"""),108214)</f>
        <v>108214</v>
      </c>
      <c r="B6809" s="4">
        <f ca="1">IFERROR(__xludf.DUMMYFUNCTION("""COMPUTED_VALUE"""),44834)</f>
        <v>44834</v>
      </c>
      <c r="C6809" t="str">
        <f ca="1">IFERROR(__xludf.DUMMYFUNCTION("""COMPUTED_VALUE"""),"БУ Г. ОМСКА ""УДХБ"" 197-РДО от 01.07.2022")</f>
        <v>БУ Г. ОМСКА "УДХБ" 197-РДО от 01.07.2022</v>
      </c>
      <c r="D68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09" t="str">
        <f ca="1">IFERROR(__xludf.DUMMYFUNCTION("""COMPUTED_VALUE"""),"Новый")</f>
        <v>Новый</v>
      </c>
      <c r="G6809" s="68"/>
      <c r="K6809" s="68"/>
    </row>
    <row r="6810" spans="1:11" ht="12.75">
      <c r="A6810" s="69">
        <f ca="1">IFERROR(__xludf.DUMMYFUNCTION("""COMPUTED_VALUE"""),108215)</f>
        <v>108215</v>
      </c>
      <c r="B6810" s="4">
        <f ca="1">IFERROR(__xludf.DUMMYFUNCTION("""COMPUTED_VALUE"""),44834)</f>
        <v>44834</v>
      </c>
      <c r="C6810" t="str">
        <f ca="1">IFERROR(__xludf.DUMMYFUNCTION("""COMPUTED_VALUE"""),"БУ Г. ОМСКА ""УДХБ"" 197-РДО от 01.07.2022")</f>
        <v>БУ Г. ОМСКА "УДХБ" 197-РДО от 01.07.2022</v>
      </c>
      <c r="D68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0" t="str">
        <f ca="1">IFERROR(__xludf.DUMMYFUNCTION("""COMPUTED_VALUE"""),"Новый")</f>
        <v>Новый</v>
      </c>
      <c r="G6810" s="68"/>
      <c r="K6810" s="68"/>
    </row>
    <row r="6811" spans="1:11" ht="12.75">
      <c r="A6811" s="69">
        <f ca="1">IFERROR(__xludf.DUMMYFUNCTION("""COMPUTED_VALUE"""),108216)</f>
        <v>108216</v>
      </c>
      <c r="B6811" s="4">
        <f ca="1">IFERROR(__xludf.DUMMYFUNCTION("""COMPUTED_VALUE"""),44834)</f>
        <v>44834</v>
      </c>
      <c r="C6811" t="str">
        <f ca="1">IFERROR(__xludf.DUMMYFUNCTION("""COMPUTED_VALUE"""),"БУ Г. ОМСКА ""УДХБ"" 197-РДО от 01.07.2022")</f>
        <v>БУ Г. ОМСКА "УДХБ" 197-РДО от 01.07.2022</v>
      </c>
      <c r="D68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1" t="str">
        <f ca="1">IFERROR(__xludf.DUMMYFUNCTION("""COMPUTED_VALUE"""),"Новый")</f>
        <v>Новый</v>
      </c>
      <c r="G6811" s="68"/>
      <c r="K6811" s="68"/>
    </row>
    <row r="6812" spans="1:11" ht="12.75">
      <c r="A6812" s="69">
        <f ca="1">IFERROR(__xludf.DUMMYFUNCTION("""COMPUTED_VALUE"""),108217)</f>
        <v>108217</v>
      </c>
      <c r="B6812" s="4">
        <f ca="1">IFERROR(__xludf.DUMMYFUNCTION("""COMPUTED_VALUE"""),44834)</f>
        <v>44834</v>
      </c>
      <c r="C6812" t="str">
        <f ca="1">IFERROR(__xludf.DUMMYFUNCTION("""COMPUTED_VALUE"""),"БУ Г. ОМСКА ""УДХБ"" 197-РДО от 01.07.2022")</f>
        <v>БУ Г. ОМСКА "УДХБ" 197-РДО от 01.07.2022</v>
      </c>
      <c r="D68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2" t="str">
        <f ca="1">IFERROR(__xludf.DUMMYFUNCTION("""COMPUTED_VALUE"""),"Новый")</f>
        <v>Новый</v>
      </c>
      <c r="G6812" s="68"/>
      <c r="K6812" s="68"/>
    </row>
    <row r="6813" spans="1:11" ht="12.75">
      <c r="A6813" s="69">
        <f ca="1">IFERROR(__xludf.DUMMYFUNCTION("""COMPUTED_VALUE"""),108218)</f>
        <v>108218</v>
      </c>
      <c r="B6813" s="4">
        <f ca="1">IFERROR(__xludf.DUMMYFUNCTION("""COMPUTED_VALUE"""),44834)</f>
        <v>44834</v>
      </c>
      <c r="C6813" t="str">
        <f ca="1">IFERROR(__xludf.DUMMYFUNCTION("""COMPUTED_VALUE"""),"БУ Г. ОМСКА ""УДХБ"" 197-РДО от 01.07.2022")</f>
        <v>БУ Г. ОМСКА "УДХБ" 197-РДО от 01.07.2022</v>
      </c>
      <c r="D68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3" t="str">
        <f ca="1">IFERROR(__xludf.DUMMYFUNCTION("""COMPUTED_VALUE"""),"Новый")</f>
        <v>Новый</v>
      </c>
      <c r="G6813" s="68"/>
      <c r="K6813" s="68"/>
    </row>
    <row r="6814" spans="1:11" ht="12.75">
      <c r="A6814" s="69">
        <f ca="1">IFERROR(__xludf.DUMMYFUNCTION("""COMPUTED_VALUE"""),108219)</f>
        <v>108219</v>
      </c>
      <c r="B6814" s="4">
        <f ca="1">IFERROR(__xludf.DUMMYFUNCTION("""COMPUTED_VALUE"""),44834)</f>
        <v>44834</v>
      </c>
      <c r="C6814" t="str">
        <f ca="1">IFERROR(__xludf.DUMMYFUNCTION("""COMPUTED_VALUE"""),"БУ Г. ОМСКА ""УДХБ"" 197-РДО от 01.07.2022")</f>
        <v>БУ Г. ОМСКА "УДХБ" 197-РДО от 01.07.2022</v>
      </c>
      <c r="D68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4" t="str">
        <f ca="1">IFERROR(__xludf.DUMMYFUNCTION("""COMPUTED_VALUE"""),"Новый")</f>
        <v>Новый</v>
      </c>
      <c r="G6814" s="68"/>
      <c r="K6814" s="68"/>
    </row>
    <row r="6815" spans="1:11" ht="12.75">
      <c r="A6815" s="69">
        <f ca="1">IFERROR(__xludf.DUMMYFUNCTION("""COMPUTED_VALUE"""),108220)</f>
        <v>108220</v>
      </c>
      <c r="B6815" s="4">
        <f ca="1">IFERROR(__xludf.DUMMYFUNCTION("""COMPUTED_VALUE"""),44834)</f>
        <v>44834</v>
      </c>
      <c r="C6815" t="str">
        <f ca="1">IFERROR(__xludf.DUMMYFUNCTION("""COMPUTED_VALUE"""),"БУ Г. ОМСКА ""УДХБ"" 197-РДО от 01.07.2022")</f>
        <v>БУ Г. ОМСКА "УДХБ" 197-РДО от 01.07.2022</v>
      </c>
      <c r="D68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5" t="str">
        <f ca="1">IFERROR(__xludf.DUMMYFUNCTION("""COMPUTED_VALUE"""),"Новый")</f>
        <v>Новый</v>
      </c>
      <c r="G6815" s="68"/>
      <c r="K6815" s="68"/>
    </row>
    <row r="6816" spans="1:11" ht="12.75">
      <c r="A6816" s="69">
        <f ca="1">IFERROR(__xludf.DUMMYFUNCTION("""COMPUTED_VALUE"""),108221)</f>
        <v>108221</v>
      </c>
      <c r="B6816" s="4">
        <f ca="1">IFERROR(__xludf.DUMMYFUNCTION("""COMPUTED_VALUE"""),44834)</f>
        <v>44834</v>
      </c>
      <c r="C6816" t="str">
        <f ca="1">IFERROR(__xludf.DUMMYFUNCTION("""COMPUTED_VALUE"""),"БУ Г. ОМСКА ""УДХБ"" 197-РДО от 01.07.2022")</f>
        <v>БУ Г. ОМСКА "УДХБ" 197-РДО от 01.07.2022</v>
      </c>
      <c r="D68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6" t="str">
        <f ca="1">IFERROR(__xludf.DUMMYFUNCTION("""COMPUTED_VALUE"""),"Новый")</f>
        <v>Новый</v>
      </c>
      <c r="G6816" s="68"/>
      <c r="K6816" s="68"/>
    </row>
    <row r="6817" spans="1:11" ht="12.75">
      <c r="A6817" s="69">
        <f ca="1">IFERROR(__xludf.DUMMYFUNCTION("""COMPUTED_VALUE"""),108222)</f>
        <v>108222</v>
      </c>
      <c r="B6817" s="4">
        <f ca="1">IFERROR(__xludf.DUMMYFUNCTION("""COMPUTED_VALUE"""),44834)</f>
        <v>44834</v>
      </c>
      <c r="C6817" t="str">
        <f ca="1">IFERROR(__xludf.DUMMYFUNCTION("""COMPUTED_VALUE"""),"БУ Г. ОМСКА ""УДХБ"" 197-РДО от 01.07.2022")</f>
        <v>БУ Г. ОМСКА "УДХБ" 197-РДО от 01.07.2022</v>
      </c>
      <c r="D68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7" t="str">
        <f ca="1">IFERROR(__xludf.DUMMYFUNCTION("""COMPUTED_VALUE"""),"Новый")</f>
        <v>Новый</v>
      </c>
      <c r="G6817" s="68"/>
      <c r="K6817" s="68"/>
    </row>
    <row r="6818" spans="1:11" ht="12.75">
      <c r="A6818" s="69">
        <f ca="1">IFERROR(__xludf.DUMMYFUNCTION("""COMPUTED_VALUE"""),108223)</f>
        <v>108223</v>
      </c>
      <c r="B6818" s="4">
        <f ca="1">IFERROR(__xludf.DUMMYFUNCTION("""COMPUTED_VALUE"""),44834)</f>
        <v>44834</v>
      </c>
      <c r="C6818" t="str">
        <f ca="1">IFERROR(__xludf.DUMMYFUNCTION("""COMPUTED_VALUE"""),"БУ Г. ОМСКА ""УДХБ"" 197-РДО от 01.07.2022")</f>
        <v>БУ Г. ОМСКА "УДХБ" 197-РДО от 01.07.2022</v>
      </c>
      <c r="D68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8" t="str">
        <f ca="1">IFERROR(__xludf.DUMMYFUNCTION("""COMPUTED_VALUE"""),"Новый")</f>
        <v>Новый</v>
      </c>
      <c r="G6818" s="68"/>
      <c r="K6818" s="68"/>
    </row>
    <row r="6819" spans="1:11" ht="12.75">
      <c r="A6819" s="69">
        <f ca="1">IFERROR(__xludf.DUMMYFUNCTION("""COMPUTED_VALUE"""),108224)</f>
        <v>108224</v>
      </c>
      <c r="B6819" s="4">
        <f ca="1">IFERROR(__xludf.DUMMYFUNCTION("""COMPUTED_VALUE"""),44834)</f>
        <v>44834</v>
      </c>
      <c r="C6819" t="str">
        <f ca="1">IFERROR(__xludf.DUMMYFUNCTION("""COMPUTED_VALUE"""),"БУ Г. ОМСКА ""УДХБ"" 197-РДО от 01.07.2022")</f>
        <v>БУ Г. ОМСКА "УДХБ" 197-РДО от 01.07.2022</v>
      </c>
      <c r="D68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19" t="str">
        <f ca="1">IFERROR(__xludf.DUMMYFUNCTION("""COMPUTED_VALUE"""),"Новый")</f>
        <v>Новый</v>
      </c>
      <c r="G6819" s="68"/>
      <c r="K6819" s="68"/>
    </row>
    <row r="6820" spans="1:11" ht="12.75">
      <c r="A6820" s="69">
        <f ca="1">IFERROR(__xludf.DUMMYFUNCTION("""COMPUTED_VALUE"""),108225)</f>
        <v>108225</v>
      </c>
      <c r="B6820" s="4">
        <f ca="1">IFERROR(__xludf.DUMMYFUNCTION("""COMPUTED_VALUE"""),44834)</f>
        <v>44834</v>
      </c>
      <c r="C6820" t="str">
        <f ca="1">IFERROR(__xludf.DUMMYFUNCTION("""COMPUTED_VALUE"""),"БУ Г. ОМСКА ""УДХБ"" 197-РДО от 01.07.2022")</f>
        <v>БУ Г. ОМСКА "УДХБ" 197-РДО от 01.07.2022</v>
      </c>
      <c r="D68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0" t="str">
        <f ca="1">IFERROR(__xludf.DUMMYFUNCTION("""COMPUTED_VALUE"""),"Новый")</f>
        <v>Новый</v>
      </c>
      <c r="G6820" s="68"/>
      <c r="K6820" s="68"/>
    </row>
    <row r="6821" spans="1:11" ht="12.75">
      <c r="A6821" s="69">
        <f ca="1">IFERROR(__xludf.DUMMYFUNCTION("""COMPUTED_VALUE"""),108226)</f>
        <v>108226</v>
      </c>
      <c r="B6821" s="4">
        <f ca="1">IFERROR(__xludf.DUMMYFUNCTION("""COMPUTED_VALUE"""),44834)</f>
        <v>44834</v>
      </c>
      <c r="C6821" t="str">
        <f ca="1">IFERROR(__xludf.DUMMYFUNCTION("""COMPUTED_VALUE"""),"БУ Г. ОМСКА ""УДХБ"" 197-РДО от 01.07.2022")</f>
        <v>БУ Г. ОМСКА "УДХБ" 197-РДО от 01.07.2022</v>
      </c>
      <c r="D68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1" t="str">
        <f ca="1">IFERROR(__xludf.DUMMYFUNCTION("""COMPUTED_VALUE"""),"Новый")</f>
        <v>Новый</v>
      </c>
      <c r="G6821" s="68"/>
      <c r="K6821" s="68"/>
    </row>
    <row r="6822" spans="1:11" ht="12.75">
      <c r="A6822" s="69">
        <f ca="1">IFERROR(__xludf.DUMMYFUNCTION("""COMPUTED_VALUE"""),108227)</f>
        <v>108227</v>
      </c>
      <c r="B6822" s="4">
        <f ca="1">IFERROR(__xludf.DUMMYFUNCTION("""COMPUTED_VALUE"""),44834)</f>
        <v>44834</v>
      </c>
      <c r="C6822" t="str">
        <f ca="1">IFERROR(__xludf.DUMMYFUNCTION("""COMPUTED_VALUE"""),"БУ Г. ОМСКА ""УДХБ"" 197-РДО от 01.07.2022")</f>
        <v>БУ Г. ОМСКА "УДХБ" 197-РДО от 01.07.2022</v>
      </c>
      <c r="D68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2" t="str">
        <f ca="1">IFERROR(__xludf.DUMMYFUNCTION("""COMPUTED_VALUE"""),"Новый")</f>
        <v>Новый</v>
      </c>
      <c r="G6822" s="68"/>
      <c r="K6822" s="68"/>
    </row>
    <row r="6823" spans="1:11" ht="12.75">
      <c r="A6823" s="69">
        <f ca="1">IFERROR(__xludf.DUMMYFUNCTION("""COMPUTED_VALUE"""),108228)</f>
        <v>108228</v>
      </c>
      <c r="B6823" s="4">
        <f ca="1">IFERROR(__xludf.DUMMYFUNCTION("""COMPUTED_VALUE"""),44834)</f>
        <v>44834</v>
      </c>
      <c r="C6823" t="str">
        <f ca="1">IFERROR(__xludf.DUMMYFUNCTION("""COMPUTED_VALUE"""),"БУ Г. ОМСКА ""УДХБ"" 197-РДО от 01.07.2022")</f>
        <v>БУ Г. ОМСКА "УДХБ" 197-РДО от 01.07.2022</v>
      </c>
      <c r="D68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3" t="str">
        <f ca="1">IFERROR(__xludf.DUMMYFUNCTION("""COMPUTED_VALUE"""),"Новый")</f>
        <v>Новый</v>
      </c>
      <c r="G6823" s="68"/>
      <c r="K6823" s="68"/>
    </row>
    <row r="6824" spans="1:11" ht="12.75">
      <c r="A6824" s="69">
        <f ca="1">IFERROR(__xludf.DUMMYFUNCTION("""COMPUTED_VALUE"""),108229)</f>
        <v>108229</v>
      </c>
      <c r="B6824" s="4">
        <f ca="1">IFERROR(__xludf.DUMMYFUNCTION("""COMPUTED_VALUE"""),44834)</f>
        <v>44834</v>
      </c>
      <c r="C6824" t="str">
        <f ca="1">IFERROR(__xludf.DUMMYFUNCTION("""COMPUTED_VALUE"""),"БУ Г. ОМСКА ""УДХБ"" 197-РДО от 01.07.2022")</f>
        <v>БУ Г. ОМСКА "УДХБ" 197-РДО от 01.07.2022</v>
      </c>
      <c r="D68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4" t="str">
        <f ca="1">IFERROR(__xludf.DUMMYFUNCTION("""COMPUTED_VALUE"""),"Новый")</f>
        <v>Новый</v>
      </c>
      <c r="G6824" s="68"/>
      <c r="K6824" s="68"/>
    </row>
    <row r="6825" spans="1:11" ht="12.75">
      <c r="A6825" s="69">
        <f ca="1">IFERROR(__xludf.DUMMYFUNCTION("""COMPUTED_VALUE"""),108230)</f>
        <v>108230</v>
      </c>
      <c r="B6825" s="4">
        <f ca="1">IFERROR(__xludf.DUMMYFUNCTION("""COMPUTED_VALUE"""),44834)</f>
        <v>44834</v>
      </c>
      <c r="C6825" t="str">
        <f ca="1">IFERROR(__xludf.DUMMYFUNCTION("""COMPUTED_VALUE"""),"БУ Г. ОМСКА ""УДХБ"" 197-РДО от 01.07.2022")</f>
        <v>БУ Г. ОМСКА "УДХБ" 197-РДО от 01.07.2022</v>
      </c>
      <c r="D68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5" t="str">
        <f ca="1">IFERROR(__xludf.DUMMYFUNCTION("""COMPUTED_VALUE"""),"Новый")</f>
        <v>Новый</v>
      </c>
      <c r="G6825" s="68"/>
      <c r="K6825" s="68"/>
    </row>
    <row r="6826" spans="1:11" ht="12.75">
      <c r="A6826" s="69">
        <f ca="1">IFERROR(__xludf.DUMMYFUNCTION("""COMPUTED_VALUE"""),108231)</f>
        <v>108231</v>
      </c>
      <c r="B6826" s="4">
        <f ca="1">IFERROR(__xludf.DUMMYFUNCTION("""COMPUTED_VALUE"""),44834)</f>
        <v>44834</v>
      </c>
      <c r="C6826" t="str">
        <f ca="1">IFERROR(__xludf.DUMMYFUNCTION("""COMPUTED_VALUE"""),"БУ Г. ОМСКА ""УДХБ"" 197-РДО от 01.07.2022")</f>
        <v>БУ Г. ОМСКА "УДХБ" 197-РДО от 01.07.2022</v>
      </c>
      <c r="D68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6" t="str">
        <f ca="1">IFERROR(__xludf.DUMMYFUNCTION("""COMPUTED_VALUE"""),"Новый")</f>
        <v>Новый</v>
      </c>
      <c r="G6826" s="68"/>
      <c r="K6826" s="68"/>
    </row>
    <row r="6827" spans="1:11" ht="12.75">
      <c r="A6827" s="69">
        <f ca="1">IFERROR(__xludf.DUMMYFUNCTION("""COMPUTED_VALUE"""),108232)</f>
        <v>108232</v>
      </c>
      <c r="B6827" s="4">
        <f ca="1">IFERROR(__xludf.DUMMYFUNCTION("""COMPUTED_VALUE"""),44834)</f>
        <v>44834</v>
      </c>
      <c r="C6827" t="str">
        <f ca="1">IFERROR(__xludf.DUMMYFUNCTION("""COMPUTED_VALUE"""),"БУ Г. ОМСКА ""УДХБ"" 197-РДО от 01.07.2022")</f>
        <v>БУ Г. ОМСКА "УДХБ" 197-РДО от 01.07.2022</v>
      </c>
      <c r="D68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7" t="str">
        <f ca="1">IFERROR(__xludf.DUMMYFUNCTION("""COMPUTED_VALUE"""),"Новый")</f>
        <v>Новый</v>
      </c>
      <c r="G6827" s="68"/>
      <c r="K6827" s="68"/>
    </row>
    <row r="6828" spans="1:11" ht="12.75">
      <c r="A6828" s="69">
        <f ca="1">IFERROR(__xludf.DUMMYFUNCTION("""COMPUTED_VALUE"""),108233)</f>
        <v>108233</v>
      </c>
      <c r="B6828" s="4">
        <f ca="1">IFERROR(__xludf.DUMMYFUNCTION("""COMPUTED_VALUE"""),44834)</f>
        <v>44834</v>
      </c>
      <c r="C6828" t="str">
        <f ca="1">IFERROR(__xludf.DUMMYFUNCTION("""COMPUTED_VALUE"""),"БУ Г. ОМСКА ""УДХБ"" 197-РДО от 01.07.2022")</f>
        <v>БУ Г. ОМСКА "УДХБ" 197-РДО от 01.07.2022</v>
      </c>
      <c r="D68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8" t="str">
        <f ca="1">IFERROR(__xludf.DUMMYFUNCTION("""COMPUTED_VALUE"""),"Новый")</f>
        <v>Новый</v>
      </c>
      <c r="G6828" s="68"/>
      <c r="K6828" s="68"/>
    </row>
    <row r="6829" spans="1:11" ht="12.75">
      <c r="A6829" s="69">
        <f ca="1">IFERROR(__xludf.DUMMYFUNCTION("""COMPUTED_VALUE"""),108234)</f>
        <v>108234</v>
      </c>
      <c r="B6829" s="4">
        <f ca="1">IFERROR(__xludf.DUMMYFUNCTION("""COMPUTED_VALUE"""),44834)</f>
        <v>44834</v>
      </c>
      <c r="C6829" t="str">
        <f ca="1">IFERROR(__xludf.DUMMYFUNCTION("""COMPUTED_VALUE"""),"БУ Г. ОМСКА ""УДХБ"" 197-РДО от 01.07.2022")</f>
        <v>БУ Г. ОМСКА "УДХБ" 197-РДО от 01.07.2022</v>
      </c>
      <c r="D68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29" t="str">
        <f ca="1">IFERROR(__xludf.DUMMYFUNCTION("""COMPUTED_VALUE"""),"Новый")</f>
        <v>Новый</v>
      </c>
      <c r="G6829" s="68"/>
      <c r="K6829" s="68"/>
    </row>
    <row r="6830" spans="1:11" ht="12.75">
      <c r="A6830" s="69">
        <f ca="1">IFERROR(__xludf.DUMMYFUNCTION("""COMPUTED_VALUE"""),108235)</f>
        <v>108235</v>
      </c>
      <c r="B6830" s="4">
        <f ca="1">IFERROR(__xludf.DUMMYFUNCTION("""COMPUTED_VALUE"""),44834)</f>
        <v>44834</v>
      </c>
      <c r="C6830" t="str">
        <f ca="1">IFERROR(__xludf.DUMMYFUNCTION("""COMPUTED_VALUE"""),"БУ Г. ОМСКА ""УДХБ"" 197-РДО от 01.07.2022")</f>
        <v>БУ Г. ОМСКА "УДХБ" 197-РДО от 01.07.2022</v>
      </c>
      <c r="D68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0" t="str">
        <f ca="1">IFERROR(__xludf.DUMMYFUNCTION("""COMPUTED_VALUE"""),"Новый")</f>
        <v>Новый</v>
      </c>
      <c r="G6830" s="68"/>
      <c r="K6830" s="68"/>
    </row>
    <row r="6831" spans="1:11" ht="12.75">
      <c r="A6831" s="69">
        <f ca="1">IFERROR(__xludf.DUMMYFUNCTION("""COMPUTED_VALUE"""),108236)</f>
        <v>108236</v>
      </c>
      <c r="B6831" s="4">
        <f ca="1">IFERROR(__xludf.DUMMYFUNCTION("""COMPUTED_VALUE"""),44834)</f>
        <v>44834</v>
      </c>
      <c r="C6831" t="str">
        <f ca="1">IFERROR(__xludf.DUMMYFUNCTION("""COMPUTED_VALUE"""),"БУ Г. ОМСКА ""УДХБ"" 197-РДО от 01.07.2022")</f>
        <v>БУ Г. ОМСКА "УДХБ" 197-РДО от 01.07.2022</v>
      </c>
      <c r="D68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1" t="str">
        <f ca="1">IFERROR(__xludf.DUMMYFUNCTION("""COMPUTED_VALUE"""),"Новый")</f>
        <v>Новый</v>
      </c>
      <c r="G6831" s="68"/>
      <c r="K6831" s="68"/>
    </row>
    <row r="6832" spans="1:11" ht="12.75">
      <c r="A6832" s="69">
        <f ca="1">IFERROR(__xludf.DUMMYFUNCTION("""COMPUTED_VALUE"""),108237)</f>
        <v>108237</v>
      </c>
      <c r="B6832" s="4">
        <f ca="1">IFERROR(__xludf.DUMMYFUNCTION("""COMPUTED_VALUE"""),44834)</f>
        <v>44834</v>
      </c>
      <c r="C6832" t="str">
        <f ca="1">IFERROR(__xludf.DUMMYFUNCTION("""COMPUTED_VALUE"""),"БУ Г. ОМСКА ""УДХБ"" 197-РДО от 01.07.2022")</f>
        <v>БУ Г. ОМСКА "УДХБ" 197-РДО от 01.07.2022</v>
      </c>
      <c r="D68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2" t="str">
        <f ca="1">IFERROR(__xludf.DUMMYFUNCTION("""COMPUTED_VALUE"""),"Новый")</f>
        <v>Новый</v>
      </c>
      <c r="G6832" s="68"/>
      <c r="K6832" s="68"/>
    </row>
    <row r="6833" spans="1:11" ht="12.75">
      <c r="A6833" s="69">
        <f ca="1">IFERROR(__xludf.DUMMYFUNCTION("""COMPUTED_VALUE"""),108238)</f>
        <v>108238</v>
      </c>
      <c r="B6833" s="4">
        <f ca="1">IFERROR(__xludf.DUMMYFUNCTION("""COMPUTED_VALUE"""),44834)</f>
        <v>44834</v>
      </c>
      <c r="C6833" t="str">
        <f ca="1">IFERROR(__xludf.DUMMYFUNCTION("""COMPUTED_VALUE"""),"БУ Г. ОМСКА ""УДХБ"" 197-РДО от 01.07.2022")</f>
        <v>БУ Г. ОМСКА "УДХБ" 197-РДО от 01.07.2022</v>
      </c>
      <c r="D68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3" t="str">
        <f ca="1">IFERROR(__xludf.DUMMYFUNCTION("""COMPUTED_VALUE"""),"Новый")</f>
        <v>Новый</v>
      </c>
      <c r="G6833" s="68"/>
      <c r="K6833" s="68"/>
    </row>
    <row r="6834" spans="1:11" ht="12.75">
      <c r="A6834" s="69">
        <f ca="1">IFERROR(__xludf.DUMMYFUNCTION("""COMPUTED_VALUE"""),108239)</f>
        <v>108239</v>
      </c>
      <c r="B6834" s="4">
        <f ca="1">IFERROR(__xludf.DUMMYFUNCTION("""COMPUTED_VALUE"""),44834)</f>
        <v>44834</v>
      </c>
      <c r="C6834" t="str">
        <f ca="1">IFERROR(__xludf.DUMMYFUNCTION("""COMPUTED_VALUE"""),"БУ Г. ОМСКА ""УДХБ"" 197-РДО от 01.07.2022")</f>
        <v>БУ Г. ОМСКА "УДХБ" 197-РДО от 01.07.2022</v>
      </c>
      <c r="D68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4" t="str">
        <f ca="1">IFERROR(__xludf.DUMMYFUNCTION("""COMPUTED_VALUE"""),"Новый")</f>
        <v>Новый</v>
      </c>
      <c r="G6834" s="68"/>
      <c r="K6834" s="68"/>
    </row>
    <row r="6835" spans="1:11" ht="12.75">
      <c r="A6835" s="69">
        <f ca="1">IFERROR(__xludf.DUMMYFUNCTION("""COMPUTED_VALUE"""),108240)</f>
        <v>108240</v>
      </c>
      <c r="B6835" s="4">
        <f ca="1">IFERROR(__xludf.DUMMYFUNCTION("""COMPUTED_VALUE"""),44834)</f>
        <v>44834</v>
      </c>
      <c r="C6835" t="str">
        <f ca="1">IFERROR(__xludf.DUMMYFUNCTION("""COMPUTED_VALUE"""),"БУ Г. ОМСКА ""УДХБ"" 197-РДО от 01.07.2022")</f>
        <v>БУ Г. ОМСКА "УДХБ" 197-РДО от 01.07.2022</v>
      </c>
      <c r="D68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5" t="str">
        <f ca="1">IFERROR(__xludf.DUMMYFUNCTION("""COMPUTED_VALUE"""),"Новый")</f>
        <v>Новый</v>
      </c>
      <c r="G6835" s="68"/>
      <c r="K6835" s="68"/>
    </row>
    <row r="6836" spans="1:11" ht="12.75">
      <c r="A6836" s="69">
        <f ca="1">IFERROR(__xludf.DUMMYFUNCTION("""COMPUTED_VALUE"""),108241)</f>
        <v>108241</v>
      </c>
      <c r="B6836" s="4">
        <f ca="1">IFERROR(__xludf.DUMMYFUNCTION("""COMPUTED_VALUE"""),44834)</f>
        <v>44834</v>
      </c>
      <c r="C6836" t="str">
        <f ca="1">IFERROR(__xludf.DUMMYFUNCTION("""COMPUTED_VALUE"""),"БУ Г. ОМСКА ""УДХБ"" 197-РДО от 01.07.2022")</f>
        <v>БУ Г. ОМСКА "УДХБ" 197-РДО от 01.07.2022</v>
      </c>
      <c r="D68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6" t="str">
        <f ca="1">IFERROR(__xludf.DUMMYFUNCTION("""COMPUTED_VALUE"""),"Новый")</f>
        <v>Новый</v>
      </c>
      <c r="G6836" s="68"/>
      <c r="K6836" s="68"/>
    </row>
    <row r="6837" spans="1:11" ht="12.75">
      <c r="A6837" s="69">
        <f ca="1">IFERROR(__xludf.DUMMYFUNCTION("""COMPUTED_VALUE"""),108242)</f>
        <v>108242</v>
      </c>
      <c r="B6837" s="4">
        <f ca="1">IFERROR(__xludf.DUMMYFUNCTION("""COMPUTED_VALUE"""),44834)</f>
        <v>44834</v>
      </c>
      <c r="C6837" t="str">
        <f ca="1">IFERROR(__xludf.DUMMYFUNCTION("""COMPUTED_VALUE"""),"БУ Г. ОМСКА ""УДХБ"" 197-РДО от 01.07.2022")</f>
        <v>БУ Г. ОМСКА "УДХБ" 197-РДО от 01.07.2022</v>
      </c>
      <c r="D68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7" t="str">
        <f ca="1">IFERROR(__xludf.DUMMYFUNCTION("""COMPUTED_VALUE"""),"Новый")</f>
        <v>Новый</v>
      </c>
      <c r="G6837" s="68"/>
      <c r="K6837" s="68"/>
    </row>
    <row r="6838" spans="1:11" ht="12.75">
      <c r="A6838" s="69">
        <f ca="1">IFERROR(__xludf.DUMMYFUNCTION("""COMPUTED_VALUE"""),108243)</f>
        <v>108243</v>
      </c>
      <c r="B6838" s="4">
        <f ca="1">IFERROR(__xludf.DUMMYFUNCTION("""COMPUTED_VALUE"""),44834)</f>
        <v>44834</v>
      </c>
      <c r="C6838" t="str">
        <f ca="1">IFERROR(__xludf.DUMMYFUNCTION("""COMPUTED_VALUE"""),"БУ Г. ОМСКА ""УДХБ"" 197-РДО от 01.07.2022")</f>
        <v>БУ Г. ОМСКА "УДХБ" 197-РДО от 01.07.2022</v>
      </c>
      <c r="D68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8" t="str">
        <f ca="1">IFERROR(__xludf.DUMMYFUNCTION("""COMPUTED_VALUE"""),"Новый")</f>
        <v>Новый</v>
      </c>
      <c r="G6838" s="68"/>
      <c r="K6838" s="68"/>
    </row>
    <row r="6839" spans="1:11" ht="12.75">
      <c r="A6839" s="69">
        <f ca="1">IFERROR(__xludf.DUMMYFUNCTION("""COMPUTED_VALUE"""),108244)</f>
        <v>108244</v>
      </c>
      <c r="B6839" s="4">
        <f ca="1">IFERROR(__xludf.DUMMYFUNCTION("""COMPUTED_VALUE"""),44834)</f>
        <v>44834</v>
      </c>
      <c r="C6839" t="str">
        <f ca="1">IFERROR(__xludf.DUMMYFUNCTION("""COMPUTED_VALUE"""),"БУ Г. ОМСКА ""УДХБ"" 197-РДО от 01.07.2022")</f>
        <v>БУ Г. ОМСКА "УДХБ" 197-РДО от 01.07.2022</v>
      </c>
      <c r="D68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39" t="str">
        <f ca="1">IFERROR(__xludf.DUMMYFUNCTION("""COMPUTED_VALUE"""),"Новый")</f>
        <v>Новый</v>
      </c>
      <c r="G6839" s="68"/>
      <c r="K6839" s="68"/>
    </row>
    <row r="6840" spans="1:11" ht="12.75">
      <c r="A6840" s="69">
        <f ca="1">IFERROR(__xludf.DUMMYFUNCTION("""COMPUTED_VALUE"""),108245)</f>
        <v>108245</v>
      </c>
      <c r="B6840" s="4">
        <f ca="1">IFERROR(__xludf.DUMMYFUNCTION("""COMPUTED_VALUE"""),44834)</f>
        <v>44834</v>
      </c>
      <c r="C6840" t="str">
        <f ca="1">IFERROR(__xludf.DUMMYFUNCTION("""COMPUTED_VALUE"""),"БУ Г. ОМСКА ""УДХБ"" 197-РДО от 01.07.2022")</f>
        <v>БУ Г. ОМСКА "УДХБ" 197-РДО от 01.07.2022</v>
      </c>
      <c r="D68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0" t="str">
        <f ca="1">IFERROR(__xludf.DUMMYFUNCTION("""COMPUTED_VALUE"""),"Новый")</f>
        <v>Новый</v>
      </c>
      <c r="G6840" s="68"/>
      <c r="K6840" s="68"/>
    </row>
    <row r="6841" spans="1:11" ht="12.75">
      <c r="A6841" s="69">
        <f ca="1">IFERROR(__xludf.DUMMYFUNCTION("""COMPUTED_VALUE"""),108246)</f>
        <v>108246</v>
      </c>
      <c r="B6841" s="4">
        <f ca="1">IFERROR(__xludf.DUMMYFUNCTION("""COMPUTED_VALUE"""),44834)</f>
        <v>44834</v>
      </c>
      <c r="C6841" t="str">
        <f ca="1">IFERROR(__xludf.DUMMYFUNCTION("""COMPUTED_VALUE"""),"БУ Г. ОМСКА ""УДХБ"" 197-РДО от 01.07.2022")</f>
        <v>БУ Г. ОМСКА "УДХБ" 197-РДО от 01.07.2022</v>
      </c>
      <c r="D68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1" t="str">
        <f ca="1">IFERROR(__xludf.DUMMYFUNCTION("""COMPUTED_VALUE"""),"Новый")</f>
        <v>Новый</v>
      </c>
      <c r="G6841" s="68"/>
      <c r="K6841" s="68"/>
    </row>
    <row r="6842" spans="1:11" ht="12.75">
      <c r="A6842" s="69">
        <f ca="1">IFERROR(__xludf.DUMMYFUNCTION("""COMPUTED_VALUE"""),108247)</f>
        <v>108247</v>
      </c>
      <c r="B6842" s="4">
        <f ca="1">IFERROR(__xludf.DUMMYFUNCTION("""COMPUTED_VALUE"""),44834)</f>
        <v>44834</v>
      </c>
      <c r="C6842" t="str">
        <f ca="1">IFERROR(__xludf.DUMMYFUNCTION("""COMPUTED_VALUE"""),"БУ Г. ОМСКА ""УДХБ"" 197-РДО от 01.07.2022")</f>
        <v>БУ Г. ОМСКА "УДХБ" 197-РДО от 01.07.2022</v>
      </c>
      <c r="D68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2" t="str">
        <f ca="1">IFERROR(__xludf.DUMMYFUNCTION("""COMPUTED_VALUE"""),"Новый")</f>
        <v>Новый</v>
      </c>
      <c r="G6842" s="68"/>
      <c r="K6842" s="68"/>
    </row>
    <row r="6843" spans="1:11" ht="12.75">
      <c r="A6843" s="69">
        <f ca="1">IFERROR(__xludf.DUMMYFUNCTION("""COMPUTED_VALUE"""),108248)</f>
        <v>108248</v>
      </c>
      <c r="B6843" s="4">
        <f ca="1">IFERROR(__xludf.DUMMYFUNCTION("""COMPUTED_VALUE"""),44834)</f>
        <v>44834</v>
      </c>
      <c r="C6843" t="str">
        <f ca="1">IFERROR(__xludf.DUMMYFUNCTION("""COMPUTED_VALUE"""),"БУ Г. ОМСКА ""УДХБ"" 197-РДО от 01.07.2022")</f>
        <v>БУ Г. ОМСКА "УДХБ" 197-РДО от 01.07.2022</v>
      </c>
      <c r="D68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3" t="str">
        <f ca="1">IFERROR(__xludf.DUMMYFUNCTION("""COMPUTED_VALUE"""),"Новый")</f>
        <v>Новый</v>
      </c>
      <c r="G6843" s="68"/>
      <c r="K6843" s="68"/>
    </row>
    <row r="6844" spans="1:11" ht="12.75">
      <c r="A6844" s="69">
        <f ca="1">IFERROR(__xludf.DUMMYFUNCTION("""COMPUTED_VALUE"""),108249)</f>
        <v>108249</v>
      </c>
      <c r="B6844" s="4">
        <f ca="1">IFERROR(__xludf.DUMMYFUNCTION("""COMPUTED_VALUE"""),44834)</f>
        <v>44834</v>
      </c>
      <c r="C6844" t="str">
        <f ca="1">IFERROR(__xludf.DUMMYFUNCTION("""COMPUTED_VALUE"""),"БУ Г. ОМСКА ""УДХБ"" 197-РДО от 01.07.2022")</f>
        <v>БУ Г. ОМСКА "УДХБ" 197-РДО от 01.07.2022</v>
      </c>
      <c r="D68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4" t="str">
        <f ca="1">IFERROR(__xludf.DUMMYFUNCTION("""COMPUTED_VALUE"""),"Новый")</f>
        <v>Новый</v>
      </c>
      <c r="G6844" s="68"/>
      <c r="K6844" s="68"/>
    </row>
    <row r="6845" spans="1:11" ht="12.75">
      <c r="A6845" s="69">
        <f ca="1">IFERROR(__xludf.DUMMYFUNCTION("""COMPUTED_VALUE"""),108250)</f>
        <v>108250</v>
      </c>
      <c r="B6845" s="4">
        <f ca="1">IFERROR(__xludf.DUMMYFUNCTION("""COMPUTED_VALUE"""),44834)</f>
        <v>44834</v>
      </c>
      <c r="C6845" t="str">
        <f ca="1">IFERROR(__xludf.DUMMYFUNCTION("""COMPUTED_VALUE"""),"БУ Г. ОМСКА ""УДХБ"" 197-РДО от 01.07.2022")</f>
        <v>БУ Г. ОМСКА "УДХБ" 197-РДО от 01.07.2022</v>
      </c>
      <c r="D68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5" t="str">
        <f ca="1">IFERROR(__xludf.DUMMYFUNCTION("""COMPUTED_VALUE"""),"Новый")</f>
        <v>Новый</v>
      </c>
      <c r="G6845" s="68"/>
      <c r="K6845" s="68"/>
    </row>
    <row r="6846" spans="1:11" ht="12.75">
      <c r="A6846" s="69">
        <f ca="1">IFERROR(__xludf.DUMMYFUNCTION("""COMPUTED_VALUE"""),108251)</f>
        <v>108251</v>
      </c>
      <c r="B6846" s="4">
        <f ca="1">IFERROR(__xludf.DUMMYFUNCTION("""COMPUTED_VALUE"""),44834)</f>
        <v>44834</v>
      </c>
      <c r="C6846" t="str">
        <f ca="1">IFERROR(__xludf.DUMMYFUNCTION("""COMPUTED_VALUE"""),"БУ Г. ОМСКА ""УДХБ"" 197-РДО от 01.07.2022")</f>
        <v>БУ Г. ОМСКА "УДХБ" 197-РДО от 01.07.2022</v>
      </c>
      <c r="D68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6" t="str">
        <f ca="1">IFERROR(__xludf.DUMMYFUNCTION("""COMPUTED_VALUE"""),"Новый")</f>
        <v>Новый</v>
      </c>
      <c r="G6846" s="68"/>
      <c r="K6846" s="68"/>
    </row>
    <row r="6847" spans="1:11" ht="12.75">
      <c r="A6847" s="69">
        <f ca="1">IFERROR(__xludf.DUMMYFUNCTION("""COMPUTED_VALUE"""),108252)</f>
        <v>108252</v>
      </c>
      <c r="B6847" s="4">
        <f ca="1">IFERROR(__xludf.DUMMYFUNCTION("""COMPUTED_VALUE"""),44834)</f>
        <v>44834</v>
      </c>
      <c r="C6847" t="str">
        <f ca="1">IFERROR(__xludf.DUMMYFUNCTION("""COMPUTED_VALUE"""),"БУ Г. ОМСКА ""УДХБ"" 197-РДО от 01.07.2022")</f>
        <v>БУ Г. ОМСКА "УДХБ" 197-РДО от 01.07.2022</v>
      </c>
      <c r="D68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7" t="str">
        <f ca="1">IFERROR(__xludf.DUMMYFUNCTION("""COMPUTED_VALUE"""),"Новый")</f>
        <v>Новый</v>
      </c>
      <c r="G6847" s="68"/>
      <c r="K6847" s="68"/>
    </row>
    <row r="6848" spans="1:11" ht="12.75">
      <c r="A6848" s="69">
        <f ca="1">IFERROR(__xludf.DUMMYFUNCTION("""COMPUTED_VALUE"""),108253)</f>
        <v>108253</v>
      </c>
      <c r="B6848" s="4">
        <f ca="1">IFERROR(__xludf.DUMMYFUNCTION("""COMPUTED_VALUE"""),44834)</f>
        <v>44834</v>
      </c>
      <c r="C6848" t="str">
        <f ca="1">IFERROR(__xludf.DUMMYFUNCTION("""COMPUTED_VALUE"""),"БУ Г. ОМСКА ""УДХБ"" 197-РДО от 01.07.2022")</f>
        <v>БУ Г. ОМСКА "УДХБ" 197-РДО от 01.07.2022</v>
      </c>
      <c r="D68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8" t="str">
        <f ca="1">IFERROR(__xludf.DUMMYFUNCTION("""COMPUTED_VALUE"""),"Новый")</f>
        <v>Новый</v>
      </c>
      <c r="G6848" s="68"/>
      <c r="K6848" s="68"/>
    </row>
    <row r="6849" spans="1:11" ht="12.75">
      <c r="A6849" s="69">
        <f ca="1">IFERROR(__xludf.DUMMYFUNCTION("""COMPUTED_VALUE"""),108254)</f>
        <v>108254</v>
      </c>
      <c r="B6849" s="4">
        <f ca="1">IFERROR(__xludf.DUMMYFUNCTION("""COMPUTED_VALUE"""),44834)</f>
        <v>44834</v>
      </c>
      <c r="C6849" t="str">
        <f ca="1">IFERROR(__xludf.DUMMYFUNCTION("""COMPUTED_VALUE"""),"БУ Г. ОМСКА ""УДХБ"" 197-РДО от 01.07.2022")</f>
        <v>БУ Г. ОМСКА "УДХБ" 197-РДО от 01.07.2022</v>
      </c>
      <c r="D68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49" t="str">
        <f ca="1">IFERROR(__xludf.DUMMYFUNCTION("""COMPUTED_VALUE"""),"Новый")</f>
        <v>Новый</v>
      </c>
      <c r="G6849" s="68"/>
      <c r="K6849" s="68"/>
    </row>
    <row r="6850" spans="1:11" ht="12.75">
      <c r="A6850" s="69">
        <f ca="1">IFERROR(__xludf.DUMMYFUNCTION("""COMPUTED_VALUE"""),108255)</f>
        <v>108255</v>
      </c>
      <c r="B6850" s="4">
        <f ca="1">IFERROR(__xludf.DUMMYFUNCTION("""COMPUTED_VALUE"""),44834)</f>
        <v>44834</v>
      </c>
      <c r="C6850" t="str">
        <f ca="1">IFERROR(__xludf.DUMMYFUNCTION("""COMPUTED_VALUE"""),"БУ Г. ОМСКА ""УДХБ"" 197-РДО от 01.07.2022")</f>
        <v>БУ Г. ОМСКА "УДХБ" 197-РДО от 01.07.2022</v>
      </c>
      <c r="D68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0" t="str">
        <f ca="1">IFERROR(__xludf.DUMMYFUNCTION("""COMPUTED_VALUE"""),"Новый")</f>
        <v>Новый</v>
      </c>
      <c r="G6850" s="68"/>
      <c r="K6850" s="68"/>
    </row>
    <row r="6851" spans="1:11" ht="12.75">
      <c r="A6851" s="69">
        <f ca="1">IFERROR(__xludf.DUMMYFUNCTION("""COMPUTED_VALUE"""),108256)</f>
        <v>108256</v>
      </c>
      <c r="B6851" s="4">
        <f ca="1">IFERROR(__xludf.DUMMYFUNCTION("""COMPUTED_VALUE"""),44834)</f>
        <v>44834</v>
      </c>
      <c r="C6851" t="str">
        <f ca="1">IFERROR(__xludf.DUMMYFUNCTION("""COMPUTED_VALUE"""),"БУ Г. ОМСКА ""УДХБ"" 197-РДО от 01.07.2022")</f>
        <v>БУ Г. ОМСКА "УДХБ" 197-РДО от 01.07.2022</v>
      </c>
      <c r="D68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1" t="str">
        <f ca="1">IFERROR(__xludf.DUMMYFUNCTION("""COMPUTED_VALUE"""),"Новый")</f>
        <v>Новый</v>
      </c>
      <c r="G6851" s="68"/>
      <c r="K6851" s="68"/>
    </row>
    <row r="6852" spans="1:11" ht="12.75">
      <c r="A6852" s="69">
        <f ca="1">IFERROR(__xludf.DUMMYFUNCTION("""COMPUTED_VALUE"""),108257)</f>
        <v>108257</v>
      </c>
      <c r="B6852" s="4">
        <f ca="1">IFERROR(__xludf.DUMMYFUNCTION("""COMPUTED_VALUE"""),44834)</f>
        <v>44834</v>
      </c>
      <c r="C6852" t="str">
        <f ca="1">IFERROR(__xludf.DUMMYFUNCTION("""COMPUTED_VALUE"""),"БУ Г. ОМСКА ""УДХБ"" 197-РДО от 01.07.2022")</f>
        <v>БУ Г. ОМСКА "УДХБ" 197-РДО от 01.07.2022</v>
      </c>
      <c r="D68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2" t="str">
        <f ca="1">IFERROR(__xludf.DUMMYFUNCTION("""COMPUTED_VALUE"""),"Новый")</f>
        <v>Новый</v>
      </c>
      <c r="G6852" s="68"/>
      <c r="K6852" s="68"/>
    </row>
    <row r="6853" spans="1:11" ht="12.75">
      <c r="A6853" s="69">
        <f ca="1">IFERROR(__xludf.DUMMYFUNCTION("""COMPUTED_VALUE"""),108258)</f>
        <v>108258</v>
      </c>
      <c r="B6853" s="4">
        <f ca="1">IFERROR(__xludf.DUMMYFUNCTION("""COMPUTED_VALUE"""),44834)</f>
        <v>44834</v>
      </c>
      <c r="C6853" t="str">
        <f ca="1">IFERROR(__xludf.DUMMYFUNCTION("""COMPUTED_VALUE"""),"БУ Г. ОМСКА ""УДХБ"" 197-РДО от 01.07.2022")</f>
        <v>БУ Г. ОМСКА "УДХБ" 197-РДО от 01.07.2022</v>
      </c>
      <c r="D68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3" t="str">
        <f ca="1">IFERROR(__xludf.DUMMYFUNCTION("""COMPUTED_VALUE"""),"Новый")</f>
        <v>Новый</v>
      </c>
      <c r="G6853" s="68"/>
      <c r="K6853" s="68"/>
    </row>
    <row r="6854" spans="1:11" ht="12.75">
      <c r="A6854" s="69">
        <f ca="1">IFERROR(__xludf.DUMMYFUNCTION("""COMPUTED_VALUE"""),108259)</f>
        <v>108259</v>
      </c>
      <c r="B6854" s="4">
        <f ca="1">IFERROR(__xludf.DUMMYFUNCTION("""COMPUTED_VALUE"""),44834)</f>
        <v>44834</v>
      </c>
      <c r="C6854" t="str">
        <f ca="1">IFERROR(__xludf.DUMMYFUNCTION("""COMPUTED_VALUE"""),"БУ Г. ОМСКА ""УДХБ"" 197-РДО от 01.07.2022")</f>
        <v>БУ Г. ОМСКА "УДХБ" 197-РДО от 01.07.2022</v>
      </c>
      <c r="D68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4" t="str">
        <f ca="1">IFERROR(__xludf.DUMMYFUNCTION("""COMPUTED_VALUE"""),"Новый")</f>
        <v>Новый</v>
      </c>
      <c r="G6854" s="68"/>
      <c r="K6854" s="68"/>
    </row>
    <row r="6855" spans="1:11" ht="12.75">
      <c r="A6855" s="69">
        <f ca="1">IFERROR(__xludf.DUMMYFUNCTION("""COMPUTED_VALUE"""),108260)</f>
        <v>108260</v>
      </c>
      <c r="B6855" s="4">
        <f ca="1">IFERROR(__xludf.DUMMYFUNCTION("""COMPUTED_VALUE"""),44834)</f>
        <v>44834</v>
      </c>
      <c r="C6855" t="str">
        <f ca="1">IFERROR(__xludf.DUMMYFUNCTION("""COMPUTED_VALUE"""),"БУ Г. ОМСКА ""УДХБ"" 197-РДО от 01.07.2022")</f>
        <v>БУ Г. ОМСКА "УДХБ" 197-РДО от 01.07.2022</v>
      </c>
      <c r="D68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5" t="str">
        <f ca="1">IFERROR(__xludf.DUMMYFUNCTION("""COMPUTED_VALUE"""),"Новый")</f>
        <v>Новый</v>
      </c>
      <c r="G6855" s="68"/>
      <c r="K6855" s="68"/>
    </row>
    <row r="6856" spans="1:11" ht="12.75">
      <c r="A6856" s="69">
        <f ca="1">IFERROR(__xludf.DUMMYFUNCTION("""COMPUTED_VALUE"""),108261)</f>
        <v>108261</v>
      </c>
      <c r="B6856" s="4">
        <f ca="1">IFERROR(__xludf.DUMMYFUNCTION("""COMPUTED_VALUE"""),44834)</f>
        <v>44834</v>
      </c>
      <c r="C6856" t="str">
        <f ca="1">IFERROR(__xludf.DUMMYFUNCTION("""COMPUTED_VALUE"""),"БУ Г. ОМСКА ""УДХБ"" 197-РДО от 01.07.2022")</f>
        <v>БУ Г. ОМСКА "УДХБ" 197-РДО от 01.07.2022</v>
      </c>
      <c r="D68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6" t="str">
        <f ca="1">IFERROR(__xludf.DUMMYFUNCTION("""COMPUTED_VALUE"""),"Новый")</f>
        <v>Новый</v>
      </c>
      <c r="G6856" s="68"/>
      <c r="K6856" s="68"/>
    </row>
    <row r="6857" spans="1:11" ht="12.75">
      <c r="A6857" s="69">
        <f ca="1">IFERROR(__xludf.DUMMYFUNCTION("""COMPUTED_VALUE"""),108262)</f>
        <v>108262</v>
      </c>
      <c r="B6857" s="4">
        <f ca="1">IFERROR(__xludf.DUMMYFUNCTION("""COMPUTED_VALUE"""),44834)</f>
        <v>44834</v>
      </c>
      <c r="C6857" t="str">
        <f ca="1">IFERROR(__xludf.DUMMYFUNCTION("""COMPUTED_VALUE"""),"БУ Г. ОМСКА ""УДХБ"" 197-РДО от 01.07.2022")</f>
        <v>БУ Г. ОМСКА "УДХБ" 197-РДО от 01.07.2022</v>
      </c>
      <c r="D68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7" t="str">
        <f ca="1">IFERROR(__xludf.DUMMYFUNCTION("""COMPUTED_VALUE"""),"Новый")</f>
        <v>Новый</v>
      </c>
      <c r="G6857" s="68"/>
      <c r="K6857" s="68"/>
    </row>
    <row r="6858" spans="1:11" ht="12.75">
      <c r="A6858" s="69">
        <f ca="1">IFERROR(__xludf.DUMMYFUNCTION("""COMPUTED_VALUE"""),108263)</f>
        <v>108263</v>
      </c>
      <c r="B6858" s="4">
        <f ca="1">IFERROR(__xludf.DUMMYFUNCTION("""COMPUTED_VALUE"""),44834)</f>
        <v>44834</v>
      </c>
      <c r="C6858" t="str">
        <f ca="1">IFERROR(__xludf.DUMMYFUNCTION("""COMPUTED_VALUE"""),"БУ Г. ОМСКА ""УДХБ"" 197-РДО от 01.07.2022")</f>
        <v>БУ Г. ОМСКА "УДХБ" 197-РДО от 01.07.2022</v>
      </c>
      <c r="D68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8" t="str">
        <f ca="1">IFERROR(__xludf.DUMMYFUNCTION("""COMPUTED_VALUE"""),"Новый")</f>
        <v>Новый</v>
      </c>
      <c r="G6858" s="68"/>
      <c r="K6858" s="68"/>
    </row>
    <row r="6859" spans="1:11" ht="12.75">
      <c r="A6859" s="69">
        <f ca="1">IFERROR(__xludf.DUMMYFUNCTION("""COMPUTED_VALUE"""),108264)</f>
        <v>108264</v>
      </c>
      <c r="B6859" s="4">
        <f ca="1">IFERROR(__xludf.DUMMYFUNCTION("""COMPUTED_VALUE"""),44834)</f>
        <v>44834</v>
      </c>
      <c r="C6859" t="str">
        <f ca="1">IFERROR(__xludf.DUMMYFUNCTION("""COMPUTED_VALUE"""),"БУ Г. ОМСКА ""УДХБ"" 197-РДО от 01.07.2022")</f>
        <v>БУ Г. ОМСКА "УДХБ" 197-РДО от 01.07.2022</v>
      </c>
      <c r="D68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59" t="str">
        <f ca="1">IFERROR(__xludf.DUMMYFUNCTION("""COMPUTED_VALUE"""),"Новый")</f>
        <v>Новый</v>
      </c>
      <c r="G6859" s="68"/>
      <c r="K6859" s="68"/>
    </row>
    <row r="6860" spans="1:11" ht="12.75">
      <c r="A6860" s="69">
        <f ca="1">IFERROR(__xludf.DUMMYFUNCTION("""COMPUTED_VALUE"""),108265)</f>
        <v>108265</v>
      </c>
      <c r="B6860" s="4">
        <f ca="1">IFERROR(__xludf.DUMMYFUNCTION("""COMPUTED_VALUE"""),44834)</f>
        <v>44834</v>
      </c>
      <c r="C6860" t="str">
        <f ca="1">IFERROR(__xludf.DUMMYFUNCTION("""COMPUTED_VALUE"""),"БУ Г. ОМСКА ""УДХБ"" 197-РДО от 01.07.2022")</f>
        <v>БУ Г. ОМСКА "УДХБ" 197-РДО от 01.07.2022</v>
      </c>
      <c r="D68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0" t="str">
        <f ca="1">IFERROR(__xludf.DUMMYFUNCTION("""COMPUTED_VALUE"""),"Новый")</f>
        <v>Новый</v>
      </c>
      <c r="G6860" s="68"/>
      <c r="K6860" s="68"/>
    </row>
    <row r="6861" spans="1:11" ht="12.75">
      <c r="A6861" s="69">
        <f ca="1">IFERROR(__xludf.DUMMYFUNCTION("""COMPUTED_VALUE"""),108266)</f>
        <v>108266</v>
      </c>
      <c r="B6861" s="4">
        <f ca="1">IFERROR(__xludf.DUMMYFUNCTION("""COMPUTED_VALUE"""),44834)</f>
        <v>44834</v>
      </c>
      <c r="C6861" t="str">
        <f ca="1">IFERROR(__xludf.DUMMYFUNCTION("""COMPUTED_VALUE"""),"БУ Г. ОМСКА ""УДХБ"" 197-РДО от 01.07.2022")</f>
        <v>БУ Г. ОМСКА "УДХБ" 197-РДО от 01.07.2022</v>
      </c>
      <c r="D68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1" t="str">
        <f ca="1">IFERROR(__xludf.DUMMYFUNCTION("""COMPUTED_VALUE"""),"Новый")</f>
        <v>Новый</v>
      </c>
      <c r="G6861" s="68"/>
      <c r="K6861" s="68"/>
    </row>
    <row r="6862" spans="1:11" ht="12.75">
      <c r="A6862" s="69">
        <f ca="1">IFERROR(__xludf.DUMMYFUNCTION("""COMPUTED_VALUE"""),108267)</f>
        <v>108267</v>
      </c>
      <c r="B6862" s="4">
        <f ca="1">IFERROR(__xludf.DUMMYFUNCTION("""COMPUTED_VALUE"""),44834)</f>
        <v>44834</v>
      </c>
      <c r="C6862" t="str">
        <f ca="1">IFERROR(__xludf.DUMMYFUNCTION("""COMPUTED_VALUE"""),"БУ Г. ОМСКА ""УДХБ"" 197-РДО от 01.07.2022")</f>
        <v>БУ Г. ОМСКА "УДХБ" 197-РДО от 01.07.2022</v>
      </c>
      <c r="D68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2" t="str">
        <f ca="1">IFERROR(__xludf.DUMMYFUNCTION("""COMPUTED_VALUE"""),"Новый")</f>
        <v>Новый</v>
      </c>
      <c r="G6862" s="68"/>
      <c r="K6862" s="68"/>
    </row>
    <row r="6863" spans="1:11" ht="12.75">
      <c r="A6863" s="69">
        <f ca="1">IFERROR(__xludf.DUMMYFUNCTION("""COMPUTED_VALUE"""),108268)</f>
        <v>108268</v>
      </c>
      <c r="B6863" s="4">
        <f ca="1">IFERROR(__xludf.DUMMYFUNCTION("""COMPUTED_VALUE"""),44834)</f>
        <v>44834</v>
      </c>
      <c r="C6863" t="str">
        <f ca="1">IFERROR(__xludf.DUMMYFUNCTION("""COMPUTED_VALUE"""),"БУ Г. ОМСКА ""УДХБ"" 197-РДО от 01.07.2022")</f>
        <v>БУ Г. ОМСКА "УДХБ" 197-РДО от 01.07.2022</v>
      </c>
      <c r="D68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3" t="str">
        <f ca="1">IFERROR(__xludf.DUMMYFUNCTION("""COMPUTED_VALUE"""),"Новый")</f>
        <v>Новый</v>
      </c>
      <c r="G6863" s="68"/>
      <c r="K6863" s="68"/>
    </row>
    <row r="6864" spans="1:11" ht="12.75">
      <c r="A6864" s="69">
        <f ca="1">IFERROR(__xludf.DUMMYFUNCTION("""COMPUTED_VALUE"""),108269)</f>
        <v>108269</v>
      </c>
      <c r="B6864" s="4">
        <f ca="1">IFERROR(__xludf.DUMMYFUNCTION("""COMPUTED_VALUE"""),44834)</f>
        <v>44834</v>
      </c>
      <c r="C6864" t="str">
        <f ca="1">IFERROR(__xludf.DUMMYFUNCTION("""COMPUTED_VALUE"""),"БУ Г. ОМСКА ""УДХБ"" 197-РДО от 01.07.2022")</f>
        <v>БУ Г. ОМСКА "УДХБ" 197-РДО от 01.07.2022</v>
      </c>
      <c r="D68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4" t="str">
        <f ca="1">IFERROR(__xludf.DUMMYFUNCTION("""COMPUTED_VALUE"""),"Новый")</f>
        <v>Новый</v>
      </c>
      <c r="G6864" s="68"/>
      <c r="K6864" s="68"/>
    </row>
    <row r="6865" spans="1:11" ht="12.75">
      <c r="A6865" s="69">
        <f ca="1">IFERROR(__xludf.DUMMYFUNCTION("""COMPUTED_VALUE"""),108270)</f>
        <v>108270</v>
      </c>
      <c r="B6865" s="4">
        <f ca="1">IFERROR(__xludf.DUMMYFUNCTION("""COMPUTED_VALUE"""),44834)</f>
        <v>44834</v>
      </c>
      <c r="C6865" t="str">
        <f ca="1">IFERROR(__xludf.DUMMYFUNCTION("""COMPUTED_VALUE"""),"БУ Г. ОМСКА ""УДХБ"" 197-РДО от 01.07.2022")</f>
        <v>БУ Г. ОМСКА "УДХБ" 197-РДО от 01.07.2022</v>
      </c>
      <c r="D68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5" t="str">
        <f ca="1">IFERROR(__xludf.DUMMYFUNCTION("""COMPUTED_VALUE"""),"Новый")</f>
        <v>Новый</v>
      </c>
      <c r="G6865" s="68"/>
      <c r="K6865" s="68"/>
    </row>
    <row r="6866" spans="1:11" ht="12.75">
      <c r="A6866" s="69">
        <f ca="1">IFERROR(__xludf.DUMMYFUNCTION("""COMPUTED_VALUE"""),108271)</f>
        <v>108271</v>
      </c>
      <c r="B6866" s="4">
        <f ca="1">IFERROR(__xludf.DUMMYFUNCTION("""COMPUTED_VALUE"""),44834)</f>
        <v>44834</v>
      </c>
      <c r="C6866" t="str">
        <f ca="1">IFERROR(__xludf.DUMMYFUNCTION("""COMPUTED_VALUE"""),"БУ Г. ОМСКА ""УДХБ"" 197-РДО от 01.07.2022")</f>
        <v>БУ Г. ОМСКА "УДХБ" 197-РДО от 01.07.2022</v>
      </c>
      <c r="D68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6" t="str">
        <f ca="1">IFERROR(__xludf.DUMMYFUNCTION("""COMPUTED_VALUE"""),"Новый")</f>
        <v>Новый</v>
      </c>
      <c r="G6866" s="68"/>
      <c r="K6866" s="68"/>
    </row>
    <row r="6867" spans="1:11" ht="12.75">
      <c r="A6867" s="69">
        <f ca="1">IFERROR(__xludf.DUMMYFUNCTION("""COMPUTED_VALUE"""),108272)</f>
        <v>108272</v>
      </c>
      <c r="B6867" s="4">
        <f ca="1">IFERROR(__xludf.DUMMYFUNCTION("""COMPUTED_VALUE"""),44834)</f>
        <v>44834</v>
      </c>
      <c r="C6867" t="str">
        <f ca="1">IFERROR(__xludf.DUMMYFUNCTION("""COMPUTED_VALUE"""),"БУ Г. ОМСКА ""УДХБ"" 197-РДО от 01.07.2022")</f>
        <v>БУ Г. ОМСКА "УДХБ" 197-РДО от 01.07.2022</v>
      </c>
      <c r="D68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7" t="str">
        <f ca="1">IFERROR(__xludf.DUMMYFUNCTION("""COMPUTED_VALUE"""),"Новый")</f>
        <v>Новый</v>
      </c>
      <c r="G6867" s="68"/>
      <c r="K6867" s="68"/>
    </row>
    <row r="6868" spans="1:11" ht="12.75">
      <c r="A6868" s="69">
        <f ca="1">IFERROR(__xludf.DUMMYFUNCTION("""COMPUTED_VALUE"""),108273)</f>
        <v>108273</v>
      </c>
      <c r="B6868" s="4">
        <f ca="1">IFERROR(__xludf.DUMMYFUNCTION("""COMPUTED_VALUE"""),44834)</f>
        <v>44834</v>
      </c>
      <c r="C6868" t="str">
        <f ca="1">IFERROR(__xludf.DUMMYFUNCTION("""COMPUTED_VALUE"""),"БУ Г. ОМСКА ""УДХБ"" 197-РДО от 01.07.2022")</f>
        <v>БУ Г. ОМСКА "УДХБ" 197-РДО от 01.07.2022</v>
      </c>
      <c r="D68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8" t="str">
        <f ca="1">IFERROR(__xludf.DUMMYFUNCTION("""COMPUTED_VALUE"""),"Новый")</f>
        <v>Новый</v>
      </c>
      <c r="G6868" s="68"/>
      <c r="K6868" s="68"/>
    </row>
    <row r="6869" spans="1:11" ht="12.75">
      <c r="A6869" s="69">
        <f ca="1">IFERROR(__xludf.DUMMYFUNCTION("""COMPUTED_VALUE"""),108274)</f>
        <v>108274</v>
      </c>
      <c r="B6869" s="4">
        <f ca="1">IFERROR(__xludf.DUMMYFUNCTION("""COMPUTED_VALUE"""),44834)</f>
        <v>44834</v>
      </c>
      <c r="C6869" t="str">
        <f ca="1">IFERROR(__xludf.DUMMYFUNCTION("""COMPUTED_VALUE"""),"БУ Г. ОМСКА ""УДХБ"" 197-РДО от 01.07.2022")</f>
        <v>БУ Г. ОМСКА "УДХБ" 197-РДО от 01.07.2022</v>
      </c>
      <c r="D68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69" t="str">
        <f ca="1">IFERROR(__xludf.DUMMYFUNCTION("""COMPUTED_VALUE"""),"Новый")</f>
        <v>Новый</v>
      </c>
      <c r="G6869" s="68"/>
      <c r="K6869" s="68"/>
    </row>
    <row r="6870" spans="1:11" ht="12.75">
      <c r="A6870" s="69">
        <f ca="1">IFERROR(__xludf.DUMMYFUNCTION("""COMPUTED_VALUE"""),108275)</f>
        <v>108275</v>
      </c>
      <c r="B6870" s="4">
        <f ca="1">IFERROR(__xludf.DUMMYFUNCTION("""COMPUTED_VALUE"""),44834)</f>
        <v>44834</v>
      </c>
      <c r="C6870" t="str">
        <f ca="1">IFERROR(__xludf.DUMMYFUNCTION("""COMPUTED_VALUE"""),"БУ Г. ОМСКА ""УДХБ"" 197-РДО от 01.07.2022")</f>
        <v>БУ Г. ОМСКА "УДХБ" 197-РДО от 01.07.2022</v>
      </c>
      <c r="D68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0" t="str">
        <f ca="1">IFERROR(__xludf.DUMMYFUNCTION("""COMPUTED_VALUE"""),"Новый")</f>
        <v>Новый</v>
      </c>
      <c r="G6870" s="68"/>
      <c r="K6870" s="68"/>
    </row>
    <row r="6871" spans="1:11" ht="12.75">
      <c r="A6871" s="69">
        <f ca="1">IFERROR(__xludf.DUMMYFUNCTION("""COMPUTED_VALUE"""),108276)</f>
        <v>108276</v>
      </c>
      <c r="B6871" s="4">
        <f ca="1">IFERROR(__xludf.DUMMYFUNCTION("""COMPUTED_VALUE"""),44834)</f>
        <v>44834</v>
      </c>
      <c r="C6871" t="str">
        <f ca="1">IFERROR(__xludf.DUMMYFUNCTION("""COMPUTED_VALUE"""),"БУ Г. ОМСКА ""УДХБ"" 197-РДО от 01.07.2022")</f>
        <v>БУ Г. ОМСКА "УДХБ" 197-РДО от 01.07.2022</v>
      </c>
      <c r="D68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1" t="str">
        <f ca="1">IFERROR(__xludf.DUMMYFUNCTION("""COMPUTED_VALUE"""),"Новый")</f>
        <v>Новый</v>
      </c>
      <c r="G6871" s="68"/>
      <c r="K6871" s="68"/>
    </row>
    <row r="6872" spans="1:11" ht="12.75">
      <c r="A6872" s="69">
        <f ca="1">IFERROR(__xludf.DUMMYFUNCTION("""COMPUTED_VALUE"""),108277)</f>
        <v>108277</v>
      </c>
      <c r="B6872" s="4">
        <f ca="1">IFERROR(__xludf.DUMMYFUNCTION("""COMPUTED_VALUE"""),44834)</f>
        <v>44834</v>
      </c>
      <c r="C6872" t="str">
        <f ca="1">IFERROR(__xludf.DUMMYFUNCTION("""COMPUTED_VALUE"""),"БУ Г. ОМСКА ""УДХБ"" 197-РДО от 01.07.2022")</f>
        <v>БУ Г. ОМСКА "УДХБ" 197-РДО от 01.07.2022</v>
      </c>
      <c r="D68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2" t="str">
        <f ca="1">IFERROR(__xludf.DUMMYFUNCTION("""COMPUTED_VALUE"""),"Новый")</f>
        <v>Новый</v>
      </c>
      <c r="G6872" s="68"/>
      <c r="K6872" s="68"/>
    </row>
    <row r="6873" spans="1:11" ht="12.75">
      <c r="A6873" s="69">
        <f ca="1">IFERROR(__xludf.DUMMYFUNCTION("""COMPUTED_VALUE"""),108278)</f>
        <v>108278</v>
      </c>
      <c r="B6873" s="4">
        <f ca="1">IFERROR(__xludf.DUMMYFUNCTION("""COMPUTED_VALUE"""),44834)</f>
        <v>44834</v>
      </c>
      <c r="C6873" t="str">
        <f ca="1">IFERROR(__xludf.DUMMYFUNCTION("""COMPUTED_VALUE"""),"БУ Г. ОМСКА ""УДХБ"" 197-РДО от 01.07.2022")</f>
        <v>БУ Г. ОМСКА "УДХБ" 197-РДО от 01.07.2022</v>
      </c>
      <c r="D68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3" t="str">
        <f ca="1">IFERROR(__xludf.DUMMYFUNCTION("""COMPUTED_VALUE"""),"Новый")</f>
        <v>Новый</v>
      </c>
      <c r="G6873" s="68"/>
      <c r="K6873" s="68"/>
    </row>
    <row r="6874" spans="1:11" ht="12.75">
      <c r="A6874" s="69">
        <f ca="1">IFERROR(__xludf.DUMMYFUNCTION("""COMPUTED_VALUE"""),108279)</f>
        <v>108279</v>
      </c>
      <c r="B6874" s="4">
        <f ca="1">IFERROR(__xludf.DUMMYFUNCTION("""COMPUTED_VALUE"""),44834)</f>
        <v>44834</v>
      </c>
      <c r="C6874" t="str">
        <f ca="1">IFERROR(__xludf.DUMMYFUNCTION("""COMPUTED_VALUE"""),"БУ Г. ОМСКА ""УДХБ"" 197-РДО от 01.07.2022")</f>
        <v>БУ Г. ОМСКА "УДХБ" 197-РДО от 01.07.2022</v>
      </c>
      <c r="D68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4" t="str">
        <f ca="1">IFERROR(__xludf.DUMMYFUNCTION("""COMPUTED_VALUE"""),"Новый")</f>
        <v>Новый</v>
      </c>
      <c r="G6874" s="68"/>
      <c r="K6874" s="68"/>
    </row>
    <row r="6875" spans="1:11" ht="12.75">
      <c r="A6875" s="69">
        <f ca="1">IFERROR(__xludf.DUMMYFUNCTION("""COMPUTED_VALUE"""),108280)</f>
        <v>108280</v>
      </c>
      <c r="B6875" s="4">
        <f ca="1">IFERROR(__xludf.DUMMYFUNCTION("""COMPUTED_VALUE"""),44834)</f>
        <v>44834</v>
      </c>
      <c r="C6875" t="str">
        <f ca="1">IFERROR(__xludf.DUMMYFUNCTION("""COMPUTED_VALUE"""),"БУ Г. ОМСКА ""УДХБ"" 197-РДО от 01.07.2022")</f>
        <v>БУ Г. ОМСКА "УДХБ" 197-РДО от 01.07.2022</v>
      </c>
      <c r="D68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5" t="str">
        <f ca="1">IFERROR(__xludf.DUMMYFUNCTION("""COMPUTED_VALUE"""),"Новый")</f>
        <v>Новый</v>
      </c>
      <c r="G6875" s="68"/>
      <c r="K6875" s="68"/>
    </row>
    <row r="6876" spans="1:11" ht="12.75">
      <c r="A6876" s="69">
        <f ca="1">IFERROR(__xludf.DUMMYFUNCTION("""COMPUTED_VALUE"""),108281)</f>
        <v>108281</v>
      </c>
      <c r="B6876" s="4">
        <f ca="1">IFERROR(__xludf.DUMMYFUNCTION("""COMPUTED_VALUE"""),44834)</f>
        <v>44834</v>
      </c>
      <c r="C6876" t="str">
        <f ca="1">IFERROR(__xludf.DUMMYFUNCTION("""COMPUTED_VALUE"""),"БУ Г. ОМСКА ""УДХБ"" 197-РДО от 01.07.2022")</f>
        <v>БУ Г. ОМСКА "УДХБ" 197-РДО от 01.07.2022</v>
      </c>
      <c r="D68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6" t="str">
        <f ca="1">IFERROR(__xludf.DUMMYFUNCTION("""COMPUTED_VALUE"""),"Новый")</f>
        <v>Новый</v>
      </c>
      <c r="G6876" s="68"/>
      <c r="K6876" s="68"/>
    </row>
    <row r="6877" spans="1:11" ht="12.75">
      <c r="A6877" s="69">
        <f ca="1">IFERROR(__xludf.DUMMYFUNCTION("""COMPUTED_VALUE"""),108282)</f>
        <v>108282</v>
      </c>
      <c r="B6877" s="4">
        <f ca="1">IFERROR(__xludf.DUMMYFUNCTION("""COMPUTED_VALUE"""),44834)</f>
        <v>44834</v>
      </c>
      <c r="C6877" t="str">
        <f ca="1">IFERROR(__xludf.DUMMYFUNCTION("""COMPUTED_VALUE"""),"БУ Г. ОМСКА ""УДХБ"" 197-РДО от 01.07.2022")</f>
        <v>БУ Г. ОМСКА "УДХБ" 197-РДО от 01.07.2022</v>
      </c>
      <c r="D68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7" t="str">
        <f ca="1">IFERROR(__xludf.DUMMYFUNCTION("""COMPUTED_VALUE"""),"Новый")</f>
        <v>Новый</v>
      </c>
      <c r="G6877" s="68"/>
      <c r="K6877" s="68"/>
    </row>
    <row r="6878" spans="1:11" ht="12.75">
      <c r="A6878" s="69">
        <f ca="1">IFERROR(__xludf.DUMMYFUNCTION("""COMPUTED_VALUE"""),108283)</f>
        <v>108283</v>
      </c>
      <c r="B6878" s="4">
        <f ca="1">IFERROR(__xludf.DUMMYFUNCTION("""COMPUTED_VALUE"""),44834)</f>
        <v>44834</v>
      </c>
      <c r="C6878" t="str">
        <f ca="1">IFERROR(__xludf.DUMMYFUNCTION("""COMPUTED_VALUE"""),"БУ Г. ОМСКА ""УДХБ"" 197-РДО от 01.07.2022")</f>
        <v>БУ Г. ОМСКА "УДХБ" 197-РДО от 01.07.2022</v>
      </c>
      <c r="D68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8" t="str">
        <f ca="1">IFERROR(__xludf.DUMMYFUNCTION("""COMPUTED_VALUE"""),"Новый")</f>
        <v>Новый</v>
      </c>
      <c r="G6878" s="68"/>
      <c r="K6878" s="68"/>
    </row>
    <row r="6879" spans="1:11" ht="12.75">
      <c r="A6879" s="69">
        <f ca="1">IFERROR(__xludf.DUMMYFUNCTION("""COMPUTED_VALUE"""),108284)</f>
        <v>108284</v>
      </c>
      <c r="B6879" s="4">
        <f ca="1">IFERROR(__xludf.DUMMYFUNCTION("""COMPUTED_VALUE"""),44834)</f>
        <v>44834</v>
      </c>
      <c r="C6879" t="str">
        <f ca="1">IFERROR(__xludf.DUMMYFUNCTION("""COMPUTED_VALUE"""),"БУ Г. ОМСКА ""УДХБ"" 197-РДО от 01.07.2022")</f>
        <v>БУ Г. ОМСКА "УДХБ" 197-РДО от 01.07.2022</v>
      </c>
      <c r="D68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79" t="str">
        <f ca="1">IFERROR(__xludf.DUMMYFUNCTION("""COMPUTED_VALUE"""),"Новый")</f>
        <v>Новый</v>
      </c>
      <c r="G6879" s="68"/>
      <c r="K6879" s="68"/>
    </row>
    <row r="6880" spans="1:11" ht="12.75">
      <c r="A6880" s="69">
        <f ca="1">IFERROR(__xludf.DUMMYFUNCTION("""COMPUTED_VALUE"""),108285)</f>
        <v>108285</v>
      </c>
      <c r="B6880" s="4">
        <f ca="1">IFERROR(__xludf.DUMMYFUNCTION("""COMPUTED_VALUE"""),44834)</f>
        <v>44834</v>
      </c>
      <c r="C6880" t="str">
        <f ca="1">IFERROR(__xludf.DUMMYFUNCTION("""COMPUTED_VALUE"""),"БУ Г. ОМСКА ""УДХБ"" 197-РДО от 01.07.2022")</f>
        <v>БУ Г. ОМСКА "УДХБ" 197-РДО от 01.07.2022</v>
      </c>
      <c r="D68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0" t="str">
        <f ca="1">IFERROR(__xludf.DUMMYFUNCTION("""COMPUTED_VALUE"""),"Новый")</f>
        <v>Новый</v>
      </c>
      <c r="G6880" s="68"/>
      <c r="K6880" s="68"/>
    </row>
    <row r="6881" spans="1:11" ht="12.75">
      <c r="A6881" s="69">
        <f ca="1">IFERROR(__xludf.DUMMYFUNCTION("""COMPUTED_VALUE"""),108286)</f>
        <v>108286</v>
      </c>
      <c r="B6881" s="4">
        <f ca="1">IFERROR(__xludf.DUMMYFUNCTION("""COMPUTED_VALUE"""),44834)</f>
        <v>44834</v>
      </c>
      <c r="C6881" t="str">
        <f ca="1">IFERROR(__xludf.DUMMYFUNCTION("""COMPUTED_VALUE"""),"БУ Г. ОМСКА ""УДХБ"" 197-РДО от 01.07.2022")</f>
        <v>БУ Г. ОМСКА "УДХБ" 197-РДО от 01.07.2022</v>
      </c>
      <c r="D68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1" t="str">
        <f ca="1">IFERROR(__xludf.DUMMYFUNCTION("""COMPUTED_VALUE"""),"Новый")</f>
        <v>Новый</v>
      </c>
      <c r="G6881" s="68"/>
      <c r="K6881" s="68"/>
    </row>
    <row r="6882" spans="1:11" ht="12.75">
      <c r="A6882" s="69">
        <f ca="1">IFERROR(__xludf.DUMMYFUNCTION("""COMPUTED_VALUE"""),108287)</f>
        <v>108287</v>
      </c>
      <c r="B6882" s="4">
        <f ca="1">IFERROR(__xludf.DUMMYFUNCTION("""COMPUTED_VALUE"""),44834)</f>
        <v>44834</v>
      </c>
      <c r="C6882" t="str">
        <f ca="1">IFERROR(__xludf.DUMMYFUNCTION("""COMPUTED_VALUE"""),"БУ Г. ОМСКА ""УДХБ"" 197-РДО от 01.07.2022")</f>
        <v>БУ Г. ОМСКА "УДХБ" 197-РДО от 01.07.2022</v>
      </c>
      <c r="D68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2" t="str">
        <f ca="1">IFERROR(__xludf.DUMMYFUNCTION("""COMPUTED_VALUE"""),"Новый")</f>
        <v>Новый</v>
      </c>
      <c r="G6882" s="68"/>
      <c r="K6882" s="68"/>
    </row>
    <row r="6883" spans="1:11" ht="12.75">
      <c r="A6883" s="69">
        <f ca="1">IFERROR(__xludf.DUMMYFUNCTION("""COMPUTED_VALUE"""),108288)</f>
        <v>108288</v>
      </c>
      <c r="B6883" s="4">
        <f ca="1">IFERROR(__xludf.DUMMYFUNCTION("""COMPUTED_VALUE"""),44834)</f>
        <v>44834</v>
      </c>
      <c r="C6883" t="str">
        <f ca="1">IFERROR(__xludf.DUMMYFUNCTION("""COMPUTED_VALUE"""),"БУ Г. ОМСКА ""УДХБ"" 197-РДО от 01.07.2022")</f>
        <v>БУ Г. ОМСКА "УДХБ" 197-РДО от 01.07.2022</v>
      </c>
      <c r="D68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3" t="str">
        <f ca="1">IFERROR(__xludf.DUMMYFUNCTION("""COMPUTED_VALUE"""),"Новый")</f>
        <v>Новый</v>
      </c>
      <c r="G6883" s="68"/>
      <c r="K6883" s="68"/>
    </row>
    <row r="6884" spans="1:11" ht="12.75">
      <c r="A6884" s="69">
        <f ca="1">IFERROR(__xludf.DUMMYFUNCTION("""COMPUTED_VALUE"""),108289)</f>
        <v>108289</v>
      </c>
      <c r="B6884" s="4">
        <f ca="1">IFERROR(__xludf.DUMMYFUNCTION("""COMPUTED_VALUE"""),44834)</f>
        <v>44834</v>
      </c>
      <c r="C6884" t="str">
        <f ca="1">IFERROR(__xludf.DUMMYFUNCTION("""COMPUTED_VALUE"""),"БУ Г. ОМСКА ""УДХБ"" 197-РДО от 01.07.2022")</f>
        <v>БУ Г. ОМСКА "УДХБ" 197-РДО от 01.07.2022</v>
      </c>
      <c r="D68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4" t="str">
        <f ca="1">IFERROR(__xludf.DUMMYFUNCTION("""COMPUTED_VALUE"""),"Новый")</f>
        <v>Новый</v>
      </c>
      <c r="G6884" s="68"/>
      <c r="K6884" s="68"/>
    </row>
    <row r="6885" spans="1:11" ht="12.75">
      <c r="A6885" s="69">
        <f ca="1">IFERROR(__xludf.DUMMYFUNCTION("""COMPUTED_VALUE"""),108290)</f>
        <v>108290</v>
      </c>
      <c r="B6885" s="4">
        <f ca="1">IFERROR(__xludf.DUMMYFUNCTION("""COMPUTED_VALUE"""),44834)</f>
        <v>44834</v>
      </c>
      <c r="C6885" t="str">
        <f ca="1">IFERROR(__xludf.DUMMYFUNCTION("""COMPUTED_VALUE"""),"БУ Г. ОМСКА ""УДХБ"" 197-РДО от 01.07.2022")</f>
        <v>БУ Г. ОМСКА "УДХБ" 197-РДО от 01.07.2022</v>
      </c>
      <c r="D68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5" t="str">
        <f ca="1">IFERROR(__xludf.DUMMYFUNCTION("""COMPUTED_VALUE"""),"Новый")</f>
        <v>Новый</v>
      </c>
      <c r="G6885" s="68"/>
      <c r="K6885" s="68"/>
    </row>
    <row r="6886" spans="1:11" ht="12.75">
      <c r="A6886" s="69">
        <f ca="1">IFERROR(__xludf.DUMMYFUNCTION("""COMPUTED_VALUE"""),108291)</f>
        <v>108291</v>
      </c>
      <c r="B6886" s="4">
        <f ca="1">IFERROR(__xludf.DUMMYFUNCTION("""COMPUTED_VALUE"""),44834)</f>
        <v>44834</v>
      </c>
      <c r="C6886" t="str">
        <f ca="1">IFERROR(__xludf.DUMMYFUNCTION("""COMPUTED_VALUE"""),"БУ Г. ОМСКА ""УДХБ"" 197-РДО от 01.07.2022")</f>
        <v>БУ Г. ОМСКА "УДХБ" 197-РДО от 01.07.2022</v>
      </c>
      <c r="D68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6" t="str">
        <f ca="1">IFERROR(__xludf.DUMMYFUNCTION("""COMPUTED_VALUE"""),"Новый")</f>
        <v>Новый</v>
      </c>
      <c r="G6886" s="68"/>
      <c r="K6886" s="68"/>
    </row>
    <row r="6887" spans="1:11" ht="12.75">
      <c r="A6887" s="69">
        <f ca="1">IFERROR(__xludf.DUMMYFUNCTION("""COMPUTED_VALUE"""),108292)</f>
        <v>108292</v>
      </c>
      <c r="B6887" s="4">
        <f ca="1">IFERROR(__xludf.DUMMYFUNCTION("""COMPUTED_VALUE"""),44834)</f>
        <v>44834</v>
      </c>
      <c r="C6887" t="str">
        <f ca="1">IFERROR(__xludf.DUMMYFUNCTION("""COMPUTED_VALUE"""),"БУ Г. ОМСКА ""УДХБ"" 197-РДО от 01.07.2022")</f>
        <v>БУ Г. ОМСКА "УДХБ" 197-РДО от 01.07.2022</v>
      </c>
      <c r="D68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7" t="str">
        <f ca="1">IFERROR(__xludf.DUMMYFUNCTION("""COMPUTED_VALUE"""),"Новый")</f>
        <v>Новый</v>
      </c>
      <c r="G6887" s="68"/>
      <c r="K6887" s="68"/>
    </row>
    <row r="6888" spans="1:11" ht="12.75">
      <c r="A6888" s="69">
        <f ca="1">IFERROR(__xludf.DUMMYFUNCTION("""COMPUTED_VALUE"""),108293)</f>
        <v>108293</v>
      </c>
      <c r="B6888" s="4">
        <f ca="1">IFERROR(__xludf.DUMMYFUNCTION("""COMPUTED_VALUE"""),44834)</f>
        <v>44834</v>
      </c>
      <c r="C6888" t="str">
        <f ca="1">IFERROR(__xludf.DUMMYFUNCTION("""COMPUTED_VALUE"""),"БУ Г. ОМСКА ""УДХБ"" 197-РДО от 01.07.2022")</f>
        <v>БУ Г. ОМСКА "УДХБ" 197-РДО от 01.07.2022</v>
      </c>
      <c r="D68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8" t="str">
        <f ca="1">IFERROR(__xludf.DUMMYFUNCTION("""COMPUTED_VALUE"""),"Новый")</f>
        <v>Новый</v>
      </c>
      <c r="G6888" s="68"/>
      <c r="K6888" s="68"/>
    </row>
    <row r="6889" spans="1:11" ht="12.75">
      <c r="A6889" s="69">
        <f ca="1">IFERROR(__xludf.DUMMYFUNCTION("""COMPUTED_VALUE"""),108294)</f>
        <v>108294</v>
      </c>
      <c r="B6889" s="4">
        <f ca="1">IFERROR(__xludf.DUMMYFUNCTION("""COMPUTED_VALUE"""),44834)</f>
        <v>44834</v>
      </c>
      <c r="C6889" t="str">
        <f ca="1">IFERROR(__xludf.DUMMYFUNCTION("""COMPUTED_VALUE"""),"БУ Г. ОМСКА ""УДХБ"" 197-РДО от 01.07.2022")</f>
        <v>БУ Г. ОМСКА "УДХБ" 197-РДО от 01.07.2022</v>
      </c>
      <c r="D68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89" t="str">
        <f ca="1">IFERROR(__xludf.DUMMYFUNCTION("""COMPUTED_VALUE"""),"Новый")</f>
        <v>Новый</v>
      </c>
      <c r="G6889" s="68"/>
      <c r="K6889" s="68"/>
    </row>
    <row r="6890" spans="1:11" ht="12.75">
      <c r="A6890" s="69">
        <f ca="1">IFERROR(__xludf.DUMMYFUNCTION("""COMPUTED_VALUE"""),108295)</f>
        <v>108295</v>
      </c>
      <c r="B6890" s="4">
        <f ca="1">IFERROR(__xludf.DUMMYFUNCTION("""COMPUTED_VALUE"""),44834)</f>
        <v>44834</v>
      </c>
      <c r="C6890" t="str">
        <f ca="1">IFERROR(__xludf.DUMMYFUNCTION("""COMPUTED_VALUE"""),"БУ Г. ОМСКА ""УДХБ"" 197-РДО от 01.07.2022")</f>
        <v>БУ Г. ОМСКА "УДХБ" 197-РДО от 01.07.2022</v>
      </c>
      <c r="D68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0" t="str">
        <f ca="1">IFERROR(__xludf.DUMMYFUNCTION("""COMPUTED_VALUE"""),"Новый")</f>
        <v>Новый</v>
      </c>
      <c r="G6890" s="68"/>
      <c r="K6890" s="68"/>
    </row>
    <row r="6891" spans="1:11" ht="12.75">
      <c r="A6891" s="69">
        <f ca="1">IFERROR(__xludf.DUMMYFUNCTION("""COMPUTED_VALUE"""),108296)</f>
        <v>108296</v>
      </c>
      <c r="B6891" s="4">
        <f ca="1">IFERROR(__xludf.DUMMYFUNCTION("""COMPUTED_VALUE"""),44834)</f>
        <v>44834</v>
      </c>
      <c r="C6891" t="str">
        <f ca="1">IFERROR(__xludf.DUMMYFUNCTION("""COMPUTED_VALUE"""),"БУ Г. ОМСКА ""УДХБ"" 197-РДО от 01.07.2022")</f>
        <v>БУ Г. ОМСКА "УДХБ" 197-РДО от 01.07.2022</v>
      </c>
      <c r="D68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1" t="str">
        <f ca="1">IFERROR(__xludf.DUMMYFUNCTION("""COMPUTED_VALUE"""),"Новый")</f>
        <v>Новый</v>
      </c>
      <c r="G6891" s="68"/>
      <c r="K6891" s="68"/>
    </row>
    <row r="6892" spans="1:11" ht="12.75">
      <c r="A6892" s="69">
        <f ca="1">IFERROR(__xludf.DUMMYFUNCTION("""COMPUTED_VALUE"""),108297)</f>
        <v>108297</v>
      </c>
      <c r="B6892" s="4">
        <f ca="1">IFERROR(__xludf.DUMMYFUNCTION("""COMPUTED_VALUE"""),44834)</f>
        <v>44834</v>
      </c>
      <c r="C6892" t="str">
        <f ca="1">IFERROR(__xludf.DUMMYFUNCTION("""COMPUTED_VALUE"""),"БУ Г. ОМСКА ""УДХБ"" 197-РДО от 01.07.2022")</f>
        <v>БУ Г. ОМСКА "УДХБ" 197-РДО от 01.07.2022</v>
      </c>
      <c r="D68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2" t="str">
        <f ca="1">IFERROR(__xludf.DUMMYFUNCTION("""COMPUTED_VALUE"""),"Новый")</f>
        <v>Новый</v>
      </c>
      <c r="G6892" s="68"/>
      <c r="K6892" s="68"/>
    </row>
    <row r="6893" spans="1:11" ht="12.75">
      <c r="A6893" s="69">
        <f ca="1">IFERROR(__xludf.DUMMYFUNCTION("""COMPUTED_VALUE"""),108298)</f>
        <v>108298</v>
      </c>
      <c r="B6893" s="4">
        <f ca="1">IFERROR(__xludf.DUMMYFUNCTION("""COMPUTED_VALUE"""),44834)</f>
        <v>44834</v>
      </c>
      <c r="C6893" t="str">
        <f ca="1">IFERROR(__xludf.DUMMYFUNCTION("""COMPUTED_VALUE"""),"БУ Г. ОМСКА ""УДХБ"" 197-РДО от 01.07.2022")</f>
        <v>БУ Г. ОМСКА "УДХБ" 197-РДО от 01.07.2022</v>
      </c>
      <c r="D68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3" t="str">
        <f ca="1">IFERROR(__xludf.DUMMYFUNCTION("""COMPUTED_VALUE"""),"Новый")</f>
        <v>Новый</v>
      </c>
      <c r="G6893" s="68"/>
      <c r="K6893" s="68"/>
    </row>
    <row r="6894" spans="1:11" ht="12.75">
      <c r="A6894" s="69">
        <f ca="1">IFERROR(__xludf.DUMMYFUNCTION("""COMPUTED_VALUE"""),108299)</f>
        <v>108299</v>
      </c>
      <c r="B6894" s="4">
        <f ca="1">IFERROR(__xludf.DUMMYFUNCTION("""COMPUTED_VALUE"""),44834)</f>
        <v>44834</v>
      </c>
      <c r="C6894" t="str">
        <f ca="1">IFERROR(__xludf.DUMMYFUNCTION("""COMPUTED_VALUE"""),"БУ Г. ОМСКА ""УДХБ"" 197-РДО от 01.07.2022")</f>
        <v>БУ Г. ОМСКА "УДХБ" 197-РДО от 01.07.2022</v>
      </c>
      <c r="D68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4" t="str">
        <f ca="1">IFERROR(__xludf.DUMMYFUNCTION("""COMPUTED_VALUE"""),"Новый")</f>
        <v>Новый</v>
      </c>
      <c r="G6894" s="68"/>
      <c r="K6894" s="68"/>
    </row>
    <row r="6895" spans="1:11" ht="12.75">
      <c r="A6895" s="69">
        <f ca="1">IFERROR(__xludf.DUMMYFUNCTION("""COMPUTED_VALUE"""),108300)</f>
        <v>108300</v>
      </c>
      <c r="B6895" s="4">
        <f ca="1">IFERROR(__xludf.DUMMYFUNCTION("""COMPUTED_VALUE"""),44834)</f>
        <v>44834</v>
      </c>
      <c r="C6895" t="str">
        <f ca="1">IFERROR(__xludf.DUMMYFUNCTION("""COMPUTED_VALUE"""),"БУ Г. ОМСКА ""УДХБ"" 197-РДО от 01.07.2022")</f>
        <v>БУ Г. ОМСКА "УДХБ" 197-РДО от 01.07.2022</v>
      </c>
      <c r="D68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5" t="str">
        <f ca="1">IFERROR(__xludf.DUMMYFUNCTION("""COMPUTED_VALUE"""),"Новый")</f>
        <v>Новый</v>
      </c>
      <c r="G6895" s="68"/>
      <c r="K6895" s="68"/>
    </row>
    <row r="6896" spans="1:11" ht="12.75">
      <c r="A6896" s="69">
        <f ca="1">IFERROR(__xludf.DUMMYFUNCTION("""COMPUTED_VALUE"""),108301)</f>
        <v>108301</v>
      </c>
      <c r="B6896" s="4">
        <f ca="1">IFERROR(__xludf.DUMMYFUNCTION("""COMPUTED_VALUE"""),44834)</f>
        <v>44834</v>
      </c>
      <c r="C6896" t="str">
        <f ca="1">IFERROR(__xludf.DUMMYFUNCTION("""COMPUTED_VALUE"""),"БУ Г. ОМСКА ""УДХБ"" 197-РДО от 01.07.2022")</f>
        <v>БУ Г. ОМСКА "УДХБ" 197-РДО от 01.07.2022</v>
      </c>
      <c r="D68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6" t="str">
        <f ca="1">IFERROR(__xludf.DUMMYFUNCTION("""COMPUTED_VALUE"""),"Новый")</f>
        <v>Новый</v>
      </c>
      <c r="G6896" s="68"/>
      <c r="K6896" s="68"/>
    </row>
    <row r="6897" spans="1:11" ht="12.75">
      <c r="A6897" s="69">
        <f ca="1">IFERROR(__xludf.DUMMYFUNCTION("""COMPUTED_VALUE"""),108302)</f>
        <v>108302</v>
      </c>
      <c r="B6897" s="4">
        <f ca="1">IFERROR(__xludf.DUMMYFUNCTION("""COMPUTED_VALUE"""),44834)</f>
        <v>44834</v>
      </c>
      <c r="C6897" t="str">
        <f ca="1">IFERROR(__xludf.DUMMYFUNCTION("""COMPUTED_VALUE"""),"БУ Г. ОМСКА ""УДХБ"" 197-РДО от 01.07.2022")</f>
        <v>БУ Г. ОМСКА "УДХБ" 197-РДО от 01.07.2022</v>
      </c>
      <c r="D68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7" t="str">
        <f ca="1">IFERROR(__xludf.DUMMYFUNCTION("""COMPUTED_VALUE"""),"Новый")</f>
        <v>Новый</v>
      </c>
      <c r="G6897" s="68"/>
      <c r="K6897" s="68"/>
    </row>
    <row r="6898" spans="1:11" ht="12.75">
      <c r="A6898" s="69">
        <f ca="1">IFERROR(__xludf.DUMMYFUNCTION("""COMPUTED_VALUE"""),108303)</f>
        <v>108303</v>
      </c>
      <c r="B6898" s="4">
        <f ca="1">IFERROR(__xludf.DUMMYFUNCTION("""COMPUTED_VALUE"""),44834)</f>
        <v>44834</v>
      </c>
      <c r="C6898" t="str">
        <f ca="1">IFERROR(__xludf.DUMMYFUNCTION("""COMPUTED_VALUE"""),"БУ Г. ОМСКА ""УДХБ"" 197-РДО от 01.07.2022")</f>
        <v>БУ Г. ОМСКА "УДХБ" 197-РДО от 01.07.2022</v>
      </c>
      <c r="D68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8" t="str">
        <f ca="1">IFERROR(__xludf.DUMMYFUNCTION("""COMPUTED_VALUE"""),"Новый")</f>
        <v>Новый</v>
      </c>
      <c r="G6898" s="68"/>
      <c r="K6898" s="68"/>
    </row>
    <row r="6899" spans="1:11" ht="12.75">
      <c r="A6899" s="69">
        <f ca="1">IFERROR(__xludf.DUMMYFUNCTION("""COMPUTED_VALUE"""),108304)</f>
        <v>108304</v>
      </c>
      <c r="B6899" s="4">
        <f ca="1">IFERROR(__xludf.DUMMYFUNCTION("""COMPUTED_VALUE"""),44834)</f>
        <v>44834</v>
      </c>
      <c r="C6899" t="str">
        <f ca="1">IFERROR(__xludf.DUMMYFUNCTION("""COMPUTED_VALUE"""),"БУ Г. ОМСКА ""УДХБ"" 197-РДО от 01.07.2022")</f>
        <v>БУ Г. ОМСКА "УДХБ" 197-РДО от 01.07.2022</v>
      </c>
      <c r="D68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899" t="str">
        <f ca="1">IFERROR(__xludf.DUMMYFUNCTION("""COMPUTED_VALUE"""),"Новый")</f>
        <v>Новый</v>
      </c>
      <c r="G6899" s="68"/>
      <c r="K6899" s="68"/>
    </row>
    <row r="6900" spans="1:11" ht="12.75">
      <c r="A6900" s="69">
        <f ca="1">IFERROR(__xludf.DUMMYFUNCTION("""COMPUTED_VALUE"""),108305)</f>
        <v>108305</v>
      </c>
      <c r="B6900" s="4">
        <f ca="1">IFERROR(__xludf.DUMMYFUNCTION("""COMPUTED_VALUE"""),44834)</f>
        <v>44834</v>
      </c>
      <c r="C6900" t="str">
        <f ca="1">IFERROR(__xludf.DUMMYFUNCTION("""COMPUTED_VALUE"""),"БУ Г. ОМСКА ""УДХБ"" 197-РДО от 01.07.2022")</f>
        <v>БУ Г. ОМСКА "УДХБ" 197-РДО от 01.07.2022</v>
      </c>
      <c r="D69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0" t="str">
        <f ca="1">IFERROR(__xludf.DUMMYFUNCTION("""COMPUTED_VALUE"""),"Новый")</f>
        <v>Новый</v>
      </c>
      <c r="G6900" s="68"/>
      <c r="K6900" s="68"/>
    </row>
    <row r="6901" spans="1:11" ht="12.75">
      <c r="A6901" s="69">
        <f ca="1">IFERROR(__xludf.DUMMYFUNCTION("""COMPUTED_VALUE"""),108306)</f>
        <v>108306</v>
      </c>
      <c r="B6901" s="4">
        <f ca="1">IFERROR(__xludf.DUMMYFUNCTION("""COMPUTED_VALUE"""),44834)</f>
        <v>44834</v>
      </c>
      <c r="C6901" t="str">
        <f ca="1">IFERROR(__xludf.DUMMYFUNCTION("""COMPUTED_VALUE"""),"БУ Г. ОМСКА ""УДХБ"" 197-РДО от 01.07.2022")</f>
        <v>БУ Г. ОМСКА "УДХБ" 197-РДО от 01.07.2022</v>
      </c>
      <c r="D69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1" t="str">
        <f ca="1">IFERROR(__xludf.DUMMYFUNCTION("""COMPUTED_VALUE"""),"Новый")</f>
        <v>Новый</v>
      </c>
      <c r="G6901" s="68"/>
      <c r="K6901" s="68"/>
    </row>
    <row r="6902" spans="1:11" ht="12.75">
      <c r="A6902" s="69">
        <f ca="1">IFERROR(__xludf.DUMMYFUNCTION("""COMPUTED_VALUE"""),108307)</f>
        <v>108307</v>
      </c>
      <c r="B6902" s="4">
        <f ca="1">IFERROR(__xludf.DUMMYFUNCTION("""COMPUTED_VALUE"""),44834)</f>
        <v>44834</v>
      </c>
      <c r="C6902" t="str">
        <f ca="1">IFERROR(__xludf.DUMMYFUNCTION("""COMPUTED_VALUE"""),"БУ Г. ОМСКА ""УДХБ"" 197-РДО от 01.07.2022")</f>
        <v>БУ Г. ОМСКА "УДХБ" 197-РДО от 01.07.2022</v>
      </c>
      <c r="D69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2" t="str">
        <f ca="1">IFERROR(__xludf.DUMMYFUNCTION("""COMPUTED_VALUE"""),"Новый")</f>
        <v>Новый</v>
      </c>
      <c r="G6902" s="68"/>
      <c r="K6902" s="68"/>
    </row>
    <row r="6903" spans="1:11" ht="12.75">
      <c r="A6903" s="69">
        <f ca="1">IFERROR(__xludf.DUMMYFUNCTION("""COMPUTED_VALUE"""),108308)</f>
        <v>108308</v>
      </c>
      <c r="B6903" s="4">
        <f ca="1">IFERROR(__xludf.DUMMYFUNCTION("""COMPUTED_VALUE"""),44834)</f>
        <v>44834</v>
      </c>
      <c r="C6903" t="str">
        <f ca="1">IFERROR(__xludf.DUMMYFUNCTION("""COMPUTED_VALUE"""),"БУ Г. ОМСКА ""УДХБ"" 197-РДО от 01.07.2022")</f>
        <v>БУ Г. ОМСКА "УДХБ" 197-РДО от 01.07.2022</v>
      </c>
      <c r="D69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3" t="str">
        <f ca="1">IFERROR(__xludf.DUMMYFUNCTION("""COMPUTED_VALUE"""),"Новый")</f>
        <v>Новый</v>
      </c>
      <c r="G6903" s="68"/>
      <c r="K6903" s="68"/>
    </row>
    <row r="6904" spans="1:11" ht="12.75">
      <c r="A6904" s="69">
        <f ca="1">IFERROR(__xludf.DUMMYFUNCTION("""COMPUTED_VALUE"""),108309)</f>
        <v>108309</v>
      </c>
      <c r="B6904" s="4">
        <f ca="1">IFERROR(__xludf.DUMMYFUNCTION("""COMPUTED_VALUE"""),44834)</f>
        <v>44834</v>
      </c>
      <c r="C6904" t="str">
        <f ca="1">IFERROR(__xludf.DUMMYFUNCTION("""COMPUTED_VALUE"""),"БУ Г. ОМСКА ""УДХБ"" 197-РДО от 01.07.2022")</f>
        <v>БУ Г. ОМСКА "УДХБ" 197-РДО от 01.07.2022</v>
      </c>
      <c r="D69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4" t="str">
        <f ca="1">IFERROR(__xludf.DUMMYFUNCTION("""COMPUTED_VALUE"""),"Новый")</f>
        <v>Новый</v>
      </c>
      <c r="G6904" s="68"/>
      <c r="K6904" s="68"/>
    </row>
    <row r="6905" spans="1:11" ht="12.75">
      <c r="A6905" s="69">
        <f ca="1">IFERROR(__xludf.DUMMYFUNCTION("""COMPUTED_VALUE"""),108310)</f>
        <v>108310</v>
      </c>
      <c r="B6905" s="4">
        <f ca="1">IFERROR(__xludf.DUMMYFUNCTION("""COMPUTED_VALUE"""),44834)</f>
        <v>44834</v>
      </c>
      <c r="C6905" t="str">
        <f ca="1">IFERROR(__xludf.DUMMYFUNCTION("""COMPUTED_VALUE"""),"БУ Г. ОМСКА ""УДХБ"" 197-РДО от 01.07.2022")</f>
        <v>БУ Г. ОМСКА "УДХБ" 197-РДО от 01.07.2022</v>
      </c>
      <c r="D69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5" t="str">
        <f ca="1">IFERROR(__xludf.DUMMYFUNCTION("""COMPUTED_VALUE"""),"Новый")</f>
        <v>Новый</v>
      </c>
      <c r="G6905" s="68"/>
      <c r="K6905" s="68"/>
    </row>
    <row r="6906" spans="1:11" ht="12.75">
      <c r="A6906" s="69">
        <f ca="1">IFERROR(__xludf.DUMMYFUNCTION("""COMPUTED_VALUE"""),108311)</f>
        <v>108311</v>
      </c>
      <c r="B6906" s="4">
        <f ca="1">IFERROR(__xludf.DUMMYFUNCTION("""COMPUTED_VALUE"""),44834)</f>
        <v>44834</v>
      </c>
      <c r="C6906" t="str">
        <f ca="1">IFERROR(__xludf.DUMMYFUNCTION("""COMPUTED_VALUE"""),"БУ Г. ОМСКА ""УДХБ"" 197-РДО от 01.07.2022")</f>
        <v>БУ Г. ОМСКА "УДХБ" 197-РДО от 01.07.2022</v>
      </c>
      <c r="D69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6" t="str">
        <f ca="1">IFERROR(__xludf.DUMMYFUNCTION("""COMPUTED_VALUE"""),"Новый")</f>
        <v>Новый</v>
      </c>
      <c r="G6906" s="68"/>
      <c r="K6906" s="68"/>
    </row>
    <row r="6907" spans="1:11" ht="12.75">
      <c r="A6907" s="69">
        <f ca="1">IFERROR(__xludf.DUMMYFUNCTION("""COMPUTED_VALUE"""),108312)</f>
        <v>108312</v>
      </c>
      <c r="B6907" s="4">
        <f ca="1">IFERROR(__xludf.DUMMYFUNCTION("""COMPUTED_VALUE"""),44834)</f>
        <v>44834</v>
      </c>
      <c r="C6907" t="str">
        <f ca="1">IFERROR(__xludf.DUMMYFUNCTION("""COMPUTED_VALUE"""),"БУ Г. ОМСКА ""УДХБ"" 197-РДО от 01.07.2022")</f>
        <v>БУ Г. ОМСКА "УДХБ" 197-РДО от 01.07.2022</v>
      </c>
      <c r="D69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7" t="str">
        <f ca="1">IFERROR(__xludf.DUMMYFUNCTION("""COMPUTED_VALUE"""),"Новый")</f>
        <v>Новый</v>
      </c>
      <c r="G6907" s="68"/>
      <c r="K6907" s="68"/>
    </row>
    <row r="6908" spans="1:11" ht="12.75">
      <c r="A6908" s="69">
        <f ca="1">IFERROR(__xludf.DUMMYFUNCTION("""COMPUTED_VALUE"""),108313)</f>
        <v>108313</v>
      </c>
      <c r="B6908" s="4">
        <f ca="1">IFERROR(__xludf.DUMMYFUNCTION("""COMPUTED_VALUE"""),44834)</f>
        <v>44834</v>
      </c>
      <c r="C6908" t="str">
        <f ca="1">IFERROR(__xludf.DUMMYFUNCTION("""COMPUTED_VALUE"""),"БУ Г. ОМСКА ""УДХБ"" 197-РДО от 01.07.2022")</f>
        <v>БУ Г. ОМСКА "УДХБ" 197-РДО от 01.07.2022</v>
      </c>
      <c r="D69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8" t="str">
        <f ca="1">IFERROR(__xludf.DUMMYFUNCTION("""COMPUTED_VALUE"""),"Новый")</f>
        <v>Новый</v>
      </c>
      <c r="G6908" s="68"/>
      <c r="K6908" s="68"/>
    </row>
    <row r="6909" spans="1:11" ht="12.75">
      <c r="A6909" s="69">
        <f ca="1">IFERROR(__xludf.DUMMYFUNCTION("""COMPUTED_VALUE"""),108314)</f>
        <v>108314</v>
      </c>
      <c r="B6909" s="4">
        <f ca="1">IFERROR(__xludf.DUMMYFUNCTION("""COMPUTED_VALUE"""),44834)</f>
        <v>44834</v>
      </c>
      <c r="C6909" t="str">
        <f ca="1">IFERROR(__xludf.DUMMYFUNCTION("""COMPUTED_VALUE"""),"БУ Г. ОМСКА ""УДХБ"" 197-РДО от 01.07.2022")</f>
        <v>БУ Г. ОМСКА "УДХБ" 197-РДО от 01.07.2022</v>
      </c>
      <c r="D69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09" t="str">
        <f ca="1">IFERROR(__xludf.DUMMYFUNCTION("""COMPUTED_VALUE"""),"Новый")</f>
        <v>Новый</v>
      </c>
      <c r="G6909" s="68"/>
      <c r="K6909" s="68"/>
    </row>
    <row r="6910" spans="1:11" ht="12.75">
      <c r="A6910" s="69">
        <f ca="1">IFERROR(__xludf.DUMMYFUNCTION("""COMPUTED_VALUE"""),108315)</f>
        <v>108315</v>
      </c>
      <c r="B6910" s="4">
        <f ca="1">IFERROR(__xludf.DUMMYFUNCTION("""COMPUTED_VALUE"""),44834)</f>
        <v>44834</v>
      </c>
      <c r="C6910" t="str">
        <f ca="1">IFERROR(__xludf.DUMMYFUNCTION("""COMPUTED_VALUE"""),"БУ Г. ОМСКА ""УДХБ"" 197-РДО от 01.07.2022")</f>
        <v>БУ Г. ОМСКА "УДХБ" 197-РДО от 01.07.2022</v>
      </c>
      <c r="D69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0" t="str">
        <f ca="1">IFERROR(__xludf.DUMMYFUNCTION("""COMPUTED_VALUE"""),"Новый")</f>
        <v>Новый</v>
      </c>
      <c r="G6910" s="68"/>
      <c r="K6910" s="68"/>
    </row>
    <row r="6911" spans="1:11" ht="12.75">
      <c r="A6911" s="69">
        <f ca="1">IFERROR(__xludf.DUMMYFUNCTION("""COMPUTED_VALUE"""),108316)</f>
        <v>108316</v>
      </c>
      <c r="B6911" s="4">
        <f ca="1">IFERROR(__xludf.DUMMYFUNCTION("""COMPUTED_VALUE"""),44834)</f>
        <v>44834</v>
      </c>
      <c r="C6911" t="str">
        <f ca="1">IFERROR(__xludf.DUMMYFUNCTION("""COMPUTED_VALUE"""),"БУ Г. ОМСКА ""УДХБ"" 197-РДО от 01.07.2022")</f>
        <v>БУ Г. ОМСКА "УДХБ" 197-РДО от 01.07.2022</v>
      </c>
      <c r="D69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1" t="str">
        <f ca="1">IFERROR(__xludf.DUMMYFUNCTION("""COMPUTED_VALUE"""),"Новый")</f>
        <v>Новый</v>
      </c>
      <c r="G6911" s="68"/>
      <c r="K6911" s="68"/>
    </row>
    <row r="6912" spans="1:11" ht="12.75">
      <c r="A6912" s="69">
        <f ca="1">IFERROR(__xludf.DUMMYFUNCTION("""COMPUTED_VALUE"""),108317)</f>
        <v>108317</v>
      </c>
      <c r="B6912" s="4">
        <f ca="1">IFERROR(__xludf.DUMMYFUNCTION("""COMPUTED_VALUE"""),44834)</f>
        <v>44834</v>
      </c>
      <c r="C6912" t="str">
        <f ca="1">IFERROR(__xludf.DUMMYFUNCTION("""COMPUTED_VALUE"""),"БУ Г. ОМСКА ""УДХБ"" 197-РДО от 01.07.2022")</f>
        <v>БУ Г. ОМСКА "УДХБ" 197-РДО от 01.07.2022</v>
      </c>
      <c r="D69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2" t="str">
        <f ca="1">IFERROR(__xludf.DUMMYFUNCTION("""COMPUTED_VALUE"""),"Новый")</f>
        <v>Новый</v>
      </c>
      <c r="G6912" s="68"/>
      <c r="K6912" s="68"/>
    </row>
    <row r="6913" spans="1:11" ht="12.75">
      <c r="A6913" s="69">
        <f ca="1">IFERROR(__xludf.DUMMYFUNCTION("""COMPUTED_VALUE"""),108318)</f>
        <v>108318</v>
      </c>
      <c r="B6913" s="4">
        <f ca="1">IFERROR(__xludf.DUMMYFUNCTION("""COMPUTED_VALUE"""),44834)</f>
        <v>44834</v>
      </c>
      <c r="C6913" t="str">
        <f ca="1">IFERROR(__xludf.DUMMYFUNCTION("""COMPUTED_VALUE"""),"БУ Г. ОМСКА ""УДХБ"" 197-РДО от 01.07.2022")</f>
        <v>БУ Г. ОМСКА "УДХБ" 197-РДО от 01.07.2022</v>
      </c>
      <c r="D69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3" t="str">
        <f ca="1">IFERROR(__xludf.DUMMYFUNCTION("""COMPUTED_VALUE"""),"Новый")</f>
        <v>Новый</v>
      </c>
      <c r="G6913" s="68"/>
      <c r="K6913" s="68"/>
    </row>
    <row r="6914" spans="1:11" ht="12.75">
      <c r="A6914" s="69">
        <f ca="1">IFERROR(__xludf.DUMMYFUNCTION("""COMPUTED_VALUE"""),108319)</f>
        <v>108319</v>
      </c>
      <c r="B6914" s="4">
        <f ca="1">IFERROR(__xludf.DUMMYFUNCTION("""COMPUTED_VALUE"""),44834)</f>
        <v>44834</v>
      </c>
      <c r="C6914" t="str">
        <f ca="1">IFERROR(__xludf.DUMMYFUNCTION("""COMPUTED_VALUE"""),"БУ Г. ОМСКА ""УДХБ"" 197-РДО от 01.07.2022")</f>
        <v>БУ Г. ОМСКА "УДХБ" 197-РДО от 01.07.2022</v>
      </c>
      <c r="D69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4" t="str">
        <f ca="1">IFERROR(__xludf.DUMMYFUNCTION("""COMPUTED_VALUE"""),"Новый")</f>
        <v>Новый</v>
      </c>
      <c r="G6914" s="68"/>
      <c r="K6914" s="68"/>
    </row>
    <row r="6915" spans="1:11" ht="12.75">
      <c r="A6915" s="69">
        <f ca="1">IFERROR(__xludf.DUMMYFUNCTION("""COMPUTED_VALUE"""),108320)</f>
        <v>108320</v>
      </c>
      <c r="B6915" s="4">
        <f ca="1">IFERROR(__xludf.DUMMYFUNCTION("""COMPUTED_VALUE"""),44834)</f>
        <v>44834</v>
      </c>
      <c r="C6915" t="str">
        <f ca="1">IFERROR(__xludf.DUMMYFUNCTION("""COMPUTED_VALUE"""),"БУ Г. ОМСКА ""УДХБ"" 197-РДО от 01.07.2022")</f>
        <v>БУ Г. ОМСКА "УДХБ" 197-РДО от 01.07.2022</v>
      </c>
      <c r="D69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5" t="str">
        <f ca="1">IFERROR(__xludf.DUMMYFUNCTION("""COMPUTED_VALUE"""),"Новый")</f>
        <v>Новый</v>
      </c>
      <c r="G6915" s="68"/>
      <c r="K6915" s="68"/>
    </row>
    <row r="6916" spans="1:11" ht="12.75">
      <c r="A6916" s="69">
        <f ca="1">IFERROR(__xludf.DUMMYFUNCTION("""COMPUTED_VALUE"""),108321)</f>
        <v>108321</v>
      </c>
      <c r="B6916" s="4">
        <f ca="1">IFERROR(__xludf.DUMMYFUNCTION("""COMPUTED_VALUE"""),44834)</f>
        <v>44834</v>
      </c>
      <c r="C6916" t="str">
        <f ca="1">IFERROR(__xludf.DUMMYFUNCTION("""COMPUTED_VALUE"""),"БУ Г. ОМСКА ""УДХБ"" 197-РДО от 01.07.2022")</f>
        <v>БУ Г. ОМСКА "УДХБ" 197-РДО от 01.07.2022</v>
      </c>
      <c r="D69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6" t="str">
        <f ca="1">IFERROR(__xludf.DUMMYFUNCTION("""COMPUTED_VALUE"""),"Новый")</f>
        <v>Новый</v>
      </c>
      <c r="G6916" s="68"/>
      <c r="K6916" s="68"/>
    </row>
    <row r="6917" spans="1:11" ht="12.75">
      <c r="A6917" s="69">
        <f ca="1">IFERROR(__xludf.DUMMYFUNCTION("""COMPUTED_VALUE"""),108322)</f>
        <v>108322</v>
      </c>
      <c r="B6917" s="4">
        <f ca="1">IFERROR(__xludf.DUMMYFUNCTION("""COMPUTED_VALUE"""),44837)</f>
        <v>44837</v>
      </c>
      <c r="C6917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69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917" t="str">
        <f ca="1">IFERROR(__xludf.DUMMYFUNCTION("""COMPUTED_VALUE"""),"Новый")</f>
        <v>Новый</v>
      </c>
      <c r="G6917" s="68"/>
      <c r="K6917" s="68"/>
    </row>
    <row r="6918" spans="1:11" ht="12.75">
      <c r="A6918" s="69">
        <f ca="1">IFERROR(__xludf.DUMMYFUNCTION("""COMPUTED_VALUE"""),108323)</f>
        <v>108323</v>
      </c>
      <c r="B6918" s="4">
        <f ca="1">IFERROR(__xludf.DUMMYFUNCTION("""COMPUTED_VALUE"""),44837)</f>
        <v>44837</v>
      </c>
      <c r="C6918" t="str">
        <f ca="1">IFERROR(__xludf.DUMMYFUNCTION("""COMPUTED_VALUE"""),"ФЛ Воронков Андрей Игоревич 175-СТР от 29.08.2022")</f>
        <v>ФЛ Воронков Андрей Игоревич 175-СТР от 29.08.2022</v>
      </c>
      <c r="D69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6918" t="str">
        <f ca="1">IFERROR(__xludf.DUMMYFUNCTION("""COMPUTED_VALUE"""),"Новый")</f>
        <v>Новый</v>
      </c>
      <c r="G6918" s="68"/>
      <c r="K6918" s="68"/>
    </row>
    <row r="6919" spans="1:11" ht="12.75">
      <c r="A6919" s="69">
        <f ca="1">IFERROR(__xludf.DUMMYFUNCTION("""COMPUTED_VALUE"""),108324)</f>
        <v>108324</v>
      </c>
      <c r="B6919" s="4">
        <f ca="1">IFERROR(__xludf.DUMMYFUNCTION("""COMPUTED_VALUE"""),44837)</f>
        <v>44837</v>
      </c>
      <c r="C6919" t="str">
        <f ca="1">IFERROR(__xludf.DUMMYFUNCTION("""COMPUTED_VALUE"""),"Воронков Андрей Игоревич 217-РДО от 03.10.2022")</f>
        <v>Воронков Андрей Игоревич 217-РДО от 03.10.2022</v>
      </c>
      <c r="D69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19" t="str">
        <f ca="1">IFERROR(__xludf.DUMMYFUNCTION("""COMPUTED_VALUE"""),"Новый")</f>
        <v>Новый</v>
      </c>
      <c r="G6919" s="68"/>
      <c r="K6919" s="68"/>
    </row>
    <row r="6920" spans="1:11" ht="12.75">
      <c r="A6920" s="69">
        <f ca="1">IFERROR(__xludf.DUMMYFUNCTION("""COMPUTED_VALUE"""),108325)</f>
        <v>108325</v>
      </c>
      <c r="B6920" s="4">
        <f ca="1">IFERROR(__xludf.DUMMYFUNCTION("""COMPUTED_VALUE"""),44837)</f>
        <v>44837</v>
      </c>
      <c r="C6920" t="str">
        <f ca="1">IFERROR(__xludf.DUMMYFUNCTION("""COMPUTED_VALUE"""),"Воронков Андрей Игоревич 217-РДО от 03.10.2022")</f>
        <v>Воронков Андрей Игоревич 217-РДО от 03.10.2022</v>
      </c>
      <c r="D69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0" t="str">
        <f ca="1">IFERROR(__xludf.DUMMYFUNCTION("""COMPUTED_VALUE"""),"Новый")</f>
        <v>Новый</v>
      </c>
      <c r="G6920" s="68"/>
      <c r="K6920" s="68"/>
    </row>
    <row r="6921" spans="1:11" ht="12.75">
      <c r="A6921" s="69">
        <f ca="1">IFERROR(__xludf.DUMMYFUNCTION("""COMPUTED_VALUE"""),108326)</f>
        <v>108326</v>
      </c>
      <c r="B6921" s="4">
        <f ca="1">IFERROR(__xludf.DUMMYFUNCTION("""COMPUTED_VALUE"""),44837)</f>
        <v>44837</v>
      </c>
      <c r="C6921" t="str">
        <f ca="1">IFERROR(__xludf.DUMMYFUNCTION("""COMPUTED_VALUE"""),"Воронков Андрей Игоревич 217-РДО от 03.10.2022")</f>
        <v>Воронков Андрей Игоревич 217-РДО от 03.10.2022</v>
      </c>
      <c r="D69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1" t="str">
        <f ca="1">IFERROR(__xludf.DUMMYFUNCTION("""COMPUTED_VALUE"""),"Новый")</f>
        <v>Новый</v>
      </c>
      <c r="G6921" s="68"/>
      <c r="K6921" s="68"/>
    </row>
    <row r="6922" spans="1:11" ht="12.75">
      <c r="A6922" s="69">
        <f ca="1">IFERROR(__xludf.DUMMYFUNCTION("""COMPUTED_VALUE"""),108334)</f>
        <v>108334</v>
      </c>
      <c r="B6922" s="4">
        <f ca="1">IFERROR(__xludf.DUMMYFUNCTION("""COMPUTED_VALUE"""),44837)</f>
        <v>44837</v>
      </c>
      <c r="C6922" t="str">
        <f ca="1">IFERROR(__xludf.DUMMYFUNCTION("""COMPUTED_VALUE"""),"БУ Г. ОМСКА ""УДХБ"" 216-РДО от 03.10.2022")</f>
        <v>БУ Г. ОМСКА "УДХБ" 216-РДО от 03.10.2022</v>
      </c>
      <c r="D69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2" t="str">
        <f ca="1">IFERROR(__xludf.DUMMYFUNCTION("""COMPUTED_VALUE"""),"Новый")</f>
        <v>Новый</v>
      </c>
      <c r="G6922" s="68"/>
      <c r="K6922" s="68"/>
    </row>
    <row r="6923" spans="1:11" ht="12.75">
      <c r="A6923" s="69">
        <f ca="1">IFERROR(__xludf.DUMMYFUNCTION("""COMPUTED_VALUE"""),108338)</f>
        <v>108338</v>
      </c>
      <c r="B6923" s="4">
        <f ca="1">IFERROR(__xludf.DUMMYFUNCTION("""COMPUTED_VALUE"""),44837)</f>
        <v>44837</v>
      </c>
      <c r="C6923" t="str">
        <f ca="1">IFERROR(__xludf.DUMMYFUNCTION("""COMPUTED_VALUE"""),"БУ Г. ОМСКА ""УДХБ"" 216-РДО от 03.10.2022")</f>
        <v>БУ Г. ОМСКА "УДХБ" 216-РДО от 03.10.2022</v>
      </c>
      <c r="D69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3" t="str">
        <f ca="1">IFERROR(__xludf.DUMMYFUNCTION("""COMPUTED_VALUE"""),"Новый")</f>
        <v>Новый</v>
      </c>
      <c r="G6923" s="68"/>
      <c r="K6923" s="68"/>
    </row>
    <row r="6924" spans="1:11" ht="12.75">
      <c r="A6924" s="69">
        <f ca="1">IFERROR(__xludf.DUMMYFUNCTION("""COMPUTED_VALUE"""),108339)</f>
        <v>108339</v>
      </c>
      <c r="B6924" s="4">
        <f ca="1">IFERROR(__xludf.DUMMYFUNCTION("""COMPUTED_VALUE"""),44837)</f>
        <v>44837</v>
      </c>
      <c r="C6924" t="str">
        <f ca="1">IFERROR(__xludf.DUMMYFUNCTION("""COMPUTED_VALUE"""),"БУ Г. ОМСКА ""УДХБ"" 216-РДО от 03.10.2022")</f>
        <v>БУ Г. ОМСКА "УДХБ" 216-РДО от 03.10.2022</v>
      </c>
      <c r="D69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4" t="str">
        <f ca="1">IFERROR(__xludf.DUMMYFUNCTION("""COMPUTED_VALUE"""),"Новый")</f>
        <v>Новый</v>
      </c>
      <c r="G6924" s="68"/>
      <c r="K6924" s="68"/>
    </row>
    <row r="6925" spans="1:11" ht="12.75">
      <c r="A6925" s="69">
        <f ca="1">IFERROR(__xludf.DUMMYFUNCTION("""COMPUTED_VALUE"""),108340)</f>
        <v>108340</v>
      </c>
      <c r="B6925" s="4">
        <f ca="1">IFERROR(__xludf.DUMMYFUNCTION("""COMPUTED_VALUE"""),44837)</f>
        <v>44837</v>
      </c>
      <c r="C6925" t="str">
        <f ca="1">IFERROR(__xludf.DUMMYFUNCTION("""COMPUTED_VALUE"""),"БУ Г. ОМСКА ""УДХБ"" 216-РДО от 03.10.2022")</f>
        <v>БУ Г. ОМСКА "УДХБ" 216-РДО от 03.10.2022</v>
      </c>
      <c r="D69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5" t="str">
        <f ca="1">IFERROR(__xludf.DUMMYFUNCTION("""COMPUTED_VALUE"""),"Новый")</f>
        <v>Новый</v>
      </c>
      <c r="G6925" s="68"/>
      <c r="K6925" s="68"/>
    </row>
    <row r="6926" spans="1:11" ht="12.75">
      <c r="A6926" s="69">
        <f ca="1">IFERROR(__xludf.DUMMYFUNCTION("""COMPUTED_VALUE"""),108341)</f>
        <v>108341</v>
      </c>
      <c r="B6926" s="4">
        <f ca="1">IFERROR(__xludf.DUMMYFUNCTION("""COMPUTED_VALUE"""),44837)</f>
        <v>44837</v>
      </c>
      <c r="C6926" t="str">
        <f ca="1">IFERROR(__xludf.DUMMYFUNCTION("""COMPUTED_VALUE"""),"БУ Г. ОМСКА ""УДХБ"" 216-РДО от 03.10.2022")</f>
        <v>БУ Г. ОМСКА "УДХБ" 216-РДО от 03.10.2022</v>
      </c>
      <c r="D69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6" t="str">
        <f ca="1">IFERROR(__xludf.DUMMYFUNCTION("""COMPUTED_VALUE"""),"Новый")</f>
        <v>Новый</v>
      </c>
      <c r="G6926" s="68"/>
      <c r="K6926" s="68"/>
    </row>
    <row r="6927" spans="1:11" ht="12.75">
      <c r="A6927" s="69">
        <f ca="1">IFERROR(__xludf.DUMMYFUNCTION("""COMPUTED_VALUE"""),108388)</f>
        <v>108388</v>
      </c>
      <c r="B6927" s="4">
        <f ca="1">IFERROR(__xludf.DUMMYFUNCTION("""COMPUTED_VALUE"""),44837)</f>
        <v>44837</v>
      </c>
      <c r="C6927" t="str">
        <f ca="1">IFERROR(__xludf.DUMMYFUNCTION("""COMPUTED_VALUE"""),"БУ Г. ОМСКА ""УДХБ"" 216-РДО от 03.10.2022")</f>
        <v>БУ Г. ОМСКА "УДХБ" 216-РДО от 03.10.2022</v>
      </c>
      <c r="D69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7" t="str">
        <f ca="1">IFERROR(__xludf.DUMMYFUNCTION("""COMPUTED_VALUE"""),"Новый")</f>
        <v>Новый</v>
      </c>
      <c r="G6927" s="68"/>
      <c r="K6927" s="68"/>
    </row>
    <row r="6928" spans="1:11" ht="12.75">
      <c r="A6928" s="69">
        <f ca="1">IFERROR(__xludf.DUMMYFUNCTION("""COMPUTED_VALUE"""),108389)</f>
        <v>108389</v>
      </c>
      <c r="B6928" s="4">
        <f ca="1">IFERROR(__xludf.DUMMYFUNCTION("""COMPUTED_VALUE"""),44837)</f>
        <v>44837</v>
      </c>
      <c r="C6928" t="str">
        <f ca="1">IFERROR(__xludf.DUMMYFUNCTION("""COMPUTED_VALUE"""),"БУ Г. ОМСКА ""УДХБ"" 216-РДО от 03.10.2022")</f>
        <v>БУ Г. ОМСКА "УДХБ" 216-РДО от 03.10.2022</v>
      </c>
      <c r="D69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8" t="str">
        <f ca="1">IFERROR(__xludf.DUMMYFUNCTION("""COMPUTED_VALUE"""),"Новый")</f>
        <v>Новый</v>
      </c>
      <c r="G6928" s="68"/>
      <c r="K6928" s="68"/>
    </row>
    <row r="6929" spans="1:11" ht="12.75">
      <c r="A6929" s="69">
        <f ca="1">IFERROR(__xludf.DUMMYFUNCTION("""COMPUTED_VALUE"""),108390)</f>
        <v>108390</v>
      </c>
      <c r="B6929" s="4">
        <f ca="1">IFERROR(__xludf.DUMMYFUNCTION("""COMPUTED_VALUE"""),44837)</f>
        <v>44837</v>
      </c>
      <c r="C6929" t="str">
        <f ca="1">IFERROR(__xludf.DUMMYFUNCTION("""COMPUTED_VALUE"""),"БУ Г. ОМСКА ""УДХБ"" 216-РДО от 03.10.2022")</f>
        <v>БУ Г. ОМСКА "УДХБ" 216-РДО от 03.10.2022</v>
      </c>
      <c r="D69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29" t="str">
        <f ca="1">IFERROR(__xludf.DUMMYFUNCTION("""COMPUTED_VALUE"""),"Новый")</f>
        <v>Новый</v>
      </c>
      <c r="G6929" s="68"/>
      <c r="K6929" s="68"/>
    </row>
    <row r="6930" spans="1:11" ht="12.75">
      <c r="A6930" s="69">
        <f ca="1">IFERROR(__xludf.DUMMYFUNCTION("""COMPUTED_VALUE"""),108391)</f>
        <v>108391</v>
      </c>
      <c r="B6930" s="4">
        <f ca="1">IFERROR(__xludf.DUMMYFUNCTION("""COMPUTED_VALUE"""),44837)</f>
        <v>44837</v>
      </c>
      <c r="C6930" t="str">
        <f ca="1">IFERROR(__xludf.DUMMYFUNCTION("""COMPUTED_VALUE"""),"БУ Г. ОМСКА ""УДХБ"" 216-РДО от 03.10.2022")</f>
        <v>БУ Г. ОМСКА "УДХБ" 216-РДО от 03.10.2022</v>
      </c>
      <c r="D69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0" t="str">
        <f ca="1">IFERROR(__xludf.DUMMYFUNCTION("""COMPUTED_VALUE"""),"Новый")</f>
        <v>Новый</v>
      </c>
      <c r="G6930" s="68"/>
      <c r="K6930" s="68"/>
    </row>
    <row r="6931" spans="1:11" ht="12.75">
      <c r="A6931" s="69">
        <f ca="1">IFERROR(__xludf.DUMMYFUNCTION("""COMPUTED_VALUE"""),108392)</f>
        <v>108392</v>
      </c>
      <c r="B6931" s="4">
        <f ca="1">IFERROR(__xludf.DUMMYFUNCTION("""COMPUTED_VALUE"""),44837)</f>
        <v>44837</v>
      </c>
      <c r="C6931" t="str">
        <f ca="1">IFERROR(__xludf.DUMMYFUNCTION("""COMPUTED_VALUE"""),"БУ Г. ОМСКА ""УДХБ"" 216-РДО от 03.10.2022")</f>
        <v>БУ Г. ОМСКА "УДХБ" 216-РДО от 03.10.2022</v>
      </c>
      <c r="D69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1" t="str">
        <f ca="1">IFERROR(__xludf.DUMMYFUNCTION("""COMPUTED_VALUE"""),"Новый")</f>
        <v>Новый</v>
      </c>
      <c r="G6931" s="68"/>
      <c r="K6931" s="68"/>
    </row>
    <row r="6932" spans="1:11" ht="12.75">
      <c r="A6932" s="69">
        <f ca="1">IFERROR(__xludf.DUMMYFUNCTION("""COMPUTED_VALUE"""),108393)</f>
        <v>108393</v>
      </c>
      <c r="B6932" s="4">
        <f ca="1">IFERROR(__xludf.DUMMYFUNCTION("""COMPUTED_VALUE"""),44837)</f>
        <v>44837</v>
      </c>
      <c r="C6932" t="str">
        <f ca="1">IFERROR(__xludf.DUMMYFUNCTION("""COMPUTED_VALUE"""),"БУ Г. ОМСКА ""УДХБ"" 216-РДО от 03.10.2022")</f>
        <v>БУ Г. ОМСКА "УДХБ" 216-РДО от 03.10.2022</v>
      </c>
      <c r="D69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2" t="str">
        <f ca="1">IFERROR(__xludf.DUMMYFUNCTION("""COMPUTED_VALUE"""),"Новый")</f>
        <v>Новый</v>
      </c>
      <c r="G6932" s="68"/>
      <c r="K6932" s="68"/>
    </row>
    <row r="6933" spans="1:11" ht="12.75">
      <c r="A6933" s="69">
        <f ca="1">IFERROR(__xludf.DUMMYFUNCTION("""COMPUTED_VALUE"""),108394)</f>
        <v>108394</v>
      </c>
      <c r="B6933" s="4">
        <f ca="1">IFERROR(__xludf.DUMMYFUNCTION("""COMPUTED_VALUE"""),44837)</f>
        <v>44837</v>
      </c>
      <c r="C6933" t="str">
        <f ca="1">IFERROR(__xludf.DUMMYFUNCTION("""COMPUTED_VALUE"""),"БУ Г. ОМСКА ""УДХБ"" 216-РДО от 03.10.2022")</f>
        <v>БУ Г. ОМСКА "УДХБ" 216-РДО от 03.10.2022</v>
      </c>
      <c r="D69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3" t="str">
        <f ca="1">IFERROR(__xludf.DUMMYFUNCTION("""COMPUTED_VALUE"""),"Новый")</f>
        <v>Новый</v>
      </c>
      <c r="G6933" s="68"/>
      <c r="K6933" s="68"/>
    </row>
    <row r="6934" spans="1:11" ht="12.75">
      <c r="A6934" s="69">
        <f ca="1">IFERROR(__xludf.DUMMYFUNCTION("""COMPUTED_VALUE"""),108395)</f>
        <v>108395</v>
      </c>
      <c r="B6934" s="4">
        <f ca="1">IFERROR(__xludf.DUMMYFUNCTION("""COMPUTED_VALUE"""),44837)</f>
        <v>44837</v>
      </c>
      <c r="C6934" t="str">
        <f ca="1">IFERROR(__xludf.DUMMYFUNCTION("""COMPUTED_VALUE"""),"БУ Г. ОМСКА ""УДХБ"" 216-РДО от 03.10.2022")</f>
        <v>БУ Г. ОМСКА "УДХБ" 216-РДО от 03.10.2022</v>
      </c>
      <c r="D69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4" t="str">
        <f ca="1">IFERROR(__xludf.DUMMYFUNCTION("""COMPUTED_VALUE"""),"Новый")</f>
        <v>Новый</v>
      </c>
      <c r="G6934" s="68"/>
      <c r="K6934" s="68"/>
    </row>
    <row r="6935" spans="1:11" ht="12.75">
      <c r="A6935" s="69">
        <f ca="1">IFERROR(__xludf.DUMMYFUNCTION("""COMPUTED_VALUE"""),108396)</f>
        <v>108396</v>
      </c>
      <c r="B6935" s="4">
        <f ca="1">IFERROR(__xludf.DUMMYFUNCTION("""COMPUTED_VALUE"""),44837)</f>
        <v>44837</v>
      </c>
      <c r="C6935" t="str">
        <f ca="1">IFERROR(__xludf.DUMMYFUNCTION("""COMPUTED_VALUE"""),"БУ Г. ОМСКА ""УДХБ"" 216-РДО от 03.10.2022")</f>
        <v>БУ Г. ОМСКА "УДХБ" 216-РДО от 03.10.2022</v>
      </c>
      <c r="D69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5" t="str">
        <f ca="1">IFERROR(__xludf.DUMMYFUNCTION("""COMPUTED_VALUE"""),"Новый")</f>
        <v>Новый</v>
      </c>
      <c r="G6935" s="68"/>
      <c r="K6935" s="68"/>
    </row>
    <row r="6936" spans="1:11" ht="12.75">
      <c r="A6936" s="69">
        <f ca="1">IFERROR(__xludf.DUMMYFUNCTION("""COMPUTED_VALUE"""),108397)</f>
        <v>108397</v>
      </c>
      <c r="B6936" s="4">
        <f ca="1">IFERROR(__xludf.DUMMYFUNCTION("""COMPUTED_VALUE"""),44837)</f>
        <v>44837</v>
      </c>
      <c r="C6936" t="str">
        <f ca="1">IFERROR(__xludf.DUMMYFUNCTION("""COMPUTED_VALUE"""),"БУ Г. ОМСКА ""УДХБ"" 216-РДО от 03.10.2022")</f>
        <v>БУ Г. ОМСКА "УДХБ" 216-РДО от 03.10.2022</v>
      </c>
      <c r="D69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6" t="str">
        <f ca="1">IFERROR(__xludf.DUMMYFUNCTION("""COMPUTED_VALUE"""),"Новый")</f>
        <v>Новый</v>
      </c>
      <c r="G6936" s="68"/>
      <c r="K6936" s="68"/>
    </row>
    <row r="6937" spans="1:11" ht="12.75">
      <c r="A6937" s="69">
        <f ca="1">IFERROR(__xludf.DUMMYFUNCTION("""COMPUTED_VALUE"""),108398)</f>
        <v>108398</v>
      </c>
      <c r="B6937" s="4">
        <f ca="1">IFERROR(__xludf.DUMMYFUNCTION("""COMPUTED_VALUE"""),44837)</f>
        <v>44837</v>
      </c>
      <c r="C6937" t="str">
        <f ca="1">IFERROR(__xludf.DUMMYFUNCTION("""COMPUTED_VALUE"""),"БУ Г. ОМСКА ""УДХБ"" 216-РДО от 03.10.2022")</f>
        <v>БУ Г. ОМСКА "УДХБ" 216-РДО от 03.10.2022</v>
      </c>
      <c r="D69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7" t="str">
        <f ca="1">IFERROR(__xludf.DUMMYFUNCTION("""COMPUTED_VALUE"""),"Новый")</f>
        <v>Новый</v>
      </c>
      <c r="G6937" s="68"/>
      <c r="K6937" s="68"/>
    </row>
    <row r="6938" spans="1:11" ht="12.75">
      <c r="A6938" s="69">
        <f ca="1">IFERROR(__xludf.DUMMYFUNCTION("""COMPUTED_VALUE"""),108399)</f>
        <v>108399</v>
      </c>
      <c r="B6938" s="4">
        <f ca="1">IFERROR(__xludf.DUMMYFUNCTION("""COMPUTED_VALUE"""),44837)</f>
        <v>44837</v>
      </c>
      <c r="C6938" t="str">
        <f ca="1">IFERROR(__xludf.DUMMYFUNCTION("""COMPUTED_VALUE"""),"БУ Г. ОМСКА ""УДХБ"" 216-РДО от 03.10.2022")</f>
        <v>БУ Г. ОМСКА "УДХБ" 216-РДО от 03.10.2022</v>
      </c>
      <c r="D69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8" t="str">
        <f ca="1">IFERROR(__xludf.DUMMYFUNCTION("""COMPUTED_VALUE"""),"Новый")</f>
        <v>Новый</v>
      </c>
      <c r="G6938" s="68"/>
      <c r="K6938" s="68"/>
    </row>
    <row r="6939" spans="1:11" ht="12.75">
      <c r="A6939" s="69">
        <f ca="1">IFERROR(__xludf.DUMMYFUNCTION("""COMPUTED_VALUE"""),108400)</f>
        <v>108400</v>
      </c>
      <c r="B6939" s="4">
        <f ca="1">IFERROR(__xludf.DUMMYFUNCTION("""COMPUTED_VALUE"""),44837)</f>
        <v>44837</v>
      </c>
      <c r="C6939" t="str">
        <f ca="1">IFERROR(__xludf.DUMMYFUNCTION("""COMPUTED_VALUE"""),"БУ Г. ОМСКА ""УДХБ"" 216-РДО от 03.10.2022")</f>
        <v>БУ Г. ОМСКА "УДХБ" 216-РДО от 03.10.2022</v>
      </c>
      <c r="D69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39" t="str">
        <f ca="1">IFERROR(__xludf.DUMMYFUNCTION("""COMPUTED_VALUE"""),"Новый")</f>
        <v>Новый</v>
      </c>
      <c r="G6939" s="68"/>
      <c r="K6939" s="68"/>
    </row>
    <row r="6940" spans="1:11" ht="12.75">
      <c r="A6940" s="69">
        <f ca="1">IFERROR(__xludf.DUMMYFUNCTION("""COMPUTED_VALUE"""),108401)</f>
        <v>108401</v>
      </c>
      <c r="B6940" s="4">
        <f ca="1">IFERROR(__xludf.DUMMYFUNCTION("""COMPUTED_VALUE"""),44837)</f>
        <v>44837</v>
      </c>
      <c r="C6940" t="str">
        <f ca="1">IFERROR(__xludf.DUMMYFUNCTION("""COMPUTED_VALUE"""),"БУ Г. ОМСКА ""УДХБ"" 216-РДО от 03.10.2022")</f>
        <v>БУ Г. ОМСКА "УДХБ" 216-РДО от 03.10.2022</v>
      </c>
      <c r="D69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0" t="str">
        <f ca="1">IFERROR(__xludf.DUMMYFUNCTION("""COMPUTED_VALUE"""),"Новый")</f>
        <v>Новый</v>
      </c>
      <c r="G6940" s="68"/>
      <c r="K6940" s="68"/>
    </row>
    <row r="6941" spans="1:11" ht="12.75">
      <c r="A6941" s="69">
        <f ca="1">IFERROR(__xludf.DUMMYFUNCTION("""COMPUTED_VALUE"""),108402)</f>
        <v>108402</v>
      </c>
      <c r="B6941" s="4">
        <f ca="1">IFERROR(__xludf.DUMMYFUNCTION("""COMPUTED_VALUE"""),44837)</f>
        <v>44837</v>
      </c>
      <c r="C6941" t="str">
        <f ca="1">IFERROR(__xludf.DUMMYFUNCTION("""COMPUTED_VALUE"""),"БУ Г. ОМСКА ""УДХБ"" 216-РДО от 03.10.2022")</f>
        <v>БУ Г. ОМСКА "УДХБ" 216-РДО от 03.10.2022</v>
      </c>
      <c r="D69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1" t="str">
        <f ca="1">IFERROR(__xludf.DUMMYFUNCTION("""COMPUTED_VALUE"""),"Новый")</f>
        <v>Новый</v>
      </c>
      <c r="G6941" s="68"/>
      <c r="K6941" s="68"/>
    </row>
    <row r="6942" spans="1:11" ht="12.75">
      <c r="A6942" s="69">
        <f ca="1">IFERROR(__xludf.DUMMYFUNCTION("""COMPUTED_VALUE"""),108403)</f>
        <v>108403</v>
      </c>
      <c r="B6942" s="4">
        <f ca="1">IFERROR(__xludf.DUMMYFUNCTION("""COMPUTED_VALUE"""),44837)</f>
        <v>44837</v>
      </c>
      <c r="C6942" t="str">
        <f ca="1">IFERROR(__xludf.DUMMYFUNCTION("""COMPUTED_VALUE"""),"БУ Г. ОМСКА ""УДХБ"" 216-РДО от 03.10.2022")</f>
        <v>БУ Г. ОМСКА "УДХБ" 216-РДО от 03.10.2022</v>
      </c>
      <c r="D69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2" t="str">
        <f ca="1">IFERROR(__xludf.DUMMYFUNCTION("""COMPUTED_VALUE"""),"Новый")</f>
        <v>Новый</v>
      </c>
      <c r="G6942" s="68"/>
      <c r="K6942" s="68"/>
    </row>
    <row r="6943" spans="1:11" ht="12.75">
      <c r="A6943" s="69">
        <f ca="1">IFERROR(__xludf.DUMMYFUNCTION("""COMPUTED_VALUE"""),108404)</f>
        <v>108404</v>
      </c>
      <c r="B6943" s="4">
        <f ca="1">IFERROR(__xludf.DUMMYFUNCTION("""COMPUTED_VALUE"""),44837)</f>
        <v>44837</v>
      </c>
      <c r="C6943" t="str">
        <f ca="1">IFERROR(__xludf.DUMMYFUNCTION("""COMPUTED_VALUE"""),"БУ Г. ОМСКА ""УДХБ"" 216-РДО от 03.10.2022")</f>
        <v>БУ Г. ОМСКА "УДХБ" 216-РДО от 03.10.2022</v>
      </c>
      <c r="D69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3" t="str">
        <f ca="1">IFERROR(__xludf.DUMMYFUNCTION("""COMPUTED_VALUE"""),"Новый")</f>
        <v>Новый</v>
      </c>
      <c r="G6943" s="68"/>
      <c r="K6943" s="68"/>
    </row>
    <row r="6944" spans="1:11" ht="12.75">
      <c r="A6944" s="69">
        <f ca="1">IFERROR(__xludf.DUMMYFUNCTION("""COMPUTED_VALUE"""),108405)</f>
        <v>108405</v>
      </c>
      <c r="B6944" s="4">
        <f ca="1">IFERROR(__xludf.DUMMYFUNCTION("""COMPUTED_VALUE"""),44837)</f>
        <v>44837</v>
      </c>
      <c r="C6944" t="str">
        <f ca="1">IFERROR(__xludf.DUMMYFUNCTION("""COMPUTED_VALUE"""),"БУ Г. ОМСКА ""УДХБ"" 216-РДО от 03.10.2022")</f>
        <v>БУ Г. ОМСКА "УДХБ" 216-РДО от 03.10.2022</v>
      </c>
      <c r="D69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4" t="str">
        <f ca="1">IFERROR(__xludf.DUMMYFUNCTION("""COMPUTED_VALUE"""),"Новый")</f>
        <v>Новый</v>
      </c>
      <c r="G6944" s="68"/>
      <c r="K6944" s="68"/>
    </row>
    <row r="6945" spans="1:11" ht="12.75">
      <c r="A6945" s="69">
        <f ca="1">IFERROR(__xludf.DUMMYFUNCTION("""COMPUTED_VALUE"""),108406)</f>
        <v>108406</v>
      </c>
      <c r="B6945" s="4">
        <f ca="1">IFERROR(__xludf.DUMMYFUNCTION("""COMPUTED_VALUE"""),44837)</f>
        <v>44837</v>
      </c>
      <c r="C6945" t="str">
        <f ca="1">IFERROR(__xludf.DUMMYFUNCTION("""COMPUTED_VALUE"""),"БУ Г. ОМСКА ""УДХБ"" 216-РДО от 03.10.2022")</f>
        <v>БУ Г. ОМСКА "УДХБ" 216-РДО от 03.10.2022</v>
      </c>
      <c r="D69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5" t="str">
        <f ca="1">IFERROR(__xludf.DUMMYFUNCTION("""COMPUTED_VALUE"""),"Новый")</f>
        <v>Новый</v>
      </c>
      <c r="G6945" s="68"/>
      <c r="K6945" s="68"/>
    </row>
    <row r="6946" spans="1:11" ht="12.75">
      <c r="A6946" s="69">
        <f ca="1">IFERROR(__xludf.DUMMYFUNCTION("""COMPUTED_VALUE"""),108407)</f>
        <v>108407</v>
      </c>
      <c r="B6946" s="4">
        <f ca="1">IFERROR(__xludf.DUMMYFUNCTION("""COMPUTED_VALUE"""),44837)</f>
        <v>44837</v>
      </c>
      <c r="C6946" t="str">
        <f ca="1">IFERROR(__xludf.DUMMYFUNCTION("""COMPUTED_VALUE"""),"БУ Г. ОМСКА ""УДХБ"" 216-РДО от 03.10.2022")</f>
        <v>БУ Г. ОМСКА "УДХБ" 216-РДО от 03.10.2022</v>
      </c>
      <c r="D69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6" t="str">
        <f ca="1">IFERROR(__xludf.DUMMYFUNCTION("""COMPUTED_VALUE"""),"Новый")</f>
        <v>Новый</v>
      </c>
      <c r="G6946" s="68"/>
      <c r="K6946" s="68"/>
    </row>
    <row r="6947" spans="1:11" ht="12.75">
      <c r="A6947" s="69">
        <f ca="1">IFERROR(__xludf.DUMMYFUNCTION("""COMPUTED_VALUE"""),108408)</f>
        <v>108408</v>
      </c>
      <c r="B6947" s="4">
        <f ca="1">IFERROR(__xludf.DUMMYFUNCTION("""COMPUTED_VALUE"""),44837)</f>
        <v>44837</v>
      </c>
      <c r="C6947" t="str">
        <f ca="1">IFERROR(__xludf.DUMMYFUNCTION("""COMPUTED_VALUE"""),"БУ Г. ОМСКА ""УДХБ"" 216-РДО от 03.10.2022")</f>
        <v>БУ Г. ОМСКА "УДХБ" 216-РДО от 03.10.2022</v>
      </c>
      <c r="D69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7" t="str">
        <f ca="1">IFERROR(__xludf.DUMMYFUNCTION("""COMPUTED_VALUE"""),"Новый")</f>
        <v>Новый</v>
      </c>
      <c r="G6947" s="68"/>
      <c r="K6947" s="68"/>
    </row>
    <row r="6948" spans="1:11" ht="12.75">
      <c r="A6948" s="69">
        <f ca="1">IFERROR(__xludf.DUMMYFUNCTION("""COMPUTED_VALUE"""),108409)</f>
        <v>108409</v>
      </c>
      <c r="B6948" s="4">
        <f ca="1">IFERROR(__xludf.DUMMYFUNCTION("""COMPUTED_VALUE"""),44837)</f>
        <v>44837</v>
      </c>
      <c r="C6948" t="str">
        <f ca="1">IFERROR(__xludf.DUMMYFUNCTION("""COMPUTED_VALUE"""),"БУ Г. ОМСКА ""УДХБ"" 216-РДО от 03.10.2022")</f>
        <v>БУ Г. ОМСКА "УДХБ" 216-РДО от 03.10.2022</v>
      </c>
      <c r="D69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8" t="str">
        <f ca="1">IFERROR(__xludf.DUMMYFUNCTION("""COMPUTED_VALUE"""),"Новый")</f>
        <v>Новый</v>
      </c>
      <c r="G6948" s="68"/>
      <c r="K6948" s="68"/>
    </row>
    <row r="6949" spans="1:11" ht="12.75">
      <c r="A6949" s="69">
        <f ca="1">IFERROR(__xludf.DUMMYFUNCTION("""COMPUTED_VALUE"""),108410)</f>
        <v>108410</v>
      </c>
      <c r="B6949" s="4">
        <f ca="1">IFERROR(__xludf.DUMMYFUNCTION("""COMPUTED_VALUE"""),44837)</f>
        <v>44837</v>
      </c>
      <c r="C6949" t="str">
        <f ca="1">IFERROR(__xludf.DUMMYFUNCTION("""COMPUTED_VALUE"""),"БУ Г. ОМСКА ""УДХБ"" 216-РДО от 03.10.2022")</f>
        <v>БУ Г. ОМСКА "УДХБ" 216-РДО от 03.10.2022</v>
      </c>
      <c r="D69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49" t="str">
        <f ca="1">IFERROR(__xludf.DUMMYFUNCTION("""COMPUTED_VALUE"""),"Новый")</f>
        <v>Новый</v>
      </c>
      <c r="G6949" s="68"/>
      <c r="K6949" s="68"/>
    </row>
    <row r="6950" spans="1:11" ht="12.75">
      <c r="A6950" s="69">
        <f ca="1">IFERROR(__xludf.DUMMYFUNCTION("""COMPUTED_VALUE"""),108411)</f>
        <v>108411</v>
      </c>
      <c r="B6950" s="4">
        <f ca="1">IFERROR(__xludf.DUMMYFUNCTION("""COMPUTED_VALUE"""),44837)</f>
        <v>44837</v>
      </c>
      <c r="C6950" t="str">
        <f ca="1">IFERROR(__xludf.DUMMYFUNCTION("""COMPUTED_VALUE"""),"БУ Г. ОМСКА ""УДХБ"" 216-РДО от 03.10.2022")</f>
        <v>БУ Г. ОМСКА "УДХБ" 216-РДО от 03.10.2022</v>
      </c>
      <c r="D69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0" t="str">
        <f ca="1">IFERROR(__xludf.DUMMYFUNCTION("""COMPUTED_VALUE"""),"Новый")</f>
        <v>Новый</v>
      </c>
      <c r="G6950" s="68"/>
      <c r="K6950" s="68"/>
    </row>
    <row r="6951" spans="1:11" ht="12.75">
      <c r="A6951" s="69">
        <f ca="1">IFERROR(__xludf.DUMMYFUNCTION("""COMPUTED_VALUE"""),108412)</f>
        <v>108412</v>
      </c>
      <c r="B6951" s="4">
        <f ca="1">IFERROR(__xludf.DUMMYFUNCTION("""COMPUTED_VALUE"""),44837)</f>
        <v>44837</v>
      </c>
      <c r="C6951" t="str">
        <f ca="1">IFERROR(__xludf.DUMMYFUNCTION("""COMPUTED_VALUE"""),"БУ Г. ОМСКА ""УДХБ"" 216-РДО от 03.10.2022")</f>
        <v>БУ Г. ОМСКА "УДХБ" 216-РДО от 03.10.2022</v>
      </c>
      <c r="D69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1" t="str">
        <f ca="1">IFERROR(__xludf.DUMMYFUNCTION("""COMPUTED_VALUE"""),"Новый")</f>
        <v>Новый</v>
      </c>
      <c r="G6951" s="68"/>
      <c r="K6951" s="68"/>
    </row>
    <row r="6952" spans="1:11" ht="12.75">
      <c r="A6952" s="69">
        <f ca="1">IFERROR(__xludf.DUMMYFUNCTION("""COMPUTED_VALUE"""),108413)</f>
        <v>108413</v>
      </c>
      <c r="B6952" s="4">
        <f ca="1">IFERROR(__xludf.DUMMYFUNCTION("""COMPUTED_VALUE"""),44837)</f>
        <v>44837</v>
      </c>
      <c r="C6952" t="str">
        <f ca="1">IFERROR(__xludf.DUMMYFUNCTION("""COMPUTED_VALUE"""),"БУ Г. ОМСКА ""УДХБ"" 216-РДО от 03.10.2022")</f>
        <v>БУ Г. ОМСКА "УДХБ" 216-РДО от 03.10.2022</v>
      </c>
      <c r="D69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2" t="str">
        <f ca="1">IFERROR(__xludf.DUMMYFUNCTION("""COMPUTED_VALUE"""),"Новый")</f>
        <v>Новый</v>
      </c>
      <c r="G6952" s="68"/>
      <c r="K6952" s="68"/>
    </row>
    <row r="6953" spans="1:11" ht="12.75">
      <c r="A6953" s="69">
        <f ca="1">IFERROR(__xludf.DUMMYFUNCTION("""COMPUTED_VALUE"""),108414)</f>
        <v>108414</v>
      </c>
      <c r="B6953" s="4">
        <f ca="1">IFERROR(__xludf.DUMMYFUNCTION("""COMPUTED_VALUE"""),44837)</f>
        <v>44837</v>
      </c>
      <c r="C6953" t="str">
        <f ca="1">IFERROR(__xludf.DUMMYFUNCTION("""COMPUTED_VALUE"""),"БУ Г. ОМСКА ""УДХБ"" 216-РДО от 03.10.2022")</f>
        <v>БУ Г. ОМСКА "УДХБ" 216-РДО от 03.10.2022</v>
      </c>
      <c r="D69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3" t="str">
        <f ca="1">IFERROR(__xludf.DUMMYFUNCTION("""COMPUTED_VALUE"""),"Новый")</f>
        <v>Новый</v>
      </c>
      <c r="G6953" s="68"/>
      <c r="K6953" s="68"/>
    </row>
    <row r="6954" spans="1:11" ht="12.75">
      <c r="A6954" s="69">
        <f ca="1">IFERROR(__xludf.DUMMYFUNCTION("""COMPUTED_VALUE"""),108415)</f>
        <v>108415</v>
      </c>
      <c r="B6954" s="4">
        <f ca="1">IFERROR(__xludf.DUMMYFUNCTION("""COMPUTED_VALUE"""),44837)</f>
        <v>44837</v>
      </c>
      <c r="C6954" t="str">
        <f ca="1">IFERROR(__xludf.DUMMYFUNCTION("""COMPUTED_VALUE"""),"БУ Г. ОМСКА ""УДХБ"" 216-РДО от 03.10.2022")</f>
        <v>БУ Г. ОМСКА "УДХБ" 216-РДО от 03.10.2022</v>
      </c>
      <c r="D69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4" t="str">
        <f ca="1">IFERROR(__xludf.DUMMYFUNCTION("""COMPUTED_VALUE"""),"Новый")</f>
        <v>Новый</v>
      </c>
      <c r="G6954" s="68"/>
      <c r="K6954" s="68"/>
    </row>
    <row r="6955" spans="1:11" ht="12.75">
      <c r="A6955" s="69">
        <f ca="1">IFERROR(__xludf.DUMMYFUNCTION("""COMPUTED_VALUE"""),108416)</f>
        <v>108416</v>
      </c>
      <c r="B6955" s="4">
        <f ca="1">IFERROR(__xludf.DUMMYFUNCTION("""COMPUTED_VALUE"""),44837)</f>
        <v>44837</v>
      </c>
      <c r="C6955" t="str">
        <f ca="1">IFERROR(__xludf.DUMMYFUNCTION("""COMPUTED_VALUE"""),"БУ Г. ОМСКА ""УДХБ"" 216-РДО от 03.10.2022")</f>
        <v>БУ Г. ОМСКА "УДХБ" 216-РДО от 03.10.2022</v>
      </c>
      <c r="D69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5" t="str">
        <f ca="1">IFERROR(__xludf.DUMMYFUNCTION("""COMPUTED_VALUE"""),"Новый")</f>
        <v>Новый</v>
      </c>
      <c r="G6955" s="68"/>
      <c r="K6955" s="68"/>
    </row>
    <row r="6956" spans="1:11" ht="12.75">
      <c r="A6956" s="69">
        <f ca="1">IFERROR(__xludf.DUMMYFUNCTION("""COMPUTED_VALUE"""),108417)</f>
        <v>108417</v>
      </c>
      <c r="B6956" s="4">
        <f ca="1">IFERROR(__xludf.DUMMYFUNCTION("""COMPUTED_VALUE"""),44837)</f>
        <v>44837</v>
      </c>
      <c r="C6956" t="str">
        <f ca="1">IFERROR(__xludf.DUMMYFUNCTION("""COMPUTED_VALUE"""),"БУ Г. ОМСКА ""УДХБ"" 216-РДО от 03.10.2022")</f>
        <v>БУ Г. ОМСКА "УДХБ" 216-РДО от 03.10.2022</v>
      </c>
      <c r="D69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6" t="str">
        <f ca="1">IFERROR(__xludf.DUMMYFUNCTION("""COMPUTED_VALUE"""),"Новый")</f>
        <v>Новый</v>
      </c>
      <c r="G6956" s="68"/>
      <c r="K6956" s="68"/>
    </row>
    <row r="6957" spans="1:11" ht="12.75">
      <c r="A6957" s="69">
        <f ca="1">IFERROR(__xludf.DUMMYFUNCTION("""COMPUTED_VALUE"""),108418)</f>
        <v>108418</v>
      </c>
      <c r="B6957" s="4">
        <f ca="1">IFERROR(__xludf.DUMMYFUNCTION("""COMPUTED_VALUE"""),44837)</f>
        <v>44837</v>
      </c>
      <c r="C6957" t="str">
        <f ca="1">IFERROR(__xludf.DUMMYFUNCTION("""COMPUTED_VALUE"""),"БУ Г. ОМСКА ""УДХБ"" 216-РДО от 03.10.2022")</f>
        <v>БУ Г. ОМСКА "УДХБ" 216-РДО от 03.10.2022</v>
      </c>
      <c r="D69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7" t="str">
        <f ca="1">IFERROR(__xludf.DUMMYFUNCTION("""COMPUTED_VALUE"""),"Новый")</f>
        <v>Новый</v>
      </c>
      <c r="G6957" s="68"/>
      <c r="K6957" s="68"/>
    </row>
    <row r="6958" spans="1:11" ht="12.75">
      <c r="A6958" s="69">
        <f ca="1">IFERROR(__xludf.DUMMYFUNCTION("""COMPUTED_VALUE"""),108419)</f>
        <v>108419</v>
      </c>
      <c r="B6958" s="4">
        <f ca="1">IFERROR(__xludf.DUMMYFUNCTION("""COMPUTED_VALUE"""),44837)</f>
        <v>44837</v>
      </c>
      <c r="C6958" t="str">
        <f ca="1">IFERROR(__xludf.DUMMYFUNCTION("""COMPUTED_VALUE"""),"БУ Г. ОМСКА ""УДХБ"" 216-РДО от 03.10.2022")</f>
        <v>БУ Г. ОМСКА "УДХБ" 216-РДО от 03.10.2022</v>
      </c>
      <c r="D69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8" t="str">
        <f ca="1">IFERROR(__xludf.DUMMYFUNCTION("""COMPUTED_VALUE"""),"Новый")</f>
        <v>Новый</v>
      </c>
      <c r="G6958" s="68"/>
      <c r="K6958" s="68"/>
    </row>
    <row r="6959" spans="1:11" ht="12.75">
      <c r="A6959" s="69">
        <f ca="1">IFERROR(__xludf.DUMMYFUNCTION("""COMPUTED_VALUE"""),108420)</f>
        <v>108420</v>
      </c>
      <c r="B6959" s="4">
        <f ca="1">IFERROR(__xludf.DUMMYFUNCTION("""COMPUTED_VALUE"""),44837)</f>
        <v>44837</v>
      </c>
      <c r="C6959" t="str">
        <f ca="1">IFERROR(__xludf.DUMMYFUNCTION("""COMPUTED_VALUE"""),"БУ Г. ОМСКА ""УДХБ"" 216-РДО от 03.10.2022")</f>
        <v>БУ Г. ОМСКА "УДХБ" 216-РДО от 03.10.2022</v>
      </c>
      <c r="D69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59" t="str">
        <f ca="1">IFERROR(__xludf.DUMMYFUNCTION("""COMPUTED_VALUE"""),"Новый")</f>
        <v>Новый</v>
      </c>
      <c r="G6959" s="68"/>
      <c r="K6959" s="68"/>
    </row>
    <row r="6960" spans="1:11" ht="12.75">
      <c r="A6960" s="69">
        <f ca="1">IFERROR(__xludf.DUMMYFUNCTION("""COMPUTED_VALUE"""),108421)</f>
        <v>108421</v>
      </c>
      <c r="B6960" s="4">
        <f ca="1">IFERROR(__xludf.DUMMYFUNCTION("""COMPUTED_VALUE"""),44837)</f>
        <v>44837</v>
      </c>
      <c r="C6960" t="str">
        <f ca="1">IFERROR(__xludf.DUMMYFUNCTION("""COMPUTED_VALUE"""),"БУ Г. ОМСКА ""УДХБ"" 216-РДО от 03.10.2022")</f>
        <v>БУ Г. ОМСКА "УДХБ" 216-РДО от 03.10.2022</v>
      </c>
      <c r="D69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0" t="str">
        <f ca="1">IFERROR(__xludf.DUMMYFUNCTION("""COMPUTED_VALUE"""),"Новый")</f>
        <v>Новый</v>
      </c>
      <c r="G6960" s="68"/>
      <c r="K6960" s="68"/>
    </row>
    <row r="6961" spans="1:11" ht="12.75">
      <c r="A6961" s="69">
        <f ca="1">IFERROR(__xludf.DUMMYFUNCTION("""COMPUTED_VALUE"""),108422)</f>
        <v>108422</v>
      </c>
      <c r="B6961" s="4">
        <f ca="1">IFERROR(__xludf.DUMMYFUNCTION("""COMPUTED_VALUE"""),44837)</f>
        <v>44837</v>
      </c>
      <c r="C6961" t="str">
        <f ca="1">IFERROR(__xludf.DUMMYFUNCTION("""COMPUTED_VALUE"""),"БУ Г. ОМСКА ""УДХБ"" 216-РДО от 03.10.2022")</f>
        <v>БУ Г. ОМСКА "УДХБ" 216-РДО от 03.10.2022</v>
      </c>
      <c r="D69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1" t="str">
        <f ca="1">IFERROR(__xludf.DUMMYFUNCTION("""COMPUTED_VALUE"""),"Новый")</f>
        <v>Новый</v>
      </c>
      <c r="G6961" s="68"/>
      <c r="K6961" s="68"/>
    </row>
    <row r="6962" spans="1:11" ht="12.75">
      <c r="A6962" s="69">
        <f ca="1">IFERROR(__xludf.DUMMYFUNCTION("""COMPUTED_VALUE"""),108423)</f>
        <v>108423</v>
      </c>
      <c r="B6962" s="4">
        <f ca="1">IFERROR(__xludf.DUMMYFUNCTION("""COMPUTED_VALUE"""),44837)</f>
        <v>44837</v>
      </c>
      <c r="C6962" t="str">
        <f ca="1">IFERROR(__xludf.DUMMYFUNCTION("""COMPUTED_VALUE"""),"БУ Г. ОМСКА ""УДХБ"" 216-РДО от 03.10.2022")</f>
        <v>БУ Г. ОМСКА "УДХБ" 216-РДО от 03.10.2022</v>
      </c>
      <c r="D69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2" t="str">
        <f ca="1">IFERROR(__xludf.DUMMYFUNCTION("""COMPUTED_VALUE"""),"Новый")</f>
        <v>Новый</v>
      </c>
      <c r="G6962" s="68"/>
      <c r="K6962" s="68"/>
    </row>
    <row r="6963" spans="1:11" ht="12.75">
      <c r="A6963" s="69">
        <f ca="1">IFERROR(__xludf.DUMMYFUNCTION("""COMPUTED_VALUE"""),108424)</f>
        <v>108424</v>
      </c>
      <c r="B6963" s="4">
        <f ca="1">IFERROR(__xludf.DUMMYFUNCTION("""COMPUTED_VALUE"""),44837)</f>
        <v>44837</v>
      </c>
      <c r="C6963" t="str">
        <f ca="1">IFERROR(__xludf.DUMMYFUNCTION("""COMPUTED_VALUE"""),"БУ Г. ОМСКА ""УДХБ"" 216-РДО от 03.10.2022")</f>
        <v>БУ Г. ОМСКА "УДХБ" 216-РДО от 03.10.2022</v>
      </c>
      <c r="D69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3" t="str">
        <f ca="1">IFERROR(__xludf.DUMMYFUNCTION("""COMPUTED_VALUE"""),"Новый")</f>
        <v>Новый</v>
      </c>
      <c r="G6963" s="68"/>
      <c r="K6963" s="68"/>
    </row>
    <row r="6964" spans="1:11" ht="12.75">
      <c r="A6964" s="69">
        <f ca="1">IFERROR(__xludf.DUMMYFUNCTION("""COMPUTED_VALUE"""),108425)</f>
        <v>108425</v>
      </c>
      <c r="B6964" s="4">
        <f ca="1">IFERROR(__xludf.DUMMYFUNCTION("""COMPUTED_VALUE"""),44837)</f>
        <v>44837</v>
      </c>
      <c r="C6964" t="str">
        <f ca="1">IFERROR(__xludf.DUMMYFUNCTION("""COMPUTED_VALUE"""),"БУ Г. ОМСКА ""УДХБ"" 216-РДО от 03.10.2022")</f>
        <v>БУ Г. ОМСКА "УДХБ" 216-РДО от 03.10.2022</v>
      </c>
      <c r="D69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4" t="str">
        <f ca="1">IFERROR(__xludf.DUMMYFUNCTION("""COMPUTED_VALUE"""),"Новый")</f>
        <v>Новый</v>
      </c>
      <c r="G6964" s="68"/>
      <c r="K6964" s="68"/>
    </row>
    <row r="6965" spans="1:11" ht="12.75">
      <c r="A6965" s="69">
        <f ca="1">IFERROR(__xludf.DUMMYFUNCTION("""COMPUTED_VALUE"""),108426)</f>
        <v>108426</v>
      </c>
      <c r="B6965" s="4">
        <f ca="1">IFERROR(__xludf.DUMMYFUNCTION("""COMPUTED_VALUE"""),44837)</f>
        <v>44837</v>
      </c>
      <c r="C6965" t="str">
        <f ca="1">IFERROR(__xludf.DUMMYFUNCTION("""COMPUTED_VALUE"""),"БУ Г. ОМСКА ""УДХБ"" 216-РДО от 03.10.2022")</f>
        <v>БУ Г. ОМСКА "УДХБ" 216-РДО от 03.10.2022</v>
      </c>
      <c r="D69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5" t="str">
        <f ca="1">IFERROR(__xludf.DUMMYFUNCTION("""COMPUTED_VALUE"""),"Новый")</f>
        <v>Новый</v>
      </c>
      <c r="G6965" s="68"/>
      <c r="K6965" s="68"/>
    </row>
    <row r="6966" spans="1:11" ht="12.75">
      <c r="A6966" s="69">
        <f ca="1">IFERROR(__xludf.DUMMYFUNCTION("""COMPUTED_VALUE"""),108427)</f>
        <v>108427</v>
      </c>
      <c r="B6966" s="4">
        <f ca="1">IFERROR(__xludf.DUMMYFUNCTION("""COMPUTED_VALUE"""),44837)</f>
        <v>44837</v>
      </c>
      <c r="C6966" t="str">
        <f ca="1">IFERROR(__xludf.DUMMYFUNCTION("""COMPUTED_VALUE"""),"БУ Г. ОМСКА ""УДХБ"" 216-РДО от 03.10.2022")</f>
        <v>БУ Г. ОМСКА "УДХБ" 216-РДО от 03.10.2022</v>
      </c>
      <c r="D69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6" t="str">
        <f ca="1">IFERROR(__xludf.DUMMYFUNCTION("""COMPUTED_VALUE"""),"Новый")</f>
        <v>Новый</v>
      </c>
      <c r="G6966" s="68"/>
      <c r="K6966" s="68"/>
    </row>
    <row r="6967" spans="1:11" ht="12.75">
      <c r="A6967" s="69">
        <f ca="1">IFERROR(__xludf.DUMMYFUNCTION("""COMPUTED_VALUE"""),108446)</f>
        <v>108446</v>
      </c>
      <c r="B6967" s="4">
        <f ca="1">IFERROR(__xludf.DUMMYFUNCTION("""COMPUTED_VALUE"""),44837)</f>
        <v>44837</v>
      </c>
      <c r="C6967" t="str">
        <f ca="1">IFERROR(__xludf.DUMMYFUNCTION("""COMPUTED_VALUE"""),"БУ Г. ОМСКА ""УДХБ"" 216-РДО от 03.10.2022")</f>
        <v>БУ Г. ОМСКА "УДХБ" 216-РДО от 03.10.2022</v>
      </c>
      <c r="D69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7" t="str">
        <f ca="1">IFERROR(__xludf.DUMMYFUNCTION("""COMPUTED_VALUE"""),"Новый")</f>
        <v>Новый</v>
      </c>
      <c r="G6967" s="68"/>
      <c r="K6967" s="68"/>
    </row>
    <row r="6968" spans="1:11" ht="12.75">
      <c r="A6968" s="69">
        <f ca="1">IFERROR(__xludf.DUMMYFUNCTION("""COMPUTED_VALUE"""),108448)</f>
        <v>108448</v>
      </c>
      <c r="B6968" s="4">
        <f ca="1">IFERROR(__xludf.DUMMYFUNCTION("""COMPUTED_VALUE"""),44837)</f>
        <v>44837</v>
      </c>
      <c r="C6968" t="str">
        <f ca="1">IFERROR(__xludf.DUMMYFUNCTION("""COMPUTED_VALUE"""),"БУ Г. ОМСКА ""УДХБ"" 216-РДО от 03.10.2022")</f>
        <v>БУ Г. ОМСКА "УДХБ" 216-РДО от 03.10.2022</v>
      </c>
      <c r="D69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8" t="str">
        <f ca="1">IFERROR(__xludf.DUMMYFUNCTION("""COMPUTED_VALUE"""),"Новый")</f>
        <v>Новый</v>
      </c>
      <c r="G6968" s="68"/>
      <c r="K6968" s="68"/>
    </row>
    <row r="6969" spans="1:11" ht="12.75">
      <c r="A6969" s="69">
        <f ca="1">IFERROR(__xludf.DUMMYFUNCTION("""COMPUTED_VALUE"""),108450)</f>
        <v>108450</v>
      </c>
      <c r="B6969" s="4">
        <f ca="1">IFERROR(__xludf.DUMMYFUNCTION("""COMPUTED_VALUE"""),44837)</f>
        <v>44837</v>
      </c>
      <c r="C6969" t="str">
        <f ca="1">IFERROR(__xludf.DUMMYFUNCTION("""COMPUTED_VALUE"""),"БУ Г. ОМСКА ""УДХБ"" 216-РДО от 03.10.2022")</f>
        <v>БУ Г. ОМСКА "УДХБ" 216-РДО от 03.10.2022</v>
      </c>
      <c r="D69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69" t="str">
        <f ca="1">IFERROR(__xludf.DUMMYFUNCTION("""COMPUTED_VALUE"""),"Новый")</f>
        <v>Новый</v>
      </c>
      <c r="G6969" s="68"/>
      <c r="K6969" s="68"/>
    </row>
    <row r="6970" spans="1:11" ht="12.75">
      <c r="A6970" s="69">
        <f ca="1">IFERROR(__xludf.DUMMYFUNCTION("""COMPUTED_VALUE"""),108453)</f>
        <v>108453</v>
      </c>
      <c r="B6970" s="4">
        <f ca="1">IFERROR(__xludf.DUMMYFUNCTION("""COMPUTED_VALUE"""),44837)</f>
        <v>44837</v>
      </c>
      <c r="C6970" t="str">
        <f ca="1">IFERROR(__xludf.DUMMYFUNCTION("""COMPUTED_VALUE"""),"БУ Г. ОМСКА ""УДХБ"" 216-РДО от 03.10.2022")</f>
        <v>БУ Г. ОМСКА "УДХБ" 216-РДО от 03.10.2022</v>
      </c>
      <c r="D69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0" t="str">
        <f ca="1">IFERROR(__xludf.DUMMYFUNCTION("""COMPUTED_VALUE"""),"Новый")</f>
        <v>Новый</v>
      </c>
      <c r="G6970" s="68"/>
      <c r="K6970" s="68"/>
    </row>
    <row r="6971" spans="1:11" ht="12.75">
      <c r="A6971" s="69">
        <f ca="1">IFERROR(__xludf.DUMMYFUNCTION("""COMPUTED_VALUE"""),108455)</f>
        <v>108455</v>
      </c>
      <c r="B6971" s="4">
        <f ca="1">IFERROR(__xludf.DUMMYFUNCTION("""COMPUTED_VALUE"""),44837)</f>
        <v>44837</v>
      </c>
      <c r="C6971" t="str">
        <f ca="1">IFERROR(__xludf.DUMMYFUNCTION("""COMPUTED_VALUE"""),"БУ Г. ОМСКА ""УДХБ"" 216-РДО от 03.10.2022")</f>
        <v>БУ Г. ОМСКА "УДХБ" 216-РДО от 03.10.2022</v>
      </c>
      <c r="D69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1" t="str">
        <f ca="1">IFERROR(__xludf.DUMMYFUNCTION("""COMPUTED_VALUE"""),"Новый")</f>
        <v>Новый</v>
      </c>
      <c r="G6971" s="68"/>
      <c r="K6971" s="68"/>
    </row>
    <row r="6972" spans="1:11" ht="12.75">
      <c r="A6972" s="69">
        <f ca="1">IFERROR(__xludf.DUMMYFUNCTION("""COMPUTED_VALUE"""),108456)</f>
        <v>108456</v>
      </c>
      <c r="B6972" s="4">
        <f ca="1">IFERROR(__xludf.DUMMYFUNCTION("""COMPUTED_VALUE"""),44837)</f>
        <v>44837</v>
      </c>
      <c r="C6972" t="str">
        <f ca="1">IFERROR(__xludf.DUMMYFUNCTION("""COMPUTED_VALUE"""),"БУ Г. ОМСКА ""УДХБ"" 216-РДО от 03.10.2022")</f>
        <v>БУ Г. ОМСКА "УДХБ" 216-РДО от 03.10.2022</v>
      </c>
      <c r="D69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2" t="str">
        <f ca="1">IFERROR(__xludf.DUMMYFUNCTION("""COMPUTED_VALUE"""),"Новый")</f>
        <v>Новый</v>
      </c>
      <c r="G6972" s="68"/>
      <c r="K6972" s="68"/>
    </row>
    <row r="6973" spans="1:11" ht="12.75">
      <c r="A6973" s="69">
        <f ca="1">IFERROR(__xludf.DUMMYFUNCTION("""COMPUTED_VALUE"""),108457)</f>
        <v>108457</v>
      </c>
      <c r="B6973" s="4">
        <f ca="1">IFERROR(__xludf.DUMMYFUNCTION("""COMPUTED_VALUE"""),44837)</f>
        <v>44837</v>
      </c>
      <c r="C6973" t="str">
        <f ca="1">IFERROR(__xludf.DUMMYFUNCTION("""COMPUTED_VALUE"""),"БУ Г. ОМСКА ""УДХБ"" 216-РДО от 03.10.2022")</f>
        <v>БУ Г. ОМСКА "УДХБ" 216-РДО от 03.10.2022</v>
      </c>
      <c r="D69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3" t="str">
        <f ca="1">IFERROR(__xludf.DUMMYFUNCTION("""COMPUTED_VALUE"""),"Новый")</f>
        <v>Новый</v>
      </c>
      <c r="G6973" s="68"/>
      <c r="K6973" s="68"/>
    </row>
    <row r="6974" spans="1:11" ht="12.75">
      <c r="A6974" s="69">
        <f ca="1">IFERROR(__xludf.DUMMYFUNCTION("""COMPUTED_VALUE"""),108459)</f>
        <v>108459</v>
      </c>
      <c r="B6974" s="4">
        <f ca="1">IFERROR(__xludf.DUMMYFUNCTION("""COMPUTED_VALUE"""),44837)</f>
        <v>44837</v>
      </c>
      <c r="C6974" t="str">
        <f ca="1">IFERROR(__xludf.DUMMYFUNCTION("""COMPUTED_VALUE"""),"БУ Г. ОМСКА ""УДХБ"" 216-РДО от 03.10.2022")</f>
        <v>БУ Г. ОМСКА "УДХБ" 216-РДО от 03.10.2022</v>
      </c>
      <c r="D69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4" t="str">
        <f ca="1">IFERROR(__xludf.DUMMYFUNCTION("""COMPUTED_VALUE"""),"Новый")</f>
        <v>Новый</v>
      </c>
      <c r="G6974" s="68"/>
      <c r="K6974" s="68"/>
    </row>
    <row r="6975" spans="1:11" ht="12.75">
      <c r="A6975" s="69">
        <f ca="1">IFERROR(__xludf.DUMMYFUNCTION("""COMPUTED_VALUE"""),108466)</f>
        <v>108466</v>
      </c>
      <c r="B6975" s="4">
        <f ca="1">IFERROR(__xludf.DUMMYFUNCTION("""COMPUTED_VALUE"""),44837)</f>
        <v>44837</v>
      </c>
      <c r="C6975" t="str">
        <f ca="1">IFERROR(__xludf.DUMMYFUNCTION("""COMPUTED_VALUE"""),"БУ Г. ОМСКА ""УДХБ"" 216-РДО от 03.10.2022")</f>
        <v>БУ Г. ОМСКА "УДХБ" 216-РДО от 03.10.2022</v>
      </c>
      <c r="D69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5" t="str">
        <f ca="1">IFERROR(__xludf.DUMMYFUNCTION("""COMPUTED_VALUE"""),"Новый")</f>
        <v>Новый</v>
      </c>
      <c r="G6975" s="68"/>
      <c r="K6975" s="68"/>
    </row>
    <row r="6976" spans="1:11" ht="12.75">
      <c r="A6976" s="69">
        <f ca="1">IFERROR(__xludf.DUMMYFUNCTION("""COMPUTED_VALUE"""),108485)</f>
        <v>108485</v>
      </c>
      <c r="B6976" s="4">
        <f ca="1">IFERROR(__xludf.DUMMYFUNCTION("""COMPUTED_VALUE"""),44837)</f>
        <v>44837</v>
      </c>
      <c r="C6976" t="str">
        <f ca="1">IFERROR(__xludf.DUMMYFUNCTION("""COMPUTED_VALUE"""),"БУ Г. ОМСКА ""УДХБ"" 216-РДО от 03.10.2022")</f>
        <v>БУ Г. ОМСКА "УДХБ" 216-РДО от 03.10.2022</v>
      </c>
      <c r="D69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6" t="str">
        <f ca="1">IFERROR(__xludf.DUMMYFUNCTION("""COMPUTED_VALUE"""),"Новый")</f>
        <v>Новый</v>
      </c>
      <c r="G6976" s="68"/>
      <c r="K6976" s="68"/>
    </row>
    <row r="6977" spans="1:11" ht="12.75">
      <c r="A6977" s="69">
        <f ca="1">IFERROR(__xludf.DUMMYFUNCTION("""COMPUTED_VALUE"""),108487)</f>
        <v>108487</v>
      </c>
      <c r="B6977" s="4">
        <f ca="1">IFERROR(__xludf.DUMMYFUNCTION("""COMPUTED_VALUE"""),44837)</f>
        <v>44837</v>
      </c>
      <c r="C6977" t="str">
        <f ca="1">IFERROR(__xludf.DUMMYFUNCTION("""COMPUTED_VALUE"""),"БУ Г. ОМСКА ""УДХБ"" 216-РДО от 03.10.2022")</f>
        <v>БУ Г. ОМСКА "УДХБ" 216-РДО от 03.10.2022</v>
      </c>
      <c r="D69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7" t="str">
        <f ca="1">IFERROR(__xludf.DUMMYFUNCTION("""COMPUTED_VALUE"""),"Новый")</f>
        <v>Новый</v>
      </c>
      <c r="G6977" s="68"/>
      <c r="K6977" s="68"/>
    </row>
    <row r="6978" spans="1:11" ht="12.75">
      <c r="A6978" s="69">
        <f ca="1">IFERROR(__xludf.DUMMYFUNCTION("""COMPUTED_VALUE"""),108488)</f>
        <v>108488</v>
      </c>
      <c r="B6978" s="4">
        <f ca="1">IFERROR(__xludf.DUMMYFUNCTION("""COMPUTED_VALUE"""),44837)</f>
        <v>44837</v>
      </c>
      <c r="C6978" t="str">
        <f ca="1">IFERROR(__xludf.DUMMYFUNCTION("""COMPUTED_VALUE"""),"БУ Г. ОМСКА ""УДХБ"" 216-РДО от 03.10.2022")</f>
        <v>БУ Г. ОМСКА "УДХБ" 216-РДО от 03.10.2022</v>
      </c>
      <c r="D69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8" t="str">
        <f ca="1">IFERROR(__xludf.DUMMYFUNCTION("""COMPUTED_VALUE"""),"Новый")</f>
        <v>Новый</v>
      </c>
      <c r="G6978" s="68"/>
      <c r="K6978" s="68"/>
    </row>
    <row r="6979" spans="1:11" ht="12.75">
      <c r="A6979" s="69">
        <f ca="1">IFERROR(__xludf.DUMMYFUNCTION("""COMPUTED_VALUE"""),108489)</f>
        <v>108489</v>
      </c>
      <c r="B6979" s="4">
        <f ca="1">IFERROR(__xludf.DUMMYFUNCTION("""COMPUTED_VALUE"""),44837)</f>
        <v>44837</v>
      </c>
      <c r="C6979" t="str">
        <f ca="1">IFERROR(__xludf.DUMMYFUNCTION("""COMPUTED_VALUE"""),"БУ Г. ОМСКА ""УДХБ"" 216-РДО от 03.10.2022")</f>
        <v>БУ Г. ОМСКА "УДХБ" 216-РДО от 03.10.2022</v>
      </c>
      <c r="D69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79" t="str">
        <f ca="1">IFERROR(__xludf.DUMMYFUNCTION("""COMPUTED_VALUE"""),"Новый")</f>
        <v>Новый</v>
      </c>
      <c r="G6979" s="68"/>
      <c r="K6979" s="68"/>
    </row>
    <row r="6980" spans="1:11" ht="12.75">
      <c r="A6980" s="69">
        <f ca="1">IFERROR(__xludf.DUMMYFUNCTION("""COMPUTED_VALUE"""),108490)</f>
        <v>108490</v>
      </c>
      <c r="B6980" s="4">
        <f ca="1">IFERROR(__xludf.DUMMYFUNCTION("""COMPUTED_VALUE"""),44837)</f>
        <v>44837</v>
      </c>
      <c r="C6980" t="str">
        <f ca="1">IFERROR(__xludf.DUMMYFUNCTION("""COMPUTED_VALUE"""),"БУ Г. ОМСКА ""УДХБ"" 216-РДО от 03.10.2022")</f>
        <v>БУ Г. ОМСКА "УДХБ" 216-РДО от 03.10.2022</v>
      </c>
      <c r="D69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0" t="str">
        <f ca="1">IFERROR(__xludf.DUMMYFUNCTION("""COMPUTED_VALUE"""),"Новый")</f>
        <v>Новый</v>
      </c>
      <c r="G6980" s="68"/>
      <c r="K6980" s="68"/>
    </row>
    <row r="6981" spans="1:11" ht="12.75">
      <c r="A6981" s="69">
        <f ca="1">IFERROR(__xludf.DUMMYFUNCTION("""COMPUTED_VALUE"""),108491)</f>
        <v>108491</v>
      </c>
      <c r="B6981" s="4">
        <f ca="1">IFERROR(__xludf.DUMMYFUNCTION("""COMPUTED_VALUE"""),44837)</f>
        <v>44837</v>
      </c>
      <c r="C6981" t="str">
        <f ca="1">IFERROR(__xludf.DUMMYFUNCTION("""COMPUTED_VALUE"""),"БУ Г. ОМСКА ""УДХБ"" 216-РДО от 03.10.2022")</f>
        <v>БУ Г. ОМСКА "УДХБ" 216-РДО от 03.10.2022</v>
      </c>
      <c r="D69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1" t="str">
        <f ca="1">IFERROR(__xludf.DUMMYFUNCTION("""COMPUTED_VALUE"""),"Новый")</f>
        <v>Новый</v>
      </c>
      <c r="G6981" s="68"/>
      <c r="K6981" s="68"/>
    </row>
    <row r="6982" spans="1:11" ht="12.75">
      <c r="A6982" s="69">
        <f ca="1">IFERROR(__xludf.DUMMYFUNCTION("""COMPUTED_VALUE"""),108492)</f>
        <v>108492</v>
      </c>
      <c r="B6982" s="4">
        <f ca="1">IFERROR(__xludf.DUMMYFUNCTION("""COMPUTED_VALUE"""),44837)</f>
        <v>44837</v>
      </c>
      <c r="C6982" t="str">
        <f ca="1">IFERROR(__xludf.DUMMYFUNCTION("""COMPUTED_VALUE"""),"БУ Г. ОМСКА ""УДХБ"" 216-РДО от 03.10.2022")</f>
        <v>БУ Г. ОМСКА "УДХБ" 216-РДО от 03.10.2022</v>
      </c>
      <c r="D69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2" t="str">
        <f ca="1">IFERROR(__xludf.DUMMYFUNCTION("""COMPUTED_VALUE"""),"Новый")</f>
        <v>Новый</v>
      </c>
      <c r="G6982" s="68"/>
      <c r="K6982" s="68"/>
    </row>
    <row r="6983" spans="1:11" ht="12.75">
      <c r="A6983" s="69">
        <f ca="1">IFERROR(__xludf.DUMMYFUNCTION("""COMPUTED_VALUE"""),108493)</f>
        <v>108493</v>
      </c>
      <c r="B6983" s="4">
        <f ca="1">IFERROR(__xludf.DUMMYFUNCTION("""COMPUTED_VALUE"""),44837)</f>
        <v>44837</v>
      </c>
      <c r="C6983" t="str">
        <f ca="1">IFERROR(__xludf.DUMMYFUNCTION("""COMPUTED_VALUE"""),"БУ Г. ОМСКА ""УДХБ"" 216-РДО от 03.10.2022")</f>
        <v>БУ Г. ОМСКА "УДХБ" 216-РДО от 03.10.2022</v>
      </c>
      <c r="D69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3" t="str">
        <f ca="1">IFERROR(__xludf.DUMMYFUNCTION("""COMPUTED_VALUE"""),"Новый")</f>
        <v>Новый</v>
      </c>
      <c r="G6983" s="68"/>
      <c r="K6983" s="68"/>
    </row>
    <row r="6984" spans="1:11" ht="12.75">
      <c r="A6984" s="69">
        <f ca="1">IFERROR(__xludf.DUMMYFUNCTION("""COMPUTED_VALUE"""),108494)</f>
        <v>108494</v>
      </c>
      <c r="B6984" s="4">
        <f ca="1">IFERROR(__xludf.DUMMYFUNCTION("""COMPUTED_VALUE"""),44837)</f>
        <v>44837</v>
      </c>
      <c r="C6984" t="str">
        <f ca="1">IFERROR(__xludf.DUMMYFUNCTION("""COMPUTED_VALUE"""),"БУ Г. ОМСКА ""УДХБ"" 216-РДО от 03.10.2022")</f>
        <v>БУ Г. ОМСКА "УДХБ" 216-РДО от 03.10.2022</v>
      </c>
      <c r="D69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4" t="str">
        <f ca="1">IFERROR(__xludf.DUMMYFUNCTION("""COMPUTED_VALUE"""),"Новый")</f>
        <v>Новый</v>
      </c>
      <c r="G6984" s="68"/>
      <c r="K6984" s="68"/>
    </row>
    <row r="6985" spans="1:11" ht="12.75">
      <c r="A6985" s="69">
        <f ca="1">IFERROR(__xludf.DUMMYFUNCTION("""COMPUTED_VALUE"""),108495)</f>
        <v>108495</v>
      </c>
      <c r="B6985" s="4">
        <f ca="1">IFERROR(__xludf.DUMMYFUNCTION("""COMPUTED_VALUE"""),44837)</f>
        <v>44837</v>
      </c>
      <c r="C6985" t="str">
        <f ca="1">IFERROR(__xludf.DUMMYFUNCTION("""COMPUTED_VALUE"""),"БУ Г. ОМСКА ""УДХБ"" 216-РДО от 03.10.2022")</f>
        <v>БУ Г. ОМСКА "УДХБ" 216-РДО от 03.10.2022</v>
      </c>
      <c r="D69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5" t="str">
        <f ca="1">IFERROR(__xludf.DUMMYFUNCTION("""COMPUTED_VALUE"""),"Новый")</f>
        <v>Новый</v>
      </c>
      <c r="G6985" s="68"/>
      <c r="K6985" s="68"/>
    </row>
    <row r="6986" spans="1:11" ht="12.75">
      <c r="A6986" s="69">
        <f ca="1">IFERROR(__xludf.DUMMYFUNCTION("""COMPUTED_VALUE"""),108496)</f>
        <v>108496</v>
      </c>
      <c r="B6986" s="4">
        <f ca="1">IFERROR(__xludf.DUMMYFUNCTION("""COMPUTED_VALUE"""),44837)</f>
        <v>44837</v>
      </c>
      <c r="C6986" t="str">
        <f ca="1">IFERROR(__xludf.DUMMYFUNCTION("""COMPUTED_VALUE"""),"БУ Г. ОМСКА ""УДХБ"" 216-РДО от 03.10.2022")</f>
        <v>БУ Г. ОМСКА "УДХБ" 216-РДО от 03.10.2022</v>
      </c>
      <c r="D69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6" t="str">
        <f ca="1">IFERROR(__xludf.DUMMYFUNCTION("""COMPUTED_VALUE"""),"Новый")</f>
        <v>Новый</v>
      </c>
      <c r="G6986" s="68"/>
      <c r="K6986" s="68"/>
    </row>
    <row r="6987" spans="1:11" ht="12.75">
      <c r="A6987" s="69">
        <f ca="1">IFERROR(__xludf.DUMMYFUNCTION("""COMPUTED_VALUE"""),108497)</f>
        <v>108497</v>
      </c>
      <c r="B6987" s="4">
        <f ca="1">IFERROR(__xludf.DUMMYFUNCTION("""COMPUTED_VALUE"""),44837)</f>
        <v>44837</v>
      </c>
      <c r="C6987" t="str">
        <f ca="1">IFERROR(__xludf.DUMMYFUNCTION("""COMPUTED_VALUE"""),"БУ Г. ОМСКА ""УДХБ"" 216-РДО от 03.10.2022")</f>
        <v>БУ Г. ОМСКА "УДХБ" 216-РДО от 03.10.2022</v>
      </c>
      <c r="D69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7" t="str">
        <f ca="1">IFERROR(__xludf.DUMMYFUNCTION("""COMPUTED_VALUE"""),"Новый")</f>
        <v>Новый</v>
      </c>
      <c r="G6987" s="68"/>
      <c r="K6987" s="68"/>
    </row>
    <row r="6988" spans="1:11" ht="12.75">
      <c r="A6988" s="69">
        <f ca="1">IFERROR(__xludf.DUMMYFUNCTION("""COMPUTED_VALUE"""),108498)</f>
        <v>108498</v>
      </c>
      <c r="B6988" s="4">
        <f ca="1">IFERROR(__xludf.DUMMYFUNCTION("""COMPUTED_VALUE"""),44837)</f>
        <v>44837</v>
      </c>
      <c r="C6988" t="str">
        <f ca="1">IFERROR(__xludf.DUMMYFUNCTION("""COMPUTED_VALUE"""),"БУ Г. ОМСКА ""УДХБ"" 216-РДО от 03.10.2022")</f>
        <v>БУ Г. ОМСКА "УДХБ" 216-РДО от 03.10.2022</v>
      </c>
      <c r="D69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8" t="str">
        <f ca="1">IFERROR(__xludf.DUMMYFUNCTION("""COMPUTED_VALUE"""),"Новый")</f>
        <v>Новый</v>
      </c>
      <c r="G6988" s="68"/>
      <c r="K6988" s="68"/>
    </row>
    <row r="6989" spans="1:11" ht="12.75">
      <c r="A6989" s="69">
        <f ca="1">IFERROR(__xludf.DUMMYFUNCTION("""COMPUTED_VALUE"""),108499)</f>
        <v>108499</v>
      </c>
      <c r="B6989" s="4">
        <f ca="1">IFERROR(__xludf.DUMMYFUNCTION("""COMPUTED_VALUE"""),44837)</f>
        <v>44837</v>
      </c>
      <c r="C6989" t="str">
        <f ca="1">IFERROR(__xludf.DUMMYFUNCTION("""COMPUTED_VALUE"""),"БУ Г. ОМСКА ""УДХБ"" 216-РДО от 03.10.2022")</f>
        <v>БУ Г. ОМСКА "УДХБ" 216-РДО от 03.10.2022</v>
      </c>
      <c r="D69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89" t="str">
        <f ca="1">IFERROR(__xludf.DUMMYFUNCTION("""COMPUTED_VALUE"""),"Новый")</f>
        <v>Новый</v>
      </c>
      <c r="G6989" s="68"/>
      <c r="K6989" s="68"/>
    </row>
    <row r="6990" spans="1:11" ht="12.75">
      <c r="A6990" s="69">
        <f ca="1">IFERROR(__xludf.DUMMYFUNCTION("""COMPUTED_VALUE"""),108500)</f>
        <v>108500</v>
      </c>
      <c r="B6990" s="4">
        <f ca="1">IFERROR(__xludf.DUMMYFUNCTION("""COMPUTED_VALUE"""),44837)</f>
        <v>44837</v>
      </c>
      <c r="C6990" t="str">
        <f ca="1">IFERROR(__xludf.DUMMYFUNCTION("""COMPUTED_VALUE"""),"БУ Г. ОМСКА ""УДХБ"" 216-РДО от 03.10.2022")</f>
        <v>БУ Г. ОМСКА "УДХБ" 216-РДО от 03.10.2022</v>
      </c>
      <c r="D69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0" t="str">
        <f ca="1">IFERROR(__xludf.DUMMYFUNCTION("""COMPUTED_VALUE"""),"Новый")</f>
        <v>Новый</v>
      </c>
      <c r="G6990" s="68"/>
      <c r="K6990" s="68"/>
    </row>
    <row r="6991" spans="1:11" ht="12.75">
      <c r="A6991" s="69">
        <f ca="1">IFERROR(__xludf.DUMMYFUNCTION("""COMPUTED_VALUE"""),108501)</f>
        <v>108501</v>
      </c>
      <c r="B6991" s="4">
        <f ca="1">IFERROR(__xludf.DUMMYFUNCTION("""COMPUTED_VALUE"""),44837)</f>
        <v>44837</v>
      </c>
      <c r="C6991" t="str">
        <f ca="1">IFERROR(__xludf.DUMMYFUNCTION("""COMPUTED_VALUE"""),"БУ Г. ОМСКА ""УДХБ"" 216-РДО от 03.10.2022")</f>
        <v>БУ Г. ОМСКА "УДХБ" 216-РДО от 03.10.2022</v>
      </c>
      <c r="D69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1" t="str">
        <f ca="1">IFERROR(__xludf.DUMMYFUNCTION("""COMPUTED_VALUE"""),"Новый")</f>
        <v>Новый</v>
      </c>
      <c r="G6991" s="68"/>
      <c r="K6991" s="68"/>
    </row>
    <row r="6992" spans="1:11" ht="12.75">
      <c r="A6992" s="69">
        <f ca="1">IFERROR(__xludf.DUMMYFUNCTION("""COMPUTED_VALUE"""),108502)</f>
        <v>108502</v>
      </c>
      <c r="B6992" s="4">
        <f ca="1">IFERROR(__xludf.DUMMYFUNCTION("""COMPUTED_VALUE"""),44837)</f>
        <v>44837</v>
      </c>
      <c r="C6992" t="str">
        <f ca="1">IFERROR(__xludf.DUMMYFUNCTION("""COMPUTED_VALUE"""),"БУ Г. ОМСКА ""УДХБ"" 216-РДО от 03.10.2022")</f>
        <v>БУ Г. ОМСКА "УДХБ" 216-РДО от 03.10.2022</v>
      </c>
      <c r="D69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2" t="str">
        <f ca="1">IFERROR(__xludf.DUMMYFUNCTION("""COMPUTED_VALUE"""),"Новый")</f>
        <v>Новый</v>
      </c>
      <c r="G6992" s="68"/>
      <c r="K6992" s="68"/>
    </row>
    <row r="6993" spans="1:11" ht="12.75">
      <c r="A6993" s="69">
        <f ca="1">IFERROR(__xludf.DUMMYFUNCTION("""COMPUTED_VALUE"""),108503)</f>
        <v>108503</v>
      </c>
      <c r="B6993" s="4">
        <f ca="1">IFERROR(__xludf.DUMMYFUNCTION("""COMPUTED_VALUE"""),44837)</f>
        <v>44837</v>
      </c>
      <c r="C6993" t="str">
        <f ca="1">IFERROR(__xludf.DUMMYFUNCTION("""COMPUTED_VALUE"""),"БУ Г. ОМСКА ""УДХБ"" 216-РДО от 03.10.2022")</f>
        <v>БУ Г. ОМСКА "УДХБ" 216-РДО от 03.10.2022</v>
      </c>
      <c r="D69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3" t="str">
        <f ca="1">IFERROR(__xludf.DUMMYFUNCTION("""COMPUTED_VALUE"""),"Новый")</f>
        <v>Новый</v>
      </c>
      <c r="G6993" s="68"/>
      <c r="K6993" s="68"/>
    </row>
    <row r="6994" spans="1:11" ht="12.75">
      <c r="A6994" s="69">
        <f ca="1">IFERROR(__xludf.DUMMYFUNCTION("""COMPUTED_VALUE"""),108504)</f>
        <v>108504</v>
      </c>
      <c r="B6994" s="4">
        <f ca="1">IFERROR(__xludf.DUMMYFUNCTION("""COMPUTED_VALUE"""),44837)</f>
        <v>44837</v>
      </c>
      <c r="C6994" t="str">
        <f ca="1">IFERROR(__xludf.DUMMYFUNCTION("""COMPUTED_VALUE"""),"БУ Г. ОМСКА ""УДХБ"" 216-РДО от 03.10.2022")</f>
        <v>БУ Г. ОМСКА "УДХБ" 216-РДО от 03.10.2022</v>
      </c>
      <c r="D69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4" t="str">
        <f ca="1">IFERROR(__xludf.DUMMYFUNCTION("""COMPUTED_VALUE"""),"Новый")</f>
        <v>Новый</v>
      </c>
      <c r="G6994" s="68"/>
      <c r="K6994" s="68"/>
    </row>
    <row r="6995" spans="1:11" ht="12.75">
      <c r="A6995" s="69">
        <f ca="1">IFERROR(__xludf.DUMMYFUNCTION("""COMPUTED_VALUE"""),108505)</f>
        <v>108505</v>
      </c>
      <c r="B6995" s="4">
        <f ca="1">IFERROR(__xludf.DUMMYFUNCTION("""COMPUTED_VALUE"""),44837)</f>
        <v>44837</v>
      </c>
      <c r="C6995" t="str">
        <f ca="1">IFERROR(__xludf.DUMMYFUNCTION("""COMPUTED_VALUE"""),"БУ Г. ОМСКА ""УДХБ"" 216-РДО от 03.10.2022")</f>
        <v>БУ Г. ОМСКА "УДХБ" 216-РДО от 03.10.2022</v>
      </c>
      <c r="D69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5" t="str">
        <f ca="1">IFERROR(__xludf.DUMMYFUNCTION("""COMPUTED_VALUE"""),"Новый")</f>
        <v>Новый</v>
      </c>
      <c r="G6995" s="68"/>
      <c r="K6995" s="68"/>
    </row>
    <row r="6996" spans="1:11" ht="12.75">
      <c r="A6996" s="69">
        <f ca="1">IFERROR(__xludf.DUMMYFUNCTION("""COMPUTED_VALUE"""),108506)</f>
        <v>108506</v>
      </c>
      <c r="B6996" s="4">
        <f ca="1">IFERROR(__xludf.DUMMYFUNCTION("""COMPUTED_VALUE"""),44837)</f>
        <v>44837</v>
      </c>
      <c r="C6996" t="str">
        <f ca="1">IFERROR(__xludf.DUMMYFUNCTION("""COMPUTED_VALUE"""),"БУ Г. ОМСКА ""УДХБ"" 216-РДО от 03.10.2022")</f>
        <v>БУ Г. ОМСКА "УДХБ" 216-РДО от 03.10.2022</v>
      </c>
      <c r="D69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6" t="str">
        <f ca="1">IFERROR(__xludf.DUMMYFUNCTION("""COMPUTED_VALUE"""),"Новый")</f>
        <v>Новый</v>
      </c>
      <c r="G6996" s="68"/>
      <c r="K6996" s="68"/>
    </row>
    <row r="6997" spans="1:11" ht="12.75">
      <c r="A6997" s="69">
        <f ca="1">IFERROR(__xludf.DUMMYFUNCTION("""COMPUTED_VALUE"""),108507)</f>
        <v>108507</v>
      </c>
      <c r="B6997" s="4">
        <f ca="1">IFERROR(__xludf.DUMMYFUNCTION("""COMPUTED_VALUE"""),44837)</f>
        <v>44837</v>
      </c>
      <c r="C6997" t="str">
        <f ca="1">IFERROR(__xludf.DUMMYFUNCTION("""COMPUTED_VALUE"""),"БУ Г. ОМСКА ""УДХБ"" 216-РДО от 03.10.2022")</f>
        <v>БУ Г. ОМСКА "УДХБ" 216-РДО от 03.10.2022</v>
      </c>
      <c r="D69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7" t="str">
        <f ca="1">IFERROR(__xludf.DUMMYFUNCTION("""COMPUTED_VALUE"""),"Новый")</f>
        <v>Новый</v>
      </c>
      <c r="G6997" s="68"/>
      <c r="K6997" s="68"/>
    </row>
    <row r="6998" spans="1:11" ht="12.75">
      <c r="A6998" s="69">
        <f ca="1">IFERROR(__xludf.DUMMYFUNCTION("""COMPUTED_VALUE"""),108508)</f>
        <v>108508</v>
      </c>
      <c r="B6998" s="4">
        <f ca="1">IFERROR(__xludf.DUMMYFUNCTION("""COMPUTED_VALUE"""),44837)</f>
        <v>44837</v>
      </c>
      <c r="C6998" t="str">
        <f ca="1">IFERROR(__xludf.DUMMYFUNCTION("""COMPUTED_VALUE"""),"БУ Г. ОМСКА ""УДХБ"" 216-РДО от 03.10.2022")</f>
        <v>БУ Г. ОМСКА "УДХБ" 216-РДО от 03.10.2022</v>
      </c>
      <c r="D69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8" t="str">
        <f ca="1">IFERROR(__xludf.DUMMYFUNCTION("""COMPUTED_VALUE"""),"Новый")</f>
        <v>Новый</v>
      </c>
      <c r="G6998" s="68"/>
      <c r="K6998" s="68"/>
    </row>
    <row r="6999" spans="1:11" ht="12.75">
      <c r="A6999" s="69">
        <f ca="1">IFERROR(__xludf.DUMMYFUNCTION("""COMPUTED_VALUE"""),108509)</f>
        <v>108509</v>
      </c>
      <c r="B6999" s="4">
        <f ca="1">IFERROR(__xludf.DUMMYFUNCTION("""COMPUTED_VALUE"""),44837)</f>
        <v>44837</v>
      </c>
      <c r="C6999" t="str">
        <f ca="1">IFERROR(__xludf.DUMMYFUNCTION("""COMPUTED_VALUE"""),"БУ Г. ОМСКА ""УДХБ"" 216-РДО от 03.10.2022")</f>
        <v>БУ Г. ОМСКА "УДХБ" 216-РДО от 03.10.2022</v>
      </c>
      <c r="D69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6999" t="str">
        <f ca="1">IFERROR(__xludf.DUMMYFUNCTION("""COMPUTED_VALUE"""),"Новый")</f>
        <v>Новый</v>
      </c>
      <c r="G6999" s="68"/>
      <c r="K6999" s="68"/>
    </row>
    <row r="7000" spans="1:11" ht="12.75">
      <c r="A7000" s="69">
        <f ca="1">IFERROR(__xludf.DUMMYFUNCTION("""COMPUTED_VALUE"""),108510)</f>
        <v>108510</v>
      </c>
      <c r="B7000" s="4">
        <f ca="1">IFERROR(__xludf.DUMMYFUNCTION("""COMPUTED_VALUE"""),44837)</f>
        <v>44837</v>
      </c>
      <c r="C7000" t="str">
        <f ca="1">IFERROR(__xludf.DUMMYFUNCTION("""COMPUTED_VALUE"""),"БУ Г. ОМСКА ""УДХБ"" 216-РДО от 03.10.2022")</f>
        <v>БУ Г. ОМСКА "УДХБ" 216-РДО от 03.10.2022</v>
      </c>
      <c r="D70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0" t="str">
        <f ca="1">IFERROR(__xludf.DUMMYFUNCTION("""COMPUTED_VALUE"""),"Новый")</f>
        <v>Новый</v>
      </c>
      <c r="G7000" s="68"/>
      <c r="K7000" s="68"/>
    </row>
    <row r="7001" spans="1:11" ht="12.75">
      <c r="A7001" s="69">
        <f ca="1">IFERROR(__xludf.DUMMYFUNCTION("""COMPUTED_VALUE"""),108511)</f>
        <v>108511</v>
      </c>
      <c r="B7001" s="4">
        <f ca="1">IFERROR(__xludf.DUMMYFUNCTION("""COMPUTED_VALUE"""),44837)</f>
        <v>44837</v>
      </c>
      <c r="C7001" t="str">
        <f ca="1">IFERROR(__xludf.DUMMYFUNCTION("""COMPUTED_VALUE"""),"БУ Г. ОМСКА ""УДХБ"" 216-РДО от 03.10.2022")</f>
        <v>БУ Г. ОМСКА "УДХБ" 216-РДО от 03.10.2022</v>
      </c>
      <c r="D70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1" t="str">
        <f ca="1">IFERROR(__xludf.DUMMYFUNCTION("""COMPUTED_VALUE"""),"Новый")</f>
        <v>Новый</v>
      </c>
      <c r="G7001" s="68"/>
      <c r="K7001" s="68"/>
    </row>
    <row r="7002" spans="1:11" ht="12.75">
      <c r="A7002" s="69">
        <f ca="1">IFERROR(__xludf.DUMMYFUNCTION("""COMPUTED_VALUE"""),108512)</f>
        <v>108512</v>
      </c>
      <c r="B7002" s="4">
        <f ca="1">IFERROR(__xludf.DUMMYFUNCTION("""COMPUTED_VALUE"""),44837)</f>
        <v>44837</v>
      </c>
      <c r="C7002" t="str">
        <f ca="1">IFERROR(__xludf.DUMMYFUNCTION("""COMPUTED_VALUE"""),"БУ Г. ОМСКА ""УДХБ"" 216-РДО от 03.10.2022")</f>
        <v>БУ Г. ОМСКА "УДХБ" 216-РДО от 03.10.2022</v>
      </c>
      <c r="D70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2" t="str">
        <f ca="1">IFERROR(__xludf.DUMMYFUNCTION("""COMPUTED_VALUE"""),"Новый")</f>
        <v>Новый</v>
      </c>
      <c r="G7002" s="68"/>
      <c r="K7002" s="68"/>
    </row>
    <row r="7003" spans="1:11" ht="12.75">
      <c r="A7003" s="69">
        <f ca="1">IFERROR(__xludf.DUMMYFUNCTION("""COMPUTED_VALUE"""),108513)</f>
        <v>108513</v>
      </c>
      <c r="B7003" s="4">
        <f ca="1">IFERROR(__xludf.DUMMYFUNCTION("""COMPUTED_VALUE"""),44837)</f>
        <v>44837</v>
      </c>
      <c r="C7003" t="str">
        <f ca="1">IFERROR(__xludf.DUMMYFUNCTION("""COMPUTED_VALUE"""),"БУ Г. ОМСКА ""УДХБ"" 216-РДО от 03.10.2022")</f>
        <v>БУ Г. ОМСКА "УДХБ" 216-РДО от 03.10.2022</v>
      </c>
      <c r="D70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3" t="str">
        <f ca="1">IFERROR(__xludf.DUMMYFUNCTION("""COMPUTED_VALUE"""),"Новый")</f>
        <v>Новый</v>
      </c>
      <c r="G7003" s="68"/>
      <c r="K7003" s="68"/>
    </row>
    <row r="7004" spans="1:11" ht="12.75">
      <c r="A7004" s="69">
        <f ca="1">IFERROR(__xludf.DUMMYFUNCTION("""COMPUTED_VALUE"""),108514)</f>
        <v>108514</v>
      </c>
      <c r="B7004" s="4">
        <f ca="1">IFERROR(__xludf.DUMMYFUNCTION("""COMPUTED_VALUE"""),44837)</f>
        <v>44837</v>
      </c>
      <c r="C7004" t="str">
        <f ca="1">IFERROR(__xludf.DUMMYFUNCTION("""COMPUTED_VALUE"""),"БУ Г. ОМСКА ""УДХБ"" 216-РДО от 03.10.2022")</f>
        <v>БУ Г. ОМСКА "УДХБ" 216-РДО от 03.10.2022</v>
      </c>
      <c r="D70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4" t="str">
        <f ca="1">IFERROR(__xludf.DUMMYFUNCTION("""COMPUTED_VALUE"""),"Новый")</f>
        <v>Новый</v>
      </c>
      <c r="G7004" s="68"/>
      <c r="K7004" s="68"/>
    </row>
    <row r="7005" spans="1:11" ht="12.75">
      <c r="A7005" s="69">
        <f ca="1">IFERROR(__xludf.DUMMYFUNCTION("""COMPUTED_VALUE"""),108515)</f>
        <v>108515</v>
      </c>
      <c r="B7005" s="4">
        <f ca="1">IFERROR(__xludf.DUMMYFUNCTION("""COMPUTED_VALUE"""),44837)</f>
        <v>44837</v>
      </c>
      <c r="C7005" t="str">
        <f ca="1">IFERROR(__xludf.DUMMYFUNCTION("""COMPUTED_VALUE"""),"БУ Г. ОМСКА ""УДХБ"" 216-РДО от 03.10.2022")</f>
        <v>БУ Г. ОМСКА "УДХБ" 216-РДО от 03.10.2022</v>
      </c>
      <c r="D70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5" t="str">
        <f ca="1">IFERROR(__xludf.DUMMYFUNCTION("""COMPUTED_VALUE"""),"Новый")</f>
        <v>Новый</v>
      </c>
      <c r="G7005" s="68"/>
      <c r="K7005" s="68"/>
    </row>
    <row r="7006" spans="1:11" ht="12.75">
      <c r="A7006" s="69">
        <f ca="1">IFERROR(__xludf.DUMMYFUNCTION("""COMPUTED_VALUE"""),108516)</f>
        <v>108516</v>
      </c>
      <c r="B7006" s="4">
        <f ca="1">IFERROR(__xludf.DUMMYFUNCTION("""COMPUTED_VALUE"""),44837)</f>
        <v>44837</v>
      </c>
      <c r="C7006" t="str">
        <f ca="1">IFERROR(__xludf.DUMMYFUNCTION("""COMPUTED_VALUE"""),"БУ Г. ОМСКА ""УДХБ"" 216-РДО от 03.10.2022")</f>
        <v>БУ Г. ОМСКА "УДХБ" 216-РДО от 03.10.2022</v>
      </c>
      <c r="D70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6" t="str">
        <f ca="1">IFERROR(__xludf.DUMMYFUNCTION("""COMPUTED_VALUE"""),"Новый")</f>
        <v>Новый</v>
      </c>
      <c r="G7006" s="68"/>
      <c r="K7006" s="68"/>
    </row>
    <row r="7007" spans="1:11" ht="12.75">
      <c r="A7007" s="69">
        <f ca="1">IFERROR(__xludf.DUMMYFUNCTION("""COMPUTED_VALUE"""),108517)</f>
        <v>108517</v>
      </c>
      <c r="B7007" s="4">
        <f ca="1">IFERROR(__xludf.DUMMYFUNCTION("""COMPUTED_VALUE"""),44837)</f>
        <v>44837</v>
      </c>
      <c r="C7007" t="str">
        <f ca="1">IFERROR(__xludf.DUMMYFUNCTION("""COMPUTED_VALUE"""),"БУ Г. ОМСКА ""УДХБ"" 216-РДО от 03.10.2022")</f>
        <v>БУ Г. ОМСКА "УДХБ" 216-РДО от 03.10.2022</v>
      </c>
      <c r="D70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7" t="str">
        <f ca="1">IFERROR(__xludf.DUMMYFUNCTION("""COMPUTED_VALUE"""),"Новый")</f>
        <v>Новый</v>
      </c>
      <c r="G7007" s="68"/>
      <c r="K7007" s="68"/>
    </row>
    <row r="7008" spans="1:11" ht="12.75">
      <c r="A7008" s="69">
        <f ca="1">IFERROR(__xludf.DUMMYFUNCTION("""COMPUTED_VALUE"""),108518)</f>
        <v>108518</v>
      </c>
      <c r="B7008" s="4">
        <f ca="1">IFERROR(__xludf.DUMMYFUNCTION("""COMPUTED_VALUE"""),44837)</f>
        <v>44837</v>
      </c>
      <c r="C7008" t="str">
        <f ca="1">IFERROR(__xludf.DUMMYFUNCTION("""COMPUTED_VALUE"""),"БУ Г. ОМСКА ""УДХБ"" 216-РДО от 03.10.2022")</f>
        <v>БУ Г. ОМСКА "УДХБ" 216-РДО от 03.10.2022</v>
      </c>
      <c r="D70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8" t="str">
        <f ca="1">IFERROR(__xludf.DUMMYFUNCTION("""COMPUTED_VALUE"""),"Новый")</f>
        <v>Новый</v>
      </c>
      <c r="G7008" s="68"/>
      <c r="K7008" s="68"/>
    </row>
    <row r="7009" spans="1:11" ht="12.75">
      <c r="A7009" s="69">
        <f ca="1">IFERROR(__xludf.DUMMYFUNCTION("""COMPUTED_VALUE"""),108519)</f>
        <v>108519</v>
      </c>
      <c r="B7009" s="4">
        <f ca="1">IFERROR(__xludf.DUMMYFUNCTION("""COMPUTED_VALUE"""),44837)</f>
        <v>44837</v>
      </c>
      <c r="C7009" t="str">
        <f ca="1">IFERROR(__xludf.DUMMYFUNCTION("""COMPUTED_VALUE"""),"БУ Г. ОМСКА ""УДХБ"" 216-РДО от 03.10.2022")</f>
        <v>БУ Г. ОМСКА "УДХБ" 216-РДО от 03.10.2022</v>
      </c>
      <c r="D70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09" t="str">
        <f ca="1">IFERROR(__xludf.DUMMYFUNCTION("""COMPUTED_VALUE"""),"Новый")</f>
        <v>Новый</v>
      </c>
      <c r="G7009" s="68"/>
      <c r="K7009" s="68"/>
    </row>
    <row r="7010" spans="1:11" ht="12.75">
      <c r="A7010" s="69">
        <f ca="1">IFERROR(__xludf.DUMMYFUNCTION("""COMPUTED_VALUE"""),108520)</f>
        <v>108520</v>
      </c>
      <c r="B7010" s="4">
        <f ca="1">IFERROR(__xludf.DUMMYFUNCTION("""COMPUTED_VALUE"""),44837)</f>
        <v>44837</v>
      </c>
      <c r="C7010" t="str">
        <f ca="1">IFERROR(__xludf.DUMMYFUNCTION("""COMPUTED_VALUE"""),"БУ Г. ОМСКА ""УДХБ"" 216-РДО от 03.10.2022")</f>
        <v>БУ Г. ОМСКА "УДХБ" 216-РДО от 03.10.2022</v>
      </c>
      <c r="D70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0" t="str">
        <f ca="1">IFERROR(__xludf.DUMMYFUNCTION("""COMPUTED_VALUE"""),"Новый")</f>
        <v>Новый</v>
      </c>
      <c r="G7010" s="68"/>
      <c r="K7010" s="68"/>
    </row>
    <row r="7011" spans="1:11" ht="12.75">
      <c r="A7011" s="69">
        <f ca="1">IFERROR(__xludf.DUMMYFUNCTION("""COMPUTED_VALUE"""),108521)</f>
        <v>108521</v>
      </c>
      <c r="B7011" s="4">
        <f ca="1">IFERROR(__xludf.DUMMYFUNCTION("""COMPUTED_VALUE"""),44837)</f>
        <v>44837</v>
      </c>
      <c r="C7011" t="str">
        <f ca="1">IFERROR(__xludf.DUMMYFUNCTION("""COMPUTED_VALUE"""),"БУ Г. ОМСКА ""УДХБ"" 216-РДО от 03.10.2022")</f>
        <v>БУ Г. ОМСКА "УДХБ" 216-РДО от 03.10.2022</v>
      </c>
      <c r="D70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1" t="str">
        <f ca="1">IFERROR(__xludf.DUMMYFUNCTION("""COMPUTED_VALUE"""),"Новый")</f>
        <v>Новый</v>
      </c>
      <c r="G7011" s="68"/>
      <c r="K7011" s="68"/>
    </row>
    <row r="7012" spans="1:11" ht="12.75">
      <c r="A7012" s="69">
        <f ca="1">IFERROR(__xludf.DUMMYFUNCTION("""COMPUTED_VALUE"""),108522)</f>
        <v>108522</v>
      </c>
      <c r="B7012" s="4">
        <f ca="1">IFERROR(__xludf.DUMMYFUNCTION("""COMPUTED_VALUE"""),44837)</f>
        <v>44837</v>
      </c>
      <c r="C7012" t="str">
        <f ca="1">IFERROR(__xludf.DUMMYFUNCTION("""COMPUTED_VALUE"""),"БУ Г. ОМСКА ""УДХБ"" 216-РДО от 03.10.2022")</f>
        <v>БУ Г. ОМСКА "УДХБ" 216-РДО от 03.10.2022</v>
      </c>
      <c r="D70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2" t="str">
        <f ca="1">IFERROR(__xludf.DUMMYFUNCTION("""COMPUTED_VALUE"""),"Новый")</f>
        <v>Новый</v>
      </c>
      <c r="G7012" s="68"/>
      <c r="K7012" s="68"/>
    </row>
    <row r="7013" spans="1:11" ht="12.75">
      <c r="A7013" s="69">
        <f ca="1">IFERROR(__xludf.DUMMYFUNCTION("""COMPUTED_VALUE"""),108523)</f>
        <v>108523</v>
      </c>
      <c r="B7013" s="4">
        <f ca="1">IFERROR(__xludf.DUMMYFUNCTION("""COMPUTED_VALUE"""),44837)</f>
        <v>44837</v>
      </c>
      <c r="C7013" t="str">
        <f ca="1">IFERROR(__xludf.DUMMYFUNCTION("""COMPUTED_VALUE"""),"БУ Г. ОМСКА ""УДХБ"" 216-РДО от 03.10.2022")</f>
        <v>БУ Г. ОМСКА "УДХБ" 216-РДО от 03.10.2022</v>
      </c>
      <c r="D70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3" t="str">
        <f ca="1">IFERROR(__xludf.DUMMYFUNCTION("""COMPUTED_VALUE"""),"Новый")</f>
        <v>Новый</v>
      </c>
      <c r="G7013" s="68"/>
      <c r="K7013" s="68"/>
    </row>
    <row r="7014" spans="1:11" ht="12.75">
      <c r="A7014" s="69">
        <f ca="1">IFERROR(__xludf.DUMMYFUNCTION("""COMPUTED_VALUE"""),108524)</f>
        <v>108524</v>
      </c>
      <c r="B7014" s="4">
        <f ca="1">IFERROR(__xludf.DUMMYFUNCTION("""COMPUTED_VALUE"""),44837)</f>
        <v>44837</v>
      </c>
      <c r="C7014" t="str">
        <f ca="1">IFERROR(__xludf.DUMMYFUNCTION("""COMPUTED_VALUE"""),"БУ Г. ОМСКА ""УДХБ"" 216-РДО от 03.10.2022")</f>
        <v>БУ Г. ОМСКА "УДХБ" 216-РДО от 03.10.2022</v>
      </c>
      <c r="D70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4" t="str">
        <f ca="1">IFERROR(__xludf.DUMMYFUNCTION("""COMPUTED_VALUE"""),"Новый")</f>
        <v>Новый</v>
      </c>
      <c r="G7014" s="68"/>
      <c r="K7014" s="68"/>
    </row>
    <row r="7015" spans="1:11" ht="12.75">
      <c r="A7015" s="69">
        <f ca="1">IFERROR(__xludf.DUMMYFUNCTION("""COMPUTED_VALUE"""),108525)</f>
        <v>108525</v>
      </c>
      <c r="B7015" s="4">
        <f ca="1">IFERROR(__xludf.DUMMYFUNCTION("""COMPUTED_VALUE"""),44837)</f>
        <v>44837</v>
      </c>
      <c r="C7015" t="str">
        <f ca="1">IFERROR(__xludf.DUMMYFUNCTION("""COMPUTED_VALUE"""),"БУ Г. ОМСКА ""УДХБ"" 216-РДО от 03.10.2022")</f>
        <v>БУ Г. ОМСКА "УДХБ" 216-РДО от 03.10.2022</v>
      </c>
      <c r="D70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5" t="str">
        <f ca="1">IFERROR(__xludf.DUMMYFUNCTION("""COMPUTED_VALUE"""),"Новый")</f>
        <v>Новый</v>
      </c>
      <c r="G7015" s="68"/>
      <c r="K7015" s="68"/>
    </row>
    <row r="7016" spans="1:11" ht="12.75">
      <c r="A7016" s="69">
        <f ca="1">IFERROR(__xludf.DUMMYFUNCTION("""COMPUTED_VALUE"""),108526)</f>
        <v>108526</v>
      </c>
      <c r="B7016" s="4">
        <f ca="1">IFERROR(__xludf.DUMMYFUNCTION("""COMPUTED_VALUE"""),44837)</f>
        <v>44837</v>
      </c>
      <c r="C7016" t="str">
        <f ca="1">IFERROR(__xludf.DUMMYFUNCTION("""COMPUTED_VALUE"""),"БУ Г. ОМСКА ""УДХБ"" 216-РДО от 03.10.2022")</f>
        <v>БУ Г. ОМСКА "УДХБ" 216-РДО от 03.10.2022</v>
      </c>
      <c r="D70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6" t="str">
        <f ca="1">IFERROR(__xludf.DUMMYFUNCTION("""COMPUTED_VALUE"""),"Новый")</f>
        <v>Новый</v>
      </c>
      <c r="G7016" s="68"/>
      <c r="K7016" s="68"/>
    </row>
    <row r="7017" spans="1:11" ht="12.75">
      <c r="A7017" s="69">
        <f ca="1">IFERROR(__xludf.DUMMYFUNCTION("""COMPUTED_VALUE"""),108527)</f>
        <v>108527</v>
      </c>
      <c r="B7017" s="4">
        <f ca="1">IFERROR(__xludf.DUMMYFUNCTION("""COMPUTED_VALUE"""),44837)</f>
        <v>44837</v>
      </c>
      <c r="C7017" t="str">
        <f ca="1">IFERROR(__xludf.DUMMYFUNCTION("""COMPUTED_VALUE"""),"БУ Г. ОМСКА ""УДХБ"" 216-РДО от 03.10.2022")</f>
        <v>БУ Г. ОМСКА "УДХБ" 216-РДО от 03.10.2022</v>
      </c>
      <c r="D70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7" t="str">
        <f ca="1">IFERROR(__xludf.DUMMYFUNCTION("""COMPUTED_VALUE"""),"Новый")</f>
        <v>Новый</v>
      </c>
      <c r="G7017" s="68"/>
      <c r="K7017" s="68"/>
    </row>
    <row r="7018" spans="1:11" ht="12.75">
      <c r="A7018" s="69">
        <f ca="1">IFERROR(__xludf.DUMMYFUNCTION("""COMPUTED_VALUE"""),108528)</f>
        <v>108528</v>
      </c>
      <c r="B7018" s="4">
        <f ca="1">IFERROR(__xludf.DUMMYFUNCTION("""COMPUTED_VALUE"""),44837)</f>
        <v>44837</v>
      </c>
      <c r="C7018" t="str">
        <f ca="1">IFERROR(__xludf.DUMMYFUNCTION("""COMPUTED_VALUE"""),"БУ Г. ОМСКА ""УДХБ"" 216-РДО от 03.10.2022")</f>
        <v>БУ Г. ОМСКА "УДХБ" 216-РДО от 03.10.2022</v>
      </c>
      <c r="D70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8" t="str">
        <f ca="1">IFERROR(__xludf.DUMMYFUNCTION("""COMPUTED_VALUE"""),"Новый")</f>
        <v>Новый</v>
      </c>
      <c r="G7018" s="68"/>
      <c r="K7018" s="68"/>
    </row>
    <row r="7019" spans="1:11" ht="12.75">
      <c r="A7019" s="69">
        <f ca="1">IFERROR(__xludf.DUMMYFUNCTION("""COMPUTED_VALUE"""),108529)</f>
        <v>108529</v>
      </c>
      <c r="B7019" s="4">
        <f ca="1">IFERROR(__xludf.DUMMYFUNCTION("""COMPUTED_VALUE"""),44837)</f>
        <v>44837</v>
      </c>
      <c r="C7019" t="str">
        <f ca="1">IFERROR(__xludf.DUMMYFUNCTION("""COMPUTED_VALUE"""),"БУ Г. ОМСКА ""УДХБ"" 216-РДО от 03.10.2022")</f>
        <v>БУ Г. ОМСКА "УДХБ" 216-РДО от 03.10.2022</v>
      </c>
      <c r="D70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19" t="str">
        <f ca="1">IFERROR(__xludf.DUMMYFUNCTION("""COMPUTED_VALUE"""),"Новый")</f>
        <v>Новый</v>
      </c>
      <c r="G7019" s="68"/>
      <c r="K7019" s="68"/>
    </row>
    <row r="7020" spans="1:11" ht="12.75">
      <c r="A7020" s="69">
        <f ca="1">IFERROR(__xludf.DUMMYFUNCTION("""COMPUTED_VALUE"""),108530)</f>
        <v>108530</v>
      </c>
      <c r="B7020" s="4">
        <f ca="1">IFERROR(__xludf.DUMMYFUNCTION("""COMPUTED_VALUE"""),44837)</f>
        <v>44837</v>
      </c>
      <c r="C7020" t="str">
        <f ca="1">IFERROR(__xludf.DUMMYFUNCTION("""COMPUTED_VALUE"""),"БУ Г. ОМСКА ""УДХБ"" 216-РДО от 03.10.2022")</f>
        <v>БУ Г. ОМСКА "УДХБ" 216-РДО от 03.10.2022</v>
      </c>
      <c r="D70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0" t="str">
        <f ca="1">IFERROR(__xludf.DUMMYFUNCTION("""COMPUTED_VALUE"""),"Новый")</f>
        <v>Новый</v>
      </c>
      <c r="G7020" s="68"/>
      <c r="K7020" s="68"/>
    </row>
    <row r="7021" spans="1:11" ht="12.75">
      <c r="A7021" s="69">
        <f ca="1">IFERROR(__xludf.DUMMYFUNCTION("""COMPUTED_VALUE"""),108531)</f>
        <v>108531</v>
      </c>
      <c r="B7021" s="4">
        <f ca="1">IFERROR(__xludf.DUMMYFUNCTION("""COMPUTED_VALUE"""),44837)</f>
        <v>44837</v>
      </c>
      <c r="C7021" t="str">
        <f ca="1">IFERROR(__xludf.DUMMYFUNCTION("""COMPUTED_VALUE"""),"БУ Г. ОМСКА ""УДХБ"" 216-РДО от 03.10.2022")</f>
        <v>БУ Г. ОМСКА "УДХБ" 216-РДО от 03.10.2022</v>
      </c>
      <c r="D70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1" t="str">
        <f ca="1">IFERROR(__xludf.DUMMYFUNCTION("""COMPUTED_VALUE"""),"Новый")</f>
        <v>Новый</v>
      </c>
      <c r="G7021" s="68"/>
      <c r="K7021" s="68"/>
    </row>
    <row r="7022" spans="1:11" ht="12.75">
      <c r="A7022" s="69">
        <f ca="1">IFERROR(__xludf.DUMMYFUNCTION("""COMPUTED_VALUE"""),108532)</f>
        <v>108532</v>
      </c>
      <c r="B7022" s="4">
        <f ca="1">IFERROR(__xludf.DUMMYFUNCTION("""COMPUTED_VALUE"""),44837)</f>
        <v>44837</v>
      </c>
      <c r="C7022" t="str">
        <f ca="1">IFERROR(__xludf.DUMMYFUNCTION("""COMPUTED_VALUE"""),"БУ Г. ОМСКА ""УДХБ"" 216-РДО от 03.10.2022")</f>
        <v>БУ Г. ОМСКА "УДХБ" 216-РДО от 03.10.2022</v>
      </c>
      <c r="D70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2" t="str">
        <f ca="1">IFERROR(__xludf.DUMMYFUNCTION("""COMPUTED_VALUE"""),"Новый")</f>
        <v>Новый</v>
      </c>
      <c r="G7022" s="68"/>
      <c r="K7022" s="68"/>
    </row>
    <row r="7023" spans="1:11" ht="12.75">
      <c r="A7023" s="69">
        <f ca="1">IFERROR(__xludf.DUMMYFUNCTION("""COMPUTED_VALUE"""),108533)</f>
        <v>108533</v>
      </c>
      <c r="B7023" s="4">
        <f ca="1">IFERROR(__xludf.DUMMYFUNCTION("""COMPUTED_VALUE"""),44837)</f>
        <v>44837</v>
      </c>
      <c r="C7023" t="str">
        <f ca="1">IFERROR(__xludf.DUMMYFUNCTION("""COMPUTED_VALUE"""),"БУ Г. ОМСКА ""УДХБ"" 216-РДО от 03.10.2022")</f>
        <v>БУ Г. ОМСКА "УДХБ" 216-РДО от 03.10.2022</v>
      </c>
      <c r="D70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3" t="str">
        <f ca="1">IFERROR(__xludf.DUMMYFUNCTION("""COMPUTED_VALUE"""),"Новый")</f>
        <v>Новый</v>
      </c>
      <c r="G7023" s="68"/>
      <c r="K7023" s="68"/>
    </row>
    <row r="7024" spans="1:11" ht="12.75">
      <c r="A7024" s="69">
        <f ca="1">IFERROR(__xludf.DUMMYFUNCTION("""COMPUTED_VALUE"""),108534)</f>
        <v>108534</v>
      </c>
      <c r="B7024" s="4">
        <f ca="1">IFERROR(__xludf.DUMMYFUNCTION("""COMPUTED_VALUE"""),44837)</f>
        <v>44837</v>
      </c>
      <c r="C7024" t="str">
        <f ca="1">IFERROR(__xludf.DUMMYFUNCTION("""COMPUTED_VALUE"""),"БУ Г. ОМСКА ""УДХБ"" 216-РДО от 03.10.2022")</f>
        <v>БУ Г. ОМСКА "УДХБ" 216-РДО от 03.10.2022</v>
      </c>
      <c r="D70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4" t="str">
        <f ca="1">IFERROR(__xludf.DUMMYFUNCTION("""COMPUTED_VALUE"""),"Новый")</f>
        <v>Новый</v>
      </c>
      <c r="G7024" s="68"/>
      <c r="K7024" s="68"/>
    </row>
    <row r="7025" spans="1:11" ht="12.75">
      <c r="A7025" s="69">
        <f ca="1">IFERROR(__xludf.DUMMYFUNCTION("""COMPUTED_VALUE"""),108535)</f>
        <v>108535</v>
      </c>
      <c r="B7025" s="4">
        <f ca="1">IFERROR(__xludf.DUMMYFUNCTION("""COMPUTED_VALUE"""),44837)</f>
        <v>44837</v>
      </c>
      <c r="C7025" t="str">
        <f ca="1">IFERROR(__xludf.DUMMYFUNCTION("""COMPUTED_VALUE"""),"БУ Г. ОМСКА ""УДХБ"" 216-РДО от 03.10.2022")</f>
        <v>БУ Г. ОМСКА "УДХБ" 216-РДО от 03.10.2022</v>
      </c>
      <c r="D70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5" t="str">
        <f ca="1">IFERROR(__xludf.DUMMYFUNCTION("""COMPUTED_VALUE"""),"Новый")</f>
        <v>Новый</v>
      </c>
      <c r="G7025" s="68"/>
      <c r="K7025" s="68"/>
    </row>
    <row r="7026" spans="1:11" ht="12.75">
      <c r="A7026" s="69">
        <f ca="1">IFERROR(__xludf.DUMMYFUNCTION("""COMPUTED_VALUE"""),108536)</f>
        <v>108536</v>
      </c>
      <c r="B7026" s="4">
        <f ca="1">IFERROR(__xludf.DUMMYFUNCTION("""COMPUTED_VALUE"""),44837)</f>
        <v>44837</v>
      </c>
      <c r="C7026" t="str">
        <f ca="1">IFERROR(__xludf.DUMMYFUNCTION("""COMPUTED_VALUE"""),"БУ Г. ОМСКА ""УДХБ"" 216-РДО от 03.10.2022")</f>
        <v>БУ Г. ОМСКА "УДХБ" 216-РДО от 03.10.2022</v>
      </c>
      <c r="D70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6" t="str">
        <f ca="1">IFERROR(__xludf.DUMMYFUNCTION("""COMPUTED_VALUE"""),"Новый")</f>
        <v>Новый</v>
      </c>
      <c r="G7026" s="68"/>
      <c r="K7026" s="68"/>
    </row>
    <row r="7027" spans="1:11" ht="12.75">
      <c r="A7027" s="69">
        <f ca="1">IFERROR(__xludf.DUMMYFUNCTION("""COMPUTED_VALUE"""),108537)</f>
        <v>108537</v>
      </c>
      <c r="B7027" s="4">
        <f ca="1">IFERROR(__xludf.DUMMYFUNCTION("""COMPUTED_VALUE"""),44837)</f>
        <v>44837</v>
      </c>
      <c r="C7027" t="str">
        <f ca="1">IFERROR(__xludf.DUMMYFUNCTION("""COMPUTED_VALUE"""),"БУ Г. ОМСКА ""УДХБ"" 216-РДО от 03.10.2022")</f>
        <v>БУ Г. ОМСКА "УДХБ" 216-РДО от 03.10.2022</v>
      </c>
      <c r="D70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7" t="str">
        <f ca="1">IFERROR(__xludf.DUMMYFUNCTION("""COMPUTED_VALUE"""),"Новый")</f>
        <v>Новый</v>
      </c>
      <c r="G7027" s="68"/>
      <c r="K7027" s="68"/>
    </row>
    <row r="7028" spans="1:11" ht="12.75">
      <c r="A7028" s="69">
        <f ca="1">IFERROR(__xludf.DUMMYFUNCTION("""COMPUTED_VALUE"""),108538)</f>
        <v>108538</v>
      </c>
      <c r="B7028" s="4">
        <f ca="1">IFERROR(__xludf.DUMMYFUNCTION("""COMPUTED_VALUE"""),44837)</f>
        <v>44837</v>
      </c>
      <c r="C7028" t="str">
        <f ca="1">IFERROR(__xludf.DUMMYFUNCTION("""COMPUTED_VALUE"""),"БУ Г. ОМСКА ""УДХБ"" 216-РДО от 03.10.2022")</f>
        <v>БУ Г. ОМСКА "УДХБ" 216-РДО от 03.10.2022</v>
      </c>
      <c r="D70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8" t="str">
        <f ca="1">IFERROR(__xludf.DUMMYFUNCTION("""COMPUTED_VALUE"""),"Новый")</f>
        <v>Новый</v>
      </c>
      <c r="G7028" s="68"/>
      <c r="K7028" s="68"/>
    </row>
    <row r="7029" spans="1:11" ht="12.75">
      <c r="A7029" s="69">
        <f ca="1">IFERROR(__xludf.DUMMYFUNCTION("""COMPUTED_VALUE"""),108539)</f>
        <v>108539</v>
      </c>
      <c r="B7029" s="4">
        <f ca="1">IFERROR(__xludf.DUMMYFUNCTION("""COMPUTED_VALUE"""),44837)</f>
        <v>44837</v>
      </c>
      <c r="C7029" t="str">
        <f ca="1">IFERROR(__xludf.DUMMYFUNCTION("""COMPUTED_VALUE"""),"БУ Г. ОМСКА ""УДХБ"" 216-РДО от 03.10.2022")</f>
        <v>БУ Г. ОМСКА "УДХБ" 216-РДО от 03.10.2022</v>
      </c>
      <c r="D70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29" t="str">
        <f ca="1">IFERROR(__xludf.DUMMYFUNCTION("""COMPUTED_VALUE"""),"Новый")</f>
        <v>Новый</v>
      </c>
      <c r="G7029" s="68"/>
      <c r="K7029" s="68"/>
    </row>
    <row r="7030" spans="1:11" ht="12.75">
      <c r="A7030" s="69">
        <f ca="1">IFERROR(__xludf.DUMMYFUNCTION("""COMPUTED_VALUE"""),108540)</f>
        <v>108540</v>
      </c>
      <c r="B7030" s="4">
        <f ca="1">IFERROR(__xludf.DUMMYFUNCTION("""COMPUTED_VALUE"""),44837)</f>
        <v>44837</v>
      </c>
      <c r="C7030" t="str">
        <f ca="1">IFERROR(__xludf.DUMMYFUNCTION("""COMPUTED_VALUE"""),"БУ Г. ОМСКА ""УДХБ"" 216-РДО от 03.10.2022")</f>
        <v>БУ Г. ОМСКА "УДХБ" 216-РДО от 03.10.2022</v>
      </c>
      <c r="D70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0" t="str">
        <f ca="1">IFERROR(__xludf.DUMMYFUNCTION("""COMPUTED_VALUE"""),"Новый")</f>
        <v>Новый</v>
      </c>
      <c r="G7030" s="68"/>
      <c r="K7030" s="68"/>
    </row>
    <row r="7031" spans="1:11" ht="12.75">
      <c r="A7031" s="69">
        <f ca="1">IFERROR(__xludf.DUMMYFUNCTION("""COMPUTED_VALUE"""),108541)</f>
        <v>108541</v>
      </c>
      <c r="B7031" s="4">
        <f ca="1">IFERROR(__xludf.DUMMYFUNCTION("""COMPUTED_VALUE"""),44837)</f>
        <v>44837</v>
      </c>
      <c r="C7031" t="str">
        <f ca="1">IFERROR(__xludf.DUMMYFUNCTION("""COMPUTED_VALUE"""),"БУ Г. ОМСКА ""УДХБ"" 216-РДО от 03.10.2022")</f>
        <v>БУ Г. ОМСКА "УДХБ" 216-РДО от 03.10.2022</v>
      </c>
      <c r="D70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1" t="str">
        <f ca="1">IFERROR(__xludf.DUMMYFUNCTION("""COMPUTED_VALUE"""),"Новый")</f>
        <v>Новый</v>
      </c>
      <c r="G7031" s="68"/>
      <c r="K7031" s="68"/>
    </row>
    <row r="7032" spans="1:11" ht="12.75">
      <c r="A7032" s="69">
        <f ca="1">IFERROR(__xludf.DUMMYFUNCTION("""COMPUTED_VALUE"""),108542)</f>
        <v>108542</v>
      </c>
      <c r="B7032" s="4">
        <f ca="1">IFERROR(__xludf.DUMMYFUNCTION("""COMPUTED_VALUE"""),44837)</f>
        <v>44837</v>
      </c>
      <c r="C7032" t="str">
        <f ca="1">IFERROR(__xludf.DUMMYFUNCTION("""COMPUTED_VALUE"""),"БУ Г. ОМСКА ""УДХБ"" 216-РДО от 03.10.2022")</f>
        <v>БУ Г. ОМСКА "УДХБ" 216-РДО от 03.10.2022</v>
      </c>
      <c r="D70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2" t="str">
        <f ca="1">IFERROR(__xludf.DUMMYFUNCTION("""COMPUTED_VALUE"""),"Новый")</f>
        <v>Новый</v>
      </c>
      <c r="G7032" s="68"/>
      <c r="K7032" s="68"/>
    </row>
    <row r="7033" spans="1:11" ht="12.75">
      <c r="A7033" s="69">
        <f ca="1">IFERROR(__xludf.DUMMYFUNCTION("""COMPUTED_VALUE"""),108543)</f>
        <v>108543</v>
      </c>
      <c r="B7033" s="4">
        <f ca="1">IFERROR(__xludf.DUMMYFUNCTION("""COMPUTED_VALUE"""),44837)</f>
        <v>44837</v>
      </c>
      <c r="C7033" t="str">
        <f ca="1">IFERROR(__xludf.DUMMYFUNCTION("""COMPUTED_VALUE"""),"БУ Г. ОМСКА ""УДХБ"" 216-РДО от 03.10.2022")</f>
        <v>БУ Г. ОМСКА "УДХБ" 216-РДО от 03.10.2022</v>
      </c>
      <c r="D70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3" t="str">
        <f ca="1">IFERROR(__xludf.DUMMYFUNCTION("""COMPUTED_VALUE"""),"Новый")</f>
        <v>Новый</v>
      </c>
      <c r="G7033" s="68"/>
      <c r="K7033" s="68"/>
    </row>
    <row r="7034" spans="1:11" ht="12.75">
      <c r="A7034" s="69">
        <f ca="1">IFERROR(__xludf.DUMMYFUNCTION("""COMPUTED_VALUE"""),108544)</f>
        <v>108544</v>
      </c>
      <c r="B7034" s="4">
        <f ca="1">IFERROR(__xludf.DUMMYFUNCTION("""COMPUTED_VALUE"""),44837)</f>
        <v>44837</v>
      </c>
      <c r="C7034" t="str">
        <f ca="1">IFERROR(__xludf.DUMMYFUNCTION("""COMPUTED_VALUE"""),"БУ Г. ОМСКА ""УДХБ"" 216-РДО от 03.10.2022")</f>
        <v>БУ Г. ОМСКА "УДХБ" 216-РДО от 03.10.2022</v>
      </c>
      <c r="D70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4" t="str">
        <f ca="1">IFERROR(__xludf.DUMMYFUNCTION("""COMPUTED_VALUE"""),"Новый")</f>
        <v>Новый</v>
      </c>
      <c r="G7034" s="68"/>
      <c r="K7034" s="68"/>
    </row>
    <row r="7035" spans="1:11" ht="12.75">
      <c r="A7035" s="69">
        <f ca="1">IFERROR(__xludf.DUMMYFUNCTION("""COMPUTED_VALUE"""),108545)</f>
        <v>108545</v>
      </c>
      <c r="B7035" s="4">
        <f ca="1">IFERROR(__xludf.DUMMYFUNCTION("""COMPUTED_VALUE"""),44837)</f>
        <v>44837</v>
      </c>
      <c r="C7035" t="str">
        <f ca="1">IFERROR(__xludf.DUMMYFUNCTION("""COMPUTED_VALUE"""),"БУ Г. ОМСКА ""УДХБ"" 216-РДО от 03.10.2022")</f>
        <v>БУ Г. ОМСКА "УДХБ" 216-РДО от 03.10.2022</v>
      </c>
      <c r="D70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5" t="str">
        <f ca="1">IFERROR(__xludf.DUMMYFUNCTION("""COMPUTED_VALUE"""),"Новый")</f>
        <v>Новый</v>
      </c>
      <c r="G7035" s="68"/>
      <c r="K7035" s="68"/>
    </row>
    <row r="7036" spans="1:11" ht="12.75">
      <c r="A7036" s="69">
        <f ca="1">IFERROR(__xludf.DUMMYFUNCTION("""COMPUTED_VALUE"""),108546)</f>
        <v>108546</v>
      </c>
      <c r="B7036" s="4">
        <f ca="1">IFERROR(__xludf.DUMMYFUNCTION("""COMPUTED_VALUE"""),44837)</f>
        <v>44837</v>
      </c>
      <c r="C7036" t="str">
        <f ca="1">IFERROR(__xludf.DUMMYFUNCTION("""COMPUTED_VALUE"""),"БУ Г. ОМСКА ""УДХБ"" 216-РДО от 03.10.2022")</f>
        <v>БУ Г. ОМСКА "УДХБ" 216-РДО от 03.10.2022</v>
      </c>
      <c r="D70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6" t="str">
        <f ca="1">IFERROR(__xludf.DUMMYFUNCTION("""COMPUTED_VALUE"""),"Новый")</f>
        <v>Новый</v>
      </c>
      <c r="G7036" s="68"/>
      <c r="K7036" s="68"/>
    </row>
    <row r="7037" spans="1:11" ht="12.75">
      <c r="A7037" s="69">
        <f ca="1">IFERROR(__xludf.DUMMYFUNCTION("""COMPUTED_VALUE"""),108547)</f>
        <v>108547</v>
      </c>
      <c r="B7037" s="4">
        <f ca="1">IFERROR(__xludf.DUMMYFUNCTION("""COMPUTED_VALUE"""),44837)</f>
        <v>44837</v>
      </c>
      <c r="C7037" t="str">
        <f ca="1">IFERROR(__xludf.DUMMYFUNCTION("""COMPUTED_VALUE"""),"БУ Г. ОМСКА ""УДХБ"" 216-РДО от 03.10.2022")</f>
        <v>БУ Г. ОМСКА "УДХБ" 216-РДО от 03.10.2022</v>
      </c>
      <c r="D70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7" t="str">
        <f ca="1">IFERROR(__xludf.DUMMYFUNCTION("""COMPUTED_VALUE"""),"Новый")</f>
        <v>Новый</v>
      </c>
      <c r="G7037" s="68"/>
      <c r="K7037" s="68"/>
    </row>
    <row r="7038" spans="1:11" ht="12.75">
      <c r="A7038" s="69">
        <f ca="1">IFERROR(__xludf.DUMMYFUNCTION("""COMPUTED_VALUE"""),108548)</f>
        <v>108548</v>
      </c>
      <c r="B7038" s="4">
        <f ca="1">IFERROR(__xludf.DUMMYFUNCTION("""COMPUTED_VALUE"""),44837)</f>
        <v>44837</v>
      </c>
      <c r="C7038" t="str">
        <f ca="1">IFERROR(__xludf.DUMMYFUNCTION("""COMPUTED_VALUE"""),"БУ Г. ОМСКА ""УДХБ"" 216-РДО от 03.10.2022")</f>
        <v>БУ Г. ОМСКА "УДХБ" 216-РДО от 03.10.2022</v>
      </c>
      <c r="D70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8" t="str">
        <f ca="1">IFERROR(__xludf.DUMMYFUNCTION("""COMPUTED_VALUE"""),"Новый")</f>
        <v>Новый</v>
      </c>
      <c r="G7038" s="68"/>
      <c r="K7038" s="68"/>
    </row>
    <row r="7039" spans="1:11" ht="12.75">
      <c r="A7039" s="69">
        <f ca="1">IFERROR(__xludf.DUMMYFUNCTION("""COMPUTED_VALUE"""),108549)</f>
        <v>108549</v>
      </c>
      <c r="B7039" s="4">
        <f ca="1">IFERROR(__xludf.DUMMYFUNCTION("""COMPUTED_VALUE"""),44837)</f>
        <v>44837</v>
      </c>
      <c r="C7039" t="str">
        <f ca="1">IFERROR(__xludf.DUMMYFUNCTION("""COMPUTED_VALUE"""),"БУ Г. ОМСКА ""УДХБ"" 216-РДО от 03.10.2022")</f>
        <v>БУ Г. ОМСКА "УДХБ" 216-РДО от 03.10.2022</v>
      </c>
      <c r="D70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39" t="str">
        <f ca="1">IFERROR(__xludf.DUMMYFUNCTION("""COMPUTED_VALUE"""),"Новый")</f>
        <v>Новый</v>
      </c>
      <c r="G7039" s="68"/>
      <c r="K7039" s="68"/>
    </row>
    <row r="7040" spans="1:11" ht="12.75">
      <c r="A7040" s="69">
        <f ca="1">IFERROR(__xludf.DUMMYFUNCTION("""COMPUTED_VALUE"""),108550)</f>
        <v>108550</v>
      </c>
      <c r="B7040" s="4">
        <f ca="1">IFERROR(__xludf.DUMMYFUNCTION("""COMPUTED_VALUE"""),44837)</f>
        <v>44837</v>
      </c>
      <c r="C7040" t="str">
        <f ca="1">IFERROR(__xludf.DUMMYFUNCTION("""COMPUTED_VALUE"""),"БУ Г. ОМСКА ""УДХБ"" 216-РДО от 03.10.2022")</f>
        <v>БУ Г. ОМСКА "УДХБ" 216-РДО от 03.10.2022</v>
      </c>
      <c r="D70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0" t="str">
        <f ca="1">IFERROR(__xludf.DUMMYFUNCTION("""COMPUTED_VALUE"""),"Новый")</f>
        <v>Новый</v>
      </c>
      <c r="G7040" s="68"/>
      <c r="K7040" s="68"/>
    </row>
    <row r="7041" spans="1:11" ht="12.75">
      <c r="A7041" s="69">
        <f ca="1">IFERROR(__xludf.DUMMYFUNCTION("""COMPUTED_VALUE"""),108551)</f>
        <v>108551</v>
      </c>
      <c r="B7041" s="4">
        <f ca="1">IFERROR(__xludf.DUMMYFUNCTION("""COMPUTED_VALUE"""),44837)</f>
        <v>44837</v>
      </c>
      <c r="C7041" t="str">
        <f ca="1">IFERROR(__xludf.DUMMYFUNCTION("""COMPUTED_VALUE"""),"БУ Г. ОМСКА ""УДХБ"" 216-РДО от 03.10.2022")</f>
        <v>БУ Г. ОМСКА "УДХБ" 216-РДО от 03.10.2022</v>
      </c>
      <c r="D70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1" t="str">
        <f ca="1">IFERROR(__xludf.DUMMYFUNCTION("""COMPUTED_VALUE"""),"Новый")</f>
        <v>Новый</v>
      </c>
      <c r="G7041" s="68"/>
      <c r="K7041" s="68"/>
    </row>
    <row r="7042" spans="1:11" ht="12.75">
      <c r="A7042" s="69">
        <f ca="1">IFERROR(__xludf.DUMMYFUNCTION("""COMPUTED_VALUE"""),108552)</f>
        <v>108552</v>
      </c>
      <c r="B7042" s="4">
        <f ca="1">IFERROR(__xludf.DUMMYFUNCTION("""COMPUTED_VALUE"""),44837)</f>
        <v>44837</v>
      </c>
      <c r="C7042" t="str">
        <f ca="1">IFERROR(__xludf.DUMMYFUNCTION("""COMPUTED_VALUE"""),"БУ Г. ОМСКА ""УДХБ"" 216-РДО от 03.10.2022")</f>
        <v>БУ Г. ОМСКА "УДХБ" 216-РДО от 03.10.2022</v>
      </c>
      <c r="D70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2" t="str">
        <f ca="1">IFERROR(__xludf.DUMMYFUNCTION("""COMPUTED_VALUE"""),"Новый")</f>
        <v>Новый</v>
      </c>
      <c r="G7042" s="68"/>
      <c r="K7042" s="68"/>
    </row>
    <row r="7043" spans="1:11" ht="12.75">
      <c r="A7043" s="69">
        <f ca="1">IFERROR(__xludf.DUMMYFUNCTION("""COMPUTED_VALUE"""),108553)</f>
        <v>108553</v>
      </c>
      <c r="B7043" s="4">
        <f ca="1">IFERROR(__xludf.DUMMYFUNCTION("""COMPUTED_VALUE"""),44837)</f>
        <v>44837</v>
      </c>
      <c r="C7043" t="str">
        <f ca="1">IFERROR(__xludf.DUMMYFUNCTION("""COMPUTED_VALUE"""),"БУ Г. ОМСКА ""УДХБ"" 216-РДО от 03.10.2022")</f>
        <v>БУ Г. ОМСКА "УДХБ" 216-РДО от 03.10.2022</v>
      </c>
      <c r="D70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3" t="str">
        <f ca="1">IFERROR(__xludf.DUMMYFUNCTION("""COMPUTED_VALUE"""),"Новый")</f>
        <v>Новый</v>
      </c>
      <c r="G7043" s="68"/>
      <c r="K7043" s="68"/>
    </row>
    <row r="7044" spans="1:11" ht="12.75">
      <c r="A7044" s="69">
        <f ca="1">IFERROR(__xludf.DUMMYFUNCTION("""COMPUTED_VALUE"""),108554)</f>
        <v>108554</v>
      </c>
      <c r="B7044" s="4">
        <f ca="1">IFERROR(__xludf.DUMMYFUNCTION("""COMPUTED_VALUE"""),44837)</f>
        <v>44837</v>
      </c>
      <c r="C7044" t="str">
        <f ca="1">IFERROR(__xludf.DUMMYFUNCTION("""COMPUTED_VALUE"""),"БУ Г. ОМСКА ""УДХБ"" 216-РДО от 03.10.2022")</f>
        <v>БУ Г. ОМСКА "УДХБ" 216-РДО от 03.10.2022</v>
      </c>
      <c r="D70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4" t="str">
        <f ca="1">IFERROR(__xludf.DUMMYFUNCTION("""COMPUTED_VALUE"""),"Новый")</f>
        <v>Новый</v>
      </c>
      <c r="G7044" s="68"/>
      <c r="K7044" s="68"/>
    </row>
    <row r="7045" spans="1:11" ht="12.75">
      <c r="A7045" s="69">
        <f ca="1">IFERROR(__xludf.DUMMYFUNCTION("""COMPUTED_VALUE"""),108555)</f>
        <v>108555</v>
      </c>
      <c r="B7045" s="4">
        <f ca="1">IFERROR(__xludf.DUMMYFUNCTION("""COMPUTED_VALUE"""),44837)</f>
        <v>44837</v>
      </c>
      <c r="C7045" t="str">
        <f ca="1">IFERROR(__xludf.DUMMYFUNCTION("""COMPUTED_VALUE"""),"БУ Г. ОМСКА ""УДХБ"" 216-РДО от 03.10.2022")</f>
        <v>БУ Г. ОМСКА "УДХБ" 216-РДО от 03.10.2022</v>
      </c>
      <c r="D70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5" t="str">
        <f ca="1">IFERROR(__xludf.DUMMYFUNCTION("""COMPUTED_VALUE"""),"Новый")</f>
        <v>Новый</v>
      </c>
      <c r="G7045" s="68"/>
      <c r="K7045" s="68"/>
    </row>
    <row r="7046" spans="1:11" ht="12.75">
      <c r="A7046" s="69">
        <f ca="1">IFERROR(__xludf.DUMMYFUNCTION("""COMPUTED_VALUE"""),108556)</f>
        <v>108556</v>
      </c>
      <c r="B7046" s="4">
        <f ca="1">IFERROR(__xludf.DUMMYFUNCTION("""COMPUTED_VALUE"""),44837)</f>
        <v>44837</v>
      </c>
      <c r="C7046" t="str">
        <f ca="1">IFERROR(__xludf.DUMMYFUNCTION("""COMPUTED_VALUE"""),"БУ Г. ОМСКА ""УДХБ"" 216-РДО от 03.10.2022")</f>
        <v>БУ Г. ОМСКА "УДХБ" 216-РДО от 03.10.2022</v>
      </c>
      <c r="D70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6" t="str">
        <f ca="1">IFERROR(__xludf.DUMMYFUNCTION("""COMPUTED_VALUE"""),"Новый")</f>
        <v>Новый</v>
      </c>
      <c r="G7046" s="68"/>
      <c r="K7046" s="68"/>
    </row>
    <row r="7047" spans="1:11" ht="12.75">
      <c r="A7047" s="69">
        <f ca="1">IFERROR(__xludf.DUMMYFUNCTION("""COMPUTED_VALUE"""),108557)</f>
        <v>108557</v>
      </c>
      <c r="B7047" s="4">
        <f ca="1">IFERROR(__xludf.DUMMYFUNCTION("""COMPUTED_VALUE"""),44837)</f>
        <v>44837</v>
      </c>
      <c r="C7047" t="str">
        <f ca="1">IFERROR(__xludf.DUMMYFUNCTION("""COMPUTED_VALUE"""),"БУ Г. ОМСКА ""УДХБ"" 216-РДО от 03.10.2022")</f>
        <v>БУ Г. ОМСКА "УДХБ" 216-РДО от 03.10.2022</v>
      </c>
      <c r="D70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7" t="str">
        <f ca="1">IFERROR(__xludf.DUMMYFUNCTION("""COMPUTED_VALUE"""),"Новый")</f>
        <v>Новый</v>
      </c>
      <c r="G7047" s="68"/>
      <c r="K7047" s="68"/>
    </row>
    <row r="7048" spans="1:11" ht="12.75">
      <c r="A7048" s="69">
        <f ca="1">IFERROR(__xludf.DUMMYFUNCTION("""COMPUTED_VALUE"""),108558)</f>
        <v>108558</v>
      </c>
      <c r="B7048" s="4">
        <f ca="1">IFERROR(__xludf.DUMMYFUNCTION("""COMPUTED_VALUE"""),44837)</f>
        <v>44837</v>
      </c>
      <c r="C7048" t="str">
        <f ca="1">IFERROR(__xludf.DUMMYFUNCTION("""COMPUTED_VALUE"""),"БУ Г. ОМСКА ""УДХБ"" 216-РДО от 03.10.2022")</f>
        <v>БУ Г. ОМСКА "УДХБ" 216-РДО от 03.10.2022</v>
      </c>
      <c r="D70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8" t="str">
        <f ca="1">IFERROR(__xludf.DUMMYFUNCTION("""COMPUTED_VALUE"""),"Новый")</f>
        <v>Новый</v>
      </c>
      <c r="G7048" s="68"/>
      <c r="K7048" s="68"/>
    </row>
    <row r="7049" spans="1:11" ht="12.75">
      <c r="A7049" s="69">
        <f ca="1">IFERROR(__xludf.DUMMYFUNCTION("""COMPUTED_VALUE"""),108559)</f>
        <v>108559</v>
      </c>
      <c r="B7049" s="4">
        <f ca="1">IFERROR(__xludf.DUMMYFUNCTION("""COMPUTED_VALUE"""),44837)</f>
        <v>44837</v>
      </c>
      <c r="C7049" t="str">
        <f ca="1">IFERROR(__xludf.DUMMYFUNCTION("""COMPUTED_VALUE"""),"БУ Г. ОМСКА ""УДХБ"" 216-РДО от 03.10.2022")</f>
        <v>БУ Г. ОМСКА "УДХБ" 216-РДО от 03.10.2022</v>
      </c>
      <c r="D70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49" t="str">
        <f ca="1">IFERROR(__xludf.DUMMYFUNCTION("""COMPUTED_VALUE"""),"Новый")</f>
        <v>Новый</v>
      </c>
      <c r="G7049" s="68"/>
      <c r="K7049" s="68"/>
    </row>
    <row r="7050" spans="1:11" ht="12.75">
      <c r="A7050" s="69">
        <f ca="1">IFERROR(__xludf.DUMMYFUNCTION("""COMPUTED_VALUE"""),108560)</f>
        <v>108560</v>
      </c>
      <c r="B7050" s="4">
        <f ca="1">IFERROR(__xludf.DUMMYFUNCTION("""COMPUTED_VALUE"""),44837)</f>
        <v>44837</v>
      </c>
      <c r="C7050" t="str">
        <f ca="1">IFERROR(__xludf.DUMMYFUNCTION("""COMPUTED_VALUE"""),"БУ Г. ОМСКА ""УДХБ"" 216-РДО от 03.10.2022")</f>
        <v>БУ Г. ОМСКА "УДХБ" 216-РДО от 03.10.2022</v>
      </c>
      <c r="D70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0" t="str">
        <f ca="1">IFERROR(__xludf.DUMMYFUNCTION("""COMPUTED_VALUE"""),"Новый")</f>
        <v>Новый</v>
      </c>
      <c r="G7050" s="68"/>
      <c r="K7050" s="68"/>
    </row>
    <row r="7051" spans="1:11" ht="12.75">
      <c r="A7051" s="69">
        <f ca="1">IFERROR(__xludf.DUMMYFUNCTION("""COMPUTED_VALUE"""),108561)</f>
        <v>108561</v>
      </c>
      <c r="B7051" s="4">
        <f ca="1">IFERROR(__xludf.DUMMYFUNCTION("""COMPUTED_VALUE"""),44837)</f>
        <v>44837</v>
      </c>
      <c r="C7051" t="str">
        <f ca="1">IFERROR(__xludf.DUMMYFUNCTION("""COMPUTED_VALUE"""),"БУ Г. ОМСКА ""УДХБ"" 216-РДО от 03.10.2022")</f>
        <v>БУ Г. ОМСКА "УДХБ" 216-РДО от 03.10.2022</v>
      </c>
      <c r="D70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1" t="str">
        <f ca="1">IFERROR(__xludf.DUMMYFUNCTION("""COMPUTED_VALUE"""),"Новый")</f>
        <v>Новый</v>
      </c>
      <c r="G7051" s="68"/>
      <c r="K7051" s="68"/>
    </row>
    <row r="7052" spans="1:11" ht="12.75">
      <c r="A7052" s="69">
        <f ca="1">IFERROR(__xludf.DUMMYFUNCTION("""COMPUTED_VALUE"""),108562)</f>
        <v>108562</v>
      </c>
      <c r="B7052" s="4">
        <f ca="1">IFERROR(__xludf.DUMMYFUNCTION("""COMPUTED_VALUE"""),44837)</f>
        <v>44837</v>
      </c>
      <c r="C7052" t="str">
        <f ca="1">IFERROR(__xludf.DUMMYFUNCTION("""COMPUTED_VALUE"""),"БУ Г. ОМСКА ""УДХБ"" 216-РДО от 03.10.2022")</f>
        <v>БУ Г. ОМСКА "УДХБ" 216-РДО от 03.10.2022</v>
      </c>
      <c r="D70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2" t="str">
        <f ca="1">IFERROR(__xludf.DUMMYFUNCTION("""COMPUTED_VALUE"""),"Новый")</f>
        <v>Новый</v>
      </c>
      <c r="G7052" s="68"/>
      <c r="K7052" s="68"/>
    </row>
    <row r="7053" spans="1:11" ht="12.75">
      <c r="A7053" s="69">
        <f ca="1">IFERROR(__xludf.DUMMYFUNCTION("""COMPUTED_VALUE"""),108563)</f>
        <v>108563</v>
      </c>
      <c r="B7053" s="4">
        <f ca="1">IFERROR(__xludf.DUMMYFUNCTION("""COMPUTED_VALUE"""),44837)</f>
        <v>44837</v>
      </c>
      <c r="C7053" t="str">
        <f ca="1">IFERROR(__xludf.DUMMYFUNCTION("""COMPUTED_VALUE"""),"БУ Г. ОМСКА ""УДХБ"" 216-РДО от 03.10.2022")</f>
        <v>БУ Г. ОМСКА "УДХБ" 216-РДО от 03.10.2022</v>
      </c>
      <c r="D70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3" t="str">
        <f ca="1">IFERROR(__xludf.DUMMYFUNCTION("""COMPUTED_VALUE"""),"Новый")</f>
        <v>Новый</v>
      </c>
      <c r="G7053" s="68"/>
      <c r="K7053" s="68"/>
    </row>
    <row r="7054" spans="1:11" ht="12.75">
      <c r="A7054" s="69">
        <f ca="1">IFERROR(__xludf.DUMMYFUNCTION("""COMPUTED_VALUE"""),108564)</f>
        <v>108564</v>
      </c>
      <c r="B7054" s="4">
        <f ca="1">IFERROR(__xludf.DUMMYFUNCTION("""COMPUTED_VALUE"""),44837)</f>
        <v>44837</v>
      </c>
      <c r="C7054" t="str">
        <f ca="1">IFERROR(__xludf.DUMMYFUNCTION("""COMPUTED_VALUE"""),"БУ Г. ОМСКА ""УДХБ"" 216-РДО от 03.10.2022")</f>
        <v>БУ Г. ОМСКА "УДХБ" 216-РДО от 03.10.2022</v>
      </c>
      <c r="D70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4" t="str">
        <f ca="1">IFERROR(__xludf.DUMMYFUNCTION("""COMPUTED_VALUE"""),"Новый")</f>
        <v>Новый</v>
      </c>
      <c r="G7054" s="68"/>
      <c r="K7054" s="68"/>
    </row>
    <row r="7055" spans="1:11" ht="12.75">
      <c r="A7055" s="69">
        <f ca="1">IFERROR(__xludf.DUMMYFUNCTION("""COMPUTED_VALUE"""),108565)</f>
        <v>108565</v>
      </c>
      <c r="B7055" s="4">
        <f ca="1">IFERROR(__xludf.DUMMYFUNCTION("""COMPUTED_VALUE"""),44837)</f>
        <v>44837</v>
      </c>
      <c r="C7055" t="str">
        <f ca="1">IFERROR(__xludf.DUMMYFUNCTION("""COMPUTED_VALUE"""),"БУ Г. ОМСКА ""УДХБ"" 216-РДО от 03.10.2022")</f>
        <v>БУ Г. ОМСКА "УДХБ" 216-РДО от 03.10.2022</v>
      </c>
      <c r="D70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5" t="str">
        <f ca="1">IFERROR(__xludf.DUMMYFUNCTION("""COMPUTED_VALUE"""),"Новый")</f>
        <v>Новый</v>
      </c>
      <c r="G7055" s="68"/>
      <c r="K7055" s="68"/>
    </row>
    <row r="7056" spans="1:11" ht="12.75">
      <c r="A7056" s="69">
        <f ca="1">IFERROR(__xludf.DUMMYFUNCTION("""COMPUTED_VALUE"""),108566)</f>
        <v>108566</v>
      </c>
      <c r="B7056" s="4">
        <f ca="1">IFERROR(__xludf.DUMMYFUNCTION("""COMPUTED_VALUE"""),44837)</f>
        <v>44837</v>
      </c>
      <c r="C7056" t="str">
        <f ca="1">IFERROR(__xludf.DUMMYFUNCTION("""COMPUTED_VALUE"""),"БУ Г. ОМСКА ""УДХБ"" 216-РДО от 03.10.2022")</f>
        <v>БУ Г. ОМСКА "УДХБ" 216-РДО от 03.10.2022</v>
      </c>
      <c r="D70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6" t="str">
        <f ca="1">IFERROR(__xludf.DUMMYFUNCTION("""COMPUTED_VALUE"""),"Новый")</f>
        <v>Новый</v>
      </c>
      <c r="G7056" s="68"/>
      <c r="K7056" s="68"/>
    </row>
    <row r="7057" spans="1:11" ht="12.75">
      <c r="A7057" s="69">
        <f ca="1">IFERROR(__xludf.DUMMYFUNCTION("""COMPUTED_VALUE"""),108567)</f>
        <v>108567</v>
      </c>
      <c r="B7057" s="4">
        <f ca="1">IFERROR(__xludf.DUMMYFUNCTION("""COMPUTED_VALUE"""),44837)</f>
        <v>44837</v>
      </c>
      <c r="C7057" t="str">
        <f ca="1">IFERROR(__xludf.DUMMYFUNCTION("""COMPUTED_VALUE"""),"БУ Г. ОМСКА ""УДХБ"" 216-РДО от 03.10.2022")</f>
        <v>БУ Г. ОМСКА "УДХБ" 216-РДО от 03.10.2022</v>
      </c>
      <c r="D70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7" t="str">
        <f ca="1">IFERROR(__xludf.DUMMYFUNCTION("""COMPUTED_VALUE"""),"Новый")</f>
        <v>Новый</v>
      </c>
      <c r="G7057" s="68"/>
      <c r="K7057" s="68"/>
    </row>
    <row r="7058" spans="1:11" ht="12.75">
      <c r="A7058" s="69">
        <f ca="1">IFERROR(__xludf.DUMMYFUNCTION("""COMPUTED_VALUE"""),108568)</f>
        <v>108568</v>
      </c>
      <c r="B7058" s="4">
        <f ca="1">IFERROR(__xludf.DUMMYFUNCTION("""COMPUTED_VALUE"""),44837)</f>
        <v>44837</v>
      </c>
      <c r="C7058" t="str">
        <f ca="1">IFERROR(__xludf.DUMMYFUNCTION("""COMPUTED_VALUE"""),"БУ Г. ОМСКА ""УДХБ"" 216-РДО от 03.10.2022")</f>
        <v>БУ Г. ОМСКА "УДХБ" 216-РДО от 03.10.2022</v>
      </c>
      <c r="D70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8" t="str">
        <f ca="1">IFERROR(__xludf.DUMMYFUNCTION("""COMPUTED_VALUE"""),"Новый")</f>
        <v>Новый</v>
      </c>
      <c r="G7058" s="68"/>
      <c r="K7058" s="68"/>
    </row>
    <row r="7059" spans="1:11" ht="12.75">
      <c r="A7059" s="69">
        <f ca="1">IFERROR(__xludf.DUMMYFUNCTION("""COMPUTED_VALUE"""),108569)</f>
        <v>108569</v>
      </c>
      <c r="B7059" s="4">
        <f ca="1">IFERROR(__xludf.DUMMYFUNCTION("""COMPUTED_VALUE"""),44837)</f>
        <v>44837</v>
      </c>
      <c r="C7059" t="str">
        <f ca="1">IFERROR(__xludf.DUMMYFUNCTION("""COMPUTED_VALUE"""),"БУ Г. ОМСКА ""УДХБ"" 216-РДО от 03.10.2022")</f>
        <v>БУ Г. ОМСКА "УДХБ" 216-РДО от 03.10.2022</v>
      </c>
      <c r="D70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59" t="str">
        <f ca="1">IFERROR(__xludf.DUMMYFUNCTION("""COMPUTED_VALUE"""),"Новый")</f>
        <v>Новый</v>
      </c>
      <c r="G7059" s="68"/>
      <c r="K7059" s="68"/>
    </row>
    <row r="7060" spans="1:11" ht="12.75">
      <c r="A7060" s="69">
        <f ca="1">IFERROR(__xludf.DUMMYFUNCTION("""COMPUTED_VALUE"""),108570)</f>
        <v>108570</v>
      </c>
      <c r="B7060" s="4">
        <f ca="1">IFERROR(__xludf.DUMMYFUNCTION("""COMPUTED_VALUE"""),44837)</f>
        <v>44837</v>
      </c>
      <c r="C7060" t="str">
        <f ca="1">IFERROR(__xludf.DUMMYFUNCTION("""COMPUTED_VALUE"""),"БУ Г. ОМСКА ""УДХБ"" 216-РДО от 03.10.2022")</f>
        <v>БУ Г. ОМСКА "УДХБ" 216-РДО от 03.10.2022</v>
      </c>
      <c r="D70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0" t="str">
        <f ca="1">IFERROR(__xludf.DUMMYFUNCTION("""COMPUTED_VALUE"""),"Новый")</f>
        <v>Новый</v>
      </c>
      <c r="G7060" s="68"/>
      <c r="K7060" s="68"/>
    </row>
    <row r="7061" spans="1:11" ht="12.75">
      <c r="A7061" s="69">
        <f ca="1">IFERROR(__xludf.DUMMYFUNCTION("""COMPUTED_VALUE"""),108571)</f>
        <v>108571</v>
      </c>
      <c r="B7061" s="4">
        <f ca="1">IFERROR(__xludf.DUMMYFUNCTION("""COMPUTED_VALUE"""),44837)</f>
        <v>44837</v>
      </c>
      <c r="C7061" t="str">
        <f ca="1">IFERROR(__xludf.DUMMYFUNCTION("""COMPUTED_VALUE"""),"БУ Г. ОМСКА ""УДХБ"" 216-РДО от 03.10.2022")</f>
        <v>БУ Г. ОМСКА "УДХБ" 216-РДО от 03.10.2022</v>
      </c>
      <c r="D70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1" t="str">
        <f ca="1">IFERROR(__xludf.DUMMYFUNCTION("""COMPUTED_VALUE"""),"Новый")</f>
        <v>Новый</v>
      </c>
      <c r="G7061" s="68"/>
      <c r="K7061" s="68"/>
    </row>
    <row r="7062" spans="1:11" ht="12.75">
      <c r="A7062" s="69">
        <f ca="1">IFERROR(__xludf.DUMMYFUNCTION("""COMPUTED_VALUE"""),108572)</f>
        <v>108572</v>
      </c>
      <c r="B7062" s="4">
        <f ca="1">IFERROR(__xludf.DUMMYFUNCTION("""COMPUTED_VALUE"""),44837)</f>
        <v>44837</v>
      </c>
      <c r="C7062" t="str">
        <f ca="1">IFERROR(__xludf.DUMMYFUNCTION("""COMPUTED_VALUE"""),"БУ Г. ОМСКА ""УДХБ"" 216-РДО от 03.10.2022")</f>
        <v>БУ Г. ОМСКА "УДХБ" 216-РДО от 03.10.2022</v>
      </c>
      <c r="D70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2" t="str">
        <f ca="1">IFERROR(__xludf.DUMMYFUNCTION("""COMPUTED_VALUE"""),"Новый")</f>
        <v>Новый</v>
      </c>
      <c r="G7062" s="68"/>
      <c r="K7062" s="68"/>
    </row>
    <row r="7063" spans="1:11" ht="12.75">
      <c r="A7063" s="69">
        <f ca="1">IFERROR(__xludf.DUMMYFUNCTION("""COMPUTED_VALUE"""),108573)</f>
        <v>108573</v>
      </c>
      <c r="B7063" s="4">
        <f ca="1">IFERROR(__xludf.DUMMYFUNCTION("""COMPUTED_VALUE"""),44837)</f>
        <v>44837</v>
      </c>
      <c r="C7063" t="str">
        <f ca="1">IFERROR(__xludf.DUMMYFUNCTION("""COMPUTED_VALUE"""),"БУ Г. ОМСКА ""УДХБ"" 216-РДО от 03.10.2022")</f>
        <v>БУ Г. ОМСКА "УДХБ" 216-РДО от 03.10.2022</v>
      </c>
      <c r="D70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3" t="str">
        <f ca="1">IFERROR(__xludf.DUMMYFUNCTION("""COMPUTED_VALUE"""),"Новый")</f>
        <v>Новый</v>
      </c>
      <c r="G7063" s="68"/>
      <c r="K7063" s="68"/>
    </row>
    <row r="7064" spans="1:11" ht="12.75">
      <c r="A7064" s="69">
        <f ca="1">IFERROR(__xludf.DUMMYFUNCTION("""COMPUTED_VALUE"""),108574)</f>
        <v>108574</v>
      </c>
      <c r="B7064" s="4">
        <f ca="1">IFERROR(__xludf.DUMMYFUNCTION("""COMPUTED_VALUE"""),44837)</f>
        <v>44837</v>
      </c>
      <c r="C7064" t="str">
        <f ca="1">IFERROR(__xludf.DUMMYFUNCTION("""COMPUTED_VALUE"""),"БУ Г. ОМСКА ""УДХБ"" 216-РДО от 03.10.2022")</f>
        <v>БУ Г. ОМСКА "УДХБ" 216-РДО от 03.10.2022</v>
      </c>
      <c r="D70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4" t="str">
        <f ca="1">IFERROR(__xludf.DUMMYFUNCTION("""COMPUTED_VALUE"""),"Новый")</f>
        <v>Новый</v>
      </c>
      <c r="G7064" s="68"/>
      <c r="K7064" s="68"/>
    </row>
    <row r="7065" spans="1:11" ht="12.75">
      <c r="A7065" s="69">
        <f ca="1">IFERROR(__xludf.DUMMYFUNCTION("""COMPUTED_VALUE"""),108575)</f>
        <v>108575</v>
      </c>
      <c r="B7065" s="4">
        <f ca="1">IFERROR(__xludf.DUMMYFUNCTION("""COMPUTED_VALUE"""),44837)</f>
        <v>44837</v>
      </c>
      <c r="C7065" t="str">
        <f ca="1">IFERROR(__xludf.DUMMYFUNCTION("""COMPUTED_VALUE"""),"БУ Г. ОМСКА ""УДХБ"" 216-РДО от 03.10.2022")</f>
        <v>БУ Г. ОМСКА "УДХБ" 216-РДО от 03.10.2022</v>
      </c>
      <c r="D70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5" t="str">
        <f ca="1">IFERROR(__xludf.DUMMYFUNCTION("""COMPUTED_VALUE"""),"Новый")</f>
        <v>Новый</v>
      </c>
      <c r="G7065" s="68"/>
      <c r="K7065" s="68"/>
    </row>
    <row r="7066" spans="1:11" ht="12.75">
      <c r="A7066" s="69">
        <f ca="1">IFERROR(__xludf.DUMMYFUNCTION("""COMPUTED_VALUE"""),108576)</f>
        <v>108576</v>
      </c>
      <c r="B7066" s="4">
        <f ca="1">IFERROR(__xludf.DUMMYFUNCTION("""COMPUTED_VALUE"""),44837)</f>
        <v>44837</v>
      </c>
      <c r="C7066" t="str">
        <f ca="1">IFERROR(__xludf.DUMMYFUNCTION("""COMPUTED_VALUE"""),"БУ Г. ОМСКА ""УДХБ"" 216-РДО от 03.10.2022")</f>
        <v>БУ Г. ОМСКА "УДХБ" 216-РДО от 03.10.2022</v>
      </c>
      <c r="D70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6" t="str">
        <f ca="1">IFERROR(__xludf.DUMMYFUNCTION("""COMPUTED_VALUE"""),"Новый")</f>
        <v>Новый</v>
      </c>
      <c r="G7066" s="68"/>
      <c r="K7066" s="68"/>
    </row>
    <row r="7067" spans="1:11" ht="12.75">
      <c r="A7067" s="69">
        <f ca="1">IFERROR(__xludf.DUMMYFUNCTION("""COMPUTED_VALUE"""),108577)</f>
        <v>108577</v>
      </c>
      <c r="B7067" s="4">
        <f ca="1">IFERROR(__xludf.DUMMYFUNCTION("""COMPUTED_VALUE"""),44837)</f>
        <v>44837</v>
      </c>
      <c r="C7067" t="str">
        <f ca="1">IFERROR(__xludf.DUMMYFUNCTION("""COMPUTED_VALUE"""),"БУ Г. ОМСКА ""УДХБ"" 216-РДО от 03.10.2022")</f>
        <v>БУ Г. ОМСКА "УДХБ" 216-РДО от 03.10.2022</v>
      </c>
      <c r="D70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7" t="str">
        <f ca="1">IFERROR(__xludf.DUMMYFUNCTION("""COMPUTED_VALUE"""),"Новый")</f>
        <v>Новый</v>
      </c>
      <c r="G7067" s="68"/>
      <c r="K7067" s="68"/>
    </row>
    <row r="7068" spans="1:11" ht="12.75">
      <c r="A7068" s="69">
        <f ca="1">IFERROR(__xludf.DUMMYFUNCTION("""COMPUTED_VALUE"""),108578)</f>
        <v>108578</v>
      </c>
      <c r="B7068" s="4">
        <f ca="1">IFERROR(__xludf.DUMMYFUNCTION("""COMPUTED_VALUE"""),44837)</f>
        <v>44837</v>
      </c>
      <c r="C7068" t="str">
        <f ca="1">IFERROR(__xludf.DUMMYFUNCTION("""COMPUTED_VALUE"""),"БУ Г. ОМСКА ""УДХБ"" 216-РДО от 03.10.2022")</f>
        <v>БУ Г. ОМСКА "УДХБ" 216-РДО от 03.10.2022</v>
      </c>
      <c r="D70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8" t="str">
        <f ca="1">IFERROR(__xludf.DUMMYFUNCTION("""COMPUTED_VALUE"""),"Новый")</f>
        <v>Новый</v>
      </c>
      <c r="G7068" s="68"/>
      <c r="K7068" s="68"/>
    </row>
    <row r="7069" spans="1:11" ht="12.75">
      <c r="A7069" s="69">
        <f ca="1">IFERROR(__xludf.DUMMYFUNCTION("""COMPUTED_VALUE"""),108579)</f>
        <v>108579</v>
      </c>
      <c r="B7069" s="4">
        <f ca="1">IFERROR(__xludf.DUMMYFUNCTION("""COMPUTED_VALUE"""),44837)</f>
        <v>44837</v>
      </c>
      <c r="C7069" t="str">
        <f ca="1">IFERROR(__xludf.DUMMYFUNCTION("""COMPUTED_VALUE"""),"БУ Г. ОМСКА ""УДХБ"" 216-РДО от 03.10.2022")</f>
        <v>БУ Г. ОМСКА "УДХБ" 216-РДО от 03.10.2022</v>
      </c>
      <c r="D70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69" t="str">
        <f ca="1">IFERROR(__xludf.DUMMYFUNCTION("""COMPUTED_VALUE"""),"Новый")</f>
        <v>Новый</v>
      </c>
      <c r="G7069" s="68"/>
      <c r="K7069" s="68"/>
    </row>
    <row r="7070" spans="1:11" ht="12.75">
      <c r="A7070" s="69">
        <f ca="1">IFERROR(__xludf.DUMMYFUNCTION("""COMPUTED_VALUE"""),108580)</f>
        <v>108580</v>
      </c>
      <c r="B7070" s="4">
        <f ca="1">IFERROR(__xludf.DUMMYFUNCTION("""COMPUTED_VALUE"""),44837)</f>
        <v>44837</v>
      </c>
      <c r="C7070" t="str">
        <f ca="1">IFERROR(__xludf.DUMMYFUNCTION("""COMPUTED_VALUE"""),"БУ Г. ОМСКА ""УДХБ"" 216-РДО от 03.10.2022")</f>
        <v>БУ Г. ОМСКА "УДХБ" 216-РДО от 03.10.2022</v>
      </c>
      <c r="D70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0" t="str">
        <f ca="1">IFERROR(__xludf.DUMMYFUNCTION("""COMPUTED_VALUE"""),"Новый")</f>
        <v>Новый</v>
      </c>
      <c r="G7070" s="68"/>
      <c r="K7070" s="68"/>
    </row>
    <row r="7071" spans="1:11" ht="12.75">
      <c r="A7071" s="69">
        <f ca="1">IFERROR(__xludf.DUMMYFUNCTION("""COMPUTED_VALUE"""),108581)</f>
        <v>108581</v>
      </c>
      <c r="B7071" s="4">
        <f ca="1">IFERROR(__xludf.DUMMYFUNCTION("""COMPUTED_VALUE"""),44837)</f>
        <v>44837</v>
      </c>
      <c r="C7071" t="str">
        <f ca="1">IFERROR(__xludf.DUMMYFUNCTION("""COMPUTED_VALUE"""),"БУ Г. ОМСКА ""УДХБ"" 216-РДО от 03.10.2022")</f>
        <v>БУ Г. ОМСКА "УДХБ" 216-РДО от 03.10.2022</v>
      </c>
      <c r="D70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1" t="str">
        <f ca="1">IFERROR(__xludf.DUMMYFUNCTION("""COMPUTED_VALUE"""),"Новый")</f>
        <v>Новый</v>
      </c>
      <c r="G7071" s="68"/>
      <c r="K7071" s="68"/>
    </row>
    <row r="7072" spans="1:11" ht="12.75">
      <c r="A7072" s="69">
        <f ca="1">IFERROR(__xludf.DUMMYFUNCTION("""COMPUTED_VALUE"""),108582)</f>
        <v>108582</v>
      </c>
      <c r="B7072" s="4">
        <f ca="1">IFERROR(__xludf.DUMMYFUNCTION("""COMPUTED_VALUE"""),44837)</f>
        <v>44837</v>
      </c>
      <c r="C7072" t="str">
        <f ca="1">IFERROR(__xludf.DUMMYFUNCTION("""COMPUTED_VALUE"""),"БУ Г. ОМСКА ""УДХБ"" 216-РДО от 03.10.2022")</f>
        <v>БУ Г. ОМСКА "УДХБ" 216-РДО от 03.10.2022</v>
      </c>
      <c r="D70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2" t="str">
        <f ca="1">IFERROR(__xludf.DUMMYFUNCTION("""COMPUTED_VALUE"""),"Новый")</f>
        <v>Новый</v>
      </c>
      <c r="G7072" s="68"/>
      <c r="K7072" s="68"/>
    </row>
    <row r="7073" spans="1:11" ht="12.75">
      <c r="A7073" s="69">
        <f ca="1">IFERROR(__xludf.DUMMYFUNCTION("""COMPUTED_VALUE"""),108583)</f>
        <v>108583</v>
      </c>
      <c r="B7073" s="4">
        <f ca="1">IFERROR(__xludf.DUMMYFUNCTION("""COMPUTED_VALUE"""),44837)</f>
        <v>44837</v>
      </c>
      <c r="C7073" t="str">
        <f ca="1">IFERROR(__xludf.DUMMYFUNCTION("""COMPUTED_VALUE"""),"БУ Г. ОМСКА ""УДХБ"" 216-РДО от 03.10.2022")</f>
        <v>БУ Г. ОМСКА "УДХБ" 216-РДО от 03.10.2022</v>
      </c>
      <c r="D70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3" t="str">
        <f ca="1">IFERROR(__xludf.DUMMYFUNCTION("""COMPUTED_VALUE"""),"Новый")</f>
        <v>Новый</v>
      </c>
      <c r="G7073" s="68"/>
      <c r="K7073" s="68"/>
    </row>
    <row r="7074" spans="1:11" ht="12.75">
      <c r="A7074" s="69">
        <f ca="1">IFERROR(__xludf.DUMMYFUNCTION("""COMPUTED_VALUE"""),108584)</f>
        <v>108584</v>
      </c>
      <c r="B7074" s="4">
        <f ca="1">IFERROR(__xludf.DUMMYFUNCTION("""COMPUTED_VALUE"""),44837)</f>
        <v>44837</v>
      </c>
      <c r="C7074" t="str">
        <f ca="1">IFERROR(__xludf.DUMMYFUNCTION("""COMPUTED_VALUE"""),"БУ Г. ОМСКА ""УДХБ"" 216-РДО от 03.10.2022")</f>
        <v>БУ Г. ОМСКА "УДХБ" 216-РДО от 03.10.2022</v>
      </c>
      <c r="D70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4" t="str">
        <f ca="1">IFERROR(__xludf.DUMMYFUNCTION("""COMPUTED_VALUE"""),"Новый")</f>
        <v>Новый</v>
      </c>
      <c r="G7074" s="68"/>
      <c r="K7074" s="68"/>
    </row>
    <row r="7075" spans="1:11" ht="12.75">
      <c r="A7075" s="69">
        <f ca="1">IFERROR(__xludf.DUMMYFUNCTION("""COMPUTED_VALUE"""),108585)</f>
        <v>108585</v>
      </c>
      <c r="B7075" s="4">
        <f ca="1">IFERROR(__xludf.DUMMYFUNCTION("""COMPUTED_VALUE"""),44837)</f>
        <v>44837</v>
      </c>
      <c r="C7075" t="str">
        <f ca="1">IFERROR(__xludf.DUMMYFUNCTION("""COMPUTED_VALUE"""),"БУ Г. ОМСКА ""УДХБ"" 216-РДО от 03.10.2022")</f>
        <v>БУ Г. ОМСКА "УДХБ" 216-РДО от 03.10.2022</v>
      </c>
      <c r="D70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5" t="str">
        <f ca="1">IFERROR(__xludf.DUMMYFUNCTION("""COMPUTED_VALUE"""),"Новый")</f>
        <v>Новый</v>
      </c>
      <c r="G7075" s="68"/>
      <c r="K7075" s="68"/>
    </row>
    <row r="7076" spans="1:11" ht="12.75">
      <c r="A7076" s="69">
        <f ca="1">IFERROR(__xludf.DUMMYFUNCTION("""COMPUTED_VALUE"""),108586)</f>
        <v>108586</v>
      </c>
      <c r="B7076" s="4">
        <f ca="1">IFERROR(__xludf.DUMMYFUNCTION("""COMPUTED_VALUE"""),44837)</f>
        <v>44837</v>
      </c>
      <c r="C7076" t="str">
        <f ca="1">IFERROR(__xludf.DUMMYFUNCTION("""COMPUTED_VALUE"""),"БУ Г. ОМСКА ""УДХБ"" 216-РДО от 03.10.2022")</f>
        <v>БУ Г. ОМСКА "УДХБ" 216-РДО от 03.10.2022</v>
      </c>
      <c r="D70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6" t="str">
        <f ca="1">IFERROR(__xludf.DUMMYFUNCTION("""COMPUTED_VALUE"""),"Новый")</f>
        <v>Новый</v>
      </c>
      <c r="G7076" s="68"/>
      <c r="K7076" s="68"/>
    </row>
    <row r="7077" spans="1:11" ht="12.75">
      <c r="A7077" s="69">
        <f ca="1">IFERROR(__xludf.DUMMYFUNCTION("""COMPUTED_VALUE"""),108587)</f>
        <v>108587</v>
      </c>
      <c r="B7077" s="4">
        <f ca="1">IFERROR(__xludf.DUMMYFUNCTION("""COMPUTED_VALUE"""),44837)</f>
        <v>44837</v>
      </c>
      <c r="C7077" t="str">
        <f ca="1">IFERROR(__xludf.DUMMYFUNCTION("""COMPUTED_VALUE"""),"БУ Г. ОМСКА ""УДХБ"" 216-РДО от 03.10.2022")</f>
        <v>БУ Г. ОМСКА "УДХБ" 216-РДО от 03.10.2022</v>
      </c>
      <c r="D70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7" t="str">
        <f ca="1">IFERROR(__xludf.DUMMYFUNCTION("""COMPUTED_VALUE"""),"Новый")</f>
        <v>Новый</v>
      </c>
      <c r="G7077" s="68"/>
      <c r="K7077" s="68"/>
    </row>
    <row r="7078" spans="1:11" ht="12.75">
      <c r="A7078" s="69">
        <f ca="1">IFERROR(__xludf.DUMMYFUNCTION("""COMPUTED_VALUE"""),108608)</f>
        <v>108608</v>
      </c>
      <c r="B7078" s="4">
        <f ca="1">IFERROR(__xludf.DUMMYFUNCTION("""COMPUTED_VALUE"""),44837)</f>
        <v>44837</v>
      </c>
      <c r="C7078" t="str">
        <f ca="1">IFERROR(__xludf.DUMMYFUNCTION("""COMPUTED_VALUE"""),"БУ Г. ОМСКА ""УДХБ"" 216-РДО от 03.10.2022")</f>
        <v>БУ Г. ОМСКА "УДХБ" 216-РДО от 03.10.2022</v>
      </c>
      <c r="D70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8" t="str">
        <f ca="1">IFERROR(__xludf.DUMMYFUNCTION("""COMPUTED_VALUE"""),"Новый")</f>
        <v>Новый</v>
      </c>
      <c r="G7078" s="68"/>
      <c r="K7078" s="68"/>
    </row>
    <row r="7079" spans="1:11" ht="12.75">
      <c r="A7079" s="69">
        <f ca="1">IFERROR(__xludf.DUMMYFUNCTION("""COMPUTED_VALUE"""),108609)</f>
        <v>108609</v>
      </c>
      <c r="B7079" s="4">
        <f ca="1">IFERROR(__xludf.DUMMYFUNCTION("""COMPUTED_VALUE"""),44837)</f>
        <v>44837</v>
      </c>
      <c r="C7079" t="str">
        <f ca="1">IFERROR(__xludf.DUMMYFUNCTION("""COMPUTED_VALUE"""),"БУ Г. ОМСКА ""УДХБ"" 216-РДО от 03.10.2022")</f>
        <v>БУ Г. ОМСКА "УДХБ" 216-РДО от 03.10.2022</v>
      </c>
      <c r="D70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79" t="str">
        <f ca="1">IFERROR(__xludf.DUMMYFUNCTION("""COMPUTED_VALUE"""),"Новый")</f>
        <v>Новый</v>
      </c>
      <c r="G7079" s="68"/>
      <c r="K7079" s="68"/>
    </row>
    <row r="7080" spans="1:11" ht="12.75">
      <c r="A7080" s="69">
        <f ca="1">IFERROR(__xludf.DUMMYFUNCTION("""COMPUTED_VALUE"""),108610)</f>
        <v>108610</v>
      </c>
      <c r="B7080" s="4">
        <f ca="1">IFERROR(__xludf.DUMMYFUNCTION("""COMPUTED_VALUE"""),44837)</f>
        <v>44837</v>
      </c>
      <c r="C7080" t="str">
        <f ca="1">IFERROR(__xludf.DUMMYFUNCTION("""COMPUTED_VALUE"""),"БУ Г. ОМСКА ""УДХБ"" 216-РДО от 03.10.2022")</f>
        <v>БУ Г. ОМСКА "УДХБ" 216-РДО от 03.10.2022</v>
      </c>
      <c r="D70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0" t="str">
        <f ca="1">IFERROR(__xludf.DUMMYFUNCTION("""COMPUTED_VALUE"""),"Новый")</f>
        <v>Новый</v>
      </c>
      <c r="G7080" s="68"/>
      <c r="K7080" s="68"/>
    </row>
    <row r="7081" spans="1:11" ht="12.75">
      <c r="A7081" s="69">
        <f ca="1">IFERROR(__xludf.DUMMYFUNCTION("""COMPUTED_VALUE"""),108611)</f>
        <v>108611</v>
      </c>
      <c r="B7081" s="4">
        <f ca="1">IFERROR(__xludf.DUMMYFUNCTION("""COMPUTED_VALUE"""),44837)</f>
        <v>44837</v>
      </c>
      <c r="C7081" t="str">
        <f ca="1">IFERROR(__xludf.DUMMYFUNCTION("""COMPUTED_VALUE"""),"БУ Г. ОМСКА ""УДХБ"" 216-РДО от 03.10.2022")</f>
        <v>БУ Г. ОМСКА "УДХБ" 216-РДО от 03.10.2022</v>
      </c>
      <c r="D70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1" t="str">
        <f ca="1">IFERROR(__xludf.DUMMYFUNCTION("""COMPUTED_VALUE"""),"Новый")</f>
        <v>Новый</v>
      </c>
      <c r="G7081" s="68"/>
      <c r="K7081" s="68"/>
    </row>
    <row r="7082" spans="1:11" ht="12.75">
      <c r="A7082" s="69">
        <f ca="1">IFERROR(__xludf.DUMMYFUNCTION("""COMPUTED_VALUE"""),108612)</f>
        <v>108612</v>
      </c>
      <c r="B7082" s="4">
        <f ca="1">IFERROR(__xludf.DUMMYFUNCTION("""COMPUTED_VALUE"""),44837)</f>
        <v>44837</v>
      </c>
      <c r="C7082" t="str">
        <f ca="1">IFERROR(__xludf.DUMMYFUNCTION("""COMPUTED_VALUE"""),"БУ Г. ОМСКА ""УДХБ"" 216-РДО от 03.10.2022")</f>
        <v>БУ Г. ОМСКА "УДХБ" 216-РДО от 03.10.2022</v>
      </c>
      <c r="D70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2" t="str">
        <f ca="1">IFERROR(__xludf.DUMMYFUNCTION("""COMPUTED_VALUE"""),"Новый")</f>
        <v>Новый</v>
      </c>
      <c r="G7082" s="68"/>
      <c r="K7082" s="68"/>
    </row>
    <row r="7083" spans="1:11" ht="12.75">
      <c r="A7083" s="69">
        <f ca="1">IFERROR(__xludf.DUMMYFUNCTION("""COMPUTED_VALUE"""),108613)</f>
        <v>108613</v>
      </c>
      <c r="B7083" s="4">
        <f ca="1">IFERROR(__xludf.DUMMYFUNCTION("""COMPUTED_VALUE"""),44837)</f>
        <v>44837</v>
      </c>
      <c r="C7083" t="str">
        <f ca="1">IFERROR(__xludf.DUMMYFUNCTION("""COMPUTED_VALUE"""),"БУ Г. ОМСКА ""УДХБ"" 216-РДО от 03.10.2022")</f>
        <v>БУ Г. ОМСКА "УДХБ" 216-РДО от 03.10.2022</v>
      </c>
      <c r="D70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3" t="str">
        <f ca="1">IFERROR(__xludf.DUMMYFUNCTION("""COMPUTED_VALUE"""),"Новый")</f>
        <v>Новый</v>
      </c>
      <c r="G7083" s="68"/>
      <c r="K7083" s="68"/>
    </row>
    <row r="7084" spans="1:11" ht="12.75">
      <c r="A7084" s="69">
        <f ca="1">IFERROR(__xludf.DUMMYFUNCTION("""COMPUTED_VALUE"""),108614)</f>
        <v>108614</v>
      </c>
      <c r="B7084" s="4">
        <f ca="1">IFERROR(__xludf.DUMMYFUNCTION("""COMPUTED_VALUE"""),44837)</f>
        <v>44837</v>
      </c>
      <c r="C7084" t="str">
        <f ca="1">IFERROR(__xludf.DUMMYFUNCTION("""COMPUTED_VALUE"""),"БУ Г. ОМСКА ""УДХБ"" 216-РДО от 03.10.2022")</f>
        <v>БУ Г. ОМСКА "УДХБ" 216-РДО от 03.10.2022</v>
      </c>
      <c r="D70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4" t="str">
        <f ca="1">IFERROR(__xludf.DUMMYFUNCTION("""COMPUTED_VALUE"""),"Новый")</f>
        <v>Новый</v>
      </c>
      <c r="G7084" s="68"/>
      <c r="K7084" s="68"/>
    </row>
    <row r="7085" spans="1:11" ht="12.75">
      <c r="A7085" s="69">
        <f ca="1">IFERROR(__xludf.DUMMYFUNCTION("""COMPUTED_VALUE"""),108615)</f>
        <v>108615</v>
      </c>
      <c r="B7085" s="4">
        <f ca="1">IFERROR(__xludf.DUMMYFUNCTION("""COMPUTED_VALUE"""),44837)</f>
        <v>44837</v>
      </c>
      <c r="C7085" t="str">
        <f ca="1">IFERROR(__xludf.DUMMYFUNCTION("""COMPUTED_VALUE"""),"БУ Г. ОМСКА ""УДХБ"" 216-РДО от 03.10.2022")</f>
        <v>БУ Г. ОМСКА "УДХБ" 216-РДО от 03.10.2022</v>
      </c>
      <c r="D70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5" t="str">
        <f ca="1">IFERROR(__xludf.DUMMYFUNCTION("""COMPUTED_VALUE"""),"Новый")</f>
        <v>Новый</v>
      </c>
      <c r="G7085" s="68"/>
      <c r="K7085" s="68"/>
    </row>
    <row r="7086" spans="1:11" ht="12.75">
      <c r="A7086" s="69">
        <f ca="1">IFERROR(__xludf.DUMMYFUNCTION("""COMPUTED_VALUE"""),108617)</f>
        <v>108617</v>
      </c>
      <c r="B7086" s="4">
        <f ca="1">IFERROR(__xludf.DUMMYFUNCTION("""COMPUTED_VALUE"""),44837)</f>
        <v>44837</v>
      </c>
      <c r="C7086" t="str">
        <f ca="1">IFERROR(__xludf.DUMMYFUNCTION("""COMPUTED_VALUE"""),"БУ Г. ОМСКА ""УДХБ"" 216-РДО от 03.10.2022")</f>
        <v>БУ Г. ОМСКА "УДХБ" 216-РДО от 03.10.2022</v>
      </c>
      <c r="D70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6" t="str">
        <f ca="1">IFERROR(__xludf.DUMMYFUNCTION("""COMPUTED_VALUE"""),"Новый")</f>
        <v>Новый</v>
      </c>
      <c r="G7086" s="68"/>
      <c r="K7086" s="68"/>
    </row>
    <row r="7087" spans="1:11" ht="12.75">
      <c r="A7087" s="69">
        <f ca="1">IFERROR(__xludf.DUMMYFUNCTION("""COMPUTED_VALUE"""),108619)</f>
        <v>108619</v>
      </c>
      <c r="B7087" s="4">
        <f ca="1">IFERROR(__xludf.DUMMYFUNCTION("""COMPUTED_VALUE"""),44837)</f>
        <v>44837</v>
      </c>
      <c r="C7087" t="str">
        <f ca="1">IFERROR(__xludf.DUMMYFUNCTION("""COMPUTED_VALUE"""),"БУ Г. ОМСКА ""УДХБ"" 216-РДО от 03.10.2022")</f>
        <v>БУ Г. ОМСКА "УДХБ" 216-РДО от 03.10.2022</v>
      </c>
      <c r="D70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7" t="str">
        <f ca="1">IFERROR(__xludf.DUMMYFUNCTION("""COMPUTED_VALUE"""),"Новый")</f>
        <v>Новый</v>
      </c>
      <c r="G7087" s="68"/>
      <c r="K7087" s="68"/>
    </row>
    <row r="7088" spans="1:11" ht="12.75">
      <c r="A7088" s="69">
        <f ca="1">IFERROR(__xludf.DUMMYFUNCTION("""COMPUTED_VALUE"""),108624)</f>
        <v>108624</v>
      </c>
      <c r="B7088" s="4">
        <f ca="1">IFERROR(__xludf.DUMMYFUNCTION("""COMPUTED_VALUE"""),44837)</f>
        <v>44837</v>
      </c>
      <c r="C7088" t="str">
        <f ca="1">IFERROR(__xludf.DUMMYFUNCTION("""COMPUTED_VALUE"""),"БУ Г. ОМСКА ""УДХБ"" 216-РДО от 03.10.2022")</f>
        <v>БУ Г. ОМСКА "УДХБ" 216-РДО от 03.10.2022</v>
      </c>
      <c r="D70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8" t="str">
        <f ca="1">IFERROR(__xludf.DUMMYFUNCTION("""COMPUTED_VALUE"""),"Новый")</f>
        <v>Новый</v>
      </c>
      <c r="G7088" s="68"/>
      <c r="K7088" s="68"/>
    </row>
    <row r="7089" spans="1:11" ht="12.75">
      <c r="A7089" s="69">
        <f ca="1">IFERROR(__xludf.DUMMYFUNCTION("""COMPUTED_VALUE"""),108626)</f>
        <v>108626</v>
      </c>
      <c r="B7089" s="4">
        <f ca="1">IFERROR(__xludf.DUMMYFUNCTION("""COMPUTED_VALUE"""),44837)</f>
        <v>44837</v>
      </c>
      <c r="C7089" t="str">
        <f ca="1">IFERROR(__xludf.DUMMYFUNCTION("""COMPUTED_VALUE"""),"БУ Г. ОМСКА ""УДХБ"" 216-РДО от 03.10.2022")</f>
        <v>БУ Г. ОМСКА "УДХБ" 216-РДО от 03.10.2022</v>
      </c>
      <c r="D70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89" t="str">
        <f ca="1">IFERROR(__xludf.DUMMYFUNCTION("""COMPUTED_VALUE"""),"Новый")</f>
        <v>Новый</v>
      </c>
      <c r="G7089" s="68"/>
      <c r="K7089" s="68"/>
    </row>
    <row r="7090" spans="1:11" ht="12.75">
      <c r="A7090" s="69">
        <f ca="1">IFERROR(__xludf.DUMMYFUNCTION("""COMPUTED_VALUE"""),108628)</f>
        <v>108628</v>
      </c>
      <c r="B7090" s="4">
        <f ca="1">IFERROR(__xludf.DUMMYFUNCTION("""COMPUTED_VALUE"""),44837)</f>
        <v>44837</v>
      </c>
      <c r="C7090" t="str">
        <f ca="1">IFERROR(__xludf.DUMMYFUNCTION("""COMPUTED_VALUE"""),"БУ Г. ОМСКА ""УДХБ"" 216-РДО от 03.10.2022")</f>
        <v>БУ Г. ОМСКА "УДХБ" 216-РДО от 03.10.2022</v>
      </c>
      <c r="D70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0" t="str">
        <f ca="1">IFERROR(__xludf.DUMMYFUNCTION("""COMPUTED_VALUE"""),"Новый")</f>
        <v>Новый</v>
      </c>
      <c r="G7090" s="68"/>
      <c r="K7090" s="68"/>
    </row>
    <row r="7091" spans="1:11" ht="12.75">
      <c r="A7091" s="69">
        <f ca="1">IFERROR(__xludf.DUMMYFUNCTION("""COMPUTED_VALUE"""),108630)</f>
        <v>108630</v>
      </c>
      <c r="B7091" s="4">
        <f ca="1">IFERROR(__xludf.DUMMYFUNCTION("""COMPUTED_VALUE"""),44837)</f>
        <v>44837</v>
      </c>
      <c r="C7091" t="str">
        <f ca="1">IFERROR(__xludf.DUMMYFUNCTION("""COMPUTED_VALUE"""),"БУ Г. ОМСКА ""УДХБ"" 216-РДО от 03.10.2022")</f>
        <v>БУ Г. ОМСКА "УДХБ" 216-РДО от 03.10.2022</v>
      </c>
      <c r="D70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1" t="str">
        <f ca="1">IFERROR(__xludf.DUMMYFUNCTION("""COMPUTED_VALUE"""),"Новый")</f>
        <v>Новый</v>
      </c>
      <c r="G7091" s="68"/>
      <c r="K7091" s="68"/>
    </row>
    <row r="7092" spans="1:11" ht="12.75">
      <c r="A7092" s="69">
        <f ca="1">IFERROR(__xludf.DUMMYFUNCTION("""COMPUTED_VALUE"""),108633)</f>
        <v>108633</v>
      </c>
      <c r="B7092" s="4">
        <f ca="1">IFERROR(__xludf.DUMMYFUNCTION("""COMPUTED_VALUE"""),44837)</f>
        <v>44837</v>
      </c>
      <c r="C7092" t="str">
        <f ca="1">IFERROR(__xludf.DUMMYFUNCTION("""COMPUTED_VALUE"""),"БУ Г. ОМСКА ""УДХБ"" 216-РДО от 03.10.2022")</f>
        <v>БУ Г. ОМСКА "УДХБ" 216-РДО от 03.10.2022</v>
      </c>
      <c r="D70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2" t="str">
        <f ca="1">IFERROR(__xludf.DUMMYFUNCTION("""COMPUTED_VALUE"""),"Новый")</f>
        <v>Новый</v>
      </c>
      <c r="G7092" s="68"/>
      <c r="K7092" s="68"/>
    </row>
    <row r="7093" spans="1:11" ht="12.75">
      <c r="A7093" s="69">
        <f ca="1">IFERROR(__xludf.DUMMYFUNCTION("""COMPUTED_VALUE"""),108636)</f>
        <v>108636</v>
      </c>
      <c r="B7093" s="4">
        <f ca="1">IFERROR(__xludf.DUMMYFUNCTION("""COMPUTED_VALUE"""),44837)</f>
        <v>44837</v>
      </c>
      <c r="C7093" t="str">
        <f ca="1">IFERROR(__xludf.DUMMYFUNCTION("""COMPUTED_VALUE"""),"БУ Г. ОМСКА ""УДХБ"" 216-РДО от 03.10.2022")</f>
        <v>БУ Г. ОМСКА "УДХБ" 216-РДО от 03.10.2022</v>
      </c>
      <c r="D70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3" t="str">
        <f ca="1">IFERROR(__xludf.DUMMYFUNCTION("""COMPUTED_VALUE"""),"Новый")</f>
        <v>Новый</v>
      </c>
      <c r="G7093" s="68"/>
      <c r="K7093" s="68"/>
    </row>
    <row r="7094" spans="1:11" ht="12.75">
      <c r="A7094" s="69">
        <f ca="1">IFERROR(__xludf.DUMMYFUNCTION("""COMPUTED_VALUE"""),108637)</f>
        <v>108637</v>
      </c>
      <c r="B7094" s="4">
        <f ca="1">IFERROR(__xludf.DUMMYFUNCTION("""COMPUTED_VALUE"""),44837)</f>
        <v>44837</v>
      </c>
      <c r="C7094" t="str">
        <f ca="1">IFERROR(__xludf.DUMMYFUNCTION("""COMPUTED_VALUE"""),"БУ Г. ОМСКА ""УДХБ"" 216-РДО от 03.10.2022")</f>
        <v>БУ Г. ОМСКА "УДХБ" 216-РДО от 03.10.2022</v>
      </c>
      <c r="D70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4" t="str">
        <f ca="1">IFERROR(__xludf.DUMMYFUNCTION("""COMPUTED_VALUE"""),"Новый")</f>
        <v>Новый</v>
      </c>
      <c r="G7094" s="68"/>
      <c r="K7094" s="68"/>
    </row>
    <row r="7095" spans="1:11" ht="12.75">
      <c r="A7095" s="69">
        <f ca="1">IFERROR(__xludf.DUMMYFUNCTION("""COMPUTED_VALUE"""),108638)</f>
        <v>108638</v>
      </c>
      <c r="B7095" s="4">
        <f ca="1">IFERROR(__xludf.DUMMYFUNCTION("""COMPUTED_VALUE"""),44837)</f>
        <v>44837</v>
      </c>
      <c r="C7095" t="str">
        <f ca="1">IFERROR(__xludf.DUMMYFUNCTION("""COMPUTED_VALUE"""),"БУ Г. ОМСКА ""УДХБ"" 216-РДО от 03.10.2022")</f>
        <v>БУ Г. ОМСКА "УДХБ" 216-РДО от 03.10.2022</v>
      </c>
      <c r="D70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5" t="str">
        <f ca="1">IFERROR(__xludf.DUMMYFUNCTION("""COMPUTED_VALUE"""),"Новый")</f>
        <v>Новый</v>
      </c>
      <c r="G7095" s="68"/>
      <c r="K7095" s="68"/>
    </row>
    <row r="7096" spans="1:11" ht="12.75">
      <c r="A7096" s="69">
        <f ca="1">IFERROR(__xludf.DUMMYFUNCTION("""COMPUTED_VALUE"""),108639)</f>
        <v>108639</v>
      </c>
      <c r="B7096" s="4">
        <f ca="1">IFERROR(__xludf.DUMMYFUNCTION("""COMPUTED_VALUE"""),44837)</f>
        <v>44837</v>
      </c>
      <c r="C7096" t="str">
        <f ca="1">IFERROR(__xludf.DUMMYFUNCTION("""COMPUTED_VALUE"""),"БУ Г. ОМСКА ""УДХБ"" 216-РДО от 03.10.2022")</f>
        <v>БУ Г. ОМСКА "УДХБ" 216-РДО от 03.10.2022</v>
      </c>
      <c r="D70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6" t="str">
        <f ca="1">IFERROR(__xludf.DUMMYFUNCTION("""COMPUTED_VALUE"""),"Новый")</f>
        <v>Новый</v>
      </c>
      <c r="G7096" s="68"/>
      <c r="K7096" s="68"/>
    </row>
    <row r="7097" spans="1:11" ht="12.75">
      <c r="A7097" s="69">
        <f ca="1">IFERROR(__xludf.DUMMYFUNCTION("""COMPUTED_VALUE"""),108640)</f>
        <v>108640</v>
      </c>
      <c r="B7097" s="4">
        <f ca="1">IFERROR(__xludf.DUMMYFUNCTION("""COMPUTED_VALUE"""),44837)</f>
        <v>44837</v>
      </c>
      <c r="C7097" t="str">
        <f ca="1">IFERROR(__xludf.DUMMYFUNCTION("""COMPUTED_VALUE"""),"БУ Г. ОМСКА ""УДХБ"" 216-РДО от 03.10.2022")</f>
        <v>БУ Г. ОМСКА "УДХБ" 216-РДО от 03.10.2022</v>
      </c>
      <c r="D70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7" t="str">
        <f ca="1">IFERROR(__xludf.DUMMYFUNCTION("""COMPUTED_VALUE"""),"Новый")</f>
        <v>Новый</v>
      </c>
      <c r="G7097" s="68"/>
      <c r="K7097" s="68"/>
    </row>
    <row r="7098" spans="1:11" ht="12.75">
      <c r="A7098" s="69">
        <f ca="1">IFERROR(__xludf.DUMMYFUNCTION("""COMPUTED_VALUE"""),108641)</f>
        <v>108641</v>
      </c>
      <c r="B7098" s="4">
        <f ca="1">IFERROR(__xludf.DUMMYFUNCTION("""COMPUTED_VALUE"""),44837)</f>
        <v>44837</v>
      </c>
      <c r="C7098" t="str">
        <f ca="1">IFERROR(__xludf.DUMMYFUNCTION("""COMPUTED_VALUE"""),"БУ Г. ОМСКА ""УДХБ"" 216-РДО от 03.10.2022")</f>
        <v>БУ Г. ОМСКА "УДХБ" 216-РДО от 03.10.2022</v>
      </c>
      <c r="D70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8" t="str">
        <f ca="1">IFERROR(__xludf.DUMMYFUNCTION("""COMPUTED_VALUE"""),"Новый")</f>
        <v>Новый</v>
      </c>
      <c r="G7098" s="68"/>
      <c r="K7098" s="68"/>
    </row>
    <row r="7099" spans="1:11" ht="12.75">
      <c r="A7099" s="69">
        <f ca="1">IFERROR(__xludf.DUMMYFUNCTION("""COMPUTED_VALUE"""),108644)</f>
        <v>108644</v>
      </c>
      <c r="B7099" s="4">
        <f ca="1">IFERROR(__xludf.DUMMYFUNCTION("""COMPUTED_VALUE"""),44837)</f>
        <v>44837</v>
      </c>
      <c r="C7099" t="str">
        <f ca="1">IFERROR(__xludf.DUMMYFUNCTION("""COMPUTED_VALUE"""),"БУ Г. ОМСКА ""УДХБ"" 216-РДО от 03.10.2022")</f>
        <v>БУ Г. ОМСКА "УДХБ" 216-РДО от 03.10.2022</v>
      </c>
      <c r="D70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099" t="str">
        <f ca="1">IFERROR(__xludf.DUMMYFUNCTION("""COMPUTED_VALUE"""),"Новый")</f>
        <v>Новый</v>
      </c>
      <c r="G7099" s="68"/>
      <c r="K7099" s="68"/>
    </row>
    <row r="7100" spans="1:11" ht="12.75">
      <c r="A7100" s="69">
        <f ca="1">IFERROR(__xludf.DUMMYFUNCTION("""COMPUTED_VALUE"""),108646)</f>
        <v>108646</v>
      </c>
      <c r="B7100" s="4">
        <f ca="1">IFERROR(__xludf.DUMMYFUNCTION("""COMPUTED_VALUE"""),44837)</f>
        <v>44837</v>
      </c>
      <c r="C7100" t="str">
        <f ca="1">IFERROR(__xludf.DUMMYFUNCTION("""COMPUTED_VALUE"""),"БУ Г. ОМСКА ""УДХБ"" 216-РДО от 03.10.2022")</f>
        <v>БУ Г. ОМСКА "УДХБ" 216-РДО от 03.10.2022</v>
      </c>
      <c r="D71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0" t="str">
        <f ca="1">IFERROR(__xludf.DUMMYFUNCTION("""COMPUTED_VALUE"""),"Новый")</f>
        <v>Новый</v>
      </c>
      <c r="G7100" s="68"/>
      <c r="K7100" s="68"/>
    </row>
    <row r="7101" spans="1:11" ht="12.75">
      <c r="A7101" s="69">
        <f ca="1">IFERROR(__xludf.DUMMYFUNCTION("""COMPUTED_VALUE"""),108648)</f>
        <v>108648</v>
      </c>
      <c r="B7101" s="4">
        <f ca="1">IFERROR(__xludf.DUMMYFUNCTION("""COMPUTED_VALUE"""),44837)</f>
        <v>44837</v>
      </c>
      <c r="C7101" t="str">
        <f ca="1">IFERROR(__xludf.DUMMYFUNCTION("""COMPUTED_VALUE"""),"БУ Г. ОМСКА ""УДХБ"" 216-РДО от 03.10.2022")</f>
        <v>БУ Г. ОМСКА "УДХБ" 216-РДО от 03.10.2022</v>
      </c>
      <c r="D71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1" t="str">
        <f ca="1">IFERROR(__xludf.DUMMYFUNCTION("""COMPUTED_VALUE"""),"Новый")</f>
        <v>Новый</v>
      </c>
      <c r="G7101" s="68"/>
      <c r="K7101" s="68"/>
    </row>
    <row r="7102" spans="1:11" ht="12.75">
      <c r="A7102" s="69">
        <f ca="1">IFERROR(__xludf.DUMMYFUNCTION("""COMPUTED_VALUE"""),108649)</f>
        <v>108649</v>
      </c>
      <c r="B7102" s="4">
        <f ca="1">IFERROR(__xludf.DUMMYFUNCTION("""COMPUTED_VALUE"""),44837)</f>
        <v>44837</v>
      </c>
      <c r="C7102" t="str">
        <f ca="1">IFERROR(__xludf.DUMMYFUNCTION("""COMPUTED_VALUE"""),"БУ Г. ОМСКА ""УДХБ"" 216-РДО от 03.10.2022")</f>
        <v>БУ Г. ОМСКА "УДХБ" 216-РДО от 03.10.2022</v>
      </c>
      <c r="D71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2" t="str">
        <f ca="1">IFERROR(__xludf.DUMMYFUNCTION("""COMPUTED_VALUE"""),"Новый")</f>
        <v>Новый</v>
      </c>
      <c r="G7102" s="68"/>
      <c r="K7102" s="68"/>
    </row>
    <row r="7103" spans="1:11" ht="12.75">
      <c r="A7103" s="69">
        <f ca="1">IFERROR(__xludf.DUMMYFUNCTION("""COMPUTED_VALUE"""),108650)</f>
        <v>108650</v>
      </c>
      <c r="B7103" s="4">
        <f ca="1">IFERROR(__xludf.DUMMYFUNCTION("""COMPUTED_VALUE"""),44837)</f>
        <v>44837</v>
      </c>
      <c r="C7103" t="str">
        <f ca="1">IFERROR(__xludf.DUMMYFUNCTION("""COMPUTED_VALUE"""),"БУ Г. ОМСКА ""УДХБ"" 216-РДО от 03.10.2022")</f>
        <v>БУ Г. ОМСКА "УДХБ" 216-РДО от 03.10.2022</v>
      </c>
      <c r="D71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3" t="str">
        <f ca="1">IFERROR(__xludf.DUMMYFUNCTION("""COMPUTED_VALUE"""),"Новый")</f>
        <v>Новый</v>
      </c>
      <c r="G7103" s="68"/>
      <c r="K7103" s="68"/>
    </row>
    <row r="7104" spans="1:11" ht="12.75">
      <c r="A7104" s="69">
        <f ca="1">IFERROR(__xludf.DUMMYFUNCTION("""COMPUTED_VALUE"""),108651)</f>
        <v>108651</v>
      </c>
      <c r="B7104" s="4">
        <f ca="1">IFERROR(__xludf.DUMMYFUNCTION("""COMPUTED_VALUE"""),44837)</f>
        <v>44837</v>
      </c>
      <c r="C7104" t="str">
        <f ca="1">IFERROR(__xludf.DUMMYFUNCTION("""COMPUTED_VALUE"""),"БУ Г. ОМСКА ""УДХБ"" 216-РДО от 03.10.2022")</f>
        <v>БУ Г. ОМСКА "УДХБ" 216-РДО от 03.10.2022</v>
      </c>
      <c r="D71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4" t="str">
        <f ca="1">IFERROR(__xludf.DUMMYFUNCTION("""COMPUTED_VALUE"""),"Новый")</f>
        <v>Новый</v>
      </c>
      <c r="G7104" s="68"/>
      <c r="K7104" s="68"/>
    </row>
    <row r="7105" spans="1:11" ht="12.75">
      <c r="A7105" s="69">
        <f ca="1">IFERROR(__xludf.DUMMYFUNCTION("""COMPUTED_VALUE"""),108652)</f>
        <v>108652</v>
      </c>
      <c r="B7105" s="4">
        <f ca="1">IFERROR(__xludf.DUMMYFUNCTION("""COMPUTED_VALUE"""),44837)</f>
        <v>44837</v>
      </c>
      <c r="C7105" t="str">
        <f ca="1">IFERROR(__xludf.DUMMYFUNCTION("""COMPUTED_VALUE"""),"БУ Г. ОМСКА ""УДХБ"" 216-РДО от 03.10.2022")</f>
        <v>БУ Г. ОМСКА "УДХБ" 216-РДО от 03.10.2022</v>
      </c>
      <c r="D71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5" t="str">
        <f ca="1">IFERROR(__xludf.DUMMYFUNCTION("""COMPUTED_VALUE"""),"Новый")</f>
        <v>Новый</v>
      </c>
      <c r="G7105" s="68"/>
      <c r="K7105" s="68"/>
    </row>
    <row r="7106" spans="1:11" ht="12.75">
      <c r="A7106" s="69">
        <f ca="1">IFERROR(__xludf.DUMMYFUNCTION("""COMPUTED_VALUE"""),108653)</f>
        <v>108653</v>
      </c>
      <c r="B7106" s="4">
        <f ca="1">IFERROR(__xludf.DUMMYFUNCTION("""COMPUTED_VALUE"""),44837)</f>
        <v>44837</v>
      </c>
      <c r="C7106" t="str">
        <f ca="1">IFERROR(__xludf.DUMMYFUNCTION("""COMPUTED_VALUE"""),"БУ Г. ОМСКА ""УДХБ"" 216-РДО от 03.10.2022")</f>
        <v>БУ Г. ОМСКА "УДХБ" 216-РДО от 03.10.2022</v>
      </c>
      <c r="D71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6" t="str">
        <f ca="1">IFERROR(__xludf.DUMMYFUNCTION("""COMPUTED_VALUE"""),"Новый")</f>
        <v>Новый</v>
      </c>
      <c r="G7106" s="68"/>
      <c r="K7106" s="68"/>
    </row>
    <row r="7107" spans="1:11" ht="12.75">
      <c r="A7107" s="69">
        <f ca="1">IFERROR(__xludf.DUMMYFUNCTION("""COMPUTED_VALUE"""),108654)</f>
        <v>108654</v>
      </c>
      <c r="B7107" s="4">
        <f ca="1">IFERROR(__xludf.DUMMYFUNCTION("""COMPUTED_VALUE"""),44837)</f>
        <v>44837</v>
      </c>
      <c r="C7107" t="str">
        <f ca="1">IFERROR(__xludf.DUMMYFUNCTION("""COMPUTED_VALUE"""),"БУ Г. ОМСКА ""УДХБ"" 216-РДО от 03.10.2022")</f>
        <v>БУ Г. ОМСКА "УДХБ" 216-РДО от 03.10.2022</v>
      </c>
      <c r="D71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7" t="str">
        <f ca="1">IFERROR(__xludf.DUMMYFUNCTION("""COMPUTED_VALUE"""),"Новый")</f>
        <v>Новый</v>
      </c>
      <c r="G7107" s="68"/>
      <c r="K7107" s="68"/>
    </row>
    <row r="7108" spans="1:11" ht="12.75">
      <c r="A7108" s="69">
        <f ca="1">IFERROR(__xludf.DUMMYFUNCTION("""COMPUTED_VALUE"""),108655)</f>
        <v>108655</v>
      </c>
      <c r="B7108" s="4">
        <f ca="1">IFERROR(__xludf.DUMMYFUNCTION("""COMPUTED_VALUE"""),44837)</f>
        <v>44837</v>
      </c>
      <c r="C7108" t="str">
        <f ca="1">IFERROR(__xludf.DUMMYFUNCTION("""COMPUTED_VALUE"""),"БУ Г. ОМСКА ""УДХБ"" 216-РДО от 03.10.2022")</f>
        <v>БУ Г. ОМСКА "УДХБ" 216-РДО от 03.10.2022</v>
      </c>
      <c r="D71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8" t="str">
        <f ca="1">IFERROR(__xludf.DUMMYFUNCTION("""COMPUTED_VALUE"""),"Новый")</f>
        <v>Новый</v>
      </c>
      <c r="G7108" s="68"/>
      <c r="K7108" s="68"/>
    </row>
    <row r="7109" spans="1:11" ht="12.75">
      <c r="A7109" s="69">
        <f ca="1">IFERROR(__xludf.DUMMYFUNCTION("""COMPUTED_VALUE"""),108656)</f>
        <v>108656</v>
      </c>
      <c r="B7109" s="4">
        <f ca="1">IFERROR(__xludf.DUMMYFUNCTION("""COMPUTED_VALUE"""),44837)</f>
        <v>44837</v>
      </c>
      <c r="C7109" t="str">
        <f ca="1">IFERROR(__xludf.DUMMYFUNCTION("""COMPUTED_VALUE"""),"БУ Г. ОМСКА ""УДХБ"" 216-РДО от 03.10.2022")</f>
        <v>БУ Г. ОМСКА "УДХБ" 216-РДО от 03.10.2022</v>
      </c>
      <c r="D71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09" t="str">
        <f ca="1">IFERROR(__xludf.DUMMYFUNCTION("""COMPUTED_VALUE"""),"Новый")</f>
        <v>Новый</v>
      </c>
      <c r="G7109" s="68"/>
      <c r="K7109" s="68"/>
    </row>
    <row r="7110" spans="1:11" ht="12.75">
      <c r="A7110" s="69">
        <f ca="1">IFERROR(__xludf.DUMMYFUNCTION("""COMPUTED_VALUE"""),108657)</f>
        <v>108657</v>
      </c>
      <c r="B7110" s="4">
        <f ca="1">IFERROR(__xludf.DUMMYFUNCTION("""COMPUTED_VALUE"""),44837)</f>
        <v>44837</v>
      </c>
      <c r="C7110" t="str">
        <f ca="1">IFERROR(__xludf.DUMMYFUNCTION("""COMPUTED_VALUE"""),"БУ Г. ОМСКА ""УДХБ"" 216-РДО от 03.10.2022")</f>
        <v>БУ Г. ОМСКА "УДХБ" 216-РДО от 03.10.2022</v>
      </c>
      <c r="D71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0" t="str">
        <f ca="1">IFERROR(__xludf.DUMMYFUNCTION("""COMPUTED_VALUE"""),"Новый")</f>
        <v>Новый</v>
      </c>
      <c r="G7110" s="68"/>
      <c r="K7110" s="68"/>
    </row>
    <row r="7111" spans="1:11" ht="12.75">
      <c r="A7111" s="69">
        <f ca="1">IFERROR(__xludf.DUMMYFUNCTION("""COMPUTED_VALUE"""),108668)</f>
        <v>108668</v>
      </c>
      <c r="B7111" s="4">
        <f ca="1">IFERROR(__xludf.DUMMYFUNCTION("""COMPUTED_VALUE"""),44837)</f>
        <v>44837</v>
      </c>
      <c r="C7111" t="str">
        <f ca="1">IFERROR(__xludf.DUMMYFUNCTION("""COMPUTED_VALUE"""),"БУ Г. ОМСКА ""УДХБ"" 216-РДО от 03.10.2022")</f>
        <v>БУ Г. ОМСКА "УДХБ" 216-РДО от 03.10.2022</v>
      </c>
      <c r="D71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1" t="str">
        <f ca="1">IFERROR(__xludf.DUMMYFUNCTION("""COMPUTED_VALUE"""),"Новый")</f>
        <v>Новый</v>
      </c>
      <c r="G7111" s="68"/>
      <c r="K7111" s="68"/>
    </row>
    <row r="7112" spans="1:11" ht="12.75">
      <c r="A7112" s="69">
        <f ca="1">IFERROR(__xludf.DUMMYFUNCTION("""COMPUTED_VALUE"""),108669)</f>
        <v>108669</v>
      </c>
      <c r="B7112" s="4">
        <f ca="1">IFERROR(__xludf.DUMMYFUNCTION("""COMPUTED_VALUE"""),44837)</f>
        <v>44837</v>
      </c>
      <c r="C7112" t="str">
        <f ca="1">IFERROR(__xludf.DUMMYFUNCTION("""COMPUTED_VALUE"""),"БУ Г. ОМСКА ""УДХБ"" 216-РДО от 03.10.2022")</f>
        <v>БУ Г. ОМСКА "УДХБ" 216-РДО от 03.10.2022</v>
      </c>
      <c r="D71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2" t="str">
        <f ca="1">IFERROR(__xludf.DUMMYFUNCTION("""COMPUTED_VALUE"""),"Новый")</f>
        <v>Новый</v>
      </c>
      <c r="G7112" s="68"/>
      <c r="K7112" s="68"/>
    </row>
    <row r="7113" spans="1:11" ht="12.75">
      <c r="A7113" s="69">
        <f ca="1">IFERROR(__xludf.DUMMYFUNCTION("""COMPUTED_VALUE"""),108670)</f>
        <v>108670</v>
      </c>
      <c r="B7113" s="4">
        <f ca="1">IFERROR(__xludf.DUMMYFUNCTION("""COMPUTED_VALUE"""),44837)</f>
        <v>44837</v>
      </c>
      <c r="C7113" t="str">
        <f ca="1">IFERROR(__xludf.DUMMYFUNCTION("""COMPUTED_VALUE"""),"БУ Г. ОМСКА ""УДХБ"" 216-РДО от 03.10.2022")</f>
        <v>БУ Г. ОМСКА "УДХБ" 216-РДО от 03.10.2022</v>
      </c>
      <c r="D71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3" t="str">
        <f ca="1">IFERROR(__xludf.DUMMYFUNCTION("""COMPUTED_VALUE"""),"Новый")</f>
        <v>Новый</v>
      </c>
      <c r="G7113" s="68"/>
      <c r="K7113" s="68"/>
    </row>
    <row r="7114" spans="1:11" ht="12.75">
      <c r="A7114" s="69">
        <f ca="1">IFERROR(__xludf.DUMMYFUNCTION("""COMPUTED_VALUE"""),108671)</f>
        <v>108671</v>
      </c>
      <c r="B7114" s="4">
        <f ca="1">IFERROR(__xludf.DUMMYFUNCTION("""COMPUTED_VALUE"""),44837)</f>
        <v>44837</v>
      </c>
      <c r="C7114" t="str">
        <f ca="1">IFERROR(__xludf.DUMMYFUNCTION("""COMPUTED_VALUE"""),"БУ Г. ОМСКА ""УДХБ"" 216-РДО от 03.10.2022")</f>
        <v>БУ Г. ОМСКА "УДХБ" 216-РДО от 03.10.2022</v>
      </c>
      <c r="D71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4" t="str">
        <f ca="1">IFERROR(__xludf.DUMMYFUNCTION("""COMPUTED_VALUE"""),"Новый")</f>
        <v>Новый</v>
      </c>
      <c r="G7114" s="68"/>
      <c r="K7114" s="68"/>
    </row>
    <row r="7115" spans="1:11" ht="12.75">
      <c r="A7115" s="69">
        <f ca="1">IFERROR(__xludf.DUMMYFUNCTION("""COMPUTED_VALUE"""),108672)</f>
        <v>108672</v>
      </c>
      <c r="B7115" s="4">
        <f ca="1">IFERROR(__xludf.DUMMYFUNCTION("""COMPUTED_VALUE"""),44837)</f>
        <v>44837</v>
      </c>
      <c r="C7115" t="str">
        <f ca="1">IFERROR(__xludf.DUMMYFUNCTION("""COMPUTED_VALUE"""),"БУ Г. ОМСКА ""УДХБ"" 216-РДО от 03.10.2022")</f>
        <v>БУ Г. ОМСКА "УДХБ" 216-РДО от 03.10.2022</v>
      </c>
      <c r="D71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5" t="str">
        <f ca="1">IFERROR(__xludf.DUMMYFUNCTION("""COMPUTED_VALUE"""),"Новый")</f>
        <v>Новый</v>
      </c>
      <c r="G7115" s="68"/>
      <c r="K7115" s="68"/>
    </row>
    <row r="7116" spans="1:11" ht="12.75">
      <c r="A7116" s="69">
        <f ca="1">IFERROR(__xludf.DUMMYFUNCTION("""COMPUTED_VALUE"""),108673)</f>
        <v>108673</v>
      </c>
      <c r="B7116" s="4">
        <f ca="1">IFERROR(__xludf.DUMMYFUNCTION("""COMPUTED_VALUE"""),44837)</f>
        <v>44837</v>
      </c>
      <c r="C7116" t="str">
        <f ca="1">IFERROR(__xludf.DUMMYFUNCTION("""COMPUTED_VALUE"""),"БУ Г. ОМСКА ""УДХБ"" 216-РДО от 03.10.2022")</f>
        <v>БУ Г. ОМСКА "УДХБ" 216-РДО от 03.10.2022</v>
      </c>
      <c r="D71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6" t="str">
        <f ca="1">IFERROR(__xludf.DUMMYFUNCTION("""COMPUTED_VALUE"""),"Новый")</f>
        <v>Новый</v>
      </c>
      <c r="G7116" s="68"/>
      <c r="K7116" s="68"/>
    </row>
    <row r="7117" spans="1:11" ht="12.75">
      <c r="A7117" s="69">
        <f ca="1">IFERROR(__xludf.DUMMYFUNCTION("""COMPUTED_VALUE"""),108674)</f>
        <v>108674</v>
      </c>
      <c r="B7117" s="4">
        <f ca="1">IFERROR(__xludf.DUMMYFUNCTION("""COMPUTED_VALUE"""),44837)</f>
        <v>44837</v>
      </c>
      <c r="C7117" t="str">
        <f ca="1">IFERROR(__xludf.DUMMYFUNCTION("""COMPUTED_VALUE"""),"БУ Г. ОМСКА ""УДХБ"" 216-РДО от 03.10.2022")</f>
        <v>БУ Г. ОМСКА "УДХБ" 216-РДО от 03.10.2022</v>
      </c>
      <c r="D71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7" t="str">
        <f ca="1">IFERROR(__xludf.DUMMYFUNCTION("""COMPUTED_VALUE"""),"Новый")</f>
        <v>Новый</v>
      </c>
      <c r="G7117" s="68"/>
      <c r="K7117" s="68"/>
    </row>
    <row r="7118" spans="1:11" ht="12.75">
      <c r="A7118" s="69">
        <f ca="1">IFERROR(__xludf.DUMMYFUNCTION("""COMPUTED_VALUE"""),108675)</f>
        <v>108675</v>
      </c>
      <c r="B7118" s="4">
        <f ca="1">IFERROR(__xludf.DUMMYFUNCTION("""COMPUTED_VALUE"""),44837)</f>
        <v>44837</v>
      </c>
      <c r="C7118" t="str">
        <f ca="1">IFERROR(__xludf.DUMMYFUNCTION("""COMPUTED_VALUE"""),"БУ Г. ОМСКА ""УДХБ"" 216-РДО от 03.10.2022")</f>
        <v>БУ Г. ОМСКА "УДХБ" 216-РДО от 03.10.2022</v>
      </c>
      <c r="D71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8" t="str">
        <f ca="1">IFERROR(__xludf.DUMMYFUNCTION("""COMPUTED_VALUE"""),"Новый")</f>
        <v>Новый</v>
      </c>
      <c r="G7118" s="68"/>
      <c r="K7118" s="68"/>
    </row>
    <row r="7119" spans="1:11" ht="12.75">
      <c r="A7119" s="69">
        <f ca="1">IFERROR(__xludf.DUMMYFUNCTION("""COMPUTED_VALUE"""),108676)</f>
        <v>108676</v>
      </c>
      <c r="B7119" s="4">
        <f ca="1">IFERROR(__xludf.DUMMYFUNCTION("""COMPUTED_VALUE"""),44837)</f>
        <v>44837</v>
      </c>
      <c r="C7119" t="str">
        <f ca="1">IFERROR(__xludf.DUMMYFUNCTION("""COMPUTED_VALUE"""),"БУ Г. ОМСКА ""УДХБ"" 216-РДО от 03.10.2022")</f>
        <v>БУ Г. ОМСКА "УДХБ" 216-РДО от 03.10.2022</v>
      </c>
      <c r="D71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19" t="str">
        <f ca="1">IFERROR(__xludf.DUMMYFUNCTION("""COMPUTED_VALUE"""),"Новый")</f>
        <v>Новый</v>
      </c>
      <c r="G7119" s="68"/>
      <c r="K7119" s="68"/>
    </row>
    <row r="7120" spans="1:11" ht="12.75">
      <c r="A7120" s="69">
        <f ca="1">IFERROR(__xludf.DUMMYFUNCTION("""COMPUTED_VALUE"""),108677)</f>
        <v>108677</v>
      </c>
      <c r="B7120" s="4">
        <f ca="1">IFERROR(__xludf.DUMMYFUNCTION("""COMPUTED_VALUE"""),44837)</f>
        <v>44837</v>
      </c>
      <c r="C7120" t="str">
        <f ca="1">IFERROR(__xludf.DUMMYFUNCTION("""COMPUTED_VALUE"""),"БУ Г. ОМСКА ""УДХБ"" 216-РДО от 03.10.2022")</f>
        <v>БУ Г. ОМСКА "УДХБ" 216-РДО от 03.10.2022</v>
      </c>
      <c r="D71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0" t="str">
        <f ca="1">IFERROR(__xludf.DUMMYFUNCTION("""COMPUTED_VALUE"""),"Новый")</f>
        <v>Новый</v>
      </c>
      <c r="G7120" s="68"/>
      <c r="K7120" s="68"/>
    </row>
    <row r="7121" spans="1:11" ht="12.75">
      <c r="A7121" s="69">
        <f ca="1">IFERROR(__xludf.DUMMYFUNCTION("""COMPUTED_VALUE"""),108678)</f>
        <v>108678</v>
      </c>
      <c r="B7121" s="4">
        <f ca="1">IFERROR(__xludf.DUMMYFUNCTION("""COMPUTED_VALUE"""),44837)</f>
        <v>44837</v>
      </c>
      <c r="C7121" t="str">
        <f ca="1">IFERROR(__xludf.DUMMYFUNCTION("""COMPUTED_VALUE"""),"БУ Г. ОМСКА ""УДХБ"" 216-РДО от 03.10.2022")</f>
        <v>БУ Г. ОМСКА "УДХБ" 216-РДО от 03.10.2022</v>
      </c>
      <c r="D71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1" t="str">
        <f ca="1">IFERROR(__xludf.DUMMYFUNCTION("""COMPUTED_VALUE"""),"Новый")</f>
        <v>Новый</v>
      </c>
      <c r="G7121" s="68"/>
      <c r="K7121" s="68"/>
    </row>
    <row r="7122" spans="1:11" ht="12.75">
      <c r="A7122" s="69">
        <f ca="1">IFERROR(__xludf.DUMMYFUNCTION("""COMPUTED_VALUE"""),108679)</f>
        <v>108679</v>
      </c>
      <c r="B7122" s="4">
        <f ca="1">IFERROR(__xludf.DUMMYFUNCTION("""COMPUTED_VALUE"""),44837)</f>
        <v>44837</v>
      </c>
      <c r="C7122" t="str">
        <f ca="1">IFERROR(__xludf.DUMMYFUNCTION("""COMPUTED_VALUE"""),"БУ Г. ОМСКА ""УДХБ"" 216-РДО от 03.10.2022")</f>
        <v>БУ Г. ОМСКА "УДХБ" 216-РДО от 03.10.2022</v>
      </c>
      <c r="D71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2" t="str">
        <f ca="1">IFERROR(__xludf.DUMMYFUNCTION("""COMPUTED_VALUE"""),"Новый")</f>
        <v>Новый</v>
      </c>
      <c r="G7122" s="68"/>
      <c r="K7122" s="68"/>
    </row>
    <row r="7123" spans="1:11" ht="12.75">
      <c r="A7123" s="69">
        <f ca="1">IFERROR(__xludf.DUMMYFUNCTION("""COMPUTED_VALUE"""),108680)</f>
        <v>108680</v>
      </c>
      <c r="B7123" s="4">
        <f ca="1">IFERROR(__xludf.DUMMYFUNCTION("""COMPUTED_VALUE"""),44837)</f>
        <v>44837</v>
      </c>
      <c r="C7123" t="str">
        <f ca="1">IFERROR(__xludf.DUMMYFUNCTION("""COMPUTED_VALUE"""),"БУ Г. ОМСКА ""УДХБ"" 216-РДО от 03.10.2022")</f>
        <v>БУ Г. ОМСКА "УДХБ" 216-РДО от 03.10.2022</v>
      </c>
      <c r="D71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3" t="str">
        <f ca="1">IFERROR(__xludf.DUMMYFUNCTION("""COMPUTED_VALUE"""),"Новый")</f>
        <v>Новый</v>
      </c>
      <c r="G7123" s="68"/>
      <c r="K7123" s="68"/>
    </row>
    <row r="7124" spans="1:11" ht="12.75">
      <c r="A7124" s="69">
        <f ca="1">IFERROR(__xludf.DUMMYFUNCTION("""COMPUTED_VALUE"""),108681)</f>
        <v>108681</v>
      </c>
      <c r="B7124" s="4">
        <f ca="1">IFERROR(__xludf.DUMMYFUNCTION("""COMPUTED_VALUE"""),44837)</f>
        <v>44837</v>
      </c>
      <c r="C7124" t="str">
        <f ca="1">IFERROR(__xludf.DUMMYFUNCTION("""COMPUTED_VALUE"""),"БУ Г. ОМСКА ""УДХБ"" 216-РДО от 03.10.2022")</f>
        <v>БУ Г. ОМСКА "УДХБ" 216-РДО от 03.10.2022</v>
      </c>
      <c r="D71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4" t="str">
        <f ca="1">IFERROR(__xludf.DUMMYFUNCTION("""COMPUTED_VALUE"""),"Новый")</f>
        <v>Новый</v>
      </c>
      <c r="G7124" s="68"/>
      <c r="K7124" s="68"/>
    </row>
    <row r="7125" spans="1:11" ht="12.75">
      <c r="A7125" s="69">
        <f ca="1">IFERROR(__xludf.DUMMYFUNCTION("""COMPUTED_VALUE"""),108682)</f>
        <v>108682</v>
      </c>
      <c r="B7125" s="4">
        <f ca="1">IFERROR(__xludf.DUMMYFUNCTION("""COMPUTED_VALUE"""),44837)</f>
        <v>44837</v>
      </c>
      <c r="C7125" t="str">
        <f ca="1">IFERROR(__xludf.DUMMYFUNCTION("""COMPUTED_VALUE"""),"БУ Г. ОМСКА ""УДХБ"" 216-РДО от 03.10.2022")</f>
        <v>БУ Г. ОМСКА "УДХБ" 216-РДО от 03.10.2022</v>
      </c>
      <c r="D71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5" t="str">
        <f ca="1">IFERROR(__xludf.DUMMYFUNCTION("""COMPUTED_VALUE"""),"Новый")</f>
        <v>Новый</v>
      </c>
      <c r="G7125" s="68"/>
      <c r="K7125" s="68"/>
    </row>
    <row r="7126" spans="1:11" ht="12.75">
      <c r="A7126" s="69">
        <f ca="1">IFERROR(__xludf.DUMMYFUNCTION("""COMPUTED_VALUE"""),108683)</f>
        <v>108683</v>
      </c>
      <c r="B7126" s="4">
        <f ca="1">IFERROR(__xludf.DUMMYFUNCTION("""COMPUTED_VALUE"""),44837)</f>
        <v>44837</v>
      </c>
      <c r="C7126" t="str">
        <f ca="1">IFERROR(__xludf.DUMMYFUNCTION("""COMPUTED_VALUE"""),"БУ Г. ОМСКА ""УДХБ"" 216-РДО от 03.10.2022")</f>
        <v>БУ Г. ОМСКА "УДХБ" 216-РДО от 03.10.2022</v>
      </c>
      <c r="D71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6" t="str">
        <f ca="1">IFERROR(__xludf.DUMMYFUNCTION("""COMPUTED_VALUE"""),"Новый")</f>
        <v>Новый</v>
      </c>
      <c r="G7126" s="68"/>
      <c r="K7126" s="68"/>
    </row>
    <row r="7127" spans="1:11" ht="12.75">
      <c r="A7127" s="69">
        <f ca="1">IFERROR(__xludf.DUMMYFUNCTION("""COMPUTED_VALUE"""),108684)</f>
        <v>108684</v>
      </c>
      <c r="B7127" s="4">
        <f ca="1">IFERROR(__xludf.DUMMYFUNCTION("""COMPUTED_VALUE"""),44837)</f>
        <v>44837</v>
      </c>
      <c r="C7127" t="str">
        <f ca="1">IFERROR(__xludf.DUMMYFUNCTION("""COMPUTED_VALUE"""),"БУ Г. ОМСКА ""УДХБ"" 216-РДО от 03.10.2022")</f>
        <v>БУ Г. ОМСКА "УДХБ" 216-РДО от 03.10.2022</v>
      </c>
      <c r="D71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7" t="str">
        <f ca="1">IFERROR(__xludf.DUMMYFUNCTION("""COMPUTED_VALUE"""),"Новый")</f>
        <v>Новый</v>
      </c>
      <c r="G7127" s="68"/>
      <c r="K7127" s="68"/>
    </row>
    <row r="7128" spans="1:11" ht="12.75">
      <c r="A7128" s="69">
        <f ca="1">IFERROR(__xludf.DUMMYFUNCTION("""COMPUTED_VALUE"""),108685)</f>
        <v>108685</v>
      </c>
      <c r="B7128" s="4">
        <f ca="1">IFERROR(__xludf.DUMMYFUNCTION("""COMPUTED_VALUE"""),44837)</f>
        <v>44837</v>
      </c>
      <c r="C7128" t="str">
        <f ca="1">IFERROR(__xludf.DUMMYFUNCTION("""COMPUTED_VALUE"""),"БУ Г. ОМСКА ""УДХБ"" 216-РДО от 03.10.2022")</f>
        <v>БУ Г. ОМСКА "УДХБ" 216-РДО от 03.10.2022</v>
      </c>
      <c r="D71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8" t="str">
        <f ca="1">IFERROR(__xludf.DUMMYFUNCTION("""COMPUTED_VALUE"""),"Новый")</f>
        <v>Новый</v>
      </c>
      <c r="G7128" s="68"/>
      <c r="K7128" s="68"/>
    </row>
    <row r="7129" spans="1:11" ht="12.75">
      <c r="A7129" s="69">
        <f ca="1">IFERROR(__xludf.DUMMYFUNCTION("""COMPUTED_VALUE"""),108686)</f>
        <v>108686</v>
      </c>
      <c r="B7129" s="4">
        <f ca="1">IFERROR(__xludf.DUMMYFUNCTION("""COMPUTED_VALUE"""),44837)</f>
        <v>44837</v>
      </c>
      <c r="C7129" t="str">
        <f ca="1">IFERROR(__xludf.DUMMYFUNCTION("""COMPUTED_VALUE"""),"БУ Г. ОМСКА ""УДХБ"" 216-РДО от 03.10.2022")</f>
        <v>БУ Г. ОМСКА "УДХБ" 216-РДО от 03.10.2022</v>
      </c>
      <c r="D71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29" t="str">
        <f ca="1">IFERROR(__xludf.DUMMYFUNCTION("""COMPUTED_VALUE"""),"Новый")</f>
        <v>Новый</v>
      </c>
      <c r="G7129" s="68"/>
      <c r="K7129" s="68"/>
    </row>
    <row r="7130" spans="1:11" ht="12.75">
      <c r="A7130" s="69">
        <f ca="1">IFERROR(__xludf.DUMMYFUNCTION("""COMPUTED_VALUE"""),108687)</f>
        <v>108687</v>
      </c>
      <c r="B7130" s="4">
        <f ca="1">IFERROR(__xludf.DUMMYFUNCTION("""COMPUTED_VALUE"""),44837)</f>
        <v>44837</v>
      </c>
      <c r="C7130" t="str">
        <f ca="1">IFERROR(__xludf.DUMMYFUNCTION("""COMPUTED_VALUE"""),"БУ Г. ОМСКА ""УДХБ"" 216-РДО от 03.10.2022")</f>
        <v>БУ Г. ОМСКА "УДХБ" 216-РДО от 03.10.2022</v>
      </c>
      <c r="D71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0" t="str">
        <f ca="1">IFERROR(__xludf.DUMMYFUNCTION("""COMPUTED_VALUE"""),"Новый")</f>
        <v>Новый</v>
      </c>
      <c r="G7130" s="68"/>
      <c r="K7130" s="68"/>
    </row>
    <row r="7131" spans="1:11" ht="12.75">
      <c r="A7131" s="69">
        <f ca="1">IFERROR(__xludf.DUMMYFUNCTION("""COMPUTED_VALUE"""),108688)</f>
        <v>108688</v>
      </c>
      <c r="B7131" s="4">
        <f ca="1">IFERROR(__xludf.DUMMYFUNCTION("""COMPUTED_VALUE"""),44837)</f>
        <v>44837</v>
      </c>
      <c r="C7131" t="str">
        <f ca="1">IFERROR(__xludf.DUMMYFUNCTION("""COMPUTED_VALUE"""),"БУ Г. ОМСКА ""УДХБ"" 216-РДО от 03.10.2022")</f>
        <v>БУ Г. ОМСКА "УДХБ" 216-РДО от 03.10.2022</v>
      </c>
      <c r="D71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1" t="str">
        <f ca="1">IFERROR(__xludf.DUMMYFUNCTION("""COMPUTED_VALUE"""),"Новый")</f>
        <v>Новый</v>
      </c>
      <c r="G7131" s="68"/>
      <c r="K7131" s="68"/>
    </row>
    <row r="7132" spans="1:11" ht="12.75">
      <c r="A7132" s="69">
        <f ca="1">IFERROR(__xludf.DUMMYFUNCTION("""COMPUTED_VALUE"""),108689)</f>
        <v>108689</v>
      </c>
      <c r="B7132" s="4">
        <f ca="1">IFERROR(__xludf.DUMMYFUNCTION("""COMPUTED_VALUE"""),44837)</f>
        <v>44837</v>
      </c>
      <c r="C7132" t="str">
        <f ca="1">IFERROR(__xludf.DUMMYFUNCTION("""COMPUTED_VALUE"""),"БУ Г. ОМСКА ""УДХБ"" 216-РДО от 03.10.2022")</f>
        <v>БУ Г. ОМСКА "УДХБ" 216-РДО от 03.10.2022</v>
      </c>
      <c r="D71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2" t="str">
        <f ca="1">IFERROR(__xludf.DUMMYFUNCTION("""COMPUTED_VALUE"""),"Новый")</f>
        <v>Новый</v>
      </c>
      <c r="G7132" s="68"/>
      <c r="K7132" s="68"/>
    </row>
    <row r="7133" spans="1:11" ht="12.75">
      <c r="A7133" s="69">
        <f ca="1">IFERROR(__xludf.DUMMYFUNCTION("""COMPUTED_VALUE"""),108690)</f>
        <v>108690</v>
      </c>
      <c r="B7133" s="4">
        <f ca="1">IFERROR(__xludf.DUMMYFUNCTION("""COMPUTED_VALUE"""),44837)</f>
        <v>44837</v>
      </c>
      <c r="C7133" t="str">
        <f ca="1">IFERROR(__xludf.DUMMYFUNCTION("""COMPUTED_VALUE"""),"БУ Г. ОМСКА ""УДХБ"" 216-РДО от 03.10.2022")</f>
        <v>БУ Г. ОМСКА "УДХБ" 216-РДО от 03.10.2022</v>
      </c>
      <c r="D71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3" t="str">
        <f ca="1">IFERROR(__xludf.DUMMYFUNCTION("""COMPUTED_VALUE"""),"Новый")</f>
        <v>Новый</v>
      </c>
      <c r="G7133" s="68"/>
      <c r="K7133" s="68"/>
    </row>
    <row r="7134" spans="1:11" ht="12.75">
      <c r="A7134" s="69">
        <f ca="1">IFERROR(__xludf.DUMMYFUNCTION("""COMPUTED_VALUE"""),108691)</f>
        <v>108691</v>
      </c>
      <c r="B7134" s="4">
        <f ca="1">IFERROR(__xludf.DUMMYFUNCTION("""COMPUTED_VALUE"""),44837)</f>
        <v>44837</v>
      </c>
      <c r="C7134" t="str">
        <f ca="1">IFERROR(__xludf.DUMMYFUNCTION("""COMPUTED_VALUE"""),"БУ Г. ОМСКА ""УДХБ"" 216-РДО от 03.10.2022")</f>
        <v>БУ Г. ОМСКА "УДХБ" 216-РДО от 03.10.2022</v>
      </c>
      <c r="D71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4" t="str">
        <f ca="1">IFERROR(__xludf.DUMMYFUNCTION("""COMPUTED_VALUE"""),"Новый")</f>
        <v>Новый</v>
      </c>
      <c r="G7134" s="68"/>
      <c r="K7134" s="68"/>
    </row>
    <row r="7135" spans="1:11" ht="12.75">
      <c r="A7135" s="69">
        <f ca="1">IFERROR(__xludf.DUMMYFUNCTION("""COMPUTED_VALUE"""),108692)</f>
        <v>108692</v>
      </c>
      <c r="B7135" s="4">
        <f ca="1">IFERROR(__xludf.DUMMYFUNCTION("""COMPUTED_VALUE"""),44837)</f>
        <v>44837</v>
      </c>
      <c r="C7135" t="str">
        <f ca="1">IFERROR(__xludf.DUMMYFUNCTION("""COMPUTED_VALUE"""),"БУ Г. ОМСКА ""УДХБ"" 216-РДО от 03.10.2022")</f>
        <v>БУ Г. ОМСКА "УДХБ" 216-РДО от 03.10.2022</v>
      </c>
      <c r="D71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5" t="str">
        <f ca="1">IFERROR(__xludf.DUMMYFUNCTION("""COMPUTED_VALUE"""),"Новый")</f>
        <v>Новый</v>
      </c>
      <c r="G7135" s="68"/>
      <c r="K7135" s="68"/>
    </row>
    <row r="7136" spans="1:11" ht="12.75">
      <c r="A7136" s="69">
        <f ca="1">IFERROR(__xludf.DUMMYFUNCTION("""COMPUTED_VALUE"""),108693)</f>
        <v>108693</v>
      </c>
      <c r="B7136" s="4">
        <f ca="1">IFERROR(__xludf.DUMMYFUNCTION("""COMPUTED_VALUE"""),44837)</f>
        <v>44837</v>
      </c>
      <c r="C7136" t="str">
        <f ca="1">IFERROR(__xludf.DUMMYFUNCTION("""COMPUTED_VALUE"""),"БУ Г. ОМСКА ""УДХБ"" 216-РДО от 03.10.2022")</f>
        <v>БУ Г. ОМСКА "УДХБ" 216-РДО от 03.10.2022</v>
      </c>
      <c r="D71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6" t="str">
        <f ca="1">IFERROR(__xludf.DUMMYFUNCTION("""COMPUTED_VALUE"""),"Новый")</f>
        <v>Новый</v>
      </c>
      <c r="G7136" s="68"/>
      <c r="K7136" s="68"/>
    </row>
    <row r="7137" spans="1:17" ht="12.75">
      <c r="A7137" s="69">
        <f ca="1">IFERROR(__xludf.DUMMYFUNCTION("""COMPUTED_VALUE"""),108694)</f>
        <v>108694</v>
      </c>
      <c r="B7137" s="4">
        <f ca="1">IFERROR(__xludf.DUMMYFUNCTION("""COMPUTED_VALUE"""),44837)</f>
        <v>44837</v>
      </c>
      <c r="C7137" t="str">
        <f ca="1">IFERROR(__xludf.DUMMYFUNCTION("""COMPUTED_VALUE"""),"БУ Г. ОМСКА ""УДХБ"" 216-РДО от 03.10.2022")</f>
        <v>БУ Г. ОМСКА "УДХБ" 216-РДО от 03.10.2022</v>
      </c>
      <c r="D71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7" t="str">
        <f ca="1">IFERROR(__xludf.DUMMYFUNCTION("""COMPUTED_VALUE"""),"Новый")</f>
        <v>Новый</v>
      </c>
      <c r="G7137" s="68"/>
      <c r="K7137" s="68"/>
    </row>
    <row r="7138" spans="1:17" ht="12.75">
      <c r="A7138" s="69">
        <f ca="1">IFERROR(__xludf.DUMMYFUNCTION("""COMPUTED_VALUE"""),108695)</f>
        <v>108695</v>
      </c>
      <c r="B7138" s="4">
        <f ca="1">IFERROR(__xludf.DUMMYFUNCTION("""COMPUTED_VALUE"""),44837)</f>
        <v>44837</v>
      </c>
      <c r="C7138" t="str">
        <f ca="1">IFERROR(__xludf.DUMMYFUNCTION("""COMPUTED_VALUE"""),"БУ Г. ОМСКА ""УДХБ"" 216-РДО от 03.10.2022")</f>
        <v>БУ Г. ОМСКА "УДХБ" 216-РДО от 03.10.2022</v>
      </c>
      <c r="D71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8" t="str">
        <f ca="1">IFERROR(__xludf.DUMMYFUNCTION("""COMPUTED_VALUE"""),"Новый")</f>
        <v>Новый</v>
      </c>
      <c r="G7138" s="68"/>
      <c r="K7138" s="68"/>
    </row>
    <row r="7139" spans="1:17" ht="12.75">
      <c r="A7139" s="69">
        <f ca="1">IFERROR(__xludf.DUMMYFUNCTION("""COMPUTED_VALUE"""),108696)</f>
        <v>108696</v>
      </c>
      <c r="B7139" s="4">
        <f ca="1">IFERROR(__xludf.DUMMYFUNCTION("""COMPUTED_VALUE"""),44837)</f>
        <v>44837</v>
      </c>
      <c r="C7139" t="str">
        <f ca="1">IFERROR(__xludf.DUMMYFUNCTION("""COMPUTED_VALUE"""),"БУ Г. ОМСКА ""УДХБ"" 216-РДО от 03.10.2022")</f>
        <v>БУ Г. ОМСКА "УДХБ" 216-РДО от 03.10.2022</v>
      </c>
      <c r="D71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39" t="str">
        <f ca="1">IFERROR(__xludf.DUMMYFUNCTION("""COMPUTED_VALUE"""),"Новый")</f>
        <v>Новый</v>
      </c>
      <c r="G7139" s="68"/>
      <c r="K7139" s="68"/>
    </row>
    <row r="7140" spans="1:17" ht="12.75">
      <c r="A7140" s="69">
        <f ca="1">IFERROR(__xludf.DUMMYFUNCTION("""COMPUTED_VALUE"""),108697)</f>
        <v>108697</v>
      </c>
      <c r="B7140" s="4">
        <f ca="1">IFERROR(__xludf.DUMMYFUNCTION("""COMPUTED_VALUE"""),44837)</f>
        <v>44837</v>
      </c>
      <c r="C7140" t="str">
        <f ca="1">IFERROR(__xludf.DUMMYFUNCTION("""COMPUTED_VALUE"""),"БУ Г. ОМСКА ""УДХБ"" 216-РДО от 03.10.2022")</f>
        <v>БУ Г. ОМСКА "УДХБ" 216-РДО от 03.10.2022</v>
      </c>
      <c r="D71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0" t="str">
        <f ca="1">IFERROR(__xludf.DUMMYFUNCTION("""COMPUTED_VALUE"""),"Новый")</f>
        <v>Новый</v>
      </c>
      <c r="G7140" s="68"/>
      <c r="K7140" s="68"/>
    </row>
    <row r="7141" spans="1:17" ht="12.75">
      <c r="A7141" s="69">
        <f ca="1">IFERROR(__xludf.DUMMYFUNCTION("""COMPUTED_VALUE"""),108698)</f>
        <v>108698</v>
      </c>
      <c r="B7141" s="4">
        <f ca="1">IFERROR(__xludf.DUMMYFUNCTION("""COMPUTED_VALUE"""),44837)</f>
        <v>44837</v>
      </c>
      <c r="C7141" t="str">
        <f ca="1">IFERROR(__xludf.DUMMYFUNCTION("""COMPUTED_VALUE"""),"БУ Г. ОМСКА ""УДХБ"" 216-РДО от 03.10.2022")</f>
        <v>БУ Г. ОМСКА "УДХБ" 216-РДО от 03.10.2022</v>
      </c>
      <c r="D71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1" t="str">
        <f ca="1">IFERROR(__xludf.DUMMYFUNCTION("""COMPUTED_VALUE"""),"Новый")</f>
        <v>Новый</v>
      </c>
      <c r="G7141" s="68"/>
      <c r="K7141" s="68"/>
    </row>
    <row r="7142" spans="1:17" ht="12.75">
      <c r="A7142" s="69">
        <f ca="1">IFERROR(__xludf.DUMMYFUNCTION("""COMPUTED_VALUE"""),108699)</f>
        <v>108699</v>
      </c>
      <c r="B7142" s="4">
        <f ca="1">IFERROR(__xludf.DUMMYFUNCTION("""COMPUTED_VALUE"""),44837)</f>
        <v>44837</v>
      </c>
      <c r="C7142" t="str">
        <f ca="1">IFERROR(__xludf.DUMMYFUNCTION("""COMPUTED_VALUE"""),"БУ Г. ОМСКА ""УДХБ"" 216-РДО от 03.10.2022")</f>
        <v>БУ Г. ОМСКА "УДХБ" 216-РДО от 03.10.2022</v>
      </c>
      <c r="D71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2" t="str">
        <f ca="1">IFERROR(__xludf.DUMMYFUNCTION("""COMPUTED_VALUE"""),"Новый")</f>
        <v>Новый</v>
      </c>
      <c r="G7142" s="68"/>
      <c r="K7142" s="68"/>
    </row>
    <row r="7143" spans="1:17" ht="12.75">
      <c r="A7143" s="69">
        <f ca="1">IFERROR(__xludf.DUMMYFUNCTION("""COMPUTED_VALUE"""),108700)</f>
        <v>108700</v>
      </c>
      <c r="B7143" s="4">
        <f ca="1">IFERROR(__xludf.DUMMYFUNCTION("""COMPUTED_VALUE"""),44837)</f>
        <v>44837</v>
      </c>
      <c r="C7143" t="str">
        <f ca="1">IFERROR(__xludf.DUMMYFUNCTION("""COMPUTED_VALUE"""),"БУ Г. ОМСКА ""УДХБ"" 216-РДО от 03.10.2022")</f>
        <v>БУ Г. ОМСКА "УДХБ" 216-РДО от 03.10.2022</v>
      </c>
      <c r="D71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3" t="str">
        <f ca="1">IFERROR(__xludf.DUMMYFUNCTION("""COMPUTED_VALUE"""),"Новый")</f>
        <v>Новый</v>
      </c>
      <c r="G7143" s="68"/>
      <c r="K7143" s="68"/>
    </row>
    <row r="7144" spans="1:17" ht="12.75">
      <c r="A7144" s="69">
        <f ca="1">IFERROR(__xludf.DUMMYFUNCTION("""COMPUTED_VALUE"""),108701)</f>
        <v>108701</v>
      </c>
      <c r="B7144" s="4">
        <f ca="1">IFERROR(__xludf.DUMMYFUNCTION("""COMPUTED_VALUE"""),44837)</f>
        <v>44837</v>
      </c>
      <c r="C7144" t="str">
        <f ca="1">IFERROR(__xludf.DUMMYFUNCTION("""COMPUTED_VALUE"""),"БУ Г. ОМСКА ""УДХБ"" 216-РДО от 03.10.2022")</f>
        <v>БУ Г. ОМСКА "УДХБ" 216-РДО от 03.10.2022</v>
      </c>
      <c r="D71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4" t="str">
        <f ca="1">IFERROR(__xludf.DUMMYFUNCTION("""COMPUTED_VALUE"""),"Новый")</f>
        <v>Новый</v>
      </c>
      <c r="G7144" s="68"/>
      <c r="K7144" s="68"/>
    </row>
    <row r="7145" spans="1:17" ht="12.75">
      <c r="A7145" s="69">
        <f ca="1">IFERROR(__xludf.DUMMYFUNCTION("""COMPUTED_VALUE"""),108702)</f>
        <v>108702</v>
      </c>
      <c r="B7145" s="4">
        <f ca="1">IFERROR(__xludf.DUMMYFUNCTION("""COMPUTED_VALUE"""),44837)</f>
        <v>44837</v>
      </c>
      <c r="C7145" t="str">
        <f ca="1">IFERROR(__xludf.DUMMYFUNCTION("""COMPUTED_VALUE"""),"БУ Г. ОМСКА ""УДХБ"" 216-РДО от 03.10.2022")</f>
        <v>БУ Г. ОМСКА "УДХБ" 216-РДО от 03.10.2022</v>
      </c>
      <c r="D71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5" t="str">
        <f ca="1">IFERROR(__xludf.DUMMYFUNCTION("""COMPUTED_VALUE"""),"Новый")</f>
        <v>Новый</v>
      </c>
      <c r="G7145" s="68"/>
      <c r="K7145" s="68"/>
    </row>
    <row r="7146" spans="1:17" ht="12.75">
      <c r="A7146" s="69">
        <f ca="1">IFERROR(__xludf.DUMMYFUNCTION("""COMPUTED_VALUE"""),108703)</f>
        <v>108703</v>
      </c>
      <c r="B7146" s="4">
        <f ca="1">IFERROR(__xludf.DUMMYFUNCTION("""COMPUTED_VALUE"""),44837)</f>
        <v>44837</v>
      </c>
      <c r="C7146" t="str">
        <f ca="1">IFERROR(__xludf.DUMMYFUNCTION("""COMPUTED_VALUE"""),"БУ Г. ОМСКА ""УДХБ"" 216-РДО от 03.10.2022")</f>
        <v>БУ Г. ОМСКА "УДХБ" 216-РДО от 03.10.2022</v>
      </c>
      <c r="D71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6" t="str">
        <f ca="1">IFERROR(__xludf.DUMMYFUNCTION("""COMPUTED_VALUE"""),"Новый")</f>
        <v>Новый</v>
      </c>
      <c r="G7146" s="68"/>
      <c r="K7146" s="68"/>
    </row>
    <row r="7147" spans="1:17" ht="12.75">
      <c r="A7147" s="69">
        <f ca="1">IFERROR(__xludf.DUMMYFUNCTION("""COMPUTED_VALUE"""),108704)</f>
        <v>108704</v>
      </c>
      <c r="B7147" s="4">
        <f ca="1">IFERROR(__xludf.DUMMYFUNCTION("""COMPUTED_VALUE"""),44837)</f>
        <v>44837</v>
      </c>
      <c r="C7147" t="str">
        <f ca="1">IFERROR(__xludf.DUMMYFUNCTION("""COMPUTED_VALUE"""),"БУ Г. ОМСКА ""УДХБ"" 216-РДО от 03.10.2022")</f>
        <v>БУ Г. ОМСКА "УДХБ" 216-РДО от 03.10.2022</v>
      </c>
      <c r="D71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7" t="str">
        <f ca="1">IFERROR(__xludf.DUMMYFUNCTION("""COMPUTED_VALUE"""),"Новый")</f>
        <v>Новый</v>
      </c>
      <c r="G7147" s="68"/>
      <c r="K7147" s="68"/>
    </row>
    <row r="7148" spans="1:17" ht="12.75">
      <c r="A7148" s="69">
        <f ca="1">IFERROR(__xludf.DUMMYFUNCTION("""COMPUTED_VALUE"""),108705)</f>
        <v>108705</v>
      </c>
      <c r="B7148" s="4">
        <f ca="1">IFERROR(__xludf.DUMMYFUNCTION("""COMPUTED_VALUE"""),44837)</f>
        <v>44837</v>
      </c>
      <c r="C7148" t="str">
        <f ca="1">IFERROR(__xludf.DUMMYFUNCTION("""COMPUTED_VALUE"""),"БУ Г. ОМСКА ""УДХБ"" 216-РДО от 03.10.2022")</f>
        <v>БУ Г. ОМСКА "УДХБ" 216-РДО от 03.10.2022</v>
      </c>
      <c r="D71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8" t="str">
        <f ca="1">IFERROR(__xludf.DUMMYFUNCTION("""COMPUTED_VALUE"""),"Новый")</f>
        <v>Новый</v>
      </c>
      <c r="G7148" s="68"/>
      <c r="K7148" s="68"/>
    </row>
    <row r="7149" spans="1:17" ht="12.75">
      <c r="A7149" s="69">
        <f ca="1">IFERROR(__xludf.DUMMYFUNCTION("""COMPUTED_VALUE"""),108706)</f>
        <v>108706</v>
      </c>
      <c r="B7149" s="4">
        <f ca="1">IFERROR(__xludf.DUMMYFUNCTION("""COMPUTED_VALUE"""),44837)</f>
        <v>44837</v>
      </c>
      <c r="C7149" t="str">
        <f ca="1">IFERROR(__xludf.DUMMYFUNCTION("""COMPUTED_VALUE"""),"БУ Г. ОМСКА ""УДХБ"" 216-РДО от 03.10.2022")</f>
        <v>БУ Г. ОМСКА "УДХБ" 216-РДО от 03.10.2022</v>
      </c>
      <c r="D71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49" t="str">
        <f ca="1">IFERROR(__xludf.DUMMYFUNCTION("""COMPUTED_VALUE"""),"Новый")</f>
        <v>Новый</v>
      </c>
      <c r="G7149" s="68"/>
      <c r="K7149" s="68"/>
    </row>
    <row r="7150" spans="1:17" ht="12.75">
      <c r="A7150" s="69">
        <f ca="1">IFERROR(__xludf.DUMMYFUNCTION("""COMPUTED_VALUE"""),108707)</f>
        <v>108707</v>
      </c>
      <c r="B7150" s="4">
        <f ca="1">IFERROR(__xludf.DUMMYFUNCTION("""COMPUTED_VALUE"""),44837)</f>
        <v>44837</v>
      </c>
      <c r="C7150" t="str">
        <f ca="1">IFERROR(__xludf.DUMMYFUNCTION("""COMPUTED_VALUE"""),"БУ Г. ОМСКА ""УДХБ"" 216-РДО от 03.10.2022")</f>
        <v>БУ Г. ОМСКА "УДХБ" 216-РДО от 03.10.2022</v>
      </c>
      <c r="D71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0" t="str">
        <f ca="1">IFERROR(__xludf.DUMMYFUNCTION("""COMPUTED_VALUE"""),"Новый")</f>
        <v>Новый</v>
      </c>
      <c r="G7150" s="68"/>
      <c r="K7150" s="68"/>
    </row>
    <row r="7151" spans="1:17" ht="12.75">
      <c r="A7151" s="69">
        <f ca="1">IFERROR(__xludf.DUMMYFUNCTION("""COMPUTED_VALUE"""),108715)</f>
        <v>108715</v>
      </c>
      <c r="B7151" s="4">
        <f ca="1">IFERROR(__xludf.DUMMYFUNCTION("""COMPUTED_VALUE"""),44837)</f>
        <v>44837</v>
      </c>
      <c r="C7151" t="str">
        <f ca="1">IFERROR(__xludf.DUMMYFUNCTION("""COMPUTED_VALUE"""),"БУ Г. ОМСКА ""УДХБ"" 216-РДО от 03.10.2022")</f>
        <v>БУ Г. ОМСКА "УДХБ" 216-РДО от 03.10.2022</v>
      </c>
      <c r="D71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1" t="str">
        <f ca="1">IFERROR(__xludf.DUMMYFUNCTION("""COMPUTED_VALUE"""),"Открыт")</f>
        <v>Открыт</v>
      </c>
      <c r="F7151" t="str">
        <f ca="1">IFERROR(__xludf.DUMMYFUNCTION("""COMPUTED_VALUE"""),"Кировский полигон")</f>
        <v>Кировский полигон</v>
      </c>
      <c r="G7151" s="68">
        <f ca="1">IFERROR(__xludf.DUMMYFUNCTION("""COMPUTED_VALUE"""),44847.4820648379)</f>
        <v>44847.482064837903</v>
      </c>
      <c r="H7151" t="str">
        <f ca="1">IFERROR(__xludf.DUMMYFUNCTION("""COMPUTED_VALUE"""),"у287ву")</f>
        <v>у287ву</v>
      </c>
      <c r="I7151">
        <f ca="1">IFERROR(__xludf.DUMMYFUNCTION("""COMPUTED_VALUE"""),10420)</f>
        <v>10420</v>
      </c>
      <c r="K7151" s="68"/>
      <c r="N7151">
        <f ca="1">IFERROR(__xludf.DUMMYFUNCTION("""COMPUTED_VALUE"""),0)</f>
        <v>0</v>
      </c>
      <c r="Q7151" t="str">
        <f ca="1">IFERROR(__xludf.DUMMYFUNCTION("""COMPUTED_VALUE"""),"Другое")</f>
        <v>Другое</v>
      </c>
    </row>
    <row r="7152" spans="1:17" ht="12.75">
      <c r="A7152" s="69">
        <f ca="1">IFERROR(__xludf.DUMMYFUNCTION("""COMPUTED_VALUE"""),108726)</f>
        <v>108726</v>
      </c>
      <c r="B7152" s="4">
        <f ca="1">IFERROR(__xludf.DUMMYFUNCTION("""COMPUTED_VALUE"""),44837)</f>
        <v>44837</v>
      </c>
      <c r="C7152" t="str">
        <f ca="1">IFERROR(__xludf.DUMMYFUNCTION("""COMPUTED_VALUE"""),"БУ Г. ОМСКА ""УДХБ"" 216-РДО от 03.10.2022")</f>
        <v>БУ Г. ОМСКА "УДХБ" 216-РДО от 03.10.2022</v>
      </c>
      <c r="D71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2" t="str">
        <f ca="1">IFERROR(__xludf.DUMMYFUNCTION("""COMPUTED_VALUE"""),"Новый")</f>
        <v>Новый</v>
      </c>
      <c r="G7152" s="68"/>
      <c r="K7152" s="68"/>
    </row>
    <row r="7153" spans="1:11" ht="12.75">
      <c r="A7153" s="69">
        <f ca="1">IFERROR(__xludf.DUMMYFUNCTION("""COMPUTED_VALUE"""),108727)</f>
        <v>108727</v>
      </c>
      <c r="B7153" s="4">
        <f ca="1">IFERROR(__xludf.DUMMYFUNCTION("""COMPUTED_VALUE"""),44837)</f>
        <v>44837</v>
      </c>
      <c r="C7153" t="str">
        <f ca="1">IFERROR(__xludf.DUMMYFUNCTION("""COMPUTED_VALUE"""),"БУ Г. ОМСКА ""УДХБ"" 216-РДО от 03.10.2022")</f>
        <v>БУ Г. ОМСКА "УДХБ" 216-РДО от 03.10.2022</v>
      </c>
      <c r="D71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3" t="str">
        <f ca="1">IFERROR(__xludf.DUMMYFUNCTION("""COMPUTED_VALUE"""),"Новый")</f>
        <v>Новый</v>
      </c>
      <c r="G7153" s="68"/>
      <c r="K7153" s="68"/>
    </row>
    <row r="7154" spans="1:11" ht="12.75">
      <c r="A7154" s="69">
        <f ca="1">IFERROR(__xludf.DUMMYFUNCTION("""COMPUTED_VALUE"""),108728)</f>
        <v>108728</v>
      </c>
      <c r="B7154" s="4">
        <f ca="1">IFERROR(__xludf.DUMMYFUNCTION("""COMPUTED_VALUE"""),44837)</f>
        <v>44837</v>
      </c>
      <c r="C7154" t="str">
        <f ca="1">IFERROR(__xludf.DUMMYFUNCTION("""COMPUTED_VALUE"""),"БУ Г. ОМСКА ""УДХБ"" 216-РДО от 03.10.2022")</f>
        <v>БУ Г. ОМСКА "УДХБ" 216-РДО от 03.10.2022</v>
      </c>
      <c r="D71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4" t="str">
        <f ca="1">IFERROR(__xludf.DUMMYFUNCTION("""COMPUTED_VALUE"""),"Новый")</f>
        <v>Новый</v>
      </c>
      <c r="G7154" s="68"/>
      <c r="K7154" s="68"/>
    </row>
    <row r="7155" spans="1:11" ht="12.75">
      <c r="A7155" s="69">
        <f ca="1">IFERROR(__xludf.DUMMYFUNCTION("""COMPUTED_VALUE"""),108729)</f>
        <v>108729</v>
      </c>
      <c r="B7155" s="4">
        <f ca="1">IFERROR(__xludf.DUMMYFUNCTION("""COMPUTED_VALUE"""),44837)</f>
        <v>44837</v>
      </c>
      <c r="C7155" t="str">
        <f ca="1">IFERROR(__xludf.DUMMYFUNCTION("""COMPUTED_VALUE"""),"БУ Г. ОМСКА ""УДХБ"" 216-РДО от 03.10.2022")</f>
        <v>БУ Г. ОМСКА "УДХБ" 216-РДО от 03.10.2022</v>
      </c>
      <c r="D71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5" t="str">
        <f ca="1">IFERROR(__xludf.DUMMYFUNCTION("""COMPUTED_VALUE"""),"Новый")</f>
        <v>Новый</v>
      </c>
      <c r="G7155" s="68"/>
      <c r="K7155" s="68"/>
    </row>
    <row r="7156" spans="1:11" ht="12.75">
      <c r="A7156" s="69">
        <f ca="1">IFERROR(__xludf.DUMMYFUNCTION("""COMPUTED_VALUE"""),108730)</f>
        <v>108730</v>
      </c>
      <c r="B7156" s="4">
        <f ca="1">IFERROR(__xludf.DUMMYFUNCTION("""COMPUTED_VALUE"""),44837)</f>
        <v>44837</v>
      </c>
      <c r="C7156" t="str">
        <f ca="1">IFERROR(__xludf.DUMMYFUNCTION("""COMPUTED_VALUE"""),"БУ Г. ОМСКА ""УДХБ"" 216-РДО от 03.10.2022")</f>
        <v>БУ Г. ОМСКА "УДХБ" 216-РДО от 03.10.2022</v>
      </c>
      <c r="D71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6" t="str">
        <f ca="1">IFERROR(__xludf.DUMMYFUNCTION("""COMPUTED_VALUE"""),"Новый")</f>
        <v>Новый</v>
      </c>
      <c r="G7156" s="68"/>
      <c r="K7156" s="68"/>
    </row>
    <row r="7157" spans="1:11" ht="12.75">
      <c r="A7157" s="69">
        <f ca="1">IFERROR(__xludf.DUMMYFUNCTION("""COMPUTED_VALUE"""),108731)</f>
        <v>108731</v>
      </c>
      <c r="B7157" s="4">
        <f ca="1">IFERROR(__xludf.DUMMYFUNCTION("""COMPUTED_VALUE"""),44837)</f>
        <v>44837</v>
      </c>
      <c r="C7157" t="str">
        <f ca="1">IFERROR(__xludf.DUMMYFUNCTION("""COMPUTED_VALUE"""),"БУ Г. ОМСКА ""УДХБ"" 216-РДО от 03.10.2022")</f>
        <v>БУ Г. ОМСКА "УДХБ" 216-РДО от 03.10.2022</v>
      </c>
      <c r="D71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7" t="str">
        <f ca="1">IFERROR(__xludf.DUMMYFUNCTION("""COMPUTED_VALUE"""),"Новый")</f>
        <v>Новый</v>
      </c>
      <c r="G7157" s="68"/>
      <c r="K7157" s="68"/>
    </row>
    <row r="7158" spans="1:11" ht="12.75">
      <c r="A7158" s="69">
        <f ca="1">IFERROR(__xludf.DUMMYFUNCTION("""COMPUTED_VALUE"""),108732)</f>
        <v>108732</v>
      </c>
      <c r="B7158" s="4">
        <f ca="1">IFERROR(__xludf.DUMMYFUNCTION("""COMPUTED_VALUE"""),44837)</f>
        <v>44837</v>
      </c>
      <c r="C7158" t="str">
        <f ca="1">IFERROR(__xludf.DUMMYFUNCTION("""COMPUTED_VALUE"""),"БУ Г. ОМСКА ""УДХБ"" 216-РДО от 03.10.2022")</f>
        <v>БУ Г. ОМСКА "УДХБ" 216-РДО от 03.10.2022</v>
      </c>
      <c r="D71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8" t="str">
        <f ca="1">IFERROR(__xludf.DUMMYFUNCTION("""COMPUTED_VALUE"""),"Новый")</f>
        <v>Новый</v>
      </c>
      <c r="G7158" s="68"/>
      <c r="K7158" s="68"/>
    </row>
    <row r="7159" spans="1:11" ht="12.75">
      <c r="A7159" s="69">
        <f ca="1">IFERROR(__xludf.DUMMYFUNCTION("""COMPUTED_VALUE"""),108733)</f>
        <v>108733</v>
      </c>
      <c r="B7159" s="4">
        <f ca="1">IFERROR(__xludf.DUMMYFUNCTION("""COMPUTED_VALUE"""),44837)</f>
        <v>44837</v>
      </c>
      <c r="C7159" t="str">
        <f ca="1">IFERROR(__xludf.DUMMYFUNCTION("""COMPUTED_VALUE"""),"БУ Г. ОМСКА ""УДХБ"" 216-РДО от 03.10.2022")</f>
        <v>БУ Г. ОМСКА "УДХБ" 216-РДО от 03.10.2022</v>
      </c>
      <c r="D71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59" t="str">
        <f ca="1">IFERROR(__xludf.DUMMYFUNCTION("""COMPUTED_VALUE"""),"Новый")</f>
        <v>Новый</v>
      </c>
      <c r="G7159" s="68"/>
      <c r="K7159" s="68"/>
    </row>
    <row r="7160" spans="1:11" ht="12.75">
      <c r="A7160" s="69">
        <f ca="1">IFERROR(__xludf.DUMMYFUNCTION("""COMPUTED_VALUE"""),108734)</f>
        <v>108734</v>
      </c>
      <c r="B7160" s="4">
        <f ca="1">IFERROR(__xludf.DUMMYFUNCTION("""COMPUTED_VALUE"""),44837)</f>
        <v>44837</v>
      </c>
      <c r="C7160" t="str">
        <f ca="1">IFERROR(__xludf.DUMMYFUNCTION("""COMPUTED_VALUE"""),"БУ Г. ОМСКА ""УДХБ"" 216-РДО от 03.10.2022")</f>
        <v>БУ Г. ОМСКА "УДХБ" 216-РДО от 03.10.2022</v>
      </c>
      <c r="D71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0" t="str">
        <f ca="1">IFERROR(__xludf.DUMMYFUNCTION("""COMPUTED_VALUE"""),"Новый")</f>
        <v>Новый</v>
      </c>
      <c r="G7160" s="68"/>
      <c r="K7160" s="68"/>
    </row>
    <row r="7161" spans="1:11" ht="12.75">
      <c r="A7161" s="69">
        <f ca="1">IFERROR(__xludf.DUMMYFUNCTION("""COMPUTED_VALUE"""),108735)</f>
        <v>108735</v>
      </c>
      <c r="B7161" s="4">
        <f ca="1">IFERROR(__xludf.DUMMYFUNCTION("""COMPUTED_VALUE"""),44837)</f>
        <v>44837</v>
      </c>
      <c r="C7161" t="str">
        <f ca="1">IFERROR(__xludf.DUMMYFUNCTION("""COMPUTED_VALUE"""),"БУ Г. ОМСКА ""УДХБ"" 216-РДО от 03.10.2022")</f>
        <v>БУ Г. ОМСКА "УДХБ" 216-РДО от 03.10.2022</v>
      </c>
      <c r="D71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1" t="str">
        <f ca="1">IFERROR(__xludf.DUMMYFUNCTION("""COMPUTED_VALUE"""),"Новый")</f>
        <v>Новый</v>
      </c>
      <c r="G7161" s="68"/>
      <c r="K7161" s="68"/>
    </row>
    <row r="7162" spans="1:11" ht="12.75">
      <c r="A7162" s="69">
        <f ca="1">IFERROR(__xludf.DUMMYFUNCTION("""COMPUTED_VALUE"""),108736)</f>
        <v>108736</v>
      </c>
      <c r="B7162" s="4">
        <f ca="1">IFERROR(__xludf.DUMMYFUNCTION("""COMPUTED_VALUE"""),44837)</f>
        <v>44837</v>
      </c>
      <c r="C7162" t="str">
        <f ca="1">IFERROR(__xludf.DUMMYFUNCTION("""COMPUTED_VALUE"""),"БУ Г. ОМСКА ""УДХБ"" 216-РДО от 03.10.2022")</f>
        <v>БУ Г. ОМСКА "УДХБ" 216-РДО от 03.10.2022</v>
      </c>
      <c r="D71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2" t="str">
        <f ca="1">IFERROR(__xludf.DUMMYFUNCTION("""COMPUTED_VALUE"""),"Новый")</f>
        <v>Новый</v>
      </c>
      <c r="G7162" s="68"/>
      <c r="K7162" s="68"/>
    </row>
    <row r="7163" spans="1:11" ht="12.75">
      <c r="A7163" s="69">
        <f ca="1">IFERROR(__xludf.DUMMYFUNCTION("""COMPUTED_VALUE"""),108737)</f>
        <v>108737</v>
      </c>
      <c r="B7163" s="4">
        <f ca="1">IFERROR(__xludf.DUMMYFUNCTION("""COMPUTED_VALUE"""),44837)</f>
        <v>44837</v>
      </c>
      <c r="C7163" t="str">
        <f ca="1">IFERROR(__xludf.DUMMYFUNCTION("""COMPUTED_VALUE"""),"БУ Г. ОМСКА ""УДХБ"" 216-РДО от 03.10.2022")</f>
        <v>БУ Г. ОМСКА "УДХБ" 216-РДО от 03.10.2022</v>
      </c>
      <c r="D71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3" t="str">
        <f ca="1">IFERROR(__xludf.DUMMYFUNCTION("""COMPUTED_VALUE"""),"Новый")</f>
        <v>Новый</v>
      </c>
      <c r="G7163" s="68"/>
      <c r="K7163" s="68"/>
    </row>
    <row r="7164" spans="1:11" ht="12.75">
      <c r="A7164" s="69">
        <f ca="1">IFERROR(__xludf.DUMMYFUNCTION("""COMPUTED_VALUE"""),108738)</f>
        <v>108738</v>
      </c>
      <c r="B7164" s="4">
        <f ca="1">IFERROR(__xludf.DUMMYFUNCTION("""COMPUTED_VALUE"""),44837)</f>
        <v>44837</v>
      </c>
      <c r="C7164" t="str">
        <f ca="1">IFERROR(__xludf.DUMMYFUNCTION("""COMPUTED_VALUE"""),"БУ Г. ОМСКА ""УДХБ"" 216-РДО от 03.10.2022")</f>
        <v>БУ Г. ОМСКА "УДХБ" 216-РДО от 03.10.2022</v>
      </c>
      <c r="D71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4" t="str">
        <f ca="1">IFERROR(__xludf.DUMMYFUNCTION("""COMPUTED_VALUE"""),"Новый")</f>
        <v>Новый</v>
      </c>
      <c r="G7164" s="68"/>
      <c r="K7164" s="68"/>
    </row>
    <row r="7165" spans="1:11" ht="12.75">
      <c r="A7165" s="69">
        <f ca="1">IFERROR(__xludf.DUMMYFUNCTION("""COMPUTED_VALUE"""),108739)</f>
        <v>108739</v>
      </c>
      <c r="B7165" s="4">
        <f ca="1">IFERROR(__xludf.DUMMYFUNCTION("""COMPUTED_VALUE"""),44837)</f>
        <v>44837</v>
      </c>
      <c r="C7165" t="str">
        <f ca="1">IFERROR(__xludf.DUMMYFUNCTION("""COMPUTED_VALUE"""),"БУ Г. ОМСКА ""УДХБ"" 216-РДО от 03.10.2022")</f>
        <v>БУ Г. ОМСКА "УДХБ" 216-РДО от 03.10.2022</v>
      </c>
      <c r="D71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5" t="str">
        <f ca="1">IFERROR(__xludf.DUMMYFUNCTION("""COMPUTED_VALUE"""),"Новый")</f>
        <v>Новый</v>
      </c>
      <c r="G7165" s="68"/>
      <c r="K7165" s="68"/>
    </row>
    <row r="7166" spans="1:11" ht="12.75">
      <c r="A7166" s="69">
        <f ca="1">IFERROR(__xludf.DUMMYFUNCTION("""COMPUTED_VALUE"""),108740)</f>
        <v>108740</v>
      </c>
      <c r="B7166" s="4">
        <f ca="1">IFERROR(__xludf.DUMMYFUNCTION("""COMPUTED_VALUE"""),44837)</f>
        <v>44837</v>
      </c>
      <c r="C7166" t="str">
        <f ca="1">IFERROR(__xludf.DUMMYFUNCTION("""COMPUTED_VALUE"""),"БУ Г. ОМСКА ""УДХБ"" 216-РДО от 03.10.2022")</f>
        <v>БУ Г. ОМСКА "УДХБ" 216-РДО от 03.10.2022</v>
      </c>
      <c r="D71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6" t="str">
        <f ca="1">IFERROR(__xludf.DUMMYFUNCTION("""COMPUTED_VALUE"""),"Новый")</f>
        <v>Новый</v>
      </c>
      <c r="G7166" s="68"/>
      <c r="K7166" s="68"/>
    </row>
    <row r="7167" spans="1:11" ht="12.75">
      <c r="A7167" s="69">
        <f ca="1">IFERROR(__xludf.DUMMYFUNCTION("""COMPUTED_VALUE"""),108741)</f>
        <v>108741</v>
      </c>
      <c r="B7167" s="4">
        <f ca="1">IFERROR(__xludf.DUMMYFUNCTION("""COMPUTED_VALUE"""),44837)</f>
        <v>44837</v>
      </c>
      <c r="C7167" t="str">
        <f ca="1">IFERROR(__xludf.DUMMYFUNCTION("""COMPUTED_VALUE"""),"БУ Г. ОМСКА ""УДХБ"" 216-РДО от 03.10.2022")</f>
        <v>БУ Г. ОМСКА "УДХБ" 216-РДО от 03.10.2022</v>
      </c>
      <c r="D71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7" t="str">
        <f ca="1">IFERROR(__xludf.DUMMYFUNCTION("""COMPUTED_VALUE"""),"Новый")</f>
        <v>Новый</v>
      </c>
      <c r="G7167" s="68"/>
      <c r="K7167" s="68"/>
    </row>
    <row r="7168" spans="1:11" ht="12.75">
      <c r="A7168" s="69">
        <f ca="1">IFERROR(__xludf.DUMMYFUNCTION("""COMPUTED_VALUE"""),108742)</f>
        <v>108742</v>
      </c>
      <c r="B7168" s="4">
        <f ca="1">IFERROR(__xludf.DUMMYFUNCTION("""COMPUTED_VALUE"""),44837)</f>
        <v>44837</v>
      </c>
      <c r="C7168" t="str">
        <f ca="1">IFERROR(__xludf.DUMMYFUNCTION("""COMPUTED_VALUE"""),"БУ Г. ОМСКА ""УДХБ"" 216-РДО от 03.10.2022")</f>
        <v>БУ Г. ОМСКА "УДХБ" 216-РДО от 03.10.2022</v>
      </c>
      <c r="D71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8" t="str">
        <f ca="1">IFERROR(__xludf.DUMMYFUNCTION("""COMPUTED_VALUE"""),"Новый")</f>
        <v>Новый</v>
      </c>
      <c r="G7168" s="68"/>
      <c r="K7168" s="68"/>
    </row>
    <row r="7169" spans="1:11" ht="12.75">
      <c r="A7169" s="69">
        <f ca="1">IFERROR(__xludf.DUMMYFUNCTION("""COMPUTED_VALUE"""),108743)</f>
        <v>108743</v>
      </c>
      <c r="B7169" s="4">
        <f ca="1">IFERROR(__xludf.DUMMYFUNCTION("""COMPUTED_VALUE"""),44837)</f>
        <v>44837</v>
      </c>
      <c r="C7169" t="str">
        <f ca="1">IFERROR(__xludf.DUMMYFUNCTION("""COMPUTED_VALUE"""),"БУ Г. ОМСКА ""УДХБ"" 216-РДО от 03.10.2022")</f>
        <v>БУ Г. ОМСКА "УДХБ" 216-РДО от 03.10.2022</v>
      </c>
      <c r="D71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69" t="str">
        <f ca="1">IFERROR(__xludf.DUMMYFUNCTION("""COMPUTED_VALUE"""),"Новый")</f>
        <v>Новый</v>
      </c>
      <c r="G7169" s="68"/>
      <c r="K7169" s="68"/>
    </row>
    <row r="7170" spans="1:11" ht="12.75">
      <c r="A7170" s="69">
        <f ca="1">IFERROR(__xludf.DUMMYFUNCTION("""COMPUTED_VALUE"""),108744)</f>
        <v>108744</v>
      </c>
      <c r="B7170" s="4">
        <f ca="1">IFERROR(__xludf.DUMMYFUNCTION("""COMPUTED_VALUE"""),44837)</f>
        <v>44837</v>
      </c>
      <c r="C7170" t="str">
        <f ca="1">IFERROR(__xludf.DUMMYFUNCTION("""COMPUTED_VALUE"""),"БУ Г. ОМСКА ""УДХБ"" 216-РДО от 03.10.2022")</f>
        <v>БУ Г. ОМСКА "УДХБ" 216-РДО от 03.10.2022</v>
      </c>
      <c r="D71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0" t="str">
        <f ca="1">IFERROR(__xludf.DUMMYFUNCTION("""COMPUTED_VALUE"""),"Новый")</f>
        <v>Новый</v>
      </c>
      <c r="G7170" s="68"/>
      <c r="K7170" s="68"/>
    </row>
    <row r="7171" spans="1:11" ht="12.75">
      <c r="A7171" s="69">
        <f ca="1">IFERROR(__xludf.DUMMYFUNCTION("""COMPUTED_VALUE"""),108745)</f>
        <v>108745</v>
      </c>
      <c r="B7171" s="4">
        <f ca="1">IFERROR(__xludf.DUMMYFUNCTION("""COMPUTED_VALUE"""),44837)</f>
        <v>44837</v>
      </c>
      <c r="C7171" t="str">
        <f ca="1">IFERROR(__xludf.DUMMYFUNCTION("""COMPUTED_VALUE"""),"БУ Г. ОМСКА ""УДХБ"" 216-РДО от 03.10.2022")</f>
        <v>БУ Г. ОМСКА "УДХБ" 216-РДО от 03.10.2022</v>
      </c>
      <c r="D71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1" t="str">
        <f ca="1">IFERROR(__xludf.DUMMYFUNCTION("""COMPUTED_VALUE"""),"Новый")</f>
        <v>Новый</v>
      </c>
      <c r="G7171" s="68"/>
      <c r="K7171" s="68"/>
    </row>
    <row r="7172" spans="1:11" ht="12.75">
      <c r="A7172" s="69">
        <f ca="1">IFERROR(__xludf.DUMMYFUNCTION("""COMPUTED_VALUE"""),108746)</f>
        <v>108746</v>
      </c>
      <c r="B7172" s="4">
        <f ca="1">IFERROR(__xludf.DUMMYFUNCTION("""COMPUTED_VALUE"""),44837)</f>
        <v>44837</v>
      </c>
      <c r="C7172" t="str">
        <f ca="1">IFERROR(__xludf.DUMMYFUNCTION("""COMPUTED_VALUE"""),"БУ Г. ОМСКА ""УДХБ"" 216-РДО от 03.10.2022")</f>
        <v>БУ Г. ОМСКА "УДХБ" 216-РДО от 03.10.2022</v>
      </c>
      <c r="D71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2" t="str">
        <f ca="1">IFERROR(__xludf.DUMMYFUNCTION("""COMPUTED_VALUE"""),"Новый")</f>
        <v>Новый</v>
      </c>
      <c r="G7172" s="68"/>
      <c r="K7172" s="68"/>
    </row>
    <row r="7173" spans="1:11" ht="12.75">
      <c r="A7173" s="69">
        <f ca="1">IFERROR(__xludf.DUMMYFUNCTION("""COMPUTED_VALUE"""),108747)</f>
        <v>108747</v>
      </c>
      <c r="B7173" s="4">
        <f ca="1">IFERROR(__xludf.DUMMYFUNCTION("""COMPUTED_VALUE"""),44837)</f>
        <v>44837</v>
      </c>
      <c r="C7173" t="str">
        <f ca="1">IFERROR(__xludf.DUMMYFUNCTION("""COMPUTED_VALUE"""),"БУ Г. ОМСКА ""УДХБ"" 216-РДО от 03.10.2022")</f>
        <v>БУ Г. ОМСКА "УДХБ" 216-РДО от 03.10.2022</v>
      </c>
      <c r="D71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3" t="str">
        <f ca="1">IFERROR(__xludf.DUMMYFUNCTION("""COMPUTED_VALUE"""),"Новый")</f>
        <v>Новый</v>
      </c>
      <c r="G7173" s="68"/>
      <c r="K7173" s="68"/>
    </row>
    <row r="7174" spans="1:11" ht="12.75">
      <c r="A7174" s="69">
        <f ca="1">IFERROR(__xludf.DUMMYFUNCTION("""COMPUTED_VALUE"""),108748)</f>
        <v>108748</v>
      </c>
      <c r="B7174" s="4">
        <f ca="1">IFERROR(__xludf.DUMMYFUNCTION("""COMPUTED_VALUE"""),44837)</f>
        <v>44837</v>
      </c>
      <c r="C7174" t="str">
        <f ca="1">IFERROR(__xludf.DUMMYFUNCTION("""COMPUTED_VALUE"""),"БУ Г. ОМСКА ""УДХБ"" 216-РДО от 03.10.2022")</f>
        <v>БУ Г. ОМСКА "УДХБ" 216-РДО от 03.10.2022</v>
      </c>
      <c r="D71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4" t="str">
        <f ca="1">IFERROR(__xludf.DUMMYFUNCTION("""COMPUTED_VALUE"""),"Новый")</f>
        <v>Новый</v>
      </c>
      <c r="G7174" s="68"/>
      <c r="K7174" s="68"/>
    </row>
    <row r="7175" spans="1:11" ht="12.75">
      <c r="A7175" s="69">
        <f ca="1">IFERROR(__xludf.DUMMYFUNCTION("""COMPUTED_VALUE"""),108749)</f>
        <v>108749</v>
      </c>
      <c r="B7175" s="4">
        <f ca="1">IFERROR(__xludf.DUMMYFUNCTION("""COMPUTED_VALUE"""),44837)</f>
        <v>44837</v>
      </c>
      <c r="C7175" t="str">
        <f ca="1">IFERROR(__xludf.DUMMYFUNCTION("""COMPUTED_VALUE"""),"БУ Г. ОМСКА ""УДХБ"" 216-РДО от 03.10.2022")</f>
        <v>БУ Г. ОМСКА "УДХБ" 216-РДО от 03.10.2022</v>
      </c>
      <c r="D71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5" t="str">
        <f ca="1">IFERROR(__xludf.DUMMYFUNCTION("""COMPUTED_VALUE"""),"Новый")</f>
        <v>Новый</v>
      </c>
      <c r="G7175" s="68"/>
      <c r="K7175" s="68"/>
    </row>
    <row r="7176" spans="1:11" ht="12.75">
      <c r="A7176" s="69">
        <f ca="1">IFERROR(__xludf.DUMMYFUNCTION("""COMPUTED_VALUE"""),108750)</f>
        <v>108750</v>
      </c>
      <c r="B7176" s="4">
        <f ca="1">IFERROR(__xludf.DUMMYFUNCTION("""COMPUTED_VALUE"""),44837)</f>
        <v>44837</v>
      </c>
      <c r="C7176" t="str">
        <f ca="1">IFERROR(__xludf.DUMMYFUNCTION("""COMPUTED_VALUE"""),"БУ Г. ОМСКА ""УДХБ"" 216-РДО от 03.10.2022")</f>
        <v>БУ Г. ОМСКА "УДХБ" 216-РДО от 03.10.2022</v>
      </c>
      <c r="D71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6" t="str">
        <f ca="1">IFERROR(__xludf.DUMMYFUNCTION("""COMPUTED_VALUE"""),"Новый")</f>
        <v>Новый</v>
      </c>
      <c r="G7176" s="68"/>
      <c r="K7176" s="68"/>
    </row>
    <row r="7177" spans="1:11" ht="12.75">
      <c r="A7177" s="69">
        <f ca="1">IFERROR(__xludf.DUMMYFUNCTION("""COMPUTED_VALUE"""),108751)</f>
        <v>108751</v>
      </c>
      <c r="B7177" s="4">
        <f ca="1">IFERROR(__xludf.DUMMYFUNCTION("""COMPUTED_VALUE"""),44837)</f>
        <v>44837</v>
      </c>
      <c r="C7177" t="str">
        <f ca="1">IFERROR(__xludf.DUMMYFUNCTION("""COMPUTED_VALUE"""),"БУ Г. ОМСКА ""УДХБ"" 216-РДО от 03.10.2022")</f>
        <v>БУ Г. ОМСКА "УДХБ" 216-РДО от 03.10.2022</v>
      </c>
      <c r="D71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7" t="str">
        <f ca="1">IFERROR(__xludf.DUMMYFUNCTION("""COMPUTED_VALUE"""),"Новый")</f>
        <v>Новый</v>
      </c>
      <c r="G7177" s="68"/>
      <c r="K7177" s="68"/>
    </row>
    <row r="7178" spans="1:11" ht="12.75">
      <c r="A7178" s="69">
        <f ca="1">IFERROR(__xludf.DUMMYFUNCTION("""COMPUTED_VALUE"""),108752)</f>
        <v>108752</v>
      </c>
      <c r="B7178" s="4">
        <f ca="1">IFERROR(__xludf.DUMMYFUNCTION("""COMPUTED_VALUE"""),44837)</f>
        <v>44837</v>
      </c>
      <c r="C7178" t="str">
        <f ca="1">IFERROR(__xludf.DUMMYFUNCTION("""COMPUTED_VALUE"""),"БУ Г. ОМСКА ""УДХБ"" 216-РДО от 03.10.2022")</f>
        <v>БУ Г. ОМСКА "УДХБ" 216-РДО от 03.10.2022</v>
      </c>
      <c r="D71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8" t="str">
        <f ca="1">IFERROR(__xludf.DUMMYFUNCTION("""COMPUTED_VALUE"""),"Новый")</f>
        <v>Новый</v>
      </c>
      <c r="G7178" s="68"/>
      <c r="K7178" s="68"/>
    </row>
    <row r="7179" spans="1:11" ht="12.75">
      <c r="A7179" s="69">
        <f ca="1">IFERROR(__xludf.DUMMYFUNCTION("""COMPUTED_VALUE"""),108753)</f>
        <v>108753</v>
      </c>
      <c r="B7179" s="4">
        <f ca="1">IFERROR(__xludf.DUMMYFUNCTION("""COMPUTED_VALUE"""),44837)</f>
        <v>44837</v>
      </c>
      <c r="C7179" t="str">
        <f ca="1">IFERROR(__xludf.DUMMYFUNCTION("""COMPUTED_VALUE"""),"БУ Г. ОМСКА ""УДХБ"" 216-РДО от 03.10.2022")</f>
        <v>БУ Г. ОМСКА "УДХБ" 216-РДО от 03.10.2022</v>
      </c>
      <c r="D71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79" t="str">
        <f ca="1">IFERROR(__xludf.DUMMYFUNCTION("""COMPUTED_VALUE"""),"Новый")</f>
        <v>Новый</v>
      </c>
      <c r="G7179" s="68"/>
      <c r="K7179" s="68"/>
    </row>
    <row r="7180" spans="1:11" ht="12.75">
      <c r="A7180" s="69">
        <f ca="1">IFERROR(__xludf.DUMMYFUNCTION("""COMPUTED_VALUE"""),108754)</f>
        <v>108754</v>
      </c>
      <c r="B7180" s="4">
        <f ca="1">IFERROR(__xludf.DUMMYFUNCTION("""COMPUTED_VALUE"""),44837)</f>
        <v>44837</v>
      </c>
      <c r="C7180" t="str">
        <f ca="1">IFERROR(__xludf.DUMMYFUNCTION("""COMPUTED_VALUE"""),"БУ Г. ОМСКА ""УДХБ"" 216-РДО от 03.10.2022")</f>
        <v>БУ Г. ОМСКА "УДХБ" 216-РДО от 03.10.2022</v>
      </c>
      <c r="D71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0" t="str">
        <f ca="1">IFERROR(__xludf.DUMMYFUNCTION("""COMPUTED_VALUE"""),"Новый")</f>
        <v>Новый</v>
      </c>
      <c r="G7180" s="68"/>
      <c r="K7180" s="68"/>
    </row>
    <row r="7181" spans="1:11" ht="12.75">
      <c r="A7181" s="69">
        <f ca="1">IFERROR(__xludf.DUMMYFUNCTION("""COMPUTED_VALUE"""),108755)</f>
        <v>108755</v>
      </c>
      <c r="B7181" s="4">
        <f ca="1">IFERROR(__xludf.DUMMYFUNCTION("""COMPUTED_VALUE"""),44837)</f>
        <v>44837</v>
      </c>
      <c r="C7181" t="str">
        <f ca="1">IFERROR(__xludf.DUMMYFUNCTION("""COMPUTED_VALUE"""),"БУ Г. ОМСКА ""УДХБ"" 216-РДО от 03.10.2022")</f>
        <v>БУ Г. ОМСКА "УДХБ" 216-РДО от 03.10.2022</v>
      </c>
      <c r="D71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1" t="str">
        <f ca="1">IFERROR(__xludf.DUMMYFUNCTION("""COMPUTED_VALUE"""),"Новый")</f>
        <v>Новый</v>
      </c>
      <c r="G7181" s="68"/>
      <c r="K7181" s="68"/>
    </row>
    <row r="7182" spans="1:11" ht="12.75">
      <c r="A7182" s="69">
        <f ca="1">IFERROR(__xludf.DUMMYFUNCTION("""COMPUTED_VALUE"""),108756)</f>
        <v>108756</v>
      </c>
      <c r="B7182" s="4">
        <f ca="1">IFERROR(__xludf.DUMMYFUNCTION("""COMPUTED_VALUE"""),44837)</f>
        <v>44837</v>
      </c>
      <c r="C7182" t="str">
        <f ca="1">IFERROR(__xludf.DUMMYFUNCTION("""COMPUTED_VALUE"""),"БУ Г. ОМСКА ""УДХБ"" 216-РДО от 03.10.2022")</f>
        <v>БУ Г. ОМСКА "УДХБ" 216-РДО от 03.10.2022</v>
      </c>
      <c r="D71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2" t="str">
        <f ca="1">IFERROR(__xludf.DUMMYFUNCTION("""COMPUTED_VALUE"""),"Новый")</f>
        <v>Новый</v>
      </c>
      <c r="G7182" s="68"/>
      <c r="K7182" s="68"/>
    </row>
    <row r="7183" spans="1:11" ht="12.75">
      <c r="A7183" s="69">
        <f ca="1">IFERROR(__xludf.DUMMYFUNCTION("""COMPUTED_VALUE"""),108757)</f>
        <v>108757</v>
      </c>
      <c r="B7183" s="4">
        <f ca="1">IFERROR(__xludf.DUMMYFUNCTION("""COMPUTED_VALUE"""),44837)</f>
        <v>44837</v>
      </c>
      <c r="C7183" t="str">
        <f ca="1">IFERROR(__xludf.DUMMYFUNCTION("""COMPUTED_VALUE"""),"БУ Г. ОМСКА ""УДХБ"" 216-РДО от 03.10.2022")</f>
        <v>БУ Г. ОМСКА "УДХБ" 216-РДО от 03.10.2022</v>
      </c>
      <c r="D71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3" t="str">
        <f ca="1">IFERROR(__xludf.DUMMYFUNCTION("""COMPUTED_VALUE"""),"Новый")</f>
        <v>Новый</v>
      </c>
      <c r="G7183" s="68"/>
      <c r="K7183" s="68"/>
    </row>
    <row r="7184" spans="1:11" ht="12.75">
      <c r="A7184" s="69">
        <f ca="1">IFERROR(__xludf.DUMMYFUNCTION("""COMPUTED_VALUE"""),108758)</f>
        <v>108758</v>
      </c>
      <c r="B7184" s="4">
        <f ca="1">IFERROR(__xludf.DUMMYFUNCTION("""COMPUTED_VALUE"""),44837)</f>
        <v>44837</v>
      </c>
      <c r="C7184" t="str">
        <f ca="1">IFERROR(__xludf.DUMMYFUNCTION("""COMPUTED_VALUE"""),"БУ Г. ОМСКА ""УДХБ"" 216-РДО от 03.10.2022")</f>
        <v>БУ Г. ОМСКА "УДХБ" 216-РДО от 03.10.2022</v>
      </c>
      <c r="D71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4" t="str">
        <f ca="1">IFERROR(__xludf.DUMMYFUNCTION("""COMPUTED_VALUE"""),"Новый")</f>
        <v>Новый</v>
      </c>
      <c r="G7184" s="68"/>
      <c r="K7184" s="68"/>
    </row>
    <row r="7185" spans="1:11" ht="12.75">
      <c r="A7185" s="69">
        <f ca="1">IFERROR(__xludf.DUMMYFUNCTION("""COMPUTED_VALUE"""),108759)</f>
        <v>108759</v>
      </c>
      <c r="B7185" s="4">
        <f ca="1">IFERROR(__xludf.DUMMYFUNCTION("""COMPUTED_VALUE"""),44837)</f>
        <v>44837</v>
      </c>
      <c r="C7185" t="str">
        <f ca="1">IFERROR(__xludf.DUMMYFUNCTION("""COMPUTED_VALUE"""),"БУ Г. ОМСКА ""УДХБ"" 216-РДО от 03.10.2022")</f>
        <v>БУ Г. ОМСКА "УДХБ" 216-РДО от 03.10.2022</v>
      </c>
      <c r="D71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5" t="str">
        <f ca="1">IFERROR(__xludf.DUMMYFUNCTION("""COMPUTED_VALUE"""),"Новый")</f>
        <v>Новый</v>
      </c>
      <c r="G7185" s="68"/>
      <c r="K7185" s="68"/>
    </row>
    <row r="7186" spans="1:11" ht="12.75">
      <c r="A7186" s="69">
        <f ca="1">IFERROR(__xludf.DUMMYFUNCTION("""COMPUTED_VALUE"""),108760)</f>
        <v>108760</v>
      </c>
      <c r="B7186" s="4">
        <f ca="1">IFERROR(__xludf.DUMMYFUNCTION("""COMPUTED_VALUE"""),44837)</f>
        <v>44837</v>
      </c>
      <c r="C7186" t="str">
        <f ca="1">IFERROR(__xludf.DUMMYFUNCTION("""COMPUTED_VALUE"""),"БУ Г. ОМСКА ""УДХБ"" 216-РДО от 03.10.2022")</f>
        <v>БУ Г. ОМСКА "УДХБ" 216-РДО от 03.10.2022</v>
      </c>
      <c r="D71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6" t="str">
        <f ca="1">IFERROR(__xludf.DUMMYFUNCTION("""COMPUTED_VALUE"""),"Новый")</f>
        <v>Новый</v>
      </c>
      <c r="G7186" s="68"/>
      <c r="K7186" s="68"/>
    </row>
    <row r="7187" spans="1:11" ht="12.75">
      <c r="A7187" s="69">
        <f ca="1">IFERROR(__xludf.DUMMYFUNCTION("""COMPUTED_VALUE"""),108761)</f>
        <v>108761</v>
      </c>
      <c r="B7187" s="4">
        <f ca="1">IFERROR(__xludf.DUMMYFUNCTION("""COMPUTED_VALUE"""),44837)</f>
        <v>44837</v>
      </c>
      <c r="C7187" t="str">
        <f ca="1">IFERROR(__xludf.DUMMYFUNCTION("""COMPUTED_VALUE"""),"БУ Г. ОМСКА ""УДХБ"" 216-РДО от 03.10.2022")</f>
        <v>БУ Г. ОМСКА "УДХБ" 216-РДО от 03.10.2022</v>
      </c>
      <c r="D71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7" t="str">
        <f ca="1">IFERROR(__xludf.DUMMYFUNCTION("""COMPUTED_VALUE"""),"Новый")</f>
        <v>Новый</v>
      </c>
      <c r="G7187" s="68"/>
      <c r="K7187" s="68"/>
    </row>
    <row r="7188" spans="1:11" ht="12.75">
      <c r="A7188" s="69">
        <f ca="1">IFERROR(__xludf.DUMMYFUNCTION("""COMPUTED_VALUE"""),108762)</f>
        <v>108762</v>
      </c>
      <c r="B7188" s="4">
        <f ca="1">IFERROR(__xludf.DUMMYFUNCTION("""COMPUTED_VALUE"""),44837)</f>
        <v>44837</v>
      </c>
      <c r="C7188" t="str">
        <f ca="1">IFERROR(__xludf.DUMMYFUNCTION("""COMPUTED_VALUE"""),"БУ Г. ОМСКА ""УДХБ"" 216-РДО от 03.10.2022")</f>
        <v>БУ Г. ОМСКА "УДХБ" 216-РДО от 03.10.2022</v>
      </c>
      <c r="D71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8" t="str">
        <f ca="1">IFERROR(__xludf.DUMMYFUNCTION("""COMPUTED_VALUE"""),"Новый")</f>
        <v>Новый</v>
      </c>
      <c r="G7188" s="68"/>
      <c r="K7188" s="68"/>
    </row>
    <row r="7189" spans="1:11" ht="12.75">
      <c r="A7189" s="69">
        <f ca="1">IFERROR(__xludf.DUMMYFUNCTION("""COMPUTED_VALUE"""),108763)</f>
        <v>108763</v>
      </c>
      <c r="B7189" s="4">
        <f ca="1">IFERROR(__xludf.DUMMYFUNCTION("""COMPUTED_VALUE"""),44837)</f>
        <v>44837</v>
      </c>
      <c r="C7189" t="str">
        <f ca="1">IFERROR(__xludf.DUMMYFUNCTION("""COMPUTED_VALUE"""),"БУ Г. ОМСКА ""УДХБ"" 216-РДО от 03.10.2022")</f>
        <v>БУ Г. ОМСКА "УДХБ" 216-РДО от 03.10.2022</v>
      </c>
      <c r="D71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89" t="str">
        <f ca="1">IFERROR(__xludf.DUMMYFUNCTION("""COMPUTED_VALUE"""),"Новый")</f>
        <v>Новый</v>
      </c>
      <c r="G7189" s="68"/>
      <c r="K7189" s="68"/>
    </row>
    <row r="7190" spans="1:11" ht="12.75">
      <c r="A7190" s="69">
        <f ca="1">IFERROR(__xludf.DUMMYFUNCTION("""COMPUTED_VALUE"""),108764)</f>
        <v>108764</v>
      </c>
      <c r="B7190" s="4">
        <f ca="1">IFERROR(__xludf.DUMMYFUNCTION("""COMPUTED_VALUE"""),44837)</f>
        <v>44837</v>
      </c>
      <c r="C7190" t="str">
        <f ca="1">IFERROR(__xludf.DUMMYFUNCTION("""COMPUTED_VALUE"""),"БУ Г. ОМСКА ""УДХБ"" 216-РДО от 03.10.2022")</f>
        <v>БУ Г. ОМСКА "УДХБ" 216-РДО от 03.10.2022</v>
      </c>
      <c r="D71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0" t="str">
        <f ca="1">IFERROR(__xludf.DUMMYFUNCTION("""COMPUTED_VALUE"""),"Новый")</f>
        <v>Новый</v>
      </c>
      <c r="G7190" s="68"/>
      <c r="K7190" s="68"/>
    </row>
    <row r="7191" spans="1:11" ht="12.75">
      <c r="A7191" s="69">
        <f ca="1">IFERROR(__xludf.DUMMYFUNCTION("""COMPUTED_VALUE"""),108765)</f>
        <v>108765</v>
      </c>
      <c r="B7191" s="4">
        <f ca="1">IFERROR(__xludf.DUMMYFUNCTION("""COMPUTED_VALUE"""),44837)</f>
        <v>44837</v>
      </c>
      <c r="C7191" t="str">
        <f ca="1">IFERROR(__xludf.DUMMYFUNCTION("""COMPUTED_VALUE"""),"БУ Г. ОМСКА ""УДХБ"" 216-РДО от 03.10.2022")</f>
        <v>БУ Г. ОМСКА "УДХБ" 216-РДО от 03.10.2022</v>
      </c>
      <c r="D71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1" t="str">
        <f ca="1">IFERROR(__xludf.DUMMYFUNCTION("""COMPUTED_VALUE"""),"Новый")</f>
        <v>Новый</v>
      </c>
      <c r="G7191" s="68"/>
      <c r="K7191" s="68"/>
    </row>
    <row r="7192" spans="1:11" ht="12.75">
      <c r="A7192" s="69">
        <f ca="1">IFERROR(__xludf.DUMMYFUNCTION("""COMPUTED_VALUE"""),108766)</f>
        <v>108766</v>
      </c>
      <c r="B7192" s="4">
        <f ca="1">IFERROR(__xludf.DUMMYFUNCTION("""COMPUTED_VALUE"""),44837)</f>
        <v>44837</v>
      </c>
      <c r="C7192" t="str">
        <f ca="1">IFERROR(__xludf.DUMMYFUNCTION("""COMPUTED_VALUE"""),"БУ Г. ОМСКА ""УДХБ"" 216-РДО от 03.10.2022")</f>
        <v>БУ Г. ОМСКА "УДХБ" 216-РДО от 03.10.2022</v>
      </c>
      <c r="D71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2" t="str">
        <f ca="1">IFERROR(__xludf.DUMMYFUNCTION("""COMPUTED_VALUE"""),"Новый")</f>
        <v>Новый</v>
      </c>
      <c r="G7192" s="68"/>
      <c r="K7192" s="68"/>
    </row>
    <row r="7193" spans="1:11" ht="12.75">
      <c r="A7193" s="69">
        <f ca="1">IFERROR(__xludf.DUMMYFUNCTION("""COMPUTED_VALUE"""),108767)</f>
        <v>108767</v>
      </c>
      <c r="B7193" s="4">
        <f ca="1">IFERROR(__xludf.DUMMYFUNCTION("""COMPUTED_VALUE"""),44837)</f>
        <v>44837</v>
      </c>
      <c r="C7193" t="str">
        <f ca="1">IFERROR(__xludf.DUMMYFUNCTION("""COMPUTED_VALUE"""),"БУ Г. ОМСКА ""УДХБ"" 216-РДО от 03.10.2022")</f>
        <v>БУ Г. ОМСКА "УДХБ" 216-РДО от 03.10.2022</v>
      </c>
      <c r="D71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3" t="str">
        <f ca="1">IFERROR(__xludf.DUMMYFUNCTION("""COMPUTED_VALUE"""),"Новый")</f>
        <v>Новый</v>
      </c>
      <c r="G7193" s="68"/>
      <c r="K7193" s="68"/>
    </row>
    <row r="7194" spans="1:11" ht="12.75">
      <c r="A7194" s="69">
        <f ca="1">IFERROR(__xludf.DUMMYFUNCTION("""COMPUTED_VALUE"""),108768)</f>
        <v>108768</v>
      </c>
      <c r="B7194" s="4">
        <f ca="1">IFERROR(__xludf.DUMMYFUNCTION("""COMPUTED_VALUE"""),44837)</f>
        <v>44837</v>
      </c>
      <c r="C7194" t="str">
        <f ca="1">IFERROR(__xludf.DUMMYFUNCTION("""COMPUTED_VALUE"""),"БУ Г. ОМСКА ""УДХБ"" 216-РДО от 03.10.2022")</f>
        <v>БУ Г. ОМСКА "УДХБ" 216-РДО от 03.10.2022</v>
      </c>
      <c r="D71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4" t="str">
        <f ca="1">IFERROR(__xludf.DUMMYFUNCTION("""COMPUTED_VALUE"""),"Новый")</f>
        <v>Новый</v>
      </c>
      <c r="G7194" s="68"/>
      <c r="K7194" s="68"/>
    </row>
    <row r="7195" spans="1:11" ht="12.75">
      <c r="A7195" s="69">
        <f ca="1">IFERROR(__xludf.DUMMYFUNCTION("""COMPUTED_VALUE"""),108769)</f>
        <v>108769</v>
      </c>
      <c r="B7195" s="4">
        <f ca="1">IFERROR(__xludf.DUMMYFUNCTION("""COMPUTED_VALUE"""),44837)</f>
        <v>44837</v>
      </c>
      <c r="C7195" t="str">
        <f ca="1">IFERROR(__xludf.DUMMYFUNCTION("""COMPUTED_VALUE"""),"БУ Г. ОМСКА ""УДХБ"" 216-РДО от 03.10.2022")</f>
        <v>БУ Г. ОМСКА "УДХБ" 216-РДО от 03.10.2022</v>
      </c>
      <c r="D71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5" t="str">
        <f ca="1">IFERROR(__xludf.DUMMYFUNCTION("""COMPUTED_VALUE"""),"Новый")</f>
        <v>Новый</v>
      </c>
      <c r="G7195" s="68"/>
      <c r="K7195" s="68"/>
    </row>
    <row r="7196" spans="1:11" ht="12.75">
      <c r="A7196" s="69">
        <f ca="1">IFERROR(__xludf.DUMMYFUNCTION("""COMPUTED_VALUE"""),108773)</f>
        <v>108773</v>
      </c>
      <c r="B7196" s="4">
        <f ca="1">IFERROR(__xludf.DUMMYFUNCTION("""COMPUTED_VALUE"""),44837)</f>
        <v>44837</v>
      </c>
      <c r="C7196" t="str">
        <f ca="1">IFERROR(__xludf.DUMMYFUNCTION("""COMPUTED_VALUE"""),"БУ Г. ОМСКА ""УДХБ"" 216-РДО от 03.10.2022")</f>
        <v>БУ Г. ОМСКА "УДХБ" 216-РДО от 03.10.2022</v>
      </c>
      <c r="D71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6" t="str">
        <f ca="1">IFERROR(__xludf.DUMMYFUNCTION("""COMPUTED_VALUE"""),"Новый")</f>
        <v>Новый</v>
      </c>
      <c r="G7196" s="68"/>
      <c r="K7196" s="68"/>
    </row>
    <row r="7197" spans="1:11" ht="12.75">
      <c r="A7197" s="69">
        <f ca="1">IFERROR(__xludf.DUMMYFUNCTION("""COMPUTED_VALUE"""),108774)</f>
        <v>108774</v>
      </c>
      <c r="B7197" s="4">
        <f ca="1">IFERROR(__xludf.DUMMYFUNCTION("""COMPUTED_VALUE"""),44837)</f>
        <v>44837</v>
      </c>
      <c r="C7197" t="str">
        <f ca="1">IFERROR(__xludf.DUMMYFUNCTION("""COMPUTED_VALUE"""),"БУ Г. ОМСКА ""УДХБ"" 216-РДО от 03.10.2022")</f>
        <v>БУ Г. ОМСКА "УДХБ" 216-РДО от 03.10.2022</v>
      </c>
      <c r="D71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7" t="str">
        <f ca="1">IFERROR(__xludf.DUMMYFUNCTION("""COMPUTED_VALUE"""),"Новый")</f>
        <v>Новый</v>
      </c>
      <c r="G7197" s="68"/>
      <c r="K7197" s="68"/>
    </row>
    <row r="7198" spans="1:11" ht="12.75">
      <c r="A7198" s="69">
        <f ca="1">IFERROR(__xludf.DUMMYFUNCTION("""COMPUTED_VALUE"""),108775)</f>
        <v>108775</v>
      </c>
      <c r="B7198" s="4">
        <f ca="1">IFERROR(__xludf.DUMMYFUNCTION("""COMPUTED_VALUE"""),44837)</f>
        <v>44837</v>
      </c>
      <c r="C7198" t="str">
        <f ca="1">IFERROR(__xludf.DUMMYFUNCTION("""COMPUTED_VALUE"""),"БУ Г. ОМСКА ""УДХБ"" 216-РДО от 03.10.2022")</f>
        <v>БУ Г. ОМСКА "УДХБ" 216-РДО от 03.10.2022</v>
      </c>
      <c r="D71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8" t="str">
        <f ca="1">IFERROR(__xludf.DUMMYFUNCTION("""COMPUTED_VALUE"""),"Новый")</f>
        <v>Новый</v>
      </c>
      <c r="G7198" s="68"/>
      <c r="K7198" s="68"/>
    </row>
    <row r="7199" spans="1:11" ht="12.75">
      <c r="A7199" s="69">
        <f ca="1">IFERROR(__xludf.DUMMYFUNCTION("""COMPUTED_VALUE"""),108776)</f>
        <v>108776</v>
      </c>
      <c r="B7199" s="4">
        <f ca="1">IFERROR(__xludf.DUMMYFUNCTION("""COMPUTED_VALUE"""),44837)</f>
        <v>44837</v>
      </c>
      <c r="C7199" t="str">
        <f ca="1">IFERROR(__xludf.DUMMYFUNCTION("""COMPUTED_VALUE"""),"БУ Г. ОМСКА ""УДХБ"" 216-РДО от 03.10.2022")</f>
        <v>БУ Г. ОМСКА "УДХБ" 216-РДО от 03.10.2022</v>
      </c>
      <c r="D71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199" t="str">
        <f ca="1">IFERROR(__xludf.DUMMYFUNCTION("""COMPUTED_VALUE"""),"Новый")</f>
        <v>Новый</v>
      </c>
      <c r="G7199" s="68"/>
      <c r="K7199" s="68"/>
    </row>
    <row r="7200" spans="1:11" ht="12.75">
      <c r="A7200" s="69">
        <f ca="1">IFERROR(__xludf.DUMMYFUNCTION("""COMPUTED_VALUE"""),108777)</f>
        <v>108777</v>
      </c>
      <c r="B7200" s="4">
        <f ca="1">IFERROR(__xludf.DUMMYFUNCTION("""COMPUTED_VALUE"""),44837)</f>
        <v>44837</v>
      </c>
      <c r="C7200" t="str">
        <f ca="1">IFERROR(__xludf.DUMMYFUNCTION("""COMPUTED_VALUE"""),"БУ Г. ОМСКА ""УДХБ"" 216-РДО от 03.10.2022")</f>
        <v>БУ Г. ОМСКА "УДХБ" 216-РДО от 03.10.2022</v>
      </c>
      <c r="D72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0" t="str">
        <f ca="1">IFERROR(__xludf.DUMMYFUNCTION("""COMPUTED_VALUE"""),"Новый")</f>
        <v>Новый</v>
      </c>
      <c r="G7200" s="68"/>
      <c r="K7200" s="68"/>
    </row>
    <row r="7201" spans="1:11" ht="12.75">
      <c r="A7201" s="69">
        <f ca="1">IFERROR(__xludf.DUMMYFUNCTION("""COMPUTED_VALUE"""),108778)</f>
        <v>108778</v>
      </c>
      <c r="B7201" s="4">
        <f ca="1">IFERROR(__xludf.DUMMYFUNCTION("""COMPUTED_VALUE"""),44837)</f>
        <v>44837</v>
      </c>
      <c r="C7201" t="str">
        <f ca="1">IFERROR(__xludf.DUMMYFUNCTION("""COMPUTED_VALUE"""),"БУ Г. ОМСКА ""УДХБ"" 216-РДО от 03.10.2022")</f>
        <v>БУ Г. ОМСКА "УДХБ" 216-РДО от 03.10.2022</v>
      </c>
      <c r="D72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1" t="str">
        <f ca="1">IFERROR(__xludf.DUMMYFUNCTION("""COMPUTED_VALUE"""),"Новый")</f>
        <v>Новый</v>
      </c>
      <c r="G7201" s="68"/>
      <c r="K7201" s="68"/>
    </row>
    <row r="7202" spans="1:11" ht="12.75">
      <c r="A7202" s="69">
        <f ca="1">IFERROR(__xludf.DUMMYFUNCTION("""COMPUTED_VALUE"""),108782)</f>
        <v>108782</v>
      </c>
      <c r="B7202" s="4">
        <f ca="1">IFERROR(__xludf.DUMMYFUNCTION("""COMPUTED_VALUE"""),44837)</f>
        <v>44837</v>
      </c>
      <c r="C7202" t="str">
        <f ca="1">IFERROR(__xludf.DUMMYFUNCTION("""COMPUTED_VALUE"""),"БУ Г. ОМСКА ""УДХБ"" 216-РДО от 03.10.2022")</f>
        <v>БУ Г. ОМСКА "УДХБ" 216-РДО от 03.10.2022</v>
      </c>
      <c r="D72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2" t="str">
        <f ca="1">IFERROR(__xludf.DUMMYFUNCTION("""COMPUTED_VALUE"""),"Новый")</f>
        <v>Новый</v>
      </c>
      <c r="G7202" s="68"/>
      <c r="K7202" s="68"/>
    </row>
    <row r="7203" spans="1:11" ht="12.75">
      <c r="A7203" s="69">
        <f ca="1">IFERROR(__xludf.DUMMYFUNCTION("""COMPUTED_VALUE"""),108783)</f>
        <v>108783</v>
      </c>
      <c r="B7203" s="4">
        <f ca="1">IFERROR(__xludf.DUMMYFUNCTION("""COMPUTED_VALUE"""),44837)</f>
        <v>44837</v>
      </c>
      <c r="C7203" t="str">
        <f ca="1">IFERROR(__xludf.DUMMYFUNCTION("""COMPUTED_VALUE"""),"БУ Г. ОМСКА ""УДХБ"" 216-РДО от 03.10.2022")</f>
        <v>БУ Г. ОМСКА "УДХБ" 216-РДО от 03.10.2022</v>
      </c>
      <c r="D72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3" t="str">
        <f ca="1">IFERROR(__xludf.DUMMYFUNCTION("""COMPUTED_VALUE"""),"Новый")</f>
        <v>Новый</v>
      </c>
      <c r="G7203" s="68"/>
      <c r="K7203" s="68"/>
    </row>
    <row r="7204" spans="1:11" ht="12.75">
      <c r="A7204" s="69">
        <f ca="1">IFERROR(__xludf.DUMMYFUNCTION("""COMPUTED_VALUE"""),108784)</f>
        <v>108784</v>
      </c>
      <c r="B7204" s="4">
        <f ca="1">IFERROR(__xludf.DUMMYFUNCTION("""COMPUTED_VALUE"""),44837)</f>
        <v>44837</v>
      </c>
      <c r="C7204" t="str">
        <f ca="1">IFERROR(__xludf.DUMMYFUNCTION("""COMPUTED_VALUE"""),"БУ Г. ОМСКА ""УДХБ"" 216-РДО от 03.10.2022")</f>
        <v>БУ Г. ОМСКА "УДХБ" 216-РДО от 03.10.2022</v>
      </c>
      <c r="D72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4" t="str">
        <f ca="1">IFERROR(__xludf.DUMMYFUNCTION("""COMPUTED_VALUE"""),"Новый")</f>
        <v>Новый</v>
      </c>
      <c r="G7204" s="68"/>
      <c r="K7204" s="68"/>
    </row>
    <row r="7205" spans="1:11" ht="12.75">
      <c r="A7205" s="69">
        <f ca="1">IFERROR(__xludf.DUMMYFUNCTION("""COMPUTED_VALUE"""),108785)</f>
        <v>108785</v>
      </c>
      <c r="B7205" s="4">
        <f ca="1">IFERROR(__xludf.DUMMYFUNCTION("""COMPUTED_VALUE"""),44837)</f>
        <v>44837</v>
      </c>
      <c r="C7205" t="str">
        <f ca="1">IFERROR(__xludf.DUMMYFUNCTION("""COMPUTED_VALUE"""),"БУ Г. ОМСКА ""УДХБ"" 216-РДО от 03.10.2022")</f>
        <v>БУ Г. ОМСКА "УДХБ" 216-РДО от 03.10.2022</v>
      </c>
      <c r="D72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5" t="str">
        <f ca="1">IFERROR(__xludf.DUMMYFUNCTION("""COMPUTED_VALUE"""),"Новый")</f>
        <v>Новый</v>
      </c>
      <c r="G7205" s="68"/>
      <c r="K7205" s="68"/>
    </row>
    <row r="7206" spans="1:11" ht="12.75">
      <c r="A7206" s="69">
        <f ca="1">IFERROR(__xludf.DUMMYFUNCTION("""COMPUTED_VALUE"""),108786)</f>
        <v>108786</v>
      </c>
      <c r="B7206" s="4">
        <f ca="1">IFERROR(__xludf.DUMMYFUNCTION("""COMPUTED_VALUE"""),44837)</f>
        <v>44837</v>
      </c>
      <c r="C7206" t="str">
        <f ca="1">IFERROR(__xludf.DUMMYFUNCTION("""COMPUTED_VALUE"""),"БУ Г. ОМСКА ""УДХБ"" 216-РДО от 03.10.2022")</f>
        <v>БУ Г. ОМСКА "УДХБ" 216-РДО от 03.10.2022</v>
      </c>
      <c r="D72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6" t="str">
        <f ca="1">IFERROR(__xludf.DUMMYFUNCTION("""COMPUTED_VALUE"""),"Новый")</f>
        <v>Новый</v>
      </c>
      <c r="G7206" s="68"/>
      <c r="K7206" s="68"/>
    </row>
    <row r="7207" spans="1:11" ht="12.75">
      <c r="A7207" s="69">
        <f ca="1">IFERROR(__xludf.DUMMYFUNCTION("""COMPUTED_VALUE"""),108787)</f>
        <v>108787</v>
      </c>
      <c r="B7207" s="4">
        <f ca="1">IFERROR(__xludf.DUMMYFUNCTION("""COMPUTED_VALUE"""),44837)</f>
        <v>44837</v>
      </c>
      <c r="C7207" t="str">
        <f ca="1">IFERROR(__xludf.DUMMYFUNCTION("""COMPUTED_VALUE"""),"БУ Г. ОМСКА ""УДХБ"" 216-РДО от 03.10.2022")</f>
        <v>БУ Г. ОМСКА "УДХБ" 216-РДО от 03.10.2022</v>
      </c>
      <c r="D72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7" t="str">
        <f ca="1">IFERROR(__xludf.DUMMYFUNCTION("""COMPUTED_VALUE"""),"Новый")</f>
        <v>Новый</v>
      </c>
      <c r="G7207" s="68"/>
      <c r="K7207" s="68"/>
    </row>
    <row r="7208" spans="1:11" ht="12.75">
      <c r="A7208" s="69">
        <f ca="1">IFERROR(__xludf.DUMMYFUNCTION("""COMPUTED_VALUE"""),108788)</f>
        <v>108788</v>
      </c>
      <c r="B7208" s="4">
        <f ca="1">IFERROR(__xludf.DUMMYFUNCTION("""COMPUTED_VALUE"""),44837)</f>
        <v>44837</v>
      </c>
      <c r="C7208" t="str">
        <f ca="1">IFERROR(__xludf.DUMMYFUNCTION("""COMPUTED_VALUE"""),"БУ Г. ОМСКА ""УДХБ"" 216-РДО от 03.10.2022")</f>
        <v>БУ Г. ОМСКА "УДХБ" 216-РДО от 03.10.2022</v>
      </c>
      <c r="D72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8" t="str">
        <f ca="1">IFERROR(__xludf.DUMMYFUNCTION("""COMPUTED_VALUE"""),"Новый")</f>
        <v>Новый</v>
      </c>
      <c r="G7208" s="68"/>
      <c r="K7208" s="68"/>
    </row>
    <row r="7209" spans="1:11" ht="12.75">
      <c r="A7209" s="69">
        <f ca="1">IFERROR(__xludf.DUMMYFUNCTION("""COMPUTED_VALUE"""),108789)</f>
        <v>108789</v>
      </c>
      <c r="B7209" s="4">
        <f ca="1">IFERROR(__xludf.DUMMYFUNCTION("""COMPUTED_VALUE"""),44837)</f>
        <v>44837</v>
      </c>
      <c r="C7209" t="str">
        <f ca="1">IFERROR(__xludf.DUMMYFUNCTION("""COMPUTED_VALUE"""),"БУ Г. ОМСКА ""УДХБ"" 216-РДО от 03.10.2022")</f>
        <v>БУ Г. ОМСКА "УДХБ" 216-РДО от 03.10.2022</v>
      </c>
      <c r="D72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09" t="str">
        <f ca="1">IFERROR(__xludf.DUMMYFUNCTION("""COMPUTED_VALUE"""),"Новый")</f>
        <v>Новый</v>
      </c>
      <c r="G7209" s="68"/>
      <c r="K7209" s="68"/>
    </row>
    <row r="7210" spans="1:11" ht="12.75">
      <c r="A7210" s="69">
        <f ca="1">IFERROR(__xludf.DUMMYFUNCTION("""COMPUTED_VALUE"""),108790)</f>
        <v>108790</v>
      </c>
      <c r="B7210" s="4">
        <f ca="1">IFERROR(__xludf.DUMMYFUNCTION("""COMPUTED_VALUE"""),44837)</f>
        <v>44837</v>
      </c>
      <c r="C7210" t="str">
        <f ca="1">IFERROR(__xludf.DUMMYFUNCTION("""COMPUTED_VALUE"""),"БУ Г. ОМСКА ""УДХБ"" 216-РДО от 03.10.2022")</f>
        <v>БУ Г. ОМСКА "УДХБ" 216-РДО от 03.10.2022</v>
      </c>
      <c r="D72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0" t="str">
        <f ca="1">IFERROR(__xludf.DUMMYFUNCTION("""COMPUTED_VALUE"""),"Новый")</f>
        <v>Новый</v>
      </c>
      <c r="G7210" s="68"/>
      <c r="K7210" s="68"/>
    </row>
    <row r="7211" spans="1:11" ht="12.75">
      <c r="A7211" s="69">
        <f ca="1">IFERROR(__xludf.DUMMYFUNCTION("""COMPUTED_VALUE"""),108791)</f>
        <v>108791</v>
      </c>
      <c r="B7211" s="4">
        <f ca="1">IFERROR(__xludf.DUMMYFUNCTION("""COMPUTED_VALUE"""),44837)</f>
        <v>44837</v>
      </c>
      <c r="C7211" t="str">
        <f ca="1">IFERROR(__xludf.DUMMYFUNCTION("""COMPUTED_VALUE"""),"БУ Г. ОМСКА ""УДХБ"" 216-РДО от 03.10.2022")</f>
        <v>БУ Г. ОМСКА "УДХБ" 216-РДО от 03.10.2022</v>
      </c>
      <c r="D72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1" t="str">
        <f ca="1">IFERROR(__xludf.DUMMYFUNCTION("""COMPUTED_VALUE"""),"Новый")</f>
        <v>Новый</v>
      </c>
      <c r="G7211" s="68"/>
      <c r="K7211" s="68"/>
    </row>
    <row r="7212" spans="1:11" ht="12.75">
      <c r="A7212" s="69">
        <f ca="1">IFERROR(__xludf.DUMMYFUNCTION("""COMPUTED_VALUE"""),108792)</f>
        <v>108792</v>
      </c>
      <c r="B7212" s="4">
        <f ca="1">IFERROR(__xludf.DUMMYFUNCTION("""COMPUTED_VALUE"""),44837)</f>
        <v>44837</v>
      </c>
      <c r="C7212" t="str">
        <f ca="1">IFERROR(__xludf.DUMMYFUNCTION("""COMPUTED_VALUE"""),"БУ Г. ОМСКА ""УДХБ"" 216-РДО от 03.10.2022")</f>
        <v>БУ Г. ОМСКА "УДХБ" 216-РДО от 03.10.2022</v>
      </c>
      <c r="D72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2" t="str">
        <f ca="1">IFERROR(__xludf.DUMMYFUNCTION("""COMPUTED_VALUE"""),"Новый")</f>
        <v>Новый</v>
      </c>
      <c r="G7212" s="68"/>
      <c r="K7212" s="68"/>
    </row>
    <row r="7213" spans="1:11" ht="12.75">
      <c r="A7213" s="69">
        <f ca="1">IFERROR(__xludf.DUMMYFUNCTION("""COMPUTED_VALUE"""),108793)</f>
        <v>108793</v>
      </c>
      <c r="B7213" s="4">
        <f ca="1">IFERROR(__xludf.DUMMYFUNCTION("""COMPUTED_VALUE"""),44837)</f>
        <v>44837</v>
      </c>
      <c r="C7213" t="str">
        <f ca="1">IFERROR(__xludf.DUMMYFUNCTION("""COMPUTED_VALUE"""),"БУ Г. ОМСКА ""УДХБ"" 216-РДО от 03.10.2022")</f>
        <v>БУ Г. ОМСКА "УДХБ" 216-РДО от 03.10.2022</v>
      </c>
      <c r="D72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3" t="str">
        <f ca="1">IFERROR(__xludf.DUMMYFUNCTION("""COMPUTED_VALUE"""),"Новый")</f>
        <v>Новый</v>
      </c>
      <c r="G7213" s="68"/>
      <c r="K7213" s="68"/>
    </row>
    <row r="7214" spans="1:11" ht="12.75">
      <c r="A7214" s="69">
        <f ca="1">IFERROR(__xludf.DUMMYFUNCTION("""COMPUTED_VALUE"""),108794)</f>
        <v>108794</v>
      </c>
      <c r="B7214" s="4">
        <f ca="1">IFERROR(__xludf.DUMMYFUNCTION("""COMPUTED_VALUE"""),44837)</f>
        <v>44837</v>
      </c>
      <c r="C7214" t="str">
        <f ca="1">IFERROR(__xludf.DUMMYFUNCTION("""COMPUTED_VALUE"""),"БУ Г. ОМСКА ""УДХБ"" 216-РДО от 03.10.2022")</f>
        <v>БУ Г. ОМСКА "УДХБ" 216-РДО от 03.10.2022</v>
      </c>
      <c r="D72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4" t="str">
        <f ca="1">IFERROR(__xludf.DUMMYFUNCTION("""COMPUTED_VALUE"""),"Новый")</f>
        <v>Новый</v>
      </c>
      <c r="G7214" s="68"/>
      <c r="K7214" s="68"/>
    </row>
    <row r="7215" spans="1:11" ht="12.75">
      <c r="A7215" s="69">
        <f ca="1">IFERROR(__xludf.DUMMYFUNCTION("""COMPUTED_VALUE"""),108795)</f>
        <v>108795</v>
      </c>
      <c r="B7215" s="4">
        <f ca="1">IFERROR(__xludf.DUMMYFUNCTION("""COMPUTED_VALUE"""),44837)</f>
        <v>44837</v>
      </c>
      <c r="C7215" t="str">
        <f ca="1">IFERROR(__xludf.DUMMYFUNCTION("""COMPUTED_VALUE"""),"БУ Г. ОМСКА ""УДХБ"" 216-РДО от 03.10.2022")</f>
        <v>БУ Г. ОМСКА "УДХБ" 216-РДО от 03.10.2022</v>
      </c>
      <c r="D72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5" t="str">
        <f ca="1">IFERROR(__xludf.DUMMYFUNCTION("""COMPUTED_VALUE"""),"Новый")</f>
        <v>Новый</v>
      </c>
      <c r="G7215" s="68"/>
      <c r="K7215" s="68"/>
    </row>
    <row r="7216" spans="1:11" ht="12.75">
      <c r="A7216" s="69">
        <f ca="1">IFERROR(__xludf.DUMMYFUNCTION("""COMPUTED_VALUE"""),108796)</f>
        <v>108796</v>
      </c>
      <c r="B7216" s="4">
        <f ca="1">IFERROR(__xludf.DUMMYFUNCTION("""COMPUTED_VALUE"""),44837)</f>
        <v>44837</v>
      </c>
      <c r="C7216" t="str">
        <f ca="1">IFERROR(__xludf.DUMMYFUNCTION("""COMPUTED_VALUE"""),"БУ Г. ОМСКА ""УДХБ"" 216-РДО от 03.10.2022")</f>
        <v>БУ Г. ОМСКА "УДХБ" 216-РДО от 03.10.2022</v>
      </c>
      <c r="D72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6" t="str">
        <f ca="1">IFERROR(__xludf.DUMMYFUNCTION("""COMPUTED_VALUE"""),"Новый")</f>
        <v>Новый</v>
      </c>
      <c r="G7216" s="68"/>
      <c r="K7216" s="68"/>
    </row>
    <row r="7217" spans="1:11" ht="12.75">
      <c r="A7217" s="69">
        <f ca="1">IFERROR(__xludf.DUMMYFUNCTION("""COMPUTED_VALUE"""),108797)</f>
        <v>108797</v>
      </c>
      <c r="B7217" s="4">
        <f ca="1">IFERROR(__xludf.DUMMYFUNCTION("""COMPUTED_VALUE"""),44837)</f>
        <v>44837</v>
      </c>
      <c r="C7217" t="str">
        <f ca="1">IFERROR(__xludf.DUMMYFUNCTION("""COMPUTED_VALUE"""),"БУ Г. ОМСКА ""УДХБ"" 216-РДО от 03.10.2022")</f>
        <v>БУ Г. ОМСКА "УДХБ" 216-РДО от 03.10.2022</v>
      </c>
      <c r="D72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7" t="str">
        <f ca="1">IFERROR(__xludf.DUMMYFUNCTION("""COMPUTED_VALUE"""),"Новый")</f>
        <v>Новый</v>
      </c>
      <c r="G7217" s="68"/>
      <c r="K7217" s="68"/>
    </row>
    <row r="7218" spans="1:11" ht="12.75">
      <c r="A7218" s="69">
        <f ca="1">IFERROR(__xludf.DUMMYFUNCTION("""COMPUTED_VALUE"""),108798)</f>
        <v>108798</v>
      </c>
      <c r="B7218" s="4">
        <f ca="1">IFERROR(__xludf.DUMMYFUNCTION("""COMPUTED_VALUE"""),44837)</f>
        <v>44837</v>
      </c>
      <c r="C7218" t="str">
        <f ca="1">IFERROR(__xludf.DUMMYFUNCTION("""COMPUTED_VALUE"""),"БУ Г. ОМСКА ""УДХБ"" 216-РДО от 03.10.2022")</f>
        <v>БУ Г. ОМСКА "УДХБ" 216-РДО от 03.10.2022</v>
      </c>
      <c r="D72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8" t="str">
        <f ca="1">IFERROR(__xludf.DUMMYFUNCTION("""COMPUTED_VALUE"""),"Новый")</f>
        <v>Новый</v>
      </c>
      <c r="G7218" s="68"/>
      <c r="K7218" s="68"/>
    </row>
    <row r="7219" spans="1:11" ht="12.75">
      <c r="A7219" s="69">
        <f ca="1">IFERROR(__xludf.DUMMYFUNCTION("""COMPUTED_VALUE"""),108799)</f>
        <v>108799</v>
      </c>
      <c r="B7219" s="4">
        <f ca="1">IFERROR(__xludf.DUMMYFUNCTION("""COMPUTED_VALUE"""),44837)</f>
        <v>44837</v>
      </c>
      <c r="C7219" t="str">
        <f ca="1">IFERROR(__xludf.DUMMYFUNCTION("""COMPUTED_VALUE"""),"БУ Г. ОМСКА ""УДХБ"" 216-РДО от 03.10.2022")</f>
        <v>БУ Г. ОМСКА "УДХБ" 216-РДО от 03.10.2022</v>
      </c>
      <c r="D72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19" t="str">
        <f ca="1">IFERROR(__xludf.DUMMYFUNCTION("""COMPUTED_VALUE"""),"Новый")</f>
        <v>Новый</v>
      </c>
      <c r="G7219" s="68"/>
      <c r="K7219" s="68"/>
    </row>
    <row r="7220" spans="1:11" ht="12.75">
      <c r="A7220" s="69">
        <f ca="1">IFERROR(__xludf.DUMMYFUNCTION("""COMPUTED_VALUE"""),108800)</f>
        <v>108800</v>
      </c>
      <c r="B7220" s="4">
        <f ca="1">IFERROR(__xludf.DUMMYFUNCTION("""COMPUTED_VALUE"""),44837)</f>
        <v>44837</v>
      </c>
      <c r="C7220" t="str">
        <f ca="1">IFERROR(__xludf.DUMMYFUNCTION("""COMPUTED_VALUE"""),"БУ Г. ОМСКА ""УДХБ"" 216-РДО от 03.10.2022")</f>
        <v>БУ Г. ОМСКА "УДХБ" 216-РДО от 03.10.2022</v>
      </c>
      <c r="D72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0" t="str">
        <f ca="1">IFERROR(__xludf.DUMMYFUNCTION("""COMPUTED_VALUE"""),"Новый")</f>
        <v>Новый</v>
      </c>
      <c r="G7220" s="68"/>
      <c r="K7220" s="68"/>
    </row>
    <row r="7221" spans="1:11" ht="12.75">
      <c r="A7221" s="69">
        <f ca="1">IFERROR(__xludf.DUMMYFUNCTION("""COMPUTED_VALUE"""),108801)</f>
        <v>108801</v>
      </c>
      <c r="B7221" s="4">
        <f ca="1">IFERROR(__xludf.DUMMYFUNCTION("""COMPUTED_VALUE"""),44837)</f>
        <v>44837</v>
      </c>
      <c r="C7221" t="str">
        <f ca="1">IFERROR(__xludf.DUMMYFUNCTION("""COMPUTED_VALUE"""),"БУ Г. ОМСКА ""УДХБ"" 216-РДО от 03.10.2022")</f>
        <v>БУ Г. ОМСКА "УДХБ" 216-РДО от 03.10.2022</v>
      </c>
      <c r="D72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1" t="str">
        <f ca="1">IFERROR(__xludf.DUMMYFUNCTION("""COMPUTED_VALUE"""),"Новый")</f>
        <v>Новый</v>
      </c>
      <c r="G7221" s="68"/>
      <c r="K7221" s="68"/>
    </row>
    <row r="7222" spans="1:11" ht="12.75">
      <c r="A7222" s="69">
        <f ca="1">IFERROR(__xludf.DUMMYFUNCTION("""COMPUTED_VALUE"""),108802)</f>
        <v>108802</v>
      </c>
      <c r="B7222" s="4">
        <f ca="1">IFERROR(__xludf.DUMMYFUNCTION("""COMPUTED_VALUE"""),44837)</f>
        <v>44837</v>
      </c>
      <c r="C7222" t="str">
        <f ca="1">IFERROR(__xludf.DUMMYFUNCTION("""COMPUTED_VALUE"""),"БУ Г. ОМСКА ""УДХБ"" 216-РДО от 03.10.2022")</f>
        <v>БУ Г. ОМСКА "УДХБ" 216-РДО от 03.10.2022</v>
      </c>
      <c r="D72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2" t="str">
        <f ca="1">IFERROR(__xludf.DUMMYFUNCTION("""COMPUTED_VALUE"""),"Новый")</f>
        <v>Новый</v>
      </c>
      <c r="G7222" s="68"/>
      <c r="K7222" s="68"/>
    </row>
    <row r="7223" spans="1:11" ht="12.75">
      <c r="A7223" s="69">
        <f ca="1">IFERROR(__xludf.DUMMYFUNCTION("""COMPUTED_VALUE"""),108803)</f>
        <v>108803</v>
      </c>
      <c r="B7223" s="4">
        <f ca="1">IFERROR(__xludf.DUMMYFUNCTION("""COMPUTED_VALUE"""),44837)</f>
        <v>44837</v>
      </c>
      <c r="C7223" t="str">
        <f ca="1">IFERROR(__xludf.DUMMYFUNCTION("""COMPUTED_VALUE"""),"БУ Г. ОМСКА ""УДХБ"" 216-РДО от 03.10.2022")</f>
        <v>БУ Г. ОМСКА "УДХБ" 216-РДО от 03.10.2022</v>
      </c>
      <c r="D72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3" t="str">
        <f ca="1">IFERROR(__xludf.DUMMYFUNCTION("""COMPUTED_VALUE"""),"Новый")</f>
        <v>Новый</v>
      </c>
      <c r="G7223" s="68"/>
      <c r="K7223" s="68"/>
    </row>
    <row r="7224" spans="1:11" ht="12.75">
      <c r="A7224" s="69">
        <f ca="1">IFERROR(__xludf.DUMMYFUNCTION("""COMPUTED_VALUE"""),108804)</f>
        <v>108804</v>
      </c>
      <c r="B7224" s="4">
        <f ca="1">IFERROR(__xludf.DUMMYFUNCTION("""COMPUTED_VALUE"""),44837)</f>
        <v>44837</v>
      </c>
      <c r="C7224" t="str">
        <f ca="1">IFERROR(__xludf.DUMMYFUNCTION("""COMPUTED_VALUE"""),"БУ Г. ОМСКА ""УДХБ"" 216-РДО от 03.10.2022")</f>
        <v>БУ Г. ОМСКА "УДХБ" 216-РДО от 03.10.2022</v>
      </c>
      <c r="D72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4" t="str">
        <f ca="1">IFERROR(__xludf.DUMMYFUNCTION("""COMPUTED_VALUE"""),"Новый")</f>
        <v>Новый</v>
      </c>
      <c r="G7224" s="68"/>
      <c r="K7224" s="68"/>
    </row>
    <row r="7225" spans="1:11" ht="12.75">
      <c r="A7225" s="69">
        <f ca="1">IFERROR(__xludf.DUMMYFUNCTION("""COMPUTED_VALUE"""),108805)</f>
        <v>108805</v>
      </c>
      <c r="B7225" s="4">
        <f ca="1">IFERROR(__xludf.DUMMYFUNCTION("""COMPUTED_VALUE"""),44837)</f>
        <v>44837</v>
      </c>
      <c r="C7225" t="str">
        <f ca="1">IFERROR(__xludf.DUMMYFUNCTION("""COMPUTED_VALUE"""),"БУ Г. ОМСКА ""УДХБ"" 216-РДО от 03.10.2022")</f>
        <v>БУ Г. ОМСКА "УДХБ" 216-РДО от 03.10.2022</v>
      </c>
      <c r="D72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5" t="str">
        <f ca="1">IFERROR(__xludf.DUMMYFUNCTION("""COMPUTED_VALUE"""),"Новый")</f>
        <v>Новый</v>
      </c>
      <c r="G7225" s="68"/>
      <c r="K7225" s="68"/>
    </row>
    <row r="7226" spans="1:11" ht="12.75">
      <c r="A7226" s="69">
        <f ca="1">IFERROR(__xludf.DUMMYFUNCTION("""COMPUTED_VALUE"""),108806)</f>
        <v>108806</v>
      </c>
      <c r="B7226" s="4">
        <f ca="1">IFERROR(__xludf.DUMMYFUNCTION("""COMPUTED_VALUE"""),44837)</f>
        <v>44837</v>
      </c>
      <c r="C7226" t="str">
        <f ca="1">IFERROR(__xludf.DUMMYFUNCTION("""COMPUTED_VALUE"""),"БУ Г. ОМСКА ""УДХБ"" 216-РДО от 03.10.2022")</f>
        <v>БУ Г. ОМСКА "УДХБ" 216-РДО от 03.10.2022</v>
      </c>
      <c r="D72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6" t="str">
        <f ca="1">IFERROR(__xludf.DUMMYFUNCTION("""COMPUTED_VALUE"""),"Новый")</f>
        <v>Новый</v>
      </c>
      <c r="G7226" s="68"/>
      <c r="K7226" s="68"/>
    </row>
    <row r="7227" spans="1:11" ht="12.75">
      <c r="A7227" s="69">
        <f ca="1">IFERROR(__xludf.DUMMYFUNCTION("""COMPUTED_VALUE"""),108807)</f>
        <v>108807</v>
      </c>
      <c r="B7227" s="4">
        <f ca="1">IFERROR(__xludf.DUMMYFUNCTION("""COMPUTED_VALUE"""),44837)</f>
        <v>44837</v>
      </c>
      <c r="C7227" t="str">
        <f ca="1">IFERROR(__xludf.DUMMYFUNCTION("""COMPUTED_VALUE"""),"БУ Г. ОМСКА ""УДХБ"" 216-РДО от 03.10.2022")</f>
        <v>БУ Г. ОМСКА "УДХБ" 216-РДО от 03.10.2022</v>
      </c>
      <c r="D72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7" t="str">
        <f ca="1">IFERROR(__xludf.DUMMYFUNCTION("""COMPUTED_VALUE"""),"Новый")</f>
        <v>Новый</v>
      </c>
      <c r="G7227" s="68"/>
      <c r="K7227" s="68"/>
    </row>
    <row r="7228" spans="1:11" ht="12.75">
      <c r="A7228" s="69">
        <f ca="1">IFERROR(__xludf.DUMMYFUNCTION("""COMPUTED_VALUE"""),108808)</f>
        <v>108808</v>
      </c>
      <c r="B7228" s="4">
        <f ca="1">IFERROR(__xludf.DUMMYFUNCTION("""COMPUTED_VALUE"""),44837)</f>
        <v>44837</v>
      </c>
      <c r="C7228" t="str">
        <f ca="1">IFERROR(__xludf.DUMMYFUNCTION("""COMPUTED_VALUE"""),"БУ Г. ОМСКА ""УДХБ"" 216-РДО от 03.10.2022")</f>
        <v>БУ Г. ОМСКА "УДХБ" 216-РДО от 03.10.2022</v>
      </c>
      <c r="D72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8" t="str">
        <f ca="1">IFERROR(__xludf.DUMMYFUNCTION("""COMPUTED_VALUE"""),"Новый")</f>
        <v>Новый</v>
      </c>
      <c r="G7228" s="68"/>
      <c r="K7228" s="68"/>
    </row>
    <row r="7229" spans="1:11" ht="12.75">
      <c r="A7229" s="69">
        <f ca="1">IFERROR(__xludf.DUMMYFUNCTION("""COMPUTED_VALUE"""),108809)</f>
        <v>108809</v>
      </c>
      <c r="B7229" s="4">
        <f ca="1">IFERROR(__xludf.DUMMYFUNCTION("""COMPUTED_VALUE"""),44837)</f>
        <v>44837</v>
      </c>
      <c r="C7229" t="str">
        <f ca="1">IFERROR(__xludf.DUMMYFUNCTION("""COMPUTED_VALUE"""),"БУ Г. ОМСКА ""УДХБ"" 216-РДО от 03.10.2022")</f>
        <v>БУ Г. ОМСКА "УДХБ" 216-РДО от 03.10.2022</v>
      </c>
      <c r="D72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29" t="str">
        <f ca="1">IFERROR(__xludf.DUMMYFUNCTION("""COMPUTED_VALUE"""),"Новый")</f>
        <v>Новый</v>
      </c>
      <c r="G7229" s="68"/>
      <c r="K7229" s="68"/>
    </row>
    <row r="7230" spans="1:11" ht="12.75">
      <c r="A7230" s="69">
        <f ca="1">IFERROR(__xludf.DUMMYFUNCTION("""COMPUTED_VALUE"""),108810)</f>
        <v>108810</v>
      </c>
      <c r="B7230" s="4">
        <f ca="1">IFERROR(__xludf.DUMMYFUNCTION("""COMPUTED_VALUE"""),44837)</f>
        <v>44837</v>
      </c>
      <c r="C7230" t="str">
        <f ca="1">IFERROR(__xludf.DUMMYFUNCTION("""COMPUTED_VALUE"""),"БУ Г. ОМСКА ""УДХБ"" 216-РДО от 03.10.2022")</f>
        <v>БУ Г. ОМСКА "УДХБ" 216-РДО от 03.10.2022</v>
      </c>
      <c r="D72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0" t="str">
        <f ca="1">IFERROR(__xludf.DUMMYFUNCTION("""COMPUTED_VALUE"""),"Новый")</f>
        <v>Новый</v>
      </c>
      <c r="G7230" s="68"/>
      <c r="K7230" s="68"/>
    </row>
    <row r="7231" spans="1:11" ht="12.75">
      <c r="A7231" s="69">
        <f ca="1">IFERROR(__xludf.DUMMYFUNCTION("""COMPUTED_VALUE"""),108811)</f>
        <v>108811</v>
      </c>
      <c r="B7231" s="4">
        <f ca="1">IFERROR(__xludf.DUMMYFUNCTION("""COMPUTED_VALUE"""),44837)</f>
        <v>44837</v>
      </c>
      <c r="C7231" t="str">
        <f ca="1">IFERROR(__xludf.DUMMYFUNCTION("""COMPUTED_VALUE"""),"БУ Г. ОМСКА ""УДХБ"" 216-РДО от 03.10.2022")</f>
        <v>БУ Г. ОМСКА "УДХБ" 216-РДО от 03.10.2022</v>
      </c>
      <c r="D72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1" t="str">
        <f ca="1">IFERROR(__xludf.DUMMYFUNCTION("""COMPUTED_VALUE"""),"Новый")</f>
        <v>Новый</v>
      </c>
      <c r="G7231" s="68"/>
      <c r="K7231" s="68"/>
    </row>
    <row r="7232" spans="1:11" ht="12.75">
      <c r="A7232" s="69">
        <f ca="1">IFERROR(__xludf.DUMMYFUNCTION("""COMPUTED_VALUE"""),108812)</f>
        <v>108812</v>
      </c>
      <c r="B7232" s="4">
        <f ca="1">IFERROR(__xludf.DUMMYFUNCTION("""COMPUTED_VALUE"""),44837)</f>
        <v>44837</v>
      </c>
      <c r="C7232" t="str">
        <f ca="1">IFERROR(__xludf.DUMMYFUNCTION("""COMPUTED_VALUE"""),"БУ Г. ОМСКА ""УДХБ"" 216-РДО от 03.10.2022")</f>
        <v>БУ Г. ОМСКА "УДХБ" 216-РДО от 03.10.2022</v>
      </c>
      <c r="D72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2" t="str">
        <f ca="1">IFERROR(__xludf.DUMMYFUNCTION("""COMPUTED_VALUE"""),"Новый")</f>
        <v>Новый</v>
      </c>
      <c r="G7232" s="68"/>
      <c r="K7232" s="68"/>
    </row>
    <row r="7233" spans="1:11" ht="12.75">
      <c r="A7233" s="69">
        <f ca="1">IFERROR(__xludf.DUMMYFUNCTION("""COMPUTED_VALUE"""),108813)</f>
        <v>108813</v>
      </c>
      <c r="B7233" s="4">
        <f ca="1">IFERROR(__xludf.DUMMYFUNCTION("""COMPUTED_VALUE"""),44837)</f>
        <v>44837</v>
      </c>
      <c r="C7233" t="str">
        <f ca="1">IFERROR(__xludf.DUMMYFUNCTION("""COMPUTED_VALUE"""),"БУ Г. ОМСКА ""УДХБ"" 216-РДО от 03.10.2022")</f>
        <v>БУ Г. ОМСКА "УДХБ" 216-РДО от 03.10.2022</v>
      </c>
      <c r="D72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3" t="str">
        <f ca="1">IFERROR(__xludf.DUMMYFUNCTION("""COMPUTED_VALUE"""),"Новый")</f>
        <v>Новый</v>
      </c>
      <c r="G7233" s="68"/>
      <c r="K7233" s="68"/>
    </row>
    <row r="7234" spans="1:11" ht="12.75">
      <c r="A7234" s="69">
        <f ca="1">IFERROR(__xludf.DUMMYFUNCTION("""COMPUTED_VALUE"""),108814)</f>
        <v>108814</v>
      </c>
      <c r="B7234" s="4">
        <f ca="1">IFERROR(__xludf.DUMMYFUNCTION("""COMPUTED_VALUE"""),44837)</f>
        <v>44837</v>
      </c>
      <c r="C7234" t="str">
        <f ca="1">IFERROR(__xludf.DUMMYFUNCTION("""COMPUTED_VALUE"""),"БУ Г. ОМСКА ""УДХБ"" 216-РДО от 03.10.2022")</f>
        <v>БУ Г. ОМСКА "УДХБ" 216-РДО от 03.10.2022</v>
      </c>
      <c r="D72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4" t="str">
        <f ca="1">IFERROR(__xludf.DUMMYFUNCTION("""COMPUTED_VALUE"""),"Новый")</f>
        <v>Новый</v>
      </c>
      <c r="G7234" s="68"/>
      <c r="K7234" s="68"/>
    </row>
    <row r="7235" spans="1:11" ht="12.75">
      <c r="A7235" s="69">
        <f ca="1">IFERROR(__xludf.DUMMYFUNCTION("""COMPUTED_VALUE"""),108815)</f>
        <v>108815</v>
      </c>
      <c r="B7235" s="4">
        <f ca="1">IFERROR(__xludf.DUMMYFUNCTION("""COMPUTED_VALUE"""),44837)</f>
        <v>44837</v>
      </c>
      <c r="C7235" t="str">
        <f ca="1">IFERROR(__xludf.DUMMYFUNCTION("""COMPUTED_VALUE"""),"БУ Г. ОМСКА ""УДХБ"" 216-РДО от 03.10.2022")</f>
        <v>БУ Г. ОМСКА "УДХБ" 216-РДО от 03.10.2022</v>
      </c>
      <c r="D72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5" t="str">
        <f ca="1">IFERROR(__xludf.DUMMYFUNCTION("""COMPUTED_VALUE"""),"Новый")</f>
        <v>Новый</v>
      </c>
      <c r="G7235" s="68"/>
      <c r="K7235" s="68"/>
    </row>
    <row r="7236" spans="1:11" ht="12.75">
      <c r="A7236" s="69">
        <f ca="1">IFERROR(__xludf.DUMMYFUNCTION("""COMPUTED_VALUE"""),108816)</f>
        <v>108816</v>
      </c>
      <c r="B7236" s="4">
        <f ca="1">IFERROR(__xludf.DUMMYFUNCTION("""COMPUTED_VALUE"""),44837)</f>
        <v>44837</v>
      </c>
      <c r="C7236" t="str">
        <f ca="1">IFERROR(__xludf.DUMMYFUNCTION("""COMPUTED_VALUE"""),"БУ Г. ОМСКА ""УДХБ"" 216-РДО от 03.10.2022")</f>
        <v>БУ Г. ОМСКА "УДХБ" 216-РДО от 03.10.2022</v>
      </c>
      <c r="D72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6" t="str">
        <f ca="1">IFERROR(__xludf.DUMMYFUNCTION("""COMPUTED_VALUE"""),"Новый")</f>
        <v>Новый</v>
      </c>
      <c r="G7236" s="68"/>
      <c r="K7236" s="68"/>
    </row>
    <row r="7237" spans="1:11" ht="12.75">
      <c r="A7237" s="69">
        <f ca="1">IFERROR(__xludf.DUMMYFUNCTION("""COMPUTED_VALUE"""),108817)</f>
        <v>108817</v>
      </c>
      <c r="B7237" s="4">
        <f ca="1">IFERROR(__xludf.DUMMYFUNCTION("""COMPUTED_VALUE"""),44837)</f>
        <v>44837</v>
      </c>
      <c r="C7237" t="str">
        <f ca="1">IFERROR(__xludf.DUMMYFUNCTION("""COMPUTED_VALUE"""),"БУ Г. ОМСКА ""УДХБ"" 216-РДО от 03.10.2022")</f>
        <v>БУ Г. ОМСКА "УДХБ" 216-РДО от 03.10.2022</v>
      </c>
      <c r="D72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7" t="str">
        <f ca="1">IFERROR(__xludf.DUMMYFUNCTION("""COMPUTED_VALUE"""),"Новый")</f>
        <v>Новый</v>
      </c>
      <c r="G7237" s="68"/>
      <c r="K7237" s="68"/>
    </row>
    <row r="7238" spans="1:11" ht="12.75">
      <c r="A7238" s="69">
        <f ca="1">IFERROR(__xludf.DUMMYFUNCTION("""COMPUTED_VALUE"""),108818)</f>
        <v>108818</v>
      </c>
      <c r="B7238" s="4">
        <f ca="1">IFERROR(__xludf.DUMMYFUNCTION("""COMPUTED_VALUE"""),44837)</f>
        <v>44837</v>
      </c>
      <c r="C7238" t="str">
        <f ca="1">IFERROR(__xludf.DUMMYFUNCTION("""COMPUTED_VALUE"""),"БУ Г. ОМСКА ""УДХБ"" 216-РДО от 03.10.2022")</f>
        <v>БУ Г. ОМСКА "УДХБ" 216-РДО от 03.10.2022</v>
      </c>
      <c r="D72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8" t="str">
        <f ca="1">IFERROR(__xludf.DUMMYFUNCTION("""COMPUTED_VALUE"""),"Новый")</f>
        <v>Новый</v>
      </c>
      <c r="G7238" s="68"/>
      <c r="K7238" s="68"/>
    </row>
    <row r="7239" spans="1:11" ht="12.75">
      <c r="A7239" s="69">
        <f ca="1">IFERROR(__xludf.DUMMYFUNCTION("""COMPUTED_VALUE"""),108819)</f>
        <v>108819</v>
      </c>
      <c r="B7239" s="4">
        <f ca="1">IFERROR(__xludf.DUMMYFUNCTION("""COMPUTED_VALUE"""),44837)</f>
        <v>44837</v>
      </c>
      <c r="C7239" t="str">
        <f ca="1">IFERROR(__xludf.DUMMYFUNCTION("""COMPUTED_VALUE"""),"БУ Г. ОМСКА ""УДХБ"" 216-РДО от 03.10.2022")</f>
        <v>БУ Г. ОМСКА "УДХБ" 216-РДО от 03.10.2022</v>
      </c>
      <c r="D72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39" t="str">
        <f ca="1">IFERROR(__xludf.DUMMYFUNCTION("""COMPUTED_VALUE"""),"Новый")</f>
        <v>Новый</v>
      </c>
      <c r="G7239" s="68"/>
      <c r="K7239" s="68"/>
    </row>
    <row r="7240" spans="1:11" ht="12.75">
      <c r="A7240" s="69">
        <f ca="1">IFERROR(__xludf.DUMMYFUNCTION("""COMPUTED_VALUE"""),108820)</f>
        <v>108820</v>
      </c>
      <c r="B7240" s="4">
        <f ca="1">IFERROR(__xludf.DUMMYFUNCTION("""COMPUTED_VALUE"""),44837)</f>
        <v>44837</v>
      </c>
      <c r="C7240" t="str">
        <f ca="1">IFERROR(__xludf.DUMMYFUNCTION("""COMPUTED_VALUE"""),"БУ Г. ОМСКА ""УДХБ"" 216-РДО от 03.10.2022")</f>
        <v>БУ Г. ОМСКА "УДХБ" 216-РДО от 03.10.2022</v>
      </c>
      <c r="D72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0" t="str">
        <f ca="1">IFERROR(__xludf.DUMMYFUNCTION("""COMPUTED_VALUE"""),"Новый")</f>
        <v>Новый</v>
      </c>
      <c r="G7240" s="68"/>
      <c r="K7240" s="68"/>
    </row>
    <row r="7241" spans="1:11" ht="12.75">
      <c r="A7241" s="69">
        <f ca="1">IFERROR(__xludf.DUMMYFUNCTION("""COMPUTED_VALUE"""),108821)</f>
        <v>108821</v>
      </c>
      <c r="B7241" s="4">
        <f ca="1">IFERROR(__xludf.DUMMYFUNCTION("""COMPUTED_VALUE"""),44837)</f>
        <v>44837</v>
      </c>
      <c r="C7241" t="str">
        <f ca="1">IFERROR(__xludf.DUMMYFUNCTION("""COMPUTED_VALUE"""),"БУ Г. ОМСКА ""УДХБ"" 216-РДО от 03.10.2022")</f>
        <v>БУ Г. ОМСКА "УДХБ" 216-РДО от 03.10.2022</v>
      </c>
      <c r="D72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1" t="str">
        <f ca="1">IFERROR(__xludf.DUMMYFUNCTION("""COMPUTED_VALUE"""),"Новый")</f>
        <v>Новый</v>
      </c>
      <c r="G7241" s="68"/>
      <c r="K7241" s="68"/>
    </row>
    <row r="7242" spans="1:11" ht="12.75">
      <c r="A7242" s="69">
        <f ca="1">IFERROR(__xludf.DUMMYFUNCTION("""COMPUTED_VALUE"""),108822)</f>
        <v>108822</v>
      </c>
      <c r="B7242" s="4">
        <f ca="1">IFERROR(__xludf.DUMMYFUNCTION("""COMPUTED_VALUE"""),44837)</f>
        <v>44837</v>
      </c>
      <c r="C7242" t="str">
        <f ca="1">IFERROR(__xludf.DUMMYFUNCTION("""COMPUTED_VALUE"""),"БУ Г. ОМСКА ""УДХБ"" 216-РДО от 03.10.2022")</f>
        <v>БУ Г. ОМСКА "УДХБ" 216-РДО от 03.10.2022</v>
      </c>
      <c r="D72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2" t="str">
        <f ca="1">IFERROR(__xludf.DUMMYFUNCTION("""COMPUTED_VALUE"""),"Новый")</f>
        <v>Новый</v>
      </c>
      <c r="G7242" s="68"/>
      <c r="K7242" s="68"/>
    </row>
    <row r="7243" spans="1:11" ht="12.75">
      <c r="A7243" s="69">
        <f ca="1">IFERROR(__xludf.DUMMYFUNCTION("""COMPUTED_VALUE"""),108823)</f>
        <v>108823</v>
      </c>
      <c r="B7243" s="4">
        <f ca="1">IFERROR(__xludf.DUMMYFUNCTION("""COMPUTED_VALUE"""),44837)</f>
        <v>44837</v>
      </c>
      <c r="C7243" t="str">
        <f ca="1">IFERROR(__xludf.DUMMYFUNCTION("""COMPUTED_VALUE"""),"БУ Г. ОМСКА ""УДХБ"" 216-РДО от 03.10.2022")</f>
        <v>БУ Г. ОМСКА "УДХБ" 216-РДО от 03.10.2022</v>
      </c>
      <c r="D72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3" t="str">
        <f ca="1">IFERROR(__xludf.DUMMYFUNCTION("""COMPUTED_VALUE"""),"Новый")</f>
        <v>Новый</v>
      </c>
      <c r="G7243" s="68"/>
      <c r="K7243" s="68"/>
    </row>
    <row r="7244" spans="1:11" ht="12.75">
      <c r="A7244" s="69">
        <f ca="1">IFERROR(__xludf.DUMMYFUNCTION("""COMPUTED_VALUE"""),108824)</f>
        <v>108824</v>
      </c>
      <c r="B7244" s="4">
        <f ca="1">IFERROR(__xludf.DUMMYFUNCTION("""COMPUTED_VALUE"""),44837)</f>
        <v>44837</v>
      </c>
      <c r="C7244" t="str">
        <f ca="1">IFERROR(__xludf.DUMMYFUNCTION("""COMPUTED_VALUE"""),"БУ Г. ОМСКА ""УДХБ"" 216-РДО от 03.10.2022")</f>
        <v>БУ Г. ОМСКА "УДХБ" 216-РДО от 03.10.2022</v>
      </c>
      <c r="D72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4" t="str">
        <f ca="1">IFERROR(__xludf.DUMMYFUNCTION("""COMPUTED_VALUE"""),"Новый")</f>
        <v>Новый</v>
      </c>
      <c r="G7244" s="68"/>
      <c r="K7244" s="68"/>
    </row>
    <row r="7245" spans="1:11" ht="12.75">
      <c r="A7245" s="69">
        <f ca="1">IFERROR(__xludf.DUMMYFUNCTION("""COMPUTED_VALUE"""),108825)</f>
        <v>108825</v>
      </c>
      <c r="B7245" s="4">
        <f ca="1">IFERROR(__xludf.DUMMYFUNCTION("""COMPUTED_VALUE"""),44837)</f>
        <v>44837</v>
      </c>
      <c r="C7245" t="str">
        <f ca="1">IFERROR(__xludf.DUMMYFUNCTION("""COMPUTED_VALUE"""),"БУ Г. ОМСКА ""УДХБ"" 216-РДО от 03.10.2022")</f>
        <v>БУ Г. ОМСКА "УДХБ" 216-РДО от 03.10.2022</v>
      </c>
      <c r="D72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5" t="str">
        <f ca="1">IFERROR(__xludf.DUMMYFUNCTION("""COMPUTED_VALUE"""),"Новый")</f>
        <v>Новый</v>
      </c>
      <c r="G7245" s="68"/>
      <c r="K7245" s="68"/>
    </row>
    <row r="7246" spans="1:11" ht="12.75">
      <c r="A7246" s="69">
        <f ca="1">IFERROR(__xludf.DUMMYFUNCTION("""COMPUTED_VALUE"""),108826)</f>
        <v>108826</v>
      </c>
      <c r="B7246" s="4">
        <f ca="1">IFERROR(__xludf.DUMMYFUNCTION("""COMPUTED_VALUE"""),44837)</f>
        <v>44837</v>
      </c>
      <c r="C7246" t="str">
        <f ca="1">IFERROR(__xludf.DUMMYFUNCTION("""COMPUTED_VALUE"""),"БУ Г. ОМСКА ""УДХБ"" 216-РДО от 03.10.2022")</f>
        <v>БУ Г. ОМСКА "УДХБ" 216-РДО от 03.10.2022</v>
      </c>
      <c r="D72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6" t="str">
        <f ca="1">IFERROR(__xludf.DUMMYFUNCTION("""COMPUTED_VALUE"""),"Новый")</f>
        <v>Новый</v>
      </c>
      <c r="G7246" s="68"/>
      <c r="K7246" s="68"/>
    </row>
    <row r="7247" spans="1:11" ht="12.75">
      <c r="A7247" s="69">
        <f ca="1">IFERROR(__xludf.DUMMYFUNCTION("""COMPUTED_VALUE"""),108827)</f>
        <v>108827</v>
      </c>
      <c r="B7247" s="4">
        <f ca="1">IFERROR(__xludf.DUMMYFUNCTION("""COMPUTED_VALUE"""),44837)</f>
        <v>44837</v>
      </c>
      <c r="C7247" t="str">
        <f ca="1">IFERROR(__xludf.DUMMYFUNCTION("""COMPUTED_VALUE"""),"БУ Г. ОМСКА ""УДХБ"" 216-РДО от 03.10.2022")</f>
        <v>БУ Г. ОМСКА "УДХБ" 216-РДО от 03.10.2022</v>
      </c>
      <c r="D72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7" t="str">
        <f ca="1">IFERROR(__xludf.DUMMYFUNCTION("""COMPUTED_VALUE"""),"Новый")</f>
        <v>Новый</v>
      </c>
      <c r="G7247" s="68"/>
      <c r="K7247" s="68"/>
    </row>
    <row r="7248" spans="1:11" ht="12.75">
      <c r="A7248" s="69">
        <f ca="1">IFERROR(__xludf.DUMMYFUNCTION("""COMPUTED_VALUE"""),108828)</f>
        <v>108828</v>
      </c>
      <c r="B7248" s="4">
        <f ca="1">IFERROR(__xludf.DUMMYFUNCTION("""COMPUTED_VALUE"""),44837)</f>
        <v>44837</v>
      </c>
      <c r="C7248" t="str">
        <f ca="1">IFERROR(__xludf.DUMMYFUNCTION("""COMPUTED_VALUE"""),"БУ Г. ОМСКА ""УДХБ"" 216-РДО от 03.10.2022")</f>
        <v>БУ Г. ОМСКА "УДХБ" 216-РДО от 03.10.2022</v>
      </c>
      <c r="D72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8" t="str">
        <f ca="1">IFERROR(__xludf.DUMMYFUNCTION("""COMPUTED_VALUE"""),"Новый")</f>
        <v>Новый</v>
      </c>
      <c r="G7248" s="68"/>
      <c r="K7248" s="68"/>
    </row>
    <row r="7249" spans="1:11" ht="12.75">
      <c r="A7249" s="69">
        <f ca="1">IFERROR(__xludf.DUMMYFUNCTION("""COMPUTED_VALUE"""),108829)</f>
        <v>108829</v>
      </c>
      <c r="B7249" s="4">
        <f ca="1">IFERROR(__xludf.DUMMYFUNCTION("""COMPUTED_VALUE"""),44837)</f>
        <v>44837</v>
      </c>
      <c r="C7249" t="str">
        <f ca="1">IFERROR(__xludf.DUMMYFUNCTION("""COMPUTED_VALUE"""),"БУ Г. ОМСКА ""УДХБ"" 216-РДО от 03.10.2022")</f>
        <v>БУ Г. ОМСКА "УДХБ" 216-РДО от 03.10.2022</v>
      </c>
      <c r="D72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49" t="str">
        <f ca="1">IFERROR(__xludf.DUMMYFUNCTION("""COMPUTED_VALUE"""),"Новый")</f>
        <v>Новый</v>
      </c>
      <c r="G7249" s="68"/>
      <c r="K7249" s="68"/>
    </row>
    <row r="7250" spans="1:11" ht="12.75">
      <c r="A7250" s="69">
        <f ca="1">IFERROR(__xludf.DUMMYFUNCTION("""COMPUTED_VALUE"""),108830)</f>
        <v>108830</v>
      </c>
      <c r="B7250" s="4">
        <f ca="1">IFERROR(__xludf.DUMMYFUNCTION("""COMPUTED_VALUE"""),44837)</f>
        <v>44837</v>
      </c>
      <c r="C7250" t="str">
        <f ca="1">IFERROR(__xludf.DUMMYFUNCTION("""COMPUTED_VALUE"""),"БУ Г. ОМСКА ""УДХБ"" 216-РДО от 03.10.2022")</f>
        <v>БУ Г. ОМСКА "УДХБ" 216-РДО от 03.10.2022</v>
      </c>
      <c r="D72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0" t="str">
        <f ca="1">IFERROR(__xludf.DUMMYFUNCTION("""COMPUTED_VALUE"""),"Новый")</f>
        <v>Новый</v>
      </c>
      <c r="G7250" s="68"/>
      <c r="K7250" s="68"/>
    </row>
    <row r="7251" spans="1:11" ht="12.75">
      <c r="A7251" s="69">
        <f ca="1">IFERROR(__xludf.DUMMYFUNCTION("""COMPUTED_VALUE"""),108831)</f>
        <v>108831</v>
      </c>
      <c r="B7251" s="4">
        <f ca="1">IFERROR(__xludf.DUMMYFUNCTION("""COMPUTED_VALUE"""),44837)</f>
        <v>44837</v>
      </c>
      <c r="C7251" t="str">
        <f ca="1">IFERROR(__xludf.DUMMYFUNCTION("""COMPUTED_VALUE"""),"БУ Г. ОМСКА ""УДХБ"" 216-РДО от 03.10.2022")</f>
        <v>БУ Г. ОМСКА "УДХБ" 216-РДО от 03.10.2022</v>
      </c>
      <c r="D72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1" t="str">
        <f ca="1">IFERROR(__xludf.DUMMYFUNCTION("""COMPUTED_VALUE"""),"Новый")</f>
        <v>Новый</v>
      </c>
      <c r="G7251" s="68"/>
      <c r="K7251" s="68"/>
    </row>
    <row r="7252" spans="1:11" ht="12.75">
      <c r="A7252" s="69">
        <f ca="1">IFERROR(__xludf.DUMMYFUNCTION("""COMPUTED_VALUE"""),108832)</f>
        <v>108832</v>
      </c>
      <c r="B7252" s="4">
        <f ca="1">IFERROR(__xludf.DUMMYFUNCTION("""COMPUTED_VALUE"""),44837)</f>
        <v>44837</v>
      </c>
      <c r="C7252" t="str">
        <f ca="1">IFERROR(__xludf.DUMMYFUNCTION("""COMPUTED_VALUE"""),"БУ Г. ОМСКА ""УДХБ"" 216-РДО от 03.10.2022")</f>
        <v>БУ Г. ОМСКА "УДХБ" 216-РДО от 03.10.2022</v>
      </c>
      <c r="D72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2" t="str">
        <f ca="1">IFERROR(__xludf.DUMMYFUNCTION("""COMPUTED_VALUE"""),"Новый")</f>
        <v>Новый</v>
      </c>
      <c r="G7252" s="68"/>
      <c r="K7252" s="68"/>
    </row>
    <row r="7253" spans="1:11" ht="12.75">
      <c r="A7253" s="69">
        <f ca="1">IFERROR(__xludf.DUMMYFUNCTION("""COMPUTED_VALUE"""),108833)</f>
        <v>108833</v>
      </c>
      <c r="B7253" s="4">
        <f ca="1">IFERROR(__xludf.DUMMYFUNCTION("""COMPUTED_VALUE"""),44837)</f>
        <v>44837</v>
      </c>
      <c r="C7253" t="str">
        <f ca="1">IFERROR(__xludf.DUMMYFUNCTION("""COMPUTED_VALUE"""),"БУ Г. ОМСКА ""УДХБ"" 216-РДО от 03.10.2022")</f>
        <v>БУ Г. ОМСКА "УДХБ" 216-РДО от 03.10.2022</v>
      </c>
      <c r="D72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3" t="str">
        <f ca="1">IFERROR(__xludf.DUMMYFUNCTION("""COMPUTED_VALUE"""),"Новый")</f>
        <v>Новый</v>
      </c>
      <c r="G7253" s="68"/>
      <c r="K7253" s="68"/>
    </row>
    <row r="7254" spans="1:11" ht="12.75">
      <c r="A7254" s="69">
        <f ca="1">IFERROR(__xludf.DUMMYFUNCTION("""COMPUTED_VALUE"""),108834)</f>
        <v>108834</v>
      </c>
      <c r="B7254" s="4">
        <f ca="1">IFERROR(__xludf.DUMMYFUNCTION("""COMPUTED_VALUE"""),44837)</f>
        <v>44837</v>
      </c>
      <c r="C7254" t="str">
        <f ca="1">IFERROR(__xludf.DUMMYFUNCTION("""COMPUTED_VALUE"""),"БУ Г. ОМСКА ""УДХБ"" 216-РДО от 03.10.2022")</f>
        <v>БУ Г. ОМСКА "УДХБ" 216-РДО от 03.10.2022</v>
      </c>
      <c r="D72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4" t="str">
        <f ca="1">IFERROR(__xludf.DUMMYFUNCTION("""COMPUTED_VALUE"""),"Новый")</f>
        <v>Новый</v>
      </c>
      <c r="G7254" s="68"/>
      <c r="K7254" s="68"/>
    </row>
    <row r="7255" spans="1:11" ht="12.75">
      <c r="A7255" s="69">
        <f ca="1">IFERROR(__xludf.DUMMYFUNCTION("""COMPUTED_VALUE"""),108835)</f>
        <v>108835</v>
      </c>
      <c r="B7255" s="4">
        <f ca="1">IFERROR(__xludf.DUMMYFUNCTION("""COMPUTED_VALUE"""),44837)</f>
        <v>44837</v>
      </c>
      <c r="C7255" t="str">
        <f ca="1">IFERROR(__xludf.DUMMYFUNCTION("""COMPUTED_VALUE"""),"БУ Г. ОМСКА ""УДХБ"" 216-РДО от 03.10.2022")</f>
        <v>БУ Г. ОМСКА "УДХБ" 216-РДО от 03.10.2022</v>
      </c>
      <c r="D72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5" t="str">
        <f ca="1">IFERROR(__xludf.DUMMYFUNCTION("""COMPUTED_VALUE"""),"Новый")</f>
        <v>Новый</v>
      </c>
      <c r="G7255" s="68"/>
      <c r="K7255" s="68"/>
    </row>
    <row r="7256" spans="1:11" ht="12.75">
      <c r="A7256" s="69">
        <f ca="1">IFERROR(__xludf.DUMMYFUNCTION("""COMPUTED_VALUE"""),108836)</f>
        <v>108836</v>
      </c>
      <c r="B7256" s="4">
        <f ca="1">IFERROR(__xludf.DUMMYFUNCTION("""COMPUTED_VALUE"""),44837)</f>
        <v>44837</v>
      </c>
      <c r="C7256" t="str">
        <f ca="1">IFERROR(__xludf.DUMMYFUNCTION("""COMPUTED_VALUE"""),"БУ Г. ОМСКА ""УДХБ"" 216-РДО от 03.10.2022")</f>
        <v>БУ Г. ОМСКА "УДХБ" 216-РДО от 03.10.2022</v>
      </c>
      <c r="D72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6" t="str">
        <f ca="1">IFERROR(__xludf.DUMMYFUNCTION("""COMPUTED_VALUE"""),"Новый")</f>
        <v>Новый</v>
      </c>
      <c r="G7256" s="68"/>
      <c r="K7256" s="68"/>
    </row>
    <row r="7257" spans="1:11" ht="12.75">
      <c r="A7257" s="69">
        <f ca="1">IFERROR(__xludf.DUMMYFUNCTION("""COMPUTED_VALUE"""),108837)</f>
        <v>108837</v>
      </c>
      <c r="B7257" s="4">
        <f ca="1">IFERROR(__xludf.DUMMYFUNCTION("""COMPUTED_VALUE"""),44837)</f>
        <v>44837</v>
      </c>
      <c r="C7257" t="str">
        <f ca="1">IFERROR(__xludf.DUMMYFUNCTION("""COMPUTED_VALUE"""),"БУ Г. ОМСКА ""УДХБ"" 216-РДО от 03.10.2022")</f>
        <v>БУ Г. ОМСКА "УДХБ" 216-РДО от 03.10.2022</v>
      </c>
      <c r="D72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7" t="str">
        <f ca="1">IFERROR(__xludf.DUMMYFUNCTION("""COMPUTED_VALUE"""),"Новый")</f>
        <v>Новый</v>
      </c>
      <c r="G7257" s="68"/>
      <c r="K7257" s="68"/>
    </row>
    <row r="7258" spans="1:11" ht="12.75">
      <c r="A7258" s="69">
        <f ca="1">IFERROR(__xludf.DUMMYFUNCTION("""COMPUTED_VALUE"""),108838)</f>
        <v>108838</v>
      </c>
      <c r="B7258" s="4">
        <f ca="1">IFERROR(__xludf.DUMMYFUNCTION("""COMPUTED_VALUE"""),44837)</f>
        <v>44837</v>
      </c>
      <c r="C7258" t="str">
        <f ca="1">IFERROR(__xludf.DUMMYFUNCTION("""COMPUTED_VALUE"""),"БУ Г. ОМСКА ""УДХБ"" 216-РДО от 03.10.2022")</f>
        <v>БУ Г. ОМСКА "УДХБ" 216-РДО от 03.10.2022</v>
      </c>
      <c r="D72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8" t="str">
        <f ca="1">IFERROR(__xludf.DUMMYFUNCTION("""COMPUTED_VALUE"""),"Новый")</f>
        <v>Новый</v>
      </c>
      <c r="G7258" s="68"/>
      <c r="K7258" s="68"/>
    </row>
    <row r="7259" spans="1:11" ht="12.75">
      <c r="A7259" s="69">
        <f ca="1">IFERROR(__xludf.DUMMYFUNCTION("""COMPUTED_VALUE"""),108839)</f>
        <v>108839</v>
      </c>
      <c r="B7259" s="4">
        <f ca="1">IFERROR(__xludf.DUMMYFUNCTION("""COMPUTED_VALUE"""),44837)</f>
        <v>44837</v>
      </c>
      <c r="C7259" t="str">
        <f ca="1">IFERROR(__xludf.DUMMYFUNCTION("""COMPUTED_VALUE"""),"БУ Г. ОМСКА ""УДХБ"" 216-РДО от 03.10.2022")</f>
        <v>БУ Г. ОМСКА "УДХБ" 216-РДО от 03.10.2022</v>
      </c>
      <c r="D72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59" t="str">
        <f ca="1">IFERROR(__xludf.DUMMYFUNCTION("""COMPUTED_VALUE"""),"Новый")</f>
        <v>Новый</v>
      </c>
      <c r="G7259" s="68"/>
      <c r="K7259" s="68"/>
    </row>
    <row r="7260" spans="1:11" ht="12.75">
      <c r="A7260" s="69">
        <f ca="1">IFERROR(__xludf.DUMMYFUNCTION("""COMPUTED_VALUE"""),108840)</f>
        <v>108840</v>
      </c>
      <c r="B7260" s="4">
        <f ca="1">IFERROR(__xludf.DUMMYFUNCTION("""COMPUTED_VALUE"""),44837)</f>
        <v>44837</v>
      </c>
      <c r="C7260" t="str">
        <f ca="1">IFERROR(__xludf.DUMMYFUNCTION("""COMPUTED_VALUE"""),"БУ Г. ОМСКА ""УДХБ"" 216-РДО от 03.10.2022")</f>
        <v>БУ Г. ОМСКА "УДХБ" 216-РДО от 03.10.2022</v>
      </c>
      <c r="D72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0" t="str">
        <f ca="1">IFERROR(__xludf.DUMMYFUNCTION("""COMPUTED_VALUE"""),"Новый")</f>
        <v>Новый</v>
      </c>
      <c r="G7260" s="68"/>
      <c r="K7260" s="68"/>
    </row>
    <row r="7261" spans="1:11" ht="12.75">
      <c r="A7261" s="69">
        <f ca="1">IFERROR(__xludf.DUMMYFUNCTION("""COMPUTED_VALUE"""),108841)</f>
        <v>108841</v>
      </c>
      <c r="B7261" s="4">
        <f ca="1">IFERROR(__xludf.DUMMYFUNCTION("""COMPUTED_VALUE"""),44837)</f>
        <v>44837</v>
      </c>
      <c r="C7261" t="str">
        <f ca="1">IFERROR(__xludf.DUMMYFUNCTION("""COMPUTED_VALUE"""),"БУ Г. ОМСКА ""УДХБ"" 216-РДО от 03.10.2022")</f>
        <v>БУ Г. ОМСКА "УДХБ" 216-РДО от 03.10.2022</v>
      </c>
      <c r="D72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1" t="str">
        <f ca="1">IFERROR(__xludf.DUMMYFUNCTION("""COMPUTED_VALUE"""),"Новый")</f>
        <v>Новый</v>
      </c>
      <c r="G7261" s="68"/>
      <c r="K7261" s="68"/>
    </row>
    <row r="7262" spans="1:11" ht="12.75">
      <c r="A7262" s="69">
        <f ca="1">IFERROR(__xludf.DUMMYFUNCTION("""COMPUTED_VALUE"""),108842)</f>
        <v>108842</v>
      </c>
      <c r="B7262" s="4">
        <f ca="1">IFERROR(__xludf.DUMMYFUNCTION("""COMPUTED_VALUE"""),44837)</f>
        <v>44837</v>
      </c>
      <c r="C7262" t="str">
        <f ca="1">IFERROR(__xludf.DUMMYFUNCTION("""COMPUTED_VALUE"""),"БУ Г. ОМСКА ""УДХБ"" 216-РДО от 03.10.2022")</f>
        <v>БУ Г. ОМСКА "УДХБ" 216-РДО от 03.10.2022</v>
      </c>
      <c r="D72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2" t="str">
        <f ca="1">IFERROR(__xludf.DUMMYFUNCTION("""COMPUTED_VALUE"""),"Новый")</f>
        <v>Новый</v>
      </c>
      <c r="G7262" s="68"/>
      <c r="K7262" s="68"/>
    </row>
    <row r="7263" spans="1:11" ht="12.75">
      <c r="A7263" s="69">
        <f ca="1">IFERROR(__xludf.DUMMYFUNCTION("""COMPUTED_VALUE"""),108843)</f>
        <v>108843</v>
      </c>
      <c r="B7263" s="4">
        <f ca="1">IFERROR(__xludf.DUMMYFUNCTION("""COMPUTED_VALUE"""),44837)</f>
        <v>44837</v>
      </c>
      <c r="C7263" t="str">
        <f ca="1">IFERROR(__xludf.DUMMYFUNCTION("""COMPUTED_VALUE"""),"БУ Г. ОМСКА ""УДХБ"" 216-РДО от 03.10.2022")</f>
        <v>БУ Г. ОМСКА "УДХБ" 216-РДО от 03.10.2022</v>
      </c>
      <c r="D72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3" t="str">
        <f ca="1">IFERROR(__xludf.DUMMYFUNCTION("""COMPUTED_VALUE"""),"Новый")</f>
        <v>Новый</v>
      </c>
      <c r="G7263" s="68"/>
      <c r="K7263" s="68"/>
    </row>
    <row r="7264" spans="1:11" ht="12.75">
      <c r="A7264" s="69">
        <f ca="1">IFERROR(__xludf.DUMMYFUNCTION("""COMPUTED_VALUE"""),108844)</f>
        <v>108844</v>
      </c>
      <c r="B7264" s="4">
        <f ca="1">IFERROR(__xludf.DUMMYFUNCTION("""COMPUTED_VALUE"""),44837)</f>
        <v>44837</v>
      </c>
      <c r="C7264" t="str">
        <f ca="1">IFERROR(__xludf.DUMMYFUNCTION("""COMPUTED_VALUE"""),"БУ Г. ОМСКА ""УДХБ"" 216-РДО от 03.10.2022")</f>
        <v>БУ Г. ОМСКА "УДХБ" 216-РДО от 03.10.2022</v>
      </c>
      <c r="D72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4" t="str">
        <f ca="1">IFERROR(__xludf.DUMMYFUNCTION("""COMPUTED_VALUE"""),"Новый")</f>
        <v>Новый</v>
      </c>
      <c r="G7264" s="68"/>
      <c r="K7264" s="68"/>
    </row>
    <row r="7265" spans="1:11" ht="12.75">
      <c r="A7265" s="69">
        <f ca="1">IFERROR(__xludf.DUMMYFUNCTION("""COMPUTED_VALUE"""),108845)</f>
        <v>108845</v>
      </c>
      <c r="B7265" s="4">
        <f ca="1">IFERROR(__xludf.DUMMYFUNCTION("""COMPUTED_VALUE"""),44837)</f>
        <v>44837</v>
      </c>
      <c r="C7265" t="str">
        <f ca="1">IFERROR(__xludf.DUMMYFUNCTION("""COMPUTED_VALUE"""),"БУ Г. ОМСКА ""УДХБ"" 216-РДО от 03.10.2022")</f>
        <v>БУ Г. ОМСКА "УДХБ" 216-РДО от 03.10.2022</v>
      </c>
      <c r="D72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5" t="str">
        <f ca="1">IFERROR(__xludf.DUMMYFUNCTION("""COMPUTED_VALUE"""),"Новый")</f>
        <v>Новый</v>
      </c>
      <c r="G7265" s="68"/>
      <c r="K7265" s="68"/>
    </row>
    <row r="7266" spans="1:11" ht="12.75">
      <c r="A7266" s="69">
        <f ca="1">IFERROR(__xludf.DUMMYFUNCTION("""COMPUTED_VALUE"""),108846)</f>
        <v>108846</v>
      </c>
      <c r="B7266" s="4">
        <f ca="1">IFERROR(__xludf.DUMMYFUNCTION("""COMPUTED_VALUE"""),44837)</f>
        <v>44837</v>
      </c>
      <c r="C7266" t="str">
        <f ca="1">IFERROR(__xludf.DUMMYFUNCTION("""COMPUTED_VALUE"""),"БУ Г. ОМСКА ""УДХБ"" 216-РДО от 03.10.2022")</f>
        <v>БУ Г. ОМСКА "УДХБ" 216-РДО от 03.10.2022</v>
      </c>
      <c r="D72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6" t="str">
        <f ca="1">IFERROR(__xludf.DUMMYFUNCTION("""COMPUTED_VALUE"""),"Новый")</f>
        <v>Новый</v>
      </c>
      <c r="G7266" s="68"/>
      <c r="K7266" s="68"/>
    </row>
    <row r="7267" spans="1:11" ht="12.75">
      <c r="A7267" s="69">
        <f ca="1">IFERROR(__xludf.DUMMYFUNCTION("""COMPUTED_VALUE"""),108847)</f>
        <v>108847</v>
      </c>
      <c r="B7267" s="4">
        <f ca="1">IFERROR(__xludf.DUMMYFUNCTION("""COMPUTED_VALUE"""),44837)</f>
        <v>44837</v>
      </c>
      <c r="C7267" t="str">
        <f ca="1">IFERROR(__xludf.DUMMYFUNCTION("""COMPUTED_VALUE"""),"БУ Г. ОМСКА ""УДХБ"" 216-РДО от 03.10.2022")</f>
        <v>БУ Г. ОМСКА "УДХБ" 216-РДО от 03.10.2022</v>
      </c>
      <c r="D72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7" t="str">
        <f ca="1">IFERROR(__xludf.DUMMYFUNCTION("""COMPUTED_VALUE"""),"Новый")</f>
        <v>Новый</v>
      </c>
      <c r="G7267" s="68"/>
      <c r="K7267" s="68"/>
    </row>
    <row r="7268" spans="1:11" ht="12.75">
      <c r="A7268" s="69">
        <f ca="1">IFERROR(__xludf.DUMMYFUNCTION("""COMPUTED_VALUE"""),108848)</f>
        <v>108848</v>
      </c>
      <c r="B7268" s="4">
        <f ca="1">IFERROR(__xludf.DUMMYFUNCTION("""COMPUTED_VALUE"""),44837)</f>
        <v>44837</v>
      </c>
      <c r="C7268" t="str">
        <f ca="1">IFERROR(__xludf.DUMMYFUNCTION("""COMPUTED_VALUE"""),"БУ Г. ОМСКА ""УДХБ"" 216-РДО от 03.10.2022")</f>
        <v>БУ Г. ОМСКА "УДХБ" 216-РДО от 03.10.2022</v>
      </c>
      <c r="D72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8" t="str">
        <f ca="1">IFERROR(__xludf.DUMMYFUNCTION("""COMPUTED_VALUE"""),"Новый")</f>
        <v>Новый</v>
      </c>
      <c r="G7268" s="68"/>
      <c r="K7268" s="68"/>
    </row>
    <row r="7269" spans="1:11" ht="12.75">
      <c r="A7269" s="69">
        <f ca="1">IFERROR(__xludf.DUMMYFUNCTION("""COMPUTED_VALUE"""),108849)</f>
        <v>108849</v>
      </c>
      <c r="B7269" s="4">
        <f ca="1">IFERROR(__xludf.DUMMYFUNCTION("""COMPUTED_VALUE"""),44837)</f>
        <v>44837</v>
      </c>
      <c r="C7269" t="str">
        <f ca="1">IFERROR(__xludf.DUMMYFUNCTION("""COMPUTED_VALUE"""),"БУ Г. ОМСКА ""УДХБ"" 216-РДО от 03.10.2022")</f>
        <v>БУ Г. ОМСКА "УДХБ" 216-РДО от 03.10.2022</v>
      </c>
      <c r="D72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69" t="str">
        <f ca="1">IFERROR(__xludf.DUMMYFUNCTION("""COMPUTED_VALUE"""),"Новый")</f>
        <v>Новый</v>
      </c>
      <c r="G7269" s="68"/>
      <c r="K7269" s="68"/>
    </row>
    <row r="7270" spans="1:11" ht="12.75">
      <c r="A7270" s="69">
        <f ca="1">IFERROR(__xludf.DUMMYFUNCTION("""COMPUTED_VALUE"""),108850)</f>
        <v>108850</v>
      </c>
      <c r="B7270" s="4">
        <f ca="1">IFERROR(__xludf.DUMMYFUNCTION("""COMPUTED_VALUE"""),44837)</f>
        <v>44837</v>
      </c>
      <c r="C7270" t="str">
        <f ca="1">IFERROR(__xludf.DUMMYFUNCTION("""COMPUTED_VALUE"""),"БУ Г. ОМСКА ""УДХБ"" 216-РДО от 03.10.2022")</f>
        <v>БУ Г. ОМСКА "УДХБ" 216-РДО от 03.10.2022</v>
      </c>
      <c r="D72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0" t="str">
        <f ca="1">IFERROR(__xludf.DUMMYFUNCTION("""COMPUTED_VALUE"""),"Новый")</f>
        <v>Новый</v>
      </c>
      <c r="G7270" s="68"/>
      <c r="K7270" s="68"/>
    </row>
    <row r="7271" spans="1:11" ht="12.75">
      <c r="A7271" s="69">
        <f ca="1">IFERROR(__xludf.DUMMYFUNCTION("""COMPUTED_VALUE"""),108851)</f>
        <v>108851</v>
      </c>
      <c r="B7271" s="4">
        <f ca="1">IFERROR(__xludf.DUMMYFUNCTION("""COMPUTED_VALUE"""),44837)</f>
        <v>44837</v>
      </c>
      <c r="C7271" t="str">
        <f ca="1">IFERROR(__xludf.DUMMYFUNCTION("""COMPUTED_VALUE"""),"БУ Г. ОМСКА ""УДХБ"" 216-РДО от 03.10.2022")</f>
        <v>БУ Г. ОМСКА "УДХБ" 216-РДО от 03.10.2022</v>
      </c>
      <c r="D72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1" t="str">
        <f ca="1">IFERROR(__xludf.DUMMYFUNCTION("""COMPUTED_VALUE"""),"Новый")</f>
        <v>Новый</v>
      </c>
      <c r="G7271" s="68"/>
      <c r="K7271" s="68"/>
    </row>
    <row r="7272" spans="1:11" ht="12.75">
      <c r="A7272" s="69">
        <f ca="1">IFERROR(__xludf.DUMMYFUNCTION("""COMPUTED_VALUE"""),108852)</f>
        <v>108852</v>
      </c>
      <c r="B7272" s="4">
        <f ca="1">IFERROR(__xludf.DUMMYFUNCTION("""COMPUTED_VALUE"""),44837)</f>
        <v>44837</v>
      </c>
      <c r="C7272" t="str">
        <f ca="1">IFERROR(__xludf.DUMMYFUNCTION("""COMPUTED_VALUE"""),"БУ Г. ОМСКА ""УДХБ"" 216-РДО от 03.10.2022")</f>
        <v>БУ Г. ОМСКА "УДХБ" 216-РДО от 03.10.2022</v>
      </c>
      <c r="D72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2" t="str">
        <f ca="1">IFERROR(__xludf.DUMMYFUNCTION("""COMPUTED_VALUE"""),"Новый")</f>
        <v>Новый</v>
      </c>
      <c r="G7272" s="68"/>
      <c r="K7272" s="68"/>
    </row>
    <row r="7273" spans="1:11" ht="12.75">
      <c r="A7273" s="69">
        <f ca="1">IFERROR(__xludf.DUMMYFUNCTION("""COMPUTED_VALUE"""),108853)</f>
        <v>108853</v>
      </c>
      <c r="B7273" s="4">
        <f ca="1">IFERROR(__xludf.DUMMYFUNCTION("""COMPUTED_VALUE"""),44837)</f>
        <v>44837</v>
      </c>
      <c r="C7273" t="str">
        <f ca="1">IFERROR(__xludf.DUMMYFUNCTION("""COMPUTED_VALUE"""),"БУ Г. ОМСКА ""УДХБ"" 216-РДО от 03.10.2022")</f>
        <v>БУ Г. ОМСКА "УДХБ" 216-РДО от 03.10.2022</v>
      </c>
      <c r="D72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3" t="str">
        <f ca="1">IFERROR(__xludf.DUMMYFUNCTION("""COMPUTED_VALUE"""),"Новый")</f>
        <v>Новый</v>
      </c>
      <c r="G7273" s="68"/>
      <c r="K7273" s="68"/>
    </row>
    <row r="7274" spans="1:11" ht="12.75">
      <c r="A7274" s="69">
        <f ca="1">IFERROR(__xludf.DUMMYFUNCTION("""COMPUTED_VALUE"""),108854)</f>
        <v>108854</v>
      </c>
      <c r="B7274" s="4">
        <f ca="1">IFERROR(__xludf.DUMMYFUNCTION("""COMPUTED_VALUE"""),44837)</f>
        <v>44837</v>
      </c>
      <c r="C7274" t="str">
        <f ca="1">IFERROR(__xludf.DUMMYFUNCTION("""COMPUTED_VALUE"""),"БУ Г. ОМСКА ""УДХБ"" 216-РДО от 03.10.2022")</f>
        <v>БУ Г. ОМСКА "УДХБ" 216-РДО от 03.10.2022</v>
      </c>
      <c r="D72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4" t="str">
        <f ca="1">IFERROR(__xludf.DUMMYFUNCTION("""COMPUTED_VALUE"""),"Новый")</f>
        <v>Новый</v>
      </c>
      <c r="G7274" s="68"/>
      <c r="K7274" s="68"/>
    </row>
    <row r="7275" spans="1:11" ht="12.75">
      <c r="A7275" s="69">
        <f ca="1">IFERROR(__xludf.DUMMYFUNCTION("""COMPUTED_VALUE"""),108855)</f>
        <v>108855</v>
      </c>
      <c r="B7275" s="4">
        <f ca="1">IFERROR(__xludf.DUMMYFUNCTION("""COMPUTED_VALUE"""),44837)</f>
        <v>44837</v>
      </c>
      <c r="C7275" t="str">
        <f ca="1">IFERROR(__xludf.DUMMYFUNCTION("""COMPUTED_VALUE"""),"БУ Г. ОМСКА ""УДХБ"" 216-РДО от 03.10.2022")</f>
        <v>БУ Г. ОМСКА "УДХБ" 216-РДО от 03.10.2022</v>
      </c>
      <c r="D72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5" t="str">
        <f ca="1">IFERROR(__xludf.DUMMYFUNCTION("""COMPUTED_VALUE"""),"Новый")</f>
        <v>Новый</v>
      </c>
      <c r="G7275" s="68"/>
      <c r="K7275" s="68"/>
    </row>
    <row r="7276" spans="1:11" ht="12.75">
      <c r="A7276" s="69">
        <f ca="1">IFERROR(__xludf.DUMMYFUNCTION("""COMPUTED_VALUE"""),108856)</f>
        <v>108856</v>
      </c>
      <c r="B7276" s="4">
        <f ca="1">IFERROR(__xludf.DUMMYFUNCTION("""COMPUTED_VALUE"""),44837)</f>
        <v>44837</v>
      </c>
      <c r="C7276" t="str">
        <f ca="1">IFERROR(__xludf.DUMMYFUNCTION("""COMPUTED_VALUE"""),"БУ Г. ОМСКА ""УДХБ"" 216-РДО от 03.10.2022")</f>
        <v>БУ Г. ОМСКА "УДХБ" 216-РДО от 03.10.2022</v>
      </c>
      <c r="D72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6" t="str">
        <f ca="1">IFERROR(__xludf.DUMMYFUNCTION("""COMPUTED_VALUE"""),"Новый")</f>
        <v>Новый</v>
      </c>
      <c r="G7276" s="68"/>
      <c r="K7276" s="68"/>
    </row>
    <row r="7277" spans="1:11" ht="12.75">
      <c r="A7277" s="69">
        <f ca="1">IFERROR(__xludf.DUMMYFUNCTION("""COMPUTED_VALUE"""),108857)</f>
        <v>108857</v>
      </c>
      <c r="B7277" s="4">
        <f ca="1">IFERROR(__xludf.DUMMYFUNCTION("""COMPUTED_VALUE"""),44837)</f>
        <v>44837</v>
      </c>
      <c r="C7277" t="str">
        <f ca="1">IFERROR(__xludf.DUMMYFUNCTION("""COMPUTED_VALUE"""),"БУ Г. ОМСКА ""УДХБ"" 216-РДО от 03.10.2022")</f>
        <v>БУ Г. ОМСКА "УДХБ" 216-РДО от 03.10.2022</v>
      </c>
      <c r="D72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7" t="str">
        <f ca="1">IFERROR(__xludf.DUMMYFUNCTION("""COMPUTED_VALUE"""),"Новый")</f>
        <v>Новый</v>
      </c>
      <c r="G7277" s="68"/>
      <c r="K7277" s="68"/>
    </row>
    <row r="7278" spans="1:11" ht="12.75">
      <c r="A7278" s="69">
        <f ca="1">IFERROR(__xludf.DUMMYFUNCTION("""COMPUTED_VALUE"""),108864)</f>
        <v>108864</v>
      </c>
      <c r="B7278" s="4">
        <f ca="1">IFERROR(__xludf.DUMMYFUNCTION("""COMPUTED_VALUE"""),44837)</f>
        <v>44837</v>
      </c>
      <c r="C7278" t="str">
        <f ca="1">IFERROR(__xludf.DUMMYFUNCTION("""COMPUTED_VALUE"""),"БУ Г. ОМСКА ""УДХБ"" 216-РДО от 03.10.2022")</f>
        <v>БУ Г. ОМСКА "УДХБ" 216-РДО от 03.10.2022</v>
      </c>
      <c r="D72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8" t="str">
        <f ca="1">IFERROR(__xludf.DUMMYFUNCTION("""COMPUTED_VALUE"""),"Новый")</f>
        <v>Новый</v>
      </c>
      <c r="G7278" s="68"/>
      <c r="K7278" s="68"/>
    </row>
    <row r="7279" spans="1:11" ht="12.75">
      <c r="A7279" s="69">
        <f ca="1">IFERROR(__xludf.DUMMYFUNCTION("""COMPUTED_VALUE"""),108865)</f>
        <v>108865</v>
      </c>
      <c r="B7279" s="4">
        <f ca="1">IFERROR(__xludf.DUMMYFUNCTION("""COMPUTED_VALUE"""),44837)</f>
        <v>44837</v>
      </c>
      <c r="C7279" t="str">
        <f ca="1">IFERROR(__xludf.DUMMYFUNCTION("""COMPUTED_VALUE"""),"БУ Г. ОМСКА ""УДХБ"" 216-РДО от 03.10.2022")</f>
        <v>БУ Г. ОМСКА "УДХБ" 216-РДО от 03.10.2022</v>
      </c>
      <c r="D72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79" t="str">
        <f ca="1">IFERROR(__xludf.DUMMYFUNCTION("""COMPUTED_VALUE"""),"Новый")</f>
        <v>Новый</v>
      </c>
      <c r="G7279" s="68"/>
      <c r="K7279" s="68"/>
    </row>
    <row r="7280" spans="1:11" ht="12.75">
      <c r="A7280" s="69">
        <f ca="1">IFERROR(__xludf.DUMMYFUNCTION("""COMPUTED_VALUE"""),108868)</f>
        <v>108868</v>
      </c>
      <c r="B7280" s="4">
        <f ca="1">IFERROR(__xludf.DUMMYFUNCTION("""COMPUTED_VALUE"""),44837)</f>
        <v>44837</v>
      </c>
      <c r="C7280" t="str">
        <f ca="1">IFERROR(__xludf.DUMMYFUNCTION("""COMPUTED_VALUE"""),"БУ Г. ОМСКА ""УДХБ"" 216-РДО от 03.10.2022")</f>
        <v>БУ Г. ОМСКА "УДХБ" 216-РДО от 03.10.2022</v>
      </c>
      <c r="D72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0" t="str">
        <f ca="1">IFERROR(__xludf.DUMMYFUNCTION("""COMPUTED_VALUE"""),"Новый")</f>
        <v>Новый</v>
      </c>
      <c r="G7280" s="68"/>
      <c r="K7280" s="68"/>
    </row>
    <row r="7281" spans="1:11" ht="12.75">
      <c r="A7281" s="69">
        <f ca="1">IFERROR(__xludf.DUMMYFUNCTION("""COMPUTED_VALUE"""),108869)</f>
        <v>108869</v>
      </c>
      <c r="B7281" s="4">
        <f ca="1">IFERROR(__xludf.DUMMYFUNCTION("""COMPUTED_VALUE"""),44837)</f>
        <v>44837</v>
      </c>
      <c r="C7281" t="str">
        <f ca="1">IFERROR(__xludf.DUMMYFUNCTION("""COMPUTED_VALUE"""),"БУ Г. ОМСКА ""УДХБ"" 216-РДО от 03.10.2022")</f>
        <v>БУ Г. ОМСКА "УДХБ" 216-РДО от 03.10.2022</v>
      </c>
      <c r="D72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1" t="str">
        <f ca="1">IFERROR(__xludf.DUMMYFUNCTION("""COMPUTED_VALUE"""),"Новый")</f>
        <v>Новый</v>
      </c>
      <c r="G7281" s="68"/>
      <c r="K7281" s="68"/>
    </row>
    <row r="7282" spans="1:11" ht="12.75">
      <c r="A7282" s="69">
        <f ca="1">IFERROR(__xludf.DUMMYFUNCTION("""COMPUTED_VALUE"""),108870)</f>
        <v>108870</v>
      </c>
      <c r="B7282" s="4">
        <f ca="1">IFERROR(__xludf.DUMMYFUNCTION("""COMPUTED_VALUE"""),44837)</f>
        <v>44837</v>
      </c>
      <c r="C7282" t="str">
        <f ca="1">IFERROR(__xludf.DUMMYFUNCTION("""COMPUTED_VALUE"""),"БУ Г. ОМСКА ""УДХБ"" 216-РДО от 03.10.2022")</f>
        <v>БУ Г. ОМСКА "УДХБ" 216-РДО от 03.10.2022</v>
      </c>
      <c r="D72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2" t="str">
        <f ca="1">IFERROR(__xludf.DUMMYFUNCTION("""COMPUTED_VALUE"""),"Новый")</f>
        <v>Новый</v>
      </c>
      <c r="G7282" s="68"/>
      <c r="K7282" s="68"/>
    </row>
    <row r="7283" spans="1:11" ht="12.75">
      <c r="A7283" s="69">
        <f ca="1">IFERROR(__xludf.DUMMYFUNCTION("""COMPUTED_VALUE"""),108871)</f>
        <v>108871</v>
      </c>
      <c r="B7283" s="4">
        <f ca="1">IFERROR(__xludf.DUMMYFUNCTION("""COMPUTED_VALUE"""),44837)</f>
        <v>44837</v>
      </c>
      <c r="C7283" t="str">
        <f ca="1">IFERROR(__xludf.DUMMYFUNCTION("""COMPUTED_VALUE"""),"БУ Г. ОМСКА ""УДХБ"" 216-РДО от 03.10.2022")</f>
        <v>БУ Г. ОМСКА "УДХБ" 216-РДО от 03.10.2022</v>
      </c>
      <c r="D72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3" t="str">
        <f ca="1">IFERROR(__xludf.DUMMYFUNCTION("""COMPUTED_VALUE"""),"Новый")</f>
        <v>Новый</v>
      </c>
      <c r="G7283" s="68"/>
      <c r="K7283" s="68"/>
    </row>
    <row r="7284" spans="1:11" ht="12.75">
      <c r="A7284" s="69">
        <f ca="1">IFERROR(__xludf.DUMMYFUNCTION("""COMPUTED_VALUE"""),108872)</f>
        <v>108872</v>
      </c>
      <c r="B7284" s="4">
        <f ca="1">IFERROR(__xludf.DUMMYFUNCTION("""COMPUTED_VALUE"""),44837)</f>
        <v>44837</v>
      </c>
      <c r="C7284" t="str">
        <f ca="1">IFERROR(__xludf.DUMMYFUNCTION("""COMPUTED_VALUE"""),"БУ Г. ОМСКА ""УДХБ"" 216-РДО от 03.10.2022")</f>
        <v>БУ Г. ОМСКА "УДХБ" 216-РДО от 03.10.2022</v>
      </c>
      <c r="D72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4" t="str">
        <f ca="1">IFERROR(__xludf.DUMMYFUNCTION("""COMPUTED_VALUE"""),"Новый")</f>
        <v>Новый</v>
      </c>
      <c r="G7284" s="68"/>
      <c r="K7284" s="68"/>
    </row>
    <row r="7285" spans="1:11" ht="12.75">
      <c r="A7285" s="69">
        <f ca="1">IFERROR(__xludf.DUMMYFUNCTION("""COMPUTED_VALUE"""),108873)</f>
        <v>108873</v>
      </c>
      <c r="B7285" s="4">
        <f ca="1">IFERROR(__xludf.DUMMYFUNCTION("""COMPUTED_VALUE"""),44837)</f>
        <v>44837</v>
      </c>
      <c r="C7285" t="str">
        <f ca="1">IFERROR(__xludf.DUMMYFUNCTION("""COMPUTED_VALUE"""),"БУ Г. ОМСКА ""УДХБ"" 216-РДО от 03.10.2022")</f>
        <v>БУ Г. ОМСКА "УДХБ" 216-РДО от 03.10.2022</v>
      </c>
      <c r="D72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5" t="str">
        <f ca="1">IFERROR(__xludf.DUMMYFUNCTION("""COMPUTED_VALUE"""),"Новый")</f>
        <v>Новый</v>
      </c>
      <c r="G7285" s="68"/>
      <c r="K7285" s="68"/>
    </row>
    <row r="7286" spans="1:11" ht="12.75">
      <c r="A7286" s="69">
        <f ca="1">IFERROR(__xludf.DUMMYFUNCTION("""COMPUTED_VALUE"""),108874)</f>
        <v>108874</v>
      </c>
      <c r="B7286" s="4">
        <f ca="1">IFERROR(__xludf.DUMMYFUNCTION("""COMPUTED_VALUE"""),44837)</f>
        <v>44837</v>
      </c>
      <c r="C7286" t="str">
        <f ca="1">IFERROR(__xludf.DUMMYFUNCTION("""COMPUTED_VALUE"""),"БУ Г. ОМСКА ""УДХБ"" 216-РДО от 03.10.2022")</f>
        <v>БУ Г. ОМСКА "УДХБ" 216-РДО от 03.10.2022</v>
      </c>
      <c r="D72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6" t="str">
        <f ca="1">IFERROR(__xludf.DUMMYFUNCTION("""COMPUTED_VALUE"""),"Новый")</f>
        <v>Новый</v>
      </c>
      <c r="G7286" s="68"/>
      <c r="K7286" s="68"/>
    </row>
    <row r="7287" spans="1:11" ht="12.75">
      <c r="A7287" s="69">
        <f ca="1">IFERROR(__xludf.DUMMYFUNCTION("""COMPUTED_VALUE"""),108875)</f>
        <v>108875</v>
      </c>
      <c r="B7287" s="4">
        <f ca="1">IFERROR(__xludf.DUMMYFUNCTION("""COMPUTED_VALUE"""),44837)</f>
        <v>44837</v>
      </c>
      <c r="C7287" t="str">
        <f ca="1">IFERROR(__xludf.DUMMYFUNCTION("""COMPUTED_VALUE"""),"БУ Г. ОМСКА ""УДХБ"" 216-РДО от 03.10.2022")</f>
        <v>БУ Г. ОМСКА "УДХБ" 216-РДО от 03.10.2022</v>
      </c>
      <c r="D72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7" t="str">
        <f ca="1">IFERROR(__xludf.DUMMYFUNCTION("""COMPUTED_VALUE"""),"Новый")</f>
        <v>Новый</v>
      </c>
      <c r="G7287" s="68"/>
      <c r="K7287" s="68"/>
    </row>
    <row r="7288" spans="1:11" ht="12.75">
      <c r="A7288" s="69">
        <f ca="1">IFERROR(__xludf.DUMMYFUNCTION("""COMPUTED_VALUE"""),108876)</f>
        <v>108876</v>
      </c>
      <c r="B7288" s="4">
        <f ca="1">IFERROR(__xludf.DUMMYFUNCTION("""COMPUTED_VALUE"""),44837)</f>
        <v>44837</v>
      </c>
      <c r="C7288" t="str">
        <f ca="1">IFERROR(__xludf.DUMMYFUNCTION("""COMPUTED_VALUE"""),"БУ Г. ОМСКА ""УДХБ"" 216-РДО от 03.10.2022")</f>
        <v>БУ Г. ОМСКА "УДХБ" 216-РДО от 03.10.2022</v>
      </c>
      <c r="D72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8" t="str">
        <f ca="1">IFERROR(__xludf.DUMMYFUNCTION("""COMPUTED_VALUE"""),"Новый")</f>
        <v>Новый</v>
      </c>
      <c r="G7288" s="68"/>
      <c r="K7288" s="68"/>
    </row>
    <row r="7289" spans="1:11" ht="12.75">
      <c r="A7289" s="69">
        <f ca="1">IFERROR(__xludf.DUMMYFUNCTION("""COMPUTED_VALUE"""),108877)</f>
        <v>108877</v>
      </c>
      <c r="B7289" s="4">
        <f ca="1">IFERROR(__xludf.DUMMYFUNCTION("""COMPUTED_VALUE"""),44837)</f>
        <v>44837</v>
      </c>
      <c r="C7289" t="str">
        <f ca="1">IFERROR(__xludf.DUMMYFUNCTION("""COMPUTED_VALUE"""),"БУ Г. ОМСКА ""УДХБ"" 216-РДО от 03.10.2022")</f>
        <v>БУ Г. ОМСКА "УДХБ" 216-РДО от 03.10.2022</v>
      </c>
      <c r="D72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89" t="str">
        <f ca="1">IFERROR(__xludf.DUMMYFUNCTION("""COMPUTED_VALUE"""),"Новый")</f>
        <v>Новый</v>
      </c>
      <c r="G7289" s="68"/>
      <c r="K7289" s="68"/>
    </row>
    <row r="7290" spans="1:11" ht="12.75">
      <c r="A7290" s="69">
        <f ca="1">IFERROR(__xludf.DUMMYFUNCTION("""COMPUTED_VALUE"""),108878)</f>
        <v>108878</v>
      </c>
      <c r="B7290" s="4">
        <f ca="1">IFERROR(__xludf.DUMMYFUNCTION("""COMPUTED_VALUE"""),44837)</f>
        <v>44837</v>
      </c>
      <c r="C7290" t="str">
        <f ca="1">IFERROR(__xludf.DUMMYFUNCTION("""COMPUTED_VALUE"""),"БУ Г. ОМСКА ""УДХБ"" 216-РДО от 03.10.2022")</f>
        <v>БУ Г. ОМСКА "УДХБ" 216-РДО от 03.10.2022</v>
      </c>
      <c r="D72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0" t="str">
        <f ca="1">IFERROR(__xludf.DUMMYFUNCTION("""COMPUTED_VALUE"""),"Новый")</f>
        <v>Новый</v>
      </c>
      <c r="G7290" s="68"/>
      <c r="K7290" s="68"/>
    </row>
    <row r="7291" spans="1:11" ht="12.75">
      <c r="A7291" s="69">
        <f ca="1">IFERROR(__xludf.DUMMYFUNCTION("""COMPUTED_VALUE"""),108879)</f>
        <v>108879</v>
      </c>
      <c r="B7291" s="4">
        <f ca="1">IFERROR(__xludf.DUMMYFUNCTION("""COMPUTED_VALUE"""),44837)</f>
        <v>44837</v>
      </c>
      <c r="C7291" t="str">
        <f ca="1">IFERROR(__xludf.DUMMYFUNCTION("""COMPUTED_VALUE"""),"БУ Г. ОМСКА ""УДХБ"" 216-РДО от 03.10.2022")</f>
        <v>БУ Г. ОМСКА "УДХБ" 216-РДО от 03.10.2022</v>
      </c>
      <c r="D72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1" t="str">
        <f ca="1">IFERROR(__xludf.DUMMYFUNCTION("""COMPUTED_VALUE"""),"Новый")</f>
        <v>Новый</v>
      </c>
      <c r="G7291" s="68"/>
      <c r="K7291" s="68"/>
    </row>
    <row r="7292" spans="1:11" ht="12.75">
      <c r="A7292" s="69">
        <f ca="1">IFERROR(__xludf.DUMMYFUNCTION("""COMPUTED_VALUE"""),108880)</f>
        <v>108880</v>
      </c>
      <c r="B7292" s="4">
        <f ca="1">IFERROR(__xludf.DUMMYFUNCTION("""COMPUTED_VALUE"""),44837)</f>
        <v>44837</v>
      </c>
      <c r="C7292" t="str">
        <f ca="1">IFERROR(__xludf.DUMMYFUNCTION("""COMPUTED_VALUE"""),"БУ Г. ОМСКА ""УДХБ"" 216-РДО от 03.10.2022")</f>
        <v>БУ Г. ОМСКА "УДХБ" 216-РДО от 03.10.2022</v>
      </c>
      <c r="D72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2" t="str">
        <f ca="1">IFERROR(__xludf.DUMMYFUNCTION("""COMPUTED_VALUE"""),"Новый")</f>
        <v>Новый</v>
      </c>
      <c r="G7292" s="68"/>
      <c r="K7292" s="68"/>
    </row>
    <row r="7293" spans="1:11" ht="12.75">
      <c r="A7293" s="69">
        <f ca="1">IFERROR(__xludf.DUMMYFUNCTION("""COMPUTED_VALUE"""),108881)</f>
        <v>108881</v>
      </c>
      <c r="B7293" s="4">
        <f ca="1">IFERROR(__xludf.DUMMYFUNCTION("""COMPUTED_VALUE"""),44837)</f>
        <v>44837</v>
      </c>
      <c r="C7293" t="str">
        <f ca="1">IFERROR(__xludf.DUMMYFUNCTION("""COMPUTED_VALUE"""),"БУ Г. ОМСКА ""УДХБ"" 216-РДО от 03.10.2022")</f>
        <v>БУ Г. ОМСКА "УДХБ" 216-РДО от 03.10.2022</v>
      </c>
      <c r="D72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3" t="str">
        <f ca="1">IFERROR(__xludf.DUMMYFUNCTION("""COMPUTED_VALUE"""),"Новый")</f>
        <v>Новый</v>
      </c>
      <c r="G7293" s="68"/>
      <c r="K7293" s="68"/>
    </row>
    <row r="7294" spans="1:11" ht="12.75">
      <c r="A7294" s="69">
        <f ca="1">IFERROR(__xludf.DUMMYFUNCTION("""COMPUTED_VALUE"""),108882)</f>
        <v>108882</v>
      </c>
      <c r="B7294" s="4">
        <f ca="1">IFERROR(__xludf.DUMMYFUNCTION("""COMPUTED_VALUE"""),44837)</f>
        <v>44837</v>
      </c>
      <c r="C7294" t="str">
        <f ca="1">IFERROR(__xludf.DUMMYFUNCTION("""COMPUTED_VALUE"""),"БУ Г. ОМСКА ""УДХБ"" 216-РДО от 03.10.2022")</f>
        <v>БУ Г. ОМСКА "УДХБ" 216-РДО от 03.10.2022</v>
      </c>
      <c r="D72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4" t="str">
        <f ca="1">IFERROR(__xludf.DUMMYFUNCTION("""COMPUTED_VALUE"""),"Новый")</f>
        <v>Новый</v>
      </c>
      <c r="G7294" s="68"/>
      <c r="K7294" s="68"/>
    </row>
    <row r="7295" spans="1:11" ht="12.75">
      <c r="A7295" s="69">
        <f ca="1">IFERROR(__xludf.DUMMYFUNCTION("""COMPUTED_VALUE"""),108883)</f>
        <v>108883</v>
      </c>
      <c r="B7295" s="4">
        <f ca="1">IFERROR(__xludf.DUMMYFUNCTION("""COMPUTED_VALUE"""),44837)</f>
        <v>44837</v>
      </c>
      <c r="C7295" t="str">
        <f ca="1">IFERROR(__xludf.DUMMYFUNCTION("""COMPUTED_VALUE"""),"БУ Г. ОМСКА ""УДХБ"" 216-РДО от 03.10.2022")</f>
        <v>БУ Г. ОМСКА "УДХБ" 216-РДО от 03.10.2022</v>
      </c>
      <c r="D72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5" t="str">
        <f ca="1">IFERROR(__xludf.DUMMYFUNCTION("""COMPUTED_VALUE"""),"Новый")</f>
        <v>Новый</v>
      </c>
      <c r="G7295" s="68"/>
      <c r="K7295" s="68"/>
    </row>
    <row r="7296" spans="1:11" ht="12.75">
      <c r="A7296" s="69">
        <f ca="1">IFERROR(__xludf.DUMMYFUNCTION("""COMPUTED_VALUE"""),108884)</f>
        <v>108884</v>
      </c>
      <c r="B7296" s="4">
        <f ca="1">IFERROR(__xludf.DUMMYFUNCTION("""COMPUTED_VALUE"""),44837)</f>
        <v>44837</v>
      </c>
      <c r="C7296" t="str">
        <f ca="1">IFERROR(__xludf.DUMMYFUNCTION("""COMPUTED_VALUE"""),"БУ Г. ОМСКА ""УДХБ"" 216-РДО от 03.10.2022")</f>
        <v>БУ Г. ОМСКА "УДХБ" 216-РДО от 03.10.2022</v>
      </c>
      <c r="D72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6" t="str">
        <f ca="1">IFERROR(__xludf.DUMMYFUNCTION("""COMPUTED_VALUE"""),"Новый")</f>
        <v>Новый</v>
      </c>
      <c r="G7296" s="68"/>
      <c r="K7296" s="68"/>
    </row>
    <row r="7297" spans="1:11" ht="12.75">
      <c r="A7297" s="69">
        <f ca="1">IFERROR(__xludf.DUMMYFUNCTION("""COMPUTED_VALUE"""),108885)</f>
        <v>108885</v>
      </c>
      <c r="B7297" s="4">
        <f ca="1">IFERROR(__xludf.DUMMYFUNCTION("""COMPUTED_VALUE"""),44837)</f>
        <v>44837</v>
      </c>
      <c r="C7297" t="str">
        <f ca="1">IFERROR(__xludf.DUMMYFUNCTION("""COMPUTED_VALUE"""),"БУ Г. ОМСКА ""УДХБ"" 216-РДО от 03.10.2022")</f>
        <v>БУ Г. ОМСКА "УДХБ" 216-РДО от 03.10.2022</v>
      </c>
      <c r="D72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7" t="str">
        <f ca="1">IFERROR(__xludf.DUMMYFUNCTION("""COMPUTED_VALUE"""),"Новый")</f>
        <v>Новый</v>
      </c>
      <c r="G7297" s="68"/>
      <c r="K7297" s="68"/>
    </row>
    <row r="7298" spans="1:11" ht="12.75">
      <c r="A7298" s="69">
        <f ca="1">IFERROR(__xludf.DUMMYFUNCTION("""COMPUTED_VALUE"""),108886)</f>
        <v>108886</v>
      </c>
      <c r="B7298" s="4">
        <f ca="1">IFERROR(__xludf.DUMMYFUNCTION("""COMPUTED_VALUE"""),44837)</f>
        <v>44837</v>
      </c>
      <c r="C7298" t="str">
        <f ca="1">IFERROR(__xludf.DUMMYFUNCTION("""COMPUTED_VALUE"""),"БУ Г. ОМСКА ""УДХБ"" 216-РДО от 03.10.2022")</f>
        <v>БУ Г. ОМСКА "УДХБ" 216-РДО от 03.10.2022</v>
      </c>
      <c r="D72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8" t="str">
        <f ca="1">IFERROR(__xludf.DUMMYFUNCTION("""COMPUTED_VALUE"""),"Новый")</f>
        <v>Новый</v>
      </c>
      <c r="G7298" s="68"/>
      <c r="K7298" s="68"/>
    </row>
    <row r="7299" spans="1:11" ht="12.75">
      <c r="A7299" s="69">
        <f ca="1">IFERROR(__xludf.DUMMYFUNCTION("""COMPUTED_VALUE"""),108887)</f>
        <v>108887</v>
      </c>
      <c r="B7299" s="4">
        <f ca="1">IFERROR(__xludf.DUMMYFUNCTION("""COMPUTED_VALUE"""),44837)</f>
        <v>44837</v>
      </c>
      <c r="C7299" t="str">
        <f ca="1">IFERROR(__xludf.DUMMYFUNCTION("""COMPUTED_VALUE"""),"БУ Г. ОМСКА ""УДХБ"" 216-РДО от 03.10.2022")</f>
        <v>БУ Г. ОМСКА "УДХБ" 216-РДО от 03.10.2022</v>
      </c>
      <c r="D72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299" t="str">
        <f ca="1">IFERROR(__xludf.DUMMYFUNCTION("""COMPUTED_VALUE"""),"Новый")</f>
        <v>Новый</v>
      </c>
      <c r="G7299" s="68"/>
      <c r="K7299" s="68"/>
    </row>
    <row r="7300" spans="1:11" ht="12.75">
      <c r="A7300" s="69">
        <f ca="1">IFERROR(__xludf.DUMMYFUNCTION("""COMPUTED_VALUE"""),108888)</f>
        <v>108888</v>
      </c>
      <c r="B7300" s="4">
        <f ca="1">IFERROR(__xludf.DUMMYFUNCTION("""COMPUTED_VALUE"""),44837)</f>
        <v>44837</v>
      </c>
      <c r="C7300" t="str">
        <f ca="1">IFERROR(__xludf.DUMMYFUNCTION("""COMPUTED_VALUE"""),"БУ Г. ОМСКА ""УДХБ"" 216-РДО от 03.10.2022")</f>
        <v>БУ Г. ОМСКА "УДХБ" 216-РДО от 03.10.2022</v>
      </c>
      <c r="D73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0" t="str">
        <f ca="1">IFERROR(__xludf.DUMMYFUNCTION("""COMPUTED_VALUE"""),"Новый")</f>
        <v>Новый</v>
      </c>
      <c r="G7300" s="68"/>
      <c r="K7300" s="68"/>
    </row>
    <row r="7301" spans="1:11" ht="12.75">
      <c r="A7301" s="69">
        <f ca="1">IFERROR(__xludf.DUMMYFUNCTION("""COMPUTED_VALUE"""),108889)</f>
        <v>108889</v>
      </c>
      <c r="B7301" s="4">
        <f ca="1">IFERROR(__xludf.DUMMYFUNCTION("""COMPUTED_VALUE"""),44837)</f>
        <v>44837</v>
      </c>
      <c r="C7301" t="str">
        <f ca="1">IFERROR(__xludf.DUMMYFUNCTION("""COMPUTED_VALUE"""),"БУ Г. ОМСКА ""УДХБ"" 216-РДО от 03.10.2022")</f>
        <v>БУ Г. ОМСКА "УДХБ" 216-РДО от 03.10.2022</v>
      </c>
      <c r="D73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1" t="str">
        <f ca="1">IFERROR(__xludf.DUMMYFUNCTION("""COMPUTED_VALUE"""),"Новый")</f>
        <v>Новый</v>
      </c>
      <c r="G7301" s="68"/>
      <c r="K7301" s="68"/>
    </row>
    <row r="7302" spans="1:11" ht="12.75">
      <c r="A7302" s="69">
        <f ca="1">IFERROR(__xludf.DUMMYFUNCTION("""COMPUTED_VALUE"""),108890)</f>
        <v>108890</v>
      </c>
      <c r="B7302" s="4">
        <f ca="1">IFERROR(__xludf.DUMMYFUNCTION("""COMPUTED_VALUE"""),44837)</f>
        <v>44837</v>
      </c>
      <c r="C7302" t="str">
        <f ca="1">IFERROR(__xludf.DUMMYFUNCTION("""COMPUTED_VALUE"""),"БУ Г. ОМСКА ""УДХБ"" 216-РДО от 03.10.2022")</f>
        <v>БУ Г. ОМСКА "УДХБ" 216-РДО от 03.10.2022</v>
      </c>
      <c r="D73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2" t="str">
        <f ca="1">IFERROR(__xludf.DUMMYFUNCTION("""COMPUTED_VALUE"""),"Новый")</f>
        <v>Новый</v>
      </c>
      <c r="G7302" s="68"/>
      <c r="K7302" s="68"/>
    </row>
    <row r="7303" spans="1:11" ht="12.75">
      <c r="A7303" s="69">
        <f ca="1">IFERROR(__xludf.DUMMYFUNCTION("""COMPUTED_VALUE"""),108891)</f>
        <v>108891</v>
      </c>
      <c r="B7303" s="4">
        <f ca="1">IFERROR(__xludf.DUMMYFUNCTION("""COMPUTED_VALUE"""),44837)</f>
        <v>44837</v>
      </c>
      <c r="C7303" t="str">
        <f ca="1">IFERROR(__xludf.DUMMYFUNCTION("""COMPUTED_VALUE"""),"БУ Г. ОМСКА ""УДХБ"" 216-РДО от 03.10.2022")</f>
        <v>БУ Г. ОМСКА "УДХБ" 216-РДО от 03.10.2022</v>
      </c>
      <c r="D73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3" t="str">
        <f ca="1">IFERROR(__xludf.DUMMYFUNCTION("""COMPUTED_VALUE"""),"Новый")</f>
        <v>Новый</v>
      </c>
      <c r="G7303" s="68"/>
      <c r="K7303" s="68"/>
    </row>
    <row r="7304" spans="1:11" ht="12.75">
      <c r="A7304" s="69">
        <f ca="1">IFERROR(__xludf.DUMMYFUNCTION("""COMPUTED_VALUE"""),108892)</f>
        <v>108892</v>
      </c>
      <c r="B7304" s="4">
        <f ca="1">IFERROR(__xludf.DUMMYFUNCTION("""COMPUTED_VALUE"""),44837)</f>
        <v>44837</v>
      </c>
      <c r="C7304" t="str">
        <f ca="1">IFERROR(__xludf.DUMMYFUNCTION("""COMPUTED_VALUE"""),"БУ Г. ОМСКА ""УДХБ"" 216-РДО от 03.10.2022")</f>
        <v>БУ Г. ОМСКА "УДХБ" 216-РДО от 03.10.2022</v>
      </c>
      <c r="D73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4" t="str">
        <f ca="1">IFERROR(__xludf.DUMMYFUNCTION("""COMPUTED_VALUE"""),"Новый")</f>
        <v>Новый</v>
      </c>
      <c r="G7304" s="68"/>
      <c r="K7304" s="68"/>
    </row>
    <row r="7305" spans="1:11" ht="12.75">
      <c r="A7305" s="69">
        <f ca="1">IFERROR(__xludf.DUMMYFUNCTION("""COMPUTED_VALUE"""),108893)</f>
        <v>108893</v>
      </c>
      <c r="B7305" s="4">
        <f ca="1">IFERROR(__xludf.DUMMYFUNCTION("""COMPUTED_VALUE"""),44837)</f>
        <v>44837</v>
      </c>
      <c r="C7305" t="str">
        <f ca="1">IFERROR(__xludf.DUMMYFUNCTION("""COMPUTED_VALUE"""),"БУ Г. ОМСКА ""УДХБ"" 216-РДО от 03.10.2022")</f>
        <v>БУ Г. ОМСКА "УДХБ" 216-РДО от 03.10.2022</v>
      </c>
      <c r="D73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5" t="str">
        <f ca="1">IFERROR(__xludf.DUMMYFUNCTION("""COMPUTED_VALUE"""),"Новый")</f>
        <v>Новый</v>
      </c>
      <c r="G7305" s="68"/>
      <c r="K7305" s="68"/>
    </row>
    <row r="7306" spans="1:11" ht="12.75">
      <c r="A7306" s="69">
        <f ca="1">IFERROR(__xludf.DUMMYFUNCTION("""COMPUTED_VALUE"""),108894)</f>
        <v>108894</v>
      </c>
      <c r="B7306" s="4">
        <f ca="1">IFERROR(__xludf.DUMMYFUNCTION("""COMPUTED_VALUE"""),44837)</f>
        <v>44837</v>
      </c>
      <c r="C7306" t="str">
        <f ca="1">IFERROR(__xludf.DUMMYFUNCTION("""COMPUTED_VALUE"""),"БУ Г. ОМСКА ""УДХБ"" 216-РДО от 03.10.2022")</f>
        <v>БУ Г. ОМСКА "УДХБ" 216-РДО от 03.10.2022</v>
      </c>
      <c r="D73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6" t="str">
        <f ca="1">IFERROR(__xludf.DUMMYFUNCTION("""COMPUTED_VALUE"""),"Новый")</f>
        <v>Новый</v>
      </c>
      <c r="G7306" s="68"/>
      <c r="K7306" s="68"/>
    </row>
    <row r="7307" spans="1:11" ht="12.75">
      <c r="A7307" s="69">
        <f ca="1">IFERROR(__xludf.DUMMYFUNCTION("""COMPUTED_VALUE"""),108895)</f>
        <v>108895</v>
      </c>
      <c r="B7307" s="4">
        <f ca="1">IFERROR(__xludf.DUMMYFUNCTION("""COMPUTED_VALUE"""),44837)</f>
        <v>44837</v>
      </c>
      <c r="C7307" t="str">
        <f ca="1">IFERROR(__xludf.DUMMYFUNCTION("""COMPUTED_VALUE"""),"БУ Г. ОМСКА ""УДХБ"" 216-РДО от 03.10.2022")</f>
        <v>БУ Г. ОМСКА "УДХБ" 216-РДО от 03.10.2022</v>
      </c>
      <c r="D73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7" t="str">
        <f ca="1">IFERROR(__xludf.DUMMYFUNCTION("""COMPUTED_VALUE"""),"Новый")</f>
        <v>Новый</v>
      </c>
      <c r="G7307" s="68"/>
      <c r="K7307" s="68"/>
    </row>
    <row r="7308" spans="1:11" ht="12.75">
      <c r="A7308" s="69">
        <f ca="1">IFERROR(__xludf.DUMMYFUNCTION("""COMPUTED_VALUE"""),108896)</f>
        <v>108896</v>
      </c>
      <c r="B7308" s="4">
        <f ca="1">IFERROR(__xludf.DUMMYFUNCTION("""COMPUTED_VALUE"""),44837)</f>
        <v>44837</v>
      </c>
      <c r="C7308" t="str">
        <f ca="1">IFERROR(__xludf.DUMMYFUNCTION("""COMPUTED_VALUE"""),"БУ Г. ОМСКА ""УДХБ"" 216-РДО от 03.10.2022")</f>
        <v>БУ Г. ОМСКА "УДХБ" 216-РДО от 03.10.2022</v>
      </c>
      <c r="D73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8" t="str">
        <f ca="1">IFERROR(__xludf.DUMMYFUNCTION("""COMPUTED_VALUE"""),"Новый")</f>
        <v>Новый</v>
      </c>
      <c r="G7308" s="68"/>
      <c r="K7308" s="68"/>
    </row>
    <row r="7309" spans="1:11" ht="12.75">
      <c r="A7309" s="69">
        <f ca="1">IFERROR(__xludf.DUMMYFUNCTION("""COMPUTED_VALUE"""),108897)</f>
        <v>108897</v>
      </c>
      <c r="B7309" s="4">
        <f ca="1">IFERROR(__xludf.DUMMYFUNCTION("""COMPUTED_VALUE"""),44837)</f>
        <v>44837</v>
      </c>
      <c r="C7309" t="str">
        <f ca="1">IFERROR(__xludf.DUMMYFUNCTION("""COMPUTED_VALUE"""),"БУ Г. ОМСКА ""УДХБ"" 216-РДО от 03.10.2022")</f>
        <v>БУ Г. ОМСКА "УДХБ" 216-РДО от 03.10.2022</v>
      </c>
      <c r="D73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09" t="str">
        <f ca="1">IFERROR(__xludf.DUMMYFUNCTION("""COMPUTED_VALUE"""),"Новый")</f>
        <v>Новый</v>
      </c>
      <c r="G7309" s="68"/>
      <c r="K7309" s="68"/>
    </row>
    <row r="7310" spans="1:11" ht="12.75">
      <c r="A7310" s="69">
        <f ca="1">IFERROR(__xludf.DUMMYFUNCTION("""COMPUTED_VALUE"""),108898)</f>
        <v>108898</v>
      </c>
      <c r="B7310" s="4">
        <f ca="1">IFERROR(__xludf.DUMMYFUNCTION("""COMPUTED_VALUE"""),44837)</f>
        <v>44837</v>
      </c>
      <c r="C7310" t="str">
        <f ca="1">IFERROR(__xludf.DUMMYFUNCTION("""COMPUTED_VALUE"""),"БУ Г. ОМСКА ""УДХБ"" 216-РДО от 03.10.2022")</f>
        <v>БУ Г. ОМСКА "УДХБ" 216-РДО от 03.10.2022</v>
      </c>
      <c r="D73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0" t="str">
        <f ca="1">IFERROR(__xludf.DUMMYFUNCTION("""COMPUTED_VALUE"""),"Новый")</f>
        <v>Новый</v>
      </c>
      <c r="G7310" s="68"/>
      <c r="K7310" s="68"/>
    </row>
    <row r="7311" spans="1:11" ht="12.75">
      <c r="A7311" s="69">
        <f ca="1">IFERROR(__xludf.DUMMYFUNCTION("""COMPUTED_VALUE"""),108899)</f>
        <v>108899</v>
      </c>
      <c r="B7311" s="4">
        <f ca="1">IFERROR(__xludf.DUMMYFUNCTION("""COMPUTED_VALUE"""),44837)</f>
        <v>44837</v>
      </c>
      <c r="C7311" t="str">
        <f ca="1">IFERROR(__xludf.DUMMYFUNCTION("""COMPUTED_VALUE"""),"БУ Г. ОМСКА ""УДХБ"" 216-РДО от 03.10.2022")</f>
        <v>БУ Г. ОМСКА "УДХБ" 216-РДО от 03.10.2022</v>
      </c>
      <c r="D73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1" t="str">
        <f ca="1">IFERROR(__xludf.DUMMYFUNCTION("""COMPUTED_VALUE"""),"Новый")</f>
        <v>Новый</v>
      </c>
      <c r="G7311" s="68"/>
      <c r="K7311" s="68"/>
    </row>
    <row r="7312" spans="1:11" ht="12.75">
      <c r="A7312" s="69">
        <f ca="1">IFERROR(__xludf.DUMMYFUNCTION("""COMPUTED_VALUE"""),108900)</f>
        <v>108900</v>
      </c>
      <c r="B7312" s="4">
        <f ca="1">IFERROR(__xludf.DUMMYFUNCTION("""COMPUTED_VALUE"""),44837)</f>
        <v>44837</v>
      </c>
      <c r="C7312" t="str">
        <f ca="1">IFERROR(__xludf.DUMMYFUNCTION("""COMPUTED_VALUE"""),"БУ Г. ОМСКА ""УДХБ"" 216-РДО от 03.10.2022")</f>
        <v>БУ Г. ОМСКА "УДХБ" 216-РДО от 03.10.2022</v>
      </c>
      <c r="D73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2" t="str">
        <f ca="1">IFERROR(__xludf.DUMMYFUNCTION("""COMPUTED_VALUE"""),"Новый")</f>
        <v>Новый</v>
      </c>
      <c r="G7312" s="68"/>
      <c r="K7312" s="68"/>
    </row>
    <row r="7313" spans="1:11" ht="12.75">
      <c r="A7313" s="69">
        <f ca="1">IFERROR(__xludf.DUMMYFUNCTION("""COMPUTED_VALUE"""),108901)</f>
        <v>108901</v>
      </c>
      <c r="B7313" s="4">
        <f ca="1">IFERROR(__xludf.DUMMYFUNCTION("""COMPUTED_VALUE"""),44837)</f>
        <v>44837</v>
      </c>
      <c r="C7313" t="str">
        <f ca="1">IFERROR(__xludf.DUMMYFUNCTION("""COMPUTED_VALUE"""),"БУ Г. ОМСКА ""УДХБ"" 216-РДО от 03.10.2022")</f>
        <v>БУ Г. ОМСКА "УДХБ" 216-РДО от 03.10.2022</v>
      </c>
      <c r="D73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3" t="str">
        <f ca="1">IFERROR(__xludf.DUMMYFUNCTION("""COMPUTED_VALUE"""),"Новый")</f>
        <v>Новый</v>
      </c>
      <c r="G7313" s="68"/>
      <c r="K7313" s="68"/>
    </row>
    <row r="7314" spans="1:11" ht="12.75">
      <c r="A7314" s="69">
        <f ca="1">IFERROR(__xludf.DUMMYFUNCTION("""COMPUTED_VALUE"""),108902)</f>
        <v>108902</v>
      </c>
      <c r="B7314" s="4">
        <f ca="1">IFERROR(__xludf.DUMMYFUNCTION("""COMPUTED_VALUE"""),44837)</f>
        <v>44837</v>
      </c>
      <c r="C7314" t="str">
        <f ca="1">IFERROR(__xludf.DUMMYFUNCTION("""COMPUTED_VALUE"""),"БУ Г. ОМСКА ""УДХБ"" 216-РДО от 03.10.2022")</f>
        <v>БУ Г. ОМСКА "УДХБ" 216-РДО от 03.10.2022</v>
      </c>
      <c r="D73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4" t="str">
        <f ca="1">IFERROR(__xludf.DUMMYFUNCTION("""COMPUTED_VALUE"""),"Новый")</f>
        <v>Новый</v>
      </c>
      <c r="G7314" s="68"/>
      <c r="K7314" s="68"/>
    </row>
    <row r="7315" spans="1:11" ht="12.75">
      <c r="A7315" s="69">
        <f ca="1">IFERROR(__xludf.DUMMYFUNCTION("""COMPUTED_VALUE"""),108903)</f>
        <v>108903</v>
      </c>
      <c r="B7315" s="4">
        <f ca="1">IFERROR(__xludf.DUMMYFUNCTION("""COMPUTED_VALUE"""),44837)</f>
        <v>44837</v>
      </c>
      <c r="C7315" t="str">
        <f ca="1">IFERROR(__xludf.DUMMYFUNCTION("""COMPUTED_VALUE"""),"БУ Г. ОМСКА ""УДХБ"" 216-РДО от 03.10.2022")</f>
        <v>БУ Г. ОМСКА "УДХБ" 216-РДО от 03.10.2022</v>
      </c>
      <c r="D73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5" t="str">
        <f ca="1">IFERROR(__xludf.DUMMYFUNCTION("""COMPUTED_VALUE"""),"Новый")</f>
        <v>Новый</v>
      </c>
      <c r="G7315" s="68"/>
      <c r="K7315" s="68"/>
    </row>
    <row r="7316" spans="1:11" ht="12.75">
      <c r="A7316" s="69">
        <f ca="1">IFERROR(__xludf.DUMMYFUNCTION("""COMPUTED_VALUE"""),108904)</f>
        <v>108904</v>
      </c>
      <c r="B7316" s="4">
        <f ca="1">IFERROR(__xludf.DUMMYFUNCTION("""COMPUTED_VALUE"""),44837)</f>
        <v>44837</v>
      </c>
      <c r="C7316" t="str">
        <f ca="1">IFERROR(__xludf.DUMMYFUNCTION("""COMPUTED_VALUE"""),"БУ Г. ОМСКА ""УДХБ"" 216-РДО от 03.10.2022")</f>
        <v>БУ Г. ОМСКА "УДХБ" 216-РДО от 03.10.2022</v>
      </c>
      <c r="D73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6" t="str">
        <f ca="1">IFERROR(__xludf.DUMMYFUNCTION("""COMPUTED_VALUE"""),"Новый")</f>
        <v>Новый</v>
      </c>
      <c r="G7316" s="68"/>
      <c r="K7316" s="68"/>
    </row>
    <row r="7317" spans="1:11" ht="12.75">
      <c r="A7317" s="69">
        <f ca="1">IFERROR(__xludf.DUMMYFUNCTION("""COMPUTED_VALUE"""),108905)</f>
        <v>108905</v>
      </c>
      <c r="B7317" s="4">
        <f ca="1">IFERROR(__xludf.DUMMYFUNCTION("""COMPUTED_VALUE"""),44837)</f>
        <v>44837</v>
      </c>
      <c r="C7317" t="str">
        <f ca="1">IFERROR(__xludf.DUMMYFUNCTION("""COMPUTED_VALUE"""),"БУ Г. ОМСКА ""УДХБ"" 216-РДО от 03.10.2022")</f>
        <v>БУ Г. ОМСКА "УДХБ" 216-РДО от 03.10.2022</v>
      </c>
      <c r="D73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7" t="str">
        <f ca="1">IFERROR(__xludf.DUMMYFUNCTION("""COMPUTED_VALUE"""),"Новый")</f>
        <v>Новый</v>
      </c>
      <c r="G7317" s="68"/>
      <c r="K7317" s="68"/>
    </row>
    <row r="7318" spans="1:11" ht="12.75">
      <c r="A7318" s="69">
        <f ca="1">IFERROR(__xludf.DUMMYFUNCTION("""COMPUTED_VALUE"""),108906)</f>
        <v>108906</v>
      </c>
      <c r="B7318" s="4">
        <f ca="1">IFERROR(__xludf.DUMMYFUNCTION("""COMPUTED_VALUE"""),44837)</f>
        <v>44837</v>
      </c>
      <c r="C7318" t="str">
        <f ca="1">IFERROR(__xludf.DUMMYFUNCTION("""COMPUTED_VALUE"""),"БУ Г. ОМСКА ""УДХБ"" 216-РДО от 03.10.2022")</f>
        <v>БУ Г. ОМСКА "УДХБ" 216-РДО от 03.10.2022</v>
      </c>
      <c r="D73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8" t="str">
        <f ca="1">IFERROR(__xludf.DUMMYFUNCTION("""COMPUTED_VALUE"""),"Новый")</f>
        <v>Новый</v>
      </c>
      <c r="G7318" s="68"/>
      <c r="K7318" s="68"/>
    </row>
    <row r="7319" spans="1:11" ht="12.75">
      <c r="A7319" s="69">
        <f ca="1">IFERROR(__xludf.DUMMYFUNCTION("""COMPUTED_VALUE"""),108907)</f>
        <v>108907</v>
      </c>
      <c r="B7319" s="4">
        <f ca="1">IFERROR(__xludf.DUMMYFUNCTION("""COMPUTED_VALUE"""),44837)</f>
        <v>44837</v>
      </c>
      <c r="C7319" t="str">
        <f ca="1">IFERROR(__xludf.DUMMYFUNCTION("""COMPUTED_VALUE"""),"БУ Г. ОМСКА ""УДХБ"" 216-РДО от 03.10.2022")</f>
        <v>БУ Г. ОМСКА "УДХБ" 216-РДО от 03.10.2022</v>
      </c>
      <c r="D73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19" t="str">
        <f ca="1">IFERROR(__xludf.DUMMYFUNCTION("""COMPUTED_VALUE"""),"Новый")</f>
        <v>Новый</v>
      </c>
      <c r="G7319" s="68"/>
      <c r="K7319" s="68"/>
    </row>
    <row r="7320" spans="1:11" ht="12.75">
      <c r="A7320" s="69">
        <f ca="1">IFERROR(__xludf.DUMMYFUNCTION("""COMPUTED_VALUE"""),108925)</f>
        <v>108925</v>
      </c>
      <c r="B7320" s="4">
        <f ca="1">IFERROR(__xludf.DUMMYFUNCTION("""COMPUTED_VALUE"""),44837)</f>
        <v>44837</v>
      </c>
      <c r="C7320" t="str">
        <f ca="1">IFERROR(__xludf.DUMMYFUNCTION("""COMPUTED_VALUE"""),"БУ Г. ОМСКА ""УДХБ"" 216-РДО от 03.10.2022")</f>
        <v>БУ Г. ОМСКА "УДХБ" 216-РДО от 03.10.2022</v>
      </c>
      <c r="D73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0" t="str">
        <f ca="1">IFERROR(__xludf.DUMMYFUNCTION("""COMPUTED_VALUE"""),"Новый")</f>
        <v>Новый</v>
      </c>
      <c r="G7320" s="68"/>
      <c r="K7320" s="68"/>
    </row>
    <row r="7321" spans="1:11" ht="12.75">
      <c r="A7321" s="69">
        <f ca="1">IFERROR(__xludf.DUMMYFUNCTION("""COMPUTED_VALUE"""),108932)</f>
        <v>108932</v>
      </c>
      <c r="B7321" s="4">
        <f ca="1">IFERROR(__xludf.DUMMYFUNCTION("""COMPUTED_VALUE"""),44837)</f>
        <v>44837</v>
      </c>
      <c r="C7321" t="str">
        <f ca="1">IFERROR(__xludf.DUMMYFUNCTION("""COMPUTED_VALUE"""),"БУ Г. ОМСКА ""УДХБ"" 216-РДО от 03.10.2022")</f>
        <v>БУ Г. ОМСКА "УДХБ" 216-РДО от 03.10.2022</v>
      </c>
      <c r="D73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1" t="str">
        <f ca="1">IFERROR(__xludf.DUMMYFUNCTION("""COMPUTED_VALUE"""),"Новый")</f>
        <v>Новый</v>
      </c>
      <c r="G7321" s="68"/>
      <c r="K7321" s="68"/>
    </row>
    <row r="7322" spans="1:11" ht="12.75">
      <c r="A7322" s="69">
        <f ca="1">IFERROR(__xludf.DUMMYFUNCTION("""COMPUTED_VALUE"""),108933)</f>
        <v>108933</v>
      </c>
      <c r="B7322" s="4">
        <f ca="1">IFERROR(__xludf.DUMMYFUNCTION("""COMPUTED_VALUE"""),44837)</f>
        <v>44837</v>
      </c>
      <c r="C7322" t="str">
        <f ca="1">IFERROR(__xludf.DUMMYFUNCTION("""COMPUTED_VALUE"""),"БУ Г. ОМСКА ""УДХБ"" 216-РДО от 03.10.2022")</f>
        <v>БУ Г. ОМСКА "УДХБ" 216-РДО от 03.10.2022</v>
      </c>
      <c r="D73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2" t="str">
        <f ca="1">IFERROR(__xludf.DUMMYFUNCTION("""COMPUTED_VALUE"""),"Новый")</f>
        <v>Новый</v>
      </c>
      <c r="G7322" s="68"/>
      <c r="K7322" s="68"/>
    </row>
    <row r="7323" spans="1:11" ht="12.75">
      <c r="A7323" s="69">
        <f ca="1">IFERROR(__xludf.DUMMYFUNCTION("""COMPUTED_VALUE"""),108935)</f>
        <v>108935</v>
      </c>
      <c r="B7323" s="4">
        <f ca="1">IFERROR(__xludf.DUMMYFUNCTION("""COMPUTED_VALUE"""),44837)</f>
        <v>44837</v>
      </c>
      <c r="C7323" t="str">
        <f ca="1">IFERROR(__xludf.DUMMYFUNCTION("""COMPUTED_VALUE"""),"БУ Г. ОМСКА ""УДХБ"" 216-РДО от 03.10.2022")</f>
        <v>БУ Г. ОМСКА "УДХБ" 216-РДО от 03.10.2022</v>
      </c>
      <c r="D73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3" t="str">
        <f ca="1">IFERROR(__xludf.DUMMYFUNCTION("""COMPUTED_VALUE"""),"Новый")</f>
        <v>Новый</v>
      </c>
      <c r="G7323" s="68"/>
      <c r="K7323" s="68"/>
    </row>
    <row r="7324" spans="1:11" ht="12.75">
      <c r="A7324" s="69">
        <f ca="1">IFERROR(__xludf.DUMMYFUNCTION("""COMPUTED_VALUE"""),108944)</f>
        <v>108944</v>
      </c>
      <c r="B7324" s="4">
        <f ca="1">IFERROR(__xludf.DUMMYFUNCTION("""COMPUTED_VALUE"""),44837)</f>
        <v>44837</v>
      </c>
      <c r="C7324" t="str">
        <f ca="1">IFERROR(__xludf.DUMMYFUNCTION("""COMPUTED_VALUE"""),"БУ Г. ОМСКА ""УДХБ"" 216-РДО от 03.10.2022")</f>
        <v>БУ Г. ОМСКА "УДХБ" 216-РДО от 03.10.2022</v>
      </c>
      <c r="D73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4" t="str">
        <f ca="1">IFERROR(__xludf.DUMMYFUNCTION("""COMPUTED_VALUE"""),"Новый")</f>
        <v>Новый</v>
      </c>
      <c r="G7324" s="68"/>
      <c r="K7324" s="68"/>
    </row>
    <row r="7325" spans="1:11" ht="12.75">
      <c r="A7325" s="69">
        <f ca="1">IFERROR(__xludf.DUMMYFUNCTION("""COMPUTED_VALUE"""),108946)</f>
        <v>108946</v>
      </c>
      <c r="B7325" s="4">
        <f ca="1">IFERROR(__xludf.DUMMYFUNCTION("""COMPUTED_VALUE"""),44837)</f>
        <v>44837</v>
      </c>
      <c r="C7325" t="str">
        <f ca="1">IFERROR(__xludf.DUMMYFUNCTION("""COMPUTED_VALUE"""),"БУ Г. ОМСКА ""УДХБ"" 216-РДО от 03.10.2022")</f>
        <v>БУ Г. ОМСКА "УДХБ" 216-РДО от 03.10.2022</v>
      </c>
      <c r="D73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5" t="str">
        <f ca="1">IFERROR(__xludf.DUMMYFUNCTION("""COMPUTED_VALUE"""),"Новый")</f>
        <v>Новый</v>
      </c>
      <c r="G7325" s="68"/>
      <c r="K7325" s="68"/>
    </row>
    <row r="7326" spans="1:11" ht="12.75">
      <c r="A7326" s="69">
        <f ca="1">IFERROR(__xludf.DUMMYFUNCTION("""COMPUTED_VALUE"""),108948)</f>
        <v>108948</v>
      </c>
      <c r="B7326" s="4">
        <f ca="1">IFERROR(__xludf.DUMMYFUNCTION("""COMPUTED_VALUE"""),44837)</f>
        <v>44837</v>
      </c>
      <c r="C7326" t="str">
        <f ca="1">IFERROR(__xludf.DUMMYFUNCTION("""COMPUTED_VALUE"""),"БУ Г. ОМСКА ""УДХБ"" 216-РДО от 03.10.2022")</f>
        <v>БУ Г. ОМСКА "УДХБ" 216-РДО от 03.10.2022</v>
      </c>
      <c r="D73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6" t="str">
        <f ca="1">IFERROR(__xludf.DUMMYFUNCTION("""COMPUTED_VALUE"""),"Новый")</f>
        <v>Новый</v>
      </c>
      <c r="G7326" s="68"/>
      <c r="K7326" s="68"/>
    </row>
    <row r="7327" spans="1:11" ht="12.75">
      <c r="A7327" s="69">
        <f ca="1">IFERROR(__xludf.DUMMYFUNCTION("""COMPUTED_VALUE"""),108949)</f>
        <v>108949</v>
      </c>
      <c r="B7327" s="4">
        <f ca="1">IFERROR(__xludf.DUMMYFUNCTION("""COMPUTED_VALUE"""),44837)</f>
        <v>44837</v>
      </c>
      <c r="C7327" t="str">
        <f ca="1">IFERROR(__xludf.DUMMYFUNCTION("""COMPUTED_VALUE"""),"БУ Г. ОМСКА ""УДХБ"" 216-РДО от 03.10.2022")</f>
        <v>БУ Г. ОМСКА "УДХБ" 216-РДО от 03.10.2022</v>
      </c>
      <c r="D73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7" t="str">
        <f ca="1">IFERROR(__xludf.DUMMYFUNCTION("""COMPUTED_VALUE"""),"Новый")</f>
        <v>Новый</v>
      </c>
      <c r="G7327" s="68"/>
      <c r="K7327" s="68"/>
    </row>
    <row r="7328" spans="1:11" ht="12.75">
      <c r="A7328" s="69">
        <f ca="1">IFERROR(__xludf.DUMMYFUNCTION("""COMPUTED_VALUE"""),108950)</f>
        <v>108950</v>
      </c>
      <c r="B7328" s="4">
        <f ca="1">IFERROR(__xludf.DUMMYFUNCTION("""COMPUTED_VALUE"""),44837)</f>
        <v>44837</v>
      </c>
      <c r="C7328" t="str">
        <f ca="1">IFERROR(__xludf.DUMMYFUNCTION("""COMPUTED_VALUE"""),"БУ Г. ОМСКА ""УДХБ"" 216-РДО от 03.10.2022")</f>
        <v>БУ Г. ОМСКА "УДХБ" 216-РДО от 03.10.2022</v>
      </c>
      <c r="D73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8" t="str">
        <f ca="1">IFERROR(__xludf.DUMMYFUNCTION("""COMPUTED_VALUE"""),"Новый")</f>
        <v>Новый</v>
      </c>
      <c r="G7328" s="68"/>
      <c r="K7328" s="68"/>
    </row>
    <row r="7329" spans="1:11" ht="12.75">
      <c r="A7329" s="69">
        <f ca="1">IFERROR(__xludf.DUMMYFUNCTION("""COMPUTED_VALUE"""),108951)</f>
        <v>108951</v>
      </c>
      <c r="B7329" s="4">
        <f ca="1">IFERROR(__xludf.DUMMYFUNCTION("""COMPUTED_VALUE"""),44837)</f>
        <v>44837</v>
      </c>
      <c r="C7329" t="str">
        <f ca="1">IFERROR(__xludf.DUMMYFUNCTION("""COMPUTED_VALUE"""),"БУ Г. ОМСКА ""УДХБ"" 216-РДО от 03.10.2022")</f>
        <v>БУ Г. ОМСКА "УДХБ" 216-РДО от 03.10.2022</v>
      </c>
      <c r="D73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29" t="str">
        <f ca="1">IFERROR(__xludf.DUMMYFUNCTION("""COMPUTED_VALUE"""),"Новый")</f>
        <v>Новый</v>
      </c>
      <c r="G7329" s="68"/>
      <c r="K7329" s="68"/>
    </row>
    <row r="7330" spans="1:11" ht="12.75">
      <c r="A7330" s="69">
        <f ca="1">IFERROR(__xludf.DUMMYFUNCTION("""COMPUTED_VALUE"""),108952)</f>
        <v>108952</v>
      </c>
      <c r="B7330" s="4">
        <f ca="1">IFERROR(__xludf.DUMMYFUNCTION("""COMPUTED_VALUE"""),44837)</f>
        <v>44837</v>
      </c>
      <c r="C7330" t="str">
        <f ca="1">IFERROR(__xludf.DUMMYFUNCTION("""COMPUTED_VALUE"""),"БУ Г. ОМСКА ""УДХБ"" 216-РДО от 03.10.2022")</f>
        <v>БУ Г. ОМСКА "УДХБ" 216-РДО от 03.10.2022</v>
      </c>
      <c r="D73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0" t="str">
        <f ca="1">IFERROR(__xludf.DUMMYFUNCTION("""COMPUTED_VALUE"""),"Новый")</f>
        <v>Новый</v>
      </c>
      <c r="G7330" s="68"/>
      <c r="K7330" s="68"/>
    </row>
    <row r="7331" spans="1:11" ht="12.75">
      <c r="A7331" s="69">
        <f ca="1">IFERROR(__xludf.DUMMYFUNCTION("""COMPUTED_VALUE"""),108953)</f>
        <v>108953</v>
      </c>
      <c r="B7331" s="4">
        <f ca="1">IFERROR(__xludf.DUMMYFUNCTION("""COMPUTED_VALUE"""),44837)</f>
        <v>44837</v>
      </c>
      <c r="C7331" t="str">
        <f ca="1">IFERROR(__xludf.DUMMYFUNCTION("""COMPUTED_VALUE"""),"БУ Г. ОМСКА ""УДХБ"" 216-РДО от 03.10.2022")</f>
        <v>БУ Г. ОМСКА "УДХБ" 216-РДО от 03.10.2022</v>
      </c>
      <c r="D73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1" t="str">
        <f ca="1">IFERROR(__xludf.DUMMYFUNCTION("""COMPUTED_VALUE"""),"Новый")</f>
        <v>Новый</v>
      </c>
      <c r="G7331" s="68"/>
      <c r="K7331" s="68"/>
    </row>
    <row r="7332" spans="1:11" ht="12.75">
      <c r="A7332" s="69">
        <f ca="1">IFERROR(__xludf.DUMMYFUNCTION("""COMPUTED_VALUE"""),108954)</f>
        <v>108954</v>
      </c>
      <c r="B7332" s="4">
        <f ca="1">IFERROR(__xludf.DUMMYFUNCTION("""COMPUTED_VALUE"""),44837)</f>
        <v>44837</v>
      </c>
      <c r="C7332" t="str">
        <f ca="1">IFERROR(__xludf.DUMMYFUNCTION("""COMPUTED_VALUE"""),"БУ Г. ОМСКА ""УДХБ"" 216-РДО от 03.10.2022")</f>
        <v>БУ Г. ОМСКА "УДХБ" 216-РДО от 03.10.2022</v>
      </c>
      <c r="D73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2" t="str">
        <f ca="1">IFERROR(__xludf.DUMMYFUNCTION("""COMPUTED_VALUE"""),"Новый")</f>
        <v>Новый</v>
      </c>
      <c r="G7332" s="68"/>
      <c r="K7332" s="68"/>
    </row>
    <row r="7333" spans="1:11" ht="12.75">
      <c r="A7333" s="69">
        <f ca="1">IFERROR(__xludf.DUMMYFUNCTION("""COMPUTED_VALUE"""),108955)</f>
        <v>108955</v>
      </c>
      <c r="B7333" s="4">
        <f ca="1">IFERROR(__xludf.DUMMYFUNCTION("""COMPUTED_VALUE"""),44837)</f>
        <v>44837</v>
      </c>
      <c r="C7333" t="str">
        <f ca="1">IFERROR(__xludf.DUMMYFUNCTION("""COMPUTED_VALUE"""),"БУ Г. ОМСКА ""УДХБ"" 216-РДО от 03.10.2022")</f>
        <v>БУ Г. ОМСКА "УДХБ" 216-РДО от 03.10.2022</v>
      </c>
      <c r="D73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3" t="str">
        <f ca="1">IFERROR(__xludf.DUMMYFUNCTION("""COMPUTED_VALUE"""),"Новый")</f>
        <v>Новый</v>
      </c>
      <c r="G7333" s="68"/>
      <c r="K7333" s="68"/>
    </row>
    <row r="7334" spans="1:11" ht="12.75">
      <c r="A7334" s="69">
        <f ca="1">IFERROR(__xludf.DUMMYFUNCTION("""COMPUTED_VALUE"""),108956)</f>
        <v>108956</v>
      </c>
      <c r="B7334" s="4">
        <f ca="1">IFERROR(__xludf.DUMMYFUNCTION("""COMPUTED_VALUE"""),44837)</f>
        <v>44837</v>
      </c>
      <c r="C7334" t="str">
        <f ca="1">IFERROR(__xludf.DUMMYFUNCTION("""COMPUTED_VALUE"""),"БУ Г. ОМСКА ""УДХБ"" 216-РДО от 03.10.2022")</f>
        <v>БУ Г. ОМСКА "УДХБ" 216-РДО от 03.10.2022</v>
      </c>
      <c r="D73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4" t="str">
        <f ca="1">IFERROR(__xludf.DUMMYFUNCTION("""COMPUTED_VALUE"""),"Новый")</f>
        <v>Новый</v>
      </c>
      <c r="G7334" s="68"/>
      <c r="K7334" s="68"/>
    </row>
    <row r="7335" spans="1:11" ht="12.75">
      <c r="A7335" s="69">
        <f ca="1">IFERROR(__xludf.DUMMYFUNCTION("""COMPUTED_VALUE"""),108957)</f>
        <v>108957</v>
      </c>
      <c r="B7335" s="4">
        <f ca="1">IFERROR(__xludf.DUMMYFUNCTION("""COMPUTED_VALUE"""),44837)</f>
        <v>44837</v>
      </c>
      <c r="C7335" t="str">
        <f ca="1">IFERROR(__xludf.DUMMYFUNCTION("""COMPUTED_VALUE"""),"БУ Г. ОМСКА ""УДХБ"" 216-РДО от 03.10.2022")</f>
        <v>БУ Г. ОМСКА "УДХБ" 216-РДО от 03.10.2022</v>
      </c>
      <c r="D73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5" t="str">
        <f ca="1">IFERROR(__xludf.DUMMYFUNCTION("""COMPUTED_VALUE"""),"Новый")</f>
        <v>Новый</v>
      </c>
      <c r="G7335" s="68"/>
      <c r="K7335" s="68"/>
    </row>
    <row r="7336" spans="1:11" ht="12.75">
      <c r="A7336" s="69">
        <f ca="1">IFERROR(__xludf.DUMMYFUNCTION("""COMPUTED_VALUE"""),108958)</f>
        <v>108958</v>
      </c>
      <c r="B7336" s="4">
        <f ca="1">IFERROR(__xludf.DUMMYFUNCTION("""COMPUTED_VALUE"""),44837)</f>
        <v>44837</v>
      </c>
      <c r="C7336" t="str">
        <f ca="1">IFERROR(__xludf.DUMMYFUNCTION("""COMPUTED_VALUE"""),"БУ Г. ОМСКА ""УДХБ"" 216-РДО от 03.10.2022")</f>
        <v>БУ Г. ОМСКА "УДХБ" 216-РДО от 03.10.2022</v>
      </c>
      <c r="D73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6" t="str">
        <f ca="1">IFERROR(__xludf.DUMMYFUNCTION("""COMPUTED_VALUE"""),"Новый")</f>
        <v>Новый</v>
      </c>
      <c r="G7336" s="68"/>
      <c r="K7336" s="68"/>
    </row>
    <row r="7337" spans="1:11" ht="12.75">
      <c r="A7337" s="69">
        <f ca="1">IFERROR(__xludf.DUMMYFUNCTION("""COMPUTED_VALUE"""),108959)</f>
        <v>108959</v>
      </c>
      <c r="B7337" s="4">
        <f ca="1">IFERROR(__xludf.DUMMYFUNCTION("""COMPUTED_VALUE"""),44837)</f>
        <v>44837</v>
      </c>
      <c r="C7337" t="str">
        <f ca="1">IFERROR(__xludf.DUMMYFUNCTION("""COMPUTED_VALUE"""),"БУ Г. ОМСКА ""УДХБ"" 216-РДО от 03.10.2022")</f>
        <v>БУ Г. ОМСКА "УДХБ" 216-РДО от 03.10.2022</v>
      </c>
      <c r="D73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7" t="str">
        <f ca="1">IFERROR(__xludf.DUMMYFUNCTION("""COMPUTED_VALUE"""),"Новый")</f>
        <v>Новый</v>
      </c>
      <c r="G7337" s="68"/>
      <c r="K7337" s="68"/>
    </row>
    <row r="7338" spans="1:11" ht="12.75">
      <c r="A7338" s="69">
        <f ca="1">IFERROR(__xludf.DUMMYFUNCTION("""COMPUTED_VALUE"""),108960)</f>
        <v>108960</v>
      </c>
      <c r="B7338" s="4">
        <f ca="1">IFERROR(__xludf.DUMMYFUNCTION("""COMPUTED_VALUE"""),44837)</f>
        <v>44837</v>
      </c>
      <c r="C7338" t="str">
        <f ca="1">IFERROR(__xludf.DUMMYFUNCTION("""COMPUTED_VALUE"""),"БУ Г. ОМСКА ""УДХБ"" 216-РДО от 03.10.2022")</f>
        <v>БУ Г. ОМСКА "УДХБ" 216-РДО от 03.10.2022</v>
      </c>
      <c r="D73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8" t="str">
        <f ca="1">IFERROR(__xludf.DUMMYFUNCTION("""COMPUTED_VALUE"""),"Новый")</f>
        <v>Новый</v>
      </c>
      <c r="G7338" s="68"/>
      <c r="K7338" s="68"/>
    </row>
    <row r="7339" spans="1:11" ht="12.75">
      <c r="A7339" s="69">
        <f ca="1">IFERROR(__xludf.DUMMYFUNCTION("""COMPUTED_VALUE"""),108961)</f>
        <v>108961</v>
      </c>
      <c r="B7339" s="4">
        <f ca="1">IFERROR(__xludf.DUMMYFUNCTION("""COMPUTED_VALUE"""),44837)</f>
        <v>44837</v>
      </c>
      <c r="C7339" t="str">
        <f ca="1">IFERROR(__xludf.DUMMYFUNCTION("""COMPUTED_VALUE"""),"БУ Г. ОМСКА ""УДХБ"" 216-РДО от 03.10.2022")</f>
        <v>БУ Г. ОМСКА "УДХБ" 216-РДО от 03.10.2022</v>
      </c>
      <c r="D73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39" t="str">
        <f ca="1">IFERROR(__xludf.DUMMYFUNCTION("""COMPUTED_VALUE"""),"Новый")</f>
        <v>Новый</v>
      </c>
      <c r="G7339" s="68"/>
      <c r="K7339" s="68"/>
    </row>
    <row r="7340" spans="1:11" ht="12.75">
      <c r="A7340" s="69">
        <f ca="1">IFERROR(__xludf.DUMMYFUNCTION("""COMPUTED_VALUE"""),108962)</f>
        <v>108962</v>
      </c>
      <c r="B7340" s="4">
        <f ca="1">IFERROR(__xludf.DUMMYFUNCTION("""COMPUTED_VALUE"""),44837)</f>
        <v>44837</v>
      </c>
      <c r="C7340" t="str">
        <f ca="1">IFERROR(__xludf.DUMMYFUNCTION("""COMPUTED_VALUE"""),"БУ Г. ОМСКА ""УДХБ"" 216-РДО от 03.10.2022")</f>
        <v>БУ Г. ОМСКА "УДХБ" 216-РДО от 03.10.2022</v>
      </c>
      <c r="D73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0" t="str">
        <f ca="1">IFERROR(__xludf.DUMMYFUNCTION("""COMPUTED_VALUE"""),"Новый")</f>
        <v>Новый</v>
      </c>
      <c r="G7340" s="68"/>
      <c r="K7340" s="68"/>
    </row>
    <row r="7341" spans="1:11" ht="12.75">
      <c r="A7341" s="69">
        <f ca="1">IFERROR(__xludf.DUMMYFUNCTION("""COMPUTED_VALUE"""),108963)</f>
        <v>108963</v>
      </c>
      <c r="B7341" s="4">
        <f ca="1">IFERROR(__xludf.DUMMYFUNCTION("""COMPUTED_VALUE"""),44837)</f>
        <v>44837</v>
      </c>
      <c r="C7341" t="str">
        <f ca="1">IFERROR(__xludf.DUMMYFUNCTION("""COMPUTED_VALUE"""),"БУ Г. ОМСКА ""УДХБ"" 216-РДО от 03.10.2022")</f>
        <v>БУ Г. ОМСКА "УДХБ" 216-РДО от 03.10.2022</v>
      </c>
      <c r="D73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1" t="str">
        <f ca="1">IFERROR(__xludf.DUMMYFUNCTION("""COMPUTED_VALUE"""),"Новый")</f>
        <v>Новый</v>
      </c>
      <c r="G7341" s="68"/>
      <c r="K7341" s="68"/>
    </row>
    <row r="7342" spans="1:11" ht="12.75">
      <c r="A7342" s="69">
        <f ca="1">IFERROR(__xludf.DUMMYFUNCTION("""COMPUTED_VALUE"""),108964)</f>
        <v>108964</v>
      </c>
      <c r="B7342" s="4">
        <f ca="1">IFERROR(__xludf.DUMMYFUNCTION("""COMPUTED_VALUE"""),44837)</f>
        <v>44837</v>
      </c>
      <c r="C7342" t="str">
        <f ca="1">IFERROR(__xludf.DUMMYFUNCTION("""COMPUTED_VALUE"""),"БУ Г. ОМСКА ""УДХБ"" 216-РДО от 03.10.2022")</f>
        <v>БУ Г. ОМСКА "УДХБ" 216-РДО от 03.10.2022</v>
      </c>
      <c r="D73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2" t="str">
        <f ca="1">IFERROR(__xludf.DUMMYFUNCTION("""COMPUTED_VALUE"""),"Новый")</f>
        <v>Новый</v>
      </c>
      <c r="G7342" s="68"/>
      <c r="K7342" s="68"/>
    </row>
    <row r="7343" spans="1:11" ht="12.75">
      <c r="A7343" s="69">
        <f ca="1">IFERROR(__xludf.DUMMYFUNCTION("""COMPUTED_VALUE"""),108965)</f>
        <v>108965</v>
      </c>
      <c r="B7343" s="4">
        <f ca="1">IFERROR(__xludf.DUMMYFUNCTION("""COMPUTED_VALUE"""),44837)</f>
        <v>44837</v>
      </c>
      <c r="C7343" t="str">
        <f ca="1">IFERROR(__xludf.DUMMYFUNCTION("""COMPUTED_VALUE"""),"БУ Г. ОМСКА ""УДХБ"" 216-РДО от 03.10.2022")</f>
        <v>БУ Г. ОМСКА "УДХБ" 216-РДО от 03.10.2022</v>
      </c>
      <c r="D73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3" t="str">
        <f ca="1">IFERROR(__xludf.DUMMYFUNCTION("""COMPUTED_VALUE"""),"Новый")</f>
        <v>Новый</v>
      </c>
      <c r="G7343" s="68"/>
      <c r="K7343" s="68"/>
    </row>
    <row r="7344" spans="1:11" ht="12.75">
      <c r="A7344" s="69">
        <f ca="1">IFERROR(__xludf.DUMMYFUNCTION("""COMPUTED_VALUE"""),108966)</f>
        <v>108966</v>
      </c>
      <c r="B7344" s="4">
        <f ca="1">IFERROR(__xludf.DUMMYFUNCTION("""COMPUTED_VALUE"""),44837)</f>
        <v>44837</v>
      </c>
      <c r="C7344" t="str">
        <f ca="1">IFERROR(__xludf.DUMMYFUNCTION("""COMPUTED_VALUE"""),"БУ Г. ОМСКА ""УДХБ"" 216-РДО от 03.10.2022")</f>
        <v>БУ Г. ОМСКА "УДХБ" 216-РДО от 03.10.2022</v>
      </c>
      <c r="D73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4" t="str">
        <f ca="1">IFERROR(__xludf.DUMMYFUNCTION("""COMPUTED_VALUE"""),"Новый")</f>
        <v>Новый</v>
      </c>
      <c r="G7344" s="68"/>
      <c r="K7344" s="68"/>
    </row>
    <row r="7345" spans="1:11" ht="12.75">
      <c r="A7345" s="69">
        <f ca="1">IFERROR(__xludf.DUMMYFUNCTION("""COMPUTED_VALUE"""),108967)</f>
        <v>108967</v>
      </c>
      <c r="B7345" s="4">
        <f ca="1">IFERROR(__xludf.DUMMYFUNCTION("""COMPUTED_VALUE"""),44837)</f>
        <v>44837</v>
      </c>
      <c r="C7345" t="str">
        <f ca="1">IFERROR(__xludf.DUMMYFUNCTION("""COMPUTED_VALUE"""),"БУ Г. ОМСКА ""УДХБ"" 216-РДО от 03.10.2022")</f>
        <v>БУ Г. ОМСКА "УДХБ" 216-РДО от 03.10.2022</v>
      </c>
      <c r="D73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5" t="str">
        <f ca="1">IFERROR(__xludf.DUMMYFUNCTION("""COMPUTED_VALUE"""),"Новый")</f>
        <v>Новый</v>
      </c>
      <c r="G7345" s="68"/>
      <c r="K7345" s="68"/>
    </row>
    <row r="7346" spans="1:11" ht="12.75">
      <c r="A7346" s="69">
        <f ca="1">IFERROR(__xludf.DUMMYFUNCTION("""COMPUTED_VALUE"""),108968)</f>
        <v>108968</v>
      </c>
      <c r="B7346" s="4">
        <f ca="1">IFERROR(__xludf.DUMMYFUNCTION("""COMPUTED_VALUE"""),44838)</f>
        <v>44838</v>
      </c>
      <c r="C7346" t="str">
        <f ca="1">IFERROR(__xludf.DUMMYFUNCTION("""COMPUTED_VALUE"""),"БУ Г. ОМСКА ""УДХБ"" 216-РДО от 03.10.2022")</f>
        <v>БУ Г. ОМСКА "УДХБ" 216-РДО от 03.10.2022</v>
      </c>
      <c r="D73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6" t="str">
        <f ca="1">IFERROR(__xludf.DUMMYFUNCTION("""COMPUTED_VALUE"""),"Новый")</f>
        <v>Новый</v>
      </c>
      <c r="G7346" s="68"/>
      <c r="K7346" s="68"/>
    </row>
    <row r="7347" spans="1:11" ht="12.75">
      <c r="A7347" s="69">
        <f ca="1">IFERROR(__xludf.DUMMYFUNCTION("""COMPUTED_VALUE"""),108982)</f>
        <v>108982</v>
      </c>
      <c r="B7347" s="4">
        <f ca="1">IFERROR(__xludf.DUMMYFUNCTION("""COMPUTED_VALUE"""),44838)</f>
        <v>44838</v>
      </c>
      <c r="C7347" t="str">
        <f ca="1">IFERROR(__xludf.DUMMYFUNCTION("""COMPUTED_VALUE"""),"БУ Г. ОМСКА ""УДХБ"" 216-РДО от 03.10.2022")</f>
        <v>БУ Г. ОМСКА "УДХБ" 216-РДО от 03.10.2022</v>
      </c>
      <c r="D73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7" t="str">
        <f ca="1">IFERROR(__xludf.DUMMYFUNCTION("""COMPUTED_VALUE"""),"Новый")</f>
        <v>Новый</v>
      </c>
      <c r="G7347" s="68"/>
      <c r="K7347" s="68"/>
    </row>
    <row r="7348" spans="1:11" ht="12.75">
      <c r="A7348" s="69">
        <f ca="1">IFERROR(__xludf.DUMMYFUNCTION("""COMPUTED_VALUE"""),108983)</f>
        <v>108983</v>
      </c>
      <c r="B7348" s="4">
        <f ca="1">IFERROR(__xludf.DUMMYFUNCTION("""COMPUTED_VALUE"""),44838)</f>
        <v>44838</v>
      </c>
      <c r="C7348" t="str">
        <f ca="1">IFERROR(__xludf.DUMMYFUNCTION("""COMPUTED_VALUE"""),"БУ Г. ОМСКА ""УДХБ"" 216-РДО от 03.10.2022")</f>
        <v>БУ Г. ОМСКА "УДХБ" 216-РДО от 03.10.2022</v>
      </c>
      <c r="D73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8" t="str">
        <f ca="1">IFERROR(__xludf.DUMMYFUNCTION("""COMPUTED_VALUE"""),"Новый")</f>
        <v>Новый</v>
      </c>
      <c r="G7348" s="68"/>
      <c r="K7348" s="68"/>
    </row>
    <row r="7349" spans="1:11" ht="12.75">
      <c r="A7349" s="69">
        <f ca="1">IFERROR(__xludf.DUMMYFUNCTION("""COMPUTED_VALUE"""),108987)</f>
        <v>108987</v>
      </c>
      <c r="B7349" s="4">
        <f ca="1">IFERROR(__xludf.DUMMYFUNCTION("""COMPUTED_VALUE"""),44838)</f>
        <v>44838</v>
      </c>
      <c r="C7349" t="str">
        <f ca="1">IFERROR(__xludf.DUMMYFUNCTION("""COMPUTED_VALUE"""),"БУ Г. ОМСКА ""УДХБ"" 216-РДО от 03.10.2022")</f>
        <v>БУ Г. ОМСКА "УДХБ" 216-РДО от 03.10.2022</v>
      </c>
      <c r="D73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49" t="str">
        <f ca="1">IFERROR(__xludf.DUMMYFUNCTION("""COMPUTED_VALUE"""),"Новый")</f>
        <v>Новый</v>
      </c>
      <c r="G7349" s="68"/>
      <c r="K7349" s="68"/>
    </row>
    <row r="7350" spans="1:11" ht="12.75">
      <c r="A7350" s="69">
        <f ca="1">IFERROR(__xludf.DUMMYFUNCTION("""COMPUTED_VALUE"""),108990)</f>
        <v>108990</v>
      </c>
      <c r="B7350" s="4">
        <f ca="1">IFERROR(__xludf.DUMMYFUNCTION("""COMPUTED_VALUE"""),44838)</f>
        <v>44838</v>
      </c>
      <c r="C7350" t="str">
        <f ca="1">IFERROR(__xludf.DUMMYFUNCTION("""COMPUTED_VALUE"""),"БУ Г. ОМСКА ""УДХБ"" 216-РДО от 03.10.2022")</f>
        <v>БУ Г. ОМСКА "УДХБ" 216-РДО от 03.10.2022</v>
      </c>
      <c r="D73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0" t="str">
        <f ca="1">IFERROR(__xludf.DUMMYFUNCTION("""COMPUTED_VALUE"""),"Новый")</f>
        <v>Новый</v>
      </c>
      <c r="G7350" s="68"/>
      <c r="K7350" s="68"/>
    </row>
    <row r="7351" spans="1:11" ht="12.75">
      <c r="A7351" s="69">
        <f ca="1">IFERROR(__xludf.DUMMYFUNCTION("""COMPUTED_VALUE"""),108991)</f>
        <v>108991</v>
      </c>
      <c r="B7351" s="4">
        <f ca="1">IFERROR(__xludf.DUMMYFUNCTION("""COMPUTED_VALUE"""),44838)</f>
        <v>44838</v>
      </c>
      <c r="C7351" t="str">
        <f ca="1">IFERROR(__xludf.DUMMYFUNCTION("""COMPUTED_VALUE"""),"БУ Г. ОМСКА ""УДХБ"" 216-РДО от 03.10.2022")</f>
        <v>БУ Г. ОМСКА "УДХБ" 216-РДО от 03.10.2022</v>
      </c>
      <c r="D73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1" t="str">
        <f ca="1">IFERROR(__xludf.DUMMYFUNCTION("""COMPUTED_VALUE"""),"Новый")</f>
        <v>Новый</v>
      </c>
      <c r="G7351" s="68"/>
      <c r="K7351" s="68"/>
    </row>
    <row r="7352" spans="1:11" ht="12.75">
      <c r="A7352" s="69">
        <f ca="1">IFERROR(__xludf.DUMMYFUNCTION("""COMPUTED_VALUE"""),108992)</f>
        <v>108992</v>
      </c>
      <c r="B7352" s="4">
        <f ca="1">IFERROR(__xludf.DUMMYFUNCTION("""COMPUTED_VALUE"""),44838)</f>
        <v>44838</v>
      </c>
      <c r="C7352" t="str">
        <f ca="1">IFERROR(__xludf.DUMMYFUNCTION("""COMPUTED_VALUE"""),"БУ Г. ОМСКА ""УДХБ"" 216-РДО от 03.10.2022")</f>
        <v>БУ Г. ОМСКА "УДХБ" 216-РДО от 03.10.2022</v>
      </c>
      <c r="D73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2" t="str">
        <f ca="1">IFERROR(__xludf.DUMMYFUNCTION("""COMPUTED_VALUE"""),"Новый")</f>
        <v>Новый</v>
      </c>
      <c r="G7352" s="68"/>
      <c r="K7352" s="68"/>
    </row>
    <row r="7353" spans="1:11" ht="12.75">
      <c r="A7353" s="69">
        <f ca="1">IFERROR(__xludf.DUMMYFUNCTION("""COMPUTED_VALUE"""),108993)</f>
        <v>108993</v>
      </c>
      <c r="B7353" s="4">
        <f ca="1">IFERROR(__xludf.DUMMYFUNCTION("""COMPUTED_VALUE"""),44838)</f>
        <v>44838</v>
      </c>
      <c r="C7353" t="str">
        <f ca="1">IFERROR(__xludf.DUMMYFUNCTION("""COMPUTED_VALUE"""),"БУ Г. ОМСКА ""УДХБ"" 216-РДО от 03.10.2022")</f>
        <v>БУ Г. ОМСКА "УДХБ" 216-РДО от 03.10.2022</v>
      </c>
      <c r="D73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3" t="str">
        <f ca="1">IFERROR(__xludf.DUMMYFUNCTION("""COMPUTED_VALUE"""),"Новый")</f>
        <v>Новый</v>
      </c>
      <c r="G7353" s="68"/>
      <c r="K7353" s="68"/>
    </row>
    <row r="7354" spans="1:11" ht="12.75">
      <c r="A7354" s="69">
        <f ca="1">IFERROR(__xludf.DUMMYFUNCTION("""COMPUTED_VALUE"""),108994)</f>
        <v>108994</v>
      </c>
      <c r="B7354" s="4">
        <f ca="1">IFERROR(__xludf.DUMMYFUNCTION("""COMPUTED_VALUE"""),44838)</f>
        <v>44838</v>
      </c>
      <c r="C7354" t="str">
        <f ca="1">IFERROR(__xludf.DUMMYFUNCTION("""COMPUTED_VALUE"""),"БУ Г. ОМСКА ""УДХБ"" 216-РДО от 03.10.2022")</f>
        <v>БУ Г. ОМСКА "УДХБ" 216-РДО от 03.10.2022</v>
      </c>
      <c r="D73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4" t="str">
        <f ca="1">IFERROR(__xludf.DUMMYFUNCTION("""COMPUTED_VALUE"""),"Новый")</f>
        <v>Новый</v>
      </c>
      <c r="G7354" s="68"/>
      <c r="K7354" s="68"/>
    </row>
    <row r="7355" spans="1:11" ht="12.75">
      <c r="A7355" s="69">
        <f ca="1">IFERROR(__xludf.DUMMYFUNCTION("""COMPUTED_VALUE"""),108995)</f>
        <v>108995</v>
      </c>
      <c r="B7355" s="4">
        <f ca="1">IFERROR(__xludf.DUMMYFUNCTION("""COMPUTED_VALUE"""),44838)</f>
        <v>44838</v>
      </c>
      <c r="C7355" t="str">
        <f ca="1">IFERROR(__xludf.DUMMYFUNCTION("""COMPUTED_VALUE"""),"БУ Г. ОМСКА ""УДХБ"" 216-РДО от 03.10.2022")</f>
        <v>БУ Г. ОМСКА "УДХБ" 216-РДО от 03.10.2022</v>
      </c>
      <c r="D73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5" t="str">
        <f ca="1">IFERROR(__xludf.DUMMYFUNCTION("""COMPUTED_VALUE"""),"Новый")</f>
        <v>Новый</v>
      </c>
      <c r="G7355" s="68"/>
      <c r="K7355" s="68"/>
    </row>
    <row r="7356" spans="1:11" ht="12.75">
      <c r="A7356" s="69">
        <f ca="1">IFERROR(__xludf.DUMMYFUNCTION("""COMPUTED_VALUE"""),108996)</f>
        <v>108996</v>
      </c>
      <c r="B7356" s="4">
        <f ca="1">IFERROR(__xludf.DUMMYFUNCTION("""COMPUTED_VALUE"""),44838)</f>
        <v>44838</v>
      </c>
      <c r="C7356" t="str">
        <f ca="1">IFERROR(__xludf.DUMMYFUNCTION("""COMPUTED_VALUE"""),"БУ Г. ОМСКА ""УДХБ"" 216-РДО от 03.10.2022")</f>
        <v>БУ Г. ОМСКА "УДХБ" 216-РДО от 03.10.2022</v>
      </c>
      <c r="D73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6" t="str">
        <f ca="1">IFERROR(__xludf.DUMMYFUNCTION("""COMPUTED_VALUE"""),"Новый")</f>
        <v>Новый</v>
      </c>
      <c r="G7356" s="68"/>
      <c r="K7356" s="68"/>
    </row>
    <row r="7357" spans="1:11" ht="12.75">
      <c r="A7357" s="69">
        <f ca="1">IFERROR(__xludf.DUMMYFUNCTION("""COMPUTED_VALUE"""),108997)</f>
        <v>108997</v>
      </c>
      <c r="B7357" s="4">
        <f ca="1">IFERROR(__xludf.DUMMYFUNCTION("""COMPUTED_VALUE"""),44838)</f>
        <v>44838</v>
      </c>
      <c r="C7357" t="str">
        <f ca="1">IFERROR(__xludf.DUMMYFUNCTION("""COMPUTED_VALUE"""),"БУ Г. ОМСКА ""УДХБ"" 216-РДО от 03.10.2022")</f>
        <v>БУ Г. ОМСКА "УДХБ" 216-РДО от 03.10.2022</v>
      </c>
      <c r="D73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7" t="str">
        <f ca="1">IFERROR(__xludf.DUMMYFUNCTION("""COMPUTED_VALUE"""),"Новый")</f>
        <v>Новый</v>
      </c>
      <c r="G7357" s="68"/>
      <c r="K7357" s="68"/>
    </row>
    <row r="7358" spans="1:11" ht="12.75">
      <c r="A7358" s="69">
        <f ca="1">IFERROR(__xludf.DUMMYFUNCTION("""COMPUTED_VALUE"""),108998)</f>
        <v>108998</v>
      </c>
      <c r="B7358" s="4">
        <f ca="1">IFERROR(__xludf.DUMMYFUNCTION("""COMPUTED_VALUE"""),44838)</f>
        <v>44838</v>
      </c>
      <c r="C7358" t="str">
        <f ca="1">IFERROR(__xludf.DUMMYFUNCTION("""COMPUTED_VALUE"""),"БУ Г. ОМСКА ""УДХБ"" 216-РДО от 03.10.2022")</f>
        <v>БУ Г. ОМСКА "УДХБ" 216-РДО от 03.10.2022</v>
      </c>
      <c r="D73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8" t="str">
        <f ca="1">IFERROR(__xludf.DUMMYFUNCTION("""COMPUTED_VALUE"""),"Новый")</f>
        <v>Новый</v>
      </c>
      <c r="G7358" s="68"/>
      <c r="K7358" s="68"/>
    </row>
    <row r="7359" spans="1:11" ht="12.75">
      <c r="A7359" s="69">
        <f ca="1">IFERROR(__xludf.DUMMYFUNCTION("""COMPUTED_VALUE"""),108999)</f>
        <v>108999</v>
      </c>
      <c r="B7359" s="4">
        <f ca="1">IFERROR(__xludf.DUMMYFUNCTION("""COMPUTED_VALUE"""),44838)</f>
        <v>44838</v>
      </c>
      <c r="C7359" t="str">
        <f ca="1">IFERROR(__xludf.DUMMYFUNCTION("""COMPUTED_VALUE"""),"БУ Г. ОМСКА ""УДХБ"" 216-РДО от 03.10.2022")</f>
        <v>БУ Г. ОМСКА "УДХБ" 216-РДО от 03.10.2022</v>
      </c>
      <c r="D73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59" t="str">
        <f ca="1">IFERROR(__xludf.DUMMYFUNCTION("""COMPUTED_VALUE"""),"Новый")</f>
        <v>Новый</v>
      </c>
      <c r="G7359" s="68"/>
      <c r="K7359" s="68"/>
    </row>
    <row r="7360" spans="1:11" ht="12.75">
      <c r="A7360" s="69">
        <f ca="1">IFERROR(__xludf.DUMMYFUNCTION("""COMPUTED_VALUE"""),109000)</f>
        <v>109000</v>
      </c>
      <c r="B7360" s="4">
        <f ca="1">IFERROR(__xludf.DUMMYFUNCTION("""COMPUTED_VALUE"""),44838)</f>
        <v>44838</v>
      </c>
      <c r="C7360" t="str">
        <f ca="1">IFERROR(__xludf.DUMMYFUNCTION("""COMPUTED_VALUE"""),"БУ Г. ОМСКА ""УДХБ"" 216-РДО от 03.10.2022")</f>
        <v>БУ Г. ОМСКА "УДХБ" 216-РДО от 03.10.2022</v>
      </c>
      <c r="D73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0" t="str">
        <f ca="1">IFERROR(__xludf.DUMMYFUNCTION("""COMPUTED_VALUE"""),"Новый")</f>
        <v>Новый</v>
      </c>
      <c r="G7360" s="68"/>
      <c r="K7360" s="68"/>
    </row>
    <row r="7361" spans="1:11" ht="12.75">
      <c r="A7361" s="69">
        <f ca="1">IFERROR(__xludf.DUMMYFUNCTION("""COMPUTED_VALUE"""),109001)</f>
        <v>109001</v>
      </c>
      <c r="B7361" s="4">
        <f ca="1">IFERROR(__xludf.DUMMYFUNCTION("""COMPUTED_VALUE"""),44838)</f>
        <v>44838</v>
      </c>
      <c r="C7361" t="str">
        <f ca="1">IFERROR(__xludf.DUMMYFUNCTION("""COMPUTED_VALUE"""),"БУ Г. ОМСКА ""УДХБ"" 216-РДО от 03.10.2022")</f>
        <v>БУ Г. ОМСКА "УДХБ" 216-РДО от 03.10.2022</v>
      </c>
      <c r="D73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1" t="str">
        <f ca="1">IFERROR(__xludf.DUMMYFUNCTION("""COMPUTED_VALUE"""),"Новый")</f>
        <v>Новый</v>
      </c>
      <c r="G7361" s="68"/>
      <c r="K7361" s="68"/>
    </row>
    <row r="7362" spans="1:11" ht="12.75">
      <c r="A7362" s="69">
        <f ca="1">IFERROR(__xludf.DUMMYFUNCTION("""COMPUTED_VALUE"""),109002)</f>
        <v>109002</v>
      </c>
      <c r="B7362" s="4">
        <f ca="1">IFERROR(__xludf.DUMMYFUNCTION("""COMPUTED_VALUE"""),44838)</f>
        <v>44838</v>
      </c>
      <c r="C7362" t="str">
        <f ca="1">IFERROR(__xludf.DUMMYFUNCTION("""COMPUTED_VALUE"""),"БУ Г. ОМСКА ""УДХБ"" 216-РДО от 03.10.2022")</f>
        <v>БУ Г. ОМСКА "УДХБ" 216-РДО от 03.10.2022</v>
      </c>
      <c r="D73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2" t="str">
        <f ca="1">IFERROR(__xludf.DUMMYFUNCTION("""COMPUTED_VALUE"""),"Новый")</f>
        <v>Новый</v>
      </c>
      <c r="G7362" s="68"/>
      <c r="K7362" s="68"/>
    </row>
    <row r="7363" spans="1:11" ht="12.75">
      <c r="A7363" s="69">
        <f ca="1">IFERROR(__xludf.DUMMYFUNCTION("""COMPUTED_VALUE"""),109003)</f>
        <v>109003</v>
      </c>
      <c r="B7363" s="4">
        <f ca="1">IFERROR(__xludf.DUMMYFUNCTION("""COMPUTED_VALUE"""),44838)</f>
        <v>44838</v>
      </c>
      <c r="C7363" t="str">
        <f ca="1">IFERROR(__xludf.DUMMYFUNCTION("""COMPUTED_VALUE"""),"БУ Г. ОМСКА ""УДХБ"" 216-РДО от 03.10.2022")</f>
        <v>БУ Г. ОМСКА "УДХБ" 216-РДО от 03.10.2022</v>
      </c>
      <c r="D73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3" t="str">
        <f ca="1">IFERROR(__xludf.DUMMYFUNCTION("""COMPUTED_VALUE"""),"Новый")</f>
        <v>Новый</v>
      </c>
      <c r="G7363" s="68"/>
      <c r="K7363" s="68"/>
    </row>
    <row r="7364" spans="1:11" ht="12.75">
      <c r="A7364" s="69">
        <f ca="1">IFERROR(__xludf.DUMMYFUNCTION("""COMPUTED_VALUE"""),109004)</f>
        <v>109004</v>
      </c>
      <c r="B7364" s="4">
        <f ca="1">IFERROR(__xludf.DUMMYFUNCTION("""COMPUTED_VALUE"""),44838)</f>
        <v>44838</v>
      </c>
      <c r="C7364" t="str">
        <f ca="1">IFERROR(__xludf.DUMMYFUNCTION("""COMPUTED_VALUE"""),"БУ Г. ОМСКА ""УДХБ"" 216-РДО от 03.10.2022")</f>
        <v>БУ Г. ОМСКА "УДХБ" 216-РДО от 03.10.2022</v>
      </c>
      <c r="D73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4" t="str">
        <f ca="1">IFERROR(__xludf.DUMMYFUNCTION("""COMPUTED_VALUE"""),"Новый")</f>
        <v>Новый</v>
      </c>
      <c r="G7364" s="68"/>
      <c r="K7364" s="68"/>
    </row>
    <row r="7365" spans="1:11" ht="12.75">
      <c r="A7365" s="69">
        <f ca="1">IFERROR(__xludf.DUMMYFUNCTION("""COMPUTED_VALUE"""),109005)</f>
        <v>109005</v>
      </c>
      <c r="B7365" s="4">
        <f ca="1">IFERROR(__xludf.DUMMYFUNCTION("""COMPUTED_VALUE"""),44838)</f>
        <v>44838</v>
      </c>
      <c r="C7365" t="str">
        <f ca="1">IFERROR(__xludf.DUMMYFUNCTION("""COMPUTED_VALUE"""),"БУ Г. ОМСКА ""УДХБ"" 216-РДО от 03.10.2022")</f>
        <v>БУ Г. ОМСКА "УДХБ" 216-РДО от 03.10.2022</v>
      </c>
      <c r="D73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5" t="str">
        <f ca="1">IFERROR(__xludf.DUMMYFUNCTION("""COMPUTED_VALUE"""),"Новый")</f>
        <v>Новый</v>
      </c>
      <c r="G7365" s="68"/>
      <c r="K7365" s="68"/>
    </row>
    <row r="7366" spans="1:11" ht="12.75">
      <c r="A7366" s="69">
        <f ca="1">IFERROR(__xludf.DUMMYFUNCTION("""COMPUTED_VALUE"""),109006)</f>
        <v>109006</v>
      </c>
      <c r="B7366" s="4">
        <f ca="1">IFERROR(__xludf.DUMMYFUNCTION("""COMPUTED_VALUE"""),44838)</f>
        <v>44838</v>
      </c>
      <c r="C7366" t="str">
        <f ca="1">IFERROR(__xludf.DUMMYFUNCTION("""COMPUTED_VALUE"""),"БУ Г. ОМСКА ""УДХБ"" 216-РДО от 03.10.2022")</f>
        <v>БУ Г. ОМСКА "УДХБ" 216-РДО от 03.10.2022</v>
      </c>
      <c r="D73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6" t="str">
        <f ca="1">IFERROR(__xludf.DUMMYFUNCTION("""COMPUTED_VALUE"""),"Новый")</f>
        <v>Новый</v>
      </c>
      <c r="G7366" s="68"/>
      <c r="K7366" s="68"/>
    </row>
    <row r="7367" spans="1:11" ht="12.75">
      <c r="A7367" s="69">
        <f ca="1">IFERROR(__xludf.DUMMYFUNCTION("""COMPUTED_VALUE"""),109007)</f>
        <v>109007</v>
      </c>
      <c r="B7367" s="4">
        <f ca="1">IFERROR(__xludf.DUMMYFUNCTION("""COMPUTED_VALUE"""),44838)</f>
        <v>44838</v>
      </c>
      <c r="C7367" t="str">
        <f ca="1">IFERROR(__xludf.DUMMYFUNCTION("""COMPUTED_VALUE"""),"БУ Г. ОМСКА ""УДХБ"" 216-РДО от 03.10.2022")</f>
        <v>БУ Г. ОМСКА "УДХБ" 216-РДО от 03.10.2022</v>
      </c>
      <c r="D73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7" t="str">
        <f ca="1">IFERROR(__xludf.DUMMYFUNCTION("""COMPUTED_VALUE"""),"Новый")</f>
        <v>Новый</v>
      </c>
      <c r="G7367" s="68"/>
      <c r="K7367" s="68"/>
    </row>
    <row r="7368" spans="1:11" ht="12.75">
      <c r="A7368" s="69">
        <f ca="1">IFERROR(__xludf.DUMMYFUNCTION("""COMPUTED_VALUE"""),109008)</f>
        <v>109008</v>
      </c>
      <c r="B7368" s="4">
        <f ca="1">IFERROR(__xludf.DUMMYFUNCTION("""COMPUTED_VALUE"""),44838)</f>
        <v>44838</v>
      </c>
      <c r="C7368" t="str">
        <f ca="1">IFERROR(__xludf.DUMMYFUNCTION("""COMPUTED_VALUE"""),"БУ Г. ОМСКА ""УДХБ"" 216-РДО от 03.10.2022")</f>
        <v>БУ Г. ОМСКА "УДХБ" 216-РДО от 03.10.2022</v>
      </c>
      <c r="D73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8" t="str">
        <f ca="1">IFERROR(__xludf.DUMMYFUNCTION("""COMPUTED_VALUE"""),"Новый")</f>
        <v>Новый</v>
      </c>
      <c r="G7368" s="68"/>
      <c r="K7368" s="68"/>
    </row>
    <row r="7369" spans="1:11" ht="12.75">
      <c r="A7369" s="69">
        <f ca="1">IFERROR(__xludf.DUMMYFUNCTION("""COMPUTED_VALUE"""),109009)</f>
        <v>109009</v>
      </c>
      <c r="B7369" s="4">
        <f ca="1">IFERROR(__xludf.DUMMYFUNCTION("""COMPUTED_VALUE"""),44838)</f>
        <v>44838</v>
      </c>
      <c r="C7369" t="str">
        <f ca="1">IFERROR(__xludf.DUMMYFUNCTION("""COMPUTED_VALUE"""),"БУ Г. ОМСКА ""УДХБ"" 216-РДО от 03.10.2022")</f>
        <v>БУ Г. ОМСКА "УДХБ" 216-РДО от 03.10.2022</v>
      </c>
      <c r="D73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69" t="str">
        <f ca="1">IFERROR(__xludf.DUMMYFUNCTION("""COMPUTED_VALUE"""),"Новый")</f>
        <v>Новый</v>
      </c>
      <c r="G7369" s="68"/>
      <c r="K7369" s="68"/>
    </row>
    <row r="7370" spans="1:11" ht="12.75">
      <c r="A7370" s="69">
        <f ca="1">IFERROR(__xludf.DUMMYFUNCTION("""COMPUTED_VALUE"""),109010)</f>
        <v>109010</v>
      </c>
      <c r="B7370" s="4">
        <f ca="1">IFERROR(__xludf.DUMMYFUNCTION("""COMPUTED_VALUE"""),44838)</f>
        <v>44838</v>
      </c>
      <c r="C7370" t="str">
        <f ca="1">IFERROR(__xludf.DUMMYFUNCTION("""COMPUTED_VALUE"""),"БУ Г. ОМСКА ""УДХБ"" 216-РДО от 03.10.2022")</f>
        <v>БУ Г. ОМСКА "УДХБ" 216-РДО от 03.10.2022</v>
      </c>
      <c r="D73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0" t="str">
        <f ca="1">IFERROR(__xludf.DUMMYFUNCTION("""COMPUTED_VALUE"""),"Новый")</f>
        <v>Новый</v>
      </c>
      <c r="G7370" s="68"/>
      <c r="K7370" s="68"/>
    </row>
    <row r="7371" spans="1:11" ht="12.75">
      <c r="A7371" s="69">
        <f ca="1">IFERROR(__xludf.DUMMYFUNCTION("""COMPUTED_VALUE"""),109011)</f>
        <v>109011</v>
      </c>
      <c r="B7371" s="4">
        <f ca="1">IFERROR(__xludf.DUMMYFUNCTION("""COMPUTED_VALUE"""),44838)</f>
        <v>44838</v>
      </c>
      <c r="C7371" t="str">
        <f ca="1">IFERROR(__xludf.DUMMYFUNCTION("""COMPUTED_VALUE"""),"БУ Г. ОМСКА ""УДХБ"" 216-РДО от 03.10.2022")</f>
        <v>БУ Г. ОМСКА "УДХБ" 216-РДО от 03.10.2022</v>
      </c>
      <c r="D73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1" t="str">
        <f ca="1">IFERROR(__xludf.DUMMYFUNCTION("""COMPUTED_VALUE"""),"Новый")</f>
        <v>Новый</v>
      </c>
      <c r="G7371" s="68"/>
      <c r="K7371" s="68"/>
    </row>
    <row r="7372" spans="1:11" ht="12.75">
      <c r="A7372" s="69">
        <f ca="1">IFERROR(__xludf.DUMMYFUNCTION("""COMPUTED_VALUE"""),109012)</f>
        <v>109012</v>
      </c>
      <c r="B7372" s="4">
        <f ca="1">IFERROR(__xludf.DUMMYFUNCTION("""COMPUTED_VALUE"""),44838)</f>
        <v>44838</v>
      </c>
      <c r="C7372" t="str">
        <f ca="1">IFERROR(__xludf.DUMMYFUNCTION("""COMPUTED_VALUE"""),"БУ Г. ОМСКА ""УДХБ"" 216-РДО от 03.10.2022")</f>
        <v>БУ Г. ОМСКА "УДХБ" 216-РДО от 03.10.2022</v>
      </c>
      <c r="D73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2" t="str">
        <f ca="1">IFERROR(__xludf.DUMMYFUNCTION("""COMPUTED_VALUE"""),"Новый")</f>
        <v>Новый</v>
      </c>
      <c r="G7372" s="68"/>
      <c r="K7372" s="68"/>
    </row>
    <row r="7373" spans="1:11" ht="12.75">
      <c r="A7373" s="69">
        <f ca="1">IFERROR(__xludf.DUMMYFUNCTION("""COMPUTED_VALUE"""),109013)</f>
        <v>109013</v>
      </c>
      <c r="B7373" s="4">
        <f ca="1">IFERROR(__xludf.DUMMYFUNCTION("""COMPUTED_VALUE"""),44838)</f>
        <v>44838</v>
      </c>
      <c r="C7373" t="str">
        <f ca="1">IFERROR(__xludf.DUMMYFUNCTION("""COMPUTED_VALUE"""),"БУ Г. ОМСКА ""УДХБ"" 216-РДО от 03.10.2022")</f>
        <v>БУ Г. ОМСКА "УДХБ" 216-РДО от 03.10.2022</v>
      </c>
      <c r="D73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3" t="str">
        <f ca="1">IFERROR(__xludf.DUMMYFUNCTION("""COMPUTED_VALUE"""),"Новый")</f>
        <v>Новый</v>
      </c>
      <c r="G7373" s="68"/>
      <c r="K7373" s="68"/>
    </row>
    <row r="7374" spans="1:11" ht="12.75">
      <c r="A7374" s="69">
        <f ca="1">IFERROR(__xludf.DUMMYFUNCTION("""COMPUTED_VALUE"""),109014)</f>
        <v>109014</v>
      </c>
      <c r="B7374" s="4">
        <f ca="1">IFERROR(__xludf.DUMMYFUNCTION("""COMPUTED_VALUE"""),44838)</f>
        <v>44838</v>
      </c>
      <c r="C7374" t="str">
        <f ca="1">IFERROR(__xludf.DUMMYFUNCTION("""COMPUTED_VALUE"""),"БУ Г. ОМСКА ""УДХБ"" 216-РДО от 03.10.2022")</f>
        <v>БУ Г. ОМСКА "УДХБ" 216-РДО от 03.10.2022</v>
      </c>
      <c r="D73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4" t="str">
        <f ca="1">IFERROR(__xludf.DUMMYFUNCTION("""COMPUTED_VALUE"""),"Новый")</f>
        <v>Новый</v>
      </c>
      <c r="G7374" s="68"/>
      <c r="K7374" s="68"/>
    </row>
    <row r="7375" spans="1:11" ht="12.75">
      <c r="A7375" s="69">
        <f ca="1">IFERROR(__xludf.DUMMYFUNCTION("""COMPUTED_VALUE"""),109015)</f>
        <v>109015</v>
      </c>
      <c r="B7375" s="4">
        <f ca="1">IFERROR(__xludf.DUMMYFUNCTION("""COMPUTED_VALUE"""),44838)</f>
        <v>44838</v>
      </c>
      <c r="C7375" t="str">
        <f ca="1">IFERROR(__xludf.DUMMYFUNCTION("""COMPUTED_VALUE"""),"БУ Г. ОМСКА ""УДХБ"" 216-РДО от 03.10.2022")</f>
        <v>БУ Г. ОМСКА "УДХБ" 216-РДО от 03.10.2022</v>
      </c>
      <c r="D73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5" t="str">
        <f ca="1">IFERROR(__xludf.DUMMYFUNCTION("""COMPUTED_VALUE"""),"Новый")</f>
        <v>Новый</v>
      </c>
      <c r="G7375" s="68"/>
      <c r="K7375" s="68"/>
    </row>
    <row r="7376" spans="1:11" ht="12.75">
      <c r="A7376" s="69">
        <f ca="1">IFERROR(__xludf.DUMMYFUNCTION("""COMPUTED_VALUE"""),109016)</f>
        <v>109016</v>
      </c>
      <c r="B7376" s="4">
        <f ca="1">IFERROR(__xludf.DUMMYFUNCTION("""COMPUTED_VALUE"""),44838)</f>
        <v>44838</v>
      </c>
      <c r="C7376" t="str">
        <f ca="1">IFERROR(__xludf.DUMMYFUNCTION("""COMPUTED_VALUE"""),"БУ Г. ОМСКА ""УДХБ"" 216-РДО от 03.10.2022")</f>
        <v>БУ Г. ОМСКА "УДХБ" 216-РДО от 03.10.2022</v>
      </c>
      <c r="D73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6" t="str">
        <f ca="1">IFERROR(__xludf.DUMMYFUNCTION("""COMPUTED_VALUE"""),"Новый")</f>
        <v>Новый</v>
      </c>
      <c r="G7376" s="68"/>
      <c r="K7376" s="68"/>
    </row>
    <row r="7377" spans="1:11" ht="12.75">
      <c r="A7377" s="69">
        <f ca="1">IFERROR(__xludf.DUMMYFUNCTION("""COMPUTED_VALUE"""),109017)</f>
        <v>109017</v>
      </c>
      <c r="B7377" s="4">
        <f ca="1">IFERROR(__xludf.DUMMYFUNCTION("""COMPUTED_VALUE"""),44838)</f>
        <v>44838</v>
      </c>
      <c r="C7377" t="str">
        <f ca="1">IFERROR(__xludf.DUMMYFUNCTION("""COMPUTED_VALUE"""),"БУ Г. ОМСКА ""УДХБ"" 216-РДО от 03.10.2022")</f>
        <v>БУ Г. ОМСКА "УДХБ" 216-РДО от 03.10.2022</v>
      </c>
      <c r="D73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7" t="str">
        <f ca="1">IFERROR(__xludf.DUMMYFUNCTION("""COMPUTED_VALUE"""),"Новый")</f>
        <v>Новый</v>
      </c>
      <c r="G7377" s="68"/>
      <c r="K7377" s="68"/>
    </row>
    <row r="7378" spans="1:11" ht="12.75">
      <c r="A7378" s="69">
        <f ca="1">IFERROR(__xludf.DUMMYFUNCTION("""COMPUTED_VALUE"""),109020)</f>
        <v>109020</v>
      </c>
      <c r="B7378" s="4">
        <f ca="1">IFERROR(__xludf.DUMMYFUNCTION("""COMPUTED_VALUE"""),44838)</f>
        <v>44838</v>
      </c>
      <c r="C7378" t="str">
        <f ca="1">IFERROR(__xludf.DUMMYFUNCTION("""COMPUTED_VALUE"""),"БУ Г. ОМСКА ""УДХБ"" 216-РДО от 03.10.2022")</f>
        <v>БУ Г. ОМСКА "УДХБ" 216-РДО от 03.10.2022</v>
      </c>
      <c r="D73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8" t="str">
        <f ca="1">IFERROR(__xludf.DUMMYFUNCTION("""COMPUTED_VALUE"""),"Новый")</f>
        <v>Новый</v>
      </c>
      <c r="G7378" s="68"/>
      <c r="K7378" s="68"/>
    </row>
    <row r="7379" spans="1:11" ht="12.75">
      <c r="A7379" s="69">
        <f ca="1">IFERROR(__xludf.DUMMYFUNCTION("""COMPUTED_VALUE"""),109021)</f>
        <v>109021</v>
      </c>
      <c r="B7379" s="4">
        <f ca="1">IFERROR(__xludf.DUMMYFUNCTION("""COMPUTED_VALUE"""),44838)</f>
        <v>44838</v>
      </c>
      <c r="C7379" t="str">
        <f ca="1">IFERROR(__xludf.DUMMYFUNCTION("""COMPUTED_VALUE"""),"БУ Г. ОМСКА ""УДХБ"" 216-РДО от 03.10.2022")</f>
        <v>БУ Г. ОМСКА "УДХБ" 216-РДО от 03.10.2022</v>
      </c>
      <c r="D73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79" t="str">
        <f ca="1">IFERROR(__xludf.DUMMYFUNCTION("""COMPUTED_VALUE"""),"Новый")</f>
        <v>Новый</v>
      </c>
      <c r="G7379" s="68"/>
      <c r="K7379" s="68"/>
    </row>
    <row r="7380" spans="1:11" ht="12.75">
      <c r="A7380" s="69">
        <f ca="1">IFERROR(__xludf.DUMMYFUNCTION("""COMPUTED_VALUE"""),109022)</f>
        <v>109022</v>
      </c>
      <c r="B7380" s="4">
        <f ca="1">IFERROR(__xludf.DUMMYFUNCTION("""COMPUTED_VALUE"""),44838)</f>
        <v>44838</v>
      </c>
      <c r="C7380" t="str">
        <f ca="1">IFERROR(__xludf.DUMMYFUNCTION("""COMPUTED_VALUE"""),"БУ Г. ОМСКА ""УДХБ"" 216-РДО от 03.10.2022")</f>
        <v>БУ Г. ОМСКА "УДХБ" 216-РДО от 03.10.2022</v>
      </c>
      <c r="D73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0" t="str">
        <f ca="1">IFERROR(__xludf.DUMMYFUNCTION("""COMPUTED_VALUE"""),"Новый")</f>
        <v>Новый</v>
      </c>
      <c r="G7380" s="68"/>
      <c r="K7380" s="68"/>
    </row>
    <row r="7381" spans="1:11" ht="12.75">
      <c r="A7381" s="69">
        <f ca="1">IFERROR(__xludf.DUMMYFUNCTION("""COMPUTED_VALUE"""),109023)</f>
        <v>109023</v>
      </c>
      <c r="B7381" s="4">
        <f ca="1">IFERROR(__xludf.DUMMYFUNCTION("""COMPUTED_VALUE"""),44838)</f>
        <v>44838</v>
      </c>
      <c r="C7381" t="str">
        <f ca="1">IFERROR(__xludf.DUMMYFUNCTION("""COMPUTED_VALUE"""),"БУ Г. ОМСКА ""УДХБ"" 216-РДО от 03.10.2022")</f>
        <v>БУ Г. ОМСКА "УДХБ" 216-РДО от 03.10.2022</v>
      </c>
      <c r="D73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1" t="str">
        <f ca="1">IFERROR(__xludf.DUMMYFUNCTION("""COMPUTED_VALUE"""),"Новый")</f>
        <v>Новый</v>
      </c>
      <c r="G7381" s="68"/>
      <c r="K7381" s="68"/>
    </row>
    <row r="7382" spans="1:11" ht="12.75">
      <c r="A7382" s="69">
        <f ca="1">IFERROR(__xludf.DUMMYFUNCTION("""COMPUTED_VALUE"""),109024)</f>
        <v>109024</v>
      </c>
      <c r="B7382" s="4">
        <f ca="1">IFERROR(__xludf.DUMMYFUNCTION("""COMPUTED_VALUE"""),44838)</f>
        <v>44838</v>
      </c>
      <c r="C7382" t="str">
        <f ca="1">IFERROR(__xludf.DUMMYFUNCTION("""COMPUTED_VALUE"""),"БУ Г. ОМСКА ""УДХБ"" 216-РДО от 03.10.2022")</f>
        <v>БУ Г. ОМСКА "УДХБ" 216-РДО от 03.10.2022</v>
      </c>
      <c r="D73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2" t="str">
        <f ca="1">IFERROR(__xludf.DUMMYFUNCTION("""COMPUTED_VALUE"""),"Новый")</f>
        <v>Новый</v>
      </c>
      <c r="G7382" s="68"/>
      <c r="K7382" s="68"/>
    </row>
    <row r="7383" spans="1:11" ht="12.75">
      <c r="A7383" s="69">
        <f ca="1">IFERROR(__xludf.DUMMYFUNCTION("""COMPUTED_VALUE"""),109025)</f>
        <v>109025</v>
      </c>
      <c r="B7383" s="4">
        <f ca="1">IFERROR(__xludf.DUMMYFUNCTION("""COMPUTED_VALUE"""),44838)</f>
        <v>44838</v>
      </c>
      <c r="C7383" t="str">
        <f ca="1">IFERROR(__xludf.DUMMYFUNCTION("""COMPUTED_VALUE"""),"БУ Г. ОМСКА ""УДХБ"" 216-РДО от 03.10.2022")</f>
        <v>БУ Г. ОМСКА "УДХБ" 216-РДО от 03.10.2022</v>
      </c>
      <c r="D73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3" t="str">
        <f ca="1">IFERROR(__xludf.DUMMYFUNCTION("""COMPUTED_VALUE"""),"Новый")</f>
        <v>Новый</v>
      </c>
      <c r="G7383" s="68"/>
      <c r="K7383" s="68"/>
    </row>
    <row r="7384" spans="1:11" ht="12.75">
      <c r="A7384" s="69">
        <f ca="1">IFERROR(__xludf.DUMMYFUNCTION("""COMPUTED_VALUE"""),109026)</f>
        <v>109026</v>
      </c>
      <c r="B7384" s="4">
        <f ca="1">IFERROR(__xludf.DUMMYFUNCTION("""COMPUTED_VALUE"""),44838)</f>
        <v>44838</v>
      </c>
      <c r="C7384" t="str">
        <f ca="1">IFERROR(__xludf.DUMMYFUNCTION("""COMPUTED_VALUE"""),"БУ Г. ОМСКА ""УДХБ"" 216-РДО от 03.10.2022")</f>
        <v>БУ Г. ОМСКА "УДХБ" 216-РДО от 03.10.2022</v>
      </c>
      <c r="D73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4" t="str">
        <f ca="1">IFERROR(__xludf.DUMMYFUNCTION("""COMPUTED_VALUE"""),"Новый")</f>
        <v>Новый</v>
      </c>
      <c r="G7384" s="68"/>
      <c r="K7384" s="68"/>
    </row>
    <row r="7385" spans="1:11" ht="12.75">
      <c r="A7385" s="69">
        <f ca="1">IFERROR(__xludf.DUMMYFUNCTION("""COMPUTED_VALUE"""),109027)</f>
        <v>109027</v>
      </c>
      <c r="B7385" s="4">
        <f ca="1">IFERROR(__xludf.DUMMYFUNCTION("""COMPUTED_VALUE"""),44838)</f>
        <v>44838</v>
      </c>
      <c r="C7385" t="str">
        <f ca="1">IFERROR(__xludf.DUMMYFUNCTION("""COMPUTED_VALUE"""),"БУ Г. ОМСКА ""УДХБ"" 216-РДО от 03.10.2022")</f>
        <v>БУ Г. ОМСКА "УДХБ" 216-РДО от 03.10.2022</v>
      </c>
      <c r="D73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5" t="str">
        <f ca="1">IFERROR(__xludf.DUMMYFUNCTION("""COMPUTED_VALUE"""),"Новый")</f>
        <v>Новый</v>
      </c>
      <c r="G7385" s="68"/>
      <c r="K7385" s="68"/>
    </row>
    <row r="7386" spans="1:11" ht="12.75">
      <c r="A7386" s="69">
        <f ca="1">IFERROR(__xludf.DUMMYFUNCTION("""COMPUTED_VALUE"""),109028)</f>
        <v>109028</v>
      </c>
      <c r="B7386" s="4">
        <f ca="1">IFERROR(__xludf.DUMMYFUNCTION("""COMPUTED_VALUE"""),44838)</f>
        <v>44838</v>
      </c>
      <c r="C7386" t="str">
        <f ca="1">IFERROR(__xludf.DUMMYFUNCTION("""COMPUTED_VALUE"""),"БУ Г. ОМСКА ""УДХБ"" 216-РДО от 03.10.2022")</f>
        <v>БУ Г. ОМСКА "УДХБ" 216-РДО от 03.10.2022</v>
      </c>
      <c r="D73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6" t="str">
        <f ca="1">IFERROR(__xludf.DUMMYFUNCTION("""COMPUTED_VALUE"""),"Новый")</f>
        <v>Новый</v>
      </c>
      <c r="G7386" s="68"/>
      <c r="K7386" s="68"/>
    </row>
    <row r="7387" spans="1:11" ht="12.75">
      <c r="A7387" s="69">
        <f ca="1">IFERROR(__xludf.DUMMYFUNCTION("""COMPUTED_VALUE"""),109029)</f>
        <v>109029</v>
      </c>
      <c r="B7387" s="4">
        <f ca="1">IFERROR(__xludf.DUMMYFUNCTION("""COMPUTED_VALUE"""),44838)</f>
        <v>44838</v>
      </c>
      <c r="C7387" t="str">
        <f ca="1">IFERROR(__xludf.DUMMYFUNCTION("""COMPUTED_VALUE"""),"БУ Г. ОМСКА ""УДХБ"" 216-РДО от 03.10.2022")</f>
        <v>БУ Г. ОМСКА "УДХБ" 216-РДО от 03.10.2022</v>
      </c>
      <c r="D73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7" t="str">
        <f ca="1">IFERROR(__xludf.DUMMYFUNCTION("""COMPUTED_VALUE"""),"Новый")</f>
        <v>Новый</v>
      </c>
      <c r="G7387" s="68"/>
      <c r="K7387" s="68"/>
    </row>
    <row r="7388" spans="1:11" ht="12.75">
      <c r="A7388" s="69">
        <f ca="1">IFERROR(__xludf.DUMMYFUNCTION("""COMPUTED_VALUE"""),109030)</f>
        <v>109030</v>
      </c>
      <c r="B7388" s="4">
        <f ca="1">IFERROR(__xludf.DUMMYFUNCTION("""COMPUTED_VALUE"""),44838)</f>
        <v>44838</v>
      </c>
      <c r="C7388" t="str">
        <f ca="1">IFERROR(__xludf.DUMMYFUNCTION("""COMPUTED_VALUE"""),"БУ Г. ОМСКА ""УДХБ"" 216-РДО от 03.10.2022")</f>
        <v>БУ Г. ОМСКА "УДХБ" 216-РДО от 03.10.2022</v>
      </c>
      <c r="D73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8" t="str">
        <f ca="1">IFERROR(__xludf.DUMMYFUNCTION("""COMPUTED_VALUE"""),"Новый")</f>
        <v>Новый</v>
      </c>
      <c r="G7388" s="68"/>
      <c r="K7388" s="68"/>
    </row>
    <row r="7389" spans="1:11" ht="12.75">
      <c r="A7389" s="69">
        <f ca="1">IFERROR(__xludf.DUMMYFUNCTION("""COMPUTED_VALUE"""),109031)</f>
        <v>109031</v>
      </c>
      <c r="B7389" s="4">
        <f ca="1">IFERROR(__xludf.DUMMYFUNCTION("""COMPUTED_VALUE"""),44838)</f>
        <v>44838</v>
      </c>
      <c r="C7389" t="str">
        <f ca="1">IFERROR(__xludf.DUMMYFUNCTION("""COMPUTED_VALUE"""),"БУ Г. ОМСКА ""УДХБ"" 216-РДО от 03.10.2022")</f>
        <v>БУ Г. ОМСКА "УДХБ" 216-РДО от 03.10.2022</v>
      </c>
      <c r="D73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89" t="str">
        <f ca="1">IFERROR(__xludf.DUMMYFUNCTION("""COMPUTED_VALUE"""),"Новый")</f>
        <v>Новый</v>
      </c>
      <c r="G7389" s="68"/>
      <c r="K7389" s="68"/>
    </row>
    <row r="7390" spans="1:11" ht="12.75">
      <c r="A7390" s="69">
        <f ca="1">IFERROR(__xludf.DUMMYFUNCTION("""COMPUTED_VALUE"""),109032)</f>
        <v>109032</v>
      </c>
      <c r="B7390" s="4">
        <f ca="1">IFERROR(__xludf.DUMMYFUNCTION("""COMPUTED_VALUE"""),44838)</f>
        <v>44838</v>
      </c>
      <c r="C7390" t="str">
        <f ca="1">IFERROR(__xludf.DUMMYFUNCTION("""COMPUTED_VALUE"""),"БУ Г. ОМСКА ""УДХБ"" 216-РДО от 03.10.2022")</f>
        <v>БУ Г. ОМСКА "УДХБ" 216-РДО от 03.10.2022</v>
      </c>
      <c r="D73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0" t="str">
        <f ca="1">IFERROR(__xludf.DUMMYFUNCTION("""COMPUTED_VALUE"""),"Новый")</f>
        <v>Новый</v>
      </c>
      <c r="G7390" s="68"/>
      <c r="K7390" s="68"/>
    </row>
    <row r="7391" spans="1:11" ht="12.75">
      <c r="A7391" s="69">
        <f ca="1">IFERROR(__xludf.DUMMYFUNCTION("""COMPUTED_VALUE"""),109033)</f>
        <v>109033</v>
      </c>
      <c r="B7391" s="4">
        <f ca="1">IFERROR(__xludf.DUMMYFUNCTION("""COMPUTED_VALUE"""),44838)</f>
        <v>44838</v>
      </c>
      <c r="C7391" t="str">
        <f ca="1">IFERROR(__xludf.DUMMYFUNCTION("""COMPUTED_VALUE"""),"БУ Г. ОМСКА ""УДХБ"" 216-РДО от 03.10.2022")</f>
        <v>БУ Г. ОМСКА "УДХБ" 216-РДО от 03.10.2022</v>
      </c>
      <c r="D73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1" t="str">
        <f ca="1">IFERROR(__xludf.DUMMYFUNCTION("""COMPUTED_VALUE"""),"Новый")</f>
        <v>Новый</v>
      </c>
      <c r="G7391" s="68"/>
      <c r="K7391" s="68"/>
    </row>
    <row r="7392" spans="1:11" ht="12.75">
      <c r="A7392" s="69">
        <f ca="1">IFERROR(__xludf.DUMMYFUNCTION("""COMPUTED_VALUE"""),109034)</f>
        <v>109034</v>
      </c>
      <c r="B7392" s="4">
        <f ca="1">IFERROR(__xludf.DUMMYFUNCTION("""COMPUTED_VALUE"""),44838)</f>
        <v>44838</v>
      </c>
      <c r="C7392" t="str">
        <f ca="1">IFERROR(__xludf.DUMMYFUNCTION("""COMPUTED_VALUE"""),"БУ Г. ОМСКА ""УДХБ"" 216-РДО от 03.10.2022")</f>
        <v>БУ Г. ОМСКА "УДХБ" 216-РДО от 03.10.2022</v>
      </c>
      <c r="D73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2" t="str">
        <f ca="1">IFERROR(__xludf.DUMMYFUNCTION("""COMPUTED_VALUE"""),"Новый")</f>
        <v>Новый</v>
      </c>
      <c r="G7392" s="68"/>
      <c r="K7392" s="68"/>
    </row>
    <row r="7393" spans="1:11" ht="12.75">
      <c r="A7393" s="69">
        <f ca="1">IFERROR(__xludf.DUMMYFUNCTION("""COMPUTED_VALUE"""),109035)</f>
        <v>109035</v>
      </c>
      <c r="B7393" s="4">
        <f ca="1">IFERROR(__xludf.DUMMYFUNCTION("""COMPUTED_VALUE"""),44838)</f>
        <v>44838</v>
      </c>
      <c r="C7393" t="str">
        <f ca="1">IFERROR(__xludf.DUMMYFUNCTION("""COMPUTED_VALUE"""),"БУ Г. ОМСКА ""УДХБ"" 216-РДО от 03.10.2022")</f>
        <v>БУ Г. ОМСКА "УДХБ" 216-РДО от 03.10.2022</v>
      </c>
      <c r="D73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3" t="str">
        <f ca="1">IFERROR(__xludf.DUMMYFUNCTION("""COMPUTED_VALUE"""),"Новый")</f>
        <v>Новый</v>
      </c>
      <c r="G7393" s="68"/>
      <c r="K7393" s="68"/>
    </row>
    <row r="7394" spans="1:11" ht="12.75">
      <c r="A7394" s="69">
        <f ca="1">IFERROR(__xludf.DUMMYFUNCTION("""COMPUTED_VALUE"""),109036)</f>
        <v>109036</v>
      </c>
      <c r="B7394" s="4">
        <f ca="1">IFERROR(__xludf.DUMMYFUNCTION("""COMPUTED_VALUE"""),44838)</f>
        <v>44838</v>
      </c>
      <c r="C7394" t="str">
        <f ca="1">IFERROR(__xludf.DUMMYFUNCTION("""COMPUTED_VALUE"""),"БУ Г. ОМСКА ""УДХБ"" 216-РДО от 03.10.2022")</f>
        <v>БУ Г. ОМСКА "УДХБ" 216-РДО от 03.10.2022</v>
      </c>
      <c r="D73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4" t="str">
        <f ca="1">IFERROR(__xludf.DUMMYFUNCTION("""COMPUTED_VALUE"""),"Новый")</f>
        <v>Новый</v>
      </c>
      <c r="G7394" s="68"/>
      <c r="K7394" s="68"/>
    </row>
    <row r="7395" spans="1:11" ht="12.75">
      <c r="A7395" s="69">
        <f ca="1">IFERROR(__xludf.DUMMYFUNCTION("""COMPUTED_VALUE"""),109037)</f>
        <v>109037</v>
      </c>
      <c r="B7395" s="4">
        <f ca="1">IFERROR(__xludf.DUMMYFUNCTION("""COMPUTED_VALUE"""),44838)</f>
        <v>44838</v>
      </c>
      <c r="C7395" t="str">
        <f ca="1">IFERROR(__xludf.DUMMYFUNCTION("""COMPUTED_VALUE"""),"БУ Г. ОМСКА ""УДХБ"" 216-РДО от 03.10.2022")</f>
        <v>БУ Г. ОМСКА "УДХБ" 216-РДО от 03.10.2022</v>
      </c>
      <c r="D73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5" t="str">
        <f ca="1">IFERROR(__xludf.DUMMYFUNCTION("""COMPUTED_VALUE"""),"Новый")</f>
        <v>Новый</v>
      </c>
      <c r="G7395" s="68"/>
      <c r="K7395" s="68"/>
    </row>
    <row r="7396" spans="1:11" ht="12.75">
      <c r="A7396" s="69">
        <f ca="1">IFERROR(__xludf.DUMMYFUNCTION("""COMPUTED_VALUE"""),109040)</f>
        <v>109040</v>
      </c>
      <c r="B7396" s="4">
        <f ca="1">IFERROR(__xludf.DUMMYFUNCTION("""COMPUTED_VALUE"""),44838)</f>
        <v>44838</v>
      </c>
      <c r="C7396" t="str">
        <f ca="1">IFERROR(__xludf.DUMMYFUNCTION("""COMPUTED_VALUE"""),"БУ Г. ОМСКА ""УДХБ"" 216-РДО от 03.10.2022")</f>
        <v>БУ Г. ОМСКА "УДХБ" 216-РДО от 03.10.2022</v>
      </c>
      <c r="D73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6" t="str">
        <f ca="1">IFERROR(__xludf.DUMMYFUNCTION("""COMPUTED_VALUE"""),"Новый")</f>
        <v>Новый</v>
      </c>
      <c r="G7396" s="68"/>
      <c r="K7396" s="68"/>
    </row>
    <row r="7397" spans="1:11" ht="12.75">
      <c r="A7397" s="69">
        <f ca="1">IFERROR(__xludf.DUMMYFUNCTION("""COMPUTED_VALUE"""),109041)</f>
        <v>109041</v>
      </c>
      <c r="B7397" s="4">
        <f ca="1">IFERROR(__xludf.DUMMYFUNCTION("""COMPUTED_VALUE"""),44838)</f>
        <v>44838</v>
      </c>
      <c r="C7397" t="str">
        <f ca="1">IFERROR(__xludf.DUMMYFUNCTION("""COMPUTED_VALUE"""),"БУ Г. ОМСКА ""УДХБ"" 216-РДО от 03.10.2022")</f>
        <v>БУ Г. ОМСКА "УДХБ" 216-РДО от 03.10.2022</v>
      </c>
      <c r="D73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7" t="str">
        <f ca="1">IFERROR(__xludf.DUMMYFUNCTION("""COMPUTED_VALUE"""),"Новый")</f>
        <v>Новый</v>
      </c>
      <c r="G7397" s="68"/>
      <c r="K7397" s="68"/>
    </row>
    <row r="7398" spans="1:11" ht="12.75">
      <c r="A7398" s="69">
        <f ca="1">IFERROR(__xludf.DUMMYFUNCTION("""COMPUTED_VALUE"""),109042)</f>
        <v>109042</v>
      </c>
      <c r="B7398" s="4">
        <f ca="1">IFERROR(__xludf.DUMMYFUNCTION("""COMPUTED_VALUE"""),44838)</f>
        <v>44838</v>
      </c>
      <c r="C7398" t="str">
        <f ca="1">IFERROR(__xludf.DUMMYFUNCTION("""COMPUTED_VALUE"""),"БУ Г. ОМСКА ""УДХБ"" 216-РДО от 03.10.2022")</f>
        <v>БУ Г. ОМСКА "УДХБ" 216-РДО от 03.10.2022</v>
      </c>
      <c r="D73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8" t="str">
        <f ca="1">IFERROR(__xludf.DUMMYFUNCTION("""COMPUTED_VALUE"""),"Новый")</f>
        <v>Новый</v>
      </c>
      <c r="G7398" s="68"/>
      <c r="K7398" s="68"/>
    </row>
    <row r="7399" spans="1:11" ht="12.75">
      <c r="A7399" s="69">
        <f ca="1">IFERROR(__xludf.DUMMYFUNCTION("""COMPUTED_VALUE"""),109043)</f>
        <v>109043</v>
      </c>
      <c r="B7399" s="4">
        <f ca="1">IFERROR(__xludf.DUMMYFUNCTION("""COMPUTED_VALUE"""),44838)</f>
        <v>44838</v>
      </c>
      <c r="C7399" t="str">
        <f ca="1">IFERROR(__xludf.DUMMYFUNCTION("""COMPUTED_VALUE"""),"БУ Г. ОМСКА ""УДХБ"" 216-РДО от 03.10.2022")</f>
        <v>БУ Г. ОМСКА "УДХБ" 216-РДО от 03.10.2022</v>
      </c>
      <c r="D73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399" t="str">
        <f ca="1">IFERROR(__xludf.DUMMYFUNCTION("""COMPUTED_VALUE"""),"Новый")</f>
        <v>Новый</v>
      </c>
      <c r="G7399" s="68"/>
      <c r="K7399" s="68"/>
    </row>
    <row r="7400" spans="1:11" ht="12.75">
      <c r="A7400" s="69">
        <f ca="1">IFERROR(__xludf.DUMMYFUNCTION("""COMPUTED_VALUE"""),109044)</f>
        <v>109044</v>
      </c>
      <c r="B7400" s="4">
        <f ca="1">IFERROR(__xludf.DUMMYFUNCTION("""COMPUTED_VALUE"""),44838)</f>
        <v>44838</v>
      </c>
      <c r="C7400" t="str">
        <f ca="1">IFERROR(__xludf.DUMMYFUNCTION("""COMPUTED_VALUE"""),"БУ Г. ОМСКА ""УДХБ"" 216-РДО от 03.10.2022")</f>
        <v>БУ Г. ОМСКА "УДХБ" 216-РДО от 03.10.2022</v>
      </c>
      <c r="D74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0" t="str">
        <f ca="1">IFERROR(__xludf.DUMMYFUNCTION("""COMPUTED_VALUE"""),"Новый")</f>
        <v>Новый</v>
      </c>
      <c r="G7400" s="68"/>
      <c r="K7400" s="68"/>
    </row>
    <row r="7401" spans="1:11" ht="12.75">
      <c r="A7401" s="69">
        <f ca="1">IFERROR(__xludf.DUMMYFUNCTION("""COMPUTED_VALUE"""),109046)</f>
        <v>109046</v>
      </c>
      <c r="B7401" s="4">
        <f ca="1">IFERROR(__xludf.DUMMYFUNCTION("""COMPUTED_VALUE"""),44838)</f>
        <v>44838</v>
      </c>
      <c r="C7401" t="str">
        <f ca="1">IFERROR(__xludf.DUMMYFUNCTION("""COMPUTED_VALUE"""),"БУ Г. ОМСКА ""УДХБ"" 216-РДО от 03.10.2022")</f>
        <v>БУ Г. ОМСКА "УДХБ" 216-РДО от 03.10.2022</v>
      </c>
      <c r="D74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1" t="str">
        <f ca="1">IFERROR(__xludf.DUMMYFUNCTION("""COMPUTED_VALUE"""),"Новый")</f>
        <v>Новый</v>
      </c>
      <c r="G7401" s="68"/>
      <c r="K7401" s="68"/>
    </row>
    <row r="7402" spans="1:11" ht="12.75">
      <c r="A7402" s="69">
        <f ca="1">IFERROR(__xludf.DUMMYFUNCTION("""COMPUTED_VALUE"""),109049)</f>
        <v>109049</v>
      </c>
      <c r="B7402" s="4">
        <f ca="1">IFERROR(__xludf.DUMMYFUNCTION("""COMPUTED_VALUE"""),44838)</f>
        <v>44838</v>
      </c>
      <c r="C7402" t="str">
        <f ca="1">IFERROR(__xludf.DUMMYFUNCTION("""COMPUTED_VALUE"""),"БУ Г. ОМСКА ""УДХБ"" 216-РДО от 03.10.2022")</f>
        <v>БУ Г. ОМСКА "УДХБ" 216-РДО от 03.10.2022</v>
      </c>
      <c r="D74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2" t="str">
        <f ca="1">IFERROR(__xludf.DUMMYFUNCTION("""COMPUTED_VALUE"""),"Новый")</f>
        <v>Новый</v>
      </c>
      <c r="G7402" s="68"/>
      <c r="K7402" s="68"/>
    </row>
    <row r="7403" spans="1:11" ht="12.75">
      <c r="A7403" s="69">
        <f ca="1">IFERROR(__xludf.DUMMYFUNCTION("""COMPUTED_VALUE"""),109054)</f>
        <v>109054</v>
      </c>
      <c r="B7403" s="4">
        <f ca="1">IFERROR(__xludf.DUMMYFUNCTION("""COMPUTED_VALUE"""),44838)</f>
        <v>44838</v>
      </c>
      <c r="C7403" t="str">
        <f ca="1">IFERROR(__xludf.DUMMYFUNCTION("""COMPUTED_VALUE"""),"БУ Г. ОМСКА ""УДХБ"" 216-РДО от 03.10.2022")</f>
        <v>БУ Г. ОМСКА "УДХБ" 216-РДО от 03.10.2022</v>
      </c>
      <c r="D74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3" t="str">
        <f ca="1">IFERROR(__xludf.DUMMYFUNCTION("""COMPUTED_VALUE"""),"Новый")</f>
        <v>Новый</v>
      </c>
      <c r="G7403" s="68"/>
      <c r="K7403" s="68"/>
    </row>
    <row r="7404" spans="1:11" ht="12.75">
      <c r="A7404" s="69">
        <f ca="1">IFERROR(__xludf.DUMMYFUNCTION("""COMPUTED_VALUE"""),109056)</f>
        <v>109056</v>
      </c>
      <c r="B7404" s="4">
        <f ca="1">IFERROR(__xludf.DUMMYFUNCTION("""COMPUTED_VALUE"""),44838)</f>
        <v>44838</v>
      </c>
      <c r="C7404" t="str">
        <f ca="1">IFERROR(__xludf.DUMMYFUNCTION("""COMPUTED_VALUE"""),"БУ Г. ОМСКА ""УДХБ"" 216-РДО от 03.10.2022")</f>
        <v>БУ Г. ОМСКА "УДХБ" 216-РДО от 03.10.2022</v>
      </c>
      <c r="D74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4" t="str">
        <f ca="1">IFERROR(__xludf.DUMMYFUNCTION("""COMPUTED_VALUE"""),"Новый")</f>
        <v>Новый</v>
      </c>
      <c r="G7404" s="68"/>
      <c r="K7404" s="68"/>
    </row>
    <row r="7405" spans="1:11" ht="12.75">
      <c r="A7405" s="69">
        <f ca="1">IFERROR(__xludf.DUMMYFUNCTION("""COMPUTED_VALUE"""),109057)</f>
        <v>109057</v>
      </c>
      <c r="B7405" s="4">
        <f ca="1">IFERROR(__xludf.DUMMYFUNCTION("""COMPUTED_VALUE"""),44838)</f>
        <v>44838</v>
      </c>
      <c r="C7405" t="str">
        <f ca="1">IFERROR(__xludf.DUMMYFUNCTION("""COMPUTED_VALUE"""),"БУ Г. ОМСКА ""УДХБ"" 216-РДО от 03.10.2022")</f>
        <v>БУ Г. ОМСКА "УДХБ" 216-РДО от 03.10.2022</v>
      </c>
      <c r="D74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5" t="str">
        <f ca="1">IFERROR(__xludf.DUMMYFUNCTION("""COMPUTED_VALUE"""),"Новый")</f>
        <v>Новый</v>
      </c>
      <c r="G7405" s="68"/>
      <c r="K7405" s="68"/>
    </row>
    <row r="7406" spans="1:11" ht="12.75">
      <c r="A7406" s="69">
        <f ca="1">IFERROR(__xludf.DUMMYFUNCTION("""COMPUTED_VALUE"""),109058)</f>
        <v>109058</v>
      </c>
      <c r="B7406" s="4">
        <f ca="1">IFERROR(__xludf.DUMMYFUNCTION("""COMPUTED_VALUE"""),44838)</f>
        <v>44838</v>
      </c>
      <c r="C7406" t="str">
        <f ca="1">IFERROR(__xludf.DUMMYFUNCTION("""COMPUTED_VALUE"""),"БУ Г. ОМСКА ""УДХБ"" 216-РДО от 03.10.2022")</f>
        <v>БУ Г. ОМСКА "УДХБ" 216-РДО от 03.10.2022</v>
      </c>
      <c r="D74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6" t="str">
        <f ca="1">IFERROR(__xludf.DUMMYFUNCTION("""COMPUTED_VALUE"""),"Новый")</f>
        <v>Новый</v>
      </c>
      <c r="G7406" s="68"/>
      <c r="K7406" s="68"/>
    </row>
    <row r="7407" spans="1:11" ht="12.75">
      <c r="A7407" s="69">
        <f ca="1">IFERROR(__xludf.DUMMYFUNCTION("""COMPUTED_VALUE"""),109060)</f>
        <v>109060</v>
      </c>
      <c r="B7407" s="4">
        <f ca="1">IFERROR(__xludf.DUMMYFUNCTION("""COMPUTED_VALUE"""),44838)</f>
        <v>44838</v>
      </c>
      <c r="C7407" t="str">
        <f ca="1">IFERROR(__xludf.DUMMYFUNCTION("""COMPUTED_VALUE"""),"БУ Г. ОМСКА ""УДХБ"" 216-РДО от 03.10.2022")</f>
        <v>БУ Г. ОМСКА "УДХБ" 216-РДО от 03.10.2022</v>
      </c>
      <c r="D74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7" t="str">
        <f ca="1">IFERROR(__xludf.DUMMYFUNCTION("""COMPUTED_VALUE"""),"Новый")</f>
        <v>Новый</v>
      </c>
      <c r="G7407" s="68"/>
      <c r="K7407" s="68"/>
    </row>
    <row r="7408" spans="1:11" ht="12.75">
      <c r="A7408" s="69">
        <f ca="1">IFERROR(__xludf.DUMMYFUNCTION("""COMPUTED_VALUE"""),109062)</f>
        <v>109062</v>
      </c>
      <c r="B7408" s="4">
        <f ca="1">IFERROR(__xludf.DUMMYFUNCTION("""COMPUTED_VALUE"""),44838)</f>
        <v>44838</v>
      </c>
      <c r="C7408" t="str">
        <f ca="1">IFERROR(__xludf.DUMMYFUNCTION("""COMPUTED_VALUE"""),"БУ Г. ОМСКА ""УДХБ"" 216-РДО от 03.10.2022")</f>
        <v>БУ Г. ОМСКА "УДХБ" 216-РДО от 03.10.2022</v>
      </c>
      <c r="D74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8" t="str">
        <f ca="1">IFERROR(__xludf.DUMMYFUNCTION("""COMPUTED_VALUE"""),"Новый")</f>
        <v>Новый</v>
      </c>
      <c r="G7408" s="68"/>
      <c r="K7408" s="68"/>
    </row>
    <row r="7409" spans="1:11" ht="12.75">
      <c r="A7409" s="69">
        <f ca="1">IFERROR(__xludf.DUMMYFUNCTION("""COMPUTED_VALUE"""),109063)</f>
        <v>109063</v>
      </c>
      <c r="B7409" s="4">
        <f ca="1">IFERROR(__xludf.DUMMYFUNCTION("""COMPUTED_VALUE"""),44838)</f>
        <v>44838</v>
      </c>
      <c r="C7409" t="str">
        <f ca="1">IFERROR(__xludf.DUMMYFUNCTION("""COMPUTED_VALUE"""),"БУ Г. ОМСКА ""УДХБ"" 216-РДО от 03.10.2022")</f>
        <v>БУ Г. ОМСКА "УДХБ" 216-РДО от 03.10.2022</v>
      </c>
      <c r="D74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09" t="str">
        <f ca="1">IFERROR(__xludf.DUMMYFUNCTION("""COMPUTED_VALUE"""),"Новый")</f>
        <v>Новый</v>
      </c>
      <c r="G7409" s="68"/>
      <c r="K7409" s="68"/>
    </row>
    <row r="7410" spans="1:11" ht="12.75">
      <c r="A7410" s="69">
        <f ca="1">IFERROR(__xludf.DUMMYFUNCTION("""COMPUTED_VALUE"""),109065)</f>
        <v>109065</v>
      </c>
      <c r="B7410" s="4">
        <f ca="1">IFERROR(__xludf.DUMMYFUNCTION("""COMPUTED_VALUE"""),44838)</f>
        <v>44838</v>
      </c>
      <c r="C7410" t="str">
        <f ca="1">IFERROR(__xludf.DUMMYFUNCTION("""COMPUTED_VALUE"""),"БУ Г. ОМСКА ""УДХБ"" 216-РДО от 03.10.2022")</f>
        <v>БУ Г. ОМСКА "УДХБ" 216-РДО от 03.10.2022</v>
      </c>
      <c r="D74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0" t="str">
        <f ca="1">IFERROR(__xludf.DUMMYFUNCTION("""COMPUTED_VALUE"""),"Новый")</f>
        <v>Новый</v>
      </c>
      <c r="G7410" s="68"/>
      <c r="K7410" s="68"/>
    </row>
    <row r="7411" spans="1:11" ht="12.75">
      <c r="A7411" s="69">
        <f ca="1">IFERROR(__xludf.DUMMYFUNCTION("""COMPUTED_VALUE"""),109066)</f>
        <v>109066</v>
      </c>
      <c r="B7411" s="4">
        <f ca="1">IFERROR(__xludf.DUMMYFUNCTION("""COMPUTED_VALUE"""),44838)</f>
        <v>44838</v>
      </c>
      <c r="C7411" t="str">
        <f ca="1">IFERROR(__xludf.DUMMYFUNCTION("""COMPUTED_VALUE"""),"БУ Г. ОМСКА ""УДХБ"" 216-РДО от 03.10.2022")</f>
        <v>БУ Г. ОМСКА "УДХБ" 216-РДО от 03.10.2022</v>
      </c>
      <c r="D74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1" t="str">
        <f ca="1">IFERROR(__xludf.DUMMYFUNCTION("""COMPUTED_VALUE"""),"Новый")</f>
        <v>Новый</v>
      </c>
      <c r="G7411" s="68"/>
      <c r="K7411" s="68"/>
    </row>
    <row r="7412" spans="1:11" ht="12.75">
      <c r="A7412" s="69">
        <f ca="1">IFERROR(__xludf.DUMMYFUNCTION("""COMPUTED_VALUE"""),109074)</f>
        <v>109074</v>
      </c>
      <c r="B7412" s="4">
        <f ca="1">IFERROR(__xludf.DUMMYFUNCTION("""COMPUTED_VALUE"""),44838)</f>
        <v>44838</v>
      </c>
      <c r="C7412" t="str">
        <f ca="1">IFERROR(__xludf.DUMMYFUNCTION("""COMPUTED_VALUE"""),"БУ Г. ОМСКА ""УДХБ"" 216-РДО от 03.10.2022")</f>
        <v>БУ Г. ОМСКА "УДХБ" 216-РДО от 03.10.2022</v>
      </c>
      <c r="D74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2" t="str">
        <f ca="1">IFERROR(__xludf.DUMMYFUNCTION("""COMPUTED_VALUE"""),"Новый")</f>
        <v>Новый</v>
      </c>
      <c r="G7412" s="68"/>
      <c r="K7412" s="68"/>
    </row>
    <row r="7413" spans="1:11" ht="12.75">
      <c r="A7413" s="69">
        <f ca="1">IFERROR(__xludf.DUMMYFUNCTION("""COMPUTED_VALUE"""),109075)</f>
        <v>109075</v>
      </c>
      <c r="B7413" s="4">
        <f ca="1">IFERROR(__xludf.DUMMYFUNCTION("""COMPUTED_VALUE"""),44838)</f>
        <v>44838</v>
      </c>
      <c r="C7413" t="str">
        <f ca="1">IFERROR(__xludf.DUMMYFUNCTION("""COMPUTED_VALUE"""),"БУ Г. ОМСКА ""УДХБ"" 216-РДО от 03.10.2022")</f>
        <v>БУ Г. ОМСКА "УДХБ" 216-РДО от 03.10.2022</v>
      </c>
      <c r="D74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3" t="str">
        <f ca="1">IFERROR(__xludf.DUMMYFUNCTION("""COMPUTED_VALUE"""),"Новый")</f>
        <v>Новый</v>
      </c>
      <c r="G7413" s="68"/>
      <c r="K7413" s="68"/>
    </row>
    <row r="7414" spans="1:11" ht="12.75">
      <c r="A7414" s="69">
        <f ca="1">IFERROR(__xludf.DUMMYFUNCTION("""COMPUTED_VALUE"""),109076)</f>
        <v>109076</v>
      </c>
      <c r="B7414" s="4">
        <f ca="1">IFERROR(__xludf.DUMMYFUNCTION("""COMPUTED_VALUE"""),44838)</f>
        <v>44838</v>
      </c>
      <c r="C7414" t="str">
        <f ca="1">IFERROR(__xludf.DUMMYFUNCTION("""COMPUTED_VALUE"""),"БУ Г. ОМСКА ""УДХБ"" 216-РДО от 03.10.2022")</f>
        <v>БУ Г. ОМСКА "УДХБ" 216-РДО от 03.10.2022</v>
      </c>
      <c r="D74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4" t="str">
        <f ca="1">IFERROR(__xludf.DUMMYFUNCTION("""COMPUTED_VALUE"""),"Новый")</f>
        <v>Новый</v>
      </c>
      <c r="G7414" s="68"/>
      <c r="K7414" s="68"/>
    </row>
    <row r="7415" spans="1:11" ht="12.75">
      <c r="A7415" s="69">
        <f ca="1">IFERROR(__xludf.DUMMYFUNCTION("""COMPUTED_VALUE"""),109077)</f>
        <v>109077</v>
      </c>
      <c r="B7415" s="4">
        <f ca="1">IFERROR(__xludf.DUMMYFUNCTION("""COMPUTED_VALUE"""),44838)</f>
        <v>44838</v>
      </c>
      <c r="C7415" t="str">
        <f ca="1">IFERROR(__xludf.DUMMYFUNCTION("""COMPUTED_VALUE"""),"БУ Г. ОМСКА ""УДХБ"" 216-РДО от 03.10.2022")</f>
        <v>БУ Г. ОМСКА "УДХБ" 216-РДО от 03.10.2022</v>
      </c>
      <c r="D74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5" t="str">
        <f ca="1">IFERROR(__xludf.DUMMYFUNCTION("""COMPUTED_VALUE"""),"Новый")</f>
        <v>Новый</v>
      </c>
      <c r="G7415" s="68"/>
      <c r="K7415" s="68"/>
    </row>
    <row r="7416" spans="1:11" ht="12.75">
      <c r="A7416" s="69">
        <f ca="1">IFERROR(__xludf.DUMMYFUNCTION("""COMPUTED_VALUE"""),109082)</f>
        <v>109082</v>
      </c>
      <c r="B7416" s="4">
        <f ca="1">IFERROR(__xludf.DUMMYFUNCTION("""COMPUTED_VALUE"""),44838)</f>
        <v>44838</v>
      </c>
      <c r="C7416" t="str">
        <f ca="1">IFERROR(__xludf.DUMMYFUNCTION("""COMPUTED_VALUE"""),"БУ Г. ОМСКА ""УДХБ"" 216-РДО от 03.10.2022")</f>
        <v>БУ Г. ОМСКА "УДХБ" 216-РДО от 03.10.2022</v>
      </c>
      <c r="D74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6" t="str">
        <f ca="1">IFERROR(__xludf.DUMMYFUNCTION("""COMPUTED_VALUE"""),"Новый")</f>
        <v>Новый</v>
      </c>
      <c r="G7416" s="68"/>
      <c r="K7416" s="68"/>
    </row>
    <row r="7417" spans="1:11" ht="12.75">
      <c r="A7417" s="69">
        <f ca="1">IFERROR(__xludf.DUMMYFUNCTION("""COMPUTED_VALUE"""),109083)</f>
        <v>109083</v>
      </c>
      <c r="B7417" s="4">
        <f ca="1">IFERROR(__xludf.DUMMYFUNCTION("""COMPUTED_VALUE"""),44838)</f>
        <v>44838</v>
      </c>
      <c r="C7417" t="str">
        <f ca="1">IFERROR(__xludf.DUMMYFUNCTION("""COMPUTED_VALUE"""),"БУ Г. ОМСКА ""УДХБ"" 216-РДО от 03.10.2022")</f>
        <v>БУ Г. ОМСКА "УДХБ" 216-РДО от 03.10.2022</v>
      </c>
      <c r="D74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7" t="str">
        <f ca="1">IFERROR(__xludf.DUMMYFUNCTION("""COMPUTED_VALUE"""),"Новый")</f>
        <v>Новый</v>
      </c>
      <c r="G7417" s="68"/>
      <c r="K7417" s="68"/>
    </row>
    <row r="7418" spans="1:11" ht="12.75">
      <c r="A7418" s="69">
        <f ca="1">IFERROR(__xludf.DUMMYFUNCTION("""COMPUTED_VALUE"""),109084)</f>
        <v>109084</v>
      </c>
      <c r="B7418" s="4">
        <f ca="1">IFERROR(__xludf.DUMMYFUNCTION("""COMPUTED_VALUE"""),44838)</f>
        <v>44838</v>
      </c>
      <c r="C7418" t="str">
        <f ca="1">IFERROR(__xludf.DUMMYFUNCTION("""COMPUTED_VALUE"""),"БУ Г. ОМСКА ""УДХБ"" 216-РДО от 03.10.2022")</f>
        <v>БУ Г. ОМСКА "УДХБ" 216-РДО от 03.10.2022</v>
      </c>
      <c r="D74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8" t="str">
        <f ca="1">IFERROR(__xludf.DUMMYFUNCTION("""COMPUTED_VALUE"""),"Новый")</f>
        <v>Новый</v>
      </c>
      <c r="G7418" s="68"/>
      <c r="K7418" s="68"/>
    </row>
    <row r="7419" spans="1:11" ht="12.75">
      <c r="A7419" s="69">
        <f ca="1">IFERROR(__xludf.DUMMYFUNCTION("""COMPUTED_VALUE"""),109085)</f>
        <v>109085</v>
      </c>
      <c r="B7419" s="4">
        <f ca="1">IFERROR(__xludf.DUMMYFUNCTION("""COMPUTED_VALUE"""),44838)</f>
        <v>44838</v>
      </c>
      <c r="C7419" t="str">
        <f ca="1">IFERROR(__xludf.DUMMYFUNCTION("""COMPUTED_VALUE"""),"БУ Г. ОМСКА ""УДХБ"" 216-РДО от 03.10.2022")</f>
        <v>БУ Г. ОМСКА "УДХБ" 216-РДО от 03.10.2022</v>
      </c>
      <c r="D74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19" t="str">
        <f ca="1">IFERROR(__xludf.DUMMYFUNCTION("""COMPUTED_VALUE"""),"Новый")</f>
        <v>Новый</v>
      </c>
      <c r="G7419" s="68"/>
      <c r="K7419" s="68"/>
    </row>
    <row r="7420" spans="1:11" ht="12.75">
      <c r="A7420" s="69">
        <f ca="1">IFERROR(__xludf.DUMMYFUNCTION("""COMPUTED_VALUE"""),109086)</f>
        <v>109086</v>
      </c>
      <c r="B7420" s="4">
        <f ca="1">IFERROR(__xludf.DUMMYFUNCTION("""COMPUTED_VALUE"""),44838)</f>
        <v>44838</v>
      </c>
      <c r="C7420" t="str">
        <f ca="1">IFERROR(__xludf.DUMMYFUNCTION("""COMPUTED_VALUE"""),"БУ Г. ОМСКА ""УДХБ"" 216-РДО от 03.10.2022")</f>
        <v>БУ Г. ОМСКА "УДХБ" 216-РДО от 03.10.2022</v>
      </c>
      <c r="D74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20" t="str">
        <f ca="1">IFERROR(__xludf.DUMMYFUNCTION("""COMPUTED_VALUE"""),"Новый")</f>
        <v>Новый</v>
      </c>
      <c r="G7420" s="68"/>
      <c r="K7420" s="68"/>
    </row>
    <row r="7421" spans="1:11" ht="12.75">
      <c r="A7421" s="69">
        <f ca="1">IFERROR(__xludf.DUMMYFUNCTION("""COMPUTED_VALUE"""),109087)</f>
        <v>109087</v>
      </c>
      <c r="B7421" s="4">
        <f ca="1">IFERROR(__xludf.DUMMYFUNCTION("""COMPUTED_VALUE"""),44838)</f>
        <v>44838</v>
      </c>
      <c r="C7421" t="str">
        <f ca="1">IFERROR(__xludf.DUMMYFUNCTION("""COMPUTED_VALUE"""),"БУ Г. ОМСКА ""УДХБ"" 216-РДО от 03.10.2022")</f>
        <v>БУ Г. ОМСКА "УДХБ" 216-РДО от 03.10.2022</v>
      </c>
      <c r="D74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21" t="str">
        <f ca="1">IFERROR(__xludf.DUMMYFUNCTION("""COMPUTED_VALUE"""),"Новый")</f>
        <v>Новый</v>
      </c>
      <c r="G7421" s="68"/>
      <c r="K7421" s="68"/>
    </row>
    <row r="7422" spans="1:11" ht="12.75">
      <c r="A7422" s="69">
        <f ca="1">IFERROR(__xludf.DUMMYFUNCTION("""COMPUTED_VALUE"""),109090)</f>
        <v>109090</v>
      </c>
      <c r="B7422" s="4">
        <f ca="1">IFERROR(__xludf.DUMMYFUNCTION("""COMPUTED_VALUE"""),44839)</f>
        <v>44839</v>
      </c>
      <c r="C7422" t="str">
        <f ca="1">IFERROR(__xludf.DUMMYFUNCTION("""COMPUTED_VALUE"""),"ЗАО ""ЭКОС"" 115-СТР от 01.01.2022")</f>
        <v>ЗАО "ЭКОС" 115-СТР от 01.01.2022</v>
      </c>
      <c r="D74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2" t="str">
        <f ca="1">IFERROR(__xludf.DUMMYFUNCTION("""COMPUTED_VALUE"""),"Новый")</f>
        <v>Новый</v>
      </c>
      <c r="G7422" s="68"/>
      <c r="K7422" s="68"/>
    </row>
    <row r="7423" spans="1:11" ht="12.75">
      <c r="A7423" s="69">
        <f ca="1">IFERROR(__xludf.DUMMYFUNCTION("""COMPUTED_VALUE"""),109091)</f>
        <v>109091</v>
      </c>
      <c r="B7423" s="4">
        <f ca="1">IFERROR(__xludf.DUMMYFUNCTION("""COMPUTED_VALUE"""),44839)</f>
        <v>44839</v>
      </c>
      <c r="C7423" t="str">
        <f ca="1">IFERROR(__xludf.DUMMYFUNCTION("""COMPUTED_VALUE"""),"ЗАО ""ЭКОС"" 115-СТР от 01.01.2022")</f>
        <v>ЗАО "ЭКОС" 115-СТР от 01.01.2022</v>
      </c>
      <c r="D74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3" t="str">
        <f ca="1">IFERROR(__xludf.DUMMYFUNCTION("""COMPUTED_VALUE"""),"Новый")</f>
        <v>Новый</v>
      </c>
      <c r="G7423" s="68"/>
      <c r="K7423" s="68"/>
    </row>
    <row r="7424" spans="1:11" ht="12.75">
      <c r="A7424" s="69">
        <f ca="1">IFERROR(__xludf.DUMMYFUNCTION("""COMPUTED_VALUE"""),109092)</f>
        <v>109092</v>
      </c>
      <c r="B7424" s="4">
        <f ca="1">IFERROR(__xludf.DUMMYFUNCTION("""COMPUTED_VALUE"""),44839)</f>
        <v>44839</v>
      </c>
      <c r="C7424" t="str">
        <f ca="1">IFERROR(__xludf.DUMMYFUNCTION("""COMPUTED_VALUE"""),"ЗАО ""ЭКОС"" 115-СТР от 01.01.2022")</f>
        <v>ЗАО "ЭКОС" 115-СТР от 01.01.2022</v>
      </c>
      <c r="D74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4" t="str">
        <f ca="1">IFERROR(__xludf.DUMMYFUNCTION("""COMPUTED_VALUE"""),"Новый")</f>
        <v>Новый</v>
      </c>
      <c r="G7424" s="68"/>
      <c r="K7424" s="68"/>
    </row>
    <row r="7425" spans="1:11" ht="12.75">
      <c r="A7425" s="69">
        <f ca="1">IFERROR(__xludf.DUMMYFUNCTION("""COMPUTED_VALUE"""),109093)</f>
        <v>109093</v>
      </c>
      <c r="B7425" s="4">
        <f ca="1">IFERROR(__xludf.DUMMYFUNCTION("""COMPUTED_VALUE"""),44839)</f>
        <v>44839</v>
      </c>
      <c r="C7425" t="str">
        <f ca="1">IFERROR(__xludf.DUMMYFUNCTION("""COMPUTED_VALUE"""),"ЗАО ""ЭКОС"" 115-СТР от 01.01.2022")</f>
        <v>ЗАО "ЭКОС" 115-СТР от 01.01.2022</v>
      </c>
      <c r="D74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5" t="str">
        <f ca="1">IFERROR(__xludf.DUMMYFUNCTION("""COMPUTED_VALUE"""),"Новый")</f>
        <v>Новый</v>
      </c>
      <c r="G7425" s="68"/>
      <c r="K7425" s="68"/>
    </row>
    <row r="7426" spans="1:11" ht="12.75">
      <c r="A7426" s="69">
        <f ca="1">IFERROR(__xludf.DUMMYFUNCTION("""COMPUTED_VALUE"""),109094)</f>
        <v>109094</v>
      </c>
      <c r="B7426" s="4">
        <f ca="1">IFERROR(__xludf.DUMMYFUNCTION("""COMPUTED_VALUE"""),44839)</f>
        <v>44839</v>
      </c>
      <c r="C7426" t="str">
        <f ca="1">IFERROR(__xludf.DUMMYFUNCTION("""COMPUTED_VALUE"""),"ЗАО ""ЭКОС"" 115-СТР от 01.01.2022")</f>
        <v>ЗАО "ЭКОС" 115-СТР от 01.01.2022</v>
      </c>
      <c r="D74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6" t="str">
        <f ca="1">IFERROR(__xludf.DUMMYFUNCTION("""COMPUTED_VALUE"""),"Новый")</f>
        <v>Новый</v>
      </c>
      <c r="G7426" s="68"/>
      <c r="K7426" s="68"/>
    </row>
    <row r="7427" spans="1:11" ht="12.75">
      <c r="A7427" s="69">
        <f ca="1">IFERROR(__xludf.DUMMYFUNCTION("""COMPUTED_VALUE"""),109095)</f>
        <v>109095</v>
      </c>
      <c r="B7427" s="4">
        <f ca="1">IFERROR(__xludf.DUMMYFUNCTION("""COMPUTED_VALUE"""),44839)</f>
        <v>44839</v>
      </c>
      <c r="C7427" t="str">
        <f ca="1">IFERROR(__xludf.DUMMYFUNCTION("""COMPUTED_VALUE"""),"ЗАО ""ЭКОС"" 115-СТР от 01.01.2022")</f>
        <v>ЗАО "ЭКОС" 115-СТР от 01.01.2022</v>
      </c>
      <c r="D74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7" t="str">
        <f ca="1">IFERROR(__xludf.DUMMYFUNCTION("""COMPUTED_VALUE"""),"Новый")</f>
        <v>Новый</v>
      </c>
      <c r="G7427" s="68"/>
      <c r="K7427" s="68"/>
    </row>
    <row r="7428" spans="1:11" ht="12.75">
      <c r="A7428" s="69">
        <f ca="1">IFERROR(__xludf.DUMMYFUNCTION("""COMPUTED_VALUE"""),109096)</f>
        <v>109096</v>
      </c>
      <c r="B7428" s="4">
        <f ca="1">IFERROR(__xludf.DUMMYFUNCTION("""COMPUTED_VALUE"""),44839)</f>
        <v>44839</v>
      </c>
      <c r="C7428" t="str">
        <f ca="1">IFERROR(__xludf.DUMMYFUNCTION("""COMPUTED_VALUE"""),"ЗАО ""ЭКОС"" 115-СТР от 01.01.2022")</f>
        <v>ЗАО "ЭКОС" 115-СТР от 01.01.2022</v>
      </c>
      <c r="D74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8" t="str">
        <f ca="1">IFERROR(__xludf.DUMMYFUNCTION("""COMPUTED_VALUE"""),"Новый")</f>
        <v>Новый</v>
      </c>
      <c r="G7428" s="68"/>
      <c r="K7428" s="68"/>
    </row>
    <row r="7429" spans="1:11" ht="12.75">
      <c r="A7429" s="69">
        <f ca="1">IFERROR(__xludf.DUMMYFUNCTION("""COMPUTED_VALUE"""),109097)</f>
        <v>109097</v>
      </c>
      <c r="B7429" s="4">
        <f ca="1">IFERROR(__xludf.DUMMYFUNCTION("""COMPUTED_VALUE"""),44839)</f>
        <v>44839</v>
      </c>
      <c r="C7429" t="str">
        <f ca="1">IFERROR(__xludf.DUMMYFUNCTION("""COMPUTED_VALUE"""),"ЗАО ""ЭКОС"" 115-СТР от 01.01.2022")</f>
        <v>ЗАО "ЭКОС" 115-СТР от 01.01.2022</v>
      </c>
      <c r="D74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29" t="str">
        <f ca="1">IFERROR(__xludf.DUMMYFUNCTION("""COMPUTED_VALUE"""),"Новый")</f>
        <v>Новый</v>
      </c>
      <c r="G7429" s="68"/>
      <c r="K7429" s="68"/>
    </row>
    <row r="7430" spans="1:11" ht="12.75">
      <c r="A7430" s="69">
        <f ca="1">IFERROR(__xludf.DUMMYFUNCTION("""COMPUTED_VALUE"""),109098)</f>
        <v>109098</v>
      </c>
      <c r="B7430" s="4">
        <f ca="1">IFERROR(__xludf.DUMMYFUNCTION("""COMPUTED_VALUE"""),44839)</f>
        <v>44839</v>
      </c>
      <c r="C7430" t="str">
        <f ca="1">IFERROR(__xludf.DUMMYFUNCTION("""COMPUTED_VALUE"""),"ЗАО ""ЭКОС"" 115-СТР от 01.01.2022")</f>
        <v>ЗАО "ЭКОС" 115-СТР от 01.01.2022</v>
      </c>
      <c r="D74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0" t="str">
        <f ca="1">IFERROR(__xludf.DUMMYFUNCTION("""COMPUTED_VALUE"""),"Новый")</f>
        <v>Новый</v>
      </c>
      <c r="G7430" s="68"/>
      <c r="K7430" s="68"/>
    </row>
    <row r="7431" spans="1:11" ht="12.75">
      <c r="A7431" s="69">
        <f ca="1">IFERROR(__xludf.DUMMYFUNCTION("""COMPUTED_VALUE"""),109099)</f>
        <v>109099</v>
      </c>
      <c r="B7431" s="4">
        <f ca="1">IFERROR(__xludf.DUMMYFUNCTION("""COMPUTED_VALUE"""),44839)</f>
        <v>44839</v>
      </c>
      <c r="C7431" t="str">
        <f ca="1">IFERROR(__xludf.DUMMYFUNCTION("""COMPUTED_VALUE"""),"ЗАО ""ЭКОС"" 115-СТР от 01.01.2022")</f>
        <v>ЗАО "ЭКОС" 115-СТР от 01.01.2022</v>
      </c>
      <c r="D74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1" t="str">
        <f ca="1">IFERROR(__xludf.DUMMYFUNCTION("""COMPUTED_VALUE"""),"Новый")</f>
        <v>Новый</v>
      </c>
      <c r="G7431" s="68"/>
      <c r="K7431" s="68"/>
    </row>
    <row r="7432" spans="1:11" ht="12.75">
      <c r="A7432" s="69">
        <f ca="1">IFERROR(__xludf.DUMMYFUNCTION("""COMPUTED_VALUE"""),109100)</f>
        <v>109100</v>
      </c>
      <c r="B7432" s="4">
        <f ca="1">IFERROR(__xludf.DUMMYFUNCTION("""COMPUTED_VALUE"""),44839)</f>
        <v>44839</v>
      </c>
      <c r="C7432" t="str">
        <f ca="1">IFERROR(__xludf.DUMMYFUNCTION("""COMPUTED_VALUE"""),"ЗАО ""ЭКОС"" 115-СТР от 01.01.2022")</f>
        <v>ЗАО "ЭКОС" 115-СТР от 01.01.2022</v>
      </c>
      <c r="D74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2" t="str">
        <f ca="1">IFERROR(__xludf.DUMMYFUNCTION("""COMPUTED_VALUE"""),"Новый")</f>
        <v>Новый</v>
      </c>
      <c r="G7432" s="68"/>
      <c r="K7432" s="68"/>
    </row>
    <row r="7433" spans="1:11" ht="12.75">
      <c r="A7433" s="69">
        <f ca="1">IFERROR(__xludf.DUMMYFUNCTION("""COMPUTED_VALUE"""),109101)</f>
        <v>109101</v>
      </c>
      <c r="B7433" s="4">
        <f ca="1">IFERROR(__xludf.DUMMYFUNCTION("""COMPUTED_VALUE"""),44839)</f>
        <v>44839</v>
      </c>
      <c r="C7433" t="str">
        <f ca="1">IFERROR(__xludf.DUMMYFUNCTION("""COMPUTED_VALUE"""),"ЗАО ""ЭКОС"" 115-СТР от 01.01.2022")</f>
        <v>ЗАО "ЭКОС" 115-СТР от 01.01.2022</v>
      </c>
      <c r="D74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3" t="str">
        <f ca="1">IFERROR(__xludf.DUMMYFUNCTION("""COMPUTED_VALUE"""),"Новый")</f>
        <v>Новый</v>
      </c>
      <c r="G7433" s="68"/>
      <c r="K7433" s="68"/>
    </row>
    <row r="7434" spans="1:11" ht="12.75">
      <c r="A7434" s="69">
        <f ca="1">IFERROR(__xludf.DUMMYFUNCTION("""COMPUTED_VALUE"""),109102)</f>
        <v>109102</v>
      </c>
      <c r="B7434" s="4">
        <f ca="1">IFERROR(__xludf.DUMMYFUNCTION("""COMPUTED_VALUE"""),44839)</f>
        <v>44839</v>
      </c>
      <c r="C7434" t="str">
        <f ca="1">IFERROR(__xludf.DUMMYFUNCTION("""COMPUTED_VALUE"""),"ЗАО ""ЭКОС"" 115-СТР от 01.01.2022")</f>
        <v>ЗАО "ЭКОС" 115-СТР от 01.01.2022</v>
      </c>
      <c r="D74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4" t="str">
        <f ca="1">IFERROR(__xludf.DUMMYFUNCTION("""COMPUTED_VALUE"""),"Новый")</f>
        <v>Новый</v>
      </c>
      <c r="G7434" s="68"/>
      <c r="K7434" s="68"/>
    </row>
    <row r="7435" spans="1:11" ht="12.75">
      <c r="A7435" s="69">
        <f ca="1">IFERROR(__xludf.DUMMYFUNCTION("""COMPUTED_VALUE"""),109103)</f>
        <v>109103</v>
      </c>
      <c r="B7435" s="4">
        <f ca="1">IFERROR(__xludf.DUMMYFUNCTION("""COMPUTED_VALUE"""),44839)</f>
        <v>44839</v>
      </c>
      <c r="C7435" t="str">
        <f ca="1">IFERROR(__xludf.DUMMYFUNCTION("""COMPUTED_VALUE"""),"ЗАО ""ЭКОС"" 115-СТР от 01.01.2022")</f>
        <v>ЗАО "ЭКОС" 115-СТР от 01.01.2022</v>
      </c>
      <c r="D74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5" t="str">
        <f ca="1">IFERROR(__xludf.DUMMYFUNCTION("""COMPUTED_VALUE"""),"Новый")</f>
        <v>Новый</v>
      </c>
      <c r="G7435" s="68"/>
      <c r="K7435" s="68"/>
    </row>
    <row r="7436" spans="1:11" ht="12.75">
      <c r="A7436" s="69">
        <f ca="1">IFERROR(__xludf.DUMMYFUNCTION("""COMPUTED_VALUE"""),109104)</f>
        <v>109104</v>
      </c>
      <c r="B7436" s="4">
        <f ca="1">IFERROR(__xludf.DUMMYFUNCTION("""COMPUTED_VALUE"""),44839)</f>
        <v>44839</v>
      </c>
      <c r="C7436" t="str">
        <f ca="1">IFERROR(__xludf.DUMMYFUNCTION("""COMPUTED_VALUE"""),"ЗАО ""ЭКОС"" 115-СТР от 01.01.2022")</f>
        <v>ЗАО "ЭКОС" 115-СТР от 01.01.2022</v>
      </c>
      <c r="D74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6" t="str">
        <f ca="1">IFERROR(__xludf.DUMMYFUNCTION("""COMPUTED_VALUE"""),"Новый")</f>
        <v>Новый</v>
      </c>
      <c r="G7436" s="68"/>
      <c r="K7436" s="68"/>
    </row>
    <row r="7437" spans="1:11" ht="12.75">
      <c r="A7437" s="69">
        <f ca="1">IFERROR(__xludf.DUMMYFUNCTION("""COMPUTED_VALUE"""),109105)</f>
        <v>109105</v>
      </c>
      <c r="B7437" s="4">
        <f ca="1">IFERROR(__xludf.DUMMYFUNCTION("""COMPUTED_VALUE"""),44839)</f>
        <v>44839</v>
      </c>
      <c r="C7437" t="str">
        <f ca="1">IFERROR(__xludf.DUMMYFUNCTION("""COMPUTED_VALUE"""),"ЗАО ""ЭКОС"" 115-СТР от 01.01.2022")</f>
        <v>ЗАО "ЭКОС" 115-СТР от 01.01.2022</v>
      </c>
      <c r="D74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7" t="str">
        <f ca="1">IFERROR(__xludf.DUMMYFUNCTION("""COMPUTED_VALUE"""),"Новый")</f>
        <v>Новый</v>
      </c>
      <c r="G7437" s="68"/>
      <c r="K7437" s="68"/>
    </row>
    <row r="7438" spans="1:11" ht="12.75">
      <c r="A7438" s="69">
        <f ca="1">IFERROR(__xludf.DUMMYFUNCTION("""COMPUTED_VALUE"""),109106)</f>
        <v>109106</v>
      </c>
      <c r="B7438" s="4">
        <f ca="1">IFERROR(__xludf.DUMMYFUNCTION("""COMPUTED_VALUE"""),44839)</f>
        <v>44839</v>
      </c>
      <c r="C7438" t="str">
        <f ca="1">IFERROR(__xludf.DUMMYFUNCTION("""COMPUTED_VALUE"""),"ЗАО ""ЭКОС"" 115-СТР от 01.01.2022")</f>
        <v>ЗАО "ЭКОС" 115-СТР от 01.01.2022</v>
      </c>
      <c r="D74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8" t="str">
        <f ca="1">IFERROR(__xludf.DUMMYFUNCTION("""COMPUTED_VALUE"""),"Новый")</f>
        <v>Новый</v>
      </c>
      <c r="G7438" s="68"/>
      <c r="K7438" s="68"/>
    </row>
    <row r="7439" spans="1:11" ht="12.75">
      <c r="A7439" s="69">
        <f ca="1">IFERROR(__xludf.DUMMYFUNCTION("""COMPUTED_VALUE"""),109107)</f>
        <v>109107</v>
      </c>
      <c r="B7439" s="4">
        <f ca="1">IFERROR(__xludf.DUMMYFUNCTION("""COMPUTED_VALUE"""),44839)</f>
        <v>44839</v>
      </c>
      <c r="C7439" t="str">
        <f ca="1">IFERROR(__xludf.DUMMYFUNCTION("""COMPUTED_VALUE"""),"ЗАО ""ЭКОС"" 115-СТР от 01.01.2022")</f>
        <v>ЗАО "ЭКОС" 115-СТР от 01.01.2022</v>
      </c>
      <c r="D74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39" t="str">
        <f ca="1">IFERROR(__xludf.DUMMYFUNCTION("""COMPUTED_VALUE"""),"Новый")</f>
        <v>Новый</v>
      </c>
      <c r="G7439" s="68"/>
      <c r="K7439" s="68"/>
    </row>
    <row r="7440" spans="1:11" ht="12.75">
      <c r="A7440" s="69">
        <f ca="1">IFERROR(__xludf.DUMMYFUNCTION("""COMPUTED_VALUE"""),109108)</f>
        <v>109108</v>
      </c>
      <c r="B7440" s="4">
        <f ca="1">IFERROR(__xludf.DUMMYFUNCTION("""COMPUTED_VALUE"""),44839)</f>
        <v>44839</v>
      </c>
      <c r="C7440" t="str">
        <f ca="1">IFERROR(__xludf.DUMMYFUNCTION("""COMPUTED_VALUE"""),"ЗАО ""ЭКОС"" 115-СТР от 01.01.2022")</f>
        <v>ЗАО "ЭКОС" 115-СТР от 01.01.2022</v>
      </c>
      <c r="D74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0" t="str">
        <f ca="1">IFERROR(__xludf.DUMMYFUNCTION("""COMPUTED_VALUE"""),"Новый")</f>
        <v>Новый</v>
      </c>
      <c r="G7440" s="68"/>
      <c r="K7440" s="68"/>
    </row>
    <row r="7441" spans="1:11" ht="12.75">
      <c r="A7441" s="69">
        <f ca="1">IFERROR(__xludf.DUMMYFUNCTION("""COMPUTED_VALUE"""),109109)</f>
        <v>109109</v>
      </c>
      <c r="B7441" s="4">
        <f ca="1">IFERROR(__xludf.DUMMYFUNCTION("""COMPUTED_VALUE"""),44839)</f>
        <v>44839</v>
      </c>
      <c r="C7441" t="str">
        <f ca="1">IFERROR(__xludf.DUMMYFUNCTION("""COMPUTED_VALUE"""),"ЗАО ""ЭКОС"" 115-СТР от 01.01.2022")</f>
        <v>ЗАО "ЭКОС" 115-СТР от 01.01.2022</v>
      </c>
      <c r="D74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1" t="str">
        <f ca="1">IFERROR(__xludf.DUMMYFUNCTION("""COMPUTED_VALUE"""),"Новый")</f>
        <v>Новый</v>
      </c>
      <c r="G7441" s="68"/>
      <c r="K7441" s="68"/>
    </row>
    <row r="7442" spans="1:11" ht="12.75">
      <c r="A7442" s="69">
        <f ca="1">IFERROR(__xludf.DUMMYFUNCTION("""COMPUTED_VALUE"""),109110)</f>
        <v>109110</v>
      </c>
      <c r="B7442" s="4">
        <f ca="1">IFERROR(__xludf.DUMMYFUNCTION("""COMPUTED_VALUE"""),44839)</f>
        <v>44839</v>
      </c>
      <c r="C7442" t="str">
        <f ca="1">IFERROR(__xludf.DUMMYFUNCTION("""COMPUTED_VALUE"""),"ЗАО ""ЭКОС"" 115-СТР от 01.01.2022")</f>
        <v>ЗАО "ЭКОС" 115-СТР от 01.01.2022</v>
      </c>
      <c r="D74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2" t="str">
        <f ca="1">IFERROR(__xludf.DUMMYFUNCTION("""COMPUTED_VALUE"""),"Новый")</f>
        <v>Новый</v>
      </c>
      <c r="G7442" s="68"/>
      <c r="K7442" s="68"/>
    </row>
    <row r="7443" spans="1:11" ht="12.75">
      <c r="A7443" s="69">
        <f ca="1">IFERROR(__xludf.DUMMYFUNCTION("""COMPUTED_VALUE"""),109111)</f>
        <v>109111</v>
      </c>
      <c r="B7443" s="4">
        <f ca="1">IFERROR(__xludf.DUMMYFUNCTION("""COMPUTED_VALUE"""),44839)</f>
        <v>44839</v>
      </c>
      <c r="C7443" t="str">
        <f ca="1">IFERROR(__xludf.DUMMYFUNCTION("""COMPUTED_VALUE"""),"ЗАО ""ЭКОС"" 115-СТР от 01.01.2022")</f>
        <v>ЗАО "ЭКОС" 115-СТР от 01.01.2022</v>
      </c>
      <c r="D74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3" t="str">
        <f ca="1">IFERROR(__xludf.DUMMYFUNCTION("""COMPUTED_VALUE"""),"Новый")</f>
        <v>Новый</v>
      </c>
      <c r="G7443" s="68"/>
      <c r="K7443" s="68"/>
    </row>
    <row r="7444" spans="1:11" ht="12.75">
      <c r="A7444" s="69">
        <f ca="1">IFERROR(__xludf.DUMMYFUNCTION("""COMPUTED_VALUE"""),109112)</f>
        <v>109112</v>
      </c>
      <c r="B7444" s="4">
        <f ca="1">IFERROR(__xludf.DUMMYFUNCTION("""COMPUTED_VALUE"""),44839)</f>
        <v>44839</v>
      </c>
      <c r="C7444" t="str">
        <f ca="1">IFERROR(__xludf.DUMMYFUNCTION("""COMPUTED_VALUE"""),"ЗАО ""ЭКОС"" 115-СТР от 01.01.2022")</f>
        <v>ЗАО "ЭКОС" 115-СТР от 01.01.2022</v>
      </c>
      <c r="D74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4" t="str">
        <f ca="1">IFERROR(__xludf.DUMMYFUNCTION("""COMPUTED_VALUE"""),"Новый")</f>
        <v>Новый</v>
      </c>
      <c r="G7444" s="68"/>
      <c r="K7444" s="68"/>
    </row>
    <row r="7445" spans="1:11" ht="12.75">
      <c r="A7445" s="69">
        <f ca="1">IFERROR(__xludf.DUMMYFUNCTION("""COMPUTED_VALUE"""),109113)</f>
        <v>109113</v>
      </c>
      <c r="B7445" s="4">
        <f ca="1">IFERROR(__xludf.DUMMYFUNCTION("""COMPUTED_VALUE"""),44839)</f>
        <v>44839</v>
      </c>
      <c r="C7445" t="str">
        <f ca="1">IFERROR(__xludf.DUMMYFUNCTION("""COMPUTED_VALUE"""),"ЗАО ""ЭКОС"" 115-СТР от 01.01.2022")</f>
        <v>ЗАО "ЭКОС" 115-СТР от 01.01.2022</v>
      </c>
      <c r="D74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5" t="str">
        <f ca="1">IFERROR(__xludf.DUMMYFUNCTION("""COMPUTED_VALUE"""),"Новый")</f>
        <v>Новый</v>
      </c>
      <c r="G7445" s="68"/>
      <c r="K7445" s="68"/>
    </row>
    <row r="7446" spans="1:11" ht="12.75">
      <c r="A7446" s="69">
        <f ca="1">IFERROR(__xludf.DUMMYFUNCTION("""COMPUTED_VALUE"""),109114)</f>
        <v>109114</v>
      </c>
      <c r="B7446" s="4">
        <f ca="1">IFERROR(__xludf.DUMMYFUNCTION("""COMPUTED_VALUE"""),44839)</f>
        <v>44839</v>
      </c>
      <c r="C7446" t="str">
        <f ca="1">IFERROR(__xludf.DUMMYFUNCTION("""COMPUTED_VALUE"""),"ЗАО ""ЭКОС"" 115-СТР от 01.01.2022")</f>
        <v>ЗАО "ЭКОС" 115-СТР от 01.01.2022</v>
      </c>
      <c r="D74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6" t="str">
        <f ca="1">IFERROR(__xludf.DUMMYFUNCTION("""COMPUTED_VALUE"""),"Новый")</f>
        <v>Новый</v>
      </c>
      <c r="G7446" s="68"/>
      <c r="K7446" s="68"/>
    </row>
    <row r="7447" spans="1:11" ht="12.75">
      <c r="A7447" s="69">
        <f ca="1">IFERROR(__xludf.DUMMYFUNCTION("""COMPUTED_VALUE"""),109115)</f>
        <v>109115</v>
      </c>
      <c r="B7447" s="4">
        <f ca="1">IFERROR(__xludf.DUMMYFUNCTION("""COMPUTED_VALUE"""),44839)</f>
        <v>44839</v>
      </c>
      <c r="C7447" t="str">
        <f ca="1">IFERROR(__xludf.DUMMYFUNCTION("""COMPUTED_VALUE"""),"ЗАО ""ЭКОС"" 115-СТР от 01.01.2022")</f>
        <v>ЗАО "ЭКОС" 115-СТР от 01.01.2022</v>
      </c>
      <c r="D74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7" t="str">
        <f ca="1">IFERROR(__xludf.DUMMYFUNCTION("""COMPUTED_VALUE"""),"Новый")</f>
        <v>Новый</v>
      </c>
      <c r="G7447" s="68"/>
      <c r="K7447" s="68"/>
    </row>
    <row r="7448" spans="1:11" ht="12.75">
      <c r="A7448" s="69">
        <f ca="1">IFERROR(__xludf.DUMMYFUNCTION("""COMPUTED_VALUE"""),109116)</f>
        <v>109116</v>
      </c>
      <c r="B7448" s="4">
        <f ca="1">IFERROR(__xludf.DUMMYFUNCTION("""COMPUTED_VALUE"""),44839)</f>
        <v>44839</v>
      </c>
      <c r="C7448" t="str">
        <f ca="1">IFERROR(__xludf.DUMMYFUNCTION("""COMPUTED_VALUE"""),"ЗАО ""ЭКОС"" 115-СТР от 01.01.2022")</f>
        <v>ЗАО "ЭКОС" 115-СТР от 01.01.2022</v>
      </c>
      <c r="D74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8" t="str">
        <f ca="1">IFERROR(__xludf.DUMMYFUNCTION("""COMPUTED_VALUE"""),"Новый")</f>
        <v>Новый</v>
      </c>
      <c r="G7448" s="68"/>
      <c r="K7448" s="68"/>
    </row>
    <row r="7449" spans="1:11" ht="12.75">
      <c r="A7449" s="69">
        <f ca="1">IFERROR(__xludf.DUMMYFUNCTION("""COMPUTED_VALUE"""),109117)</f>
        <v>109117</v>
      </c>
      <c r="B7449" s="4">
        <f ca="1">IFERROR(__xludf.DUMMYFUNCTION("""COMPUTED_VALUE"""),44839)</f>
        <v>44839</v>
      </c>
      <c r="C7449" t="str">
        <f ca="1">IFERROR(__xludf.DUMMYFUNCTION("""COMPUTED_VALUE"""),"ЗАО ""ЭКОС"" 115-СТР от 01.01.2022")</f>
        <v>ЗАО "ЭКОС" 115-СТР от 01.01.2022</v>
      </c>
      <c r="D74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49" t="str">
        <f ca="1">IFERROR(__xludf.DUMMYFUNCTION("""COMPUTED_VALUE"""),"Новый")</f>
        <v>Новый</v>
      </c>
      <c r="G7449" s="68"/>
      <c r="K7449" s="68"/>
    </row>
    <row r="7450" spans="1:11" ht="12.75">
      <c r="A7450" s="69">
        <f ca="1">IFERROR(__xludf.DUMMYFUNCTION("""COMPUTED_VALUE"""),109118)</f>
        <v>109118</v>
      </c>
      <c r="B7450" s="4">
        <f ca="1">IFERROR(__xludf.DUMMYFUNCTION("""COMPUTED_VALUE"""),44839)</f>
        <v>44839</v>
      </c>
      <c r="C7450" t="str">
        <f ca="1">IFERROR(__xludf.DUMMYFUNCTION("""COMPUTED_VALUE"""),"ЗАО ""ЭКОС"" 115-СТР от 01.01.2022")</f>
        <v>ЗАО "ЭКОС" 115-СТР от 01.01.2022</v>
      </c>
      <c r="D74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0" t="str">
        <f ca="1">IFERROR(__xludf.DUMMYFUNCTION("""COMPUTED_VALUE"""),"Новый")</f>
        <v>Новый</v>
      </c>
      <c r="G7450" s="68"/>
      <c r="K7450" s="68"/>
    </row>
    <row r="7451" spans="1:11" ht="12.75">
      <c r="A7451" s="69">
        <f ca="1">IFERROR(__xludf.DUMMYFUNCTION("""COMPUTED_VALUE"""),109119)</f>
        <v>109119</v>
      </c>
      <c r="B7451" s="4">
        <f ca="1">IFERROR(__xludf.DUMMYFUNCTION("""COMPUTED_VALUE"""),44839)</f>
        <v>44839</v>
      </c>
      <c r="C7451" t="str">
        <f ca="1">IFERROR(__xludf.DUMMYFUNCTION("""COMPUTED_VALUE"""),"ЗАО ""ЭКОС"" 115-СТР от 01.01.2022")</f>
        <v>ЗАО "ЭКОС" 115-СТР от 01.01.2022</v>
      </c>
      <c r="D74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1" t="str">
        <f ca="1">IFERROR(__xludf.DUMMYFUNCTION("""COMPUTED_VALUE"""),"Новый")</f>
        <v>Новый</v>
      </c>
      <c r="G7451" s="68"/>
      <c r="K7451" s="68"/>
    </row>
    <row r="7452" spans="1:11" ht="12.75">
      <c r="A7452" s="69">
        <f ca="1">IFERROR(__xludf.DUMMYFUNCTION("""COMPUTED_VALUE"""),109120)</f>
        <v>109120</v>
      </c>
      <c r="B7452" s="4">
        <f ca="1">IFERROR(__xludf.DUMMYFUNCTION("""COMPUTED_VALUE"""),44839)</f>
        <v>44839</v>
      </c>
      <c r="C7452" t="str">
        <f ca="1">IFERROR(__xludf.DUMMYFUNCTION("""COMPUTED_VALUE"""),"ЗАО ""ЭКОС"" 115-СТР от 01.01.2022")</f>
        <v>ЗАО "ЭКОС" 115-СТР от 01.01.2022</v>
      </c>
      <c r="D74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2" t="str">
        <f ca="1">IFERROR(__xludf.DUMMYFUNCTION("""COMPUTED_VALUE"""),"Новый")</f>
        <v>Новый</v>
      </c>
      <c r="G7452" s="68"/>
      <c r="K7452" s="68"/>
    </row>
    <row r="7453" spans="1:11" ht="12.75">
      <c r="A7453" s="69">
        <f ca="1">IFERROR(__xludf.DUMMYFUNCTION("""COMPUTED_VALUE"""),109121)</f>
        <v>109121</v>
      </c>
      <c r="B7453" s="4">
        <f ca="1">IFERROR(__xludf.DUMMYFUNCTION("""COMPUTED_VALUE"""),44839)</f>
        <v>44839</v>
      </c>
      <c r="C7453" t="str">
        <f ca="1">IFERROR(__xludf.DUMMYFUNCTION("""COMPUTED_VALUE"""),"ЗАО ""ЭКОС"" 115-СТР от 01.01.2022")</f>
        <v>ЗАО "ЭКОС" 115-СТР от 01.01.2022</v>
      </c>
      <c r="D74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3" t="str">
        <f ca="1">IFERROR(__xludf.DUMMYFUNCTION("""COMPUTED_VALUE"""),"Новый")</f>
        <v>Новый</v>
      </c>
      <c r="G7453" s="68"/>
      <c r="K7453" s="68"/>
    </row>
    <row r="7454" spans="1:11" ht="12.75">
      <c r="A7454" s="69">
        <f ca="1">IFERROR(__xludf.DUMMYFUNCTION("""COMPUTED_VALUE"""),109122)</f>
        <v>109122</v>
      </c>
      <c r="B7454" s="4">
        <f ca="1">IFERROR(__xludf.DUMMYFUNCTION("""COMPUTED_VALUE"""),44839)</f>
        <v>44839</v>
      </c>
      <c r="C7454" t="str">
        <f ca="1">IFERROR(__xludf.DUMMYFUNCTION("""COMPUTED_VALUE"""),"ЗАО ""ЭКОС"" 115-СТР от 01.01.2022")</f>
        <v>ЗАО "ЭКОС" 115-СТР от 01.01.2022</v>
      </c>
      <c r="D74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4" t="str">
        <f ca="1">IFERROR(__xludf.DUMMYFUNCTION("""COMPUTED_VALUE"""),"Новый")</f>
        <v>Новый</v>
      </c>
      <c r="G7454" s="68"/>
      <c r="K7454" s="68"/>
    </row>
    <row r="7455" spans="1:11" ht="12.75">
      <c r="A7455" s="69">
        <f ca="1">IFERROR(__xludf.DUMMYFUNCTION("""COMPUTED_VALUE"""),109123)</f>
        <v>109123</v>
      </c>
      <c r="B7455" s="4">
        <f ca="1">IFERROR(__xludf.DUMMYFUNCTION("""COMPUTED_VALUE"""),44839)</f>
        <v>44839</v>
      </c>
      <c r="C7455" t="str">
        <f ca="1">IFERROR(__xludf.DUMMYFUNCTION("""COMPUTED_VALUE"""),"ЗАО ""ЭКОС"" 115-СТР от 01.01.2022")</f>
        <v>ЗАО "ЭКОС" 115-СТР от 01.01.2022</v>
      </c>
      <c r="D74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5" t="str">
        <f ca="1">IFERROR(__xludf.DUMMYFUNCTION("""COMPUTED_VALUE"""),"Новый")</f>
        <v>Новый</v>
      </c>
      <c r="G7455" s="68"/>
      <c r="K7455" s="68"/>
    </row>
    <row r="7456" spans="1:11" ht="12.75">
      <c r="A7456" s="69">
        <f ca="1">IFERROR(__xludf.DUMMYFUNCTION("""COMPUTED_VALUE"""),109124)</f>
        <v>109124</v>
      </c>
      <c r="B7456" s="4">
        <f ca="1">IFERROR(__xludf.DUMMYFUNCTION("""COMPUTED_VALUE"""),44839)</f>
        <v>44839</v>
      </c>
      <c r="C7456" t="str">
        <f ca="1">IFERROR(__xludf.DUMMYFUNCTION("""COMPUTED_VALUE"""),"ЗАО ""ЭКОС"" 115-СТР от 01.01.2022")</f>
        <v>ЗАО "ЭКОС" 115-СТР от 01.01.2022</v>
      </c>
      <c r="D74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6" t="str">
        <f ca="1">IFERROR(__xludf.DUMMYFUNCTION("""COMPUTED_VALUE"""),"Новый")</f>
        <v>Новый</v>
      </c>
      <c r="G7456" s="68"/>
      <c r="K7456" s="68"/>
    </row>
    <row r="7457" spans="1:11" ht="12.75">
      <c r="A7457" s="69">
        <f ca="1">IFERROR(__xludf.DUMMYFUNCTION("""COMPUTED_VALUE"""),109125)</f>
        <v>109125</v>
      </c>
      <c r="B7457" s="4">
        <f ca="1">IFERROR(__xludf.DUMMYFUNCTION("""COMPUTED_VALUE"""),44839)</f>
        <v>44839</v>
      </c>
      <c r="C7457" t="str">
        <f ca="1">IFERROR(__xludf.DUMMYFUNCTION("""COMPUTED_VALUE"""),"ЗАО ""ЭКОС"" 115-СТР от 01.01.2022")</f>
        <v>ЗАО "ЭКОС" 115-СТР от 01.01.2022</v>
      </c>
      <c r="D74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7" t="str">
        <f ca="1">IFERROR(__xludf.DUMMYFUNCTION("""COMPUTED_VALUE"""),"Новый")</f>
        <v>Новый</v>
      </c>
      <c r="G7457" s="68"/>
      <c r="K7457" s="68"/>
    </row>
    <row r="7458" spans="1:11" ht="12.75">
      <c r="A7458" s="69">
        <f ca="1">IFERROR(__xludf.DUMMYFUNCTION("""COMPUTED_VALUE"""),109126)</f>
        <v>109126</v>
      </c>
      <c r="B7458" s="4">
        <f ca="1">IFERROR(__xludf.DUMMYFUNCTION("""COMPUTED_VALUE"""),44839)</f>
        <v>44839</v>
      </c>
      <c r="C7458" t="str">
        <f ca="1">IFERROR(__xludf.DUMMYFUNCTION("""COMPUTED_VALUE"""),"ЗАО ""ЭКОС"" 115-СТР от 01.01.2022")</f>
        <v>ЗАО "ЭКОС" 115-СТР от 01.01.2022</v>
      </c>
      <c r="D74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8" t="str">
        <f ca="1">IFERROR(__xludf.DUMMYFUNCTION("""COMPUTED_VALUE"""),"Новый")</f>
        <v>Новый</v>
      </c>
      <c r="G7458" s="68"/>
      <c r="K7458" s="68"/>
    </row>
    <row r="7459" spans="1:11" ht="12.75">
      <c r="A7459" s="69">
        <f ca="1">IFERROR(__xludf.DUMMYFUNCTION("""COMPUTED_VALUE"""),109127)</f>
        <v>109127</v>
      </c>
      <c r="B7459" s="4">
        <f ca="1">IFERROR(__xludf.DUMMYFUNCTION("""COMPUTED_VALUE"""),44839)</f>
        <v>44839</v>
      </c>
      <c r="C7459" t="str">
        <f ca="1">IFERROR(__xludf.DUMMYFUNCTION("""COMPUTED_VALUE"""),"ЗАО ""ЭКОС"" 115-СТР от 01.01.2022")</f>
        <v>ЗАО "ЭКОС" 115-СТР от 01.01.2022</v>
      </c>
      <c r="D74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59" t="str">
        <f ca="1">IFERROR(__xludf.DUMMYFUNCTION("""COMPUTED_VALUE"""),"Новый")</f>
        <v>Новый</v>
      </c>
      <c r="G7459" s="68"/>
      <c r="K7459" s="68"/>
    </row>
    <row r="7460" spans="1:11" ht="12.75">
      <c r="A7460" s="69">
        <f ca="1">IFERROR(__xludf.DUMMYFUNCTION("""COMPUTED_VALUE"""),109128)</f>
        <v>109128</v>
      </c>
      <c r="B7460" s="4">
        <f ca="1">IFERROR(__xludf.DUMMYFUNCTION("""COMPUTED_VALUE"""),44839)</f>
        <v>44839</v>
      </c>
      <c r="C7460" t="str">
        <f ca="1">IFERROR(__xludf.DUMMYFUNCTION("""COMPUTED_VALUE"""),"ООО ""ТРУД"" 161-РДО ")</f>
        <v xml:space="preserve">ООО "ТРУД" 161-РДО </v>
      </c>
      <c r="D74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0" t="str">
        <f ca="1">IFERROR(__xludf.DUMMYFUNCTION("""COMPUTED_VALUE"""),"Новый")</f>
        <v>Новый</v>
      </c>
      <c r="G7460" s="68"/>
      <c r="K7460" s="68"/>
    </row>
    <row r="7461" spans="1:11" ht="12.75">
      <c r="A7461" s="69">
        <f ca="1">IFERROR(__xludf.DUMMYFUNCTION("""COMPUTED_VALUE"""),109130)</f>
        <v>109130</v>
      </c>
      <c r="B7461" s="4">
        <f ca="1">IFERROR(__xludf.DUMMYFUNCTION("""COMPUTED_VALUE"""),44839)</f>
        <v>44839</v>
      </c>
      <c r="C7461" t="str">
        <f ca="1">IFERROR(__xludf.DUMMYFUNCTION("""COMPUTED_VALUE"""),"ООО ""ТРУД"" 161-РДО ")</f>
        <v xml:space="preserve">ООО "ТРУД" 161-РДО </v>
      </c>
      <c r="D74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1" t="str">
        <f ca="1">IFERROR(__xludf.DUMMYFUNCTION("""COMPUTED_VALUE"""),"Новый")</f>
        <v>Новый</v>
      </c>
      <c r="G7461" s="68"/>
      <c r="K7461" s="68"/>
    </row>
    <row r="7462" spans="1:11" ht="12.75">
      <c r="A7462" s="69">
        <f ca="1">IFERROR(__xludf.DUMMYFUNCTION("""COMPUTED_VALUE"""),109131)</f>
        <v>109131</v>
      </c>
      <c r="B7462" s="4">
        <f ca="1">IFERROR(__xludf.DUMMYFUNCTION("""COMPUTED_VALUE"""),44839)</f>
        <v>44839</v>
      </c>
      <c r="C7462" t="str">
        <f ca="1">IFERROR(__xludf.DUMMYFUNCTION("""COMPUTED_VALUE"""),"ООО ""ТРУД"" 161-РДО ")</f>
        <v xml:space="preserve">ООО "ТРУД" 161-РДО </v>
      </c>
      <c r="D74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2" t="str">
        <f ca="1">IFERROR(__xludf.DUMMYFUNCTION("""COMPUTED_VALUE"""),"Новый")</f>
        <v>Новый</v>
      </c>
      <c r="G7462" s="68"/>
      <c r="K7462" s="68"/>
    </row>
    <row r="7463" spans="1:11" ht="12.75">
      <c r="A7463" s="69">
        <f ca="1">IFERROR(__xludf.DUMMYFUNCTION("""COMPUTED_VALUE"""),109132)</f>
        <v>109132</v>
      </c>
      <c r="B7463" s="4">
        <f ca="1">IFERROR(__xludf.DUMMYFUNCTION("""COMPUTED_VALUE"""),44839)</f>
        <v>44839</v>
      </c>
      <c r="C7463" t="str">
        <f ca="1">IFERROR(__xludf.DUMMYFUNCTION("""COMPUTED_VALUE"""),"ООО ""ТРУД"" 161-РДО ")</f>
        <v xml:space="preserve">ООО "ТРУД" 161-РДО </v>
      </c>
      <c r="D74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3" t="str">
        <f ca="1">IFERROR(__xludf.DUMMYFUNCTION("""COMPUTED_VALUE"""),"Новый")</f>
        <v>Новый</v>
      </c>
      <c r="G7463" s="68"/>
      <c r="K7463" s="68"/>
    </row>
    <row r="7464" spans="1:11" ht="12.75">
      <c r="A7464" s="69">
        <f ca="1">IFERROR(__xludf.DUMMYFUNCTION("""COMPUTED_VALUE"""),109133)</f>
        <v>109133</v>
      </c>
      <c r="B7464" s="4">
        <f ca="1">IFERROR(__xludf.DUMMYFUNCTION("""COMPUTED_VALUE"""),44839)</f>
        <v>44839</v>
      </c>
      <c r="C7464" t="str">
        <f ca="1">IFERROR(__xludf.DUMMYFUNCTION("""COMPUTED_VALUE"""),"ООО ""ТРУД"" 161-РДО ")</f>
        <v xml:space="preserve">ООО "ТРУД" 161-РДО </v>
      </c>
      <c r="D74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4" t="str">
        <f ca="1">IFERROR(__xludf.DUMMYFUNCTION("""COMPUTED_VALUE"""),"Новый")</f>
        <v>Новый</v>
      </c>
      <c r="G7464" s="68"/>
      <c r="K7464" s="68"/>
    </row>
    <row r="7465" spans="1:11" ht="12.75">
      <c r="A7465" s="69">
        <f ca="1">IFERROR(__xludf.DUMMYFUNCTION("""COMPUTED_VALUE"""),109134)</f>
        <v>109134</v>
      </c>
      <c r="B7465" s="4">
        <f ca="1">IFERROR(__xludf.DUMMYFUNCTION("""COMPUTED_VALUE"""),44839)</f>
        <v>44839</v>
      </c>
      <c r="C7465" t="str">
        <f ca="1">IFERROR(__xludf.DUMMYFUNCTION("""COMPUTED_VALUE"""),"ООО ""ТРУД"" 161-РДО ")</f>
        <v xml:space="preserve">ООО "ТРУД" 161-РДО </v>
      </c>
      <c r="D74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5" t="str">
        <f ca="1">IFERROR(__xludf.DUMMYFUNCTION("""COMPUTED_VALUE"""),"Новый")</f>
        <v>Новый</v>
      </c>
      <c r="G7465" s="68"/>
      <c r="K7465" s="68"/>
    </row>
    <row r="7466" spans="1:11" ht="12.75">
      <c r="A7466" s="69">
        <f ca="1">IFERROR(__xludf.DUMMYFUNCTION("""COMPUTED_VALUE"""),109135)</f>
        <v>109135</v>
      </c>
      <c r="B7466" s="4">
        <f ca="1">IFERROR(__xludf.DUMMYFUNCTION("""COMPUTED_VALUE"""),44839)</f>
        <v>44839</v>
      </c>
      <c r="C7466" t="str">
        <f ca="1">IFERROR(__xludf.DUMMYFUNCTION("""COMPUTED_VALUE"""),"ООО ""ТРУД"" 161-РДО ")</f>
        <v xml:space="preserve">ООО "ТРУД" 161-РДО </v>
      </c>
      <c r="D74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6" t="str">
        <f ca="1">IFERROR(__xludf.DUMMYFUNCTION("""COMPUTED_VALUE"""),"Новый")</f>
        <v>Новый</v>
      </c>
      <c r="G7466" s="68"/>
      <c r="K7466" s="68"/>
    </row>
    <row r="7467" spans="1:11" ht="12.75">
      <c r="A7467" s="69">
        <f ca="1">IFERROR(__xludf.DUMMYFUNCTION("""COMPUTED_VALUE"""),109136)</f>
        <v>109136</v>
      </c>
      <c r="B7467" s="4">
        <f ca="1">IFERROR(__xludf.DUMMYFUNCTION("""COMPUTED_VALUE"""),44839)</f>
        <v>44839</v>
      </c>
      <c r="C7467" t="str">
        <f ca="1">IFERROR(__xludf.DUMMYFUNCTION("""COMPUTED_VALUE"""),"ООО ""ТРУД"" 161-РДО ")</f>
        <v xml:space="preserve">ООО "ТРУД" 161-РДО </v>
      </c>
      <c r="D74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7" t="str">
        <f ca="1">IFERROR(__xludf.DUMMYFUNCTION("""COMPUTED_VALUE"""),"Новый")</f>
        <v>Новый</v>
      </c>
      <c r="G7467" s="68"/>
      <c r="K7467" s="68"/>
    </row>
    <row r="7468" spans="1:11" ht="12.75">
      <c r="A7468" s="69">
        <f ca="1">IFERROR(__xludf.DUMMYFUNCTION("""COMPUTED_VALUE"""),109137)</f>
        <v>109137</v>
      </c>
      <c r="B7468" s="4">
        <f ca="1">IFERROR(__xludf.DUMMYFUNCTION("""COMPUTED_VALUE"""),44839)</f>
        <v>44839</v>
      </c>
      <c r="C7468" t="str">
        <f ca="1">IFERROR(__xludf.DUMMYFUNCTION("""COMPUTED_VALUE"""),"ООО ""ТРУД"" 161-РДО ")</f>
        <v xml:space="preserve">ООО "ТРУД" 161-РДО </v>
      </c>
      <c r="D74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8" t="str">
        <f ca="1">IFERROR(__xludf.DUMMYFUNCTION("""COMPUTED_VALUE"""),"Новый")</f>
        <v>Новый</v>
      </c>
      <c r="G7468" s="68"/>
      <c r="K7468" s="68"/>
    </row>
    <row r="7469" spans="1:11" ht="12.75">
      <c r="A7469" s="69">
        <f ca="1">IFERROR(__xludf.DUMMYFUNCTION("""COMPUTED_VALUE"""),109138)</f>
        <v>109138</v>
      </c>
      <c r="B7469" s="4">
        <f ca="1">IFERROR(__xludf.DUMMYFUNCTION("""COMPUTED_VALUE"""),44839)</f>
        <v>44839</v>
      </c>
      <c r="C7469" t="str">
        <f ca="1">IFERROR(__xludf.DUMMYFUNCTION("""COMPUTED_VALUE"""),"ООО ""ТРУД"" 161-РДО ")</f>
        <v xml:space="preserve">ООО "ТРУД" 161-РДО </v>
      </c>
      <c r="D74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69" t="str">
        <f ca="1">IFERROR(__xludf.DUMMYFUNCTION("""COMPUTED_VALUE"""),"Новый")</f>
        <v>Новый</v>
      </c>
      <c r="G7469" s="68"/>
      <c r="K7469" s="68"/>
    </row>
    <row r="7470" spans="1:11" ht="12.75">
      <c r="A7470" s="69">
        <f ca="1">IFERROR(__xludf.DUMMYFUNCTION("""COMPUTED_VALUE"""),109139)</f>
        <v>109139</v>
      </c>
      <c r="B7470" s="4">
        <f ca="1">IFERROR(__xludf.DUMMYFUNCTION("""COMPUTED_VALUE"""),44839)</f>
        <v>44839</v>
      </c>
      <c r="C7470" t="str">
        <f ca="1">IFERROR(__xludf.DUMMYFUNCTION("""COMPUTED_VALUE"""),"ООО ""ТРУД"" 161-РДО ")</f>
        <v xml:space="preserve">ООО "ТРУД" 161-РДО </v>
      </c>
      <c r="D74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0" t="str">
        <f ca="1">IFERROR(__xludf.DUMMYFUNCTION("""COMPUTED_VALUE"""),"Новый")</f>
        <v>Новый</v>
      </c>
      <c r="G7470" s="68"/>
      <c r="K7470" s="68"/>
    </row>
    <row r="7471" spans="1:11" ht="12.75">
      <c r="A7471" s="69">
        <f ca="1">IFERROR(__xludf.DUMMYFUNCTION("""COMPUTED_VALUE"""),109140)</f>
        <v>109140</v>
      </c>
      <c r="B7471" s="4">
        <f ca="1">IFERROR(__xludf.DUMMYFUNCTION("""COMPUTED_VALUE"""),44839)</f>
        <v>44839</v>
      </c>
      <c r="C7471" t="str">
        <f ca="1">IFERROR(__xludf.DUMMYFUNCTION("""COMPUTED_VALUE"""),"ООО ""ТРУД"" 161-РДО ")</f>
        <v xml:space="preserve">ООО "ТРУД" 161-РДО </v>
      </c>
      <c r="D74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1" t="str">
        <f ca="1">IFERROR(__xludf.DUMMYFUNCTION("""COMPUTED_VALUE"""),"Новый")</f>
        <v>Новый</v>
      </c>
      <c r="G7471" s="68"/>
      <c r="K7471" s="68"/>
    </row>
    <row r="7472" spans="1:11" ht="12.75">
      <c r="A7472" s="69">
        <f ca="1">IFERROR(__xludf.DUMMYFUNCTION("""COMPUTED_VALUE"""),109141)</f>
        <v>109141</v>
      </c>
      <c r="B7472" s="4">
        <f ca="1">IFERROR(__xludf.DUMMYFUNCTION("""COMPUTED_VALUE"""),44839)</f>
        <v>44839</v>
      </c>
      <c r="C7472" t="str">
        <f ca="1">IFERROR(__xludf.DUMMYFUNCTION("""COMPUTED_VALUE"""),"ООО ""ТРУД"" 161-РДО ")</f>
        <v xml:space="preserve">ООО "ТРУД" 161-РДО </v>
      </c>
      <c r="D74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2" t="str">
        <f ca="1">IFERROR(__xludf.DUMMYFUNCTION("""COMPUTED_VALUE"""),"Новый")</f>
        <v>Новый</v>
      </c>
      <c r="G7472" s="68"/>
      <c r="K7472" s="68"/>
    </row>
    <row r="7473" spans="1:11" ht="12.75">
      <c r="A7473" s="69">
        <f ca="1">IFERROR(__xludf.DUMMYFUNCTION("""COMPUTED_VALUE"""),109142)</f>
        <v>109142</v>
      </c>
      <c r="B7473" s="4">
        <f ca="1">IFERROR(__xludf.DUMMYFUNCTION("""COMPUTED_VALUE"""),44839)</f>
        <v>44839</v>
      </c>
      <c r="C7473" t="str">
        <f ca="1">IFERROR(__xludf.DUMMYFUNCTION("""COMPUTED_VALUE"""),"ООО ""ТРУД"" 161-РДО ")</f>
        <v xml:space="preserve">ООО "ТРУД" 161-РДО </v>
      </c>
      <c r="D74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3" t="str">
        <f ca="1">IFERROR(__xludf.DUMMYFUNCTION("""COMPUTED_VALUE"""),"Новый")</f>
        <v>Новый</v>
      </c>
      <c r="G7473" s="68"/>
      <c r="K7473" s="68"/>
    </row>
    <row r="7474" spans="1:11" ht="12.75">
      <c r="A7474" s="69">
        <f ca="1">IFERROR(__xludf.DUMMYFUNCTION("""COMPUTED_VALUE"""),109143)</f>
        <v>109143</v>
      </c>
      <c r="B7474" s="4">
        <f ca="1">IFERROR(__xludf.DUMMYFUNCTION("""COMPUTED_VALUE"""),44839)</f>
        <v>44839</v>
      </c>
      <c r="C7474" t="str">
        <f ca="1">IFERROR(__xludf.DUMMYFUNCTION("""COMPUTED_VALUE"""),"ООО ""ТРУД"" 161-РДО ")</f>
        <v xml:space="preserve">ООО "ТРУД" 161-РДО </v>
      </c>
      <c r="D74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4" t="str">
        <f ca="1">IFERROR(__xludf.DUMMYFUNCTION("""COMPUTED_VALUE"""),"Новый")</f>
        <v>Новый</v>
      </c>
      <c r="G7474" s="68"/>
      <c r="K7474" s="68"/>
    </row>
    <row r="7475" spans="1:11" ht="12.75">
      <c r="A7475" s="69">
        <f ca="1">IFERROR(__xludf.DUMMYFUNCTION("""COMPUTED_VALUE"""),109144)</f>
        <v>109144</v>
      </c>
      <c r="B7475" s="4">
        <f ca="1">IFERROR(__xludf.DUMMYFUNCTION("""COMPUTED_VALUE"""),44839)</f>
        <v>44839</v>
      </c>
      <c r="C7475" t="str">
        <f ca="1">IFERROR(__xludf.DUMMYFUNCTION("""COMPUTED_VALUE"""),"ООО ""ТРУД"" 161-РДО ")</f>
        <v xml:space="preserve">ООО "ТРУД" 161-РДО </v>
      </c>
      <c r="D74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5" t="str">
        <f ca="1">IFERROR(__xludf.DUMMYFUNCTION("""COMPUTED_VALUE"""),"Новый")</f>
        <v>Новый</v>
      </c>
      <c r="G7475" s="68"/>
      <c r="K7475" s="68"/>
    </row>
    <row r="7476" spans="1:11" ht="12.75">
      <c r="A7476" s="69">
        <f ca="1">IFERROR(__xludf.DUMMYFUNCTION("""COMPUTED_VALUE"""),109145)</f>
        <v>109145</v>
      </c>
      <c r="B7476" s="4">
        <f ca="1">IFERROR(__xludf.DUMMYFUNCTION("""COMPUTED_VALUE"""),44839)</f>
        <v>44839</v>
      </c>
      <c r="C7476" t="str">
        <f ca="1">IFERROR(__xludf.DUMMYFUNCTION("""COMPUTED_VALUE"""),"ООО ""ТРУД"" 161-РДО ")</f>
        <v xml:space="preserve">ООО "ТРУД" 161-РДО </v>
      </c>
      <c r="D74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6" t="str">
        <f ca="1">IFERROR(__xludf.DUMMYFUNCTION("""COMPUTED_VALUE"""),"Новый")</f>
        <v>Новый</v>
      </c>
      <c r="G7476" s="68"/>
      <c r="K7476" s="68"/>
    </row>
    <row r="7477" spans="1:11" ht="12.75">
      <c r="A7477" s="69">
        <f ca="1">IFERROR(__xludf.DUMMYFUNCTION("""COMPUTED_VALUE"""),109146)</f>
        <v>109146</v>
      </c>
      <c r="B7477" s="4">
        <f ca="1">IFERROR(__xludf.DUMMYFUNCTION("""COMPUTED_VALUE"""),44839)</f>
        <v>44839</v>
      </c>
      <c r="C7477" t="str">
        <f ca="1">IFERROR(__xludf.DUMMYFUNCTION("""COMPUTED_VALUE"""),"ООО ""ТРУД"" 161-РДО ")</f>
        <v xml:space="preserve">ООО "ТРУД" 161-РДО </v>
      </c>
      <c r="D74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7" t="str">
        <f ca="1">IFERROR(__xludf.DUMMYFUNCTION("""COMPUTED_VALUE"""),"Новый")</f>
        <v>Новый</v>
      </c>
      <c r="G7477" s="68"/>
      <c r="K7477" s="68"/>
    </row>
    <row r="7478" spans="1:11" ht="12.75">
      <c r="A7478" s="69">
        <f ca="1">IFERROR(__xludf.DUMMYFUNCTION("""COMPUTED_VALUE"""),109147)</f>
        <v>109147</v>
      </c>
      <c r="B7478" s="4">
        <f ca="1">IFERROR(__xludf.DUMMYFUNCTION("""COMPUTED_VALUE"""),44839)</f>
        <v>44839</v>
      </c>
      <c r="C7478" t="str">
        <f ca="1">IFERROR(__xludf.DUMMYFUNCTION("""COMPUTED_VALUE"""),"ООО ""ТРУД"" 161-РДО ")</f>
        <v xml:space="preserve">ООО "ТРУД" 161-РДО </v>
      </c>
      <c r="D74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478" t="str">
        <f ca="1">IFERROR(__xludf.DUMMYFUNCTION("""COMPUTED_VALUE"""),"Новый")</f>
        <v>Новый</v>
      </c>
      <c r="G7478" s="68"/>
      <c r="K7478" s="68"/>
    </row>
    <row r="7479" spans="1:11" ht="12.75">
      <c r="A7479" s="69">
        <f ca="1">IFERROR(__xludf.DUMMYFUNCTION("""COMPUTED_VALUE"""),109148)</f>
        <v>109148</v>
      </c>
      <c r="B7479" s="4">
        <f ca="1">IFERROR(__xludf.DUMMYFUNCTION("""COMPUTED_VALUE"""),44840)</f>
        <v>44840</v>
      </c>
      <c r="C7479" t="str">
        <f ca="1">IFERROR(__xludf.DUMMYFUNCTION("""COMPUTED_VALUE"""),"ООО ""ТРАНССЕРВИС"" 159-СТР от 01.08.2022")</f>
        <v>ООО "ТРАНССЕРВИС" 159-СТР от 01.08.2022</v>
      </c>
      <c r="D74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79" t="str">
        <f ca="1">IFERROR(__xludf.DUMMYFUNCTION("""COMPUTED_VALUE"""),"Новый")</f>
        <v>Новый</v>
      </c>
      <c r="G7479" s="68"/>
      <c r="K7479" s="68"/>
    </row>
    <row r="7480" spans="1:11" ht="12.75">
      <c r="A7480" s="69">
        <f ca="1">IFERROR(__xludf.DUMMYFUNCTION("""COMPUTED_VALUE"""),109149)</f>
        <v>109149</v>
      </c>
      <c r="B7480" s="4">
        <f ca="1">IFERROR(__xludf.DUMMYFUNCTION("""COMPUTED_VALUE"""),44840)</f>
        <v>44840</v>
      </c>
      <c r="C7480" t="str">
        <f ca="1">IFERROR(__xludf.DUMMYFUNCTION("""COMPUTED_VALUE"""),"ООО ""ТРАНССЕРВИС"" 159-СТР от 01.08.2022")</f>
        <v>ООО "ТРАНССЕРВИС" 159-СТР от 01.08.2022</v>
      </c>
      <c r="D74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0" t="str">
        <f ca="1">IFERROR(__xludf.DUMMYFUNCTION("""COMPUTED_VALUE"""),"Новый")</f>
        <v>Новый</v>
      </c>
      <c r="G7480" s="68"/>
      <c r="K7480" s="68"/>
    </row>
    <row r="7481" spans="1:11" ht="12.75">
      <c r="A7481" s="69">
        <f ca="1">IFERROR(__xludf.DUMMYFUNCTION("""COMPUTED_VALUE"""),109150)</f>
        <v>109150</v>
      </c>
      <c r="B7481" s="4">
        <f ca="1">IFERROR(__xludf.DUMMYFUNCTION("""COMPUTED_VALUE"""),44840)</f>
        <v>44840</v>
      </c>
      <c r="C7481" t="str">
        <f ca="1">IFERROR(__xludf.DUMMYFUNCTION("""COMPUTED_VALUE"""),"ООО ""ТРАНССЕРВИС"" 159-СТР от 01.08.2022")</f>
        <v>ООО "ТРАНССЕРВИС" 159-СТР от 01.08.2022</v>
      </c>
      <c r="D74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1" t="str">
        <f ca="1">IFERROR(__xludf.DUMMYFUNCTION("""COMPUTED_VALUE"""),"Новый")</f>
        <v>Новый</v>
      </c>
      <c r="G7481" s="68"/>
      <c r="K7481" s="68"/>
    </row>
    <row r="7482" spans="1:11" ht="12.75">
      <c r="A7482" s="69">
        <f ca="1">IFERROR(__xludf.DUMMYFUNCTION("""COMPUTED_VALUE"""),109151)</f>
        <v>109151</v>
      </c>
      <c r="B7482" s="4">
        <f ca="1">IFERROR(__xludf.DUMMYFUNCTION("""COMPUTED_VALUE"""),44840)</f>
        <v>44840</v>
      </c>
      <c r="C7482" t="str">
        <f ca="1">IFERROR(__xludf.DUMMYFUNCTION("""COMPUTED_VALUE"""),"ООО ""ТРАНССЕРВИС"" 159-СТР от 01.08.2022")</f>
        <v>ООО "ТРАНССЕРВИС" 159-СТР от 01.08.2022</v>
      </c>
      <c r="D74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2" t="str">
        <f ca="1">IFERROR(__xludf.DUMMYFUNCTION("""COMPUTED_VALUE"""),"Новый")</f>
        <v>Новый</v>
      </c>
      <c r="G7482" s="68"/>
      <c r="K7482" s="68"/>
    </row>
    <row r="7483" spans="1:11" ht="12.75">
      <c r="A7483" s="69">
        <f ca="1">IFERROR(__xludf.DUMMYFUNCTION("""COMPUTED_VALUE"""),109152)</f>
        <v>109152</v>
      </c>
      <c r="B7483" s="4">
        <f ca="1">IFERROR(__xludf.DUMMYFUNCTION("""COMPUTED_VALUE"""),44840)</f>
        <v>44840</v>
      </c>
      <c r="C7483" t="str">
        <f ca="1">IFERROR(__xludf.DUMMYFUNCTION("""COMPUTED_VALUE"""),"ООО ""ТРАНССЕРВИС"" 159-СТР от 01.08.2022")</f>
        <v>ООО "ТРАНССЕРВИС" 159-СТР от 01.08.2022</v>
      </c>
      <c r="D74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3" t="str">
        <f ca="1">IFERROR(__xludf.DUMMYFUNCTION("""COMPUTED_VALUE"""),"Новый")</f>
        <v>Новый</v>
      </c>
      <c r="G7483" s="68"/>
      <c r="K7483" s="68"/>
    </row>
    <row r="7484" spans="1:11" ht="12.75">
      <c r="A7484" s="69">
        <f ca="1">IFERROR(__xludf.DUMMYFUNCTION("""COMPUTED_VALUE"""),109153)</f>
        <v>109153</v>
      </c>
      <c r="B7484" s="4">
        <f ca="1">IFERROR(__xludf.DUMMYFUNCTION("""COMPUTED_VALUE"""),44840)</f>
        <v>44840</v>
      </c>
      <c r="C7484" t="str">
        <f ca="1">IFERROR(__xludf.DUMMYFUNCTION("""COMPUTED_VALUE"""),"ООО ""ТРАНССЕРВИС"" 159-СТР от 01.08.2022")</f>
        <v>ООО "ТРАНССЕРВИС" 159-СТР от 01.08.2022</v>
      </c>
      <c r="D74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4" t="str">
        <f ca="1">IFERROR(__xludf.DUMMYFUNCTION("""COMPUTED_VALUE"""),"Новый")</f>
        <v>Новый</v>
      </c>
      <c r="G7484" s="68"/>
      <c r="K7484" s="68"/>
    </row>
    <row r="7485" spans="1:11" ht="12.75">
      <c r="A7485" s="69">
        <f ca="1">IFERROR(__xludf.DUMMYFUNCTION("""COMPUTED_VALUE"""),109154)</f>
        <v>109154</v>
      </c>
      <c r="B7485" s="4">
        <f ca="1">IFERROR(__xludf.DUMMYFUNCTION("""COMPUTED_VALUE"""),44840)</f>
        <v>44840</v>
      </c>
      <c r="C7485" t="str">
        <f ca="1">IFERROR(__xludf.DUMMYFUNCTION("""COMPUTED_VALUE"""),"ООО ""ТРАНССЕРВИС"" 159-СТР от 01.08.2022")</f>
        <v>ООО "ТРАНССЕРВИС" 159-СТР от 01.08.2022</v>
      </c>
      <c r="D74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5" t="str">
        <f ca="1">IFERROR(__xludf.DUMMYFUNCTION("""COMPUTED_VALUE"""),"Новый")</f>
        <v>Новый</v>
      </c>
      <c r="G7485" s="68"/>
      <c r="K7485" s="68"/>
    </row>
    <row r="7486" spans="1:11" ht="12.75">
      <c r="A7486" s="69">
        <f ca="1">IFERROR(__xludf.DUMMYFUNCTION("""COMPUTED_VALUE"""),109155)</f>
        <v>109155</v>
      </c>
      <c r="B7486" s="4">
        <f ca="1">IFERROR(__xludf.DUMMYFUNCTION("""COMPUTED_VALUE"""),44840)</f>
        <v>44840</v>
      </c>
      <c r="C7486" t="str">
        <f ca="1">IFERROR(__xludf.DUMMYFUNCTION("""COMPUTED_VALUE"""),"ООО ""ТРАНССЕРВИС"" 159-СТР от 01.08.2022")</f>
        <v>ООО "ТРАНССЕРВИС" 159-СТР от 01.08.2022</v>
      </c>
      <c r="D74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6" t="str">
        <f ca="1">IFERROR(__xludf.DUMMYFUNCTION("""COMPUTED_VALUE"""),"Новый")</f>
        <v>Новый</v>
      </c>
      <c r="G7486" s="68"/>
      <c r="K7486" s="68"/>
    </row>
    <row r="7487" spans="1:11" ht="12.75">
      <c r="A7487" s="69">
        <f ca="1">IFERROR(__xludf.DUMMYFUNCTION("""COMPUTED_VALUE"""),109156)</f>
        <v>109156</v>
      </c>
      <c r="B7487" s="4">
        <f ca="1">IFERROR(__xludf.DUMMYFUNCTION("""COMPUTED_VALUE"""),44840)</f>
        <v>44840</v>
      </c>
      <c r="C7487" t="str">
        <f ca="1">IFERROR(__xludf.DUMMYFUNCTION("""COMPUTED_VALUE"""),"ООО ""ТРАНССЕРВИС"" 159-СТР от 01.08.2022")</f>
        <v>ООО "ТРАНССЕРВИС" 159-СТР от 01.08.2022</v>
      </c>
      <c r="D74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7" t="str">
        <f ca="1">IFERROR(__xludf.DUMMYFUNCTION("""COMPUTED_VALUE"""),"Новый")</f>
        <v>Новый</v>
      </c>
      <c r="G7487" s="68"/>
      <c r="K7487" s="68"/>
    </row>
    <row r="7488" spans="1:11" ht="12.75">
      <c r="A7488" s="69">
        <f ca="1">IFERROR(__xludf.DUMMYFUNCTION("""COMPUTED_VALUE"""),109157)</f>
        <v>109157</v>
      </c>
      <c r="B7488" s="4">
        <f ca="1">IFERROR(__xludf.DUMMYFUNCTION("""COMPUTED_VALUE"""),44840)</f>
        <v>44840</v>
      </c>
      <c r="C7488" t="str">
        <f ca="1">IFERROR(__xludf.DUMMYFUNCTION("""COMPUTED_VALUE"""),"ООО ""ТРАНССЕРВИС"" 159-СТР от 01.08.2022")</f>
        <v>ООО "ТРАНССЕРВИС" 159-СТР от 01.08.2022</v>
      </c>
      <c r="D74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8" t="str">
        <f ca="1">IFERROR(__xludf.DUMMYFUNCTION("""COMPUTED_VALUE"""),"Новый")</f>
        <v>Новый</v>
      </c>
      <c r="G7488" s="68"/>
      <c r="K7488" s="68"/>
    </row>
    <row r="7489" spans="1:11" ht="12.75">
      <c r="A7489" s="69">
        <f ca="1">IFERROR(__xludf.DUMMYFUNCTION("""COMPUTED_VALUE"""),109158)</f>
        <v>109158</v>
      </c>
      <c r="B7489" s="4">
        <f ca="1">IFERROR(__xludf.DUMMYFUNCTION("""COMPUTED_VALUE"""),44840)</f>
        <v>44840</v>
      </c>
      <c r="C7489" t="str">
        <f ca="1">IFERROR(__xludf.DUMMYFUNCTION("""COMPUTED_VALUE"""),"ООО ""ТРАНССЕРВИС"" 159-СТР от 01.08.2022")</f>
        <v>ООО "ТРАНССЕРВИС" 159-СТР от 01.08.2022</v>
      </c>
      <c r="D74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89" t="str">
        <f ca="1">IFERROR(__xludf.DUMMYFUNCTION("""COMPUTED_VALUE"""),"Новый")</f>
        <v>Новый</v>
      </c>
      <c r="G7489" s="68"/>
      <c r="K7489" s="68"/>
    </row>
    <row r="7490" spans="1:11" ht="12.75">
      <c r="A7490" s="69">
        <f ca="1">IFERROR(__xludf.DUMMYFUNCTION("""COMPUTED_VALUE"""),109159)</f>
        <v>109159</v>
      </c>
      <c r="B7490" s="4">
        <f ca="1">IFERROR(__xludf.DUMMYFUNCTION("""COMPUTED_VALUE"""),44840)</f>
        <v>44840</v>
      </c>
      <c r="C7490" t="str">
        <f ca="1">IFERROR(__xludf.DUMMYFUNCTION("""COMPUTED_VALUE"""),"ООО ""ТРАНССЕРВИС"" 159-СТР от 01.08.2022")</f>
        <v>ООО "ТРАНССЕРВИС" 159-СТР от 01.08.2022</v>
      </c>
      <c r="D74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0" t="str">
        <f ca="1">IFERROR(__xludf.DUMMYFUNCTION("""COMPUTED_VALUE"""),"Новый")</f>
        <v>Новый</v>
      </c>
      <c r="G7490" s="68"/>
      <c r="K7490" s="68"/>
    </row>
    <row r="7491" spans="1:11" ht="12.75">
      <c r="A7491" s="69">
        <f ca="1">IFERROR(__xludf.DUMMYFUNCTION("""COMPUTED_VALUE"""),109160)</f>
        <v>109160</v>
      </c>
      <c r="B7491" s="4">
        <f ca="1">IFERROR(__xludf.DUMMYFUNCTION("""COMPUTED_VALUE"""),44840)</f>
        <v>44840</v>
      </c>
      <c r="C7491" t="str">
        <f ca="1">IFERROR(__xludf.DUMMYFUNCTION("""COMPUTED_VALUE"""),"ООО ""ТРАНССЕРВИС"" 159-СТР от 01.08.2022")</f>
        <v>ООО "ТРАНССЕРВИС" 159-СТР от 01.08.2022</v>
      </c>
      <c r="D74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1" t="str">
        <f ca="1">IFERROR(__xludf.DUMMYFUNCTION("""COMPUTED_VALUE"""),"Новый")</f>
        <v>Новый</v>
      </c>
      <c r="G7491" s="68"/>
      <c r="K7491" s="68"/>
    </row>
    <row r="7492" spans="1:11" ht="12.75">
      <c r="A7492" s="69">
        <f ca="1">IFERROR(__xludf.DUMMYFUNCTION("""COMPUTED_VALUE"""),109161)</f>
        <v>109161</v>
      </c>
      <c r="B7492" s="4">
        <f ca="1">IFERROR(__xludf.DUMMYFUNCTION("""COMPUTED_VALUE"""),44840)</f>
        <v>44840</v>
      </c>
      <c r="C7492" t="str">
        <f ca="1">IFERROR(__xludf.DUMMYFUNCTION("""COMPUTED_VALUE"""),"ООО ""ТРАНССЕРВИС"" 159-СТР от 01.08.2022")</f>
        <v>ООО "ТРАНССЕРВИС" 159-СТР от 01.08.2022</v>
      </c>
      <c r="D74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2" t="str">
        <f ca="1">IFERROR(__xludf.DUMMYFUNCTION("""COMPUTED_VALUE"""),"Новый")</f>
        <v>Новый</v>
      </c>
      <c r="G7492" s="68"/>
      <c r="K7492" s="68"/>
    </row>
    <row r="7493" spans="1:11" ht="12.75">
      <c r="A7493" s="69">
        <f ca="1">IFERROR(__xludf.DUMMYFUNCTION("""COMPUTED_VALUE"""),109162)</f>
        <v>109162</v>
      </c>
      <c r="B7493" s="4">
        <f ca="1">IFERROR(__xludf.DUMMYFUNCTION("""COMPUTED_VALUE"""),44840)</f>
        <v>44840</v>
      </c>
      <c r="C7493" t="str">
        <f ca="1">IFERROR(__xludf.DUMMYFUNCTION("""COMPUTED_VALUE"""),"ООО ""ТРАНССЕРВИС"" 159-СТР от 01.08.2022")</f>
        <v>ООО "ТРАНССЕРВИС" 159-СТР от 01.08.2022</v>
      </c>
      <c r="D74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3" t="str">
        <f ca="1">IFERROR(__xludf.DUMMYFUNCTION("""COMPUTED_VALUE"""),"Новый")</f>
        <v>Новый</v>
      </c>
      <c r="G7493" s="68"/>
      <c r="K7493" s="68"/>
    </row>
    <row r="7494" spans="1:11" ht="12.75">
      <c r="A7494" s="69">
        <f ca="1">IFERROR(__xludf.DUMMYFUNCTION("""COMPUTED_VALUE"""),109163)</f>
        <v>109163</v>
      </c>
      <c r="B7494" s="4">
        <f ca="1">IFERROR(__xludf.DUMMYFUNCTION("""COMPUTED_VALUE"""),44840)</f>
        <v>44840</v>
      </c>
      <c r="C7494" t="str">
        <f ca="1">IFERROR(__xludf.DUMMYFUNCTION("""COMPUTED_VALUE"""),"ООО ""ТРАНССЕРВИС"" 159-СТР от 01.08.2022")</f>
        <v>ООО "ТРАНССЕРВИС" 159-СТР от 01.08.2022</v>
      </c>
      <c r="D74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4" t="str">
        <f ca="1">IFERROR(__xludf.DUMMYFUNCTION("""COMPUTED_VALUE"""),"Новый")</f>
        <v>Новый</v>
      </c>
      <c r="G7494" s="68"/>
      <c r="K7494" s="68"/>
    </row>
    <row r="7495" spans="1:11" ht="12.75">
      <c r="A7495" s="69">
        <f ca="1">IFERROR(__xludf.DUMMYFUNCTION("""COMPUTED_VALUE"""),109164)</f>
        <v>109164</v>
      </c>
      <c r="B7495" s="4">
        <f ca="1">IFERROR(__xludf.DUMMYFUNCTION("""COMPUTED_VALUE"""),44840)</f>
        <v>44840</v>
      </c>
      <c r="C7495" t="str">
        <f ca="1">IFERROR(__xludf.DUMMYFUNCTION("""COMPUTED_VALUE"""),"ООО ""ТРАНССЕРВИС"" 159-СТР от 01.08.2022")</f>
        <v>ООО "ТРАНССЕРВИС" 159-СТР от 01.08.2022</v>
      </c>
      <c r="D74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5" t="str">
        <f ca="1">IFERROR(__xludf.DUMMYFUNCTION("""COMPUTED_VALUE"""),"Новый")</f>
        <v>Новый</v>
      </c>
      <c r="G7495" s="68"/>
      <c r="K7495" s="68"/>
    </row>
    <row r="7496" spans="1:11" ht="12.75">
      <c r="A7496" s="69">
        <f ca="1">IFERROR(__xludf.DUMMYFUNCTION("""COMPUTED_VALUE"""),109165)</f>
        <v>109165</v>
      </c>
      <c r="B7496" s="4">
        <f ca="1">IFERROR(__xludf.DUMMYFUNCTION("""COMPUTED_VALUE"""),44840)</f>
        <v>44840</v>
      </c>
      <c r="C7496" t="str">
        <f ca="1">IFERROR(__xludf.DUMMYFUNCTION("""COMPUTED_VALUE"""),"ООО ""ТРАНССЕРВИС"" 159-СТР от 01.08.2022")</f>
        <v>ООО "ТРАНССЕРВИС" 159-СТР от 01.08.2022</v>
      </c>
      <c r="D749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6" t="str">
        <f ca="1">IFERROR(__xludf.DUMMYFUNCTION("""COMPUTED_VALUE"""),"Новый")</f>
        <v>Новый</v>
      </c>
      <c r="G7496" s="68"/>
      <c r="K7496" s="68"/>
    </row>
    <row r="7497" spans="1:11" ht="12.75">
      <c r="A7497" s="69">
        <f ca="1">IFERROR(__xludf.DUMMYFUNCTION("""COMPUTED_VALUE"""),109166)</f>
        <v>109166</v>
      </c>
      <c r="B7497" s="4">
        <f ca="1">IFERROR(__xludf.DUMMYFUNCTION("""COMPUTED_VALUE"""),44840)</f>
        <v>44840</v>
      </c>
      <c r="C7497" t="str">
        <f ca="1">IFERROR(__xludf.DUMMYFUNCTION("""COMPUTED_VALUE"""),"ООО ""ТРАНССЕРВИС"" 159-СТР от 01.08.2022")</f>
        <v>ООО "ТРАНССЕРВИС" 159-СТР от 01.08.2022</v>
      </c>
      <c r="D749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7" t="str">
        <f ca="1">IFERROR(__xludf.DUMMYFUNCTION("""COMPUTED_VALUE"""),"Новый")</f>
        <v>Новый</v>
      </c>
      <c r="G7497" s="68"/>
      <c r="K7497" s="68"/>
    </row>
    <row r="7498" spans="1:11" ht="12.75">
      <c r="A7498" s="69">
        <f ca="1">IFERROR(__xludf.DUMMYFUNCTION("""COMPUTED_VALUE"""),109167)</f>
        <v>109167</v>
      </c>
      <c r="B7498" s="4">
        <f ca="1">IFERROR(__xludf.DUMMYFUNCTION("""COMPUTED_VALUE"""),44840)</f>
        <v>44840</v>
      </c>
      <c r="C7498" t="str">
        <f ca="1">IFERROR(__xludf.DUMMYFUNCTION("""COMPUTED_VALUE"""),"ООО ""ТРАНССЕРВИС"" 159-СТР от 01.08.2022")</f>
        <v>ООО "ТРАНССЕРВИС" 159-СТР от 01.08.2022</v>
      </c>
      <c r="D749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8" t="str">
        <f ca="1">IFERROR(__xludf.DUMMYFUNCTION("""COMPUTED_VALUE"""),"Новый")</f>
        <v>Новый</v>
      </c>
      <c r="G7498" s="68"/>
      <c r="K7498" s="68"/>
    </row>
    <row r="7499" spans="1:11" ht="12.75">
      <c r="A7499" s="69">
        <f ca="1">IFERROR(__xludf.DUMMYFUNCTION("""COMPUTED_VALUE"""),109168)</f>
        <v>109168</v>
      </c>
      <c r="B7499" s="4">
        <f ca="1">IFERROR(__xludf.DUMMYFUNCTION("""COMPUTED_VALUE"""),44840)</f>
        <v>44840</v>
      </c>
      <c r="C7499" t="str">
        <f ca="1">IFERROR(__xludf.DUMMYFUNCTION("""COMPUTED_VALUE"""),"ООО ""ТРАНССЕРВИС"" 159-СТР от 01.08.2022")</f>
        <v>ООО "ТРАНССЕРВИС" 159-СТР от 01.08.2022</v>
      </c>
      <c r="D749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499" t="str">
        <f ca="1">IFERROR(__xludf.DUMMYFUNCTION("""COMPUTED_VALUE"""),"Новый")</f>
        <v>Новый</v>
      </c>
      <c r="G7499" s="68"/>
      <c r="K7499" s="68"/>
    </row>
    <row r="7500" spans="1:11" ht="12.75">
      <c r="A7500" s="69">
        <f ca="1">IFERROR(__xludf.DUMMYFUNCTION("""COMPUTED_VALUE"""),109169)</f>
        <v>109169</v>
      </c>
      <c r="B7500" s="4">
        <f ca="1">IFERROR(__xludf.DUMMYFUNCTION("""COMPUTED_VALUE"""),44840)</f>
        <v>44840</v>
      </c>
      <c r="C7500" t="str">
        <f ca="1">IFERROR(__xludf.DUMMYFUNCTION("""COMPUTED_VALUE"""),"ООО ""ТРАНССЕРВИС"" 159-СТР от 01.08.2022")</f>
        <v>ООО "ТРАНССЕРВИС" 159-СТР от 01.08.2022</v>
      </c>
      <c r="D750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0" t="str">
        <f ca="1">IFERROR(__xludf.DUMMYFUNCTION("""COMPUTED_VALUE"""),"Новый")</f>
        <v>Новый</v>
      </c>
      <c r="G7500" s="68"/>
      <c r="K7500" s="68"/>
    </row>
    <row r="7501" spans="1:11" ht="12.75">
      <c r="A7501" s="69">
        <f ca="1">IFERROR(__xludf.DUMMYFUNCTION("""COMPUTED_VALUE"""),109170)</f>
        <v>109170</v>
      </c>
      <c r="B7501" s="4">
        <f ca="1">IFERROR(__xludf.DUMMYFUNCTION("""COMPUTED_VALUE"""),44840)</f>
        <v>44840</v>
      </c>
      <c r="C7501" t="str">
        <f ca="1">IFERROR(__xludf.DUMMYFUNCTION("""COMPUTED_VALUE"""),"ООО ""ТРАНССЕРВИС"" 159-СТР от 01.08.2022")</f>
        <v>ООО "ТРАНССЕРВИС" 159-СТР от 01.08.2022</v>
      </c>
      <c r="D750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1" t="str">
        <f ca="1">IFERROR(__xludf.DUMMYFUNCTION("""COMPUTED_VALUE"""),"Новый")</f>
        <v>Новый</v>
      </c>
      <c r="G7501" s="68"/>
      <c r="K7501" s="68"/>
    </row>
    <row r="7502" spans="1:11" ht="12.75">
      <c r="A7502" s="69">
        <f ca="1">IFERROR(__xludf.DUMMYFUNCTION("""COMPUTED_VALUE"""),109171)</f>
        <v>109171</v>
      </c>
      <c r="B7502" s="4">
        <f ca="1">IFERROR(__xludf.DUMMYFUNCTION("""COMPUTED_VALUE"""),44840)</f>
        <v>44840</v>
      </c>
      <c r="C7502" t="str">
        <f ca="1">IFERROR(__xludf.DUMMYFUNCTION("""COMPUTED_VALUE"""),"ООО ""ТРАНССЕРВИС"" 159-СТР от 01.08.2022")</f>
        <v>ООО "ТРАНССЕРВИС" 159-СТР от 01.08.2022</v>
      </c>
      <c r="D750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2" t="str">
        <f ca="1">IFERROR(__xludf.DUMMYFUNCTION("""COMPUTED_VALUE"""),"Новый")</f>
        <v>Новый</v>
      </c>
      <c r="G7502" s="68"/>
      <c r="K7502" s="68"/>
    </row>
    <row r="7503" spans="1:11" ht="12.75">
      <c r="A7503" s="69">
        <f ca="1">IFERROR(__xludf.DUMMYFUNCTION("""COMPUTED_VALUE"""),109172)</f>
        <v>109172</v>
      </c>
      <c r="B7503" s="4">
        <f ca="1">IFERROR(__xludf.DUMMYFUNCTION("""COMPUTED_VALUE"""),44840)</f>
        <v>44840</v>
      </c>
      <c r="C7503" t="str">
        <f ca="1">IFERROR(__xludf.DUMMYFUNCTION("""COMPUTED_VALUE"""),"ООО ""ТРАНССЕРВИС"" 159-СТР от 01.08.2022")</f>
        <v>ООО "ТРАНССЕРВИС" 159-СТР от 01.08.2022</v>
      </c>
      <c r="D750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3" t="str">
        <f ca="1">IFERROR(__xludf.DUMMYFUNCTION("""COMPUTED_VALUE"""),"Новый")</f>
        <v>Новый</v>
      </c>
      <c r="G7503" s="68"/>
      <c r="K7503" s="68"/>
    </row>
    <row r="7504" spans="1:11" ht="12.75">
      <c r="A7504" s="69">
        <f ca="1">IFERROR(__xludf.DUMMYFUNCTION("""COMPUTED_VALUE"""),109173)</f>
        <v>109173</v>
      </c>
      <c r="B7504" s="4">
        <f ca="1">IFERROR(__xludf.DUMMYFUNCTION("""COMPUTED_VALUE"""),44840)</f>
        <v>44840</v>
      </c>
      <c r="C7504" t="str">
        <f ca="1">IFERROR(__xludf.DUMMYFUNCTION("""COMPUTED_VALUE"""),"ООО ""ТРАНССЕРВИС"" 159-СТР от 01.08.2022")</f>
        <v>ООО "ТРАНССЕРВИС" 159-СТР от 01.08.2022</v>
      </c>
      <c r="D750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4" t="str">
        <f ca="1">IFERROR(__xludf.DUMMYFUNCTION("""COMPUTED_VALUE"""),"Новый")</f>
        <v>Новый</v>
      </c>
      <c r="G7504" s="68"/>
      <c r="K7504" s="68"/>
    </row>
    <row r="7505" spans="1:11" ht="12.75">
      <c r="A7505" s="69">
        <f ca="1">IFERROR(__xludf.DUMMYFUNCTION("""COMPUTED_VALUE"""),109174)</f>
        <v>109174</v>
      </c>
      <c r="B7505" s="4">
        <f ca="1">IFERROR(__xludf.DUMMYFUNCTION("""COMPUTED_VALUE"""),44840)</f>
        <v>44840</v>
      </c>
      <c r="C7505" t="str">
        <f ca="1">IFERROR(__xludf.DUMMYFUNCTION("""COMPUTED_VALUE"""),"ООО ""ТРАНССЕРВИС"" 159-СТР от 01.08.2022")</f>
        <v>ООО "ТРАНССЕРВИС" 159-СТР от 01.08.2022</v>
      </c>
      <c r="D750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5" t="str">
        <f ca="1">IFERROR(__xludf.DUMMYFUNCTION("""COMPUTED_VALUE"""),"Новый")</f>
        <v>Новый</v>
      </c>
      <c r="G7505" s="68"/>
      <c r="K7505" s="68"/>
    </row>
    <row r="7506" spans="1:11" ht="12.75">
      <c r="A7506" s="69">
        <f ca="1">IFERROR(__xludf.DUMMYFUNCTION("""COMPUTED_VALUE"""),109175)</f>
        <v>109175</v>
      </c>
      <c r="B7506" s="4">
        <f ca="1">IFERROR(__xludf.DUMMYFUNCTION("""COMPUTED_VALUE"""),44840)</f>
        <v>44840</v>
      </c>
      <c r="C7506" t="str">
        <f ca="1">IFERROR(__xludf.DUMMYFUNCTION("""COMPUTED_VALUE"""),"ООО ""ТРАНССЕРВИС"" 159-СТР от 01.08.2022")</f>
        <v>ООО "ТРАНССЕРВИС" 159-СТР от 01.08.2022</v>
      </c>
      <c r="D750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6" t="str">
        <f ca="1">IFERROR(__xludf.DUMMYFUNCTION("""COMPUTED_VALUE"""),"Новый")</f>
        <v>Новый</v>
      </c>
      <c r="G7506" s="68"/>
      <c r="K7506" s="68"/>
    </row>
    <row r="7507" spans="1:11" ht="12.75">
      <c r="A7507" s="69">
        <f ca="1">IFERROR(__xludf.DUMMYFUNCTION("""COMPUTED_VALUE"""),109176)</f>
        <v>109176</v>
      </c>
      <c r="B7507" s="4">
        <f ca="1">IFERROR(__xludf.DUMMYFUNCTION("""COMPUTED_VALUE"""),44840)</f>
        <v>44840</v>
      </c>
      <c r="C7507" t="str">
        <f ca="1">IFERROR(__xludf.DUMMYFUNCTION("""COMPUTED_VALUE"""),"ООО ""ТРАНССЕРВИС"" 159-СТР от 01.08.2022")</f>
        <v>ООО "ТРАНССЕРВИС" 159-СТР от 01.08.2022</v>
      </c>
      <c r="D750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7" t="str">
        <f ca="1">IFERROR(__xludf.DUMMYFUNCTION("""COMPUTED_VALUE"""),"Новый")</f>
        <v>Новый</v>
      </c>
      <c r="G7507" s="68"/>
      <c r="K7507" s="68"/>
    </row>
    <row r="7508" spans="1:11" ht="12.75">
      <c r="A7508" s="69">
        <f ca="1">IFERROR(__xludf.DUMMYFUNCTION("""COMPUTED_VALUE"""),109177)</f>
        <v>109177</v>
      </c>
      <c r="B7508" s="4">
        <f ca="1">IFERROR(__xludf.DUMMYFUNCTION("""COMPUTED_VALUE"""),44840)</f>
        <v>44840</v>
      </c>
      <c r="C7508" t="str">
        <f ca="1">IFERROR(__xludf.DUMMYFUNCTION("""COMPUTED_VALUE"""),"ООО ""ТРАНССЕРВИС"" 159-СТР от 01.08.2022")</f>
        <v>ООО "ТРАНССЕРВИС" 159-СТР от 01.08.2022</v>
      </c>
      <c r="D750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8" t="str">
        <f ca="1">IFERROR(__xludf.DUMMYFUNCTION("""COMPUTED_VALUE"""),"Новый")</f>
        <v>Новый</v>
      </c>
      <c r="G7508" s="68"/>
      <c r="K7508" s="68"/>
    </row>
    <row r="7509" spans="1:11" ht="12.75">
      <c r="A7509" s="69">
        <f ca="1">IFERROR(__xludf.DUMMYFUNCTION("""COMPUTED_VALUE"""),109178)</f>
        <v>109178</v>
      </c>
      <c r="B7509" s="4">
        <f ca="1">IFERROR(__xludf.DUMMYFUNCTION("""COMPUTED_VALUE"""),44840)</f>
        <v>44840</v>
      </c>
      <c r="C7509" t="str">
        <f ca="1">IFERROR(__xludf.DUMMYFUNCTION("""COMPUTED_VALUE"""),"ООО ""ТРАНССЕРВИС"" 159-СТР от 01.08.2022")</f>
        <v>ООО "ТРАНССЕРВИС" 159-СТР от 01.08.2022</v>
      </c>
      <c r="D750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09" t="str">
        <f ca="1">IFERROR(__xludf.DUMMYFUNCTION("""COMPUTED_VALUE"""),"Новый")</f>
        <v>Новый</v>
      </c>
      <c r="G7509" s="68"/>
      <c r="K7509" s="68"/>
    </row>
    <row r="7510" spans="1:11" ht="12.75">
      <c r="A7510" s="69">
        <f ca="1">IFERROR(__xludf.DUMMYFUNCTION("""COMPUTED_VALUE"""),109179)</f>
        <v>109179</v>
      </c>
      <c r="B7510" s="4">
        <f ca="1">IFERROR(__xludf.DUMMYFUNCTION("""COMPUTED_VALUE"""),44840)</f>
        <v>44840</v>
      </c>
      <c r="C7510" t="str">
        <f ca="1">IFERROR(__xludf.DUMMYFUNCTION("""COMPUTED_VALUE"""),"ООО ""ТРАНССЕРВИС"" 159-СТР от 01.08.2022")</f>
        <v>ООО "ТРАНССЕРВИС" 159-СТР от 01.08.2022</v>
      </c>
      <c r="D751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0" t="str">
        <f ca="1">IFERROR(__xludf.DUMMYFUNCTION("""COMPUTED_VALUE"""),"Новый")</f>
        <v>Новый</v>
      </c>
      <c r="G7510" s="68"/>
      <c r="K7510" s="68"/>
    </row>
    <row r="7511" spans="1:11" ht="12.75">
      <c r="A7511" s="69">
        <f ca="1">IFERROR(__xludf.DUMMYFUNCTION("""COMPUTED_VALUE"""),109180)</f>
        <v>109180</v>
      </c>
      <c r="B7511" s="4">
        <f ca="1">IFERROR(__xludf.DUMMYFUNCTION("""COMPUTED_VALUE"""),44840)</f>
        <v>44840</v>
      </c>
      <c r="C7511" t="str">
        <f ca="1">IFERROR(__xludf.DUMMYFUNCTION("""COMPUTED_VALUE"""),"ООО ""ТРАНССЕРВИС"" 159-СТР от 01.08.2022")</f>
        <v>ООО "ТРАНССЕРВИС" 159-СТР от 01.08.2022</v>
      </c>
      <c r="D751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1" t="str">
        <f ca="1">IFERROR(__xludf.DUMMYFUNCTION("""COMPUTED_VALUE"""),"Новый")</f>
        <v>Новый</v>
      </c>
      <c r="G7511" s="68"/>
      <c r="K7511" s="68"/>
    </row>
    <row r="7512" spans="1:11" ht="12.75">
      <c r="A7512" s="69">
        <f ca="1">IFERROR(__xludf.DUMMYFUNCTION("""COMPUTED_VALUE"""),109181)</f>
        <v>109181</v>
      </c>
      <c r="B7512" s="4">
        <f ca="1">IFERROR(__xludf.DUMMYFUNCTION("""COMPUTED_VALUE"""),44840)</f>
        <v>44840</v>
      </c>
      <c r="C7512" t="str">
        <f ca="1">IFERROR(__xludf.DUMMYFUNCTION("""COMPUTED_VALUE"""),"ООО ""ТРАНССЕРВИС"" 159-СТР от 01.08.2022")</f>
        <v>ООО "ТРАНССЕРВИС" 159-СТР от 01.08.2022</v>
      </c>
      <c r="D751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2" t="str">
        <f ca="1">IFERROR(__xludf.DUMMYFUNCTION("""COMPUTED_VALUE"""),"Новый")</f>
        <v>Новый</v>
      </c>
      <c r="G7512" s="68"/>
      <c r="K7512" s="68"/>
    </row>
    <row r="7513" spans="1:11" ht="12.75">
      <c r="A7513" s="69">
        <f ca="1">IFERROR(__xludf.DUMMYFUNCTION("""COMPUTED_VALUE"""),109182)</f>
        <v>109182</v>
      </c>
      <c r="B7513" s="4">
        <f ca="1">IFERROR(__xludf.DUMMYFUNCTION("""COMPUTED_VALUE"""),44840)</f>
        <v>44840</v>
      </c>
      <c r="C7513" t="str">
        <f ca="1">IFERROR(__xludf.DUMMYFUNCTION("""COMPUTED_VALUE"""),"ООО ""ТРАНССЕРВИС"" 159-СТР от 01.08.2022")</f>
        <v>ООО "ТРАНССЕРВИС" 159-СТР от 01.08.2022</v>
      </c>
      <c r="D751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3" t="str">
        <f ca="1">IFERROR(__xludf.DUMMYFUNCTION("""COMPUTED_VALUE"""),"Новый")</f>
        <v>Новый</v>
      </c>
      <c r="G7513" s="68"/>
      <c r="K7513" s="68"/>
    </row>
    <row r="7514" spans="1:11" ht="12.75">
      <c r="A7514" s="69">
        <f ca="1">IFERROR(__xludf.DUMMYFUNCTION("""COMPUTED_VALUE"""),109183)</f>
        <v>109183</v>
      </c>
      <c r="B7514" s="4">
        <f ca="1">IFERROR(__xludf.DUMMYFUNCTION("""COMPUTED_VALUE"""),44840)</f>
        <v>44840</v>
      </c>
      <c r="C7514" t="str">
        <f ca="1">IFERROR(__xludf.DUMMYFUNCTION("""COMPUTED_VALUE"""),"ООО ""ТРАНССЕРВИС"" 159-СТР от 01.08.2022")</f>
        <v>ООО "ТРАНССЕРВИС" 159-СТР от 01.08.2022</v>
      </c>
      <c r="D751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4" t="str">
        <f ca="1">IFERROR(__xludf.DUMMYFUNCTION("""COMPUTED_VALUE"""),"Новый")</f>
        <v>Новый</v>
      </c>
      <c r="G7514" s="68"/>
      <c r="K7514" s="68"/>
    </row>
    <row r="7515" spans="1:11" ht="12.75">
      <c r="A7515" s="69">
        <f ca="1">IFERROR(__xludf.DUMMYFUNCTION("""COMPUTED_VALUE"""),109184)</f>
        <v>109184</v>
      </c>
      <c r="B7515" s="4">
        <f ca="1">IFERROR(__xludf.DUMMYFUNCTION("""COMPUTED_VALUE"""),44840)</f>
        <v>44840</v>
      </c>
      <c r="C7515" t="str">
        <f ca="1">IFERROR(__xludf.DUMMYFUNCTION("""COMPUTED_VALUE"""),"ООО ""ТРАНССЕРВИС"" 159-СТР от 01.08.2022")</f>
        <v>ООО "ТРАНССЕРВИС" 159-СТР от 01.08.2022</v>
      </c>
      <c r="D751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5" t="str">
        <f ca="1">IFERROR(__xludf.DUMMYFUNCTION("""COMPUTED_VALUE"""),"Новый")</f>
        <v>Новый</v>
      </c>
      <c r="G7515" s="68"/>
      <c r="K7515" s="68"/>
    </row>
    <row r="7516" spans="1:11" ht="12.75">
      <c r="A7516" s="69">
        <f ca="1">IFERROR(__xludf.DUMMYFUNCTION("""COMPUTED_VALUE"""),109185)</f>
        <v>109185</v>
      </c>
      <c r="B7516" s="4">
        <f ca="1">IFERROR(__xludf.DUMMYFUNCTION("""COMPUTED_VALUE"""),44840)</f>
        <v>44840</v>
      </c>
      <c r="C7516" t="str">
        <f ca="1">IFERROR(__xludf.DUMMYFUNCTION("""COMPUTED_VALUE"""),"ООО ""ТРАНССЕРВИС"" 159-СТР от 01.08.2022")</f>
        <v>ООО "ТРАНССЕРВИС" 159-СТР от 01.08.2022</v>
      </c>
      <c r="D75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6" t="str">
        <f ca="1">IFERROR(__xludf.DUMMYFUNCTION("""COMPUTED_VALUE"""),"Новый")</f>
        <v>Новый</v>
      </c>
      <c r="G7516" s="68"/>
      <c r="K7516" s="68"/>
    </row>
    <row r="7517" spans="1:11" ht="12.75">
      <c r="A7517" s="69">
        <f ca="1">IFERROR(__xludf.DUMMYFUNCTION("""COMPUTED_VALUE"""),109186)</f>
        <v>109186</v>
      </c>
      <c r="B7517" s="4">
        <f ca="1">IFERROR(__xludf.DUMMYFUNCTION("""COMPUTED_VALUE"""),44840)</f>
        <v>44840</v>
      </c>
      <c r="C7517" t="str">
        <f ca="1">IFERROR(__xludf.DUMMYFUNCTION("""COMPUTED_VALUE"""),"ООО ""ТРАНССЕРВИС"" 159-СТР от 01.08.2022")</f>
        <v>ООО "ТРАНССЕРВИС" 159-СТР от 01.08.2022</v>
      </c>
      <c r="D75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7" t="str">
        <f ca="1">IFERROR(__xludf.DUMMYFUNCTION("""COMPUTED_VALUE"""),"Новый")</f>
        <v>Новый</v>
      </c>
      <c r="G7517" s="68"/>
      <c r="K7517" s="68"/>
    </row>
    <row r="7518" spans="1:11" ht="12.75">
      <c r="A7518" s="69">
        <f ca="1">IFERROR(__xludf.DUMMYFUNCTION("""COMPUTED_VALUE"""),109187)</f>
        <v>109187</v>
      </c>
      <c r="B7518" s="4">
        <f ca="1">IFERROR(__xludf.DUMMYFUNCTION("""COMPUTED_VALUE"""),44840)</f>
        <v>44840</v>
      </c>
      <c r="C7518" t="str">
        <f ca="1">IFERROR(__xludf.DUMMYFUNCTION("""COMPUTED_VALUE"""),"ООО ""ТРАНССЕРВИС"" 159-СТР от 01.08.2022")</f>
        <v>ООО "ТРАНССЕРВИС" 159-СТР от 01.08.2022</v>
      </c>
      <c r="D75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8" t="str">
        <f ca="1">IFERROR(__xludf.DUMMYFUNCTION("""COMPUTED_VALUE"""),"Новый")</f>
        <v>Новый</v>
      </c>
      <c r="G7518" s="68"/>
      <c r="K7518" s="68"/>
    </row>
    <row r="7519" spans="1:11" ht="12.75">
      <c r="A7519" s="69">
        <f ca="1">IFERROR(__xludf.DUMMYFUNCTION("""COMPUTED_VALUE"""),109188)</f>
        <v>109188</v>
      </c>
      <c r="B7519" s="4">
        <f ca="1">IFERROR(__xludf.DUMMYFUNCTION("""COMPUTED_VALUE"""),44840)</f>
        <v>44840</v>
      </c>
      <c r="C7519" t="str">
        <f ca="1">IFERROR(__xludf.DUMMYFUNCTION("""COMPUTED_VALUE"""),"ООО ""ТРАНССЕРВИС"" 159-СТР от 01.08.2022")</f>
        <v>ООО "ТРАНССЕРВИС" 159-СТР от 01.08.2022</v>
      </c>
      <c r="D75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19" t="str">
        <f ca="1">IFERROR(__xludf.DUMMYFUNCTION("""COMPUTED_VALUE"""),"Новый")</f>
        <v>Новый</v>
      </c>
      <c r="G7519" s="68"/>
      <c r="K7519" s="68"/>
    </row>
    <row r="7520" spans="1:11" ht="12.75">
      <c r="A7520" s="69">
        <f ca="1">IFERROR(__xludf.DUMMYFUNCTION("""COMPUTED_VALUE"""),109189)</f>
        <v>109189</v>
      </c>
      <c r="B7520" s="4">
        <f ca="1">IFERROR(__xludf.DUMMYFUNCTION("""COMPUTED_VALUE"""),44840)</f>
        <v>44840</v>
      </c>
      <c r="C7520" t="str">
        <f ca="1">IFERROR(__xludf.DUMMYFUNCTION("""COMPUTED_VALUE"""),"ООО ""ТРАНССЕРВИС"" 159-СТР от 01.08.2022")</f>
        <v>ООО "ТРАНССЕРВИС" 159-СТР от 01.08.2022</v>
      </c>
      <c r="D75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0" t="str">
        <f ca="1">IFERROR(__xludf.DUMMYFUNCTION("""COMPUTED_VALUE"""),"Новый")</f>
        <v>Новый</v>
      </c>
      <c r="G7520" s="68"/>
      <c r="K7520" s="68"/>
    </row>
    <row r="7521" spans="1:11" ht="12.75">
      <c r="A7521" s="69">
        <f ca="1">IFERROR(__xludf.DUMMYFUNCTION("""COMPUTED_VALUE"""),109190)</f>
        <v>109190</v>
      </c>
      <c r="B7521" s="4">
        <f ca="1">IFERROR(__xludf.DUMMYFUNCTION("""COMPUTED_VALUE"""),44840)</f>
        <v>44840</v>
      </c>
      <c r="C7521" t="str">
        <f ca="1">IFERROR(__xludf.DUMMYFUNCTION("""COMPUTED_VALUE"""),"ООО ""ТРАНССЕРВИС"" 159-СТР от 01.08.2022")</f>
        <v>ООО "ТРАНССЕРВИС" 159-СТР от 01.08.2022</v>
      </c>
      <c r="D75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1" t="str">
        <f ca="1">IFERROR(__xludf.DUMMYFUNCTION("""COMPUTED_VALUE"""),"Новый")</f>
        <v>Новый</v>
      </c>
      <c r="G7521" s="68"/>
      <c r="K7521" s="68"/>
    </row>
    <row r="7522" spans="1:11" ht="12.75">
      <c r="A7522" s="69">
        <f ca="1">IFERROR(__xludf.DUMMYFUNCTION("""COMPUTED_VALUE"""),109191)</f>
        <v>109191</v>
      </c>
      <c r="B7522" s="4">
        <f ca="1">IFERROR(__xludf.DUMMYFUNCTION("""COMPUTED_VALUE"""),44840)</f>
        <v>44840</v>
      </c>
      <c r="C7522" t="str">
        <f ca="1">IFERROR(__xludf.DUMMYFUNCTION("""COMPUTED_VALUE"""),"ООО ""ТРАНССЕРВИС"" 159-СТР от 01.08.2022")</f>
        <v>ООО "ТРАНССЕРВИС" 159-СТР от 01.08.2022</v>
      </c>
      <c r="D75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2" t="str">
        <f ca="1">IFERROR(__xludf.DUMMYFUNCTION("""COMPUTED_VALUE"""),"Новый")</f>
        <v>Новый</v>
      </c>
      <c r="G7522" s="68"/>
      <c r="K7522" s="68"/>
    </row>
    <row r="7523" spans="1:11" ht="12.75">
      <c r="A7523" s="69">
        <f ca="1">IFERROR(__xludf.DUMMYFUNCTION("""COMPUTED_VALUE"""),109192)</f>
        <v>109192</v>
      </c>
      <c r="B7523" s="4">
        <f ca="1">IFERROR(__xludf.DUMMYFUNCTION("""COMPUTED_VALUE"""),44840)</f>
        <v>44840</v>
      </c>
      <c r="C7523" t="str">
        <f ca="1">IFERROR(__xludf.DUMMYFUNCTION("""COMPUTED_VALUE"""),"ООО ""ТРАНССЕРВИС"" 159-СТР от 01.08.2022")</f>
        <v>ООО "ТРАНССЕРВИС" 159-СТР от 01.08.2022</v>
      </c>
      <c r="D75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3" t="str">
        <f ca="1">IFERROR(__xludf.DUMMYFUNCTION("""COMPUTED_VALUE"""),"Новый")</f>
        <v>Новый</v>
      </c>
      <c r="G7523" s="68"/>
      <c r="K7523" s="68"/>
    </row>
    <row r="7524" spans="1:11" ht="12.75">
      <c r="A7524" s="69">
        <f ca="1">IFERROR(__xludf.DUMMYFUNCTION("""COMPUTED_VALUE"""),109193)</f>
        <v>109193</v>
      </c>
      <c r="B7524" s="4">
        <f ca="1">IFERROR(__xludf.DUMMYFUNCTION("""COMPUTED_VALUE"""),44840)</f>
        <v>44840</v>
      </c>
      <c r="C7524" t="str">
        <f ca="1">IFERROR(__xludf.DUMMYFUNCTION("""COMPUTED_VALUE"""),"ООО ""ТРАНССЕРВИС"" 159-СТР от 01.08.2022")</f>
        <v>ООО "ТРАНССЕРВИС" 159-СТР от 01.08.2022</v>
      </c>
      <c r="D75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4" t="str">
        <f ca="1">IFERROR(__xludf.DUMMYFUNCTION("""COMPUTED_VALUE"""),"Новый")</f>
        <v>Новый</v>
      </c>
      <c r="G7524" s="68"/>
      <c r="K7524" s="68"/>
    </row>
    <row r="7525" spans="1:11" ht="12.75">
      <c r="A7525" s="69">
        <f ca="1">IFERROR(__xludf.DUMMYFUNCTION("""COMPUTED_VALUE"""),109194)</f>
        <v>109194</v>
      </c>
      <c r="B7525" s="4">
        <f ca="1">IFERROR(__xludf.DUMMYFUNCTION("""COMPUTED_VALUE"""),44840)</f>
        <v>44840</v>
      </c>
      <c r="C7525" t="str">
        <f ca="1">IFERROR(__xludf.DUMMYFUNCTION("""COMPUTED_VALUE"""),"ООО ""ТРАНССЕРВИС"" 159-СТР от 01.08.2022")</f>
        <v>ООО "ТРАНССЕРВИС" 159-СТР от 01.08.2022</v>
      </c>
      <c r="D75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5" t="str">
        <f ca="1">IFERROR(__xludf.DUMMYFUNCTION("""COMPUTED_VALUE"""),"Новый")</f>
        <v>Новый</v>
      </c>
      <c r="G7525" s="68"/>
      <c r="K7525" s="68"/>
    </row>
    <row r="7526" spans="1:11" ht="12.75">
      <c r="A7526" s="69">
        <f ca="1">IFERROR(__xludf.DUMMYFUNCTION("""COMPUTED_VALUE"""),109195)</f>
        <v>109195</v>
      </c>
      <c r="B7526" s="4">
        <f ca="1">IFERROR(__xludf.DUMMYFUNCTION("""COMPUTED_VALUE"""),44840)</f>
        <v>44840</v>
      </c>
      <c r="C7526" t="str">
        <f ca="1">IFERROR(__xludf.DUMMYFUNCTION("""COMPUTED_VALUE"""),"ООО ""ТРАНССЕРВИС"" 159-СТР от 01.08.2022")</f>
        <v>ООО "ТРАНССЕРВИС" 159-СТР от 01.08.2022</v>
      </c>
      <c r="D752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6" t="str">
        <f ca="1">IFERROR(__xludf.DUMMYFUNCTION("""COMPUTED_VALUE"""),"Новый")</f>
        <v>Новый</v>
      </c>
      <c r="G7526" s="68"/>
      <c r="K7526" s="68"/>
    </row>
    <row r="7527" spans="1:11" ht="12.75">
      <c r="A7527" s="69">
        <f ca="1">IFERROR(__xludf.DUMMYFUNCTION("""COMPUTED_VALUE"""),109196)</f>
        <v>109196</v>
      </c>
      <c r="B7527" s="4">
        <f ca="1">IFERROR(__xludf.DUMMYFUNCTION("""COMPUTED_VALUE"""),44840)</f>
        <v>44840</v>
      </c>
      <c r="C7527" t="str">
        <f ca="1">IFERROR(__xludf.DUMMYFUNCTION("""COMPUTED_VALUE"""),"ООО ""ТРАНССЕРВИС"" 159-СТР от 01.08.2022")</f>
        <v>ООО "ТРАНССЕРВИС" 159-СТР от 01.08.2022</v>
      </c>
      <c r="D752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7" t="str">
        <f ca="1">IFERROR(__xludf.DUMMYFUNCTION("""COMPUTED_VALUE"""),"Новый")</f>
        <v>Новый</v>
      </c>
      <c r="G7527" s="68"/>
      <c r="K7527" s="68"/>
    </row>
    <row r="7528" spans="1:11" ht="12.75">
      <c r="A7528" s="69">
        <f ca="1">IFERROR(__xludf.DUMMYFUNCTION("""COMPUTED_VALUE"""),109197)</f>
        <v>109197</v>
      </c>
      <c r="B7528" s="4">
        <f ca="1">IFERROR(__xludf.DUMMYFUNCTION("""COMPUTED_VALUE"""),44840)</f>
        <v>44840</v>
      </c>
      <c r="C7528" t="str">
        <f ca="1">IFERROR(__xludf.DUMMYFUNCTION("""COMPUTED_VALUE"""),"ООО ""ТРАНССЕРВИС"" 159-СТР от 01.08.2022")</f>
        <v>ООО "ТРАНССЕРВИС" 159-СТР от 01.08.2022</v>
      </c>
      <c r="D752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8" t="str">
        <f ca="1">IFERROR(__xludf.DUMMYFUNCTION("""COMPUTED_VALUE"""),"Новый")</f>
        <v>Новый</v>
      </c>
      <c r="G7528" s="68"/>
      <c r="K7528" s="68"/>
    </row>
    <row r="7529" spans="1:11" ht="12.75">
      <c r="A7529" s="69">
        <f ca="1">IFERROR(__xludf.DUMMYFUNCTION("""COMPUTED_VALUE"""),109198)</f>
        <v>109198</v>
      </c>
      <c r="B7529" s="4">
        <f ca="1">IFERROR(__xludf.DUMMYFUNCTION("""COMPUTED_VALUE"""),44840)</f>
        <v>44840</v>
      </c>
      <c r="C7529" t="str">
        <f ca="1">IFERROR(__xludf.DUMMYFUNCTION("""COMPUTED_VALUE"""),"ООО ""ТРАНССЕРВИС"" 159-СТР от 01.08.2022")</f>
        <v>ООО "ТРАНССЕРВИС" 159-СТР от 01.08.2022</v>
      </c>
      <c r="D752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29" t="str">
        <f ca="1">IFERROR(__xludf.DUMMYFUNCTION("""COMPUTED_VALUE"""),"Новый")</f>
        <v>Новый</v>
      </c>
      <c r="G7529" s="68"/>
      <c r="K7529" s="68"/>
    </row>
    <row r="7530" spans="1:11" ht="12.75">
      <c r="A7530" s="69">
        <f ca="1">IFERROR(__xludf.DUMMYFUNCTION("""COMPUTED_VALUE"""),109199)</f>
        <v>109199</v>
      </c>
      <c r="B7530" s="4">
        <f ca="1">IFERROR(__xludf.DUMMYFUNCTION("""COMPUTED_VALUE"""),44840)</f>
        <v>44840</v>
      </c>
      <c r="C7530" t="str">
        <f ca="1">IFERROR(__xludf.DUMMYFUNCTION("""COMPUTED_VALUE"""),"ООО ""ТРАНССЕРВИС"" 159-СТР от 01.08.2022")</f>
        <v>ООО "ТРАНССЕРВИС" 159-СТР от 01.08.2022</v>
      </c>
      <c r="D753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0" t="str">
        <f ca="1">IFERROR(__xludf.DUMMYFUNCTION("""COMPUTED_VALUE"""),"Новый")</f>
        <v>Новый</v>
      </c>
      <c r="G7530" s="68"/>
      <c r="K7530" s="68"/>
    </row>
    <row r="7531" spans="1:11" ht="12.75">
      <c r="A7531" s="69">
        <f ca="1">IFERROR(__xludf.DUMMYFUNCTION("""COMPUTED_VALUE"""),109200)</f>
        <v>109200</v>
      </c>
      <c r="B7531" s="4">
        <f ca="1">IFERROR(__xludf.DUMMYFUNCTION("""COMPUTED_VALUE"""),44840)</f>
        <v>44840</v>
      </c>
      <c r="C7531" t="str">
        <f ca="1">IFERROR(__xludf.DUMMYFUNCTION("""COMPUTED_VALUE"""),"ООО ""ТРАНССЕРВИС"" 159-СТР от 01.08.2022")</f>
        <v>ООО "ТРАНССЕРВИС" 159-СТР от 01.08.2022</v>
      </c>
      <c r="D753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1" t="str">
        <f ca="1">IFERROR(__xludf.DUMMYFUNCTION("""COMPUTED_VALUE"""),"Новый")</f>
        <v>Новый</v>
      </c>
      <c r="G7531" s="68"/>
      <c r="K7531" s="68"/>
    </row>
    <row r="7532" spans="1:11" ht="12.75">
      <c r="A7532" s="69">
        <f ca="1">IFERROR(__xludf.DUMMYFUNCTION("""COMPUTED_VALUE"""),109201)</f>
        <v>109201</v>
      </c>
      <c r="B7532" s="4">
        <f ca="1">IFERROR(__xludf.DUMMYFUNCTION("""COMPUTED_VALUE"""),44840)</f>
        <v>44840</v>
      </c>
      <c r="C7532" t="str">
        <f ca="1">IFERROR(__xludf.DUMMYFUNCTION("""COMPUTED_VALUE"""),"ООО ""ТРАНССЕРВИС"" 159-СТР от 01.08.2022")</f>
        <v>ООО "ТРАНССЕРВИС" 159-СТР от 01.08.2022</v>
      </c>
      <c r="D753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2" t="str">
        <f ca="1">IFERROR(__xludf.DUMMYFUNCTION("""COMPUTED_VALUE"""),"Новый")</f>
        <v>Новый</v>
      </c>
      <c r="G7532" s="68"/>
      <c r="K7532" s="68"/>
    </row>
    <row r="7533" spans="1:11" ht="12.75">
      <c r="A7533" s="69">
        <f ca="1">IFERROR(__xludf.DUMMYFUNCTION("""COMPUTED_VALUE"""),109202)</f>
        <v>109202</v>
      </c>
      <c r="B7533" s="4">
        <f ca="1">IFERROR(__xludf.DUMMYFUNCTION("""COMPUTED_VALUE"""),44840)</f>
        <v>44840</v>
      </c>
      <c r="C7533" t="str">
        <f ca="1">IFERROR(__xludf.DUMMYFUNCTION("""COMPUTED_VALUE"""),"ООО ""ТРАНССЕРВИС"" 159-СТР от 01.08.2022")</f>
        <v>ООО "ТРАНССЕРВИС" 159-СТР от 01.08.2022</v>
      </c>
      <c r="D753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3" t="str">
        <f ca="1">IFERROR(__xludf.DUMMYFUNCTION("""COMPUTED_VALUE"""),"Новый")</f>
        <v>Новый</v>
      </c>
      <c r="G7533" s="68"/>
      <c r="K7533" s="68"/>
    </row>
    <row r="7534" spans="1:11" ht="12.75">
      <c r="A7534" s="69">
        <f ca="1">IFERROR(__xludf.DUMMYFUNCTION("""COMPUTED_VALUE"""),109203)</f>
        <v>109203</v>
      </c>
      <c r="B7534" s="4">
        <f ca="1">IFERROR(__xludf.DUMMYFUNCTION("""COMPUTED_VALUE"""),44840)</f>
        <v>44840</v>
      </c>
      <c r="C7534" t="str">
        <f ca="1">IFERROR(__xludf.DUMMYFUNCTION("""COMPUTED_VALUE"""),"ООО ""ТРАНССЕРВИС"" 159-СТР от 01.08.2022")</f>
        <v>ООО "ТРАНССЕРВИС" 159-СТР от 01.08.2022</v>
      </c>
      <c r="D753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4" t="str">
        <f ca="1">IFERROR(__xludf.DUMMYFUNCTION("""COMPUTED_VALUE"""),"Новый")</f>
        <v>Новый</v>
      </c>
      <c r="G7534" s="68"/>
      <c r="K7534" s="68"/>
    </row>
    <row r="7535" spans="1:11" ht="12.75">
      <c r="A7535" s="69">
        <f ca="1">IFERROR(__xludf.DUMMYFUNCTION("""COMPUTED_VALUE"""),109204)</f>
        <v>109204</v>
      </c>
      <c r="B7535" s="4">
        <f ca="1">IFERROR(__xludf.DUMMYFUNCTION("""COMPUTED_VALUE"""),44840)</f>
        <v>44840</v>
      </c>
      <c r="C7535" t="str">
        <f ca="1">IFERROR(__xludf.DUMMYFUNCTION("""COMPUTED_VALUE"""),"ООО ""ТРАНССЕРВИС"" 159-СТР от 01.08.2022")</f>
        <v>ООО "ТРАНССЕРВИС" 159-СТР от 01.08.2022</v>
      </c>
      <c r="D753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5" t="str">
        <f ca="1">IFERROR(__xludf.DUMMYFUNCTION("""COMPUTED_VALUE"""),"Новый")</f>
        <v>Новый</v>
      </c>
      <c r="G7535" s="68"/>
      <c r="K7535" s="68"/>
    </row>
    <row r="7536" spans="1:11" ht="12.75">
      <c r="A7536" s="69">
        <f ca="1">IFERROR(__xludf.DUMMYFUNCTION("""COMPUTED_VALUE"""),109205)</f>
        <v>109205</v>
      </c>
      <c r="B7536" s="4">
        <f ca="1">IFERROR(__xludf.DUMMYFUNCTION("""COMPUTED_VALUE"""),44840)</f>
        <v>44840</v>
      </c>
      <c r="C7536" t="str">
        <f ca="1">IFERROR(__xludf.DUMMYFUNCTION("""COMPUTED_VALUE"""),"ООО ""ТРАНССЕРВИС"" 159-СТР от 01.08.2022")</f>
        <v>ООО "ТРАНССЕРВИС" 159-СТР от 01.08.2022</v>
      </c>
      <c r="D75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6" t="str">
        <f ca="1">IFERROR(__xludf.DUMMYFUNCTION("""COMPUTED_VALUE"""),"Новый")</f>
        <v>Новый</v>
      </c>
      <c r="G7536" s="68"/>
      <c r="K7536" s="68"/>
    </row>
    <row r="7537" spans="1:11" ht="12.75">
      <c r="A7537" s="69">
        <f ca="1">IFERROR(__xludf.DUMMYFUNCTION("""COMPUTED_VALUE"""),109206)</f>
        <v>109206</v>
      </c>
      <c r="B7537" s="4">
        <f ca="1">IFERROR(__xludf.DUMMYFUNCTION("""COMPUTED_VALUE"""),44840)</f>
        <v>44840</v>
      </c>
      <c r="C7537" t="str">
        <f ca="1">IFERROR(__xludf.DUMMYFUNCTION("""COMPUTED_VALUE"""),"ООО ""ТРАНССЕРВИС"" 159-СТР от 01.08.2022")</f>
        <v>ООО "ТРАНССЕРВИС" 159-СТР от 01.08.2022</v>
      </c>
      <c r="D75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7" t="str">
        <f ca="1">IFERROR(__xludf.DUMMYFUNCTION("""COMPUTED_VALUE"""),"Новый")</f>
        <v>Новый</v>
      </c>
      <c r="G7537" s="68"/>
      <c r="K7537" s="68"/>
    </row>
    <row r="7538" spans="1:11" ht="12.75">
      <c r="A7538" s="69">
        <f ca="1">IFERROR(__xludf.DUMMYFUNCTION("""COMPUTED_VALUE"""),109207)</f>
        <v>109207</v>
      </c>
      <c r="B7538" s="4">
        <f ca="1">IFERROR(__xludf.DUMMYFUNCTION("""COMPUTED_VALUE"""),44840)</f>
        <v>44840</v>
      </c>
      <c r="C7538" t="str">
        <f ca="1">IFERROR(__xludf.DUMMYFUNCTION("""COMPUTED_VALUE"""),"ООО ""ТРАНССЕРВИС"" 159-СТР от 01.08.2022")</f>
        <v>ООО "ТРАНССЕРВИС" 159-СТР от 01.08.2022</v>
      </c>
      <c r="D75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8" t="str">
        <f ca="1">IFERROR(__xludf.DUMMYFUNCTION("""COMPUTED_VALUE"""),"Новый")</f>
        <v>Новый</v>
      </c>
      <c r="G7538" s="68"/>
      <c r="K7538" s="68"/>
    </row>
    <row r="7539" spans="1:11" ht="12.75">
      <c r="A7539" s="69">
        <f ca="1">IFERROR(__xludf.DUMMYFUNCTION("""COMPUTED_VALUE"""),109208)</f>
        <v>109208</v>
      </c>
      <c r="B7539" s="4">
        <f ca="1">IFERROR(__xludf.DUMMYFUNCTION("""COMPUTED_VALUE"""),44840)</f>
        <v>44840</v>
      </c>
      <c r="C7539" t="str">
        <f ca="1">IFERROR(__xludf.DUMMYFUNCTION("""COMPUTED_VALUE"""),"ООО ""ТРАНССЕРВИС"" 159-СТР от 01.08.2022")</f>
        <v>ООО "ТРАНССЕРВИС" 159-СТР от 01.08.2022</v>
      </c>
      <c r="D75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39" t="str">
        <f ca="1">IFERROR(__xludf.DUMMYFUNCTION("""COMPUTED_VALUE"""),"Новый")</f>
        <v>Новый</v>
      </c>
      <c r="G7539" s="68"/>
      <c r="K7539" s="68"/>
    </row>
    <row r="7540" spans="1:11" ht="12.75">
      <c r="A7540" s="69">
        <f ca="1">IFERROR(__xludf.DUMMYFUNCTION("""COMPUTED_VALUE"""),109209)</f>
        <v>109209</v>
      </c>
      <c r="B7540" s="4">
        <f ca="1">IFERROR(__xludf.DUMMYFUNCTION("""COMPUTED_VALUE"""),44840)</f>
        <v>44840</v>
      </c>
      <c r="C7540" t="str">
        <f ca="1">IFERROR(__xludf.DUMMYFUNCTION("""COMPUTED_VALUE"""),"ООО ""ТРАНССЕРВИС"" 159-СТР от 01.08.2022")</f>
        <v>ООО "ТРАНССЕРВИС" 159-СТР от 01.08.2022</v>
      </c>
      <c r="D75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0" t="str">
        <f ca="1">IFERROR(__xludf.DUMMYFUNCTION("""COMPUTED_VALUE"""),"Новый")</f>
        <v>Новый</v>
      </c>
      <c r="G7540" s="68"/>
      <c r="K7540" s="68"/>
    </row>
    <row r="7541" spans="1:11" ht="12.75">
      <c r="A7541" s="69">
        <f ca="1">IFERROR(__xludf.DUMMYFUNCTION("""COMPUTED_VALUE"""),109210)</f>
        <v>109210</v>
      </c>
      <c r="B7541" s="4">
        <f ca="1">IFERROR(__xludf.DUMMYFUNCTION("""COMPUTED_VALUE"""),44840)</f>
        <v>44840</v>
      </c>
      <c r="C7541" t="str">
        <f ca="1">IFERROR(__xludf.DUMMYFUNCTION("""COMPUTED_VALUE"""),"ООО ""ТРАНССЕРВИС"" 159-СТР от 01.08.2022")</f>
        <v>ООО "ТРАНССЕРВИС" 159-СТР от 01.08.2022</v>
      </c>
      <c r="D75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1" t="str">
        <f ca="1">IFERROR(__xludf.DUMMYFUNCTION("""COMPUTED_VALUE"""),"Новый")</f>
        <v>Новый</v>
      </c>
      <c r="G7541" s="68"/>
      <c r="K7541" s="68"/>
    </row>
    <row r="7542" spans="1:11" ht="12.75">
      <c r="A7542" s="69">
        <f ca="1">IFERROR(__xludf.DUMMYFUNCTION("""COMPUTED_VALUE"""),109211)</f>
        <v>109211</v>
      </c>
      <c r="B7542" s="4">
        <f ca="1">IFERROR(__xludf.DUMMYFUNCTION("""COMPUTED_VALUE"""),44840)</f>
        <v>44840</v>
      </c>
      <c r="C7542" t="str">
        <f ca="1">IFERROR(__xludf.DUMMYFUNCTION("""COMPUTED_VALUE"""),"ООО ""ТРАНССЕРВИС"" 159-СТР от 01.08.2022")</f>
        <v>ООО "ТРАНССЕРВИС" 159-СТР от 01.08.2022</v>
      </c>
      <c r="D75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2" t="str">
        <f ca="1">IFERROR(__xludf.DUMMYFUNCTION("""COMPUTED_VALUE"""),"Новый")</f>
        <v>Новый</v>
      </c>
      <c r="G7542" s="68"/>
      <c r="K7542" s="68"/>
    </row>
    <row r="7543" spans="1:11" ht="12.75">
      <c r="A7543" s="69">
        <f ca="1">IFERROR(__xludf.DUMMYFUNCTION("""COMPUTED_VALUE"""),109212)</f>
        <v>109212</v>
      </c>
      <c r="B7543" s="4">
        <f ca="1">IFERROR(__xludf.DUMMYFUNCTION("""COMPUTED_VALUE"""),44840)</f>
        <v>44840</v>
      </c>
      <c r="C7543" t="str">
        <f ca="1">IFERROR(__xludf.DUMMYFUNCTION("""COMPUTED_VALUE"""),"ООО ""ТРАНССЕРВИС"" 159-СТР от 01.08.2022")</f>
        <v>ООО "ТРАНССЕРВИС" 159-СТР от 01.08.2022</v>
      </c>
      <c r="D75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3" t="str">
        <f ca="1">IFERROR(__xludf.DUMMYFUNCTION("""COMPUTED_VALUE"""),"Новый")</f>
        <v>Новый</v>
      </c>
      <c r="G7543" s="68"/>
      <c r="K7543" s="68"/>
    </row>
    <row r="7544" spans="1:11" ht="12.75">
      <c r="A7544" s="69">
        <f ca="1">IFERROR(__xludf.DUMMYFUNCTION("""COMPUTED_VALUE"""),109213)</f>
        <v>109213</v>
      </c>
      <c r="B7544" s="4">
        <f ca="1">IFERROR(__xludf.DUMMYFUNCTION("""COMPUTED_VALUE"""),44840)</f>
        <v>44840</v>
      </c>
      <c r="C7544" t="str">
        <f ca="1">IFERROR(__xludf.DUMMYFUNCTION("""COMPUTED_VALUE"""),"ООО ""ТРАНССЕРВИС"" 159-СТР от 01.08.2022")</f>
        <v>ООО "ТРАНССЕРВИС" 159-СТР от 01.08.2022</v>
      </c>
      <c r="D75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4" t="str">
        <f ca="1">IFERROR(__xludf.DUMMYFUNCTION("""COMPUTED_VALUE"""),"Новый")</f>
        <v>Новый</v>
      </c>
      <c r="G7544" s="68"/>
      <c r="K7544" s="68"/>
    </row>
    <row r="7545" spans="1:11" ht="12.75">
      <c r="A7545" s="69">
        <f ca="1">IFERROR(__xludf.DUMMYFUNCTION("""COMPUTED_VALUE"""),109214)</f>
        <v>109214</v>
      </c>
      <c r="B7545" s="4">
        <f ca="1">IFERROR(__xludf.DUMMYFUNCTION("""COMPUTED_VALUE"""),44840)</f>
        <v>44840</v>
      </c>
      <c r="C7545" t="str">
        <f ca="1">IFERROR(__xludf.DUMMYFUNCTION("""COMPUTED_VALUE"""),"ООО ""ТРАНССЕРВИС"" 159-СТР от 01.08.2022")</f>
        <v>ООО "ТРАНССЕРВИС" 159-СТР от 01.08.2022</v>
      </c>
      <c r="D75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5" t="str">
        <f ca="1">IFERROR(__xludf.DUMMYFUNCTION("""COMPUTED_VALUE"""),"Новый")</f>
        <v>Новый</v>
      </c>
      <c r="G7545" s="68"/>
      <c r="K7545" s="68"/>
    </row>
    <row r="7546" spans="1:11" ht="12.75">
      <c r="A7546" s="69">
        <f ca="1">IFERROR(__xludf.DUMMYFUNCTION("""COMPUTED_VALUE"""),109215)</f>
        <v>109215</v>
      </c>
      <c r="B7546" s="4">
        <f ca="1">IFERROR(__xludf.DUMMYFUNCTION("""COMPUTED_VALUE"""),44840)</f>
        <v>44840</v>
      </c>
      <c r="C7546" t="str">
        <f ca="1">IFERROR(__xludf.DUMMYFUNCTION("""COMPUTED_VALUE"""),"ООО ""ТРАНССЕРВИС"" 159-СТР от 01.08.2022")</f>
        <v>ООО "ТРАНССЕРВИС" 159-СТР от 01.08.2022</v>
      </c>
      <c r="D75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6" t="str">
        <f ca="1">IFERROR(__xludf.DUMMYFUNCTION("""COMPUTED_VALUE"""),"Новый")</f>
        <v>Новый</v>
      </c>
      <c r="G7546" s="68"/>
      <c r="K7546" s="68"/>
    </row>
    <row r="7547" spans="1:11" ht="12.75">
      <c r="A7547" s="69">
        <f ca="1">IFERROR(__xludf.DUMMYFUNCTION("""COMPUTED_VALUE"""),109216)</f>
        <v>109216</v>
      </c>
      <c r="B7547" s="4">
        <f ca="1">IFERROR(__xludf.DUMMYFUNCTION("""COMPUTED_VALUE"""),44840)</f>
        <v>44840</v>
      </c>
      <c r="C7547" t="str">
        <f ca="1">IFERROR(__xludf.DUMMYFUNCTION("""COMPUTED_VALUE"""),"ООО ""ТРАНССЕРВИС"" 159-СТР от 01.08.2022")</f>
        <v>ООО "ТРАНССЕРВИС" 159-СТР от 01.08.2022</v>
      </c>
      <c r="D75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7" t="str">
        <f ca="1">IFERROR(__xludf.DUMMYFUNCTION("""COMPUTED_VALUE"""),"Новый")</f>
        <v>Новый</v>
      </c>
      <c r="G7547" s="68"/>
      <c r="K7547" s="68"/>
    </row>
    <row r="7548" spans="1:11" ht="12.75">
      <c r="A7548" s="69">
        <f ca="1">IFERROR(__xludf.DUMMYFUNCTION("""COMPUTED_VALUE"""),109217)</f>
        <v>109217</v>
      </c>
      <c r="B7548" s="4">
        <f ca="1">IFERROR(__xludf.DUMMYFUNCTION("""COMPUTED_VALUE"""),44840)</f>
        <v>44840</v>
      </c>
      <c r="C7548" t="str">
        <f ca="1">IFERROR(__xludf.DUMMYFUNCTION("""COMPUTED_VALUE"""),"ООО ""ТРАНССЕРВИС"" 159-СТР от 01.08.2022")</f>
        <v>ООО "ТРАНССЕРВИС" 159-СТР от 01.08.2022</v>
      </c>
      <c r="D75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8" t="str">
        <f ca="1">IFERROR(__xludf.DUMMYFUNCTION("""COMPUTED_VALUE"""),"Новый")</f>
        <v>Новый</v>
      </c>
      <c r="G7548" s="68"/>
      <c r="K7548" s="68"/>
    </row>
    <row r="7549" spans="1:11" ht="12.75">
      <c r="A7549" s="69">
        <f ca="1">IFERROR(__xludf.DUMMYFUNCTION("""COMPUTED_VALUE"""),109218)</f>
        <v>109218</v>
      </c>
      <c r="B7549" s="4">
        <f ca="1">IFERROR(__xludf.DUMMYFUNCTION("""COMPUTED_VALUE"""),44840)</f>
        <v>44840</v>
      </c>
      <c r="C7549" t="str">
        <f ca="1">IFERROR(__xludf.DUMMYFUNCTION("""COMPUTED_VALUE"""),"ООО ""ТРАНССЕРВИС"" 159-СТР от 01.08.2022")</f>
        <v>ООО "ТРАНССЕРВИС" 159-СТР от 01.08.2022</v>
      </c>
      <c r="D75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49" t="str">
        <f ca="1">IFERROR(__xludf.DUMMYFUNCTION("""COMPUTED_VALUE"""),"Новый")</f>
        <v>Новый</v>
      </c>
      <c r="G7549" s="68"/>
      <c r="K7549" s="68"/>
    </row>
    <row r="7550" spans="1:11" ht="12.75">
      <c r="A7550" s="69">
        <f ca="1">IFERROR(__xludf.DUMMYFUNCTION("""COMPUTED_VALUE"""),109219)</f>
        <v>109219</v>
      </c>
      <c r="B7550" s="4">
        <f ca="1">IFERROR(__xludf.DUMMYFUNCTION("""COMPUTED_VALUE"""),44840)</f>
        <v>44840</v>
      </c>
      <c r="C7550" t="str">
        <f ca="1">IFERROR(__xludf.DUMMYFUNCTION("""COMPUTED_VALUE"""),"ООО ""ТРАНССЕРВИС"" 159-СТР от 01.08.2022")</f>
        <v>ООО "ТРАНССЕРВИС" 159-СТР от 01.08.2022</v>
      </c>
      <c r="D75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0" t="str">
        <f ca="1">IFERROR(__xludf.DUMMYFUNCTION("""COMPUTED_VALUE"""),"Новый")</f>
        <v>Новый</v>
      </c>
      <c r="G7550" s="68"/>
      <c r="K7550" s="68"/>
    </row>
    <row r="7551" spans="1:11" ht="12.75">
      <c r="A7551" s="69">
        <f ca="1">IFERROR(__xludf.DUMMYFUNCTION("""COMPUTED_VALUE"""),109220)</f>
        <v>109220</v>
      </c>
      <c r="B7551" s="4">
        <f ca="1">IFERROR(__xludf.DUMMYFUNCTION("""COMPUTED_VALUE"""),44840)</f>
        <v>44840</v>
      </c>
      <c r="C7551" t="str">
        <f ca="1">IFERROR(__xludf.DUMMYFUNCTION("""COMPUTED_VALUE"""),"ООО ""ТРАНССЕРВИС"" 159-СТР от 01.08.2022")</f>
        <v>ООО "ТРАНССЕРВИС" 159-СТР от 01.08.2022</v>
      </c>
      <c r="D75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1" t="str">
        <f ca="1">IFERROR(__xludf.DUMMYFUNCTION("""COMPUTED_VALUE"""),"Новый")</f>
        <v>Новый</v>
      </c>
      <c r="G7551" s="68"/>
      <c r="K7551" s="68"/>
    </row>
    <row r="7552" spans="1:11" ht="12.75">
      <c r="A7552" s="69">
        <f ca="1">IFERROR(__xludf.DUMMYFUNCTION("""COMPUTED_VALUE"""),109221)</f>
        <v>109221</v>
      </c>
      <c r="B7552" s="4">
        <f ca="1">IFERROR(__xludf.DUMMYFUNCTION("""COMPUTED_VALUE"""),44840)</f>
        <v>44840</v>
      </c>
      <c r="C7552" t="str">
        <f ca="1">IFERROR(__xludf.DUMMYFUNCTION("""COMPUTED_VALUE"""),"ООО ""ТРАНССЕРВИС"" 159-СТР от 01.08.2022")</f>
        <v>ООО "ТРАНССЕРВИС" 159-СТР от 01.08.2022</v>
      </c>
      <c r="D75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2" t="str">
        <f ca="1">IFERROR(__xludf.DUMMYFUNCTION("""COMPUTED_VALUE"""),"Новый")</f>
        <v>Новый</v>
      </c>
      <c r="G7552" s="68"/>
      <c r="K7552" s="68"/>
    </row>
    <row r="7553" spans="1:11" ht="12.75">
      <c r="A7553" s="69">
        <f ca="1">IFERROR(__xludf.DUMMYFUNCTION("""COMPUTED_VALUE"""),109222)</f>
        <v>109222</v>
      </c>
      <c r="B7553" s="4">
        <f ca="1">IFERROR(__xludf.DUMMYFUNCTION("""COMPUTED_VALUE"""),44840)</f>
        <v>44840</v>
      </c>
      <c r="C7553" t="str">
        <f ca="1">IFERROR(__xludf.DUMMYFUNCTION("""COMPUTED_VALUE"""),"ООО ""ТРАНССЕРВИС"" 159-СТР от 01.08.2022")</f>
        <v>ООО "ТРАНССЕРВИС" 159-СТР от 01.08.2022</v>
      </c>
      <c r="D75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3" t="str">
        <f ca="1">IFERROR(__xludf.DUMMYFUNCTION("""COMPUTED_VALUE"""),"Новый")</f>
        <v>Новый</v>
      </c>
      <c r="G7553" s="68"/>
      <c r="K7553" s="68"/>
    </row>
    <row r="7554" spans="1:11" ht="12.75">
      <c r="A7554" s="69">
        <f ca="1">IFERROR(__xludf.DUMMYFUNCTION("""COMPUTED_VALUE"""),109223)</f>
        <v>109223</v>
      </c>
      <c r="B7554" s="4">
        <f ca="1">IFERROR(__xludf.DUMMYFUNCTION("""COMPUTED_VALUE"""),44840)</f>
        <v>44840</v>
      </c>
      <c r="C7554" t="str">
        <f ca="1">IFERROR(__xludf.DUMMYFUNCTION("""COMPUTED_VALUE"""),"ООО ""ТРАНССЕРВИС"" 159-СТР от 01.08.2022")</f>
        <v>ООО "ТРАНССЕРВИС" 159-СТР от 01.08.2022</v>
      </c>
      <c r="D75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4" t="str">
        <f ca="1">IFERROR(__xludf.DUMMYFUNCTION("""COMPUTED_VALUE"""),"Новый")</f>
        <v>Новый</v>
      </c>
      <c r="G7554" s="68"/>
      <c r="K7554" s="68"/>
    </row>
    <row r="7555" spans="1:11" ht="12.75">
      <c r="A7555" s="69">
        <f ca="1">IFERROR(__xludf.DUMMYFUNCTION("""COMPUTED_VALUE"""),109224)</f>
        <v>109224</v>
      </c>
      <c r="B7555" s="4">
        <f ca="1">IFERROR(__xludf.DUMMYFUNCTION("""COMPUTED_VALUE"""),44840)</f>
        <v>44840</v>
      </c>
      <c r="C7555" t="str">
        <f ca="1">IFERROR(__xludf.DUMMYFUNCTION("""COMPUTED_VALUE"""),"ООО ""ТРАНССЕРВИС"" 159-СТР от 01.08.2022")</f>
        <v>ООО "ТРАНССЕРВИС" 159-СТР от 01.08.2022</v>
      </c>
      <c r="D75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5" t="str">
        <f ca="1">IFERROR(__xludf.DUMMYFUNCTION("""COMPUTED_VALUE"""),"Новый")</f>
        <v>Новый</v>
      </c>
      <c r="G7555" s="68"/>
      <c r="K7555" s="68"/>
    </row>
    <row r="7556" spans="1:11" ht="12.75">
      <c r="A7556" s="69">
        <f ca="1">IFERROR(__xludf.DUMMYFUNCTION("""COMPUTED_VALUE"""),109225)</f>
        <v>109225</v>
      </c>
      <c r="B7556" s="4">
        <f ca="1">IFERROR(__xludf.DUMMYFUNCTION("""COMPUTED_VALUE"""),44840)</f>
        <v>44840</v>
      </c>
      <c r="C7556" t="str">
        <f ca="1">IFERROR(__xludf.DUMMYFUNCTION("""COMPUTED_VALUE"""),"ООО ""ТРАНССЕРВИС"" 159-СТР от 01.08.2022")</f>
        <v>ООО "ТРАНССЕРВИС" 159-СТР от 01.08.2022</v>
      </c>
      <c r="D75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6" t="str">
        <f ca="1">IFERROR(__xludf.DUMMYFUNCTION("""COMPUTED_VALUE"""),"Новый")</f>
        <v>Новый</v>
      </c>
      <c r="G7556" s="68"/>
      <c r="K7556" s="68"/>
    </row>
    <row r="7557" spans="1:11" ht="12.75">
      <c r="A7557" s="69">
        <f ca="1">IFERROR(__xludf.DUMMYFUNCTION("""COMPUTED_VALUE"""),109226)</f>
        <v>109226</v>
      </c>
      <c r="B7557" s="4">
        <f ca="1">IFERROR(__xludf.DUMMYFUNCTION("""COMPUTED_VALUE"""),44840)</f>
        <v>44840</v>
      </c>
      <c r="C7557" t="str">
        <f ca="1">IFERROR(__xludf.DUMMYFUNCTION("""COMPUTED_VALUE"""),"ООО ""ТРАНССЕРВИС"" 159-СТР от 01.08.2022")</f>
        <v>ООО "ТРАНССЕРВИС" 159-СТР от 01.08.2022</v>
      </c>
      <c r="D75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7" t="str">
        <f ca="1">IFERROR(__xludf.DUMMYFUNCTION("""COMPUTED_VALUE"""),"Новый")</f>
        <v>Новый</v>
      </c>
      <c r="G7557" s="68"/>
      <c r="K7557" s="68"/>
    </row>
    <row r="7558" spans="1:11" ht="12.75">
      <c r="A7558" s="69">
        <f ca="1">IFERROR(__xludf.DUMMYFUNCTION("""COMPUTED_VALUE"""),109227)</f>
        <v>109227</v>
      </c>
      <c r="B7558" s="4">
        <f ca="1">IFERROR(__xludf.DUMMYFUNCTION("""COMPUTED_VALUE"""),44840)</f>
        <v>44840</v>
      </c>
      <c r="C7558" t="str">
        <f ca="1">IFERROR(__xludf.DUMMYFUNCTION("""COMPUTED_VALUE"""),"ООО ""ТРАНССЕРВИС"" 159-СТР от 01.08.2022")</f>
        <v>ООО "ТРАНССЕРВИС" 159-СТР от 01.08.2022</v>
      </c>
      <c r="D75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8" t="str">
        <f ca="1">IFERROR(__xludf.DUMMYFUNCTION("""COMPUTED_VALUE"""),"Новый")</f>
        <v>Новый</v>
      </c>
      <c r="G7558" s="68"/>
      <c r="K7558" s="68"/>
    </row>
    <row r="7559" spans="1:11" ht="12.75">
      <c r="A7559" s="69">
        <f ca="1">IFERROR(__xludf.DUMMYFUNCTION("""COMPUTED_VALUE"""),109228)</f>
        <v>109228</v>
      </c>
      <c r="B7559" s="4">
        <f ca="1">IFERROR(__xludf.DUMMYFUNCTION("""COMPUTED_VALUE"""),44840)</f>
        <v>44840</v>
      </c>
      <c r="C7559" t="str">
        <f ca="1">IFERROR(__xludf.DUMMYFUNCTION("""COMPUTED_VALUE"""),"ООО ""ТРАНССЕРВИС"" 159-СТР от 01.08.2022")</f>
        <v>ООО "ТРАНССЕРВИС" 159-СТР от 01.08.2022</v>
      </c>
      <c r="D75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59" t="str">
        <f ca="1">IFERROR(__xludf.DUMMYFUNCTION("""COMPUTED_VALUE"""),"Новый")</f>
        <v>Новый</v>
      </c>
      <c r="G7559" s="68"/>
      <c r="K7559" s="68"/>
    </row>
    <row r="7560" spans="1:11" ht="12.75">
      <c r="A7560" s="69">
        <f ca="1">IFERROR(__xludf.DUMMYFUNCTION("""COMPUTED_VALUE"""),109229)</f>
        <v>109229</v>
      </c>
      <c r="B7560" s="4">
        <f ca="1">IFERROR(__xludf.DUMMYFUNCTION("""COMPUTED_VALUE"""),44840)</f>
        <v>44840</v>
      </c>
      <c r="C7560" t="str">
        <f ca="1">IFERROR(__xludf.DUMMYFUNCTION("""COMPUTED_VALUE"""),"ООО ""ТРАНССЕРВИС"" 159-СТР от 01.08.2022")</f>
        <v>ООО "ТРАНССЕРВИС" 159-СТР от 01.08.2022</v>
      </c>
      <c r="D75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0" t="str">
        <f ca="1">IFERROR(__xludf.DUMMYFUNCTION("""COMPUTED_VALUE"""),"Новый")</f>
        <v>Новый</v>
      </c>
      <c r="G7560" s="68"/>
      <c r="K7560" s="68"/>
    </row>
    <row r="7561" spans="1:11" ht="12.75">
      <c r="A7561" s="69">
        <f ca="1">IFERROR(__xludf.DUMMYFUNCTION("""COMPUTED_VALUE"""),109230)</f>
        <v>109230</v>
      </c>
      <c r="B7561" s="4">
        <f ca="1">IFERROR(__xludf.DUMMYFUNCTION("""COMPUTED_VALUE"""),44840)</f>
        <v>44840</v>
      </c>
      <c r="C7561" t="str">
        <f ca="1">IFERROR(__xludf.DUMMYFUNCTION("""COMPUTED_VALUE"""),"ООО ""ТРАНССЕРВИС"" 159-СТР от 01.08.2022")</f>
        <v>ООО "ТРАНССЕРВИС" 159-СТР от 01.08.2022</v>
      </c>
      <c r="D75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1" t="str">
        <f ca="1">IFERROR(__xludf.DUMMYFUNCTION("""COMPUTED_VALUE"""),"Новый")</f>
        <v>Новый</v>
      </c>
      <c r="G7561" s="68"/>
      <c r="K7561" s="68"/>
    </row>
    <row r="7562" spans="1:11" ht="12.75">
      <c r="A7562" s="69">
        <f ca="1">IFERROR(__xludf.DUMMYFUNCTION("""COMPUTED_VALUE"""),109231)</f>
        <v>109231</v>
      </c>
      <c r="B7562" s="4">
        <f ca="1">IFERROR(__xludf.DUMMYFUNCTION("""COMPUTED_VALUE"""),44840)</f>
        <v>44840</v>
      </c>
      <c r="C7562" t="str">
        <f ca="1">IFERROR(__xludf.DUMMYFUNCTION("""COMPUTED_VALUE"""),"ООО ""ТРАНССЕРВИС"" 159-СТР от 01.08.2022")</f>
        <v>ООО "ТРАНССЕРВИС" 159-СТР от 01.08.2022</v>
      </c>
      <c r="D75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2" t="str">
        <f ca="1">IFERROR(__xludf.DUMMYFUNCTION("""COMPUTED_VALUE"""),"Новый")</f>
        <v>Новый</v>
      </c>
      <c r="G7562" s="68"/>
      <c r="K7562" s="68"/>
    </row>
    <row r="7563" spans="1:11" ht="12.75">
      <c r="A7563" s="69">
        <f ca="1">IFERROR(__xludf.DUMMYFUNCTION("""COMPUTED_VALUE"""),109232)</f>
        <v>109232</v>
      </c>
      <c r="B7563" s="4">
        <f ca="1">IFERROR(__xludf.DUMMYFUNCTION("""COMPUTED_VALUE"""),44840)</f>
        <v>44840</v>
      </c>
      <c r="C7563" t="str">
        <f ca="1">IFERROR(__xludf.DUMMYFUNCTION("""COMPUTED_VALUE"""),"ООО ""ТРАНССЕРВИС"" 159-СТР от 01.08.2022")</f>
        <v>ООО "ТРАНССЕРВИС" 159-СТР от 01.08.2022</v>
      </c>
      <c r="D75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3" t="str">
        <f ca="1">IFERROR(__xludf.DUMMYFUNCTION("""COMPUTED_VALUE"""),"Новый")</f>
        <v>Новый</v>
      </c>
      <c r="G7563" s="68"/>
      <c r="K7563" s="68"/>
    </row>
    <row r="7564" spans="1:11" ht="12.75">
      <c r="A7564" s="69">
        <f ca="1">IFERROR(__xludf.DUMMYFUNCTION("""COMPUTED_VALUE"""),109233)</f>
        <v>109233</v>
      </c>
      <c r="B7564" s="4">
        <f ca="1">IFERROR(__xludf.DUMMYFUNCTION("""COMPUTED_VALUE"""),44840)</f>
        <v>44840</v>
      </c>
      <c r="C7564" t="str">
        <f ca="1">IFERROR(__xludf.DUMMYFUNCTION("""COMPUTED_VALUE"""),"ООО ""ТРАНССЕРВИС"" 159-СТР от 01.08.2022")</f>
        <v>ООО "ТРАНССЕРВИС" 159-СТР от 01.08.2022</v>
      </c>
      <c r="D75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4" t="str">
        <f ca="1">IFERROR(__xludf.DUMMYFUNCTION("""COMPUTED_VALUE"""),"Новый")</f>
        <v>Новый</v>
      </c>
      <c r="G7564" s="68"/>
      <c r="K7564" s="68"/>
    </row>
    <row r="7565" spans="1:11" ht="12.75">
      <c r="A7565" s="69">
        <f ca="1">IFERROR(__xludf.DUMMYFUNCTION("""COMPUTED_VALUE"""),109234)</f>
        <v>109234</v>
      </c>
      <c r="B7565" s="4">
        <f ca="1">IFERROR(__xludf.DUMMYFUNCTION("""COMPUTED_VALUE"""),44840)</f>
        <v>44840</v>
      </c>
      <c r="C7565" t="str">
        <f ca="1">IFERROR(__xludf.DUMMYFUNCTION("""COMPUTED_VALUE"""),"ООО ""ТРАНССЕРВИС"" 159-СТР от 01.08.2022")</f>
        <v>ООО "ТРАНССЕРВИС" 159-СТР от 01.08.2022</v>
      </c>
      <c r="D75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5" t="str">
        <f ca="1">IFERROR(__xludf.DUMMYFUNCTION("""COMPUTED_VALUE"""),"Новый")</f>
        <v>Новый</v>
      </c>
      <c r="G7565" s="68"/>
      <c r="K7565" s="68"/>
    </row>
    <row r="7566" spans="1:11" ht="12.75">
      <c r="A7566" s="69">
        <f ca="1">IFERROR(__xludf.DUMMYFUNCTION("""COMPUTED_VALUE"""),109235)</f>
        <v>109235</v>
      </c>
      <c r="B7566" s="4">
        <f ca="1">IFERROR(__xludf.DUMMYFUNCTION("""COMPUTED_VALUE"""),44840)</f>
        <v>44840</v>
      </c>
      <c r="C7566" t="str">
        <f ca="1">IFERROR(__xludf.DUMMYFUNCTION("""COMPUTED_VALUE"""),"ООО ""ТРАНССЕРВИС"" 159-СТР от 01.08.2022")</f>
        <v>ООО "ТРАНССЕРВИС" 159-СТР от 01.08.2022</v>
      </c>
      <c r="D75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6" t="str">
        <f ca="1">IFERROR(__xludf.DUMMYFUNCTION("""COMPUTED_VALUE"""),"Новый")</f>
        <v>Новый</v>
      </c>
      <c r="G7566" s="68"/>
      <c r="K7566" s="68"/>
    </row>
    <row r="7567" spans="1:11" ht="12.75">
      <c r="A7567" s="69">
        <f ca="1">IFERROR(__xludf.DUMMYFUNCTION("""COMPUTED_VALUE"""),109236)</f>
        <v>109236</v>
      </c>
      <c r="B7567" s="4">
        <f ca="1">IFERROR(__xludf.DUMMYFUNCTION("""COMPUTED_VALUE"""),44840)</f>
        <v>44840</v>
      </c>
      <c r="C7567" t="str">
        <f ca="1">IFERROR(__xludf.DUMMYFUNCTION("""COMPUTED_VALUE"""),"ООО ""ТРАНССЕРВИС"" 159-СТР от 01.08.2022")</f>
        <v>ООО "ТРАНССЕРВИС" 159-СТР от 01.08.2022</v>
      </c>
      <c r="D75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7" t="str">
        <f ca="1">IFERROR(__xludf.DUMMYFUNCTION("""COMPUTED_VALUE"""),"Новый")</f>
        <v>Новый</v>
      </c>
      <c r="G7567" s="68"/>
      <c r="K7567" s="68"/>
    </row>
    <row r="7568" spans="1:11" ht="12.75">
      <c r="A7568" s="69">
        <f ca="1">IFERROR(__xludf.DUMMYFUNCTION("""COMPUTED_VALUE"""),109237)</f>
        <v>109237</v>
      </c>
      <c r="B7568" s="4">
        <f ca="1">IFERROR(__xludf.DUMMYFUNCTION("""COMPUTED_VALUE"""),44840)</f>
        <v>44840</v>
      </c>
      <c r="C7568" t="str">
        <f ca="1">IFERROR(__xludf.DUMMYFUNCTION("""COMPUTED_VALUE"""),"ООО ""ТРАНССЕРВИС"" 159-СТР от 01.08.2022")</f>
        <v>ООО "ТРАНССЕРВИС" 159-СТР от 01.08.2022</v>
      </c>
      <c r="D75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8" t="str">
        <f ca="1">IFERROR(__xludf.DUMMYFUNCTION("""COMPUTED_VALUE"""),"Новый")</f>
        <v>Новый</v>
      </c>
      <c r="G7568" s="68"/>
      <c r="K7568" s="68"/>
    </row>
    <row r="7569" spans="1:11" ht="12.75">
      <c r="A7569" s="69">
        <f ca="1">IFERROR(__xludf.DUMMYFUNCTION("""COMPUTED_VALUE"""),109238)</f>
        <v>109238</v>
      </c>
      <c r="B7569" s="4">
        <f ca="1">IFERROR(__xludf.DUMMYFUNCTION("""COMPUTED_VALUE"""),44840)</f>
        <v>44840</v>
      </c>
      <c r="C7569" t="str">
        <f ca="1">IFERROR(__xludf.DUMMYFUNCTION("""COMPUTED_VALUE"""),"ООО ""ТРАНССЕРВИС"" 159-СТР от 01.08.2022")</f>
        <v>ООО "ТРАНССЕРВИС" 159-СТР от 01.08.2022</v>
      </c>
      <c r="D75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69" t="str">
        <f ca="1">IFERROR(__xludf.DUMMYFUNCTION("""COMPUTED_VALUE"""),"Новый")</f>
        <v>Новый</v>
      </c>
      <c r="G7569" s="68"/>
      <c r="K7569" s="68"/>
    </row>
    <row r="7570" spans="1:11" ht="12.75">
      <c r="A7570" s="69">
        <f ca="1">IFERROR(__xludf.DUMMYFUNCTION("""COMPUTED_VALUE"""),109239)</f>
        <v>109239</v>
      </c>
      <c r="B7570" s="4">
        <f ca="1">IFERROR(__xludf.DUMMYFUNCTION("""COMPUTED_VALUE"""),44840)</f>
        <v>44840</v>
      </c>
      <c r="C7570" t="str">
        <f ca="1">IFERROR(__xludf.DUMMYFUNCTION("""COMPUTED_VALUE"""),"ООО ""ТРАНССЕРВИС"" 159-СТР от 01.08.2022")</f>
        <v>ООО "ТРАНССЕРВИС" 159-СТР от 01.08.2022</v>
      </c>
      <c r="D75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0" t="str">
        <f ca="1">IFERROR(__xludf.DUMMYFUNCTION("""COMPUTED_VALUE"""),"Новый")</f>
        <v>Новый</v>
      </c>
      <c r="G7570" s="68"/>
      <c r="K7570" s="68"/>
    </row>
    <row r="7571" spans="1:11" ht="12.75">
      <c r="A7571" s="69">
        <f ca="1">IFERROR(__xludf.DUMMYFUNCTION("""COMPUTED_VALUE"""),109240)</f>
        <v>109240</v>
      </c>
      <c r="B7571" s="4">
        <f ca="1">IFERROR(__xludf.DUMMYFUNCTION("""COMPUTED_VALUE"""),44840)</f>
        <v>44840</v>
      </c>
      <c r="C7571" t="str">
        <f ca="1">IFERROR(__xludf.DUMMYFUNCTION("""COMPUTED_VALUE"""),"ООО ""ТРАНССЕРВИС"" 159-СТР от 01.08.2022")</f>
        <v>ООО "ТРАНССЕРВИС" 159-СТР от 01.08.2022</v>
      </c>
      <c r="D75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1" t="str">
        <f ca="1">IFERROR(__xludf.DUMMYFUNCTION("""COMPUTED_VALUE"""),"Новый")</f>
        <v>Новый</v>
      </c>
      <c r="G7571" s="68"/>
      <c r="K7571" s="68"/>
    </row>
    <row r="7572" spans="1:11" ht="12.75">
      <c r="A7572" s="69">
        <f ca="1">IFERROR(__xludf.DUMMYFUNCTION("""COMPUTED_VALUE"""),109241)</f>
        <v>109241</v>
      </c>
      <c r="B7572" s="4">
        <f ca="1">IFERROR(__xludf.DUMMYFUNCTION("""COMPUTED_VALUE"""),44840)</f>
        <v>44840</v>
      </c>
      <c r="C7572" t="str">
        <f ca="1">IFERROR(__xludf.DUMMYFUNCTION("""COMPUTED_VALUE"""),"ООО ""ТРАНССЕРВИС"" 159-СТР от 01.08.2022")</f>
        <v>ООО "ТРАНССЕРВИС" 159-СТР от 01.08.2022</v>
      </c>
      <c r="D75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2" t="str">
        <f ca="1">IFERROR(__xludf.DUMMYFUNCTION("""COMPUTED_VALUE"""),"Новый")</f>
        <v>Новый</v>
      </c>
      <c r="G7572" s="68"/>
      <c r="K7572" s="68"/>
    </row>
    <row r="7573" spans="1:11" ht="12.75">
      <c r="A7573" s="69">
        <f ca="1">IFERROR(__xludf.DUMMYFUNCTION("""COMPUTED_VALUE"""),109242)</f>
        <v>109242</v>
      </c>
      <c r="B7573" s="4">
        <f ca="1">IFERROR(__xludf.DUMMYFUNCTION("""COMPUTED_VALUE"""),44840)</f>
        <v>44840</v>
      </c>
      <c r="C7573" t="str">
        <f ca="1">IFERROR(__xludf.DUMMYFUNCTION("""COMPUTED_VALUE"""),"ООО ""ТРАНССЕРВИС"" 159-СТР от 01.08.2022")</f>
        <v>ООО "ТРАНССЕРВИС" 159-СТР от 01.08.2022</v>
      </c>
      <c r="D75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3" t="str">
        <f ca="1">IFERROR(__xludf.DUMMYFUNCTION("""COMPUTED_VALUE"""),"Новый")</f>
        <v>Новый</v>
      </c>
      <c r="G7573" s="68"/>
      <c r="K7573" s="68"/>
    </row>
    <row r="7574" spans="1:11" ht="12.75">
      <c r="A7574" s="69">
        <f ca="1">IFERROR(__xludf.DUMMYFUNCTION("""COMPUTED_VALUE"""),109243)</f>
        <v>109243</v>
      </c>
      <c r="B7574" s="4">
        <f ca="1">IFERROR(__xludf.DUMMYFUNCTION("""COMPUTED_VALUE"""),44840)</f>
        <v>44840</v>
      </c>
      <c r="C7574" t="str">
        <f ca="1">IFERROR(__xludf.DUMMYFUNCTION("""COMPUTED_VALUE"""),"ООО ""ТРАНССЕРВИС"" 159-СТР от 01.08.2022")</f>
        <v>ООО "ТРАНССЕРВИС" 159-СТР от 01.08.2022</v>
      </c>
      <c r="D75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4" t="str">
        <f ca="1">IFERROR(__xludf.DUMMYFUNCTION("""COMPUTED_VALUE"""),"Новый")</f>
        <v>Новый</v>
      </c>
      <c r="G7574" s="68"/>
      <c r="K7574" s="68"/>
    </row>
    <row r="7575" spans="1:11" ht="12.75">
      <c r="A7575" s="69">
        <f ca="1">IFERROR(__xludf.DUMMYFUNCTION("""COMPUTED_VALUE"""),109244)</f>
        <v>109244</v>
      </c>
      <c r="B7575" s="4">
        <f ca="1">IFERROR(__xludf.DUMMYFUNCTION("""COMPUTED_VALUE"""),44840)</f>
        <v>44840</v>
      </c>
      <c r="C7575" t="str">
        <f ca="1">IFERROR(__xludf.DUMMYFUNCTION("""COMPUTED_VALUE"""),"ООО ""ТРАНССЕРВИС"" 159-СТР от 01.08.2022")</f>
        <v>ООО "ТРАНССЕРВИС" 159-СТР от 01.08.2022</v>
      </c>
      <c r="D75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5" t="str">
        <f ca="1">IFERROR(__xludf.DUMMYFUNCTION("""COMPUTED_VALUE"""),"Новый")</f>
        <v>Новый</v>
      </c>
      <c r="G7575" s="68"/>
      <c r="K7575" s="68"/>
    </row>
    <row r="7576" spans="1:11" ht="12.75">
      <c r="A7576" s="69">
        <f ca="1">IFERROR(__xludf.DUMMYFUNCTION("""COMPUTED_VALUE"""),109245)</f>
        <v>109245</v>
      </c>
      <c r="B7576" s="4">
        <f ca="1">IFERROR(__xludf.DUMMYFUNCTION("""COMPUTED_VALUE"""),44840)</f>
        <v>44840</v>
      </c>
      <c r="C7576" t="str">
        <f ca="1">IFERROR(__xludf.DUMMYFUNCTION("""COMPUTED_VALUE"""),"ООО ""ТРАНССЕРВИС"" 159-СТР от 01.08.2022")</f>
        <v>ООО "ТРАНССЕРВИС" 159-СТР от 01.08.2022</v>
      </c>
      <c r="D75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6" t="str">
        <f ca="1">IFERROR(__xludf.DUMMYFUNCTION("""COMPUTED_VALUE"""),"Новый")</f>
        <v>Новый</v>
      </c>
      <c r="G7576" s="68"/>
      <c r="K7576" s="68"/>
    </row>
    <row r="7577" spans="1:11" ht="12.75">
      <c r="A7577" s="69">
        <f ca="1">IFERROR(__xludf.DUMMYFUNCTION("""COMPUTED_VALUE"""),109246)</f>
        <v>109246</v>
      </c>
      <c r="B7577" s="4">
        <f ca="1">IFERROR(__xludf.DUMMYFUNCTION("""COMPUTED_VALUE"""),44840)</f>
        <v>44840</v>
      </c>
      <c r="C7577" t="str">
        <f ca="1">IFERROR(__xludf.DUMMYFUNCTION("""COMPUTED_VALUE"""),"ООО ""ТРАНССЕРВИС"" 159-СТР от 01.08.2022")</f>
        <v>ООО "ТРАНССЕРВИС" 159-СТР от 01.08.2022</v>
      </c>
      <c r="D75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7" t="str">
        <f ca="1">IFERROR(__xludf.DUMMYFUNCTION("""COMPUTED_VALUE"""),"Новый")</f>
        <v>Новый</v>
      </c>
      <c r="G7577" s="68"/>
      <c r="K7577" s="68"/>
    </row>
    <row r="7578" spans="1:11" ht="12.75">
      <c r="A7578" s="69">
        <f ca="1">IFERROR(__xludf.DUMMYFUNCTION("""COMPUTED_VALUE"""),109247)</f>
        <v>109247</v>
      </c>
      <c r="B7578" s="4">
        <f ca="1">IFERROR(__xludf.DUMMYFUNCTION("""COMPUTED_VALUE"""),44840)</f>
        <v>44840</v>
      </c>
      <c r="C7578" t="str">
        <f ca="1">IFERROR(__xludf.DUMMYFUNCTION("""COMPUTED_VALUE"""),"ООО ""ТРАНССЕРВИС"" 159-СТР от 01.08.2022")</f>
        <v>ООО "ТРАНССЕРВИС" 159-СТР от 01.08.2022</v>
      </c>
      <c r="D757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8" t="str">
        <f ca="1">IFERROR(__xludf.DUMMYFUNCTION("""COMPUTED_VALUE"""),"Новый")</f>
        <v>Новый</v>
      </c>
      <c r="G7578" s="68"/>
      <c r="K7578" s="68"/>
    </row>
    <row r="7579" spans="1:11" ht="12.75">
      <c r="A7579" s="69">
        <f ca="1">IFERROR(__xludf.DUMMYFUNCTION("""COMPUTED_VALUE"""),109248)</f>
        <v>109248</v>
      </c>
      <c r="B7579" s="4">
        <f ca="1">IFERROR(__xludf.DUMMYFUNCTION("""COMPUTED_VALUE"""),44840)</f>
        <v>44840</v>
      </c>
      <c r="C7579" t="str">
        <f ca="1">IFERROR(__xludf.DUMMYFUNCTION("""COMPUTED_VALUE"""),"ООО ""ТРАНССЕРВИС"" 159-СТР от 01.08.2022")</f>
        <v>ООО "ТРАНССЕРВИС" 159-СТР от 01.08.2022</v>
      </c>
      <c r="D757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79" t="str">
        <f ca="1">IFERROR(__xludf.DUMMYFUNCTION("""COMPUTED_VALUE"""),"Новый")</f>
        <v>Новый</v>
      </c>
      <c r="G7579" s="68"/>
      <c r="K7579" s="68"/>
    </row>
    <row r="7580" spans="1:11" ht="12.75">
      <c r="A7580" s="69">
        <f ca="1">IFERROR(__xludf.DUMMYFUNCTION("""COMPUTED_VALUE"""),109249)</f>
        <v>109249</v>
      </c>
      <c r="B7580" s="4">
        <f ca="1">IFERROR(__xludf.DUMMYFUNCTION("""COMPUTED_VALUE"""),44840)</f>
        <v>44840</v>
      </c>
      <c r="C7580" t="str">
        <f ca="1">IFERROR(__xludf.DUMMYFUNCTION("""COMPUTED_VALUE"""),"ООО ""ТРАНССЕРВИС"" 159-СТР от 01.08.2022")</f>
        <v>ООО "ТРАНССЕРВИС" 159-СТР от 01.08.2022</v>
      </c>
      <c r="D758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0" t="str">
        <f ca="1">IFERROR(__xludf.DUMMYFUNCTION("""COMPUTED_VALUE"""),"Новый")</f>
        <v>Новый</v>
      </c>
      <c r="G7580" s="68"/>
      <c r="K7580" s="68"/>
    </row>
    <row r="7581" spans="1:11" ht="12.75">
      <c r="A7581" s="69">
        <f ca="1">IFERROR(__xludf.DUMMYFUNCTION("""COMPUTED_VALUE"""),109250)</f>
        <v>109250</v>
      </c>
      <c r="B7581" s="4">
        <f ca="1">IFERROR(__xludf.DUMMYFUNCTION("""COMPUTED_VALUE"""),44840)</f>
        <v>44840</v>
      </c>
      <c r="C7581" t="str">
        <f ca="1">IFERROR(__xludf.DUMMYFUNCTION("""COMPUTED_VALUE"""),"ООО ""ТРАНССЕРВИС"" 159-СТР от 01.08.2022")</f>
        <v>ООО "ТРАНССЕРВИС" 159-СТР от 01.08.2022</v>
      </c>
      <c r="D758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1" t="str">
        <f ca="1">IFERROR(__xludf.DUMMYFUNCTION("""COMPUTED_VALUE"""),"Новый")</f>
        <v>Новый</v>
      </c>
      <c r="G7581" s="68"/>
      <c r="K7581" s="68"/>
    </row>
    <row r="7582" spans="1:11" ht="12.75">
      <c r="A7582" s="69">
        <f ca="1">IFERROR(__xludf.DUMMYFUNCTION("""COMPUTED_VALUE"""),109251)</f>
        <v>109251</v>
      </c>
      <c r="B7582" s="4">
        <f ca="1">IFERROR(__xludf.DUMMYFUNCTION("""COMPUTED_VALUE"""),44840)</f>
        <v>44840</v>
      </c>
      <c r="C7582" t="str">
        <f ca="1">IFERROR(__xludf.DUMMYFUNCTION("""COMPUTED_VALUE"""),"ООО ""ТРАНССЕРВИС"" 159-СТР от 01.08.2022")</f>
        <v>ООО "ТРАНССЕРВИС" 159-СТР от 01.08.2022</v>
      </c>
      <c r="D758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2" t="str">
        <f ca="1">IFERROR(__xludf.DUMMYFUNCTION("""COMPUTED_VALUE"""),"Новый")</f>
        <v>Новый</v>
      </c>
      <c r="G7582" s="68"/>
      <c r="K7582" s="68"/>
    </row>
    <row r="7583" spans="1:11" ht="12.75">
      <c r="A7583" s="69">
        <f ca="1">IFERROR(__xludf.DUMMYFUNCTION("""COMPUTED_VALUE"""),109252)</f>
        <v>109252</v>
      </c>
      <c r="B7583" s="4">
        <f ca="1">IFERROR(__xludf.DUMMYFUNCTION("""COMPUTED_VALUE"""),44840)</f>
        <v>44840</v>
      </c>
      <c r="C7583" t="str">
        <f ca="1">IFERROR(__xludf.DUMMYFUNCTION("""COMPUTED_VALUE"""),"ООО ""ТРАНССЕРВИС"" 159-СТР от 01.08.2022")</f>
        <v>ООО "ТРАНССЕРВИС" 159-СТР от 01.08.2022</v>
      </c>
      <c r="D758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3" t="str">
        <f ca="1">IFERROR(__xludf.DUMMYFUNCTION("""COMPUTED_VALUE"""),"Новый")</f>
        <v>Новый</v>
      </c>
      <c r="G7583" s="68"/>
      <c r="K7583" s="68"/>
    </row>
    <row r="7584" spans="1:11" ht="12.75">
      <c r="A7584" s="69">
        <f ca="1">IFERROR(__xludf.DUMMYFUNCTION("""COMPUTED_VALUE"""),109253)</f>
        <v>109253</v>
      </c>
      <c r="B7584" s="4">
        <f ca="1">IFERROR(__xludf.DUMMYFUNCTION("""COMPUTED_VALUE"""),44840)</f>
        <v>44840</v>
      </c>
      <c r="C7584" t="str">
        <f ca="1">IFERROR(__xludf.DUMMYFUNCTION("""COMPUTED_VALUE"""),"ООО ""ТРАНССЕРВИС"" 159-СТР от 01.08.2022")</f>
        <v>ООО "ТРАНССЕРВИС" 159-СТР от 01.08.2022</v>
      </c>
      <c r="D758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4" t="str">
        <f ca="1">IFERROR(__xludf.DUMMYFUNCTION("""COMPUTED_VALUE"""),"Новый")</f>
        <v>Новый</v>
      </c>
      <c r="G7584" s="68"/>
      <c r="K7584" s="68"/>
    </row>
    <row r="7585" spans="1:11" ht="12.75">
      <c r="A7585" s="69">
        <f ca="1">IFERROR(__xludf.DUMMYFUNCTION("""COMPUTED_VALUE"""),109254)</f>
        <v>109254</v>
      </c>
      <c r="B7585" s="4">
        <f ca="1">IFERROR(__xludf.DUMMYFUNCTION("""COMPUTED_VALUE"""),44840)</f>
        <v>44840</v>
      </c>
      <c r="C7585" t="str">
        <f ca="1">IFERROR(__xludf.DUMMYFUNCTION("""COMPUTED_VALUE"""),"ООО ""ТРАНССЕРВИС"" 159-СТР от 01.08.2022")</f>
        <v>ООО "ТРАНССЕРВИС" 159-СТР от 01.08.2022</v>
      </c>
      <c r="D758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5" t="str">
        <f ca="1">IFERROR(__xludf.DUMMYFUNCTION("""COMPUTED_VALUE"""),"Новый")</f>
        <v>Новый</v>
      </c>
      <c r="G7585" s="68"/>
      <c r="K7585" s="68"/>
    </row>
    <row r="7586" spans="1:11" ht="12.75">
      <c r="A7586" s="69">
        <f ca="1">IFERROR(__xludf.DUMMYFUNCTION("""COMPUTED_VALUE"""),109255)</f>
        <v>109255</v>
      </c>
      <c r="B7586" s="4">
        <f ca="1">IFERROR(__xludf.DUMMYFUNCTION("""COMPUTED_VALUE"""),44840)</f>
        <v>44840</v>
      </c>
      <c r="C7586" t="str">
        <f ca="1">IFERROR(__xludf.DUMMYFUNCTION("""COMPUTED_VALUE"""),"ООО ""ТРАНССЕРВИС"" 159-СТР от 01.08.2022")</f>
        <v>ООО "ТРАНССЕРВИС" 159-СТР от 01.08.2022</v>
      </c>
      <c r="D75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6" t="str">
        <f ca="1">IFERROR(__xludf.DUMMYFUNCTION("""COMPUTED_VALUE"""),"Новый")</f>
        <v>Новый</v>
      </c>
      <c r="G7586" s="68"/>
      <c r="K7586" s="68"/>
    </row>
    <row r="7587" spans="1:11" ht="12.75">
      <c r="A7587" s="69">
        <f ca="1">IFERROR(__xludf.DUMMYFUNCTION("""COMPUTED_VALUE"""),109256)</f>
        <v>109256</v>
      </c>
      <c r="B7587" s="4">
        <f ca="1">IFERROR(__xludf.DUMMYFUNCTION("""COMPUTED_VALUE"""),44840)</f>
        <v>44840</v>
      </c>
      <c r="C7587" t="str">
        <f ca="1">IFERROR(__xludf.DUMMYFUNCTION("""COMPUTED_VALUE"""),"ООО ""ТРАНССЕРВИС"" 159-СТР от 01.08.2022")</f>
        <v>ООО "ТРАНССЕРВИС" 159-СТР от 01.08.2022</v>
      </c>
      <c r="D75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7" t="str">
        <f ca="1">IFERROR(__xludf.DUMMYFUNCTION("""COMPUTED_VALUE"""),"Новый")</f>
        <v>Новый</v>
      </c>
      <c r="G7587" s="68"/>
      <c r="K7587" s="68"/>
    </row>
    <row r="7588" spans="1:11" ht="12.75">
      <c r="A7588" s="69">
        <f ca="1">IFERROR(__xludf.DUMMYFUNCTION("""COMPUTED_VALUE"""),109257)</f>
        <v>109257</v>
      </c>
      <c r="B7588" s="4">
        <f ca="1">IFERROR(__xludf.DUMMYFUNCTION("""COMPUTED_VALUE"""),44840)</f>
        <v>44840</v>
      </c>
      <c r="C7588" t="str">
        <f ca="1">IFERROR(__xludf.DUMMYFUNCTION("""COMPUTED_VALUE"""),"ООО ""ТРАНССЕРВИС"" 159-СТР от 01.08.2022")</f>
        <v>ООО "ТРАНССЕРВИС" 159-СТР от 01.08.2022</v>
      </c>
      <c r="D75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7588" t="str">
        <f ca="1">IFERROR(__xludf.DUMMYFUNCTION("""COMPUTED_VALUE"""),"Новый")</f>
        <v>Новый</v>
      </c>
      <c r="G7588" s="68"/>
      <c r="K7588" s="68"/>
    </row>
    <row r="7589" spans="1:11" ht="12.75">
      <c r="A7589" s="69">
        <f ca="1">IFERROR(__xludf.DUMMYFUNCTION("""COMPUTED_VALUE"""),109262)</f>
        <v>109262</v>
      </c>
      <c r="B7589" s="4">
        <f ca="1">IFERROR(__xludf.DUMMYFUNCTION("""COMPUTED_VALUE"""),44841)</f>
        <v>44841</v>
      </c>
      <c r="C7589" t="str">
        <f ca="1">IFERROR(__xludf.DUMMYFUNCTION("""COMPUTED_VALUE"""),"БУ Г. ОМСКА ""УДХБ"" 216-РДО от 03.10.2022")</f>
        <v>БУ Г. ОМСКА "УДХБ" 216-РДО от 03.10.2022</v>
      </c>
      <c r="D75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89" t="str">
        <f ca="1">IFERROR(__xludf.DUMMYFUNCTION("""COMPUTED_VALUE"""),"Новый")</f>
        <v>Новый</v>
      </c>
      <c r="G7589" s="68"/>
      <c r="K7589" s="68"/>
    </row>
    <row r="7590" spans="1:11" ht="12.75">
      <c r="A7590" s="69">
        <f ca="1">IFERROR(__xludf.DUMMYFUNCTION("""COMPUTED_VALUE"""),109263)</f>
        <v>109263</v>
      </c>
      <c r="B7590" s="4">
        <f ca="1">IFERROR(__xludf.DUMMYFUNCTION("""COMPUTED_VALUE"""),44841)</f>
        <v>44841</v>
      </c>
      <c r="C7590" t="str">
        <f ca="1">IFERROR(__xludf.DUMMYFUNCTION("""COMPUTED_VALUE"""),"БУ Г. ОМСКА ""УДХБ"" 216-РДО от 03.10.2022")</f>
        <v>БУ Г. ОМСКА "УДХБ" 216-РДО от 03.10.2022</v>
      </c>
      <c r="D75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0" t="str">
        <f ca="1">IFERROR(__xludf.DUMMYFUNCTION("""COMPUTED_VALUE"""),"Новый")</f>
        <v>Новый</v>
      </c>
      <c r="G7590" s="68"/>
      <c r="K7590" s="68"/>
    </row>
    <row r="7591" spans="1:11" ht="12.75">
      <c r="A7591" s="69">
        <f ca="1">IFERROR(__xludf.DUMMYFUNCTION("""COMPUTED_VALUE"""),109264)</f>
        <v>109264</v>
      </c>
      <c r="B7591" s="4">
        <f ca="1">IFERROR(__xludf.DUMMYFUNCTION("""COMPUTED_VALUE"""),44841)</f>
        <v>44841</v>
      </c>
      <c r="C7591" t="str">
        <f ca="1">IFERROR(__xludf.DUMMYFUNCTION("""COMPUTED_VALUE"""),"БУ Г. ОМСКА ""УДХБ"" 216-РДО от 03.10.2022")</f>
        <v>БУ Г. ОМСКА "УДХБ" 216-РДО от 03.10.2022</v>
      </c>
      <c r="D75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1" t="str">
        <f ca="1">IFERROR(__xludf.DUMMYFUNCTION("""COMPUTED_VALUE"""),"Новый")</f>
        <v>Новый</v>
      </c>
      <c r="G7591" s="68"/>
      <c r="K7591" s="68"/>
    </row>
    <row r="7592" spans="1:11" ht="12.75">
      <c r="A7592" s="69">
        <f ca="1">IFERROR(__xludf.DUMMYFUNCTION("""COMPUTED_VALUE"""),109265)</f>
        <v>109265</v>
      </c>
      <c r="B7592" s="4">
        <f ca="1">IFERROR(__xludf.DUMMYFUNCTION("""COMPUTED_VALUE"""),44841)</f>
        <v>44841</v>
      </c>
      <c r="C7592" t="str">
        <f ca="1">IFERROR(__xludf.DUMMYFUNCTION("""COMPUTED_VALUE"""),"БУ Г. ОМСКА ""УДХБ"" 216-РДО от 03.10.2022")</f>
        <v>БУ Г. ОМСКА "УДХБ" 216-РДО от 03.10.2022</v>
      </c>
      <c r="D75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2" t="str">
        <f ca="1">IFERROR(__xludf.DUMMYFUNCTION("""COMPUTED_VALUE"""),"Новый")</f>
        <v>Новый</v>
      </c>
      <c r="G7592" s="68"/>
      <c r="K7592" s="68"/>
    </row>
    <row r="7593" spans="1:11" ht="12.75">
      <c r="A7593" s="69">
        <f ca="1">IFERROR(__xludf.DUMMYFUNCTION("""COMPUTED_VALUE"""),109270)</f>
        <v>109270</v>
      </c>
      <c r="B7593" s="4">
        <f ca="1">IFERROR(__xludf.DUMMYFUNCTION("""COMPUTED_VALUE"""),44841)</f>
        <v>44841</v>
      </c>
      <c r="C7593" t="str">
        <f ca="1">IFERROR(__xludf.DUMMYFUNCTION("""COMPUTED_VALUE"""),"БУ Г. ОМСКА ""УДХБ"" 216-РДО от 03.10.2022")</f>
        <v>БУ Г. ОМСКА "УДХБ" 216-РДО от 03.10.2022</v>
      </c>
      <c r="D75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3" t="str">
        <f ca="1">IFERROR(__xludf.DUMMYFUNCTION("""COMPUTED_VALUE"""),"Новый")</f>
        <v>Новый</v>
      </c>
      <c r="G7593" s="68"/>
      <c r="K7593" s="68"/>
    </row>
    <row r="7594" spans="1:11" ht="12.75">
      <c r="A7594" s="69">
        <f ca="1">IFERROR(__xludf.DUMMYFUNCTION("""COMPUTED_VALUE"""),109271)</f>
        <v>109271</v>
      </c>
      <c r="B7594" s="4">
        <f ca="1">IFERROR(__xludf.DUMMYFUNCTION("""COMPUTED_VALUE"""),44841)</f>
        <v>44841</v>
      </c>
      <c r="C7594" t="str">
        <f ca="1">IFERROR(__xludf.DUMMYFUNCTION("""COMPUTED_VALUE"""),"БУ Г. ОМСКА ""УДХБ"" 216-РДО от 03.10.2022")</f>
        <v>БУ Г. ОМСКА "УДХБ" 216-РДО от 03.10.2022</v>
      </c>
      <c r="D75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4" t="str">
        <f ca="1">IFERROR(__xludf.DUMMYFUNCTION("""COMPUTED_VALUE"""),"Новый")</f>
        <v>Новый</v>
      </c>
      <c r="G7594" s="68"/>
      <c r="K7594" s="68"/>
    </row>
    <row r="7595" spans="1:11" ht="12.75">
      <c r="A7595" s="69">
        <f ca="1">IFERROR(__xludf.DUMMYFUNCTION("""COMPUTED_VALUE"""),109272)</f>
        <v>109272</v>
      </c>
      <c r="B7595" s="4">
        <f ca="1">IFERROR(__xludf.DUMMYFUNCTION("""COMPUTED_VALUE"""),44841)</f>
        <v>44841</v>
      </c>
      <c r="C7595" t="str">
        <f ca="1">IFERROR(__xludf.DUMMYFUNCTION("""COMPUTED_VALUE"""),"БУ Г. ОМСКА ""УДХБ"" 216-РДО от 03.10.2022")</f>
        <v>БУ Г. ОМСКА "УДХБ" 216-РДО от 03.10.2022</v>
      </c>
      <c r="D75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5" t="str">
        <f ca="1">IFERROR(__xludf.DUMMYFUNCTION("""COMPUTED_VALUE"""),"Новый")</f>
        <v>Новый</v>
      </c>
      <c r="G7595" s="68"/>
      <c r="K7595" s="68"/>
    </row>
    <row r="7596" spans="1:11" ht="12.75">
      <c r="A7596" s="69">
        <f ca="1">IFERROR(__xludf.DUMMYFUNCTION("""COMPUTED_VALUE"""),109273)</f>
        <v>109273</v>
      </c>
      <c r="B7596" s="4">
        <f ca="1">IFERROR(__xludf.DUMMYFUNCTION("""COMPUTED_VALUE"""),44841)</f>
        <v>44841</v>
      </c>
      <c r="C7596" t="str">
        <f ca="1">IFERROR(__xludf.DUMMYFUNCTION("""COMPUTED_VALUE"""),"БУ Г. ОМСКА ""УДХБ"" 216-РДО от 03.10.2022")</f>
        <v>БУ Г. ОМСКА "УДХБ" 216-РДО от 03.10.2022</v>
      </c>
      <c r="D75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6" t="str">
        <f ca="1">IFERROR(__xludf.DUMMYFUNCTION("""COMPUTED_VALUE"""),"Новый")</f>
        <v>Новый</v>
      </c>
      <c r="G7596" s="68"/>
      <c r="K7596" s="68"/>
    </row>
    <row r="7597" spans="1:11" ht="12.75">
      <c r="A7597" s="69">
        <f ca="1">IFERROR(__xludf.DUMMYFUNCTION("""COMPUTED_VALUE"""),109274)</f>
        <v>109274</v>
      </c>
      <c r="B7597" s="4">
        <f ca="1">IFERROR(__xludf.DUMMYFUNCTION("""COMPUTED_VALUE"""),44841)</f>
        <v>44841</v>
      </c>
      <c r="C7597" t="str">
        <f ca="1">IFERROR(__xludf.DUMMYFUNCTION("""COMPUTED_VALUE"""),"БУ Г. ОМСКА ""УДХБ"" 216-РДО от 03.10.2022")</f>
        <v>БУ Г. ОМСКА "УДХБ" 216-РДО от 03.10.2022</v>
      </c>
      <c r="D75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7" t="str">
        <f ca="1">IFERROR(__xludf.DUMMYFUNCTION("""COMPUTED_VALUE"""),"Новый")</f>
        <v>Новый</v>
      </c>
      <c r="G7597" s="68"/>
      <c r="K7597" s="68"/>
    </row>
    <row r="7598" spans="1:11" ht="12.75">
      <c r="A7598" s="69">
        <f ca="1">IFERROR(__xludf.DUMMYFUNCTION("""COMPUTED_VALUE"""),109275)</f>
        <v>109275</v>
      </c>
      <c r="B7598" s="4">
        <f ca="1">IFERROR(__xludf.DUMMYFUNCTION("""COMPUTED_VALUE"""),44841)</f>
        <v>44841</v>
      </c>
      <c r="C7598" t="str">
        <f ca="1">IFERROR(__xludf.DUMMYFUNCTION("""COMPUTED_VALUE"""),"БУ Г. ОМСКА ""УДХБ"" 216-РДО от 03.10.2022")</f>
        <v>БУ Г. ОМСКА "УДХБ" 216-РДО от 03.10.2022</v>
      </c>
      <c r="D75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8" t="str">
        <f ca="1">IFERROR(__xludf.DUMMYFUNCTION("""COMPUTED_VALUE"""),"Новый")</f>
        <v>Новый</v>
      </c>
      <c r="G7598" s="68"/>
      <c r="K7598" s="68"/>
    </row>
    <row r="7599" spans="1:11" ht="12.75">
      <c r="A7599" s="69">
        <f ca="1">IFERROR(__xludf.DUMMYFUNCTION("""COMPUTED_VALUE"""),109276)</f>
        <v>109276</v>
      </c>
      <c r="B7599" s="4">
        <f ca="1">IFERROR(__xludf.DUMMYFUNCTION("""COMPUTED_VALUE"""),44841)</f>
        <v>44841</v>
      </c>
      <c r="C7599" t="str">
        <f ca="1">IFERROR(__xludf.DUMMYFUNCTION("""COMPUTED_VALUE"""),"БУ Г. ОМСКА ""УДХБ"" 216-РДО от 03.10.2022")</f>
        <v>БУ Г. ОМСКА "УДХБ" 216-РДО от 03.10.2022</v>
      </c>
      <c r="D75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599" t="str">
        <f ca="1">IFERROR(__xludf.DUMMYFUNCTION("""COMPUTED_VALUE"""),"Новый")</f>
        <v>Новый</v>
      </c>
      <c r="G7599" s="68"/>
      <c r="K7599" s="68"/>
    </row>
    <row r="7600" spans="1:11" ht="12.75">
      <c r="A7600" s="69">
        <f ca="1">IFERROR(__xludf.DUMMYFUNCTION("""COMPUTED_VALUE"""),109277)</f>
        <v>109277</v>
      </c>
      <c r="B7600" s="4">
        <f ca="1">IFERROR(__xludf.DUMMYFUNCTION("""COMPUTED_VALUE"""),44841)</f>
        <v>44841</v>
      </c>
      <c r="C7600" t="str">
        <f ca="1">IFERROR(__xludf.DUMMYFUNCTION("""COMPUTED_VALUE"""),"БУ Г. ОМСКА ""УДХБ"" 216-РДО от 03.10.2022")</f>
        <v>БУ Г. ОМСКА "УДХБ" 216-РДО от 03.10.2022</v>
      </c>
      <c r="D76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0" t="str">
        <f ca="1">IFERROR(__xludf.DUMMYFUNCTION("""COMPUTED_VALUE"""),"Новый")</f>
        <v>Новый</v>
      </c>
      <c r="G7600" s="68"/>
      <c r="K7600" s="68"/>
    </row>
    <row r="7601" spans="1:17" ht="12.75">
      <c r="A7601" s="69">
        <f ca="1">IFERROR(__xludf.DUMMYFUNCTION("""COMPUTED_VALUE"""),109278)</f>
        <v>109278</v>
      </c>
      <c r="B7601" s="4">
        <f ca="1">IFERROR(__xludf.DUMMYFUNCTION("""COMPUTED_VALUE"""),44841)</f>
        <v>44841</v>
      </c>
      <c r="C7601" t="str">
        <f ca="1">IFERROR(__xludf.DUMMYFUNCTION("""COMPUTED_VALUE"""),"БУ Г. ОМСКА ""УДХБ"" 216-РДО от 03.10.2022")</f>
        <v>БУ Г. ОМСКА "УДХБ" 216-РДО от 03.10.2022</v>
      </c>
      <c r="D76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1" t="str">
        <f ca="1">IFERROR(__xludf.DUMMYFUNCTION("""COMPUTED_VALUE"""),"Открыт")</f>
        <v>Открыт</v>
      </c>
      <c r="F7601" t="str">
        <f ca="1">IFERROR(__xludf.DUMMYFUNCTION("""COMPUTED_VALUE"""),"Кировский полигон")</f>
        <v>Кировский полигон</v>
      </c>
      <c r="G7601" s="68">
        <f ca="1">IFERROR(__xludf.DUMMYFUNCTION("""COMPUTED_VALUE"""),44847.4804553009)</f>
        <v>44847.480455300902</v>
      </c>
      <c r="H7601" t="str">
        <f ca="1">IFERROR(__xludf.DUMMYFUNCTION("""COMPUTED_VALUE"""),"к666км")</f>
        <v>к666км</v>
      </c>
      <c r="I7601">
        <f ca="1">IFERROR(__xludf.DUMMYFUNCTION("""COMPUTED_VALUE"""),13260)</f>
        <v>13260</v>
      </c>
      <c r="K7601" s="68"/>
      <c r="N7601">
        <f ca="1">IFERROR(__xludf.DUMMYFUNCTION("""COMPUTED_VALUE"""),0)</f>
        <v>0</v>
      </c>
      <c r="Q7601" t="str">
        <f ca="1">IFERROR(__xludf.DUMMYFUNCTION("""COMPUTED_VALUE"""),"Другое")</f>
        <v>Другое</v>
      </c>
    </row>
    <row r="7602" spans="1:17" ht="12.75">
      <c r="A7602" s="69">
        <f ca="1">IFERROR(__xludf.DUMMYFUNCTION("""COMPUTED_VALUE"""),109279)</f>
        <v>109279</v>
      </c>
      <c r="B7602" s="4">
        <f ca="1">IFERROR(__xludf.DUMMYFUNCTION("""COMPUTED_VALUE"""),44841)</f>
        <v>44841</v>
      </c>
      <c r="C7602" t="str">
        <f ca="1">IFERROR(__xludf.DUMMYFUNCTION("""COMPUTED_VALUE"""),"БУ Г. ОМСКА ""УДХБ"" 216-РДО от 03.10.2022")</f>
        <v>БУ Г. ОМСКА "УДХБ" 216-РДО от 03.10.2022</v>
      </c>
      <c r="D76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2" t="str">
        <f ca="1">IFERROR(__xludf.DUMMYFUNCTION("""COMPUTED_VALUE"""),"Новый")</f>
        <v>Новый</v>
      </c>
      <c r="G7602" s="68"/>
      <c r="K7602" s="68"/>
    </row>
    <row r="7603" spans="1:17" ht="12.75">
      <c r="A7603" s="69">
        <f ca="1">IFERROR(__xludf.DUMMYFUNCTION("""COMPUTED_VALUE"""),109280)</f>
        <v>109280</v>
      </c>
      <c r="B7603" s="4">
        <f ca="1">IFERROR(__xludf.DUMMYFUNCTION("""COMPUTED_VALUE"""),44841)</f>
        <v>44841</v>
      </c>
      <c r="C7603" t="str">
        <f ca="1">IFERROR(__xludf.DUMMYFUNCTION("""COMPUTED_VALUE"""),"БУ Г. ОМСКА ""УДХБ"" 216-РДО от 03.10.2022")</f>
        <v>БУ Г. ОМСКА "УДХБ" 216-РДО от 03.10.2022</v>
      </c>
      <c r="D76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3" t="str">
        <f ca="1">IFERROR(__xludf.DUMMYFUNCTION("""COMPUTED_VALUE"""),"Новый")</f>
        <v>Новый</v>
      </c>
      <c r="G7603" s="68"/>
      <c r="K7603" s="68"/>
    </row>
    <row r="7604" spans="1:17" ht="12.75">
      <c r="A7604" s="69">
        <f ca="1">IFERROR(__xludf.DUMMYFUNCTION("""COMPUTED_VALUE"""),109283)</f>
        <v>109283</v>
      </c>
      <c r="B7604" s="4">
        <f ca="1">IFERROR(__xludf.DUMMYFUNCTION("""COMPUTED_VALUE"""),44841)</f>
        <v>44841</v>
      </c>
      <c r="C7604" t="str">
        <f ca="1">IFERROR(__xludf.DUMMYFUNCTION("""COMPUTED_VALUE"""),"БУ Г. ОМСКА ""УДХБ"" 216-РДО от 03.10.2022")</f>
        <v>БУ Г. ОМСКА "УДХБ" 216-РДО от 03.10.2022</v>
      </c>
      <c r="D76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4" t="str">
        <f ca="1">IFERROR(__xludf.DUMMYFUNCTION("""COMPUTED_VALUE"""),"Новый")</f>
        <v>Новый</v>
      </c>
      <c r="G7604" s="68"/>
      <c r="K7604" s="68"/>
    </row>
    <row r="7605" spans="1:17" ht="12.75">
      <c r="A7605" s="69">
        <f ca="1">IFERROR(__xludf.DUMMYFUNCTION("""COMPUTED_VALUE"""),109284)</f>
        <v>109284</v>
      </c>
      <c r="B7605" s="4">
        <f ca="1">IFERROR(__xludf.DUMMYFUNCTION("""COMPUTED_VALUE"""),44841)</f>
        <v>44841</v>
      </c>
      <c r="C7605" t="str">
        <f ca="1">IFERROR(__xludf.DUMMYFUNCTION("""COMPUTED_VALUE"""),"БУ Г. ОМСКА ""УДХБ"" 216-РДО от 03.10.2022")</f>
        <v>БУ Г. ОМСКА "УДХБ" 216-РДО от 03.10.2022</v>
      </c>
      <c r="D76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5" t="str">
        <f ca="1">IFERROR(__xludf.DUMMYFUNCTION("""COMPUTED_VALUE"""),"Новый")</f>
        <v>Новый</v>
      </c>
      <c r="G7605" s="68"/>
      <c r="K7605" s="68"/>
    </row>
    <row r="7606" spans="1:17" ht="12.75">
      <c r="A7606" s="69">
        <f ca="1">IFERROR(__xludf.DUMMYFUNCTION("""COMPUTED_VALUE"""),109285)</f>
        <v>109285</v>
      </c>
      <c r="B7606" s="4">
        <f ca="1">IFERROR(__xludf.DUMMYFUNCTION("""COMPUTED_VALUE"""),44841)</f>
        <v>44841</v>
      </c>
      <c r="C7606" t="str">
        <f ca="1">IFERROR(__xludf.DUMMYFUNCTION("""COMPUTED_VALUE"""),"БУ Г. ОМСКА ""УДХБ"" 216-РДО от 03.10.2022")</f>
        <v>БУ Г. ОМСКА "УДХБ" 216-РДО от 03.10.2022</v>
      </c>
      <c r="D76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6" t="str">
        <f ca="1">IFERROR(__xludf.DUMMYFUNCTION("""COMPUTED_VALUE"""),"Новый")</f>
        <v>Новый</v>
      </c>
      <c r="G7606" s="68"/>
      <c r="K7606" s="68"/>
    </row>
    <row r="7607" spans="1:17" ht="12.75">
      <c r="A7607" s="69">
        <f ca="1">IFERROR(__xludf.DUMMYFUNCTION("""COMPUTED_VALUE"""),109286)</f>
        <v>109286</v>
      </c>
      <c r="B7607" s="4">
        <f ca="1">IFERROR(__xludf.DUMMYFUNCTION("""COMPUTED_VALUE"""),44841)</f>
        <v>44841</v>
      </c>
      <c r="C7607" t="str">
        <f ca="1">IFERROR(__xludf.DUMMYFUNCTION("""COMPUTED_VALUE"""),"БУ Г. ОМСКА ""УДХБ"" 216-РДО от 03.10.2022")</f>
        <v>БУ Г. ОМСКА "УДХБ" 216-РДО от 03.10.2022</v>
      </c>
      <c r="D76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7" t="str">
        <f ca="1">IFERROR(__xludf.DUMMYFUNCTION("""COMPUTED_VALUE"""),"Новый")</f>
        <v>Новый</v>
      </c>
      <c r="G7607" s="68"/>
      <c r="K7607" s="68"/>
    </row>
    <row r="7608" spans="1:17" ht="12.75">
      <c r="A7608" s="69">
        <f ca="1">IFERROR(__xludf.DUMMYFUNCTION("""COMPUTED_VALUE"""),109287)</f>
        <v>109287</v>
      </c>
      <c r="B7608" s="4">
        <f ca="1">IFERROR(__xludf.DUMMYFUNCTION("""COMPUTED_VALUE"""),44841)</f>
        <v>44841</v>
      </c>
      <c r="C7608" t="str">
        <f ca="1">IFERROR(__xludf.DUMMYFUNCTION("""COMPUTED_VALUE"""),"БУ Г. ОМСКА ""УДХБ"" 216-РДО от 03.10.2022")</f>
        <v>БУ Г. ОМСКА "УДХБ" 216-РДО от 03.10.2022</v>
      </c>
      <c r="D76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8" t="str">
        <f ca="1">IFERROR(__xludf.DUMMYFUNCTION("""COMPUTED_VALUE"""),"Новый")</f>
        <v>Новый</v>
      </c>
      <c r="G7608" s="68"/>
      <c r="K7608" s="68"/>
    </row>
    <row r="7609" spans="1:17" ht="12.75">
      <c r="A7609" s="69">
        <f ca="1">IFERROR(__xludf.DUMMYFUNCTION("""COMPUTED_VALUE"""),109288)</f>
        <v>109288</v>
      </c>
      <c r="B7609" s="4">
        <f ca="1">IFERROR(__xludf.DUMMYFUNCTION("""COMPUTED_VALUE"""),44841)</f>
        <v>44841</v>
      </c>
      <c r="C7609" t="str">
        <f ca="1">IFERROR(__xludf.DUMMYFUNCTION("""COMPUTED_VALUE"""),"БУ Г. ОМСКА ""УДХБ"" 216-РДО от 03.10.2022")</f>
        <v>БУ Г. ОМСКА "УДХБ" 216-РДО от 03.10.2022</v>
      </c>
      <c r="D76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09" t="str">
        <f ca="1">IFERROR(__xludf.DUMMYFUNCTION("""COMPUTED_VALUE"""),"Новый")</f>
        <v>Новый</v>
      </c>
      <c r="G7609" s="68"/>
      <c r="K7609" s="68"/>
    </row>
    <row r="7610" spans="1:17" ht="12.75">
      <c r="A7610" s="69">
        <f ca="1">IFERROR(__xludf.DUMMYFUNCTION("""COMPUTED_VALUE"""),109289)</f>
        <v>109289</v>
      </c>
      <c r="B7610" s="4">
        <f ca="1">IFERROR(__xludf.DUMMYFUNCTION("""COMPUTED_VALUE"""),44841)</f>
        <v>44841</v>
      </c>
      <c r="C7610" t="str">
        <f ca="1">IFERROR(__xludf.DUMMYFUNCTION("""COMPUTED_VALUE"""),"БУ Г. ОМСКА ""УДХБ"" 216-РДО от 03.10.2022")</f>
        <v>БУ Г. ОМСКА "УДХБ" 216-РДО от 03.10.2022</v>
      </c>
      <c r="D76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0" t="str">
        <f ca="1">IFERROR(__xludf.DUMMYFUNCTION("""COMPUTED_VALUE"""),"Новый")</f>
        <v>Новый</v>
      </c>
      <c r="G7610" s="68"/>
      <c r="K7610" s="68"/>
    </row>
    <row r="7611" spans="1:17" ht="12.75">
      <c r="A7611" s="69">
        <f ca="1">IFERROR(__xludf.DUMMYFUNCTION("""COMPUTED_VALUE"""),109290)</f>
        <v>109290</v>
      </c>
      <c r="B7611" s="4">
        <f ca="1">IFERROR(__xludf.DUMMYFUNCTION("""COMPUTED_VALUE"""),44841)</f>
        <v>44841</v>
      </c>
      <c r="C7611" t="str">
        <f ca="1">IFERROR(__xludf.DUMMYFUNCTION("""COMPUTED_VALUE"""),"БУ Г. ОМСКА ""УДХБ"" 216-РДО от 03.10.2022")</f>
        <v>БУ Г. ОМСКА "УДХБ" 216-РДО от 03.10.2022</v>
      </c>
      <c r="D76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1" t="str">
        <f ca="1">IFERROR(__xludf.DUMMYFUNCTION("""COMPUTED_VALUE"""),"Новый")</f>
        <v>Новый</v>
      </c>
      <c r="G7611" s="68"/>
      <c r="K7611" s="68"/>
    </row>
    <row r="7612" spans="1:17" ht="12.75">
      <c r="A7612" s="69">
        <f ca="1">IFERROR(__xludf.DUMMYFUNCTION("""COMPUTED_VALUE"""),109291)</f>
        <v>109291</v>
      </c>
      <c r="B7612" s="4">
        <f ca="1">IFERROR(__xludf.DUMMYFUNCTION("""COMPUTED_VALUE"""),44841)</f>
        <v>44841</v>
      </c>
      <c r="C7612" t="str">
        <f ca="1">IFERROR(__xludf.DUMMYFUNCTION("""COMPUTED_VALUE"""),"БУ Г. ОМСКА ""УДХБ"" 216-РДО от 03.10.2022")</f>
        <v>БУ Г. ОМСКА "УДХБ" 216-РДО от 03.10.2022</v>
      </c>
      <c r="D76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2" t="str">
        <f ca="1">IFERROR(__xludf.DUMMYFUNCTION("""COMPUTED_VALUE"""),"Новый")</f>
        <v>Новый</v>
      </c>
      <c r="G7612" s="68"/>
      <c r="K7612" s="68"/>
    </row>
    <row r="7613" spans="1:17" ht="12.75">
      <c r="A7613" s="69">
        <f ca="1">IFERROR(__xludf.DUMMYFUNCTION("""COMPUTED_VALUE"""),109292)</f>
        <v>109292</v>
      </c>
      <c r="B7613" s="4">
        <f ca="1">IFERROR(__xludf.DUMMYFUNCTION("""COMPUTED_VALUE"""),44841)</f>
        <v>44841</v>
      </c>
      <c r="C7613" t="str">
        <f ca="1">IFERROR(__xludf.DUMMYFUNCTION("""COMPUTED_VALUE"""),"БУ Г. ОМСКА ""УДХБ"" 216-РДО от 03.10.2022")</f>
        <v>БУ Г. ОМСКА "УДХБ" 216-РДО от 03.10.2022</v>
      </c>
      <c r="D76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3" t="str">
        <f ca="1">IFERROR(__xludf.DUMMYFUNCTION("""COMPUTED_VALUE"""),"Новый")</f>
        <v>Новый</v>
      </c>
      <c r="G7613" s="68"/>
      <c r="K7613" s="68"/>
    </row>
    <row r="7614" spans="1:17" ht="12.75">
      <c r="A7614" s="69">
        <f ca="1">IFERROR(__xludf.DUMMYFUNCTION("""COMPUTED_VALUE"""),109293)</f>
        <v>109293</v>
      </c>
      <c r="B7614" s="4">
        <f ca="1">IFERROR(__xludf.DUMMYFUNCTION("""COMPUTED_VALUE"""),44841)</f>
        <v>44841</v>
      </c>
      <c r="C7614" t="str">
        <f ca="1">IFERROR(__xludf.DUMMYFUNCTION("""COMPUTED_VALUE"""),"БУ Г. ОМСКА ""УДХБ"" 216-РДО от 03.10.2022")</f>
        <v>БУ Г. ОМСКА "УДХБ" 216-РДО от 03.10.2022</v>
      </c>
      <c r="D76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4" t="str">
        <f ca="1">IFERROR(__xludf.DUMMYFUNCTION("""COMPUTED_VALUE"""),"Новый")</f>
        <v>Новый</v>
      </c>
      <c r="G7614" s="68"/>
      <c r="K7614" s="68"/>
    </row>
    <row r="7615" spans="1:17" ht="12.75">
      <c r="A7615" s="69">
        <f ca="1">IFERROR(__xludf.DUMMYFUNCTION("""COMPUTED_VALUE"""),109294)</f>
        <v>109294</v>
      </c>
      <c r="B7615" s="4">
        <f ca="1">IFERROR(__xludf.DUMMYFUNCTION("""COMPUTED_VALUE"""),44841)</f>
        <v>44841</v>
      </c>
      <c r="C7615" t="str">
        <f ca="1">IFERROR(__xludf.DUMMYFUNCTION("""COMPUTED_VALUE"""),"БУ Г. ОМСКА ""УДХБ"" 216-РДО от 03.10.2022")</f>
        <v>БУ Г. ОМСКА "УДХБ" 216-РДО от 03.10.2022</v>
      </c>
      <c r="D76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5" t="str">
        <f ca="1">IFERROR(__xludf.DUMMYFUNCTION("""COMPUTED_VALUE"""),"Новый")</f>
        <v>Новый</v>
      </c>
      <c r="G7615" s="68"/>
      <c r="K7615" s="68"/>
    </row>
    <row r="7616" spans="1:17" ht="12.75">
      <c r="A7616" s="69">
        <f ca="1">IFERROR(__xludf.DUMMYFUNCTION("""COMPUTED_VALUE"""),109295)</f>
        <v>109295</v>
      </c>
      <c r="B7616" s="4">
        <f ca="1">IFERROR(__xludf.DUMMYFUNCTION("""COMPUTED_VALUE"""),44841)</f>
        <v>44841</v>
      </c>
      <c r="C7616" t="str">
        <f ca="1">IFERROR(__xludf.DUMMYFUNCTION("""COMPUTED_VALUE"""),"БУ Г. ОМСКА ""УДХБ"" 216-РДО от 03.10.2022")</f>
        <v>БУ Г. ОМСКА "УДХБ" 216-РДО от 03.10.2022</v>
      </c>
      <c r="D76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6" t="str">
        <f ca="1">IFERROR(__xludf.DUMMYFUNCTION("""COMPUTED_VALUE"""),"Новый")</f>
        <v>Новый</v>
      </c>
      <c r="G7616" s="68"/>
      <c r="K7616" s="68"/>
    </row>
    <row r="7617" spans="1:11" ht="12.75">
      <c r="A7617" s="69">
        <f ca="1">IFERROR(__xludf.DUMMYFUNCTION("""COMPUTED_VALUE"""),109296)</f>
        <v>109296</v>
      </c>
      <c r="B7617" s="4">
        <f ca="1">IFERROR(__xludf.DUMMYFUNCTION("""COMPUTED_VALUE"""),44841)</f>
        <v>44841</v>
      </c>
      <c r="C7617" t="str">
        <f ca="1">IFERROR(__xludf.DUMMYFUNCTION("""COMPUTED_VALUE"""),"БУ Г. ОМСКА ""УДХБ"" 216-РДО от 03.10.2022")</f>
        <v>БУ Г. ОМСКА "УДХБ" 216-РДО от 03.10.2022</v>
      </c>
      <c r="D76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7" t="str">
        <f ca="1">IFERROR(__xludf.DUMMYFUNCTION("""COMPUTED_VALUE"""),"Новый")</f>
        <v>Новый</v>
      </c>
      <c r="G7617" s="68"/>
      <c r="K7617" s="68"/>
    </row>
    <row r="7618" spans="1:11" ht="12.75">
      <c r="A7618" s="69">
        <f ca="1">IFERROR(__xludf.DUMMYFUNCTION("""COMPUTED_VALUE"""),109297)</f>
        <v>109297</v>
      </c>
      <c r="B7618" s="4">
        <f ca="1">IFERROR(__xludf.DUMMYFUNCTION("""COMPUTED_VALUE"""),44841)</f>
        <v>44841</v>
      </c>
      <c r="C7618" t="str">
        <f ca="1">IFERROR(__xludf.DUMMYFUNCTION("""COMPUTED_VALUE"""),"БУ Г. ОМСКА ""УДХБ"" 216-РДО от 03.10.2022")</f>
        <v>БУ Г. ОМСКА "УДХБ" 216-РДО от 03.10.2022</v>
      </c>
      <c r="D76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8" t="str">
        <f ca="1">IFERROR(__xludf.DUMMYFUNCTION("""COMPUTED_VALUE"""),"Новый")</f>
        <v>Новый</v>
      </c>
      <c r="G7618" s="68"/>
      <c r="K7618" s="68"/>
    </row>
    <row r="7619" spans="1:11" ht="12.75">
      <c r="A7619" s="69">
        <f ca="1">IFERROR(__xludf.DUMMYFUNCTION("""COMPUTED_VALUE"""),109298)</f>
        <v>109298</v>
      </c>
      <c r="B7619" s="4">
        <f ca="1">IFERROR(__xludf.DUMMYFUNCTION("""COMPUTED_VALUE"""),44841)</f>
        <v>44841</v>
      </c>
      <c r="C7619" t="str">
        <f ca="1">IFERROR(__xludf.DUMMYFUNCTION("""COMPUTED_VALUE"""),"БУ Г. ОМСКА ""УДХБ"" 216-РДО от 03.10.2022")</f>
        <v>БУ Г. ОМСКА "УДХБ" 216-РДО от 03.10.2022</v>
      </c>
      <c r="D76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19" t="str">
        <f ca="1">IFERROR(__xludf.DUMMYFUNCTION("""COMPUTED_VALUE"""),"Новый")</f>
        <v>Новый</v>
      </c>
      <c r="G7619" s="68"/>
      <c r="K7619" s="68"/>
    </row>
    <row r="7620" spans="1:11" ht="12.75">
      <c r="A7620" s="69">
        <f ca="1">IFERROR(__xludf.DUMMYFUNCTION("""COMPUTED_VALUE"""),109299)</f>
        <v>109299</v>
      </c>
      <c r="B7620" s="4">
        <f ca="1">IFERROR(__xludf.DUMMYFUNCTION("""COMPUTED_VALUE"""),44841)</f>
        <v>44841</v>
      </c>
      <c r="C7620" t="str">
        <f ca="1">IFERROR(__xludf.DUMMYFUNCTION("""COMPUTED_VALUE"""),"БУ Г. ОМСКА ""УДХБ"" 216-РДО от 03.10.2022")</f>
        <v>БУ Г. ОМСКА "УДХБ" 216-РДО от 03.10.2022</v>
      </c>
      <c r="D76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0" t="str">
        <f ca="1">IFERROR(__xludf.DUMMYFUNCTION("""COMPUTED_VALUE"""),"Новый")</f>
        <v>Новый</v>
      </c>
      <c r="G7620" s="68"/>
      <c r="K7620" s="68"/>
    </row>
    <row r="7621" spans="1:11" ht="12.75">
      <c r="A7621" s="69">
        <f ca="1">IFERROR(__xludf.DUMMYFUNCTION("""COMPUTED_VALUE"""),109300)</f>
        <v>109300</v>
      </c>
      <c r="B7621" s="4">
        <f ca="1">IFERROR(__xludf.DUMMYFUNCTION("""COMPUTED_VALUE"""),44841)</f>
        <v>44841</v>
      </c>
      <c r="C7621" t="str">
        <f ca="1">IFERROR(__xludf.DUMMYFUNCTION("""COMPUTED_VALUE"""),"БУ Г. ОМСКА ""УДХБ"" 216-РДО от 03.10.2022")</f>
        <v>БУ Г. ОМСКА "УДХБ" 216-РДО от 03.10.2022</v>
      </c>
      <c r="D76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1" t="str">
        <f ca="1">IFERROR(__xludf.DUMMYFUNCTION("""COMPUTED_VALUE"""),"Новый")</f>
        <v>Новый</v>
      </c>
      <c r="G7621" s="68"/>
      <c r="K7621" s="68"/>
    </row>
    <row r="7622" spans="1:11" ht="12.75">
      <c r="A7622" s="69">
        <f ca="1">IFERROR(__xludf.DUMMYFUNCTION("""COMPUTED_VALUE"""),109301)</f>
        <v>109301</v>
      </c>
      <c r="B7622" s="4">
        <f ca="1">IFERROR(__xludf.DUMMYFUNCTION("""COMPUTED_VALUE"""),44841)</f>
        <v>44841</v>
      </c>
      <c r="C7622" t="str">
        <f ca="1">IFERROR(__xludf.DUMMYFUNCTION("""COMPUTED_VALUE"""),"БУ Г. ОМСКА ""УДХБ"" 216-РДО от 03.10.2022")</f>
        <v>БУ Г. ОМСКА "УДХБ" 216-РДО от 03.10.2022</v>
      </c>
      <c r="D76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2" t="str">
        <f ca="1">IFERROR(__xludf.DUMMYFUNCTION("""COMPUTED_VALUE"""),"Новый")</f>
        <v>Новый</v>
      </c>
      <c r="G7622" s="68"/>
      <c r="K7622" s="68"/>
    </row>
    <row r="7623" spans="1:11" ht="12.75">
      <c r="A7623" s="69">
        <f ca="1">IFERROR(__xludf.DUMMYFUNCTION("""COMPUTED_VALUE"""),109302)</f>
        <v>109302</v>
      </c>
      <c r="B7623" s="4">
        <f ca="1">IFERROR(__xludf.DUMMYFUNCTION("""COMPUTED_VALUE"""),44841)</f>
        <v>44841</v>
      </c>
      <c r="C7623" t="str">
        <f ca="1">IFERROR(__xludf.DUMMYFUNCTION("""COMPUTED_VALUE"""),"БУ Г. ОМСКА ""УДХБ"" 216-РДО от 03.10.2022")</f>
        <v>БУ Г. ОМСКА "УДХБ" 216-РДО от 03.10.2022</v>
      </c>
      <c r="D76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3" t="str">
        <f ca="1">IFERROR(__xludf.DUMMYFUNCTION("""COMPUTED_VALUE"""),"Новый")</f>
        <v>Новый</v>
      </c>
      <c r="G7623" s="68"/>
      <c r="K7623" s="68"/>
    </row>
    <row r="7624" spans="1:11" ht="12.75">
      <c r="A7624" s="69">
        <f ca="1">IFERROR(__xludf.DUMMYFUNCTION("""COMPUTED_VALUE"""),109303)</f>
        <v>109303</v>
      </c>
      <c r="B7624" s="4">
        <f ca="1">IFERROR(__xludf.DUMMYFUNCTION("""COMPUTED_VALUE"""),44841)</f>
        <v>44841</v>
      </c>
      <c r="C7624" t="str">
        <f ca="1">IFERROR(__xludf.DUMMYFUNCTION("""COMPUTED_VALUE"""),"БУ Г. ОМСКА ""УДХБ"" 216-РДО от 03.10.2022")</f>
        <v>БУ Г. ОМСКА "УДХБ" 216-РДО от 03.10.2022</v>
      </c>
      <c r="D76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4" t="str">
        <f ca="1">IFERROR(__xludf.DUMMYFUNCTION("""COMPUTED_VALUE"""),"Новый")</f>
        <v>Новый</v>
      </c>
      <c r="G7624" s="68"/>
      <c r="K7624" s="68"/>
    </row>
    <row r="7625" spans="1:11" ht="12.75">
      <c r="A7625" s="69">
        <f ca="1">IFERROR(__xludf.DUMMYFUNCTION("""COMPUTED_VALUE"""),109304)</f>
        <v>109304</v>
      </c>
      <c r="B7625" s="4">
        <f ca="1">IFERROR(__xludf.DUMMYFUNCTION("""COMPUTED_VALUE"""),44841)</f>
        <v>44841</v>
      </c>
      <c r="C7625" t="str">
        <f ca="1">IFERROR(__xludf.DUMMYFUNCTION("""COMPUTED_VALUE"""),"БУ Г. ОМСКА ""УДХБ"" 216-РДО от 03.10.2022")</f>
        <v>БУ Г. ОМСКА "УДХБ" 216-РДО от 03.10.2022</v>
      </c>
      <c r="D76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5" t="str">
        <f ca="1">IFERROR(__xludf.DUMMYFUNCTION("""COMPUTED_VALUE"""),"Новый")</f>
        <v>Новый</v>
      </c>
      <c r="G7625" s="68"/>
      <c r="K7625" s="68"/>
    </row>
    <row r="7626" spans="1:11" ht="12.75">
      <c r="A7626" s="69">
        <f ca="1">IFERROR(__xludf.DUMMYFUNCTION("""COMPUTED_VALUE"""),109305)</f>
        <v>109305</v>
      </c>
      <c r="B7626" s="4">
        <f ca="1">IFERROR(__xludf.DUMMYFUNCTION("""COMPUTED_VALUE"""),44841)</f>
        <v>44841</v>
      </c>
      <c r="C7626" t="str">
        <f ca="1">IFERROR(__xludf.DUMMYFUNCTION("""COMPUTED_VALUE"""),"БУ Г. ОМСКА ""УДХБ"" 216-РДО от 03.10.2022")</f>
        <v>БУ Г. ОМСКА "УДХБ" 216-РДО от 03.10.2022</v>
      </c>
      <c r="D76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6" t="str">
        <f ca="1">IFERROR(__xludf.DUMMYFUNCTION("""COMPUTED_VALUE"""),"Новый")</f>
        <v>Новый</v>
      </c>
      <c r="G7626" s="68"/>
      <c r="K7626" s="68"/>
    </row>
    <row r="7627" spans="1:11" ht="12.75">
      <c r="A7627" s="69">
        <f ca="1">IFERROR(__xludf.DUMMYFUNCTION("""COMPUTED_VALUE"""),109306)</f>
        <v>109306</v>
      </c>
      <c r="B7627" s="4">
        <f ca="1">IFERROR(__xludf.DUMMYFUNCTION("""COMPUTED_VALUE"""),44841)</f>
        <v>44841</v>
      </c>
      <c r="C7627" t="str">
        <f ca="1">IFERROR(__xludf.DUMMYFUNCTION("""COMPUTED_VALUE"""),"БУ Г. ОМСКА ""УДХБ"" 216-РДО от 03.10.2022")</f>
        <v>БУ Г. ОМСКА "УДХБ" 216-РДО от 03.10.2022</v>
      </c>
      <c r="D76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7" t="str">
        <f ca="1">IFERROR(__xludf.DUMMYFUNCTION("""COMPUTED_VALUE"""),"Новый")</f>
        <v>Новый</v>
      </c>
      <c r="G7627" s="68"/>
      <c r="K7627" s="68"/>
    </row>
    <row r="7628" spans="1:11" ht="12.75">
      <c r="A7628" s="69">
        <f ca="1">IFERROR(__xludf.DUMMYFUNCTION("""COMPUTED_VALUE"""),109307)</f>
        <v>109307</v>
      </c>
      <c r="B7628" s="4">
        <f ca="1">IFERROR(__xludf.DUMMYFUNCTION("""COMPUTED_VALUE"""),44841)</f>
        <v>44841</v>
      </c>
      <c r="C7628" t="str">
        <f ca="1">IFERROR(__xludf.DUMMYFUNCTION("""COMPUTED_VALUE"""),"БУ Г. ОМСКА ""УДХБ"" 216-РДО от 03.10.2022")</f>
        <v>БУ Г. ОМСКА "УДХБ" 216-РДО от 03.10.2022</v>
      </c>
      <c r="D76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8" t="str">
        <f ca="1">IFERROR(__xludf.DUMMYFUNCTION("""COMPUTED_VALUE"""),"Новый")</f>
        <v>Новый</v>
      </c>
      <c r="G7628" s="68"/>
      <c r="K7628" s="68"/>
    </row>
    <row r="7629" spans="1:11" ht="12.75">
      <c r="A7629" s="69">
        <f ca="1">IFERROR(__xludf.DUMMYFUNCTION("""COMPUTED_VALUE"""),109308)</f>
        <v>109308</v>
      </c>
      <c r="B7629" s="4">
        <f ca="1">IFERROR(__xludf.DUMMYFUNCTION("""COMPUTED_VALUE"""),44841)</f>
        <v>44841</v>
      </c>
      <c r="C7629" t="str">
        <f ca="1">IFERROR(__xludf.DUMMYFUNCTION("""COMPUTED_VALUE"""),"БУ Г. ОМСКА ""УДХБ"" 216-РДО от 03.10.2022")</f>
        <v>БУ Г. ОМСКА "УДХБ" 216-РДО от 03.10.2022</v>
      </c>
      <c r="D76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29" t="str">
        <f ca="1">IFERROR(__xludf.DUMMYFUNCTION("""COMPUTED_VALUE"""),"Новый")</f>
        <v>Новый</v>
      </c>
      <c r="G7629" s="68"/>
      <c r="K7629" s="68"/>
    </row>
    <row r="7630" spans="1:11" ht="12.75">
      <c r="A7630" s="69">
        <f ca="1">IFERROR(__xludf.DUMMYFUNCTION("""COMPUTED_VALUE"""),109309)</f>
        <v>109309</v>
      </c>
      <c r="B7630" s="4">
        <f ca="1">IFERROR(__xludf.DUMMYFUNCTION("""COMPUTED_VALUE"""),44841)</f>
        <v>44841</v>
      </c>
      <c r="C7630" t="str">
        <f ca="1">IFERROR(__xludf.DUMMYFUNCTION("""COMPUTED_VALUE"""),"БУ Г. ОМСКА ""УДХБ"" 216-РДО от 03.10.2022")</f>
        <v>БУ Г. ОМСКА "УДХБ" 216-РДО от 03.10.2022</v>
      </c>
      <c r="D76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0" t="str">
        <f ca="1">IFERROR(__xludf.DUMMYFUNCTION("""COMPUTED_VALUE"""),"Новый")</f>
        <v>Новый</v>
      </c>
      <c r="G7630" s="68"/>
      <c r="K7630" s="68"/>
    </row>
    <row r="7631" spans="1:11" ht="12.75">
      <c r="A7631" s="69">
        <f ca="1">IFERROR(__xludf.DUMMYFUNCTION("""COMPUTED_VALUE"""),109310)</f>
        <v>109310</v>
      </c>
      <c r="B7631" s="4">
        <f ca="1">IFERROR(__xludf.DUMMYFUNCTION("""COMPUTED_VALUE"""),44841)</f>
        <v>44841</v>
      </c>
      <c r="C7631" t="str">
        <f ca="1">IFERROR(__xludf.DUMMYFUNCTION("""COMPUTED_VALUE"""),"БУ Г. ОМСКА ""УДХБ"" 216-РДО от 03.10.2022")</f>
        <v>БУ Г. ОМСКА "УДХБ" 216-РДО от 03.10.2022</v>
      </c>
      <c r="D76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1" t="str">
        <f ca="1">IFERROR(__xludf.DUMMYFUNCTION("""COMPUTED_VALUE"""),"Новый")</f>
        <v>Новый</v>
      </c>
      <c r="G7631" s="68"/>
      <c r="K7631" s="68"/>
    </row>
    <row r="7632" spans="1:11" ht="12.75">
      <c r="A7632" s="69">
        <f ca="1">IFERROR(__xludf.DUMMYFUNCTION("""COMPUTED_VALUE"""),109311)</f>
        <v>109311</v>
      </c>
      <c r="B7632" s="4">
        <f ca="1">IFERROR(__xludf.DUMMYFUNCTION("""COMPUTED_VALUE"""),44841)</f>
        <v>44841</v>
      </c>
      <c r="C7632" t="str">
        <f ca="1">IFERROR(__xludf.DUMMYFUNCTION("""COMPUTED_VALUE"""),"БУ Г. ОМСКА ""УДХБ"" 216-РДО от 03.10.2022")</f>
        <v>БУ Г. ОМСКА "УДХБ" 216-РДО от 03.10.2022</v>
      </c>
      <c r="D76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2" t="str">
        <f ca="1">IFERROR(__xludf.DUMMYFUNCTION("""COMPUTED_VALUE"""),"Новый")</f>
        <v>Новый</v>
      </c>
      <c r="G7632" s="68"/>
      <c r="K7632" s="68"/>
    </row>
    <row r="7633" spans="1:11" ht="12.75">
      <c r="A7633" s="69">
        <f ca="1">IFERROR(__xludf.DUMMYFUNCTION("""COMPUTED_VALUE"""),109312)</f>
        <v>109312</v>
      </c>
      <c r="B7633" s="4">
        <f ca="1">IFERROR(__xludf.DUMMYFUNCTION("""COMPUTED_VALUE"""),44841)</f>
        <v>44841</v>
      </c>
      <c r="C7633" t="str">
        <f ca="1">IFERROR(__xludf.DUMMYFUNCTION("""COMPUTED_VALUE"""),"БУ Г. ОМСКА ""УДХБ"" 216-РДО от 03.10.2022")</f>
        <v>БУ Г. ОМСКА "УДХБ" 216-РДО от 03.10.2022</v>
      </c>
      <c r="D76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3" t="str">
        <f ca="1">IFERROR(__xludf.DUMMYFUNCTION("""COMPUTED_VALUE"""),"Новый")</f>
        <v>Новый</v>
      </c>
      <c r="G7633" s="68"/>
      <c r="K7633" s="68"/>
    </row>
    <row r="7634" spans="1:11" ht="12.75">
      <c r="A7634" s="69">
        <f ca="1">IFERROR(__xludf.DUMMYFUNCTION("""COMPUTED_VALUE"""),109313)</f>
        <v>109313</v>
      </c>
      <c r="B7634" s="4">
        <f ca="1">IFERROR(__xludf.DUMMYFUNCTION("""COMPUTED_VALUE"""),44841)</f>
        <v>44841</v>
      </c>
      <c r="C7634" t="str">
        <f ca="1">IFERROR(__xludf.DUMMYFUNCTION("""COMPUTED_VALUE"""),"БУ Г. ОМСКА ""УДХБ"" 216-РДО от 03.10.2022")</f>
        <v>БУ Г. ОМСКА "УДХБ" 216-РДО от 03.10.2022</v>
      </c>
      <c r="D76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4" t="str">
        <f ca="1">IFERROR(__xludf.DUMMYFUNCTION("""COMPUTED_VALUE"""),"Новый")</f>
        <v>Новый</v>
      </c>
      <c r="G7634" s="68"/>
      <c r="K7634" s="68"/>
    </row>
    <row r="7635" spans="1:11" ht="12.75">
      <c r="A7635" s="69">
        <f ca="1">IFERROR(__xludf.DUMMYFUNCTION("""COMPUTED_VALUE"""),109314)</f>
        <v>109314</v>
      </c>
      <c r="B7635" s="4">
        <f ca="1">IFERROR(__xludf.DUMMYFUNCTION("""COMPUTED_VALUE"""),44841)</f>
        <v>44841</v>
      </c>
      <c r="C7635" t="str">
        <f ca="1">IFERROR(__xludf.DUMMYFUNCTION("""COMPUTED_VALUE"""),"БУ Г. ОМСКА ""УДХБ"" 216-РДО от 03.10.2022")</f>
        <v>БУ Г. ОМСКА "УДХБ" 216-РДО от 03.10.2022</v>
      </c>
      <c r="D76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5" t="str">
        <f ca="1">IFERROR(__xludf.DUMMYFUNCTION("""COMPUTED_VALUE"""),"Новый")</f>
        <v>Новый</v>
      </c>
      <c r="G7635" s="68"/>
      <c r="K7635" s="68"/>
    </row>
    <row r="7636" spans="1:11" ht="12.75">
      <c r="A7636" s="69">
        <f ca="1">IFERROR(__xludf.DUMMYFUNCTION("""COMPUTED_VALUE"""),109315)</f>
        <v>109315</v>
      </c>
      <c r="B7636" s="4">
        <f ca="1">IFERROR(__xludf.DUMMYFUNCTION("""COMPUTED_VALUE"""),44841)</f>
        <v>44841</v>
      </c>
      <c r="C7636" t="str">
        <f ca="1">IFERROR(__xludf.DUMMYFUNCTION("""COMPUTED_VALUE"""),"БУ Г. ОМСКА ""УДХБ"" 216-РДО от 03.10.2022")</f>
        <v>БУ Г. ОМСКА "УДХБ" 216-РДО от 03.10.2022</v>
      </c>
      <c r="D76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6" t="str">
        <f ca="1">IFERROR(__xludf.DUMMYFUNCTION("""COMPUTED_VALUE"""),"Новый")</f>
        <v>Новый</v>
      </c>
      <c r="G7636" s="68"/>
      <c r="K7636" s="68"/>
    </row>
    <row r="7637" spans="1:11" ht="12.75">
      <c r="A7637" s="69">
        <f ca="1">IFERROR(__xludf.DUMMYFUNCTION("""COMPUTED_VALUE"""),109316)</f>
        <v>109316</v>
      </c>
      <c r="B7637" s="4">
        <f ca="1">IFERROR(__xludf.DUMMYFUNCTION("""COMPUTED_VALUE"""),44841)</f>
        <v>44841</v>
      </c>
      <c r="C7637" t="str">
        <f ca="1">IFERROR(__xludf.DUMMYFUNCTION("""COMPUTED_VALUE"""),"БУ Г. ОМСКА ""УДХБ"" 216-РДО от 03.10.2022")</f>
        <v>БУ Г. ОМСКА "УДХБ" 216-РДО от 03.10.2022</v>
      </c>
      <c r="D76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7" t="str">
        <f ca="1">IFERROR(__xludf.DUMMYFUNCTION("""COMPUTED_VALUE"""),"Новый")</f>
        <v>Новый</v>
      </c>
      <c r="G7637" s="68"/>
      <c r="K7637" s="68"/>
    </row>
    <row r="7638" spans="1:11" ht="12.75">
      <c r="A7638" s="69">
        <f ca="1">IFERROR(__xludf.DUMMYFUNCTION("""COMPUTED_VALUE"""),109317)</f>
        <v>109317</v>
      </c>
      <c r="B7638" s="4">
        <f ca="1">IFERROR(__xludf.DUMMYFUNCTION("""COMPUTED_VALUE"""),44841)</f>
        <v>44841</v>
      </c>
      <c r="C7638" t="str">
        <f ca="1">IFERROR(__xludf.DUMMYFUNCTION("""COMPUTED_VALUE"""),"БУ Г. ОМСКА ""УДХБ"" 216-РДО от 03.10.2022")</f>
        <v>БУ Г. ОМСКА "УДХБ" 216-РДО от 03.10.2022</v>
      </c>
      <c r="D76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8" t="str">
        <f ca="1">IFERROR(__xludf.DUMMYFUNCTION("""COMPUTED_VALUE"""),"Новый")</f>
        <v>Новый</v>
      </c>
      <c r="G7638" s="68"/>
      <c r="K7638" s="68"/>
    </row>
    <row r="7639" spans="1:11" ht="12.75">
      <c r="A7639" s="69">
        <f ca="1">IFERROR(__xludf.DUMMYFUNCTION("""COMPUTED_VALUE"""),109318)</f>
        <v>109318</v>
      </c>
      <c r="B7639" s="4">
        <f ca="1">IFERROR(__xludf.DUMMYFUNCTION("""COMPUTED_VALUE"""),44841)</f>
        <v>44841</v>
      </c>
      <c r="C7639" t="str">
        <f ca="1">IFERROR(__xludf.DUMMYFUNCTION("""COMPUTED_VALUE"""),"БУ Г. ОМСКА ""УДХБ"" 216-РДО от 03.10.2022")</f>
        <v>БУ Г. ОМСКА "УДХБ" 216-РДО от 03.10.2022</v>
      </c>
      <c r="D76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39" t="str">
        <f ca="1">IFERROR(__xludf.DUMMYFUNCTION("""COMPUTED_VALUE"""),"Новый")</f>
        <v>Новый</v>
      </c>
      <c r="G7639" s="68"/>
      <c r="K7639" s="68"/>
    </row>
    <row r="7640" spans="1:11" ht="12.75">
      <c r="A7640" s="69">
        <f ca="1">IFERROR(__xludf.DUMMYFUNCTION("""COMPUTED_VALUE"""),109319)</f>
        <v>109319</v>
      </c>
      <c r="B7640" s="4">
        <f ca="1">IFERROR(__xludf.DUMMYFUNCTION("""COMPUTED_VALUE"""),44841)</f>
        <v>44841</v>
      </c>
      <c r="C7640" t="str">
        <f ca="1">IFERROR(__xludf.DUMMYFUNCTION("""COMPUTED_VALUE"""),"БУ Г. ОМСКА ""УДХБ"" 216-РДО от 03.10.2022")</f>
        <v>БУ Г. ОМСКА "УДХБ" 216-РДО от 03.10.2022</v>
      </c>
      <c r="D76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0" t="str">
        <f ca="1">IFERROR(__xludf.DUMMYFUNCTION("""COMPUTED_VALUE"""),"Новый")</f>
        <v>Новый</v>
      </c>
      <c r="G7640" s="68"/>
      <c r="K7640" s="68"/>
    </row>
    <row r="7641" spans="1:11" ht="12.75">
      <c r="A7641" s="69">
        <f ca="1">IFERROR(__xludf.DUMMYFUNCTION("""COMPUTED_VALUE"""),109320)</f>
        <v>109320</v>
      </c>
      <c r="B7641" s="4">
        <f ca="1">IFERROR(__xludf.DUMMYFUNCTION("""COMPUTED_VALUE"""),44841)</f>
        <v>44841</v>
      </c>
      <c r="C7641" t="str">
        <f ca="1">IFERROR(__xludf.DUMMYFUNCTION("""COMPUTED_VALUE"""),"БУ Г. ОМСКА ""УДХБ"" 216-РДО от 03.10.2022")</f>
        <v>БУ Г. ОМСКА "УДХБ" 216-РДО от 03.10.2022</v>
      </c>
      <c r="D76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1" t="str">
        <f ca="1">IFERROR(__xludf.DUMMYFUNCTION("""COMPUTED_VALUE"""),"Новый")</f>
        <v>Новый</v>
      </c>
      <c r="G7641" s="68"/>
      <c r="K7641" s="68"/>
    </row>
    <row r="7642" spans="1:11" ht="12.75">
      <c r="A7642" s="69">
        <f ca="1">IFERROR(__xludf.DUMMYFUNCTION("""COMPUTED_VALUE"""),109321)</f>
        <v>109321</v>
      </c>
      <c r="B7642" s="4">
        <f ca="1">IFERROR(__xludf.DUMMYFUNCTION("""COMPUTED_VALUE"""),44841)</f>
        <v>44841</v>
      </c>
      <c r="C7642" t="str">
        <f ca="1">IFERROR(__xludf.DUMMYFUNCTION("""COMPUTED_VALUE"""),"БУ Г. ОМСКА ""УДХБ"" 216-РДО от 03.10.2022")</f>
        <v>БУ Г. ОМСКА "УДХБ" 216-РДО от 03.10.2022</v>
      </c>
      <c r="D76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2" t="str">
        <f ca="1">IFERROR(__xludf.DUMMYFUNCTION("""COMPUTED_VALUE"""),"Новый")</f>
        <v>Новый</v>
      </c>
      <c r="G7642" s="68"/>
      <c r="K7642" s="68"/>
    </row>
    <row r="7643" spans="1:11" ht="12.75">
      <c r="A7643" s="69">
        <f ca="1">IFERROR(__xludf.DUMMYFUNCTION("""COMPUTED_VALUE"""),109322)</f>
        <v>109322</v>
      </c>
      <c r="B7643" s="4">
        <f ca="1">IFERROR(__xludf.DUMMYFUNCTION("""COMPUTED_VALUE"""),44841)</f>
        <v>44841</v>
      </c>
      <c r="C7643" t="str">
        <f ca="1">IFERROR(__xludf.DUMMYFUNCTION("""COMPUTED_VALUE"""),"БУ Г. ОМСКА ""УДХБ"" 216-РДО от 03.10.2022")</f>
        <v>БУ Г. ОМСКА "УДХБ" 216-РДО от 03.10.2022</v>
      </c>
      <c r="D76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3" t="str">
        <f ca="1">IFERROR(__xludf.DUMMYFUNCTION("""COMPUTED_VALUE"""),"Новый")</f>
        <v>Новый</v>
      </c>
      <c r="G7643" s="68"/>
      <c r="K7643" s="68"/>
    </row>
    <row r="7644" spans="1:11" ht="12.75">
      <c r="A7644" s="69">
        <f ca="1">IFERROR(__xludf.DUMMYFUNCTION("""COMPUTED_VALUE"""),109323)</f>
        <v>109323</v>
      </c>
      <c r="B7644" s="4">
        <f ca="1">IFERROR(__xludf.DUMMYFUNCTION("""COMPUTED_VALUE"""),44841)</f>
        <v>44841</v>
      </c>
      <c r="C7644" t="str">
        <f ca="1">IFERROR(__xludf.DUMMYFUNCTION("""COMPUTED_VALUE"""),"БУ Г. ОМСКА ""УДХБ"" 216-РДО от 03.10.2022")</f>
        <v>БУ Г. ОМСКА "УДХБ" 216-РДО от 03.10.2022</v>
      </c>
      <c r="D76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4" t="str">
        <f ca="1">IFERROR(__xludf.DUMMYFUNCTION("""COMPUTED_VALUE"""),"Новый")</f>
        <v>Новый</v>
      </c>
      <c r="G7644" s="68"/>
      <c r="K7644" s="68"/>
    </row>
    <row r="7645" spans="1:11" ht="12.75">
      <c r="A7645" s="69">
        <f ca="1">IFERROR(__xludf.DUMMYFUNCTION("""COMPUTED_VALUE"""),109324)</f>
        <v>109324</v>
      </c>
      <c r="B7645" s="4">
        <f ca="1">IFERROR(__xludf.DUMMYFUNCTION("""COMPUTED_VALUE"""),44841)</f>
        <v>44841</v>
      </c>
      <c r="C7645" t="str">
        <f ca="1">IFERROR(__xludf.DUMMYFUNCTION("""COMPUTED_VALUE"""),"БУ Г. ОМСКА ""УДХБ"" 216-РДО от 03.10.2022")</f>
        <v>БУ Г. ОМСКА "УДХБ" 216-РДО от 03.10.2022</v>
      </c>
      <c r="D76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5" t="str">
        <f ca="1">IFERROR(__xludf.DUMMYFUNCTION("""COMPUTED_VALUE"""),"Новый")</f>
        <v>Новый</v>
      </c>
      <c r="G7645" s="68"/>
      <c r="K7645" s="68"/>
    </row>
    <row r="7646" spans="1:11" ht="12.75">
      <c r="A7646" s="69">
        <f ca="1">IFERROR(__xludf.DUMMYFUNCTION("""COMPUTED_VALUE"""),109325)</f>
        <v>109325</v>
      </c>
      <c r="B7646" s="4">
        <f ca="1">IFERROR(__xludf.DUMMYFUNCTION("""COMPUTED_VALUE"""),44841)</f>
        <v>44841</v>
      </c>
      <c r="C7646" t="str">
        <f ca="1">IFERROR(__xludf.DUMMYFUNCTION("""COMPUTED_VALUE"""),"БУ Г. ОМСКА ""УДХБ"" 216-РДО от 03.10.2022")</f>
        <v>БУ Г. ОМСКА "УДХБ" 216-РДО от 03.10.2022</v>
      </c>
      <c r="D76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6" t="str">
        <f ca="1">IFERROR(__xludf.DUMMYFUNCTION("""COMPUTED_VALUE"""),"Новый")</f>
        <v>Новый</v>
      </c>
      <c r="G7646" s="68"/>
      <c r="K7646" s="68"/>
    </row>
    <row r="7647" spans="1:11" ht="12.75">
      <c r="A7647" s="69">
        <f ca="1">IFERROR(__xludf.DUMMYFUNCTION("""COMPUTED_VALUE"""),109326)</f>
        <v>109326</v>
      </c>
      <c r="B7647" s="4">
        <f ca="1">IFERROR(__xludf.DUMMYFUNCTION("""COMPUTED_VALUE"""),44841)</f>
        <v>44841</v>
      </c>
      <c r="C7647" t="str">
        <f ca="1">IFERROR(__xludf.DUMMYFUNCTION("""COMPUTED_VALUE"""),"БУ Г. ОМСКА ""УДХБ"" 216-РДО от 03.10.2022")</f>
        <v>БУ Г. ОМСКА "УДХБ" 216-РДО от 03.10.2022</v>
      </c>
      <c r="D76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7" t="str">
        <f ca="1">IFERROR(__xludf.DUMMYFUNCTION("""COMPUTED_VALUE"""),"Новый")</f>
        <v>Новый</v>
      </c>
      <c r="G7647" s="68"/>
      <c r="K7647" s="68"/>
    </row>
    <row r="7648" spans="1:11" ht="12.75">
      <c r="A7648" s="69">
        <f ca="1">IFERROR(__xludf.DUMMYFUNCTION("""COMPUTED_VALUE"""),109327)</f>
        <v>109327</v>
      </c>
      <c r="B7648" s="4">
        <f ca="1">IFERROR(__xludf.DUMMYFUNCTION("""COMPUTED_VALUE"""),44841)</f>
        <v>44841</v>
      </c>
      <c r="C7648" t="str">
        <f ca="1">IFERROR(__xludf.DUMMYFUNCTION("""COMPUTED_VALUE"""),"БУ Г. ОМСКА ""УДХБ"" 216-РДО от 03.10.2022")</f>
        <v>БУ Г. ОМСКА "УДХБ" 216-РДО от 03.10.2022</v>
      </c>
      <c r="D76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8" t="str">
        <f ca="1">IFERROR(__xludf.DUMMYFUNCTION("""COMPUTED_VALUE"""),"Новый")</f>
        <v>Новый</v>
      </c>
      <c r="G7648" s="68"/>
      <c r="K7648" s="68"/>
    </row>
    <row r="7649" spans="1:11" ht="12.75">
      <c r="A7649" s="69">
        <f ca="1">IFERROR(__xludf.DUMMYFUNCTION("""COMPUTED_VALUE"""),109328)</f>
        <v>109328</v>
      </c>
      <c r="B7649" s="4">
        <f ca="1">IFERROR(__xludf.DUMMYFUNCTION("""COMPUTED_VALUE"""),44841)</f>
        <v>44841</v>
      </c>
      <c r="C7649" t="str">
        <f ca="1">IFERROR(__xludf.DUMMYFUNCTION("""COMPUTED_VALUE"""),"БУ Г. ОМСКА ""УДХБ"" 216-РДО от 03.10.2022")</f>
        <v>БУ Г. ОМСКА "УДХБ" 216-РДО от 03.10.2022</v>
      </c>
      <c r="D76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49" t="str">
        <f ca="1">IFERROR(__xludf.DUMMYFUNCTION("""COMPUTED_VALUE"""),"Новый")</f>
        <v>Новый</v>
      </c>
      <c r="G7649" s="68"/>
      <c r="K7649" s="68"/>
    </row>
    <row r="7650" spans="1:11" ht="12.75">
      <c r="A7650" s="69">
        <f ca="1">IFERROR(__xludf.DUMMYFUNCTION("""COMPUTED_VALUE"""),109329)</f>
        <v>109329</v>
      </c>
      <c r="B7650" s="4">
        <f ca="1">IFERROR(__xludf.DUMMYFUNCTION("""COMPUTED_VALUE"""),44841)</f>
        <v>44841</v>
      </c>
      <c r="C7650" t="str">
        <f ca="1">IFERROR(__xludf.DUMMYFUNCTION("""COMPUTED_VALUE"""),"БУ Г. ОМСКА ""УДХБ"" 216-РДО от 03.10.2022")</f>
        <v>БУ Г. ОМСКА "УДХБ" 216-РДО от 03.10.2022</v>
      </c>
      <c r="D76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0" t="str">
        <f ca="1">IFERROR(__xludf.DUMMYFUNCTION("""COMPUTED_VALUE"""),"Новый")</f>
        <v>Новый</v>
      </c>
      <c r="G7650" s="68"/>
      <c r="K7650" s="68"/>
    </row>
    <row r="7651" spans="1:11" ht="12.75">
      <c r="A7651" s="69">
        <f ca="1">IFERROR(__xludf.DUMMYFUNCTION("""COMPUTED_VALUE"""),109330)</f>
        <v>109330</v>
      </c>
      <c r="B7651" s="4">
        <f ca="1">IFERROR(__xludf.DUMMYFUNCTION("""COMPUTED_VALUE"""),44841)</f>
        <v>44841</v>
      </c>
      <c r="C7651" t="str">
        <f ca="1">IFERROR(__xludf.DUMMYFUNCTION("""COMPUTED_VALUE"""),"БУ Г. ОМСКА ""УДХБ"" 216-РДО от 03.10.2022")</f>
        <v>БУ Г. ОМСКА "УДХБ" 216-РДО от 03.10.2022</v>
      </c>
      <c r="D76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1" t="str">
        <f ca="1">IFERROR(__xludf.DUMMYFUNCTION("""COMPUTED_VALUE"""),"Новый")</f>
        <v>Новый</v>
      </c>
      <c r="G7651" s="68"/>
      <c r="K7651" s="68"/>
    </row>
    <row r="7652" spans="1:11" ht="12.75">
      <c r="A7652" s="69">
        <f ca="1">IFERROR(__xludf.DUMMYFUNCTION("""COMPUTED_VALUE"""),109331)</f>
        <v>109331</v>
      </c>
      <c r="B7652" s="4">
        <f ca="1">IFERROR(__xludf.DUMMYFUNCTION("""COMPUTED_VALUE"""),44841)</f>
        <v>44841</v>
      </c>
      <c r="C7652" t="str">
        <f ca="1">IFERROR(__xludf.DUMMYFUNCTION("""COMPUTED_VALUE"""),"БУ Г. ОМСКА ""УДХБ"" 216-РДО от 03.10.2022")</f>
        <v>БУ Г. ОМСКА "УДХБ" 216-РДО от 03.10.2022</v>
      </c>
      <c r="D76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2" t="str">
        <f ca="1">IFERROR(__xludf.DUMMYFUNCTION("""COMPUTED_VALUE"""),"Новый")</f>
        <v>Новый</v>
      </c>
      <c r="G7652" s="68"/>
      <c r="K7652" s="68"/>
    </row>
    <row r="7653" spans="1:11" ht="12.75">
      <c r="A7653" s="69">
        <f ca="1">IFERROR(__xludf.DUMMYFUNCTION("""COMPUTED_VALUE"""),109332)</f>
        <v>109332</v>
      </c>
      <c r="B7653" s="4">
        <f ca="1">IFERROR(__xludf.DUMMYFUNCTION("""COMPUTED_VALUE"""),44841)</f>
        <v>44841</v>
      </c>
      <c r="C7653" t="str">
        <f ca="1">IFERROR(__xludf.DUMMYFUNCTION("""COMPUTED_VALUE"""),"БУ Г. ОМСКА ""УДХБ"" 216-РДО от 03.10.2022")</f>
        <v>БУ Г. ОМСКА "УДХБ" 216-РДО от 03.10.2022</v>
      </c>
      <c r="D76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3" t="str">
        <f ca="1">IFERROR(__xludf.DUMMYFUNCTION("""COMPUTED_VALUE"""),"Новый")</f>
        <v>Новый</v>
      </c>
      <c r="G7653" s="68"/>
      <c r="K7653" s="68"/>
    </row>
    <row r="7654" spans="1:11" ht="12.75">
      <c r="A7654" s="69">
        <f ca="1">IFERROR(__xludf.DUMMYFUNCTION("""COMPUTED_VALUE"""),109333)</f>
        <v>109333</v>
      </c>
      <c r="B7654" s="4">
        <f ca="1">IFERROR(__xludf.DUMMYFUNCTION("""COMPUTED_VALUE"""),44841)</f>
        <v>44841</v>
      </c>
      <c r="C7654" t="str">
        <f ca="1">IFERROR(__xludf.DUMMYFUNCTION("""COMPUTED_VALUE"""),"БУ Г. ОМСКА ""УДХБ"" 216-РДО от 03.10.2022")</f>
        <v>БУ Г. ОМСКА "УДХБ" 216-РДО от 03.10.2022</v>
      </c>
      <c r="D76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4" t="str">
        <f ca="1">IFERROR(__xludf.DUMMYFUNCTION("""COMPUTED_VALUE"""),"Новый")</f>
        <v>Новый</v>
      </c>
      <c r="G7654" s="68"/>
      <c r="K7654" s="68"/>
    </row>
    <row r="7655" spans="1:11" ht="12.75">
      <c r="A7655" s="69">
        <f ca="1">IFERROR(__xludf.DUMMYFUNCTION("""COMPUTED_VALUE"""),109334)</f>
        <v>109334</v>
      </c>
      <c r="B7655" s="4">
        <f ca="1">IFERROR(__xludf.DUMMYFUNCTION("""COMPUTED_VALUE"""),44841)</f>
        <v>44841</v>
      </c>
      <c r="C7655" t="str">
        <f ca="1">IFERROR(__xludf.DUMMYFUNCTION("""COMPUTED_VALUE"""),"БУ Г. ОМСКА ""УДХБ"" 216-РДО от 03.10.2022")</f>
        <v>БУ Г. ОМСКА "УДХБ" 216-РДО от 03.10.2022</v>
      </c>
      <c r="D76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5" t="str">
        <f ca="1">IFERROR(__xludf.DUMMYFUNCTION("""COMPUTED_VALUE"""),"Новый")</f>
        <v>Новый</v>
      </c>
      <c r="G7655" s="68"/>
      <c r="K7655" s="68"/>
    </row>
    <row r="7656" spans="1:11" ht="12.75">
      <c r="A7656" s="69">
        <f ca="1">IFERROR(__xludf.DUMMYFUNCTION("""COMPUTED_VALUE"""),109335)</f>
        <v>109335</v>
      </c>
      <c r="B7656" s="4">
        <f ca="1">IFERROR(__xludf.DUMMYFUNCTION("""COMPUTED_VALUE"""),44841)</f>
        <v>44841</v>
      </c>
      <c r="C7656" t="str">
        <f ca="1">IFERROR(__xludf.DUMMYFUNCTION("""COMPUTED_VALUE"""),"БУ Г. ОМСКА ""УДХБ"" 216-РДО от 03.10.2022")</f>
        <v>БУ Г. ОМСКА "УДХБ" 216-РДО от 03.10.2022</v>
      </c>
      <c r="D76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6" t="str">
        <f ca="1">IFERROR(__xludf.DUMMYFUNCTION("""COMPUTED_VALUE"""),"Новый")</f>
        <v>Новый</v>
      </c>
      <c r="G7656" s="68"/>
      <c r="K7656" s="68"/>
    </row>
    <row r="7657" spans="1:11" ht="12.75">
      <c r="A7657" s="69">
        <f ca="1">IFERROR(__xludf.DUMMYFUNCTION("""COMPUTED_VALUE"""),109336)</f>
        <v>109336</v>
      </c>
      <c r="B7657" s="4">
        <f ca="1">IFERROR(__xludf.DUMMYFUNCTION("""COMPUTED_VALUE"""),44841)</f>
        <v>44841</v>
      </c>
      <c r="C7657" t="str">
        <f ca="1">IFERROR(__xludf.DUMMYFUNCTION("""COMPUTED_VALUE"""),"БУ Г. ОМСКА ""УДХБ"" 216-РДО от 03.10.2022")</f>
        <v>БУ Г. ОМСКА "УДХБ" 216-РДО от 03.10.2022</v>
      </c>
      <c r="D76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7" t="str">
        <f ca="1">IFERROR(__xludf.DUMMYFUNCTION("""COMPUTED_VALUE"""),"Новый")</f>
        <v>Новый</v>
      </c>
      <c r="G7657" s="68"/>
      <c r="K7657" s="68"/>
    </row>
    <row r="7658" spans="1:11" ht="12.75">
      <c r="A7658" s="69">
        <f ca="1">IFERROR(__xludf.DUMMYFUNCTION("""COMPUTED_VALUE"""),109337)</f>
        <v>109337</v>
      </c>
      <c r="B7658" s="4">
        <f ca="1">IFERROR(__xludf.DUMMYFUNCTION("""COMPUTED_VALUE"""),44841)</f>
        <v>44841</v>
      </c>
      <c r="C7658" t="str">
        <f ca="1">IFERROR(__xludf.DUMMYFUNCTION("""COMPUTED_VALUE"""),"БУ Г. ОМСКА ""УДХБ"" 216-РДО от 03.10.2022")</f>
        <v>БУ Г. ОМСКА "УДХБ" 216-РДО от 03.10.2022</v>
      </c>
      <c r="D76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8" t="str">
        <f ca="1">IFERROR(__xludf.DUMMYFUNCTION("""COMPUTED_VALUE"""),"Новый")</f>
        <v>Новый</v>
      </c>
      <c r="G7658" s="68"/>
      <c r="K7658" s="68"/>
    </row>
    <row r="7659" spans="1:11" ht="12.75">
      <c r="A7659" s="69">
        <f ca="1">IFERROR(__xludf.DUMMYFUNCTION("""COMPUTED_VALUE"""),109338)</f>
        <v>109338</v>
      </c>
      <c r="B7659" s="4">
        <f ca="1">IFERROR(__xludf.DUMMYFUNCTION("""COMPUTED_VALUE"""),44841)</f>
        <v>44841</v>
      </c>
      <c r="C7659" t="str">
        <f ca="1">IFERROR(__xludf.DUMMYFUNCTION("""COMPUTED_VALUE"""),"БУ Г. ОМСКА ""УДХБ"" 216-РДО от 03.10.2022")</f>
        <v>БУ Г. ОМСКА "УДХБ" 216-РДО от 03.10.2022</v>
      </c>
      <c r="D76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59" t="str">
        <f ca="1">IFERROR(__xludf.DUMMYFUNCTION("""COMPUTED_VALUE"""),"Новый")</f>
        <v>Новый</v>
      </c>
      <c r="G7659" s="68"/>
      <c r="K7659" s="68"/>
    </row>
    <row r="7660" spans="1:11" ht="12.75">
      <c r="A7660" s="69">
        <f ca="1">IFERROR(__xludf.DUMMYFUNCTION("""COMPUTED_VALUE"""),109339)</f>
        <v>109339</v>
      </c>
      <c r="B7660" s="4">
        <f ca="1">IFERROR(__xludf.DUMMYFUNCTION("""COMPUTED_VALUE"""),44841)</f>
        <v>44841</v>
      </c>
      <c r="C7660" t="str">
        <f ca="1">IFERROR(__xludf.DUMMYFUNCTION("""COMPUTED_VALUE"""),"БУ Г. ОМСКА ""УДХБ"" 216-РДО от 03.10.2022")</f>
        <v>БУ Г. ОМСКА "УДХБ" 216-РДО от 03.10.2022</v>
      </c>
      <c r="D76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0" t="str">
        <f ca="1">IFERROR(__xludf.DUMMYFUNCTION("""COMPUTED_VALUE"""),"Новый")</f>
        <v>Новый</v>
      </c>
      <c r="G7660" s="68"/>
      <c r="K7660" s="68"/>
    </row>
    <row r="7661" spans="1:11" ht="12.75">
      <c r="A7661" s="69">
        <f ca="1">IFERROR(__xludf.DUMMYFUNCTION("""COMPUTED_VALUE"""),109340)</f>
        <v>109340</v>
      </c>
      <c r="B7661" s="4">
        <f ca="1">IFERROR(__xludf.DUMMYFUNCTION("""COMPUTED_VALUE"""),44841)</f>
        <v>44841</v>
      </c>
      <c r="C7661" t="str">
        <f ca="1">IFERROR(__xludf.DUMMYFUNCTION("""COMPUTED_VALUE"""),"БУ Г. ОМСКА ""УДХБ"" 216-РДО от 03.10.2022")</f>
        <v>БУ Г. ОМСКА "УДХБ" 216-РДО от 03.10.2022</v>
      </c>
      <c r="D76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1" t="str">
        <f ca="1">IFERROR(__xludf.DUMMYFUNCTION("""COMPUTED_VALUE"""),"Новый")</f>
        <v>Новый</v>
      </c>
      <c r="G7661" s="68"/>
      <c r="K7661" s="68"/>
    </row>
    <row r="7662" spans="1:11" ht="12.75">
      <c r="A7662" s="69">
        <f ca="1">IFERROR(__xludf.DUMMYFUNCTION("""COMPUTED_VALUE"""),109341)</f>
        <v>109341</v>
      </c>
      <c r="B7662" s="4">
        <f ca="1">IFERROR(__xludf.DUMMYFUNCTION("""COMPUTED_VALUE"""),44841)</f>
        <v>44841</v>
      </c>
      <c r="C7662" t="str">
        <f ca="1">IFERROR(__xludf.DUMMYFUNCTION("""COMPUTED_VALUE"""),"БУ Г. ОМСКА ""УДХБ"" 216-РДО от 03.10.2022")</f>
        <v>БУ Г. ОМСКА "УДХБ" 216-РДО от 03.10.2022</v>
      </c>
      <c r="D76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2" t="str">
        <f ca="1">IFERROR(__xludf.DUMMYFUNCTION("""COMPUTED_VALUE"""),"Новый")</f>
        <v>Новый</v>
      </c>
      <c r="G7662" s="68"/>
      <c r="K7662" s="68"/>
    </row>
    <row r="7663" spans="1:11" ht="12.75">
      <c r="A7663" s="69">
        <f ca="1">IFERROR(__xludf.DUMMYFUNCTION("""COMPUTED_VALUE"""),109342)</f>
        <v>109342</v>
      </c>
      <c r="B7663" s="4">
        <f ca="1">IFERROR(__xludf.DUMMYFUNCTION("""COMPUTED_VALUE"""),44841)</f>
        <v>44841</v>
      </c>
      <c r="C7663" t="str">
        <f ca="1">IFERROR(__xludf.DUMMYFUNCTION("""COMPUTED_VALUE"""),"БУ Г. ОМСКА ""УДХБ"" 216-РДО от 03.10.2022")</f>
        <v>БУ Г. ОМСКА "УДХБ" 216-РДО от 03.10.2022</v>
      </c>
      <c r="D76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3" t="str">
        <f ca="1">IFERROR(__xludf.DUMMYFUNCTION("""COMPUTED_VALUE"""),"Новый")</f>
        <v>Новый</v>
      </c>
      <c r="G7663" s="68"/>
      <c r="K7663" s="68"/>
    </row>
    <row r="7664" spans="1:11" ht="12.75">
      <c r="A7664" s="69">
        <f ca="1">IFERROR(__xludf.DUMMYFUNCTION("""COMPUTED_VALUE"""),109343)</f>
        <v>109343</v>
      </c>
      <c r="B7664" s="4">
        <f ca="1">IFERROR(__xludf.DUMMYFUNCTION("""COMPUTED_VALUE"""),44841)</f>
        <v>44841</v>
      </c>
      <c r="C7664" t="str">
        <f ca="1">IFERROR(__xludf.DUMMYFUNCTION("""COMPUTED_VALUE"""),"БУ Г. ОМСКА ""УДХБ"" 216-РДО от 03.10.2022")</f>
        <v>БУ Г. ОМСКА "УДХБ" 216-РДО от 03.10.2022</v>
      </c>
      <c r="D76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4" t="str">
        <f ca="1">IFERROR(__xludf.DUMMYFUNCTION("""COMPUTED_VALUE"""),"Новый")</f>
        <v>Новый</v>
      </c>
      <c r="G7664" s="68"/>
      <c r="K7664" s="68"/>
    </row>
    <row r="7665" spans="1:11" ht="12.75">
      <c r="A7665" s="69">
        <f ca="1">IFERROR(__xludf.DUMMYFUNCTION("""COMPUTED_VALUE"""),109344)</f>
        <v>109344</v>
      </c>
      <c r="B7665" s="4">
        <f ca="1">IFERROR(__xludf.DUMMYFUNCTION("""COMPUTED_VALUE"""),44841)</f>
        <v>44841</v>
      </c>
      <c r="C7665" t="str">
        <f ca="1">IFERROR(__xludf.DUMMYFUNCTION("""COMPUTED_VALUE"""),"БУ Г. ОМСКА ""УДХБ"" 216-РДО от 03.10.2022")</f>
        <v>БУ Г. ОМСКА "УДХБ" 216-РДО от 03.10.2022</v>
      </c>
      <c r="D76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5" t="str">
        <f ca="1">IFERROR(__xludf.DUMMYFUNCTION("""COMPUTED_VALUE"""),"Новый")</f>
        <v>Новый</v>
      </c>
      <c r="G7665" s="68"/>
      <c r="K7665" s="68"/>
    </row>
    <row r="7666" spans="1:11" ht="12.75">
      <c r="A7666" s="69">
        <f ca="1">IFERROR(__xludf.DUMMYFUNCTION("""COMPUTED_VALUE"""),109345)</f>
        <v>109345</v>
      </c>
      <c r="B7666" s="4">
        <f ca="1">IFERROR(__xludf.DUMMYFUNCTION("""COMPUTED_VALUE"""),44841)</f>
        <v>44841</v>
      </c>
      <c r="C7666" t="str">
        <f ca="1">IFERROR(__xludf.DUMMYFUNCTION("""COMPUTED_VALUE"""),"БУ Г. ОМСКА ""УДХБ"" 216-РДО от 03.10.2022")</f>
        <v>БУ Г. ОМСКА "УДХБ" 216-РДО от 03.10.2022</v>
      </c>
      <c r="D76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6" t="str">
        <f ca="1">IFERROR(__xludf.DUMMYFUNCTION("""COMPUTED_VALUE"""),"Новый")</f>
        <v>Новый</v>
      </c>
      <c r="G7666" s="68"/>
      <c r="K7666" s="68"/>
    </row>
    <row r="7667" spans="1:11" ht="12.75">
      <c r="A7667" s="69">
        <f ca="1">IFERROR(__xludf.DUMMYFUNCTION("""COMPUTED_VALUE"""),109346)</f>
        <v>109346</v>
      </c>
      <c r="B7667" s="4">
        <f ca="1">IFERROR(__xludf.DUMMYFUNCTION("""COMPUTED_VALUE"""),44841)</f>
        <v>44841</v>
      </c>
      <c r="C7667" t="str">
        <f ca="1">IFERROR(__xludf.DUMMYFUNCTION("""COMPUTED_VALUE"""),"БУ Г. ОМСКА ""УДХБ"" 216-РДО от 03.10.2022")</f>
        <v>БУ Г. ОМСКА "УДХБ" 216-РДО от 03.10.2022</v>
      </c>
      <c r="D76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7" t="str">
        <f ca="1">IFERROR(__xludf.DUMMYFUNCTION("""COMPUTED_VALUE"""),"Новый")</f>
        <v>Новый</v>
      </c>
      <c r="G7667" s="68"/>
      <c r="K7667" s="68"/>
    </row>
    <row r="7668" spans="1:11" ht="12.75">
      <c r="A7668" s="69">
        <f ca="1">IFERROR(__xludf.DUMMYFUNCTION("""COMPUTED_VALUE"""),109347)</f>
        <v>109347</v>
      </c>
      <c r="B7668" s="4">
        <f ca="1">IFERROR(__xludf.DUMMYFUNCTION("""COMPUTED_VALUE"""),44841)</f>
        <v>44841</v>
      </c>
      <c r="C7668" t="str">
        <f ca="1">IFERROR(__xludf.DUMMYFUNCTION("""COMPUTED_VALUE"""),"БУ Г. ОМСКА ""УДХБ"" 216-РДО от 03.10.2022")</f>
        <v>БУ Г. ОМСКА "УДХБ" 216-РДО от 03.10.2022</v>
      </c>
      <c r="D76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8" t="str">
        <f ca="1">IFERROR(__xludf.DUMMYFUNCTION("""COMPUTED_VALUE"""),"Новый")</f>
        <v>Новый</v>
      </c>
      <c r="G7668" s="68"/>
      <c r="K7668" s="68"/>
    </row>
    <row r="7669" spans="1:11" ht="12.75">
      <c r="A7669" s="69">
        <f ca="1">IFERROR(__xludf.DUMMYFUNCTION("""COMPUTED_VALUE"""),109348)</f>
        <v>109348</v>
      </c>
      <c r="B7669" s="4">
        <f ca="1">IFERROR(__xludf.DUMMYFUNCTION("""COMPUTED_VALUE"""),44841)</f>
        <v>44841</v>
      </c>
      <c r="C7669" t="str">
        <f ca="1">IFERROR(__xludf.DUMMYFUNCTION("""COMPUTED_VALUE"""),"БУ Г. ОМСКА ""УДХБ"" 216-РДО от 03.10.2022")</f>
        <v>БУ Г. ОМСКА "УДХБ" 216-РДО от 03.10.2022</v>
      </c>
      <c r="D76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69" t="str">
        <f ca="1">IFERROR(__xludf.DUMMYFUNCTION("""COMPUTED_VALUE"""),"Новый")</f>
        <v>Новый</v>
      </c>
      <c r="G7669" s="68"/>
      <c r="K7669" s="68"/>
    </row>
    <row r="7670" spans="1:11" ht="12.75">
      <c r="A7670" s="69">
        <f ca="1">IFERROR(__xludf.DUMMYFUNCTION("""COMPUTED_VALUE"""),109349)</f>
        <v>109349</v>
      </c>
      <c r="B7670" s="4">
        <f ca="1">IFERROR(__xludf.DUMMYFUNCTION("""COMPUTED_VALUE"""),44841)</f>
        <v>44841</v>
      </c>
      <c r="C7670" t="str">
        <f ca="1">IFERROR(__xludf.DUMMYFUNCTION("""COMPUTED_VALUE"""),"БУ Г. ОМСКА ""УДХБ"" 216-РДО от 03.10.2022")</f>
        <v>БУ Г. ОМСКА "УДХБ" 216-РДО от 03.10.2022</v>
      </c>
      <c r="D76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0" t="str">
        <f ca="1">IFERROR(__xludf.DUMMYFUNCTION("""COMPUTED_VALUE"""),"Новый")</f>
        <v>Новый</v>
      </c>
      <c r="G7670" s="68"/>
      <c r="K7670" s="68"/>
    </row>
    <row r="7671" spans="1:11" ht="12.75">
      <c r="A7671" s="69">
        <f ca="1">IFERROR(__xludf.DUMMYFUNCTION("""COMPUTED_VALUE"""),109350)</f>
        <v>109350</v>
      </c>
      <c r="B7671" s="4">
        <f ca="1">IFERROR(__xludf.DUMMYFUNCTION("""COMPUTED_VALUE"""),44841)</f>
        <v>44841</v>
      </c>
      <c r="C7671" t="str">
        <f ca="1">IFERROR(__xludf.DUMMYFUNCTION("""COMPUTED_VALUE"""),"БУ Г. ОМСКА ""УДХБ"" 216-РДО от 03.10.2022")</f>
        <v>БУ Г. ОМСКА "УДХБ" 216-РДО от 03.10.2022</v>
      </c>
      <c r="D76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1" t="str">
        <f ca="1">IFERROR(__xludf.DUMMYFUNCTION("""COMPUTED_VALUE"""),"Новый")</f>
        <v>Новый</v>
      </c>
      <c r="G7671" s="68"/>
      <c r="K7671" s="68"/>
    </row>
    <row r="7672" spans="1:11" ht="12.75">
      <c r="A7672" s="69">
        <f ca="1">IFERROR(__xludf.DUMMYFUNCTION("""COMPUTED_VALUE"""),109351)</f>
        <v>109351</v>
      </c>
      <c r="B7672" s="4">
        <f ca="1">IFERROR(__xludf.DUMMYFUNCTION("""COMPUTED_VALUE"""),44841)</f>
        <v>44841</v>
      </c>
      <c r="C7672" t="str">
        <f ca="1">IFERROR(__xludf.DUMMYFUNCTION("""COMPUTED_VALUE"""),"БУ Г. ОМСКА ""УДХБ"" 216-РДО от 03.10.2022")</f>
        <v>БУ Г. ОМСКА "УДХБ" 216-РДО от 03.10.2022</v>
      </c>
      <c r="D76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2" t="str">
        <f ca="1">IFERROR(__xludf.DUMMYFUNCTION("""COMPUTED_VALUE"""),"Новый")</f>
        <v>Новый</v>
      </c>
      <c r="G7672" s="68"/>
      <c r="K7672" s="68"/>
    </row>
    <row r="7673" spans="1:11" ht="12.75">
      <c r="A7673" s="69">
        <f ca="1">IFERROR(__xludf.DUMMYFUNCTION("""COMPUTED_VALUE"""),109352)</f>
        <v>109352</v>
      </c>
      <c r="B7673" s="4">
        <f ca="1">IFERROR(__xludf.DUMMYFUNCTION("""COMPUTED_VALUE"""),44841)</f>
        <v>44841</v>
      </c>
      <c r="C7673" t="str">
        <f ca="1">IFERROR(__xludf.DUMMYFUNCTION("""COMPUTED_VALUE"""),"БУ Г. ОМСКА ""УДХБ"" 216-РДО от 03.10.2022")</f>
        <v>БУ Г. ОМСКА "УДХБ" 216-РДО от 03.10.2022</v>
      </c>
      <c r="D76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3" t="str">
        <f ca="1">IFERROR(__xludf.DUMMYFUNCTION("""COMPUTED_VALUE"""),"Новый")</f>
        <v>Новый</v>
      </c>
      <c r="G7673" s="68"/>
      <c r="K7673" s="68"/>
    </row>
    <row r="7674" spans="1:11" ht="12.75">
      <c r="A7674" s="69">
        <f ca="1">IFERROR(__xludf.DUMMYFUNCTION("""COMPUTED_VALUE"""),109353)</f>
        <v>109353</v>
      </c>
      <c r="B7674" s="4">
        <f ca="1">IFERROR(__xludf.DUMMYFUNCTION("""COMPUTED_VALUE"""),44841)</f>
        <v>44841</v>
      </c>
      <c r="C7674" t="str">
        <f ca="1">IFERROR(__xludf.DUMMYFUNCTION("""COMPUTED_VALUE"""),"БУ Г. ОМСКА ""УДХБ"" 216-РДО от 03.10.2022")</f>
        <v>БУ Г. ОМСКА "УДХБ" 216-РДО от 03.10.2022</v>
      </c>
      <c r="D76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4" t="str">
        <f ca="1">IFERROR(__xludf.DUMMYFUNCTION("""COMPUTED_VALUE"""),"Новый")</f>
        <v>Новый</v>
      </c>
      <c r="G7674" s="68"/>
      <c r="K7674" s="68"/>
    </row>
    <row r="7675" spans="1:11" ht="12.75">
      <c r="A7675" s="69">
        <f ca="1">IFERROR(__xludf.DUMMYFUNCTION("""COMPUTED_VALUE"""),109354)</f>
        <v>109354</v>
      </c>
      <c r="B7675" s="4">
        <f ca="1">IFERROR(__xludf.DUMMYFUNCTION("""COMPUTED_VALUE"""),44841)</f>
        <v>44841</v>
      </c>
      <c r="C7675" t="str">
        <f ca="1">IFERROR(__xludf.DUMMYFUNCTION("""COMPUTED_VALUE"""),"БУ Г. ОМСКА ""УДХБ"" 216-РДО от 03.10.2022")</f>
        <v>БУ Г. ОМСКА "УДХБ" 216-РДО от 03.10.2022</v>
      </c>
      <c r="D76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5" t="str">
        <f ca="1">IFERROR(__xludf.DUMMYFUNCTION("""COMPUTED_VALUE"""),"Новый")</f>
        <v>Новый</v>
      </c>
      <c r="G7675" s="68"/>
      <c r="K7675" s="68"/>
    </row>
    <row r="7676" spans="1:11" ht="12.75">
      <c r="A7676" s="69">
        <f ca="1">IFERROR(__xludf.DUMMYFUNCTION("""COMPUTED_VALUE"""),109355)</f>
        <v>109355</v>
      </c>
      <c r="B7676" s="4">
        <f ca="1">IFERROR(__xludf.DUMMYFUNCTION("""COMPUTED_VALUE"""),44841)</f>
        <v>44841</v>
      </c>
      <c r="C7676" t="str">
        <f ca="1">IFERROR(__xludf.DUMMYFUNCTION("""COMPUTED_VALUE"""),"БУ Г. ОМСКА ""УДХБ"" 216-РДО от 03.10.2022")</f>
        <v>БУ Г. ОМСКА "УДХБ" 216-РДО от 03.10.2022</v>
      </c>
      <c r="D76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6" t="str">
        <f ca="1">IFERROR(__xludf.DUMMYFUNCTION("""COMPUTED_VALUE"""),"Новый")</f>
        <v>Новый</v>
      </c>
      <c r="G7676" s="68"/>
      <c r="K7676" s="68"/>
    </row>
    <row r="7677" spans="1:11" ht="12.75">
      <c r="A7677" s="69">
        <f ca="1">IFERROR(__xludf.DUMMYFUNCTION("""COMPUTED_VALUE"""),109356)</f>
        <v>109356</v>
      </c>
      <c r="B7677" s="4">
        <f ca="1">IFERROR(__xludf.DUMMYFUNCTION("""COMPUTED_VALUE"""),44841)</f>
        <v>44841</v>
      </c>
      <c r="C7677" t="str">
        <f ca="1">IFERROR(__xludf.DUMMYFUNCTION("""COMPUTED_VALUE"""),"БУ Г. ОМСКА ""УДХБ"" 216-РДО от 03.10.2022")</f>
        <v>БУ Г. ОМСКА "УДХБ" 216-РДО от 03.10.2022</v>
      </c>
      <c r="D76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7" t="str">
        <f ca="1">IFERROR(__xludf.DUMMYFUNCTION("""COMPUTED_VALUE"""),"Новый")</f>
        <v>Новый</v>
      </c>
      <c r="G7677" s="68"/>
      <c r="K7677" s="68"/>
    </row>
    <row r="7678" spans="1:11" ht="12.75">
      <c r="A7678" s="69">
        <f ca="1">IFERROR(__xludf.DUMMYFUNCTION("""COMPUTED_VALUE"""),109357)</f>
        <v>109357</v>
      </c>
      <c r="B7678" s="4">
        <f ca="1">IFERROR(__xludf.DUMMYFUNCTION("""COMPUTED_VALUE"""),44841)</f>
        <v>44841</v>
      </c>
      <c r="C7678" t="str">
        <f ca="1">IFERROR(__xludf.DUMMYFUNCTION("""COMPUTED_VALUE"""),"БУ Г. ОМСКА ""УДХБ"" 216-РДО от 03.10.2022")</f>
        <v>БУ Г. ОМСКА "УДХБ" 216-РДО от 03.10.2022</v>
      </c>
      <c r="D76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8" t="str">
        <f ca="1">IFERROR(__xludf.DUMMYFUNCTION("""COMPUTED_VALUE"""),"Новый")</f>
        <v>Новый</v>
      </c>
      <c r="G7678" s="68"/>
      <c r="K7678" s="68"/>
    </row>
    <row r="7679" spans="1:11" ht="12.75">
      <c r="A7679" s="69">
        <f ca="1">IFERROR(__xludf.DUMMYFUNCTION("""COMPUTED_VALUE"""),109358)</f>
        <v>109358</v>
      </c>
      <c r="B7679" s="4">
        <f ca="1">IFERROR(__xludf.DUMMYFUNCTION("""COMPUTED_VALUE"""),44841)</f>
        <v>44841</v>
      </c>
      <c r="C7679" t="str">
        <f ca="1">IFERROR(__xludf.DUMMYFUNCTION("""COMPUTED_VALUE"""),"БУ Г. ОМСКА ""УДХБ"" 216-РДО от 03.10.2022")</f>
        <v>БУ Г. ОМСКА "УДХБ" 216-РДО от 03.10.2022</v>
      </c>
      <c r="D76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79" t="str">
        <f ca="1">IFERROR(__xludf.DUMMYFUNCTION("""COMPUTED_VALUE"""),"Новый")</f>
        <v>Новый</v>
      </c>
      <c r="G7679" s="68"/>
      <c r="K7679" s="68"/>
    </row>
    <row r="7680" spans="1:11" ht="12.75">
      <c r="A7680" s="69">
        <f ca="1">IFERROR(__xludf.DUMMYFUNCTION("""COMPUTED_VALUE"""),109359)</f>
        <v>109359</v>
      </c>
      <c r="B7680" s="4">
        <f ca="1">IFERROR(__xludf.DUMMYFUNCTION("""COMPUTED_VALUE"""),44841)</f>
        <v>44841</v>
      </c>
      <c r="C7680" t="str">
        <f ca="1">IFERROR(__xludf.DUMMYFUNCTION("""COMPUTED_VALUE"""),"БУ Г. ОМСКА ""УДХБ"" 216-РДО от 03.10.2022")</f>
        <v>БУ Г. ОМСКА "УДХБ" 216-РДО от 03.10.2022</v>
      </c>
      <c r="D76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0" t="str">
        <f ca="1">IFERROR(__xludf.DUMMYFUNCTION("""COMPUTED_VALUE"""),"Новый")</f>
        <v>Новый</v>
      </c>
      <c r="G7680" s="68"/>
      <c r="K7680" s="68"/>
    </row>
    <row r="7681" spans="1:11" ht="12.75">
      <c r="A7681" s="69">
        <f ca="1">IFERROR(__xludf.DUMMYFUNCTION("""COMPUTED_VALUE"""),109360)</f>
        <v>109360</v>
      </c>
      <c r="B7681" s="4">
        <f ca="1">IFERROR(__xludf.DUMMYFUNCTION("""COMPUTED_VALUE"""),44841)</f>
        <v>44841</v>
      </c>
      <c r="C7681" t="str">
        <f ca="1">IFERROR(__xludf.DUMMYFUNCTION("""COMPUTED_VALUE"""),"БУ Г. ОМСКА ""УДХБ"" 216-РДО от 03.10.2022")</f>
        <v>БУ Г. ОМСКА "УДХБ" 216-РДО от 03.10.2022</v>
      </c>
      <c r="D76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1" t="str">
        <f ca="1">IFERROR(__xludf.DUMMYFUNCTION("""COMPUTED_VALUE"""),"Новый")</f>
        <v>Новый</v>
      </c>
      <c r="G7681" s="68"/>
      <c r="K7681" s="68"/>
    </row>
    <row r="7682" spans="1:11" ht="12.75">
      <c r="A7682" s="69">
        <f ca="1">IFERROR(__xludf.DUMMYFUNCTION("""COMPUTED_VALUE"""),109361)</f>
        <v>109361</v>
      </c>
      <c r="B7682" s="4">
        <f ca="1">IFERROR(__xludf.DUMMYFUNCTION("""COMPUTED_VALUE"""),44841)</f>
        <v>44841</v>
      </c>
      <c r="C7682" t="str">
        <f ca="1">IFERROR(__xludf.DUMMYFUNCTION("""COMPUTED_VALUE"""),"БУ Г. ОМСКА ""УДХБ"" 216-РДО от 03.10.2022")</f>
        <v>БУ Г. ОМСКА "УДХБ" 216-РДО от 03.10.2022</v>
      </c>
      <c r="D76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2" t="str">
        <f ca="1">IFERROR(__xludf.DUMMYFUNCTION("""COMPUTED_VALUE"""),"Новый")</f>
        <v>Новый</v>
      </c>
      <c r="G7682" s="68"/>
      <c r="K7682" s="68"/>
    </row>
    <row r="7683" spans="1:11" ht="12.75">
      <c r="A7683" s="69">
        <f ca="1">IFERROR(__xludf.DUMMYFUNCTION("""COMPUTED_VALUE"""),109362)</f>
        <v>109362</v>
      </c>
      <c r="B7683" s="4">
        <f ca="1">IFERROR(__xludf.DUMMYFUNCTION("""COMPUTED_VALUE"""),44841)</f>
        <v>44841</v>
      </c>
      <c r="C7683" t="str">
        <f ca="1">IFERROR(__xludf.DUMMYFUNCTION("""COMPUTED_VALUE"""),"БУ Г. ОМСКА ""УДХБ"" 216-РДО от 03.10.2022")</f>
        <v>БУ Г. ОМСКА "УДХБ" 216-РДО от 03.10.2022</v>
      </c>
      <c r="D76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3" t="str">
        <f ca="1">IFERROR(__xludf.DUMMYFUNCTION("""COMPUTED_VALUE"""),"Новый")</f>
        <v>Новый</v>
      </c>
      <c r="G7683" s="68"/>
      <c r="K7683" s="68"/>
    </row>
    <row r="7684" spans="1:11" ht="12.75">
      <c r="A7684" s="69">
        <f ca="1">IFERROR(__xludf.DUMMYFUNCTION("""COMPUTED_VALUE"""),109363)</f>
        <v>109363</v>
      </c>
      <c r="B7684" s="4">
        <f ca="1">IFERROR(__xludf.DUMMYFUNCTION("""COMPUTED_VALUE"""),44841)</f>
        <v>44841</v>
      </c>
      <c r="C7684" t="str">
        <f ca="1">IFERROR(__xludf.DUMMYFUNCTION("""COMPUTED_VALUE"""),"БУ Г. ОМСКА ""УДХБ"" 216-РДО от 03.10.2022")</f>
        <v>БУ Г. ОМСКА "УДХБ" 216-РДО от 03.10.2022</v>
      </c>
      <c r="D76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4" t="str">
        <f ca="1">IFERROR(__xludf.DUMMYFUNCTION("""COMPUTED_VALUE"""),"Новый")</f>
        <v>Новый</v>
      </c>
      <c r="G7684" s="68"/>
      <c r="K7684" s="68"/>
    </row>
    <row r="7685" spans="1:11" ht="12.75">
      <c r="A7685" s="69">
        <f ca="1">IFERROR(__xludf.DUMMYFUNCTION("""COMPUTED_VALUE"""),109364)</f>
        <v>109364</v>
      </c>
      <c r="B7685" s="4">
        <f ca="1">IFERROR(__xludf.DUMMYFUNCTION("""COMPUTED_VALUE"""),44841)</f>
        <v>44841</v>
      </c>
      <c r="C7685" t="str">
        <f ca="1">IFERROR(__xludf.DUMMYFUNCTION("""COMPUTED_VALUE"""),"БУ Г. ОМСКА ""УДХБ"" 216-РДО от 03.10.2022")</f>
        <v>БУ Г. ОМСКА "УДХБ" 216-РДО от 03.10.2022</v>
      </c>
      <c r="D76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5" t="str">
        <f ca="1">IFERROR(__xludf.DUMMYFUNCTION("""COMPUTED_VALUE"""),"Новый")</f>
        <v>Новый</v>
      </c>
      <c r="G7685" s="68"/>
      <c r="K7685" s="68"/>
    </row>
    <row r="7686" spans="1:11" ht="12.75">
      <c r="A7686" s="69">
        <f ca="1">IFERROR(__xludf.DUMMYFUNCTION("""COMPUTED_VALUE"""),109365)</f>
        <v>109365</v>
      </c>
      <c r="B7686" s="4">
        <f ca="1">IFERROR(__xludf.DUMMYFUNCTION("""COMPUTED_VALUE"""),44841)</f>
        <v>44841</v>
      </c>
      <c r="C7686" t="str">
        <f ca="1">IFERROR(__xludf.DUMMYFUNCTION("""COMPUTED_VALUE"""),"БУ Г. ОМСКА ""УДХБ"" 216-РДО от 03.10.2022")</f>
        <v>БУ Г. ОМСКА "УДХБ" 216-РДО от 03.10.2022</v>
      </c>
      <c r="D76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6" t="str">
        <f ca="1">IFERROR(__xludf.DUMMYFUNCTION("""COMPUTED_VALUE"""),"Новый")</f>
        <v>Новый</v>
      </c>
      <c r="G7686" s="68"/>
      <c r="K7686" s="68"/>
    </row>
    <row r="7687" spans="1:11" ht="12.75">
      <c r="A7687" s="69">
        <f ca="1">IFERROR(__xludf.DUMMYFUNCTION("""COMPUTED_VALUE"""),109366)</f>
        <v>109366</v>
      </c>
      <c r="B7687" s="4">
        <f ca="1">IFERROR(__xludf.DUMMYFUNCTION("""COMPUTED_VALUE"""),44841)</f>
        <v>44841</v>
      </c>
      <c r="C7687" t="str">
        <f ca="1">IFERROR(__xludf.DUMMYFUNCTION("""COMPUTED_VALUE"""),"БУ Г. ОМСКА ""УДХБ"" 216-РДО от 03.10.2022")</f>
        <v>БУ Г. ОМСКА "УДХБ" 216-РДО от 03.10.2022</v>
      </c>
      <c r="D76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7" t="str">
        <f ca="1">IFERROR(__xludf.DUMMYFUNCTION("""COMPUTED_VALUE"""),"Новый")</f>
        <v>Новый</v>
      </c>
      <c r="G7687" s="68"/>
      <c r="K7687" s="68"/>
    </row>
    <row r="7688" spans="1:11" ht="12.75">
      <c r="A7688" s="69">
        <f ca="1">IFERROR(__xludf.DUMMYFUNCTION("""COMPUTED_VALUE"""),109367)</f>
        <v>109367</v>
      </c>
      <c r="B7688" s="4">
        <f ca="1">IFERROR(__xludf.DUMMYFUNCTION("""COMPUTED_VALUE"""),44841)</f>
        <v>44841</v>
      </c>
      <c r="C7688" t="str">
        <f ca="1">IFERROR(__xludf.DUMMYFUNCTION("""COMPUTED_VALUE"""),"БУ Г. ОМСКА ""УДХБ"" 216-РДО от 03.10.2022")</f>
        <v>БУ Г. ОМСКА "УДХБ" 216-РДО от 03.10.2022</v>
      </c>
      <c r="D76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8" t="str">
        <f ca="1">IFERROR(__xludf.DUMMYFUNCTION("""COMPUTED_VALUE"""),"Новый")</f>
        <v>Новый</v>
      </c>
      <c r="G7688" s="68"/>
      <c r="K7688" s="68"/>
    </row>
    <row r="7689" spans="1:11" ht="12.75">
      <c r="A7689" s="69">
        <f ca="1">IFERROR(__xludf.DUMMYFUNCTION("""COMPUTED_VALUE"""),109368)</f>
        <v>109368</v>
      </c>
      <c r="B7689" s="4">
        <f ca="1">IFERROR(__xludf.DUMMYFUNCTION("""COMPUTED_VALUE"""),44841)</f>
        <v>44841</v>
      </c>
      <c r="C7689" t="str">
        <f ca="1">IFERROR(__xludf.DUMMYFUNCTION("""COMPUTED_VALUE"""),"БУ Г. ОМСКА ""УДХБ"" 216-РДО от 03.10.2022")</f>
        <v>БУ Г. ОМСКА "УДХБ" 216-РДО от 03.10.2022</v>
      </c>
      <c r="D76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89" t="str">
        <f ca="1">IFERROR(__xludf.DUMMYFUNCTION("""COMPUTED_VALUE"""),"Новый")</f>
        <v>Новый</v>
      </c>
      <c r="G7689" s="68"/>
      <c r="K7689" s="68"/>
    </row>
    <row r="7690" spans="1:11" ht="12.75">
      <c r="A7690" s="69">
        <f ca="1">IFERROR(__xludf.DUMMYFUNCTION("""COMPUTED_VALUE"""),109369)</f>
        <v>109369</v>
      </c>
      <c r="B7690" s="4">
        <f ca="1">IFERROR(__xludf.DUMMYFUNCTION("""COMPUTED_VALUE"""),44841)</f>
        <v>44841</v>
      </c>
      <c r="C7690" t="str">
        <f ca="1">IFERROR(__xludf.DUMMYFUNCTION("""COMPUTED_VALUE"""),"БУ Г. ОМСКА ""УДХБ"" 216-РДО от 03.10.2022")</f>
        <v>БУ Г. ОМСКА "УДХБ" 216-РДО от 03.10.2022</v>
      </c>
      <c r="D76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0" t="str">
        <f ca="1">IFERROR(__xludf.DUMMYFUNCTION("""COMPUTED_VALUE"""),"Новый")</f>
        <v>Новый</v>
      </c>
      <c r="G7690" s="68"/>
      <c r="K7690" s="68"/>
    </row>
    <row r="7691" spans="1:11" ht="12.75">
      <c r="A7691" s="69">
        <f ca="1">IFERROR(__xludf.DUMMYFUNCTION("""COMPUTED_VALUE"""),109370)</f>
        <v>109370</v>
      </c>
      <c r="B7691" s="4">
        <f ca="1">IFERROR(__xludf.DUMMYFUNCTION("""COMPUTED_VALUE"""),44841)</f>
        <v>44841</v>
      </c>
      <c r="C7691" t="str">
        <f ca="1">IFERROR(__xludf.DUMMYFUNCTION("""COMPUTED_VALUE"""),"БУ Г. ОМСКА ""УДХБ"" 216-РДО от 03.10.2022")</f>
        <v>БУ Г. ОМСКА "УДХБ" 216-РДО от 03.10.2022</v>
      </c>
      <c r="D76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1" t="str">
        <f ca="1">IFERROR(__xludf.DUMMYFUNCTION("""COMPUTED_VALUE"""),"Новый")</f>
        <v>Новый</v>
      </c>
      <c r="G7691" s="68"/>
      <c r="K7691" s="68"/>
    </row>
    <row r="7692" spans="1:11" ht="12.75">
      <c r="A7692" s="69">
        <f ca="1">IFERROR(__xludf.DUMMYFUNCTION("""COMPUTED_VALUE"""),109371)</f>
        <v>109371</v>
      </c>
      <c r="B7692" s="4">
        <f ca="1">IFERROR(__xludf.DUMMYFUNCTION("""COMPUTED_VALUE"""),44841)</f>
        <v>44841</v>
      </c>
      <c r="C7692" t="str">
        <f ca="1">IFERROR(__xludf.DUMMYFUNCTION("""COMPUTED_VALUE"""),"БУ Г. ОМСКА ""УДХБ"" 216-РДО от 03.10.2022")</f>
        <v>БУ Г. ОМСКА "УДХБ" 216-РДО от 03.10.2022</v>
      </c>
      <c r="D76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2" t="str">
        <f ca="1">IFERROR(__xludf.DUMMYFUNCTION("""COMPUTED_VALUE"""),"Новый")</f>
        <v>Новый</v>
      </c>
      <c r="G7692" s="68"/>
      <c r="K7692" s="68"/>
    </row>
    <row r="7693" spans="1:11" ht="12.75">
      <c r="A7693" s="69">
        <f ca="1">IFERROR(__xludf.DUMMYFUNCTION("""COMPUTED_VALUE"""),109372)</f>
        <v>109372</v>
      </c>
      <c r="B7693" s="4">
        <f ca="1">IFERROR(__xludf.DUMMYFUNCTION("""COMPUTED_VALUE"""),44841)</f>
        <v>44841</v>
      </c>
      <c r="C7693" t="str">
        <f ca="1">IFERROR(__xludf.DUMMYFUNCTION("""COMPUTED_VALUE"""),"БУ Г. ОМСКА ""УДХБ"" 216-РДО от 03.10.2022")</f>
        <v>БУ Г. ОМСКА "УДХБ" 216-РДО от 03.10.2022</v>
      </c>
      <c r="D76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3" t="str">
        <f ca="1">IFERROR(__xludf.DUMMYFUNCTION("""COMPUTED_VALUE"""),"Новый")</f>
        <v>Новый</v>
      </c>
      <c r="G7693" s="68"/>
      <c r="K7693" s="68"/>
    </row>
    <row r="7694" spans="1:11" ht="12.75">
      <c r="A7694" s="69">
        <f ca="1">IFERROR(__xludf.DUMMYFUNCTION("""COMPUTED_VALUE"""),109373)</f>
        <v>109373</v>
      </c>
      <c r="B7694" s="4">
        <f ca="1">IFERROR(__xludf.DUMMYFUNCTION("""COMPUTED_VALUE"""),44841)</f>
        <v>44841</v>
      </c>
      <c r="C7694" t="str">
        <f ca="1">IFERROR(__xludf.DUMMYFUNCTION("""COMPUTED_VALUE"""),"БУ Г. ОМСКА ""УДХБ"" 216-РДО от 03.10.2022")</f>
        <v>БУ Г. ОМСКА "УДХБ" 216-РДО от 03.10.2022</v>
      </c>
      <c r="D76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4" t="str">
        <f ca="1">IFERROR(__xludf.DUMMYFUNCTION("""COMPUTED_VALUE"""),"Новый")</f>
        <v>Новый</v>
      </c>
      <c r="G7694" s="68"/>
      <c r="K7694" s="68"/>
    </row>
    <row r="7695" spans="1:11" ht="12.75">
      <c r="A7695" s="69">
        <f ca="1">IFERROR(__xludf.DUMMYFUNCTION("""COMPUTED_VALUE"""),109374)</f>
        <v>109374</v>
      </c>
      <c r="B7695" s="4">
        <f ca="1">IFERROR(__xludf.DUMMYFUNCTION("""COMPUTED_VALUE"""),44841)</f>
        <v>44841</v>
      </c>
      <c r="C7695" t="str">
        <f ca="1">IFERROR(__xludf.DUMMYFUNCTION("""COMPUTED_VALUE"""),"БУ Г. ОМСКА ""УДХБ"" 216-РДО от 03.10.2022")</f>
        <v>БУ Г. ОМСКА "УДХБ" 216-РДО от 03.10.2022</v>
      </c>
      <c r="D76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5" t="str">
        <f ca="1">IFERROR(__xludf.DUMMYFUNCTION("""COMPUTED_VALUE"""),"Новый")</f>
        <v>Новый</v>
      </c>
      <c r="G7695" s="68"/>
      <c r="K7695" s="68"/>
    </row>
    <row r="7696" spans="1:11" ht="12.75">
      <c r="A7696" s="69">
        <f ca="1">IFERROR(__xludf.DUMMYFUNCTION("""COMPUTED_VALUE"""),109375)</f>
        <v>109375</v>
      </c>
      <c r="B7696" s="4">
        <f ca="1">IFERROR(__xludf.DUMMYFUNCTION("""COMPUTED_VALUE"""),44841)</f>
        <v>44841</v>
      </c>
      <c r="C7696" t="str">
        <f ca="1">IFERROR(__xludf.DUMMYFUNCTION("""COMPUTED_VALUE"""),"БУ Г. ОМСКА ""УДХБ"" 216-РДО от 03.10.2022")</f>
        <v>БУ Г. ОМСКА "УДХБ" 216-РДО от 03.10.2022</v>
      </c>
      <c r="D76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6" t="str">
        <f ca="1">IFERROR(__xludf.DUMMYFUNCTION("""COMPUTED_VALUE"""),"Новый")</f>
        <v>Новый</v>
      </c>
      <c r="G7696" s="68"/>
      <c r="K7696" s="68"/>
    </row>
    <row r="7697" spans="1:11" ht="12.75">
      <c r="A7697" s="69">
        <f ca="1">IFERROR(__xludf.DUMMYFUNCTION("""COMPUTED_VALUE"""),109376)</f>
        <v>109376</v>
      </c>
      <c r="B7697" s="4">
        <f ca="1">IFERROR(__xludf.DUMMYFUNCTION("""COMPUTED_VALUE"""),44841)</f>
        <v>44841</v>
      </c>
      <c r="C7697" t="str">
        <f ca="1">IFERROR(__xludf.DUMMYFUNCTION("""COMPUTED_VALUE"""),"БУ Г. ОМСКА ""УДХБ"" 216-РДО от 03.10.2022")</f>
        <v>БУ Г. ОМСКА "УДХБ" 216-РДО от 03.10.2022</v>
      </c>
      <c r="D76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7" t="str">
        <f ca="1">IFERROR(__xludf.DUMMYFUNCTION("""COMPUTED_VALUE"""),"Новый")</f>
        <v>Новый</v>
      </c>
      <c r="G7697" s="68"/>
      <c r="K7697" s="68"/>
    </row>
    <row r="7698" spans="1:11" ht="12.75">
      <c r="A7698" s="69">
        <f ca="1">IFERROR(__xludf.DUMMYFUNCTION("""COMPUTED_VALUE"""),109377)</f>
        <v>109377</v>
      </c>
      <c r="B7698" s="4">
        <f ca="1">IFERROR(__xludf.DUMMYFUNCTION("""COMPUTED_VALUE"""),44841)</f>
        <v>44841</v>
      </c>
      <c r="C7698" t="str">
        <f ca="1">IFERROR(__xludf.DUMMYFUNCTION("""COMPUTED_VALUE"""),"БУ Г. ОМСКА ""УДХБ"" 216-РДО от 03.10.2022")</f>
        <v>БУ Г. ОМСКА "УДХБ" 216-РДО от 03.10.2022</v>
      </c>
      <c r="D76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8" t="str">
        <f ca="1">IFERROR(__xludf.DUMMYFUNCTION("""COMPUTED_VALUE"""),"Новый")</f>
        <v>Новый</v>
      </c>
      <c r="G7698" s="68"/>
      <c r="K7698" s="68"/>
    </row>
    <row r="7699" spans="1:11" ht="12.75">
      <c r="A7699" s="69">
        <f ca="1">IFERROR(__xludf.DUMMYFUNCTION("""COMPUTED_VALUE"""),109378)</f>
        <v>109378</v>
      </c>
      <c r="B7699" s="4">
        <f ca="1">IFERROR(__xludf.DUMMYFUNCTION("""COMPUTED_VALUE"""),44841)</f>
        <v>44841</v>
      </c>
      <c r="C7699" t="str">
        <f ca="1">IFERROR(__xludf.DUMMYFUNCTION("""COMPUTED_VALUE"""),"БУ Г. ОМСКА ""УДХБ"" 216-РДО от 03.10.2022")</f>
        <v>БУ Г. ОМСКА "УДХБ" 216-РДО от 03.10.2022</v>
      </c>
      <c r="D76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699" t="str">
        <f ca="1">IFERROR(__xludf.DUMMYFUNCTION("""COMPUTED_VALUE"""),"Новый")</f>
        <v>Новый</v>
      </c>
      <c r="G7699" s="68"/>
      <c r="K7699" s="68"/>
    </row>
    <row r="7700" spans="1:11" ht="12.75">
      <c r="A7700" s="69">
        <f ca="1">IFERROR(__xludf.DUMMYFUNCTION("""COMPUTED_VALUE"""),109379)</f>
        <v>109379</v>
      </c>
      <c r="B7700" s="4">
        <f ca="1">IFERROR(__xludf.DUMMYFUNCTION("""COMPUTED_VALUE"""),44841)</f>
        <v>44841</v>
      </c>
      <c r="C7700" t="str">
        <f ca="1">IFERROR(__xludf.DUMMYFUNCTION("""COMPUTED_VALUE"""),"БУ Г. ОМСКА ""УДХБ"" 216-РДО от 03.10.2022")</f>
        <v>БУ Г. ОМСКА "УДХБ" 216-РДО от 03.10.2022</v>
      </c>
      <c r="D77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0" t="str">
        <f ca="1">IFERROR(__xludf.DUMMYFUNCTION("""COMPUTED_VALUE"""),"Новый")</f>
        <v>Новый</v>
      </c>
      <c r="G7700" s="68"/>
      <c r="K7700" s="68"/>
    </row>
    <row r="7701" spans="1:11" ht="12.75">
      <c r="A7701" s="69">
        <f ca="1">IFERROR(__xludf.DUMMYFUNCTION("""COMPUTED_VALUE"""),109380)</f>
        <v>109380</v>
      </c>
      <c r="B7701" s="4">
        <f ca="1">IFERROR(__xludf.DUMMYFUNCTION("""COMPUTED_VALUE"""),44841)</f>
        <v>44841</v>
      </c>
      <c r="C7701" t="str">
        <f ca="1">IFERROR(__xludf.DUMMYFUNCTION("""COMPUTED_VALUE"""),"БУ Г. ОМСКА ""УДХБ"" 216-РДО от 03.10.2022")</f>
        <v>БУ Г. ОМСКА "УДХБ" 216-РДО от 03.10.2022</v>
      </c>
      <c r="D77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1" t="str">
        <f ca="1">IFERROR(__xludf.DUMMYFUNCTION("""COMPUTED_VALUE"""),"Новый")</f>
        <v>Новый</v>
      </c>
      <c r="G7701" s="68"/>
      <c r="K7701" s="68"/>
    </row>
    <row r="7702" spans="1:11" ht="12.75">
      <c r="A7702" s="69">
        <f ca="1">IFERROR(__xludf.DUMMYFUNCTION("""COMPUTED_VALUE"""),109381)</f>
        <v>109381</v>
      </c>
      <c r="B7702" s="4">
        <f ca="1">IFERROR(__xludf.DUMMYFUNCTION("""COMPUTED_VALUE"""),44841)</f>
        <v>44841</v>
      </c>
      <c r="C7702" t="str">
        <f ca="1">IFERROR(__xludf.DUMMYFUNCTION("""COMPUTED_VALUE"""),"БУ Г. ОМСКА ""УДХБ"" 216-РДО от 03.10.2022")</f>
        <v>БУ Г. ОМСКА "УДХБ" 216-РДО от 03.10.2022</v>
      </c>
      <c r="D77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2" t="str">
        <f ca="1">IFERROR(__xludf.DUMMYFUNCTION("""COMPUTED_VALUE"""),"Новый")</f>
        <v>Новый</v>
      </c>
      <c r="G7702" s="68"/>
      <c r="K7702" s="68"/>
    </row>
    <row r="7703" spans="1:11" ht="12.75">
      <c r="A7703" s="69">
        <f ca="1">IFERROR(__xludf.DUMMYFUNCTION("""COMPUTED_VALUE"""),109382)</f>
        <v>109382</v>
      </c>
      <c r="B7703" s="4">
        <f ca="1">IFERROR(__xludf.DUMMYFUNCTION("""COMPUTED_VALUE"""),44841)</f>
        <v>44841</v>
      </c>
      <c r="C7703" t="str">
        <f ca="1">IFERROR(__xludf.DUMMYFUNCTION("""COMPUTED_VALUE"""),"БУ Г. ОМСКА ""УДХБ"" 216-РДО от 03.10.2022")</f>
        <v>БУ Г. ОМСКА "УДХБ" 216-РДО от 03.10.2022</v>
      </c>
      <c r="D77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3" t="str">
        <f ca="1">IFERROR(__xludf.DUMMYFUNCTION("""COMPUTED_VALUE"""),"Новый")</f>
        <v>Новый</v>
      </c>
      <c r="G7703" s="68"/>
      <c r="K7703" s="68"/>
    </row>
    <row r="7704" spans="1:11" ht="12.75">
      <c r="A7704" s="69">
        <f ca="1">IFERROR(__xludf.DUMMYFUNCTION("""COMPUTED_VALUE"""),109383)</f>
        <v>109383</v>
      </c>
      <c r="B7704" s="4">
        <f ca="1">IFERROR(__xludf.DUMMYFUNCTION("""COMPUTED_VALUE"""),44841)</f>
        <v>44841</v>
      </c>
      <c r="C7704" t="str">
        <f ca="1">IFERROR(__xludf.DUMMYFUNCTION("""COMPUTED_VALUE"""),"БУ Г. ОМСКА ""УДХБ"" 216-РДО от 03.10.2022")</f>
        <v>БУ Г. ОМСКА "УДХБ" 216-РДО от 03.10.2022</v>
      </c>
      <c r="D77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4" t="str">
        <f ca="1">IFERROR(__xludf.DUMMYFUNCTION("""COMPUTED_VALUE"""),"Новый")</f>
        <v>Новый</v>
      </c>
      <c r="G7704" s="68"/>
      <c r="K7704" s="68"/>
    </row>
    <row r="7705" spans="1:11" ht="12.75">
      <c r="A7705" s="69">
        <f ca="1">IFERROR(__xludf.DUMMYFUNCTION("""COMPUTED_VALUE"""),109384)</f>
        <v>109384</v>
      </c>
      <c r="B7705" s="4">
        <f ca="1">IFERROR(__xludf.DUMMYFUNCTION("""COMPUTED_VALUE"""),44841)</f>
        <v>44841</v>
      </c>
      <c r="C7705" t="str">
        <f ca="1">IFERROR(__xludf.DUMMYFUNCTION("""COMPUTED_VALUE"""),"БУ Г. ОМСКА ""УДХБ"" 216-РДО от 03.10.2022")</f>
        <v>БУ Г. ОМСКА "УДХБ" 216-РДО от 03.10.2022</v>
      </c>
      <c r="D77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5" t="str">
        <f ca="1">IFERROR(__xludf.DUMMYFUNCTION("""COMPUTED_VALUE"""),"Новый")</f>
        <v>Новый</v>
      </c>
      <c r="G7705" s="68"/>
      <c r="K7705" s="68"/>
    </row>
    <row r="7706" spans="1:11" ht="12.75">
      <c r="A7706" s="69">
        <f ca="1">IFERROR(__xludf.DUMMYFUNCTION("""COMPUTED_VALUE"""),109385)</f>
        <v>109385</v>
      </c>
      <c r="B7706" s="4">
        <f ca="1">IFERROR(__xludf.DUMMYFUNCTION("""COMPUTED_VALUE"""),44841)</f>
        <v>44841</v>
      </c>
      <c r="C7706" t="str">
        <f ca="1">IFERROR(__xludf.DUMMYFUNCTION("""COMPUTED_VALUE"""),"БУ Г. ОМСКА ""УДХБ"" 216-РДО от 03.10.2022")</f>
        <v>БУ Г. ОМСКА "УДХБ" 216-РДО от 03.10.2022</v>
      </c>
      <c r="D77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6" t="str">
        <f ca="1">IFERROR(__xludf.DUMMYFUNCTION("""COMPUTED_VALUE"""),"Новый")</f>
        <v>Новый</v>
      </c>
      <c r="G7706" s="68"/>
      <c r="K7706" s="68"/>
    </row>
    <row r="7707" spans="1:11" ht="12.75">
      <c r="A7707" s="69">
        <f ca="1">IFERROR(__xludf.DUMMYFUNCTION("""COMPUTED_VALUE"""),109386)</f>
        <v>109386</v>
      </c>
      <c r="B7707" s="4">
        <f ca="1">IFERROR(__xludf.DUMMYFUNCTION("""COMPUTED_VALUE"""),44841)</f>
        <v>44841</v>
      </c>
      <c r="C7707" t="str">
        <f ca="1">IFERROR(__xludf.DUMMYFUNCTION("""COMPUTED_VALUE"""),"БУ Г. ОМСКА ""УДХБ"" 216-РДО от 03.10.2022")</f>
        <v>БУ Г. ОМСКА "УДХБ" 216-РДО от 03.10.2022</v>
      </c>
      <c r="D77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7" t="str">
        <f ca="1">IFERROR(__xludf.DUMMYFUNCTION("""COMPUTED_VALUE"""),"Новый")</f>
        <v>Новый</v>
      </c>
      <c r="G7707" s="68"/>
      <c r="K7707" s="68"/>
    </row>
    <row r="7708" spans="1:11" ht="12.75">
      <c r="A7708" s="69">
        <f ca="1">IFERROR(__xludf.DUMMYFUNCTION("""COMPUTED_VALUE"""),109387)</f>
        <v>109387</v>
      </c>
      <c r="B7708" s="4">
        <f ca="1">IFERROR(__xludf.DUMMYFUNCTION("""COMPUTED_VALUE"""),44841)</f>
        <v>44841</v>
      </c>
      <c r="C7708" t="str">
        <f ca="1">IFERROR(__xludf.DUMMYFUNCTION("""COMPUTED_VALUE"""),"БУ Г. ОМСКА ""УДХБ"" 216-РДО от 03.10.2022")</f>
        <v>БУ Г. ОМСКА "УДХБ" 216-РДО от 03.10.2022</v>
      </c>
      <c r="D77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8" t="str">
        <f ca="1">IFERROR(__xludf.DUMMYFUNCTION("""COMPUTED_VALUE"""),"Новый")</f>
        <v>Новый</v>
      </c>
      <c r="G7708" s="68"/>
      <c r="K7708" s="68"/>
    </row>
    <row r="7709" spans="1:11" ht="12.75">
      <c r="A7709" s="69">
        <f ca="1">IFERROR(__xludf.DUMMYFUNCTION("""COMPUTED_VALUE"""),109388)</f>
        <v>109388</v>
      </c>
      <c r="B7709" s="4">
        <f ca="1">IFERROR(__xludf.DUMMYFUNCTION("""COMPUTED_VALUE"""),44841)</f>
        <v>44841</v>
      </c>
      <c r="C7709" t="str">
        <f ca="1">IFERROR(__xludf.DUMMYFUNCTION("""COMPUTED_VALUE"""),"БУ Г. ОМСКА ""УДХБ"" 216-РДО от 03.10.2022")</f>
        <v>БУ Г. ОМСКА "УДХБ" 216-РДО от 03.10.2022</v>
      </c>
      <c r="D77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09" t="str">
        <f ca="1">IFERROR(__xludf.DUMMYFUNCTION("""COMPUTED_VALUE"""),"Новый")</f>
        <v>Новый</v>
      </c>
      <c r="G7709" s="68"/>
      <c r="K7709" s="68"/>
    </row>
    <row r="7710" spans="1:11" ht="12.75">
      <c r="A7710" s="69">
        <f ca="1">IFERROR(__xludf.DUMMYFUNCTION("""COMPUTED_VALUE"""),109389)</f>
        <v>109389</v>
      </c>
      <c r="B7710" s="4">
        <f ca="1">IFERROR(__xludf.DUMMYFUNCTION("""COMPUTED_VALUE"""),44841)</f>
        <v>44841</v>
      </c>
      <c r="C7710" t="str">
        <f ca="1">IFERROR(__xludf.DUMMYFUNCTION("""COMPUTED_VALUE"""),"БУ Г. ОМСКА ""УДХБ"" 216-РДО от 03.10.2022")</f>
        <v>БУ Г. ОМСКА "УДХБ" 216-РДО от 03.10.2022</v>
      </c>
      <c r="D77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0" t="str">
        <f ca="1">IFERROR(__xludf.DUMMYFUNCTION("""COMPUTED_VALUE"""),"Новый")</f>
        <v>Новый</v>
      </c>
      <c r="G7710" s="68"/>
      <c r="K7710" s="68"/>
    </row>
    <row r="7711" spans="1:11" ht="12.75">
      <c r="A7711" s="69">
        <f ca="1">IFERROR(__xludf.DUMMYFUNCTION("""COMPUTED_VALUE"""),109390)</f>
        <v>109390</v>
      </c>
      <c r="B7711" s="4">
        <f ca="1">IFERROR(__xludf.DUMMYFUNCTION("""COMPUTED_VALUE"""),44841)</f>
        <v>44841</v>
      </c>
      <c r="C7711" t="str">
        <f ca="1">IFERROR(__xludf.DUMMYFUNCTION("""COMPUTED_VALUE"""),"БУ Г. ОМСКА ""УДХБ"" 216-РДО от 03.10.2022")</f>
        <v>БУ Г. ОМСКА "УДХБ" 216-РДО от 03.10.2022</v>
      </c>
      <c r="D77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1" t="str">
        <f ca="1">IFERROR(__xludf.DUMMYFUNCTION("""COMPUTED_VALUE"""),"Новый")</f>
        <v>Новый</v>
      </c>
      <c r="G7711" s="68"/>
      <c r="K7711" s="68"/>
    </row>
    <row r="7712" spans="1:11" ht="12.75">
      <c r="A7712" s="69">
        <f ca="1">IFERROR(__xludf.DUMMYFUNCTION("""COMPUTED_VALUE"""),109391)</f>
        <v>109391</v>
      </c>
      <c r="B7712" s="4">
        <f ca="1">IFERROR(__xludf.DUMMYFUNCTION("""COMPUTED_VALUE"""),44841)</f>
        <v>44841</v>
      </c>
      <c r="C7712" t="str">
        <f ca="1">IFERROR(__xludf.DUMMYFUNCTION("""COMPUTED_VALUE"""),"БУ Г. ОМСКА ""УДХБ"" 216-РДО от 03.10.2022")</f>
        <v>БУ Г. ОМСКА "УДХБ" 216-РДО от 03.10.2022</v>
      </c>
      <c r="D77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2" t="str">
        <f ca="1">IFERROR(__xludf.DUMMYFUNCTION("""COMPUTED_VALUE"""),"Новый")</f>
        <v>Новый</v>
      </c>
      <c r="G7712" s="68"/>
      <c r="K7712" s="68"/>
    </row>
    <row r="7713" spans="1:11" ht="12.75">
      <c r="A7713" s="69">
        <f ca="1">IFERROR(__xludf.DUMMYFUNCTION("""COMPUTED_VALUE"""),109392)</f>
        <v>109392</v>
      </c>
      <c r="B7713" s="4">
        <f ca="1">IFERROR(__xludf.DUMMYFUNCTION("""COMPUTED_VALUE"""),44841)</f>
        <v>44841</v>
      </c>
      <c r="C7713" t="str">
        <f ca="1">IFERROR(__xludf.DUMMYFUNCTION("""COMPUTED_VALUE"""),"БУ Г. ОМСКА ""УДХБ"" 216-РДО от 03.10.2022")</f>
        <v>БУ Г. ОМСКА "УДХБ" 216-РДО от 03.10.2022</v>
      </c>
      <c r="D77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3" t="str">
        <f ca="1">IFERROR(__xludf.DUMMYFUNCTION("""COMPUTED_VALUE"""),"Новый")</f>
        <v>Новый</v>
      </c>
      <c r="G7713" s="68"/>
      <c r="K7713" s="68"/>
    </row>
    <row r="7714" spans="1:11" ht="12.75">
      <c r="A7714" s="69">
        <f ca="1">IFERROR(__xludf.DUMMYFUNCTION("""COMPUTED_VALUE"""),109393)</f>
        <v>109393</v>
      </c>
      <c r="B7714" s="4">
        <f ca="1">IFERROR(__xludf.DUMMYFUNCTION("""COMPUTED_VALUE"""),44841)</f>
        <v>44841</v>
      </c>
      <c r="C7714" t="str">
        <f ca="1">IFERROR(__xludf.DUMMYFUNCTION("""COMPUTED_VALUE"""),"БУ Г. ОМСКА ""УДХБ"" 216-РДО от 03.10.2022")</f>
        <v>БУ Г. ОМСКА "УДХБ" 216-РДО от 03.10.2022</v>
      </c>
      <c r="D77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4" t="str">
        <f ca="1">IFERROR(__xludf.DUMMYFUNCTION("""COMPUTED_VALUE"""),"Новый")</f>
        <v>Новый</v>
      </c>
      <c r="G7714" s="68"/>
      <c r="K7714" s="68"/>
    </row>
    <row r="7715" spans="1:11" ht="12.75">
      <c r="A7715" s="69">
        <f ca="1">IFERROR(__xludf.DUMMYFUNCTION("""COMPUTED_VALUE"""),109394)</f>
        <v>109394</v>
      </c>
      <c r="B7715" s="4">
        <f ca="1">IFERROR(__xludf.DUMMYFUNCTION("""COMPUTED_VALUE"""),44841)</f>
        <v>44841</v>
      </c>
      <c r="C7715" t="str">
        <f ca="1">IFERROR(__xludf.DUMMYFUNCTION("""COMPUTED_VALUE"""),"БУ Г. ОМСКА ""УДХБ"" 216-РДО от 03.10.2022")</f>
        <v>БУ Г. ОМСКА "УДХБ" 216-РДО от 03.10.2022</v>
      </c>
      <c r="D77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5" t="str">
        <f ca="1">IFERROR(__xludf.DUMMYFUNCTION("""COMPUTED_VALUE"""),"Новый")</f>
        <v>Новый</v>
      </c>
      <c r="G7715" s="68"/>
      <c r="K7715" s="68"/>
    </row>
    <row r="7716" spans="1:11" ht="12.75">
      <c r="A7716" s="69">
        <f ca="1">IFERROR(__xludf.DUMMYFUNCTION("""COMPUTED_VALUE"""),109395)</f>
        <v>109395</v>
      </c>
      <c r="B7716" s="4">
        <f ca="1">IFERROR(__xludf.DUMMYFUNCTION("""COMPUTED_VALUE"""),44841)</f>
        <v>44841</v>
      </c>
      <c r="C7716" t="str">
        <f ca="1">IFERROR(__xludf.DUMMYFUNCTION("""COMPUTED_VALUE"""),"БУ Г. ОМСКА ""УДХБ"" 216-РДО от 03.10.2022")</f>
        <v>БУ Г. ОМСКА "УДХБ" 216-РДО от 03.10.2022</v>
      </c>
      <c r="D77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6" t="str">
        <f ca="1">IFERROR(__xludf.DUMMYFUNCTION("""COMPUTED_VALUE"""),"Новый")</f>
        <v>Новый</v>
      </c>
      <c r="G7716" s="68"/>
      <c r="K7716" s="68"/>
    </row>
    <row r="7717" spans="1:11" ht="12.75">
      <c r="A7717" s="69">
        <f ca="1">IFERROR(__xludf.DUMMYFUNCTION("""COMPUTED_VALUE"""),109396)</f>
        <v>109396</v>
      </c>
      <c r="B7717" s="4">
        <f ca="1">IFERROR(__xludf.DUMMYFUNCTION("""COMPUTED_VALUE"""),44841)</f>
        <v>44841</v>
      </c>
      <c r="C7717" t="str">
        <f ca="1">IFERROR(__xludf.DUMMYFUNCTION("""COMPUTED_VALUE"""),"БУ Г. ОМСКА ""УДХБ"" 216-РДО от 03.10.2022")</f>
        <v>БУ Г. ОМСКА "УДХБ" 216-РДО от 03.10.2022</v>
      </c>
      <c r="D77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7" t="str">
        <f ca="1">IFERROR(__xludf.DUMMYFUNCTION("""COMPUTED_VALUE"""),"Новый")</f>
        <v>Новый</v>
      </c>
      <c r="G7717" s="68"/>
      <c r="K7717" s="68"/>
    </row>
    <row r="7718" spans="1:11" ht="12.75">
      <c r="A7718" s="69">
        <f ca="1">IFERROR(__xludf.DUMMYFUNCTION("""COMPUTED_VALUE"""),109397)</f>
        <v>109397</v>
      </c>
      <c r="B7718" s="4">
        <f ca="1">IFERROR(__xludf.DUMMYFUNCTION("""COMPUTED_VALUE"""),44841)</f>
        <v>44841</v>
      </c>
      <c r="C7718" t="str">
        <f ca="1">IFERROR(__xludf.DUMMYFUNCTION("""COMPUTED_VALUE"""),"БУ Г. ОМСКА ""УДХБ"" 216-РДО от 03.10.2022")</f>
        <v>БУ Г. ОМСКА "УДХБ" 216-РДО от 03.10.2022</v>
      </c>
      <c r="D77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8" t="str">
        <f ca="1">IFERROR(__xludf.DUMMYFUNCTION("""COMPUTED_VALUE"""),"Новый")</f>
        <v>Новый</v>
      </c>
      <c r="G7718" s="68"/>
      <c r="K7718" s="68"/>
    </row>
    <row r="7719" spans="1:11" ht="12.75">
      <c r="A7719" s="69">
        <f ca="1">IFERROR(__xludf.DUMMYFUNCTION("""COMPUTED_VALUE"""),109398)</f>
        <v>109398</v>
      </c>
      <c r="B7719" s="4">
        <f ca="1">IFERROR(__xludf.DUMMYFUNCTION("""COMPUTED_VALUE"""),44841)</f>
        <v>44841</v>
      </c>
      <c r="C7719" t="str">
        <f ca="1">IFERROR(__xludf.DUMMYFUNCTION("""COMPUTED_VALUE"""),"БУ Г. ОМСКА ""УДХБ"" 216-РДО от 03.10.2022")</f>
        <v>БУ Г. ОМСКА "УДХБ" 216-РДО от 03.10.2022</v>
      </c>
      <c r="D77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19" t="str">
        <f ca="1">IFERROR(__xludf.DUMMYFUNCTION("""COMPUTED_VALUE"""),"Новый")</f>
        <v>Новый</v>
      </c>
      <c r="G7719" s="68"/>
      <c r="K7719" s="68"/>
    </row>
    <row r="7720" spans="1:11" ht="12.75">
      <c r="A7720" s="69">
        <f ca="1">IFERROR(__xludf.DUMMYFUNCTION("""COMPUTED_VALUE"""),109399)</f>
        <v>109399</v>
      </c>
      <c r="B7720" s="4">
        <f ca="1">IFERROR(__xludf.DUMMYFUNCTION("""COMPUTED_VALUE"""),44841)</f>
        <v>44841</v>
      </c>
      <c r="C7720" t="str">
        <f ca="1">IFERROR(__xludf.DUMMYFUNCTION("""COMPUTED_VALUE"""),"БУ Г. ОМСКА ""УДХБ"" 216-РДО от 03.10.2022")</f>
        <v>БУ Г. ОМСКА "УДХБ" 216-РДО от 03.10.2022</v>
      </c>
      <c r="D77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0" t="str">
        <f ca="1">IFERROR(__xludf.DUMMYFUNCTION("""COMPUTED_VALUE"""),"Новый")</f>
        <v>Новый</v>
      </c>
      <c r="G7720" s="68"/>
      <c r="K7720" s="68"/>
    </row>
    <row r="7721" spans="1:11" ht="12.75">
      <c r="A7721" s="69">
        <f ca="1">IFERROR(__xludf.DUMMYFUNCTION("""COMPUTED_VALUE"""),109400)</f>
        <v>109400</v>
      </c>
      <c r="B7721" s="4">
        <f ca="1">IFERROR(__xludf.DUMMYFUNCTION("""COMPUTED_VALUE"""),44841)</f>
        <v>44841</v>
      </c>
      <c r="C7721" t="str">
        <f ca="1">IFERROR(__xludf.DUMMYFUNCTION("""COMPUTED_VALUE"""),"БУ Г. ОМСКА ""УДХБ"" 216-РДО от 03.10.2022")</f>
        <v>БУ Г. ОМСКА "УДХБ" 216-РДО от 03.10.2022</v>
      </c>
      <c r="D77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1" t="str">
        <f ca="1">IFERROR(__xludf.DUMMYFUNCTION("""COMPUTED_VALUE"""),"Новый")</f>
        <v>Новый</v>
      </c>
      <c r="G7721" s="68"/>
      <c r="K7721" s="68"/>
    </row>
    <row r="7722" spans="1:11" ht="12.75">
      <c r="A7722" s="69">
        <f ca="1">IFERROR(__xludf.DUMMYFUNCTION("""COMPUTED_VALUE"""),109401)</f>
        <v>109401</v>
      </c>
      <c r="B7722" s="4">
        <f ca="1">IFERROR(__xludf.DUMMYFUNCTION("""COMPUTED_VALUE"""),44841)</f>
        <v>44841</v>
      </c>
      <c r="C7722" t="str">
        <f ca="1">IFERROR(__xludf.DUMMYFUNCTION("""COMPUTED_VALUE"""),"БУ Г. ОМСКА ""УДХБ"" 216-РДО от 03.10.2022")</f>
        <v>БУ Г. ОМСКА "УДХБ" 216-РДО от 03.10.2022</v>
      </c>
      <c r="D77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2" t="str">
        <f ca="1">IFERROR(__xludf.DUMMYFUNCTION("""COMPUTED_VALUE"""),"Новый")</f>
        <v>Новый</v>
      </c>
      <c r="G7722" s="68"/>
      <c r="K7722" s="68"/>
    </row>
    <row r="7723" spans="1:11" ht="12.75">
      <c r="A7723" s="69">
        <f ca="1">IFERROR(__xludf.DUMMYFUNCTION("""COMPUTED_VALUE"""),109402)</f>
        <v>109402</v>
      </c>
      <c r="B7723" s="4">
        <f ca="1">IFERROR(__xludf.DUMMYFUNCTION("""COMPUTED_VALUE"""),44841)</f>
        <v>44841</v>
      </c>
      <c r="C7723" t="str">
        <f ca="1">IFERROR(__xludf.DUMMYFUNCTION("""COMPUTED_VALUE"""),"БУ Г. ОМСКА ""УДХБ"" 216-РДО от 03.10.2022")</f>
        <v>БУ Г. ОМСКА "УДХБ" 216-РДО от 03.10.2022</v>
      </c>
      <c r="D77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3" t="str">
        <f ca="1">IFERROR(__xludf.DUMMYFUNCTION("""COMPUTED_VALUE"""),"Новый")</f>
        <v>Новый</v>
      </c>
      <c r="G7723" s="68"/>
      <c r="K7723" s="68"/>
    </row>
    <row r="7724" spans="1:11" ht="12.75">
      <c r="A7724" s="69">
        <f ca="1">IFERROR(__xludf.DUMMYFUNCTION("""COMPUTED_VALUE"""),109403)</f>
        <v>109403</v>
      </c>
      <c r="B7724" s="4">
        <f ca="1">IFERROR(__xludf.DUMMYFUNCTION("""COMPUTED_VALUE"""),44841)</f>
        <v>44841</v>
      </c>
      <c r="C7724" t="str">
        <f ca="1">IFERROR(__xludf.DUMMYFUNCTION("""COMPUTED_VALUE"""),"БУ Г. ОМСКА ""УДХБ"" 216-РДО от 03.10.2022")</f>
        <v>БУ Г. ОМСКА "УДХБ" 216-РДО от 03.10.2022</v>
      </c>
      <c r="D77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4" t="str">
        <f ca="1">IFERROR(__xludf.DUMMYFUNCTION("""COMPUTED_VALUE"""),"Новый")</f>
        <v>Новый</v>
      </c>
      <c r="G7724" s="68"/>
      <c r="K7724" s="68"/>
    </row>
    <row r="7725" spans="1:11" ht="12.75">
      <c r="A7725" s="69">
        <f ca="1">IFERROR(__xludf.DUMMYFUNCTION("""COMPUTED_VALUE"""),109404)</f>
        <v>109404</v>
      </c>
      <c r="B7725" s="4">
        <f ca="1">IFERROR(__xludf.DUMMYFUNCTION("""COMPUTED_VALUE"""),44841)</f>
        <v>44841</v>
      </c>
      <c r="C7725" t="str">
        <f ca="1">IFERROR(__xludf.DUMMYFUNCTION("""COMPUTED_VALUE"""),"БУ Г. ОМСКА ""УДХБ"" 216-РДО от 03.10.2022")</f>
        <v>БУ Г. ОМСКА "УДХБ" 216-РДО от 03.10.2022</v>
      </c>
      <c r="D77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5" t="str">
        <f ca="1">IFERROR(__xludf.DUMMYFUNCTION("""COMPUTED_VALUE"""),"Новый")</f>
        <v>Новый</v>
      </c>
      <c r="G7725" s="68"/>
      <c r="K7725" s="68"/>
    </row>
    <row r="7726" spans="1:11" ht="12.75">
      <c r="A7726" s="69">
        <f ca="1">IFERROR(__xludf.DUMMYFUNCTION("""COMPUTED_VALUE"""),109405)</f>
        <v>109405</v>
      </c>
      <c r="B7726" s="4">
        <f ca="1">IFERROR(__xludf.DUMMYFUNCTION("""COMPUTED_VALUE"""),44841)</f>
        <v>44841</v>
      </c>
      <c r="C7726" t="str">
        <f ca="1">IFERROR(__xludf.DUMMYFUNCTION("""COMPUTED_VALUE"""),"БУ Г. ОМСКА ""УДХБ"" 216-РДО от 03.10.2022")</f>
        <v>БУ Г. ОМСКА "УДХБ" 216-РДО от 03.10.2022</v>
      </c>
      <c r="D77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6" t="str">
        <f ca="1">IFERROR(__xludf.DUMMYFUNCTION("""COMPUTED_VALUE"""),"Новый")</f>
        <v>Новый</v>
      </c>
      <c r="G7726" s="68"/>
      <c r="K7726" s="68"/>
    </row>
    <row r="7727" spans="1:11" ht="12.75">
      <c r="A7727" s="69">
        <f ca="1">IFERROR(__xludf.DUMMYFUNCTION("""COMPUTED_VALUE"""),109406)</f>
        <v>109406</v>
      </c>
      <c r="B7727" s="4">
        <f ca="1">IFERROR(__xludf.DUMMYFUNCTION("""COMPUTED_VALUE"""),44841)</f>
        <v>44841</v>
      </c>
      <c r="C7727" t="str">
        <f ca="1">IFERROR(__xludf.DUMMYFUNCTION("""COMPUTED_VALUE"""),"БУ Г. ОМСКА ""УДХБ"" 216-РДО от 03.10.2022")</f>
        <v>БУ Г. ОМСКА "УДХБ" 216-РДО от 03.10.2022</v>
      </c>
      <c r="D77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7" t="str">
        <f ca="1">IFERROR(__xludf.DUMMYFUNCTION("""COMPUTED_VALUE"""),"Новый")</f>
        <v>Новый</v>
      </c>
      <c r="G7727" s="68"/>
      <c r="K7727" s="68"/>
    </row>
    <row r="7728" spans="1:11" ht="12.75">
      <c r="A7728" s="69">
        <f ca="1">IFERROR(__xludf.DUMMYFUNCTION("""COMPUTED_VALUE"""),109407)</f>
        <v>109407</v>
      </c>
      <c r="B7728" s="4">
        <f ca="1">IFERROR(__xludf.DUMMYFUNCTION("""COMPUTED_VALUE"""),44841)</f>
        <v>44841</v>
      </c>
      <c r="C7728" t="str">
        <f ca="1">IFERROR(__xludf.DUMMYFUNCTION("""COMPUTED_VALUE"""),"БУ Г. ОМСКА ""УДХБ"" 216-РДО от 03.10.2022")</f>
        <v>БУ Г. ОМСКА "УДХБ" 216-РДО от 03.10.2022</v>
      </c>
      <c r="D77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8" t="str">
        <f ca="1">IFERROR(__xludf.DUMMYFUNCTION("""COMPUTED_VALUE"""),"Новый")</f>
        <v>Новый</v>
      </c>
      <c r="G7728" s="68"/>
      <c r="K7728" s="68"/>
    </row>
    <row r="7729" spans="1:11" ht="12.75">
      <c r="A7729" s="69">
        <f ca="1">IFERROR(__xludf.DUMMYFUNCTION("""COMPUTED_VALUE"""),109408)</f>
        <v>109408</v>
      </c>
      <c r="B7729" s="4">
        <f ca="1">IFERROR(__xludf.DUMMYFUNCTION("""COMPUTED_VALUE"""),44841)</f>
        <v>44841</v>
      </c>
      <c r="C7729" t="str">
        <f ca="1">IFERROR(__xludf.DUMMYFUNCTION("""COMPUTED_VALUE"""),"БУ Г. ОМСКА ""УДХБ"" 216-РДО от 03.10.2022")</f>
        <v>БУ Г. ОМСКА "УДХБ" 216-РДО от 03.10.2022</v>
      </c>
      <c r="D77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29" t="str">
        <f ca="1">IFERROR(__xludf.DUMMYFUNCTION("""COMPUTED_VALUE"""),"Новый")</f>
        <v>Новый</v>
      </c>
      <c r="G7729" s="68"/>
      <c r="K7729" s="68"/>
    </row>
    <row r="7730" spans="1:11" ht="12.75">
      <c r="A7730" s="69">
        <f ca="1">IFERROR(__xludf.DUMMYFUNCTION("""COMPUTED_VALUE"""),109409)</f>
        <v>109409</v>
      </c>
      <c r="B7730" s="4">
        <f ca="1">IFERROR(__xludf.DUMMYFUNCTION("""COMPUTED_VALUE"""),44841)</f>
        <v>44841</v>
      </c>
      <c r="C7730" t="str">
        <f ca="1">IFERROR(__xludf.DUMMYFUNCTION("""COMPUTED_VALUE"""),"БУ Г. ОМСКА ""УДХБ"" 216-РДО от 03.10.2022")</f>
        <v>БУ Г. ОМСКА "УДХБ" 216-РДО от 03.10.2022</v>
      </c>
      <c r="D77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0" t="str">
        <f ca="1">IFERROR(__xludf.DUMMYFUNCTION("""COMPUTED_VALUE"""),"Новый")</f>
        <v>Новый</v>
      </c>
      <c r="G7730" s="68"/>
      <c r="K7730" s="68"/>
    </row>
    <row r="7731" spans="1:11" ht="12.75">
      <c r="A7731" s="69">
        <f ca="1">IFERROR(__xludf.DUMMYFUNCTION("""COMPUTED_VALUE"""),109410)</f>
        <v>109410</v>
      </c>
      <c r="B7731" s="4">
        <f ca="1">IFERROR(__xludf.DUMMYFUNCTION("""COMPUTED_VALUE"""),44841)</f>
        <v>44841</v>
      </c>
      <c r="C7731" t="str">
        <f ca="1">IFERROR(__xludf.DUMMYFUNCTION("""COMPUTED_VALUE"""),"БУ Г. ОМСКА ""УДХБ"" 216-РДО от 03.10.2022")</f>
        <v>БУ Г. ОМСКА "УДХБ" 216-РДО от 03.10.2022</v>
      </c>
      <c r="D77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1" t="str">
        <f ca="1">IFERROR(__xludf.DUMMYFUNCTION("""COMPUTED_VALUE"""),"Новый")</f>
        <v>Новый</v>
      </c>
      <c r="G7731" s="68"/>
      <c r="K7731" s="68"/>
    </row>
    <row r="7732" spans="1:11" ht="12.75">
      <c r="A7732" s="69">
        <f ca="1">IFERROR(__xludf.DUMMYFUNCTION("""COMPUTED_VALUE"""),109411)</f>
        <v>109411</v>
      </c>
      <c r="B7732" s="4">
        <f ca="1">IFERROR(__xludf.DUMMYFUNCTION("""COMPUTED_VALUE"""),44841)</f>
        <v>44841</v>
      </c>
      <c r="C7732" t="str">
        <f ca="1">IFERROR(__xludf.DUMMYFUNCTION("""COMPUTED_VALUE"""),"БУ Г. ОМСКА ""УДХБ"" 216-РДО от 03.10.2022")</f>
        <v>БУ Г. ОМСКА "УДХБ" 216-РДО от 03.10.2022</v>
      </c>
      <c r="D77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2" t="str">
        <f ca="1">IFERROR(__xludf.DUMMYFUNCTION("""COMPUTED_VALUE"""),"Новый")</f>
        <v>Новый</v>
      </c>
      <c r="G7732" s="68"/>
      <c r="K7732" s="68"/>
    </row>
    <row r="7733" spans="1:11" ht="12.75">
      <c r="A7733" s="69">
        <f ca="1">IFERROR(__xludf.DUMMYFUNCTION("""COMPUTED_VALUE"""),109412)</f>
        <v>109412</v>
      </c>
      <c r="B7733" s="4">
        <f ca="1">IFERROR(__xludf.DUMMYFUNCTION("""COMPUTED_VALUE"""),44841)</f>
        <v>44841</v>
      </c>
      <c r="C7733" t="str">
        <f ca="1">IFERROR(__xludf.DUMMYFUNCTION("""COMPUTED_VALUE"""),"БУ Г. ОМСКА ""УДХБ"" 216-РДО от 03.10.2022")</f>
        <v>БУ Г. ОМСКА "УДХБ" 216-РДО от 03.10.2022</v>
      </c>
      <c r="D77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3" t="str">
        <f ca="1">IFERROR(__xludf.DUMMYFUNCTION("""COMPUTED_VALUE"""),"Новый")</f>
        <v>Новый</v>
      </c>
      <c r="G7733" s="68"/>
      <c r="K7733" s="68"/>
    </row>
    <row r="7734" spans="1:11" ht="12.75">
      <c r="A7734" s="69">
        <f ca="1">IFERROR(__xludf.DUMMYFUNCTION("""COMPUTED_VALUE"""),109413)</f>
        <v>109413</v>
      </c>
      <c r="B7734" s="4">
        <f ca="1">IFERROR(__xludf.DUMMYFUNCTION("""COMPUTED_VALUE"""),44841)</f>
        <v>44841</v>
      </c>
      <c r="C7734" t="str">
        <f ca="1">IFERROR(__xludf.DUMMYFUNCTION("""COMPUTED_VALUE"""),"БУ Г. ОМСКА ""УДХБ"" 216-РДО от 03.10.2022")</f>
        <v>БУ Г. ОМСКА "УДХБ" 216-РДО от 03.10.2022</v>
      </c>
      <c r="D77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4" t="str">
        <f ca="1">IFERROR(__xludf.DUMMYFUNCTION("""COMPUTED_VALUE"""),"Новый")</f>
        <v>Новый</v>
      </c>
      <c r="G7734" s="68"/>
      <c r="K7734" s="68"/>
    </row>
    <row r="7735" spans="1:11" ht="12.75">
      <c r="A7735" s="69">
        <f ca="1">IFERROR(__xludf.DUMMYFUNCTION("""COMPUTED_VALUE"""),109414)</f>
        <v>109414</v>
      </c>
      <c r="B7735" s="4">
        <f ca="1">IFERROR(__xludf.DUMMYFUNCTION("""COMPUTED_VALUE"""),44841)</f>
        <v>44841</v>
      </c>
      <c r="C7735" t="str">
        <f ca="1">IFERROR(__xludf.DUMMYFUNCTION("""COMPUTED_VALUE"""),"БУ Г. ОМСКА ""УДХБ"" 216-РДО от 03.10.2022")</f>
        <v>БУ Г. ОМСКА "УДХБ" 216-РДО от 03.10.2022</v>
      </c>
      <c r="D77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5" t="str">
        <f ca="1">IFERROR(__xludf.DUMMYFUNCTION("""COMPUTED_VALUE"""),"Новый")</f>
        <v>Новый</v>
      </c>
      <c r="G7735" s="68"/>
      <c r="K7735" s="68"/>
    </row>
    <row r="7736" spans="1:11" ht="12.75">
      <c r="A7736" s="69">
        <f ca="1">IFERROR(__xludf.DUMMYFUNCTION("""COMPUTED_VALUE"""),109415)</f>
        <v>109415</v>
      </c>
      <c r="B7736" s="4">
        <f ca="1">IFERROR(__xludf.DUMMYFUNCTION("""COMPUTED_VALUE"""),44841)</f>
        <v>44841</v>
      </c>
      <c r="C7736" t="str">
        <f ca="1">IFERROR(__xludf.DUMMYFUNCTION("""COMPUTED_VALUE"""),"БУ Г. ОМСКА ""УДХБ"" 216-РДО от 03.10.2022")</f>
        <v>БУ Г. ОМСКА "УДХБ" 216-РДО от 03.10.2022</v>
      </c>
      <c r="D77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6" t="str">
        <f ca="1">IFERROR(__xludf.DUMMYFUNCTION("""COMPUTED_VALUE"""),"Новый")</f>
        <v>Новый</v>
      </c>
      <c r="G7736" s="68"/>
      <c r="K7736" s="68"/>
    </row>
    <row r="7737" spans="1:11" ht="12.75">
      <c r="A7737" s="69">
        <f ca="1">IFERROR(__xludf.DUMMYFUNCTION("""COMPUTED_VALUE"""),109416)</f>
        <v>109416</v>
      </c>
      <c r="B7737" s="4">
        <f ca="1">IFERROR(__xludf.DUMMYFUNCTION("""COMPUTED_VALUE"""),44841)</f>
        <v>44841</v>
      </c>
      <c r="C7737" t="str">
        <f ca="1">IFERROR(__xludf.DUMMYFUNCTION("""COMPUTED_VALUE"""),"БУ Г. ОМСКА ""УДХБ"" 216-РДО от 03.10.2022")</f>
        <v>БУ Г. ОМСКА "УДХБ" 216-РДО от 03.10.2022</v>
      </c>
      <c r="D77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7" t="str">
        <f ca="1">IFERROR(__xludf.DUMMYFUNCTION("""COMPUTED_VALUE"""),"Новый")</f>
        <v>Новый</v>
      </c>
      <c r="G7737" s="68"/>
      <c r="K7737" s="68"/>
    </row>
    <row r="7738" spans="1:11" ht="12.75">
      <c r="A7738" s="69">
        <f ca="1">IFERROR(__xludf.DUMMYFUNCTION("""COMPUTED_VALUE"""),109417)</f>
        <v>109417</v>
      </c>
      <c r="B7738" s="4">
        <f ca="1">IFERROR(__xludf.DUMMYFUNCTION("""COMPUTED_VALUE"""),44841)</f>
        <v>44841</v>
      </c>
      <c r="C7738" t="str">
        <f ca="1">IFERROR(__xludf.DUMMYFUNCTION("""COMPUTED_VALUE"""),"БУ Г. ОМСКА ""УДХБ"" 216-РДО от 03.10.2022")</f>
        <v>БУ Г. ОМСКА "УДХБ" 216-РДО от 03.10.2022</v>
      </c>
      <c r="D77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8" t="str">
        <f ca="1">IFERROR(__xludf.DUMMYFUNCTION("""COMPUTED_VALUE"""),"Новый")</f>
        <v>Новый</v>
      </c>
      <c r="G7738" s="68"/>
      <c r="K7738" s="68"/>
    </row>
    <row r="7739" spans="1:11" ht="12.75">
      <c r="A7739" s="69">
        <f ca="1">IFERROR(__xludf.DUMMYFUNCTION("""COMPUTED_VALUE"""),109418)</f>
        <v>109418</v>
      </c>
      <c r="B7739" s="4">
        <f ca="1">IFERROR(__xludf.DUMMYFUNCTION("""COMPUTED_VALUE"""),44841)</f>
        <v>44841</v>
      </c>
      <c r="C7739" t="str">
        <f ca="1">IFERROR(__xludf.DUMMYFUNCTION("""COMPUTED_VALUE"""),"БУ Г. ОМСКА ""УДХБ"" 216-РДО от 03.10.2022")</f>
        <v>БУ Г. ОМСКА "УДХБ" 216-РДО от 03.10.2022</v>
      </c>
      <c r="D77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39" t="str">
        <f ca="1">IFERROR(__xludf.DUMMYFUNCTION("""COMPUTED_VALUE"""),"Новый")</f>
        <v>Новый</v>
      </c>
      <c r="G7739" s="68"/>
      <c r="K7739" s="68"/>
    </row>
    <row r="7740" spans="1:11" ht="12.75">
      <c r="A7740" s="69">
        <f ca="1">IFERROR(__xludf.DUMMYFUNCTION("""COMPUTED_VALUE"""),109419)</f>
        <v>109419</v>
      </c>
      <c r="B7740" s="4">
        <f ca="1">IFERROR(__xludf.DUMMYFUNCTION("""COMPUTED_VALUE"""),44841)</f>
        <v>44841</v>
      </c>
      <c r="C7740" t="str">
        <f ca="1">IFERROR(__xludf.DUMMYFUNCTION("""COMPUTED_VALUE"""),"БУ Г. ОМСКА ""УДХБ"" 216-РДО от 03.10.2022")</f>
        <v>БУ Г. ОМСКА "УДХБ" 216-РДО от 03.10.2022</v>
      </c>
      <c r="D77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0" t="str">
        <f ca="1">IFERROR(__xludf.DUMMYFUNCTION("""COMPUTED_VALUE"""),"Новый")</f>
        <v>Новый</v>
      </c>
      <c r="G7740" s="68"/>
      <c r="K7740" s="68"/>
    </row>
    <row r="7741" spans="1:11" ht="12.75">
      <c r="A7741" s="69">
        <f ca="1">IFERROR(__xludf.DUMMYFUNCTION("""COMPUTED_VALUE"""),109420)</f>
        <v>109420</v>
      </c>
      <c r="B7741" s="4">
        <f ca="1">IFERROR(__xludf.DUMMYFUNCTION("""COMPUTED_VALUE"""),44841)</f>
        <v>44841</v>
      </c>
      <c r="C7741" t="str">
        <f ca="1">IFERROR(__xludf.DUMMYFUNCTION("""COMPUTED_VALUE"""),"БУ Г. ОМСКА ""УДХБ"" 216-РДО от 03.10.2022")</f>
        <v>БУ Г. ОМСКА "УДХБ" 216-РДО от 03.10.2022</v>
      </c>
      <c r="D77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1" t="str">
        <f ca="1">IFERROR(__xludf.DUMMYFUNCTION("""COMPUTED_VALUE"""),"Новый")</f>
        <v>Новый</v>
      </c>
      <c r="G7741" s="68"/>
      <c r="K7741" s="68"/>
    </row>
    <row r="7742" spans="1:11" ht="12.75">
      <c r="A7742" s="69">
        <f ca="1">IFERROR(__xludf.DUMMYFUNCTION("""COMPUTED_VALUE"""),109421)</f>
        <v>109421</v>
      </c>
      <c r="B7742" s="4">
        <f ca="1">IFERROR(__xludf.DUMMYFUNCTION("""COMPUTED_VALUE"""),44841)</f>
        <v>44841</v>
      </c>
      <c r="C7742" t="str">
        <f ca="1">IFERROR(__xludf.DUMMYFUNCTION("""COMPUTED_VALUE"""),"БУ Г. ОМСКА ""УДХБ"" 216-РДО от 03.10.2022")</f>
        <v>БУ Г. ОМСКА "УДХБ" 216-РДО от 03.10.2022</v>
      </c>
      <c r="D77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2" t="str">
        <f ca="1">IFERROR(__xludf.DUMMYFUNCTION("""COMPUTED_VALUE"""),"Новый")</f>
        <v>Новый</v>
      </c>
      <c r="G7742" s="68"/>
      <c r="K7742" s="68"/>
    </row>
    <row r="7743" spans="1:11" ht="12.75">
      <c r="A7743" s="69">
        <f ca="1">IFERROR(__xludf.DUMMYFUNCTION("""COMPUTED_VALUE"""),109422)</f>
        <v>109422</v>
      </c>
      <c r="B7743" s="4">
        <f ca="1">IFERROR(__xludf.DUMMYFUNCTION("""COMPUTED_VALUE"""),44841)</f>
        <v>44841</v>
      </c>
      <c r="C7743" t="str">
        <f ca="1">IFERROR(__xludf.DUMMYFUNCTION("""COMPUTED_VALUE"""),"БУ Г. ОМСКА ""УДХБ"" 216-РДО от 03.10.2022")</f>
        <v>БУ Г. ОМСКА "УДХБ" 216-РДО от 03.10.2022</v>
      </c>
      <c r="D77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3" t="str">
        <f ca="1">IFERROR(__xludf.DUMMYFUNCTION("""COMPUTED_VALUE"""),"Новый")</f>
        <v>Новый</v>
      </c>
      <c r="G7743" s="68"/>
      <c r="K7743" s="68"/>
    </row>
    <row r="7744" spans="1:11" ht="12.75">
      <c r="A7744" s="69">
        <f ca="1">IFERROR(__xludf.DUMMYFUNCTION("""COMPUTED_VALUE"""),109423)</f>
        <v>109423</v>
      </c>
      <c r="B7744" s="4">
        <f ca="1">IFERROR(__xludf.DUMMYFUNCTION("""COMPUTED_VALUE"""),44841)</f>
        <v>44841</v>
      </c>
      <c r="C7744" t="str">
        <f ca="1">IFERROR(__xludf.DUMMYFUNCTION("""COMPUTED_VALUE"""),"БУ Г. ОМСКА ""УДХБ"" 216-РДО от 03.10.2022")</f>
        <v>БУ Г. ОМСКА "УДХБ" 216-РДО от 03.10.2022</v>
      </c>
      <c r="D77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4" t="str">
        <f ca="1">IFERROR(__xludf.DUMMYFUNCTION("""COMPUTED_VALUE"""),"Новый")</f>
        <v>Новый</v>
      </c>
      <c r="G7744" s="68"/>
      <c r="K7744" s="68"/>
    </row>
    <row r="7745" spans="1:11" ht="12.75">
      <c r="A7745" s="69">
        <f ca="1">IFERROR(__xludf.DUMMYFUNCTION("""COMPUTED_VALUE"""),109424)</f>
        <v>109424</v>
      </c>
      <c r="B7745" s="4">
        <f ca="1">IFERROR(__xludf.DUMMYFUNCTION("""COMPUTED_VALUE"""),44841)</f>
        <v>44841</v>
      </c>
      <c r="C7745" t="str">
        <f ca="1">IFERROR(__xludf.DUMMYFUNCTION("""COMPUTED_VALUE"""),"БУ Г. ОМСКА ""УДХБ"" 216-РДО от 03.10.2022")</f>
        <v>БУ Г. ОМСКА "УДХБ" 216-РДО от 03.10.2022</v>
      </c>
      <c r="D77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5" t="str">
        <f ca="1">IFERROR(__xludf.DUMMYFUNCTION("""COMPUTED_VALUE"""),"Новый")</f>
        <v>Новый</v>
      </c>
      <c r="G7745" s="68"/>
      <c r="K7745" s="68"/>
    </row>
    <row r="7746" spans="1:11" ht="12.75">
      <c r="A7746" s="69">
        <f ca="1">IFERROR(__xludf.DUMMYFUNCTION("""COMPUTED_VALUE"""),109425)</f>
        <v>109425</v>
      </c>
      <c r="B7746" s="4">
        <f ca="1">IFERROR(__xludf.DUMMYFUNCTION("""COMPUTED_VALUE"""),44841)</f>
        <v>44841</v>
      </c>
      <c r="C7746" t="str">
        <f ca="1">IFERROR(__xludf.DUMMYFUNCTION("""COMPUTED_VALUE"""),"БУ Г. ОМСКА ""УДХБ"" 216-РДО от 03.10.2022")</f>
        <v>БУ Г. ОМСКА "УДХБ" 216-РДО от 03.10.2022</v>
      </c>
      <c r="D77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6" t="str">
        <f ca="1">IFERROR(__xludf.DUMMYFUNCTION("""COMPUTED_VALUE"""),"Новый")</f>
        <v>Новый</v>
      </c>
      <c r="G7746" s="68"/>
      <c r="K7746" s="68"/>
    </row>
    <row r="7747" spans="1:11" ht="12.75">
      <c r="A7747" s="69">
        <f ca="1">IFERROR(__xludf.DUMMYFUNCTION("""COMPUTED_VALUE"""),109426)</f>
        <v>109426</v>
      </c>
      <c r="B7747" s="4">
        <f ca="1">IFERROR(__xludf.DUMMYFUNCTION("""COMPUTED_VALUE"""),44841)</f>
        <v>44841</v>
      </c>
      <c r="C7747" t="str">
        <f ca="1">IFERROR(__xludf.DUMMYFUNCTION("""COMPUTED_VALUE"""),"БУ Г. ОМСКА ""УДХБ"" 216-РДО от 03.10.2022")</f>
        <v>БУ Г. ОМСКА "УДХБ" 216-РДО от 03.10.2022</v>
      </c>
      <c r="D77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7" t="str">
        <f ca="1">IFERROR(__xludf.DUMMYFUNCTION("""COMPUTED_VALUE"""),"Новый")</f>
        <v>Новый</v>
      </c>
      <c r="G7747" s="68"/>
      <c r="K7747" s="68"/>
    </row>
    <row r="7748" spans="1:11" ht="12.75">
      <c r="A7748" s="69">
        <f ca="1">IFERROR(__xludf.DUMMYFUNCTION("""COMPUTED_VALUE"""),109427)</f>
        <v>109427</v>
      </c>
      <c r="B7748" s="4">
        <f ca="1">IFERROR(__xludf.DUMMYFUNCTION("""COMPUTED_VALUE"""),44841)</f>
        <v>44841</v>
      </c>
      <c r="C7748" t="str">
        <f ca="1">IFERROR(__xludf.DUMMYFUNCTION("""COMPUTED_VALUE"""),"БУ Г. ОМСКА ""УДХБ"" 216-РДО от 03.10.2022")</f>
        <v>БУ Г. ОМСКА "УДХБ" 216-РДО от 03.10.2022</v>
      </c>
      <c r="D77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8" t="str">
        <f ca="1">IFERROR(__xludf.DUMMYFUNCTION("""COMPUTED_VALUE"""),"Новый")</f>
        <v>Новый</v>
      </c>
      <c r="G7748" s="68"/>
      <c r="K7748" s="68"/>
    </row>
    <row r="7749" spans="1:11" ht="12.75">
      <c r="A7749" s="69">
        <f ca="1">IFERROR(__xludf.DUMMYFUNCTION("""COMPUTED_VALUE"""),109428)</f>
        <v>109428</v>
      </c>
      <c r="B7749" s="4">
        <f ca="1">IFERROR(__xludf.DUMMYFUNCTION("""COMPUTED_VALUE"""),44841)</f>
        <v>44841</v>
      </c>
      <c r="C7749" t="str">
        <f ca="1">IFERROR(__xludf.DUMMYFUNCTION("""COMPUTED_VALUE"""),"БУ Г. ОМСКА ""УДХБ"" 216-РДО от 03.10.2022")</f>
        <v>БУ Г. ОМСКА "УДХБ" 216-РДО от 03.10.2022</v>
      </c>
      <c r="D77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49" t="str">
        <f ca="1">IFERROR(__xludf.DUMMYFUNCTION("""COMPUTED_VALUE"""),"Новый")</f>
        <v>Новый</v>
      </c>
      <c r="G7749" s="68"/>
      <c r="K7749" s="68"/>
    </row>
    <row r="7750" spans="1:11" ht="12.75">
      <c r="A7750" s="69">
        <f ca="1">IFERROR(__xludf.DUMMYFUNCTION("""COMPUTED_VALUE"""),109429)</f>
        <v>109429</v>
      </c>
      <c r="B7750" s="4">
        <f ca="1">IFERROR(__xludf.DUMMYFUNCTION("""COMPUTED_VALUE"""),44841)</f>
        <v>44841</v>
      </c>
      <c r="C7750" t="str">
        <f ca="1">IFERROR(__xludf.DUMMYFUNCTION("""COMPUTED_VALUE"""),"БУ Г. ОМСКА ""УДХБ"" 216-РДО от 03.10.2022")</f>
        <v>БУ Г. ОМСКА "УДХБ" 216-РДО от 03.10.2022</v>
      </c>
      <c r="D77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0" t="str">
        <f ca="1">IFERROR(__xludf.DUMMYFUNCTION("""COMPUTED_VALUE"""),"Новый")</f>
        <v>Новый</v>
      </c>
      <c r="G7750" s="68"/>
      <c r="K7750" s="68"/>
    </row>
    <row r="7751" spans="1:11" ht="12.75">
      <c r="A7751" s="69">
        <f ca="1">IFERROR(__xludf.DUMMYFUNCTION("""COMPUTED_VALUE"""),109430)</f>
        <v>109430</v>
      </c>
      <c r="B7751" s="4">
        <f ca="1">IFERROR(__xludf.DUMMYFUNCTION("""COMPUTED_VALUE"""),44841)</f>
        <v>44841</v>
      </c>
      <c r="C7751" t="str">
        <f ca="1">IFERROR(__xludf.DUMMYFUNCTION("""COMPUTED_VALUE"""),"БУ Г. ОМСКА ""УДХБ"" 216-РДО от 03.10.2022")</f>
        <v>БУ Г. ОМСКА "УДХБ" 216-РДО от 03.10.2022</v>
      </c>
      <c r="D77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1" t="str">
        <f ca="1">IFERROR(__xludf.DUMMYFUNCTION("""COMPUTED_VALUE"""),"Новый")</f>
        <v>Новый</v>
      </c>
      <c r="G7751" s="68"/>
      <c r="K7751" s="68"/>
    </row>
    <row r="7752" spans="1:11" ht="12.75">
      <c r="A7752" s="69">
        <f ca="1">IFERROR(__xludf.DUMMYFUNCTION("""COMPUTED_VALUE"""),109431)</f>
        <v>109431</v>
      </c>
      <c r="B7752" s="4">
        <f ca="1">IFERROR(__xludf.DUMMYFUNCTION("""COMPUTED_VALUE"""),44841)</f>
        <v>44841</v>
      </c>
      <c r="C7752" t="str">
        <f ca="1">IFERROR(__xludf.DUMMYFUNCTION("""COMPUTED_VALUE"""),"БУ Г. ОМСКА ""УДХБ"" 216-РДО от 03.10.2022")</f>
        <v>БУ Г. ОМСКА "УДХБ" 216-РДО от 03.10.2022</v>
      </c>
      <c r="D77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2" t="str">
        <f ca="1">IFERROR(__xludf.DUMMYFUNCTION("""COMPUTED_VALUE"""),"Новый")</f>
        <v>Новый</v>
      </c>
      <c r="G7752" s="68"/>
      <c r="K7752" s="68"/>
    </row>
    <row r="7753" spans="1:11" ht="12.75">
      <c r="A7753" s="69">
        <f ca="1">IFERROR(__xludf.DUMMYFUNCTION("""COMPUTED_VALUE"""),109432)</f>
        <v>109432</v>
      </c>
      <c r="B7753" s="4">
        <f ca="1">IFERROR(__xludf.DUMMYFUNCTION("""COMPUTED_VALUE"""),44841)</f>
        <v>44841</v>
      </c>
      <c r="C7753" t="str">
        <f ca="1">IFERROR(__xludf.DUMMYFUNCTION("""COMPUTED_VALUE"""),"БУ Г. ОМСКА ""УДХБ"" 216-РДО от 03.10.2022")</f>
        <v>БУ Г. ОМСКА "УДХБ" 216-РДО от 03.10.2022</v>
      </c>
      <c r="D77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3" t="str">
        <f ca="1">IFERROR(__xludf.DUMMYFUNCTION("""COMPUTED_VALUE"""),"Новый")</f>
        <v>Новый</v>
      </c>
      <c r="G7753" s="68"/>
      <c r="K7753" s="68"/>
    </row>
    <row r="7754" spans="1:11" ht="12.75">
      <c r="A7754" s="69">
        <f ca="1">IFERROR(__xludf.DUMMYFUNCTION("""COMPUTED_VALUE"""),109433)</f>
        <v>109433</v>
      </c>
      <c r="B7754" s="4">
        <f ca="1">IFERROR(__xludf.DUMMYFUNCTION("""COMPUTED_VALUE"""),44841)</f>
        <v>44841</v>
      </c>
      <c r="C7754" t="str">
        <f ca="1">IFERROR(__xludf.DUMMYFUNCTION("""COMPUTED_VALUE"""),"БУ Г. ОМСКА ""УДХБ"" 216-РДО от 03.10.2022")</f>
        <v>БУ Г. ОМСКА "УДХБ" 216-РДО от 03.10.2022</v>
      </c>
      <c r="D77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4" t="str">
        <f ca="1">IFERROR(__xludf.DUMMYFUNCTION("""COMPUTED_VALUE"""),"Новый")</f>
        <v>Новый</v>
      </c>
      <c r="G7754" s="68"/>
      <c r="K7754" s="68"/>
    </row>
    <row r="7755" spans="1:11" ht="12.75">
      <c r="A7755" s="69">
        <f ca="1">IFERROR(__xludf.DUMMYFUNCTION("""COMPUTED_VALUE"""),109434)</f>
        <v>109434</v>
      </c>
      <c r="B7755" s="4">
        <f ca="1">IFERROR(__xludf.DUMMYFUNCTION("""COMPUTED_VALUE"""),44841)</f>
        <v>44841</v>
      </c>
      <c r="C7755" t="str">
        <f ca="1">IFERROR(__xludf.DUMMYFUNCTION("""COMPUTED_VALUE"""),"БУ Г. ОМСКА ""УДХБ"" 216-РДО от 03.10.2022")</f>
        <v>БУ Г. ОМСКА "УДХБ" 216-РДО от 03.10.2022</v>
      </c>
      <c r="D77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5" t="str">
        <f ca="1">IFERROR(__xludf.DUMMYFUNCTION("""COMPUTED_VALUE"""),"Новый")</f>
        <v>Новый</v>
      </c>
      <c r="G7755" s="68"/>
      <c r="K7755" s="68"/>
    </row>
    <row r="7756" spans="1:11" ht="12.75">
      <c r="A7756" s="69">
        <f ca="1">IFERROR(__xludf.DUMMYFUNCTION("""COMPUTED_VALUE"""),109435)</f>
        <v>109435</v>
      </c>
      <c r="B7756" s="4">
        <f ca="1">IFERROR(__xludf.DUMMYFUNCTION("""COMPUTED_VALUE"""),44841)</f>
        <v>44841</v>
      </c>
      <c r="C7756" t="str">
        <f ca="1">IFERROR(__xludf.DUMMYFUNCTION("""COMPUTED_VALUE"""),"БУ Г. ОМСКА ""УДХБ"" 216-РДО от 03.10.2022")</f>
        <v>БУ Г. ОМСКА "УДХБ" 216-РДО от 03.10.2022</v>
      </c>
      <c r="D77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6" t="str">
        <f ca="1">IFERROR(__xludf.DUMMYFUNCTION("""COMPUTED_VALUE"""),"Новый")</f>
        <v>Новый</v>
      </c>
      <c r="G7756" s="68"/>
      <c r="K7756" s="68"/>
    </row>
    <row r="7757" spans="1:11" ht="12.75">
      <c r="A7757" s="69">
        <f ca="1">IFERROR(__xludf.DUMMYFUNCTION("""COMPUTED_VALUE"""),109436)</f>
        <v>109436</v>
      </c>
      <c r="B7757" s="4">
        <f ca="1">IFERROR(__xludf.DUMMYFUNCTION("""COMPUTED_VALUE"""),44841)</f>
        <v>44841</v>
      </c>
      <c r="C7757" t="str">
        <f ca="1">IFERROR(__xludf.DUMMYFUNCTION("""COMPUTED_VALUE"""),"БУ Г. ОМСКА ""УДХБ"" 216-РДО от 03.10.2022")</f>
        <v>БУ Г. ОМСКА "УДХБ" 216-РДО от 03.10.2022</v>
      </c>
      <c r="D77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7" t="str">
        <f ca="1">IFERROR(__xludf.DUMMYFUNCTION("""COMPUTED_VALUE"""),"Новый")</f>
        <v>Новый</v>
      </c>
      <c r="G7757" s="68"/>
      <c r="K7757" s="68"/>
    </row>
    <row r="7758" spans="1:11" ht="12.75">
      <c r="A7758" s="69">
        <f ca="1">IFERROR(__xludf.DUMMYFUNCTION("""COMPUTED_VALUE"""),109437)</f>
        <v>109437</v>
      </c>
      <c r="B7758" s="4">
        <f ca="1">IFERROR(__xludf.DUMMYFUNCTION("""COMPUTED_VALUE"""),44841)</f>
        <v>44841</v>
      </c>
      <c r="C7758" t="str">
        <f ca="1">IFERROR(__xludf.DUMMYFUNCTION("""COMPUTED_VALUE"""),"БУ Г. ОМСКА ""УДХБ"" 216-РДО от 03.10.2022")</f>
        <v>БУ Г. ОМСКА "УДХБ" 216-РДО от 03.10.2022</v>
      </c>
      <c r="D77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8" t="str">
        <f ca="1">IFERROR(__xludf.DUMMYFUNCTION("""COMPUTED_VALUE"""),"Новый")</f>
        <v>Новый</v>
      </c>
      <c r="G7758" s="68"/>
      <c r="K7758" s="68"/>
    </row>
    <row r="7759" spans="1:11" ht="12.75">
      <c r="A7759" s="69">
        <f ca="1">IFERROR(__xludf.DUMMYFUNCTION("""COMPUTED_VALUE"""),109438)</f>
        <v>109438</v>
      </c>
      <c r="B7759" s="4">
        <f ca="1">IFERROR(__xludf.DUMMYFUNCTION("""COMPUTED_VALUE"""),44841)</f>
        <v>44841</v>
      </c>
      <c r="C7759" t="str">
        <f ca="1">IFERROR(__xludf.DUMMYFUNCTION("""COMPUTED_VALUE"""),"БУ Г. ОМСКА ""УДХБ"" 216-РДО от 03.10.2022")</f>
        <v>БУ Г. ОМСКА "УДХБ" 216-РДО от 03.10.2022</v>
      </c>
      <c r="D77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59" t="str">
        <f ca="1">IFERROR(__xludf.DUMMYFUNCTION("""COMPUTED_VALUE"""),"Новый")</f>
        <v>Новый</v>
      </c>
      <c r="G7759" s="68"/>
      <c r="K7759" s="68"/>
    </row>
    <row r="7760" spans="1:11" ht="12.75">
      <c r="A7760" s="69">
        <f ca="1">IFERROR(__xludf.DUMMYFUNCTION("""COMPUTED_VALUE"""),109439)</f>
        <v>109439</v>
      </c>
      <c r="B7760" s="4">
        <f ca="1">IFERROR(__xludf.DUMMYFUNCTION("""COMPUTED_VALUE"""),44841)</f>
        <v>44841</v>
      </c>
      <c r="C7760" t="str">
        <f ca="1">IFERROR(__xludf.DUMMYFUNCTION("""COMPUTED_VALUE"""),"БУ Г. ОМСКА ""УДХБ"" 216-РДО от 03.10.2022")</f>
        <v>БУ Г. ОМСКА "УДХБ" 216-РДО от 03.10.2022</v>
      </c>
      <c r="D77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0" t="str">
        <f ca="1">IFERROR(__xludf.DUMMYFUNCTION("""COMPUTED_VALUE"""),"Новый")</f>
        <v>Новый</v>
      </c>
      <c r="G7760" s="68"/>
      <c r="K7760" s="68"/>
    </row>
    <row r="7761" spans="1:11" ht="12.75">
      <c r="A7761" s="69">
        <f ca="1">IFERROR(__xludf.DUMMYFUNCTION("""COMPUTED_VALUE"""),109440)</f>
        <v>109440</v>
      </c>
      <c r="B7761" s="4">
        <f ca="1">IFERROR(__xludf.DUMMYFUNCTION("""COMPUTED_VALUE"""),44841)</f>
        <v>44841</v>
      </c>
      <c r="C7761" t="str">
        <f ca="1">IFERROR(__xludf.DUMMYFUNCTION("""COMPUTED_VALUE"""),"БУ Г. ОМСКА ""УДХБ"" 216-РДО от 03.10.2022")</f>
        <v>БУ Г. ОМСКА "УДХБ" 216-РДО от 03.10.2022</v>
      </c>
      <c r="D77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1" t="str">
        <f ca="1">IFERROR(__xludf.DUMMYFUNCTION("""COMPUTED_VALUE"""),"Новый")</f>
        <v>Новый</v>
      </c>
      <c r="G7761" s="68"/>
      <c r="K7761" s="68"/>
    </row>
    <row r="7762" spans="1:11" ht="12.75">
      <c r="A7762" s="69">
        <f ca="1">IFERROR(__xludf.DUMMYFUNCTION("""COMPUTED_VALUE"""),109441)</f>
        <v>109441</v>
      </c>
      <c r="B7762" s="4">
        <f ca="1">IFERROR(__xludf.DUMMYFUNCTION("""COMPUTED_VALUE"""),44841)</f>
        <v>44841</v>
      </c>
      <c r="C7762" t="str">
        <f ca="1">IFERROR(__xludf.DUMMYFUNCTION("""COMPUTED_VALUE"""),"БУ Г. ОМСКА ""УДХБ"" 216-РДО от 03.10.2022")</f>
        <v>БУ Г. ОМСКА "УДХБ" 216-РДО от 03.10.2022</v>
      </c>
      <c r="D77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2" t="str">
        <f ca="1">IFERROR(__xludf.DUMMYFUNCTION("""COMPUTED_VALUE"""),"Новый")</f>
        <v>Новый</v>
      </c>
      <c r="G7762" s="68"/>
      <c r="K7762" s="68"/>
    </row>
    <row r="7763" spans="1:11" ht="12.75">
      <c r="A7763" s="69">
        <f ca="1">IFERROR(__xludf.DUMMYFUNCTION("""COMPUTED_VALUE"""),109442)</f>
        <v>109442</v>
      </c>
      <c r="B7763" s="4">
        <f ca="1">IFERROR(__xludf.DUMMYFUNCTION("""COMPUTED_VALUE"""),44841)</f>
        <v>44841</v>
      </c>
      <c r="C7763" t="str">
        <f ca="1">IFERROR(__xludf.DUMMYFUNCTION("""COMPUTED_VALUE"""),"БУ Г. ОМСКА ""УДХБ"" 216-РДО от 03.10.2022")</f>
        <v>БУ Г. ОМСКА "УДХБ" 216-РДО от 03.10.2022</v>
      </c>
      <c r="D77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3" t="str">
        <f ca="1">IFERROR(__xludf.DUMMYFUNCTION("""COMPUTED_VALUE"""),"Новый")</f>
        <v>Новый</v>
      </c>
      <c r="G7763" s="68"/>
      <c r="K7763" s="68"/>
    </row>
    <row r="7764" spans="1:11" ht="12.75">
      <c r="A7764" s="69">
        <f ca="1">IFERROR(__xludf.DUMMYFUNCTION("""COMPUTED_VALUE"""),109443)</f>
        <v>109443</v>
      </c>
      <c r="B7764" s="4">
        <f ca="1">IFERROR(__xludf.DUMMYFUNCTION("""COMPUTED_VALUE"""),44841)</f>
        <v>44841</v>
      </c>
      <c r="C7764" t="str">
        <f ca="1">IFERROR(__xludf.DUMMYFUNCTION("""COMPUTED_VALUE"""),"БУ Г. ОМСКА ""УДХБ"" 216-РДО от 03.10.2022")</f>
        <v>БУ Г. ОМСКА "УДХБ" 216-РДО от 03.10.2022</v>
      </c>
      <c r="D77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4" t="str">
        <f ca="1">IFERROR(__xludf.DUMMYFUNCTION("""COMPUTED_VALUE"""),"Новый")</f>
        <v>Новый</v>
      </c>
      <c r="G7764" s="68"/>
      <c r="K7764" s="68"/>
    </row>
    <row r="7765" spans="1:11" ht="12.75">
      <c r="A7765" s="69">
        <f ca="1">IFERROR(__xludf.DUMMYFUNCTION("""COMPUTED_VALUE"""),109444)</f>
        <v>109444</v>
      </c>
      <c r="B7765" s="4">
        <f ca="1">IFERROR(__xludf.DUMMYFUNCTION("""COMPUTED_VALUE"""),44841)</f>
        <v>44841</v>
      </c>
      <c r="C7765" t="str">
        <f ca="1">IFERROR(__xludf.DUMMYFUNCTION("""COMPUTED_VALUE"""),"БУ Г. ОМСКА ""УДХБ"" 216-РДО от 03.10.2022")</f>
        <v>БУ Г. ОМСКА "УДХБ" 216-РДО от 03.10.2022</v>
      </c>
      <c r="D77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5" t="str">
        <f ca="1">IFERROR(__xludf.DUMMYFUNCTION("""COMPUTED_VALUE"""),"Новый")</f>
        <v>Новый</v>
      </c>
      <c r="G7765" s="68"/>
      <c r="K7765" s="68"/>
    </row>
    <row r="7766" spans="1:11" ht="12.75">
      <c r="A7766" s="69">
        <f ca="1">IFERROR(__xludf.DUMMYFUNCTION("""COMPUTED_VALUE"""),109445)</f>
        <v>109445</v>
      </c>
      <c r="B7766" s="4">
        <f ca="1">IFERROR(__xludf.DUMMYFUNCTION("""COMPUTED_VALUE"""),44841)</f>
        <v>44841</v>
      </c>
      <c r="C7766" t="str">
        <f ca="1">IFERROR(__xludf.DUMMYFUNCTION("""COMPUTED_VALUE"""),"БУ Г. ОМСКА ""УДХБ"" 216-РДО от 03.10.2022")</f>
        <v>БУ Г. ОМСКА "УДХБ" 216-РДО от 03.10.2022</v>
      </c>
      <c r="D77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6" t="str">
        <f ca="1">IFERROR(__xludf.DUMMYFUNCTION("""COMPUTED_VALUE"""),"Новый")</f>
        <v>Новый</v>
      </c>
      <c r="G7766" s="68"/>
      <c r="K7766" s="68"/>
    </row>
    <row r="7767" spans="1:11" ht="12.75">
      <c r="A7767" s="69">
        <f ca="1">IFERROR(__xludf.DUMMYFUNCTION("""COMPUTED_VALUE"""),109446)</f>
        <v>109446</v>
      </c>
      <c r="B7767" s="4">
        <f ca="1">IFERROR(__xludf.DUMMYFUNCTION("""COMPUTED_VALUE"""),44841)</f>
        <v>44841</v>
      </c>
      <c r="C7767" t="str">
        <f ca="1">IFERROR(__xludf.DUMMYFUNCTION("""COMPUTED_VALUE"""),"БУ Г. ОМСКА ""УДХБ"" 216-РДО от 03.10.2022")</f>
        <v>БУ Г. ОМСКА "УДХБ" 216-РДО от 03.10.2022</v>
      </c>
      <c r="D77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7" t="str">
        <f ca="1">IFERROR(__xludf.DUMMYFUNCTION("""COMPUTED_VALUE"""),"Новый")</f>
        <v>Новый</v>
      </c>
      <c r="G7767" s="68"/>
      <c r="K7767" s="68"/>
    </row>
    <row r="7768" spans="1:11" ht="12.75">
      <c r="A7768" s="69">
        <f ca="1">IFERROR(__xludf.DUMMYFUNCTION("""COMPUTED_VALUE"""),109447)</f>
        <v>109447</v>
      </c>
      <c r="B7768" s="4">
        <f ca="1">IFERROR(__xludf.DUMMYFUNCTION("""COMPUTED_VALUE"""),44841)</f>
        <v>44841</v>
      </c>
      <c r="C7768" t="str">
        <f ca="1">IFERROR(__xludf.DUMMYFUNCTION("""COMPUTED_VALUE"""),"БУ Г. ОМСКА ""УДХБ"" 216-РДО от 03.10.2022")</f>
        <v>БУ Г. ОМСКА "УДХБ" 216-РДО от 03.10.2022</v>
      </c>
      <c r="D77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8" t="str">
        <f ca="1">IFERROR(__xludf.DUMMYFUNCTION("""COMPUTED_VALUE"""),"Новый")</f>
        <v>Новый</v>
      </c>
      <c r="G7768" s="68"/>
      <c r="K7768" s="68"/>
    </row>
    <row r="7769" spans="1:11" ht="12.75">
      <c r="A7769" s="69">
        <f ca="1">IFERROR(__xludf.DUMMYFUNCTION("""COMPUTED_VALUE"""),109448)</f>
        <v>109448</v>
      </c>
      <c r="B7769" s="4">
        <f ca="1">IFERROR(__xludf.DUMMYFUNCTION("""COMPUTED_VALUE"""),44841)</f>
        <v>44841</v>
      </c>
      <c r="C7769" t="str">
        <f ca="1">IFERROR(__xludf.DUMMYFUNCTION("""COMPUTED_VALUE"""),"БУ Г. ОМСКА ""УДХБ"" 216-РДО от 03.10.2022")</f>
        <v>БУ Г. ОМСКА "УДХБ" 216-РДО от 03.10.2022</v>
      </c>
      <c r="D77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69" t="str">
        <f ca="1">IFERROR(__xludf.DUMMYFUNCTION("""COMPUTED_VALUE"""),"Новый")</f>
        <v>Новый</v>
      </c>
      <c r="G7769" s="68"/>
      <c r="K7769" s="68"/>
    </row>
    <row r="7770" spans="1:11" ht="12.75">
      <c r="A7770" s="69">
        <f ca="1">IFERROR(__xludf.DUMMYFUNCTION("""COMPUTED_VALUE"""),109449)</f>
        <v>109449</v>
      </c>
      <c r="B7770" s="4">
        <f ca="1">IFERROR(__xludf.DUMMYFUNCTION("""COMPUTED_VALUE"""),44841)</f>
        <v>44841</v>
      </c>
      <c r="C7770" t="str">
        <f ca="1">IFERROR(__xludf.DUMMYFUNCTION("""COMPUTED_VALUE"""),"БУ Г. ОМСКА ""УДХБ"" 216-РДО от 03.10.2022")</f>
        <v>БУ Г. ОМСКА "УДХБ" 216-РДО от 03.10.2022</v>
      </c>
      <c r="D77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0" t="str">
        <f ca="1">IFERROR(__xludf.DUMMYFUNCTION("""COMPUTED_VALUE"""),"Новый")</f>
        <v>Новый</v>
      </c>
      <c r="G7770" s="68"/>
      <c r="K7770" s="68"/>
    </row>
    <row r="7771" spans="1:11" ht="12.75">
      <c r="A7771" s="69">
        <f ca="1">IFERROR(__xludf.DUMMYFUNCTION("""COMPUTED_VALUE"""),109450)</f>
        <v>109450</v>
      </c>
      <c r="B7771" s="4">
        <f ca="1">IFERROR(__xludf.DUMMYFUNCTION("""COMPUTED_VALUE"""),44841)</f>
        <v>44841</v>
      </c>
      <c r="C7771" t="str">
        <f ca="1">IFERROR(__xludf.DUMMYFUNCTION("""COMPUTED_VALUE"""),"БУ Г. ОМСКА ""УДХБ"" 216-РДО от 03.10.2022")</f>
        <v>БУ Г. ОМСКА "УДХБ" 216-РДО от 03.10.2022</v>
      </c>
      <c r="D77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1" t="str">
        <f ca="1">IFERROR(__xludf.DUMMYFUNCTION("""COMPUTED_VALUE"""),"Новый")</f>
        <v>Новый</v>
      </c>
      <c r="G7771" s="68"/>
      <c r="K7771" s="68"/>
    </row>
    <row r="7772" spans="1:11" ht="12.75">
      <c r="A7772" s="69">
        <f ca="1">IFERROR(__xludf.DUMMYFUNCTION("""COMPUTED_VALUE"""),109451)</f>
        <v>109451</v>
      </c>
      <c r="B7772" s="4">
        <f ca="1">IFERROR(__xludf.DUMMYFUNCTION("""COMPUTED_VALUE"""),44841)</f>
        <v>44841</v>
      </c>
      <c r="C7772" t="str">
        <f ca="1">IFERROR(__xludf.DUMMYFUNCTION("""COMPUTED_VALUE"""),"БУ Г. ОМСКА ""УДХБ"" 216-РДО от 03.10.2022")</f>
        <v>БУ Г. ОМСКА "УДХБ" 216-РДО от 03.10.2022</v>
      </c>
      <c r="D77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2" t="str">
        <f ca="1">IFERROR(__xludf.DUMMYFUNCTION("""COMPUTED_VALUE"""),"Новый")</f>
        <v>Новый</v>
      </c>
      <c r="G7772" s="68"/>
      <c r="K7772" s="68"/>
    </row>
    <row r="7773" spans="1:11" ht="12.75">
      <c r="A7773" s="69">
        <f ca="1">IFERROR(__xludf.DUMMYFUNCTION("""COMPUTED_VALUE"""),109452)</f>
        <v>109452</v>
      </c>
      <c r="B7773" s="4">
        <f ca="1">IFERROR(__xludf.DUMMYFUNCTION("""COMPUTED_VALUE"""),44841)</f>
        <v>44841</v>
      </c>
      <c r="C7773" t="str">
        <f ca="1">IFERROR(__xludf.DUMMYFUNCTION("""COMPUTED_VALUE"""),"БУ Г. ОМСКА ""УДХБ"" 216-РДО от 03.10.2022")</f>
        <v>БУ Г. ОМСКА "УДХБ" 216-РДО от 03.10.2022</v>
      </c>
      <c r="D77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3" t="str">
        <f ca="1">IFERROR(__xludf.DUMMYFUNCTION("""COMPUTED_VALUE"""),"Новый")</f>
        <v>Новый</v>
      </c>
      <c r="G7773" s="68"/>
      <c r="K7773" s="68"/>
    </row>
    <row r="7774" spans="1:11" ht="12.75">
      <c r="A7774" s="69">
        <f ca="1">IFERROR(__xludf.DUMMYFUNCTION("""COMPUTED_VALUE"""),109453)</f>
        <v>109453</v>
      </c>
      <c r="B7774" s="4">
        <f ca="1">IFERROR(__xludf.DUMMYFUNCTION("""COMPUTED_VALUE"""),44841)</f>
        <v>44841</v>
      </c>
      <c r="C7774" t="str">
        <f ca="1">IFERROR(__xludf.DUMMYFUNCTION("""COMPUTED_VALUE"""),"БУ Г. ОМСКА ""УДХБ"" 216-РДО от 03.10.2022")</f>
        <v>БУ Г. ОМСКА "УДХБ" 216-РДО от 03.10.2022</v>
      </c>
      <c r="D77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4" t="str">
        <f ca="1">IFERROR(__xludf.DUMMYFUNCTION("""COMPUTED_VALUE"""),"Новый")</f>
        <v>Новый</v>
      </c>
      <c r="G7774" s="68"/>
      <c r="K7774" s="68"/>
    </row>
    <row r="7775" spans="1:11" ht="12.75">
      <c r="A7775" s="69">
        <f ca="1">IFERROR(__xludf.DUMMYFUNCTION("""COMPUTED_VALUE"""),109454)</f>
        <v>109454</v>
      </c>
      <c r="B7775" s="4">
        <f ca="1">IFERROR(__xludf.DUMMYFUNCTION("""COMPUTED_VALUE"""),44841)</f>
        <v>44841</v>
      </c>
      <c r="C7775" t="str">
        <f ca="1">IFERROR(__xludf.DUMMYFUNCTION("""COMPUTED_VALUE"""),"БУ Г. ОМСКА ""УДХБ"" 216-РДО от 03.10.2022")</f>
        <v>БУ Г. ОМСКА "УДХБ" 216-РДО от 03.10.2022</v>
      </c>
      <c r="D77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5" t="str">
        <f ca="1">IFERROR(__xludf.DUMMYFUNCTION("""COMPUTED_VALUE"""),"Новый")</f>
        <v>Новый</v>
      </c>
      <c r="G7775" s="68"/>
      <c r="K7775" s="68"/>
    </row>
    <row r="7776" spans="1:11" ht="12.75">
      <c r="A7776" s="69">
        <f ca="1">IFERROR(__xludf.DUMMYFUNCTION("""COMPUTED_VALUE"""),109455)</f>
        <v>109455</v>
      </c>
      <c r="B7776" s="4">
        <f ca="1">IFERROR(__xludf.DUMMYFUNCTION("""COMPUTED_VALUE"""),44841)</f>
        <v>44841</v>
      </c>
      <c r="C7776" t="str">
        <f ca="1">IFERROR(__xludf.DUMMYFUNCTION("""COMPUTED_VALUE"""),"БУ Г. ОМСКА ""УДХБ"" 216-РДО от 03.10.2022")</f>
        <v>БУ Г. ОМСКА "УДХБ" 216-РДО от 03.10.2022</v>
      </c>
      <c r="D77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6" t="str">
        <f ca="1">IFERROR(__xludf.DUMMYFUNCTION("""COMPUTED_VALUE"""),"Новый")</f>
        <v>Новый</v>
      </c>
      <c r="G7776" s="68"/>
      <c r="K7776" s="68"/>
    </row>
    <row r="7777" spans="1:11" ht="12.75">
      <c r="A7777" s="69">
        <f ca="1">IFERROR(__xludf.DUMMYFUNCTION("""COMPUTED_VALUE"""),109456)</f>
        <v>109456</v>
      </c>
      <c r="B7777" s="4">
        <f ca="1">IFERROR(__xludf.DUMMYFUNCTION("""COMPUTED_VALUE"""),44841)</f>
        <v>44841</v>
      </c>
      <c r="C7777" t="str">
        <f ca="1">IFERROR(__xludf.DUMMYFUNCTION("""COMPUTED_VALUE"""),"БУ Г. ОМСКА ""УДХБ"" 216-РДО от 03.10.2022")</f>
        <v>БУ Г. ОМСКА "УДХБ" 216-РДО от 03.10.2022</v>
      </c>
      <c r="D77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7" t="str">
        <f ca="1">IFERROR(__xludf.DUMMYFUNCTION("""COMPUTED_VALUE"""),"Новый")</f>
        <v>Новый</v>
      </c>
      <c r="G7777" s="68"/>
      <c r="K7777" s="68"/>
    </row>
    <row r="7778" spans="1:11" ht="12.75">
      <c r="A7778" s="69">
        <f ca="1">IFERROR(__xludf.DUMMYFUNCTION("""COMPUTED_VALUE"""),109457)</f>
        <v>109457</v>
      </c>
      <c r="B7778" s="4">
        <f ca="1">IFERROR(__xludf.DUMMYFUNCTION("""COMPUTED_VALUE"""),44841)</f>
        <v>44841</v>
      </c>
      <c r="C7778" t="str">
        <f ca="1">IFERROR(__xludf.DUMMYFUNCTION("""COMPUTED_VALUE"""),"БУ Г. ОМСКА ""УДХБ"" 216-РДО от 03.10.2022")</f>
        <v>БУ Г. ОМСКА "УДХБ" 216-РДО от 03.10.2022</v>
      </c>
      <c r="D77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8" t="str">
        <f ca="1">IFERROR(__xludf.DUMMYFUNCTION("""COMPUTED_VALUE"""),"Новый")</f>
        <v>Новый</v>
      </c>
      <c r="G7778" s="68"/>
      <c r="K7778" s="68"/>
    </row>
    <row r="7779" spans="1:11" ht="12.75">
      <c r="A7779" s="69">
        <f ca="1">IFERROR(__xludf.DUMMYFUNCTION("""COMPUTED_VALUE"""),109458)</f>
        <v>109458</v>
      </c>
      <c r="B7779" s="4">
        <f ca="1">IFERROR(__xludf.DUMMYFUNCTION("""COMPUTED_VALUE"""),44841)</f>
        <v>44841</v>
      </c>
      <c r="C7779" t="str">
        <f ca="1">IFERROR(__xludf.DUMMYFUNCTION("""COMPUTED_VALUE"""),"БУ Г. ОМСКА ""УДХБ"" 216-РДО от 03.10.2022")</f>
        <v>БУ Г. ОМСКА "УДХБ" 216-РДО от 03.10.2022</v>
      </c>
      <c r="D77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79" t="str">
        <f ca="1">IFERROR(__xludf.DUMMYFUNCTION("""COMPUTED_VALUE"""),"Новый")</f>
        <v>Новый</v>
      </c>
      <c r="G7779" s="68"/>
      <c r="K7779" s="68"/>
    </row>
    <row r="7780" spans="1:11" ht="12.75">
      <c r="A7780" s="69">
        <f ca="1">IFERROR(__xludf.DUMMYFUNCTION("""COMPUTED_VALUE"""),109459)</f>
        <v>109459</v>
      </c>
      <c r="B7780" s="4">
        <f ca="1">IFERROR(__xludf.DUMMYFUNCTION("""COMPUTED_VALUE"""),44841)</f>
        <v>44841</v>
      </c>
      <c r="C7780" t="str">
        <f ca="1">IFERROR(__xludf.DUMMYFUNCTION("""COMPUTED_VALUE"""),"БУ Г. ОМСКА ""УДХБ"" 216-РДО от 03.10.2022")</f>
        <v>БУ Г. ОМСКА "УДХБ" 216-РДО от 03.10.2022</v>
      </c>
      <c r="D77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0" t="str">
        <f ca="1">IFERROR(__xludf.DUMMYFUNCTION("""COMPUTED_VALUE"""),"Новый")</f>
        <v>Новый</v>
      </c>
      <c r="G7780" s="68"/>
      <c r="K7780" s="68"/>
    </row>
    <row r="7781" spans="1:11" ht="12.75">
      <c r="A7781" s="69">
        <f ca="1">IFERROR(__xludf.DUMMYFUNCTION("""COMPUTED_VALUE"""),109460)</f>
        <v>109460</v>
      </c>
      <c r="B7781" s="4">
        <f ca="1">IFERROR(__xludf.DUMMYFUNCTION("""COMPUTED_VALUE"""),44841)</f>
        <v>44841</v>
      </c>
      <c r="C7781" t="str">
        <f ca="1">IFERROR(__xludf.DUMMYFUNCTION("""COMPUTED_VALUE"""),"БУ Г. ОМСКА ""УДХБ"" 216-РДО от 03.10.2022")</f>
        <v>БУ Г. ОМСКА "УДХБ" 216-РДО от 03.10.2022</v>
      </c>
      <c r="D77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1" t="str">
        <f ca="1">IFERROR(__xludf.DUMMYFUNCTION("""COMPUTED_VALUE"""),"Новый")</f>
        <v>Новый</v>
      </c>
      <c r="G7781" s="68"/>
      <c r="K7781" s="68"/>
    </row>
    <row r="7782" spans="1:11" ht="12.75">
      <c r="A7782" s="69">
        <f ca="1">IFERROR(__xludf.DUMMYFUNCTION("""COMPUTED_VALUE"""),109461)</f>
        <v>109461</v>
      </c>
      <c r="B7782" s="4">
        <f ca="1">IFERROR(__xludf.DUMMYFUNCTION("""COMPUTED_VALUE"""),44841)</f>
        <v>44841</v>
      </c>
      <c r="C7782" t="str">
        <f ca="1">IFERROR(__xludf.DUMMYFUNCTION("""COMPUTED_VALUE"""),"БУ Г. ОМСКА ""УДХБ"" 216-РДО от 03.10.2022")</f>
        <v>БУ Г. ОМСКА "УДХБ" 216-РДО от 03.10.2022</v>
      </c>
      <c r="D77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2" t="str">
        <f ca="1">IFERROR(__xludf.DUMMYFUNCTION("""COMPUTED_VALUE"""),"Новый")</f>
        <v>Новый</v>
      </c>
      <c r="G7782" s="68"/>
      <c r="K7782" s="68"/>
    </row>
    <row r="7783" spans="1:11" ht="12.75">
      <c r="A7783" s="69">
        <f ca="1">IFERROR(__xludf.DUMMYFUNCTION("""COMPUTED_VALUE"""),109462)</f>
        <v>109462</v>
      </c>
      <c r="B7783" s="4">
        <f ca="1">IFERROR(__xludf.DUMMYFUNCTION("""COMPUTED_VALUE"""),44841)</f>
        <v>44841</v>
      </c>
      <c r="C7783" t="str">
        <f ca="1">IFERROR(__xludf.DUMMYFUNCTION("""COMPUTED_VALUE"""),"БУ Г. ОМСКА ""УДХБ"" 216-РДО от 03.10.2022")</f>
        <v>БУ Г. ОМСКА "УДХБ" 216-РДО от 03.10.2022</v>
      </c>
      <c r="D77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3" t="str">
        <f ca="1">IFERROR(__xludf.DUMMYFUNCTION("""COMPUTED_VALUE"""),"Новый")</f>
        <v>Новый</v>
      </c>
      <c r="G7783" s="68"/>
      <c r="K7783" s="68"/>
    </row>
    <row r="7784" spans="1:11" ht="12.75">
      <c r="A7784" s="69">
        <f ca="1">IFERROR(__xludf.DUMMYFUNCTION("""COMPUTED_VALUE"""),109463)</f>
        <v>109463</v>
      </c>
      <c r="B7784" s="4">
        <f ca="1">IFERROR(__xludf.DUMMYFUNCTION("""COMPUTED_VALUE"""),44841)</f>
        <v>44841</v>
      </c>
      <c r="C7784" t="str">
        <f ca="1">IFERROR(__xludf.DUMMYFUNCTION("""COMPUTED_VALUE"""),"БУ Г. ОМСКА ""УДХБ"" 216-РДО от 03.10.2022")</f>
        <v>БУ Г. ОМСКА "УДХБ" 216-РДО от 03.10.2022</v>
      </c>
      <c r="D77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4" t="str">
        <f ca="1">IFERROR(__xludf.DUMMYFUNCTION("""COMPUTED_VALUE"""),"Новый")</f>
        <v>Новый</v>
      </c>
      <c r="G7784" s="68"/>
      <c r="K7784" s="68"/>
    </row>
    <row r="7785" spans="1:11" ht="12.75">
      <c r="A7785" s="69">
        <f ca="1">IFERROR(__xludf.DUMMYFUNCTION("""COMPUTED_VALUE"""),109464)</f>
        <v>109464</v>
      </c>
      <c r="B7785" s="4">
        <f ca="1">IFERROR(__xludf.DUMMYFUNCTION("""COMPUTED_VALUE"""),44841)</f>
        <v>44841</v>
      </c>
      <c r="C7785" t="str">
        <f ca="1">IFERROR(__xludf.DUMMYFUNCTION("""COMPUTED_VALUE"""),"БУ Г. ОМСКА ""УДХБ"" 216-РДО от 03.10.2022")</f>
        <v>БУ Г. ОМСКА "УДХБ" 216-РДО от 03.10.2022</v>
      </c>
      <c r="D77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5" t="str">
        <f ca="1">IFERROR(__xludf.DUMMYFUNCTION("""COMPUTED_VALUE"""),"Новый")</f>
        <v>Новый</v>
      </c>
      <c r="G7785" s="68"/>
      <c r="K7785" s="68"/>
    </row>
    <row r="7786" spans="1:11" ht="12.75">
      <c r="A7786" s="69">
        <f ca="1">IFERROR(__xludf.DUMMYFUNCTION("""COMPUTED_VALUE"""),109465)</f>
        <v>109465</v>
      </c>
      <c r="B7786" s="4">
        <f ca="1">IFERROR(__xludf.DUMMYFUNCTION("""COMPUTED_VALUE"""),44841)</f>
        <v>44841</v>
      </c>
      <c r="C7786" t="str">
        <f ca="1">IFERROR(__xludf.DUMMYFUNCTION("""COMPUTED_VALUE"""),"БУ Г. ОМСКА ""УДХБ"" 216-РДО от 03.10.2022")</f>
        <v>БУ Г. ОМСКА "УДХБ" 216-РДО от 03.10.2022</v>
      </c>
      <c r="D77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6" t="str">
        <f ca="1">IFERROR(__xludf.DUMMYFUNCTION("""COMPUTED_VALUE"""),"Новый")</f>
        <v>Новый</v>
      </c>
      <c r="G7786" s="68"/>
      <c r="K7786" s="68"/>
    </row>
    <row r="7787" spans="1:11" ht="12.75">
      <c r="A7787" s="69">
        <f ca="1">IFERROR(__xludf.DUMMYFUNCTION("""COMPUTED_VALUE"""),109466)</f>
        <v>109466</v>
      </c>
      <c r="B7787" s="4">
        <f ca="1">IFERROR(__xludf.DUMMYFUNCTION("""COMPUTED_VALUE"""),44841)</f>
        <v>44841</v>
      </c>
      <c r="C7787" t="str">
        <f ca="1">IFERROR(__xludf.DUMMYFUNCTION("""COMPUTED_VALUE"""),"БУ Г. ОМСКА ""УДХБ"" 216-РДО от 03.10.2022")</f>
        <v>БУ Г. ОМСКА "УДХБ" 216-РДО от 03.10.2022</v>
      </c>
      <c r="D77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7" t="str">
        <f ca="1">IFERROR(__xludf.DUMMYFUNCTION("""COMPUTED_VALUE"""),"Новый")</f>
        <v>Новый</v>
      </c>
      <c r="G7787" s="68"/>
      <c r="K7787" s="68"/>
    </row>
    <row r="7788" spans="1:11" ht="12.75">
      <c r="A7788" s="69">
        <f ca="1">IFERROR(__xludf.DUMMYFUNCTION("""COMPUTED_VALUE"""),109467)</f>
        <v>109467</v>
      </c>
      <c r="B7788" s="4">
        <f ca="1">IFERROR(__xludf.DUMMYFUNCTION("""COMPUTED_VALUE"""),44841)</f>
        <v>44841</v>
      </c>
      <c r="C7788" t="str">
        <f ca="1">IFERROR(__xludf.DUMMYFUNCTION("""COMPUTED_VALUE"""),"БУ Г. ОМСКА ""УДХБ"" 216-РДО от 03.10.2022")</f>
        <v>БУ Г. ОМСКА "УДХБ" 216-РДО от 03.10.2022</v>
      </c>
      <c r="D77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8" t="str">
        <f ca="1">IFERROR(__xludf.DUMMYFUNCTION("""COMPUTED_VALUE"""),"Новый")</f>
        <v>Новый</v>
      </c>
      <c r="G7788" s="68"/>
      <c r="K7788" s="68"/>
    </row>
    <row r="7789" spans="1:11" ht="12.75">
      <c r="A7789" s="69">
        <f ca="1">IFERROR(__xludf.DUMMYFUNCTION("""COMPUTED_VALUE"""),109468)</f>
        <v>109468</v>
      </c>
      <c r="B7789" s="4">
        <f ca="1">IFERROR(__xludf.DUMMYFUNCTION("""COMPUTED_VALUE"""),44841)</f>
        <v>44841</v>
      </c>
      <c r="C7789" t="str">
        <f ca="1">IFERROR(__xludf.DUMMYFUNCTION("""COMPUTED_VALUE"""),"БУ Г. ОМСКА ""УДХБ"" 216-РДО от 03.10.2022")</f>
        <v>БУ Г. ОМСКА "УДХБ" 216-РДО от 03.10.2022</v>
      </c>
      <c r="D77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89" t="str">
        <f ca="1">IFERROR(__xludf.DUMMYFUNCTION("""COMPUTED_VALUE"""),"Новый")</f>
        <v>Новый</v>
      </c>
      <c r="G7789" s="68"/>
      <c r="K7789" s="68"/>
    </row>
    <row r="7790" spans="1:11" ht="12.75">
      <c r="A7790" s="69">
        <f ca="1">IFERROR(__xludf.DUMMYFUNCTION("""COMPUTED_VALUE"""),109469)</f>
        <v>109469</v>
      </c>
      <c r="B7790" s="4">
        <f ca="1">IFERROR(__xludf.DUMMYFUNCTION("""COMPUTED_VALUE"""),44841)</f>
        <v>44841</v>
      </c>
      <c r="C7790" t="str">
        <f ca="1">IFERROR(__xludf.DUMMYFUNCTION("""COMPUTED_VALUE"""),"БУ Г. ОМСКА ""УДХБ"" 216-РДО от 03.10.2022")</f>
        <v>БУ Г. ОМСКА "УДХБ" 216-РДО от 03.10.2022</v>
      </c>
      <c r="D77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0" t="str">
        <f ca="1">IFERROR(__xludf.DUMMYFUNCTION("""COMPUTED_VALUE"""),"Новый")</f>
        <v>Новый</v>
      </c>
      <c r="G7790" s="68"/>
      <c r="K7790" s="68"/>
    </row>
    <row r="7791" spans="1:11" ht="12.75">
      <c r="A7791" s="69">
        <f ca="1">IFERROR(__xludf.DUMMYFUNCTION("""COMPUTED_VALUE"""),109470)</f>
        <v>109470</v>
      </c>
      <c r="B7791" s="4">
        <f ca="1">IFERROR(__xludf.DUMMYFUNCTION("""COMPUTED_VALUE"""),44841)</f>
        <v>44841</v>
      </c>
      <c r="C7791" t="str">
        <f ca="1">IFERROR(__xludf.DUMMYFUNCTION("""COMPUTED_VALUE"""),"БУ Г. ОМСКА ""УДХБ"" 216-РДО от 03.10.2022")</f>
        <v>БУ Г. ОМСКА "УДХБ" 216-РДО от 03.10.2022</v>
      </c>
      <c r="D77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1" t="str">
        <f ca="1">IFERROR(__xludf.DUMMYFUNCTION("""COMPUTED_VALUE"""),"Новый")</f>
        <v>Новый</v>
      </c>
      <c r="G7791" s="68"/>
      <c r="K7791" s="68"/>
    </row>
    <row r="7792" spans="1:11" ht="12.75">
      <c r="A7792" s="69">
        <f ca="1">IFERROR(__xludf.DUMMYFUNCTION("""COMPUTED_VALUE"""),109471)</f>
        <v>109471</v>
      </c>
      <c r="B7792" s="4">
        <f ca="1">IFERROR(__xludf.DUMMYFUNCTION("""COMPUTED_VALUE"""),44841)</f>
        <v>44841</v>
      </c>
      <c r="C7792" t="str">
        <f ca="1">IFERROR(__xludf.DUMMYFUNCTION("""COMPUTED_VALUE"""),"БУ Г. ОМСКА ""УДХБ"" 216-РДО от 03.10.2022")</f>
        <v>БУ Г. ОМСКА "УДХБ" 216-РДО от 03.10.2022</v>
      </c>
      <c r="D77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2" t="str">
        <f ca="1">IFERROR(__xludf.DUMMYFUNCTION("""COMPUTED_VALUE"""),"Новый")</f>
        <v>Новый</v>
      </c>
      <c r="G7792" s="68"/>
      <c r="K7792" s="68"/>
    </row>
    <row r="7793" spans="1:11" ht="12.75">
      <c r="A7793" s="69">
        <f ca="1">IFERROR(__xludf.DUMMYFUNCTION("""COMPUTED_VALUE"""),109472)</f>
        <v>109472</v>
      </c>
      <c r="B7793" s="4">
        <f ca="1">IFERROR(__xludf.DUMMYFUNCTION("""COMPUTED_VALUE"""),44841)</f>
        <v>44841</v>
      </c>
      <c r="C7793" t="str">
        <f ca="1">IFERROR(__xludf.DUMMYFUNCTION("""COMPUTED_VALUE"""),"БУ Г. ОМСКА ""УДХБ"" 216-РДО от 03.10.2022")</f>
        <v>БУ Г. ОМСКА "УДХБ" 216-РДО от 03.10.2022</v>
      </c>
      <c r="D77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3" t="str">
        <f ca="1">IFERROR(__xludf.DUMMYFUNCTION("""COMPUTED_VALUE"""),"Новый")</f>
        <v>Новый</v>
      </c>
      <c r="G7793" s="68"/>
      <c r="K7793" s="68"/>
    </row>
    <row r="7794" spans="1:11" ht="12.75">
      <c r="A7794" s="69">
        <f ca="1">IFERROR(__xludf.DUMMYFUNCTION("""COMPUTED_VALUE"""),109473)</f>
        <v>109473</v>
      </c>
      <c r="B7794" s="4">
        <f ca="1">IFERROR(__xludf.DUMMYFUNCTION("""COMPUTED_VALUE"""),44841)</f>
        <v>44841</v>
      </c>
      <c r="C7794" t="str">
        <f ca="1">IFERROR(__xludf.DUMMYFUNCTION("""COMPUTED_VALUE"""),"БУ Г. ОМСКА ""УДХБ"" 216-РДО от 03.10.2022")</f>
        <v>БУ Г. ОМСКА "УДХБ" 216-РДО от 03.10.2022</v>
      </c>
      <c r="D77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4" t="str">
        <f ca="1">IFERROR(__xludf.DUMMYFUNCTION("""COMPUTED_VALUE"""),"Новый")</f>
        <v>Новый</v>
      </c>
      <c r="G7794" s="68"/>
      <c r="K7794" s="68"/>
    </row>
    <row r="7795" spans="1:11" ht="12.75">
      <c r="A7795" s="69">
        <f ca="1">IFERROR(__xludf.DUMMYFUNCTION("""COMPUTED_VALUE"""),109474)</f>
        <v>109474</v>
      </c>
      <c r="B7795" s="4">
        <f ca="1">IFERROR(__xludf.DUMMYFUNCTION("""COMPUTED_VALUE"""),44841)</f>
        <v>44841</v>
      </c>
      <c r="C7795" t="str">
        <f ca="1">IFERROR(__xludf.DUMMYFUNCTION("""COMPUTED_VALUE"""),"БУ Г. ОМСКА ""УДХБ"" 216-РДО от 03.10.2022")</f>
        <v>БУ Г. ОМСКА "УДХБ" 216-РДО от 03.10.2022</v>
      </c>
      <c r="D77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5" t="str">
        <f ca="1">IFERROR(__xludf.DUMMYFUNCTION("""COMPUTED_VALUE"""),"Новый")</f>
        <v>Новый</v>
      </c>
      <c r="G7795" s="68"/>
      <c r="K7795" s="68"/>
    </row>
    <row r="7796" spans="1:11" ht="12.75">
      <c r="A7796" s="69">
        <f ca="1">IFERROR(__xludf.DUMMYFUNCTION("""COMPUTED_VALUE"""),109475)</f>
        <v>109475</v>
      </c>
      <c r="B7796" s="4">
        <f ca="1">IFERROR(__xludf.DUMMYFUNCTION("""COMPUTED_VALUE"""),44841)</f>
        <v>44841</v>
      </c>
      <c r="C7796" t="str">
        <f ca="1">IFERROR(__xludf.DUMMYFUNCTION("""COMPUTED_VALUE"""),"БУ Г. ОМСКА ""УДХБ"" 216-РДО от 03.10.2022")</f>
        <v>БУ Г. ОМСКА "УДХБ" 216-РДО от 03.10.2022</v>
      </c>
      <c r="D77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6" t="str">
        <f ca="1">IFERROR(__xludf.DUMMYFUNCTION("""COMPUTED_VALUE"""),"Новый")</f>
        <v>Новый</v>
      </c>
      <c r="G7796" s="68"/>
      <c r="K7796" s="68"/>
    </row>
    <row r="7797" spans="1:11" ht="12.75">
      <c r="A7797" s="69">
        <f ca="1">IFERROR(__xludf.DUMMYFUNCTION("""COMPUTED_VALUE"""),109476)</f>
        <v>109476</v>
      </c>
      <c r="B7797" s="4">
        <f ca="1">IFERROR(__xludf.DUMMYFUNCTION("""COMPUTED_VALUE"""),44841)</f>
        <v>44841</v>
      </c>
      <c r="C7797" t="str">
        <f ca="1">IFERROR(__xludf.DUMMYFUNCTION("""COMPUTED_VALUE"""),"БУ Г. ОМСКА ""УДХБ"" 216-РДО от 03.10.2022")</f>
        <v>БУ Г. ОМСКА "УДХБ" 216-РДО от 03.10.2022</v>
      </c>
      <c r="D77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7" t="str">
        <f ca="1">IFERROR(__xludf.DUMMYFUNCTION("""COMPUTED_VALUE"""),"Новый")</f>
        <v>Новый</v>
      </c>
      <c r="G7797" s="68"/>
      <c r="K7797" s="68"/>
    </row>
    <row r="7798" spans="1:11" ht="12.75">
      <c r="A7798" s="69">
        <f ca="1">IFERROR(__xludf.DUMMYFUNCTION("""COMPUTED_VALUE"""),109477)</f>
        <v>109477</v>
      </c>
      <c r="B7798" s="4">
        <f ca="1">IFERROR(__xludf.DUMMYFUNCTION("""COMPUTED_VALUE"""),44841)</f>
        <v>44841</v>
      </c>
      <c r="C7798" t="str">
        <f ca="1">IFERROR(__xludf.DUMMYFUNCTION("""COMPUTED_VALUE"""),"БУ Г. ОМСКА ""УДХБ"" 216-РДО от 03.10.2022")</f>
        <v>БУ Г. ОМСКА "УДХБ" 216-РДО от 03.10.2022</v>
      </c>
      <c r="D77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8" t="str">
        <f ca="1">IFERROR(__xludf.DUMMYFUNCTION("""COMPUTED_VALUE"""),"Новый")</f>
        <v>Новый</v>
      </c>
      <c r="G7798" s="68"/>
      <c r="K7798" s="68"/>
    </row>
    <row r="7799" spans="1:11" ht="12.75">
      <c r="A7799" s="69">
        <f ca="1">IFERROR(__xludf.DUMMYFUNCTION("""COMPUTED_VALUE"""),109478)</f>
        <v>109478</v>
      </c>
      <c r="B7799" s="4">
        <f ca="1">IFERROR(__xludf.DUMMYFUNCTION("""COMPUTED_VALUE"""),44841)</f>
        <v>44841</v>
      </c>
      <c r="C7799" t="str">
        <f ca="1">IFERROR(__xludf.DUMMYFUNCTION("""COMPUTED_VALUE"""),"БУ Г. ОМСКА ""УДХБ"" 216-РДО от 03.10.2022")</f>
        <v>БУ Г. ОМСКА "УДХБ" 216-РДО от 03.10.2022</v>
      </c>
      <c r="D77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799" t="str">
        <f ca="1">IFERROR(__xludf.DUMMYFUNCTION("""COMPUTED_VALUE"""),"Новый")</f>
        <v>Новый</v>
      </c>
      <c r="G7799" s="68"/>
      <c r="K7799" s="68"/>
    </row>
    <row r="7800" spans="1:11" ht="12.75">
      <c r="A7800" s="69">
        <f ca="1">IFERROR(__xludf.DUMMYFUNCTION("""COMPUTED_VALUE"""),109479)</f>
        <v>109479</v>
      </c>
      <c r="B7800" s="4">
        <f ca="1">IFERROR(__xludf.DUMMYFUNCTION("""COMPUTED_VALUE"""),44841)</f>
        <v>44841</v>
      </c>
      <c r="C7800" t="str">
        <f ca="1">IFERROR(__xludf.DUMMYFUNCTION("""COMPUTED_VALUE"""),"БУ Г. ОМСКА ""УДХБ"" 216-РДО от 03.10.2022")</f>
        <v>БУ Г. ОМСКА "УДХБ" 216-РДО от 03.10.2022</v>
      </c>
      <c r="D78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0" t="str">
        <f ca="1">IFERROR(__xludf.DUMMYFUNCTION("""COMPUTED_VALUE"""),"Новый")</f>
        <v>Новый</v>
      </c>
      <c r="G7800" s="68"/>
      <c r="K7800" s="68"/>
    </row>
    <row r="7801" spans="1:11" ht="12.75">
      <c r="A7801" s="69">
        <f ca="1">IFERROR(__xludf.DUMMYFUNCTION("""COMPUTED_VALUE"""),109480)</f>
        <v>109480</v>
      </c>
      <c r="B7801" s="4">
        <f ca="1">IFERROR(__xludf.DUMMYFUNCTION("""COMPUTED_VALUE"""),44841)</f>
        <v>44841</v>
      </c>
      <c r="C7801" t="str">
        <f ca="1">IFERROR(__xludf.DUMMYFUNCTION("""COMPUTED_VALUE"""),"БУ Г. ОМСКА ""УДХБ"" 216-РДО от 03.10.2022")</f>
        <v>БУ Г. ОМСКА "УДХБ" 216-РДО от 03.10.2022</v>
      </c>
      <c r="D78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1" t="str">
        <f ca="1">IFERROR(__xludf.DUMMYFUNCTION("""COMPUTED_VALUE"""),"Новый")</f>
        <v>Новый</v>
      </c>
      <c r="G7801" s="68"/>
      <c r="K7801" s="68"/>
    </row>
    <row r="7802" spans="1:11" ht="12.75">
      <c r="A7802" s="69">
        <f ca="1">IFERROR(__xludf.DUMMYFUNCTION("""COMPUTED_VALUE"""),109481)</f>
        <v>109481</v>
      </c>
      <c r="B7802" s="4">
        <f ca="1">IFERROR(__xludf.DUMMYFUNCTION("""COMPUTED_VALUE"""),44841)</f>
        <v>44841</v>
      </c>
      <c r="C7802" t="str">
        <f ca="1">IFERROR(__xludf.DUMMYFUNCTION("""COMPUTED_VALUE"""),"БУ Г. ОМСКА ""УДХБ"" 216-РДО от 03.10.2022")</f>
        <v>БУ Г. ОМСКА "УДХБ" 216-РДО от 03.10.2022</v>
      </c>
      <c r="D78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2" t="str">
        <f ca="1">IFERROR(__xludf.DUMMYFUNCTION("""COMPUTED_VALUE"""),"Новый")</f>
        <v>Новый</v>
      </c>
      <c r="G7802" s="68"/>
      <c r="K7802" s="68"/>
    </row>
    <row r="7803" spans="1:11" ht="12.75">
      <c r="A7803" s="69">
        <f ca="1">IFERROR(__xludf.DUMMYFUNCTION("""COMPUTED_VALUE"""),109482)</f>
        <v>109482</v>
      </c>
      <c r="B7803" s="4">
        <f ca="1">IFERROR(__xludf.DUMMYFUNCTION("""COMPUTED_VALUE"""),44841)</f>
        <v>44841</v>
      </c>
      <c r="C7803" t="str">
        <f ca="1">IFERROR(__xludf.DUMMYFUNCTION("""COMPUTED_VALUE"""),"БУ Г. ОМСКА ""УДХБ"" 216-РДО от 03.10.2022")</f>
        <v>БУ Г. ОМСКА "УДХБ" 216-РДО от 03.10.2022</v>
      </c>
      <c r="D78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3" t="str">
        <f ca="1">IFERROR(__xludf.DUMMYFUNCTION("""COMPUTED_VALUE"""),"Новый")</f>
        <v>Новый</v>
      </c>
      <c r="G7803" s="68"/>
      <c r="K7803" s="68"/>
    </row>
    <row r="7804" spans="1:11" ht="12.75">
      <c r="A7804" s="69">
        <f ca="1">IFERROR(__xludf.DUMMYFUNCTION("""COMPUTED_VALUE"""),109483)</f>
        <v>109483</v>
      </c>
      <c r="B7804" s="4">
        <f ca="1">IFERROR(__xludf.DUMMYFUNCTION("""COMPUTED_VALUE"""),44841)</f>
        <v>44841</v>
      </c>
      <c r="C7804" t="str">
        <f ca="1">IFERROR(__xludf.DUMMYFUNCTION("""COMPUTED_VALUE"""),"БУ Г. ОМСКА ""УДХБ"" 216-РДО от 03.10.2022")</f>
        <v>БУ Г. ОМСКА "УДХБ" 216-РДО от 03.10.2022</v>
      </c>
      <c r="D78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4" t="str">
        <f ca="1">IFERROR(__xludf.DUMMYFUNCTION("""COMPUTED_VALUE"""),"Новый")</f>
        <v>Новый</v>
      </c>
      <c r="G7804" s="68"/>
      <c r="K7804" s="68"/>
    </row>
    <row r="7805" spans="1:11" ht="12.75">
      <c r="A7805" s="69">
        <f ca="1">IFERROR(__xludf.DUMMYFUNCTION("""COMPUTED_VALUE"""),109484)</f>
        <v>109484</v>
      </c>
      <c r="B7805" s="4">
        <f ca="1">IFERROR(__xludf.DUMMYFUNCTION("""COMPUTED_VALUE"""),44841)</f>
        <v>44841</v>
      </c>
      <c r="C7805" t="str">
        <f ca="1">IFERROR(__xludf.DUMMYFUNCTION("""COMPUTED_VALUE"""),"БУ Г. ОМСКА ""УДХБ"" 216-РДО от 03.10.2022")</f>
        <v>БУ Г. ОМСКА "УДХБ" 216-РДО от 03.10.2022</v>
      </c>
      <c r="D78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5" t="str">
        <f ca="1">IFERROR(__xludf.DUMMYFUNCTION("""COMPUTED_VALUE"""),"Новый")</f>
        <v>Новый</v>
      </c>
      <c r="G7805" s="68"/>
      <c r="K7805" s="68"/>
    </row>
    <row r="7806" spans="1:11" ht="12.75">
      <c r="A7806" s="69">
        <f ca="1">IFERROR(__xludf.DUMMYFUNCTION("""COMPUTED_VALUE"""),109485)</f>
        <v>109485</v>
      </c>
      <c r="B7806" s="4">
        <f ca="1">IFERROR(__xludf.DUMMYFUNCTION("""COMPUTED_VALUE"""),44841)</f>
        <v>44841</v>
      </c>
      <c r="C7806" t="str">
        <f ca="1">IFERROR(__xludf.DUMMYFUNCTION("""COMPUTED_VALUE"""),"БУ Г. ОМСКА ""УДХБ"" 216-РДО от 03.10.2022")</f>
        <v>БУ Г. ОМСКА "УДХБ" 216-РДО от 03.10.2022</v>
      </c>
      <c r="D78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6" t="str">
        <f ca="1">IFERROR(__xludf.DUMMYFUNCTION("""COMPUTED_VALUE"""),"Новый")</f>
        <v>Новый</v>
      </c>
      <c r="G7806" s="68"/>
      <c r="K7806" s="68"/>
    </row>
    <row r="7807" spans="1:11" ht="12.75">
      <c r="A7807" s="69">
        <f ca="1">IFERROR(__xludf.DUMMYFUNCTION("""COMPUTED_VALUE"""),109486)</f>
        <v>109486</v>
      </c>
      <c r="B7807" s="4">
        <f ca="1">IFERROR(__xludf.DUMMYFUNCTION("""COMPUTED_VALUE"""),44841)</f>
        <v>44841</v>
      </c>
      <c r="C7807" t="str">
        <f ca="1">IFERROR(__xludf.DUMMYFUNCTION("""COMPUTED_VALUE"""),"БУ Г. ОМСКА ""УДХБ"" 216-РДО от 03.10.2022")</f>
        <v>БУ Г. ОМСКА "УДХБ" 216-РДО от 03.10.2022</v>
      </c>
      <c r="D78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7" t="str">
        <f ca="1">IFERROR(__xludf.DUMMYFUNCTION("""COMPUTED_VALUE"""),"Новый")</f>
        <v>Новый</v>
      </c>
      <c r="G7807" s="68"/>
      <c r="K7807" s="68"/>
    </row>
    <row r="7808" spans="1:11" ht="12.75">
      <c r="A7808" s="69">
        <f ca="1">IFERROR(__xludf.DUMMYFUNCTION("""COMPUTED_VALUE"""),109487)</f>
        <v>109487</v>
      </c>
      <c r="B7808" s="4">
        <f ca="1">IFERROR(__xludf.DUMMYFUNCTION("""COMPUTED_VALUE"""),44841)</f>
        <v>44841</v>
      </c>
      <c r="C7808" t="str">
        <f ca="1">IFERROR(__xludf.DUMMYFUNCTION("""COMPUTED_VALUE"""),"БУ Г. ОМСКА ""УДХБ"" 216-РДО от 03.10.2022")</f>
        <v>БУ Г. ОМСКА "УДХБ" 216-РДО от 03.10.2022</v>
      </c>
      <c r="D78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8" t="str">
        <f ca="1">IFERROR(__xludf.DUMMYFUNCTION("""COMPUTED_VALUE"""),"Новый")</f>
        <v>Новый</v>
      </c>
      <c r="G7808" s="68"/>
      <c r="K7808" s="68"/>
    </row>
    <row r="7809" spans="1:11" ht="12.75">
      <c r="A7809" s="69">
        <f ca="1">IFERROR(__xludf.DUMMYFUNCTION("""COMPUTED_VALUE"""),109488)</f>
        <v>109488</v>
      </c>
      <c r="B7809" s="4">
        <f ca="1">IFERROR(__xludf.DUMMYFUNCTION("""COMPUTED_VALUE"""),44841)</f>
        <v>44841</v>
      </c>
      <c r="C7809" t="str">
        <f ca="1">IFERROR(__xludf.DUMMYFUNCTION("""COMPUTED_VALUE"""),"БУ Г. ОМСКА ""УДХБ"" 216-РДО от 03.10.2022")</f>
        <v>БУ Г. ОМСКА "УДХБ" 216-РДО от 03.10.2022</v>
      </c>
      <c r="D78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09" t="str">
        <f ca="1">IFERROR(__xludf.DUMMYFUNCTION("""COMPUTED_VALUE"""),"Новый")</f>
        <v>Новый</v>
      </c>
      <c r="G7809" s="68"/>
      <c r="K7809" s="68"/>
    </row>
    <row r="7810" spans="1:11" ht="12.75">
      <c r="A7810" s="69">
        <f ca="1">IFERROR(__xludf.DUMMYFUNCTION("""COMPUTED_VALUE"""),109489)</f>
        <v>109489</v>
      </c>
      <c r="B7810" s="4">
        <f ca="1">IFERROR(__xludf.DUMMYFUNCTION("""COMPUTED_VALUE"""),44841)</f>
        <v>44841</v>
      </c>
      <c r="C7810" t="str">
        <f ca="1">IFERROR(__xludf.DUMMYFUNCTION("""COMPUTED_VALUE"""),"БУ Г. ОМСКА ""УДХБ"" 216-РДО от 03.10.2022")</f>
        <v>БУ Г. ОМСКА "УДХБ" 216-РДО от 03.10.2022</v>
      </c>
      <c r="D78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0" t="str">
        <f ca="1">IFERROR(__xludf.DUMMYFUNCTION("""COMPUTED_VALUE"""),"Новый")</f>
        <v>Новый</v>
      </c>
      <c r="G7810" s="68"/>
      <c r="K7810" s="68"/>
    </row>
    <row r="7811" spans="1:11" ht="12.75">
      <c r="A7811" s="69">
        <f ca="1">IFERROR(__xludf.DUMMYFUNCTION("""COMPUTED_VALUE"""),109490)</f>
        <v>109490</v>
      </c>
      <c r="B7811" s="4">
        <f ca="1">IFERROR(__xludf.DUMMYFUNCTION("""COMPUTED_VALUE"""),44841)</f>
        <v>44841</v>
      </c>
      <c r="C7811" t="str">
        <f ca="1">IFERROR(__xludf.DUMMYFUNCTION("""COMPUTED_VALUE"""),"БУ Г. ОМСКА ""УДХБ"" 216-РДО от 03.10.2022")</f>
        <v>БУ Г. ОМСКА "УДХБ" 216-РДО от 03.10.2022</v>
      </c>
      <c r="D78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1" t="str">
        <f ca="1">IFERROR(__xludf.DUMMYFUNCTION("""COMPUTED_VALUE"""),"Новый")</f>
        <v>Новый</v>
      </c>
      <c r="G7811" s="68"/>
      <c r="K7811" s="68"/>
    </row>
    <row r="7812" spans="1:11" ht="12.75">
      <c r="A7812" s="69">
        <f ca="1">IFERROR(__xludf.DUMMYFUNCTION("""COMPUTED_VALUE"""),109491)</f>
        <v>109491</v>
      </c>
      <c r="B7812" s="4">
        <f ca="1">IFERROR(__xludf.DUMMYFUNCTION("""COMPUTED_VALUE"""),44841)</f>
        <v>44841</v>
      </c>
      <c r="C7812" t="str">
        <f ca="1">IFERROR(__xludf.DUMMYFUNCTION("""COMPUTED_VALUE"""),"БУ Г. ОМСКА ""УДХБ"" 216-РДО от 03.10.2022")</f>
        <v>БУ Г. ОМСКА "УДХБ" 216-РДО от 03.10.2022</v>
      </c>
      <c r="D78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2" t="str">
        <f ca="1">IFERROR(__xludf.DUMMYFUNCTION("""COMPUTED_VALUE"""),"Новый")</f>
        <v>Новый</v>
      </c>
      <c r="G7812" s="68"/>
      <c r="K7812" s="68"/>
    </row>
    <row r="7813" spans="1:11" ht="12.75">
      <c r="A7813" s="69">
        <f ca="1">IFERROR(__xludf.DUMMYFUNCTION("""COMPUTED_VALUE"""),109492)</f>
        <v>109492</v>
      </c>
      <c r="B7813" s="4">
        <f ca="1">IFERROR(__xludf.DUMMYFUNCTION("""COMPUTED_VALUE"""),44841)</f>
        <v>44841</v>
      </c>
      <c r="C7813" t="str">
        <f ca="1">IFERROR(__xludf.DUMMYFUNCTION("""COMPUTED_VALUE"""),"БУ Г. ОМСКА ""УДХБ"" 216-РДО от 03.10.2022")</f>
        <v>БУ Г. ОМСКА "УДХБ" 216-РДО от 03.10.2022</v>
      </c>
      <c r="D78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3" t="str">
        <f ca="1">IFERROR(__xludf.DUMMYFUNCTION("""COMPUTED_VALUE"""),"Новый")</f>
        <v>Новый</v>
      </c>
      <c r="G7813" s="68"/>
      <c r="K7813" s="68"/>
    </row>
    <row r="7814" spans="1:11" ht="12.75">
      <c r="A7814" s="69">
        <f ca="1">IFERROR(__xludf.DUMMYFUNCTION("""COMPUTED_VALUE"""),109493)</f>
        <v>109493</v>
      </c>
      <c r="B7814" s="4">
        <f ca="1">IFERROR(__xludf.DUMMYFUNCTION("""COMPUTED_VALUE"""),44841)</f>
        <v>44841</v>
      </c>
      <c r="C7814" t="str">
        <f ca="1">IFERROR(__xludf.DUMMYFUNCTION("""COMPUTED_VALUE"""),"БУ Г. ОМСКА ""УДХБ"" 216-РДО от 03.10.2022")</f>
        <v>БУ Г. ОМСКА "УДХБ" 216-РДО от 03.10.2022</v>
      </c>
      <c r="D78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4" t="str">
        <f ca="1">IFERROR(__xludf.DUMMYFUNCTION("""COMPUTED_VALUE"""),"Новый")</f>
        <v>Новый</v>
      </c>
      <c r="G7814" s="68"/>
      <c r="K7814" s="68"/>
    </row>
    <row r="7815" spans="1:11" ht="12.75">
      <c r="A7815" s="69">
        <f ca="1">IFERROR(__xludf.DUMMYFUNCTION("""COMPUTED_VALUE"""),109494)</f>
        <v>109494</v>
      </c>
      <c r="B7815" s="4">
        <f ca="1">IFERROR(__xludf.DUMMYFUNCTION("""COMPUTED_VALUE"""),44841)</f>
        <v>44841</v>
      </c>
      <c r="C7815" t="str">
        <f ca="1">IFERROR(__xludf.DUMMYFUNCTION("""COMPUTED_VALUE"""),"БУ Г. ОМСКА ""УДХБ"" 216-РДО от 03.10.2022")</f>
        <v>БУ Г. ОМСКА "УДХБ" 216-РДО от 03.10.2022</v>
      </c>
      <c r="D78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5" t="str">
        <f ca="1">IFERROR(__xludf.DUMMYFUNCTION("""COMPUTED_VALUE"""),"Новый")</f>
        <v>Новый</v>
      </c>
      <c r="G7815" s="68"/>
      <c r="K7815" s="68"/>
    </row>
    <row r="7816" spans="1:11" ht="12.75">
      <c r="A7816" s="69">
        <f ca="1">IFERROR(__xludf.DUMMYFUNCTION("""COMPUTED_VALUE"""),109495)</f>
        <v>109495</v>
      </c>
      <c r="B7816" s="4">
        <f ca="1">IFERROR(__xludf.DUMMYFUNCTION("""COMPUTED_VALUE"""),44841)</f>
        <v>44841</v>
      </c>
      <c r="C7816" t="str">
        <f ca="1">IFERROR(__xludf.DUMMYFUNCTION("""COMPUTED_VALUE"""),"БУ Г. ОМСКА ""УДХБ"" 216-РДО от 03.10.2022")</f>
        <v>БУ Г. ОМСКА "УДХБ" 216-РДО от 03.10.2022</v>
      </c>
      <c r="D78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6" t="str">
        <f ca="1">IFERROR(__xludf.DUMMYFUNCTION("""COMPUTED_VALUE"""),"Новый")</f>
        <v>Новый</v>
      </c>
      <c r="G7816" s="68"/>
      <c r="K7816" s="68"/>
    </row>
    <row r="7817" spans="1:11" ht="12.75">
      <c r="A7817" s="69">
        <f ca="1">IFERROR(__xludf.DUMMYFUNCTION("""COMPUTED_VALUE"""),109496)</f>
        <v>109496</v>
      </c>
      <c r="B7817" s="4">
        <f ca="1">IFERROR(__xludf.DUMMYFUNCTION("""COMPUTED_VALUE"""),44841)</f>
        <v>44841</v>
      </c>
      <c r="C7817" t="str">
        <f ca="1">IFERROR(__xludf.DUMMYFUNCTION("""COMPUTED_VALUE"""),"БУ Г. ОМСКА ""УДХБ"" 216-РДО от 03.10.2022")</f>
        <v>БУ Г. ОМСКА "УДХБ" 216-РДО от 03.10.2022</v>
      </c>
      <c r="D78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7" t="str">
        <f ca="1">IFERROR(__xludf.DUMMYFUNCTION("""COMPUTED_VALUE"""),"Новый")</f>
        <v>Новый</v>
      </c>
      <c r="G7817" s="68"/>
      <c r="K7817" s="68"/>
    </row>
    <row r="7818" spans="1:11" ht="12.75">
      <c r="A7818" s="69">
        <f ca="1">IFERROR(__xludf.DUMMYFUNCTION("""COMPUTED_VALUE"""),109497)</f>
        <v>109497</v>
      </c>
      <c r="B7818" s="4">
        <f ca="1">IFERROR(__xludf.DUMMYFUNCTION("""COMPUTED_VALUE"""),44841)</f>
        <v>44841</v>
      </c>
      <c r="C7818" t="str">
        <f ca="1">IFERROR(__xludf.DUMMYFUNCTION("""COMPUTED_VALUE"""),"БУ Г. ОМСКА ""УДХБ"" 216-РДО от 03.10.2022")</f>
        <v>БУ Г. ОМСКА "УДХБ" 216-РДО от 03.10.2022</v>
      </c>
      <c r="D78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8" t="str">
        <f ca="1">IFERROR(__xludf.DUMMYFUNCTION("""COMPUTED_VALUE"""),"Новый")</f>
        <v>Новый</v>
      </c>
      <c r="G7818" s="68"/>
      <c r="K7818" s="68"/>
    </row>
    <row r="7819" spans="1:11" ht="12.75">
      <c r="A7819" s="69">
        <f ca="1">IFERROR(__xludf.DUMMYFUNCTION("""COMPUTED_VALUE"""),109498)</f>
        <v>109498</v>
      </c>
      <c r="B7819" s="4">
        <f ca="1">IFERROR(__xludf.DUMMYFUNCTION("""COMPUTED_VALUE"""),44841)</f>
        <v>44841</v>
      </c>
      <c r="C7819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19" t="str">
        <f ca="1">IFERROR(__xludf.DUMMYFUNCTION("""COMPUTED_VALUE"""),"Новый")</f>
        <v>Новый</v>
      </c>
      <c r="G7819" s="68"/>
      <c r="K7819" s="68"/>
    </row>
    <row r="7820" spans="1:11" ht="12.75">
      <c r="A7820" s="69">
        <f ca="1">IFERROR(__xludf.DUMMYFUNCTION("""COMPUTED_VALUE"""),109499)</f>
        <v>109499</v>
      </c>
      <c r="B7820" s="4">
        <f ca="1">IFERROR(__xludf.DUMMYFUNCTION("""COMPUTED_VALUE"""),44841)</f>
        <v>44841</v>
      </c>
      <c r="C7820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0" t="str">
        <f ca="1">IFERROR(__xludf.DUMMYFUNCTION("""COMPUTED_VALUE"""),"Новый")</f>
        <v>Новый</v>
      </c>
      <c r="G7820" s="68"/>
      <c r="K7820" s="68"/>
    </row>
    <row r="7821" spans="1:11" ht="12.75">
      <c r="A7821" s="69">
        <f ca="1">IFERROR(__xludf.DUMMYFUNCTION("""COMPUTED_VALUE"""),109500)</f>
        <v>109500</v>
      </c>
      <c r="B7821" s="4">
        <f ca="1">IFERROR(__xludf.DUMMYFUNCTION("""COMPUTED_VALUE"""),44841)</f>
        <v>44841</v>
      </c>
      <c r="C7821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1" t="str">
        <f ca="1">IFERROR(__xludf.DUMMYFUNCTION("""COMPUTED_VALUE"""),"Новый")</f>
        <v>Новый</v>
      </c>
      <c r="G7821" s="68"/>
      <c r="K7821" s="68"/>
    </row>
    <row r="7822" spans="1:11" ht="12.75">
      <c r="A7822" s="69">
        <f ca="1">IFERROR(__xludf.DUMMYFUNCTION("""COMPUTED_VALUE"""),109501)</f>
        <v>109501</v>
      </c>
      <c r="B7822" s="4">
        <f ca="1">IFERROR(__xludf.DUMMYFUNCTION("""COMPUTED_VALUE"""),44841)</f>
        <v>44841</v>
      </c>
      <c r="C7822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2" t="str">
        <f ca="1">IFERROR(__xludf.DUMMYFUNCTION("""COMPUTED_VALUE"""),"Новый")</f>
        <v>Новый</v>
      </c>
      <c r="G7822" s="68"/>
      <c r="K7822" s="68"/>
    </row>
    <row r="7823" spans="1:11" ht="12.75">
      <c r="A7823" s="69">
        <f ca="1">IFERROR(__xludf.DUMMYFUNCTION("""COMPUTED_VALUE"""),109502)</f>
        <v>109502</v>
      </c>
      <c r="B7823" s="4">
        <f ca="1">IFERROR(__xludf.DUMMYFUNCTION("""COMPUTED_VALUE"""),44841)</f>
        <v>44841</v>
      </c>
      <c r="C7823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3" t="str">
        <f ca="1">IFERROR(__xludf.DUMMYFUNCTION("""COMPUTED_VALUE"""),"Новый")</f>
        <v>Новый</v>
      </c>
      <c r="G7823" s="68"/>
      <c r="K7823" s="68"/>
    </row>
    <row r="7824" spans="1:11" ht="12.75">
      <c r="A7824" s="69">
        <f ca="1">IFERROR(__xludf.DUMMYFUNCTION("""COMPUTED_VALUE"""),109503)</f>
        <v>109503</v>
      </c>
      <c r="B7824" s="4">
        <f ca="1">IFERROR(__xludf.DUMMYFUNCTION("""COMPUTED_VALUE"""),44841)</f>
        <v>44841</v>
      </c>
      <c r="C7824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4" t="str">
        <f ca="1">IFERROR(__xludf.DUMMYFUNCTION("""COMPUTED_VALUE"""),"Новый")</f>
        <v>Новый</v>
      </c>
      <c r="G7824" s="68"/>
      <c r="K7824" s="68"/>
    </row>
    <row r="7825" spans="1:11" ht="12.75">
      <c r="A7825" s="69">
        <f ca="1">IFERROR(__xludf.DUMMYFUNCTION("""COMPUTED_VALUE"""),109504)</f>
        <v>109504</v>
      </c>
      <c r="B7825" s="4">
        <f ca="1">IFERROR(__xludf.DUMMYFUNCTION("""COMPUTED_VALUE"""),44841)</f>
        <v>44841</v>
      </c>
      <c r="C7825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5" t="str">
        <f ca="1">IFERROR(__xludf.DUMMYFUNCTION("""COMPUTED_VALUE"""),"Новый")</f>
        <v>Новый</v>
      </c>
      <c r="G7825" s="68"/>
      <c r="K7825" s="68"/>
    </row>
    <row r="7826" spans="1:11" ht="12.75">
      <c r="A7826" s="69">
        <f ca="1">IFERROR(__xludf.DUMMYFUNCTION("""COMPUTED_VALUE"""),109505)</f>
        <v>109505</v>
      </c>
      <c r="B7826" s="4">
        <f ca="1">IFERROR(__xludf.DUMMYFUNCTION("""COMPUTED_VALUE"""),44841)</f>
        <v>44841</v>
      </c>
      <c r="C7826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6" t="str">
        <f ca="1">IFERROR(__xludf.DUMMYFUNCTION("""COMPUTED_VALUE"""),"Новый")</f>
        <v>Новый</v>
      </c>
      <c r="G7826" s="68"/>
      <c r="K7826" s="68"/>
    </row>
    <row r="7827" spans="1:11" ht="12.75">
      <c r="A7827" s="69">
        <f ca="1">IFERROR(__xludf.DUMMYFUNCTION("""COMPUTED_VALUE"""),109506)</f>
        <v>109506</v>
      </c>
      <c r="B7827" s="4">
        <f ca="1">IFERROR(__xludf.DUMMYFUNCTION("""COMPUTED_VALUE"""),44841)</f>
        <v>44841</v>
      </c>
      <c r="C7827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7" t="str">
        <f ca="1">IFERROR(__xludf.DUMMYFUNCTION("""COMPUTED_VALUE"""),"Новый")</f>
        <v>Новый</v>
      </c>
      <c r="G7827" s="68"/>
      <c r="K7827" s="68"/>
    </row>
    <row r="7828" spans="1:11" ht="12.75">
      <c r="A7828" s="69">
        <f ca="1">IFERROR(__xludf.DUMMYFUNCTION("""COMPUTED_VALUE"""),109507)</f>
        <v>109507</v>
      </c>
      <c r="B7828" s="4">
        <f ca="1">IFERROR(__xludf.DUMMYFUNCTION("""COMPUTED_VALUE"""),44841)</f>
        <v>44841</v>
      </c>
      <c r="C7828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8" t="str">
        <f ca="1">IFERROR(__xludf.DUMMYFUNCTION("""COMPUTED_VALUE"""),"Новый")</f>
        <v>Новый</v>
      </c>
      <c r="G7828" s="68"/>
      <c r="K7828" s="68"/>
    </row>
    <row r="7829" spans="1:11" ht="12.75">
      <c r="A7829" s="69">
        <f ca="1">IFERROR(__xludf.DUMMYFUNCTION("""COMPUTED_VALUE"""),109508)</f>
        <v>109508</v>
      </c>
      <c r="B7829" s="4">
        <f ca="1">IFERROR(__xludf.DUMMYFUNCTION("""COMPUTED_VALUE"""),44841)</f>
        <v>44841</v>
      </c>
      <c r="C7829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29" t="str">
        <f ca="1">IFERROR(__xludf.DUMMYFUNCTION("""COMPUTED_VALUE"""),"Новый")</f>
        <v>Новый</v>
      </c>
      <c r="G7829" s="68"/>
      <c r="K7829" s="68"/>
    </row>
    <row r="7830" spans="1:11" ht="12.75">
      <c r="A7830" s="69">
        <f ca="1">IFERROR(__xludf.DUMMYFUNCTION("""COMPUTED_VALUE"""),109509)</f>
        <v>109509</v>
      </c>
      <c r="B7830" s="4">
        <f ca="1">IFERROR(__xludf.DUMMYFUNCTION("""COMPUTED_VALUE"""),44841)</f>
        <v>44841</v>
      </c>
      <c r="C7830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0" t="str">
        <f ca="1">IFERROR(__xludf.DUMMYFUNCTION("""COMPUTED_VALUE"""),"Новый")</f>
        <v>Новый</v>
      </c>
      <c r="G7830" s="68"/>
      <c r="K7830" s="68"/>
    </row>
    <row r="7831" spans="1:11" ht="12.75">
      <c r="A7831" s="69">
        <f ca="1">IFERROR(__xludf.DUMMYFUNCTION("""COMPUTED_VALUE"""),109510)</f>
        <v>109510</v>
      </c>
      <c r="B7831" s="4">
        <f ca="1">IFERROR(__xludf.DUMMYFUNCTION("""COMPUTED_VALUE"""),44841)</f>
        <v>44841</v>
      </c>
      <c r="C7831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1" t="str">
        <f ca="1">IFERROR(__xludf.DUMMYFUNCTION("""COMPUTED_VALUE"""),"Новый")</f>
        <v>Новый</v>
      </c>
      <c r="G7831" s="68"/>
      <c r="K7831" s="68"/>
    </row>
    <row r="7832" spans="1:11" ht="12.75">
      <c r="A7832" s="69">
        <f ca="1">IFERROR(__xludf.DUMMYFUNCTION("""COMPUTED_VALUE"""),109511)</f>
        <v>109511</v>
      </c>
      <c r="B7832" s="4">
        <f ca="1">IFERROR(__xludf.DUMMYFUNCTION("""COMPUTED_VALUE"""),44841)</f>
        <v>44841</v>
      </c>
      <c r="C7832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2" t="str">
        <f ca="1">IFERROR(__xludf.DUMMYFUNCTION("""COMPUTED_VALUE"""),"Новый")</f>
        <v>Новый</v>
      </c>
      <c r="G7832" s="68"/>
      <c r="K7832" s="68"/>
    </row>
    <row r="7833" spans="1:11" ht="12.75">
      <c r="A7833" s="69">
        <f ca="1">IFERROR(__xludf.DUMMYFUNCTION("""COMPUTED_VALUE"""),109512)</f>
        <v>109512</v>
      </c>
      <c r="B7833" s="4">
        <f ca="1">IFERROR(__xludf.DUMMYFUNCTION("""COMPUTED_VALUE"""),44841)</f>
        <v>44841</v>
      </c>
      <c r="C7833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3" t="str">
        <f ca="1">IFERROR(__xludf.DUMMYFUNCTION("""COMPUTED_VALUE"""),"Новый")</f>
        <v>Новый</v>
      </c>
      <c r="G7833" s="68"/>
      <c r="K7833" s="68"/>
    </row>
    <row r="7834" spans="1:11" ht="12.75">
      <c r="A7834" s="69">
        <f ca="1">IFERROR(__xludf.DUMMYFUNCTION("""COMPUTED_VALUE"""),109513)</f>
        <v>109513</v>
      </c>
      <c r="B7834" s="4">
        <f ca="1">IFERROR(__xludf.DUMMYFUNCTION("""COMPUTED_VALUE"""),44841)</f>
        <v>44841</v>
      </c>
      <c r="C7834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4" t="str">
        <f ca="1">IFERROR(__xludf.DUMMYFUNCTION("""COMPUTED_VALUE"""),"Новый")</f>
        <v>Новый</v>
      </c>
      <c r="G7834" s="68"/>
      <c r="K7834" s="68"/>
    </row>
    <row r="7835" spans="1:11" ht="12.75">
      <c r="A7835" s="69">
        <f ca="1">IFERROR(__xludf.DUMMYFUNCTION("""COMPUTED_VALUE"""),109514)</f>
        <v>109514</v>
      </c>
      <c r="B7835" s="4">
        <f ca="1">IFERROR(__xludf.DUMMYFUNCTION("""COMPUTED_VALUE"""),44841)</f>
        <v>44841</v>
      </c>
      <c r="C7835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5" t="str">
        <f ca="1">IFERROR(__xludf.DUMMYFUNCTION("""COMPUTED_VALUE"""),"Новый")</f>
        <v>Новый</v>
      </c>
      <c r="G7835" s="68"/>
      <c r="K7835" s="68"/>
    </row>
    <row r="7836" spans="1:11" ht="12.75">
      <c r="A7836" s="69">
        <f ca="1">IFERROR(__xludf.DUMMYFUNCTION("""COMPUTED_VALUE"""),109515)</f>
        <v>109515</v>
      </c>
      <c r="B7836" s="4">
        <f ca="1">IFERROR(__xludf.DUMMYFUNCTION("""COMPUTED_VALUE"""),44841)</f>
        <v>44841</v>
      </c>
      <c r="C7836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6" t="str">
        <f ca="1">IFERROR(__xludf.DUMMYFUNCTION("""COMPUTED_VALUE"""),"Новый")</f>
        <v>Новый</v>
      </c>
      <c r="G7836" s="68"/>
      <c r="K7836" s="68"/>
    </row>
    <row r="7837" spans="1:11" ht="12.75">
      <c r="A7837" s="69">
        <f ca="1">IFERROR(__xludf.DUMMYFUNCTION("""COMPUTED_VALUE"""),109516)</f>
        <v>109516</v>
      </c>
      <c r="B7837" s="4">
        <f ca="1">IFERROR(__xludf.DUMMYFUNCTION("""COMPUTED_VALUE"""),44841)</f>
        <v>44841</v>
      </c>
      <c r="C7837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7" t="str">
        <f ca="1">IFERROR(__xludf.DUMMYFUNCTION("""COMPUTED_VALUE"""),"Новый")</f>
        <v>Новый</v>
      </c>
      <c r="G7837" s="68"/>
      <c r="K7837" s="68"/>
    </row>
    <row r="7838" spans="1:11" ht="12.75">
      <c r="A7838" s="69">
        <f ca="1">IFERROR(__xludf.DUMMYFUNCTION("""COMPUTED_VALUE"""),109517)</f>
        <v>109517</v>
      </c>
      <c r="B7838" s="4">
        <f ca="1">IFERROR(__xludf.DUMMYFUNCTION("""COMPUTED_VALUE"""),44841)</f>
        <v>44841</v>
      </c>
      <c r="C7838" t="str">
        <f ca="1">IFERROR(__xludf.DUMMYFUNCTION("""COMPUTED_VALUE"""),"БУЗОО ГКБ № 1 ИМ. КАБАНОВА А.Н. 139-РДО от 13.04.2022")</f>
        <v>БУЗОО ГКБ № 1 ИМ. КАБАНОВА А.Н. 139-РДО от 13.04.2022</v>
      </c>
      <c r="D78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8" t="str">
        <f ca="1">IFERROR(__xludf.DUMMYFUNCTION("""COMPUTED_VALUE"""),"Новый")</f>
        <v>Новый</v>
      </c>
      <c r="G7838" s="68"/>
      <c r="K7838" s="68"/>
    </row>
    <row r="7839" spans="1:11" ht="12.75">
      <c r="A7839" s="69">
        <f ca="1">IFERROR(__xludf.DUMMYFUNCTION("""COMPUTED_VALUE"""),109518)</f>
        <v>109518</v>
      </c>
      <c r="B7839" s="4">
        <f ca="1">IFERROR(__xludf.DUMMYFUNCTION("""COMPUTED_VALUE"""),44841)</f>
        <v>44841</v>
      </c>
      <c r="C7839" t="str">
        <f ca="1">IFERROR(__xludf.DUMMYFUNCTION("""COMPUTED_VALUE"""),"БУ Г. ОМСКА ""УДХБ"" 216-РДО от 03.10.2022")</f>
        <v>БУ Г. ОМСКА "УДХБ" 216-РДО от 03.10.2022</v>
      </c>
      <c r="D78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39" t="str">
        <f ca="1">IFERROR(__xludf.DUMMYFUNCTION("""COMPUTED_VALUE"""),"Новый")</f>
        <v>Новый</v>
      </c>
      <c r="G7839" s="68"/>
      <c r="K7839" s="68"/>
    </row>
    <row r="7840" spans="1:11" ht="12.75">
      <c r="A7840" s="69">
        <f ca="1">IFERROR(__xludf.DUMMYFUNCTION("""COMPUTED_VALUE"""),109519)</f>
        <v>109519</v>
      </c>
      <c r="B7840" s="4">
        <f ca="1">IFERROR(__xludf.DUMMYFUNCTION("""COMPUTED_VALUE"""),44841)</f>
        <v>44841</v>
      </c>
      <c r="C7840" t="str">
        <f ca="1">IFERROR(__xludf.DUMMYFUNCTION("""COMPUTED_VALUE"""),"БУ Г. ОМСКА ""УДХБ"" 216-РДО от 03.10.2022")</f>
        <v>БУ Г. ОМСКА "УДХБ" 216-РДО от 03.10.2022</v>
      </c>
      <c r="D78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0" t="str">
        <f ca="1">IFERROR(__xludf.DUMMYFUNCTION("""COMPUTED_VALUE"""),"Новый")</f>
        <v>Новый</v>
      </c>
      <c r="G7840" s="68"/>
      <c r="K7840" s="68"/>
    </row>
    <row r="7841" spans="1:11" ht="12.75">
      <c r="A7841" s="69">
        <f ca="1">IFERROR(__xludf.DUMMYFUNCTION("""COMPUTED_VALUE"""),109520)</f>
        <v>109520</v>
      </c>
      <c r="B7841" s="4">
        <f ca="1">IFERROR(__xludf.DUMMYFUNCTION("""COMPUTED_VALUE"""),44841)</f>
        <v>44841</v>
      </c>
      <c r="C7841" t="str">
        <f ca="1">IFERROR(__xludf.DUMMYFUNCTION("""COMPUTED_VALUE"""),"БУ Г. ОМСКА ""УДХБ"" 216-РДО от 03.10.2022")</f>
        <v>БУ Г. ОМСКА "УДХБ" 216-РДО от 03.10.2022</v>
      </c>
      <c r="D78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1" t="str">
        <f ca="1">IFERROR(__xludf.DUMMYFUNCTION("""COMPUTED_VALUE"""),"Новый")</f>
        <v>Новый</v>
      </c>
      <c r="G7841" s="68"/>
      <c r="K7841" s="68"/>
    </row>
    <row r="7842" spans="1:11" ht="12.75">
      <c r="A7842" s="69">
        <f ca="1">IFERROR(__xludf.DUMMYFUNCTION("""COMPUTED_VALUE"""),109521)</f>
        <v>109521</v>
      </c>
      <c r="B7842" s="4">
        <f ca="1">IFERROR(__xludf.DUMMYFUNCTION("""COMPUTED_VALUE"""),44841)</f>
        <v>44841</v>
      </c>
      <c r="C7842" t="str">
        <f ca="1">IFERROR(__xludf.DUMMYFUNCTION("""COMPUTED_VALUE"""),"БУ Г. ОМСКА ""УДХБ"" 216-РДО от 03.10.2022")</f>
        <v>БУ Г. ОМСКА "УДХБ" 216-РДО от 03.10.2022</v>
      </c>
      <c r="D78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2" t="str">
        <f ca="1">IFERROR(__xludf.DUMMYFUNCTION("""COMPUTED_VALUE"""),"Новый")</f>
        <v>Новый</v>
      </c>
      <c r="G7842" s="68"/>
      <c r="K7842" s="68"/>
    </row>
    <row r="7843" spans="1:11" ht="12.75">
      <c r="A7843" s="69">
        <f ca="1">IFERROR(__xludf.DUMMYFUNCTION("""COMPUTED_VALUE"""),109522)</f>
        <v>109522</v>
      </c>
      <c r="B7843" s="4">
        <f ca="1">IFERROR(__xludf.DUMMYFUNCTION("""COMPUTED_VALUE"""),44841)</f>
        <v>44841</v>
      </c>
      <c r="C7843" t="str">
        <f ca="1">IFERROR(__xludf.DUMMYFUNCTION("""COMPUTED_VALUE"""),"БУ Г. ОМСКА ""УДХБ"" 216-РДО от 03.10.2022")</f>
        <v>БУ Г. ОМСКА "УДХБ" 216-РДО от 03.10.2022</v>
      </c>
      <c r="D78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3" t="str">
        <f ca="1">IFERROR(__xludf.DUMMYFUNCTION("""COMPUTED_VALUE"""),"Новый")</f>
        <v>Новый</v>
      </c>
      <c r="G7843" s="68"/>
      <c r="K7843" s="68"/>
    </row>
    <row r="7844" spans="1:11" ht="12.75">
      <c r="A7844" s="69">
        <f ca="1">IFERROR(__xludf.DUMMYFUNCTION("""COMPUTED_VALUE"""),109523)</f>
        <v>109523</v>
      </c>
      <c r="B7844" s="4">
        <f ca="1">IFERROR(__xludf.DUMMYFUNCTION("""COMPUTED_VALUE"""),44841)</f>
        <v>44841</v>
      </c>
      <c r="C7844" t="str">
        <f ca="1">IFERROR(__xludf.DUMMYFUNCTION("""COMPUTED_VALUE"""),"БУ Г. ОМСКА ""УДХБ"" 216-РДО от 03.10.2022")</f>
        <v>БУ Г. ОМСКА "УДХБ" 216-РДО от 03.10.2022</v>
      </c>
      <c r="D78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4" t="str">
        <f ca="1">IFERROR(__xludf.DUMMYFUNCTION("""COMPUTED_VALUE"""),"Новый")</f>
        <v>Новый</v>
      </c>
      <c r="G7844" s="68"/>
      <c r="K7844" s="68"/>
    </row>
    <row r="7845" spans="1:11" ht="12.75">
      <c r="A7845" s="69">
        <f ca="1">IFERROR(__xludf.DUMMYFUNCTION("""COMPUTED_VALUE"""),109524)</f>
        <v>109524</v>
      </c>
      <c r="B7845" s="4">
        <f ca="1">IFERROR(__xludf.DUMMYFUNCTION("""COMPUTED_VALUE"""),44841)</f>
        <v>44841</v>
      </c>
      <c r="C7845" t="str">
        <f ca="1">IFERROR(__xludf.DUMMYFUNCTION("""COMPUTED_VALUE"""),"БУ Г. ОМСКА ""УДХБ"" 216-РДО от 03.10.2022")</f>
        <v>БУ Г. ОМСКА "УДХБ" 216-РДО от 03.10.2022</v>
      </c>
      <c r="D78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5" t="str">
        <f ca="1">IFERROR(__xludf.DUMMYFUNCTION("""COMPUTED_VALUE"""),"Новый")</f>
        <v>Новый</v>
      </c>
      <c r="G7845" s="68"/>
      <c r="K7845" s="68"/>
    </row>
    <row r="7846" spans="1:11" ht="12.75">
      <c r="A7846" s="69">
        <f ca="1">IFERROR(__xludf.DUMMYFUNCTION("""COMPUTED_VALUE"""),109525)</f>
        <v>109525</v>
      </c>
      <c r="B7846" s="4">
        <f ca="1">IFERROR(__xludf.DUMMYFUNCTION("""COMPUTED_VALUE"""),44841)</f>
        <v>44841</v>
      </c>
      <c r="C7846" t="str">
        <f ca="1">IFERROR(__xludf.DUMMYFUNCTION("""COMPUTED_VALUE"""),"БУ Г. ОМСКА ""УДХБ"" 216-РДО от 03.10.2022")</f>
        <v>БУ Г. ОМСКА "УДХБ" 216-РДО от 03.10.2022</v>
      </c>
      <c r="D78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6" t="str">
        <f ca="1">IFERROR(__xludf.DUMMYFUNCTION("""COMPUTED_VALUE"""),"Новый")</f>
        <v>Новый</v>
      </c>
      <c r="G7846" s="68"/>
      <c r="K7846" s="68"/>
    </row>
    <row r="7847" spans="1:11" ht="12.75">
      <c r="A7847" s="69">
        <f ca="1">IFERROR(__xludf.DUMMYFUNCTION("""COMPUTED_VALUE"""),109526)</f>
        <v>109526</v>
      </c>
      <c r="B7847" s="4">
        <f ca="1">IFERROR(__xludf.DUMMYFUNCTION("""COMPUTED_VALUE"""),44841)</f>
        <v>44841</v>
      </c>
      <c r="C7847" t="str">
        <f ca="1">IFERROR(__xludf.DUMMYFUNCTION("""COMPUTED_VALUE"""),"БУ Г. ОМСКА ""УДХБ"" 216-РДО от 03.10.2022")</f>
        <v>БУ Г. ОМСКА "УДХБ" 216-РДО от 03.10.2022</v>
      </c>
      <c r="D78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7" t="str">
        <f ca="1">IFERROR(__xludf.DUMMYFUNCTION("""COMPUTED_VALUE"""),"Новый")</f>
        <v>Новый</v>
      </c>
      <c r="G7847" s="68"/>
      <c r="K7847" s="68"/>
    </row>
    <row r="7848" spans="1:11" ht="12.75">
      <c r="A7848" s="69">
        <f ca="1">IFERROR(__xludf.DUMMYFUNCTION("""COMPUTED_VALUE"""),109527)</f>
        <v>109527</v>
      </c>
      <c r="B7848" s="4">
        <f ca="1">IFERROR(__xludf.DUMMYFUNCTION("""COMPUTED_VALUE"""),44841)</f>
        <v>44841</v>
      </c>
      <c r="C7848" t="str">
        <f ca="1">IFERROR(__xludf.DUMMYFUNCTION("""COMPUTED_VALUE"""),"БУ Г. ОМСКА ""УДХБ"" 216-РДО от 03.10.2022")</f>
        <v>БУ Г. ОМСКА "УДХБ" 216-РДО от 03.10.2022</v>
      </c>
      <c r="D78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8" t="str">
        <f ca="1">IFERROR(__xludf.DUMMYFUNCTION("""COMPUTED_VALUE"""),"Новый")</f>
        <v>Новый</v>
      </c>
      <c r="G7848" s="68"/>
      <c r="K7848" s="68"/>
    </row>
    <row r="7849" spans="1:11" ht="12.75">
      <c r="A7849" s="69">
        <f ca="1">IFERROR(__xludf.DUMMYFUNCTION("""COMPUTED_VALUE"""),109528)</f>
        <v>109528</v>
      </c>
      <c r="B7849" s="4">
        <f ca="1">IFERROR(__xludf.DUMMYFUNCTION("""COMPUTED_VALUE"""),44841)</f>
        <v>44841</v>
      </c>
      <c r="C7849" t="str">
        <f ca="1">IFERROR(__xludf.DUMMYFUNCTION("""COMPUTED_VALUE"""),"БУ Г. ОМСКА ""УДХБ"" 216-РДО от 03.10.2022")</f>
        <v>БУ Г. ОМСКА "УДХБ" 216-РДО от 03.10.2022</v>
      </c>
      <c r="D78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49" t="str">
        <f ca="1">IFERROR(__xludf.DUMMYFUNCTION("""COMPUTED_VALUE"""),"Новый")</f>
        <v>Новый</v>
      </c>
      <c r="G7849" s="68"/>
      <c r="K7849" s="68"/>
    </row>
    <row r="7850" spans="1:11" ht="12.75">
      <c r="A7850" s="69">
        <f ca="1">IFERROR(__xludf.DUMMYFUNCTION("""COMPUTED_VALUE"""),109529)</f>
        <v>109529</v>
      </c>
      <c r="B7850" s="4">
        <f ca="1">IFERROR(__xludf.DUMMYFUNCTION("""COMPUTED_VALUE"""),44841)</f>
        <v>44841</v>
      </c>
      <c r="C7850" t="str">
        <f ca="1">IFERROR(__xludf.DUMMYFUNCTION("""COMPUTED_VALUE"""),"БУ Г. ОМСКА ""УДХБ"" 216-РДО от 03.10.2022")</f>
        <v>БУ Г. ОМСКА "УДХБ" 216-РДО от 03.10.2022</v>
      </c>
      <c r="D78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0" t="str">
        <f ca="1">IFERROR(__xludf.DUMMYFUNCTION("""COMPUTED_VALUE"""),"Новый")</f>
        <v>Новый</v>
      </c>
      <c r="G7850" s="68"/>
      <c r="K7850" s="68"/>
    </row>
    <row r="7851" spans="1:11" ht="12.75">
      <c r="A7851" s="69">
        <f ca="1">IFERROR(__xludf.DUMMYFUNCTION("""COMPUTED_VALUE"""),109530)</f>
        <v>109530</v>
      </c>
      <c r="B7851" s="4">
        <f ca="1">IFERROR(__xludf.DUMMYFUNCTION("""COMPUTED_VALUE"""),44841)</f>
        <v>44841</v>
      </c>
      <c r="C7851" t="str">
        <f ca="1">IFERROR(__xludf.DUMMYFUNCTION("""COMPUTED_VALUE"""),"БУ Г. ОМСКА ""УДХБ"" 216-РДО от 03.10.2022")</f>
        <v>БУ Г. ОМСКА "УДХБ" 216-РДО от 03.10.2022</v>
      </c>
      <c r="D78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1" t="str">
        <f ca="1">IFERROR(__xludf.DUMMYFUNCTION("""COMPUTED_VALUE"""),"Новый")</f>
        <v>Новый</v>
      </c>
      <c r="G7851" s="68"/>
      <c r="K7851" s="68"/>
    </row>
    <row r="7852" spans="1:11" ht="12.75">
      <c r="A7852" s="69">
        <f ca="1">IFERROR(__xludf.DUMMYFUNCTION("""COMPUTED_VALUE"""),109531)</f>
        <v>109531</v>
      </c>
      <c r="B7852" s="4">
        <f ca="1">IFERROR(__xludf.DUMMYFUNCTION("""COMPUTED_VALUE"""),44841)</f>
        <v>44841</v>
      </c>
      <c r="C7852" t="str">
        <f ca="1">IFERROR(__xludf.DUMMYFUNCTION("""COMPUTED_VALUE"""),"БУ Г. ОМСКА ""УДХБ"" 216-РДО от 03.10.2022")</f>
        <v>БУ Г. ОМСКА "УДХБ" 216-РДО от 03.10.2022</v>
      </c>
      <c r="D78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2" t="str">
        <f ca="1">IFERROR(__xludf.DUMMYFUNCTION("""COMPUTED_VALUE"""),"Новый")</f>
        <v>Новый</v>
      </c>
      <c r="G7852" s="68"/>
      <c r="K7852" s="68"/>
    </row>
    <row r="7853" spans="1:11" ht="12.75">
      <c r="A7853" s="69">
        <f ca="1">IFERROR(__xludf.DUMMYFUNCTION("""COMPUTED_VALUE"""),109532)</f>
        <v>109532</v>
      </c>
      <c r="B7853" s="4">
        <f ca="1">IFERROR(__xludf.DUMMYFUNCTION("""COMPUTED_VALUE"""),44841)</f>
        <v>44841</v>
      </c>
      <c r="C7853" t="str">
        <f ca="1">IFERROR(__xludf.DUMMYFUNCTION("""COMPUTED_VALUE"""),"БУ Г. ОМСКА ""УДХБ"" 216-РДО от 03.10.2022")</f>
        <v>БУ Г. ОМСКА "УДХБ" 216-РДО от 03.10.2022</v>
      </c>
      <c r="D78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3" t="str">
        <f ca="1">IFERROR(__xludf.DUMMYFUNCTION("""COMPUTED_VALUE"""),"Новый")</f>
        <v>Новый</v>
      </c>
      <c r="G7853" s="68"/>
      <c r="K7853" s="68"/>
    </row>
    <row r="7854" spans="1:11" ht="12.75">
      <c r="A7854" s="69">
        <f ca="1">IFERROR(__xludf.DUMMYFUNCTION("""COMPUTED_VALUE"""),109533)</f>
        <v>109533</v>
      </c>
      <c r="B7854" s="4">
        <f ca="1">IFERROR(__xludf.DUMMYFUNCTION("""COMPUTED_VALUE"""),44841)</f>
        <v>44841</v>
      </c>
      <c r="C7854" t="str">
        <f ca="1">IFERROR(__xludf.DUMMYFUNCTION("""COMPUTED_VALUE"""),"БУ Г. ОМСКА ""УДХБ"" 216-РДО от 03.10.2022")</f>
        <v>БУ Г. ОМСКА "УДХБ" 216-РДО от 03.10.2022</v>
      </c>
      <c r="D78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4" t="str">
        <f ca="1">IFERROR(__xludf.DUMMYFUNCTION("""COMPUTED_VALUE"""),"Новый")</f>
        <v>Новый</v>
      </c>
      <c r="G7854" s="68"/>
      <c r="K7854" s="68"/>
    </row>
    <row r="7855" spans="1:11" ht="12.75">
      <c r="A7855" s="69">
        <f ca="1">IFERROR(__xludf.DUMMYFUNCTION("""COMPUTED_VALUE"""),109534)</f>
        <v>109534</v>
      </c>
      <c r="B7855" s="4">
        <f ca="1">IFERROR(__xludf.DUMMYFUNCTION("""COMPUTED_VALUE"""),44841)</f>
        <v>44841</v>
      </c>
      <c r="C7855" t="str">
        <f ca="1">IFERROR(__xludf.DUMMYFUNCTION("""COMPUTED_VALUE"""),"БУ Г. ОМСКА ""УДХБ"" 216-РДО от 03.10.2022")</f>
        <v>БУ Г. ОМСКА "УДХБ" 216-РДО от 03.10.2022</v>
      </c>
      <c r="D78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5" t="str">
        <f ca="1">IFERROR(__xludf.DUMMYFUNCTION("""COMPUTED_VALUE"""),"Новый")</f>
        <v>Новый</v>
      </c>
      <c r="G7855" s="68"/>
      <c r="K7855" s="68"/>
    </row>
    <row r="7856" spans="1:11" ht="12.75">
      <c r="A7856" s="69">
        <f ca="1">IFERROR(__xludf.DUMMYFUNCTION("""COMPUTED_VALUE"""),109535)</f>
        <v>109535</v>
      </c>
      <c r="B7856" s="4">
        <f ca="1">IFERROR(__xludf.DUMMYFUNCTION("""COMPUTED_VALUE"""),44841)</f>
        <v>44841</v>
      </c>
      <c r="C7856" t="str">
        <f ca="1">IFERROR(__xludf.DUMMYFUNCTION("""COMPUTED_VALUE"""),"БУ Г. ОМСКА ""УДХБ"" 216-РДО от 03.10.2022")</f>
        <v>БУ Г. ОМСКА "УДХБ" 216-РДО от 03.10.2022</v>
      </c>
      <c r="D78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6" t="str">
        <f ca="1">IFERROR(__xludf.DUMMYFUNCTION("""COMPUTED_VALUE"""),"Новый")</f>
        <v>Новый</v>
      </c>
      <c r="G7856" s="68"/>
      <c r="K7856" s="68"/>
    </row>
    <row r="7857" spans="1:11" ht="12.75">
      <c r="A7857" s="69">
        <f ca="1">IFERROR(__xludf.DUMMYFUNCTION("""COMPUTED_VALUE"""),109536)</f>
        <v>109536</v>
      </c>
      <c r="B7857" s="4">
        <f ca="1">IFERROR(__xludf.DUMMYFUNCTION("""COMPUTED_VALUE"""),44841)</f>
        <v>44841</v>
      </c>
      <c r="C7857" t="str">
        <f ca="1">IFERROR(__xludf.DUMMYFUNCTION("""COMPUTED_VALUE"""),"БУ Г. ОМСКА ""УДХБ"" 216-РДО от 03.10.2022")</f>
        <v>БУ Г. ОМСКА "УДХБ" 216-РДО от 03.10.2022</v>
      </c>
      <c r="D78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7" t="str">
        <f ca="1">IFERROR(__xludf.DUMMYFUNCTION("""COMPUTED_VALUE"""),"Новый")</f>
        <v>Новый</v>
      </c>
      <c r="G7857" s="68"/>
      <c r="K7857" s="68"/>
    </row>
    <row r="7858" spans="1:11" ht="12.75">
      <c r="A7858" s="69">
        <f ca="1">IFERROR(__xludf.DUMMYFUNCTION("""COMPUTED_VALUE"""),109537)</f>
        <v>109537</v>
      </c>
      <c r="B7858" s="4">
        <f ca="1">IFERROR(__xludf.DUMMYFUNCTION("""COMPUTED_VALUE"""),44841)</f>
        <v>44841</v>
      </c>
      <c r="C7858" t="str">
        <f ca="1">IFERROR(__xludf.DUMMYFUNCTION("""COMPUTED_VALUE"""),"БУ Г. ОМСКА ""УДХБ"" 216-РДО от 03.10.2022")</f>
        <v>БУ Г. ОМСКА "УДХБ" 216-РДО от 03.10.2022</v>
      </c>
      <c r="D78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8" t="str">
        <f ca="1">IFERROR(__xludf.DUMMYFUNCTION("""COMPUTED_VALUE"""),"Новый")</f>
        <v>Новый</v>
      </c>
      <c r="G7858" s="68"/>
      <c r="K7858" s="68"/>
    </row>
    <row r="7859" spans="1:11" ht="12.75">
      <c r="A7859" s="69">
        <f ca="1">IFERROR(__xludf.DUMMYFUNCTION("""COMPUTED_VALUE"""),109538)</f>
        <v>109538</v>
      </c>
      <c r="B7859" s="4">
        <f ca="1">IFERROR(__xludf.DUMMYFUNCTION("""COMPUTED_VALUE"""),44841)</f>
        <v>44841</v>
      </c>
      <c r="C7859" t="str">
        <f ca="1">IFERROR(__xludf.DUMMYFUNCTION("""COMPUTED_VALUE"""),"БУ Г. ОМСКА ""УДХБ"" 216-РДО от 03.10.2022")</f>
        <v>БУ Г. ОМСКА "УДХБ" 216-РДО от 03.10.2022</v>
      </c>
      <c r="D78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59" t="str">
        <f ca="1">IFERROR(__xludf.DUMMYFUNCTION("""COMPUTED_VALUE"""),"Новый")</f>
        <v>Новый</v>
      </c>
      <c r="G7859" s="68"/>
      <c r="K7859" s="68"/>
    </row>
    <row r="7860" spans="1:11" ht="12.75">
      <c r="A7860" s="69">
        <f ca="1">IFERROR(__xludf.DUMMYFUNCTION("""COMPUTED_VALUE"""),109539)</f>
        <v>109539</v>
      </c>
      <c r="B7860" s="4">
        <f ca="1">IFERROR(__xludf.DUMMYFUNCTION("""COMPUTED_VALUE"""),44841)</f>
        <v>44841</v>
      </c>
      <c r="C7860" t="str">
        <f ca="1">IFERROR(__xludf.DUMMYFUNCTION("""COMPUTED_VALUE"""),"БУ Г. ОМСКА ""УДХБ"" 216-РДО от 03.10.2022")</f>
        <v>БУ Г. ОМСКА "УДХБ" 216-РДО от 03.10.2022</v>
      </c>
      <c r="D78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0" t="str">
        <f ca="1">IFERROR(__xludf.DUMMYFUNCTION("""COMPUTED_VALUE"""),"Новый")</f>
        <v>Новый</v>
      </c>
      <c r="G7860" s="68"/>
      <c r="K7860" s="68"/>
    </row>
    <row r="7861" spans="1:11" ht="12.75">
      <c r="A7861" s="69">
        <f ca="1">IFERROR(__xludf.DUMMYFUNCTION("""COMPUTED_VALUE"""),109540)</f>
        <v>109540</v>
      </c>
      <c r="B7861" s="4">
        <f ca="1">IFERROR(__xludf.DUMMYFUNCTION("""COMPUTED_VALUE"""),44841)</f>
        <v>44841</v>
      </c>
      <c r="C7861" t="str">
        <f ca="1">IFERROR(__xludf.DUMMYFUNCTION("""COMPUTED_VALUE"""),"БУ Г. ОМСКА ""УДХБ"" 216-РДО от 03.10.2022")</f>
        <v>БУ Г. ОМСКА "УДХБ" 216-РДО от 03.10.2022</v>
      </c>
      <c r="D78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1" t="str">
        <f ca="1">IFERROR(__xludf.DUMMYFUNCTION("""COMPUTED_VALUE"""),"Новый")</f>
        <v>Новый</v>
      </c>
      <c r="G7861" s="68"/>
      <c r="K7861" s="68"/>
    </row>
    <row r="7862" spans="1:11" ht="12.75">
      <c r="A7862" s="69">
        <f ca="1">IFERROR(__xludf.DUMMYFUNCTION("""COMPUTED_VALUE"""),109541)</f>
        <v>109541</v>
      </c>
      <c r="B7862" s="4">
        <f ca="1">IFERROR(__xludf.DUMMYFUNCTION("""COMPUTED_VALUE"""),44841)</f>
        <v>44841</v>
      </c>
      <c r="C7862" t="str">
        <f ca="1">IFERROR(__xludf.DUMMYFUNCTION("""COMPUTED_VALUE"""),"БУ Г. ОМСКА ""УДХБ"" 216-РДО от 03.10.2022")</f>
        <v>БУ Г. ОМСКА "УДХБ" 216-РДО от 03.10.2022</v>
      </c>
      <c r="D78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2" t="str">
        <f ca="1">IFERROR(__xludf.DUMMYFUNCTION("""COMPUTED_VALUE"""),"Новый")</f>
        <v>Новый</v>
      </c>
      <c r="G7862" s="68"/>
      <c r="K7862" s="68"/>
    </row>
    <row r="7863" spans="1:11" ht="12.75">
      <c r="A7863" s="69">
        <f ca="1">IFERROR(__xludf.DUMMYFUNCTION("""COMPUTED_VALUE"""),109542)</f>
        <v>109542</v>
      </c>
      <c r="B7863" s="4">
        <f ca="1">IFERROR(__xludf.DUMMYFUNCTION("""COMPUTED_VALUE"""),44841)</f>
        <v>44841</v>
      </c>
      <c r="C7863" t="str">
        <f ca="1">IFERROR(__xludf.DUMMYFUNCTION("""COMPUTED_VALUE"""),"БУ Г. ОМСКА ""УДХБ"" 216-РДО от 03.10.2022")</f>
        <v>БУ Г. ОМСКА "УДХБ" 216-РДО от 03.10.2022</v>
      </c>
      <c r="D78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3" t="str">
        <f ca="1">IFERROR(__xludf.DUMMYFUNCTION("""COMPUTED_VALUE"""),"Новый")</f>
        <v>Новый</v>
      </c>
      <c r="G7863" s="68"/>
      <c r="K7863" s="68"/>
    </row>
    <row r="7864" spans="1:11" ht="12.75">
      <c r="A7864" s="69">
        <f ca="1">IFERROR(__xludf.DUMMYFUNCTION("""COMPUTED_VALUE"""),109543)</f>
        <v>109543</v>
      </c>
      <c r="B7864" s="4">
        <f ca="1">IFERROR(__xludf.DUMMYFUNCTION("""COMPUTED_VALUE"""),44841)</f>
        <v>44841</v>
      </c>
      <c r="C7864" t="str">
        <f ca="1">IFERROR(__xludf.DUMMYFUNCTION("""COMPUTED_VALUE"""),"БУ Г. ОМСКА ""УДХБ"" 216-РДО от 03.10.2022")</f>
        <v>БУ Г. ОМСКА "УДХБ" 216-РДО от 03.10.2022</v>
      </c>
      <c r="D78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4" t="str">
        <f ca="1">IFERROR(__xludf.DUMMYFUNCTION("""COMPUTED_VALUE"""),"Новый")</f>
        <v>Новый</v>
      </c>
      <c r="G7864" s="68"/>
      <c r="K7864" s="68"/>
    </row>
    <row r="7865" spans="1:11" ht="12.75">
      <c r="A7865" s="69">
        <f ca="1">IFERROR(__xludf.DUMMYFUNCTION("""COMPUTED_VALUE"""),109544)</f>
        <v>109544</v>
      </c>
      <c r="B7865" s="4">
        <f ca="1">IFERROR(__xludf.DUMMYFUNCTION("""COMPUTED_VALUE"""),44841)</f>
        <v>44841</v>
      </c>
      <c r="C7865" t="str">
        <f ca="1">IFERROR(__xludf.DUMMYFUNCTION("""COMPUTED_VALUE"""),"БУ Г. ОМСКА ""УДХБ"" 216-РДО от 03.10.2022")</f>
        <v>БУ Г. ОМСКА "УДХБ" 216-РДО от 03.10.2022</v>
      </c>
      <c r="D78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5" t="str">
        <f ca="1">IFERROR(__xludf.DUMMYFUNCTION("""COMPUTED_VALUE"""),"Новый")</f>
        <v>Новый</v>
      </c>
      <c r="G7865" s="68"/>
      <c r="K7865" s="68"/>
    </row>
    <row r="7866" spans="1:11" ht="12.75">
      <c r="A7866" s="69">
        <f ca="1">IFERROR(__xludf.DUMMYFUNCTION("""COMPUTED_VALUE"""),109545)</f>
        <v>109545</v>
      </c>
      <c r="B7866" s="4">
        <f ca="1">IFERROR(__xludf.DUMMYFUNCTION("""COMPUTED_VALUE"""),44841)</f>
        <v>44841</v>
      </c>
      <c r="C7866" t="str">
        <f ca="1">IFERROR(__xludf.DUMMYFUNCTION("""COMPUTED_VALUE"""),"БУ Г. ОМСКА ""УДХБ"" 216-РДО от 03.10.2022")</f>
        <v>БУ Г. ОМСКА "УДХБ" 216-РДО от 03.10.2022</v>
      </c>
      <c r="D78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6" t="str">
        <f ca="1">IFERROR(__xludf.DUMMYFUNCTION("""COMPUTED_VALUE"""),"Новый")</f>
        <v>Новый</v>
      </c>
      <c r="G7866" s="68"/>
      <c r="K7866" s="68"/>
    </row>
    <row r="7867" spans="1:11" ht="12.75">
      <c r="A7867" s="69">
        <f ca="1">IFERROR(__xludf.DUMMYFUNCTION("""COMPUTED_VALUE"""),109546)</f>
        <v>109546</v>
      </c>
      <c r="B7867" s="4">
        <f ca="1">IFERROR(__xludf.DUMMYFUNCTION("""COMPUTED_VALUE"""),44841)</f>
        <v>44841</v>
      </c>
      <c r="C7867" t="str">
        <f ca="1">IFERROR(__xludf.DUMMYFUNCTION("""COMPUTED_VALUE"""),"БУ Г. ОМСКА ""УДХБ"" 216-РДО от 03.10.2022")</f>
        <v>БУ Г. ОМСКА "УДХБ" 216-РДО от 03.10.2022</v>
      </c>
      <c r="D78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7" t="str">
        <f ca="1">IFERROR(__xludf.DUMMYFUNCTION("""COMPUTED_VALUE"""),"Новый")</f>
        <v>Новый</v>
      </c>
      <c r="G7867" s="68"/>
      <c r="K7867" s="68"/>
    </row>
    <row r="7868" spans="1:11" ht="12.75">
      <c r="A7868" s="69">
        <f ca="1">IFERROR(__xludf.DUMMYFUNCTION("""COMPUTED_VALUE"""),109547)</f>
        <v>109547</v>
      </c>
      <c r="B7868" s="4">
        <f ca="1">IFERROR(__xludf.DUMMYFUNCTION("""COMPUTED_VALUE"""),44841)</f>
        <v>44841</v>
      </c>
      <c r="C7868" t="str">
        <f ca="1">IFERROR(__xludf.DUMMYFUNCTION("""COMPUTED_VALUE"""),"БУ Г. ОМСКА ""УДХБ"" 216-РДО от 03.10.2022")</f>
        <v>БУ Г. ОМСКА "УДХБ" 216-РДО от 03.10.2022</v>
      </c>
      <c r="D78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8" t="str">
        <f ca="1">IFERROR(__xludf.DUMMYFUNCTION("""COMPUTED_VALUE"""),"Новый")</f>
        <v>Новый</v>
      </c>
      <c r="G7868" s="68"/>
      <c r="K7868" s="68"/>
    </row>
    <row r="7869" spans="1:11" ht="12.75">
      <c r="A7869" s="69">
        <f ca="1">IFERROR(__xludf.DUMMYFUNCTION("""COMPUTED_VALUE"""),109548)</f>
        <v>109548</v>
      </c>
      <c r="B7869" s="4">
        <f ca="1">IFERROR(__xludf.DUMMYFUNCTION("""COMPUTED_VALUE"""),44841)</f>
        <v>44841</v>
      </c>
      <c r="C7869" t="str">
        <f ca="1">IFERROR(__xludf.DUMMYFUNCTION("""COMPUTED_VALUE"""),"БУ Г. ОМСКА ""УДХБ"" 216-РДО от 03.10.2022")</f>
        <v>БУ Г. ОМСКА "УДХБ" 216-РДО от 03.10.2022</v>
      </c>
      <c r="D78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69" t="str">
        <f ca="1">IFERROR(__xludf.DUMMYFUNCTION("""COMPUTED_VALUE"""),"Новый")</f>
        <v>Новый</v>
      </c>
      <c r="G7869" s="68"/>
      <c r="K7869" s="68"/>
    </row>
    <row r="7870" spans="1:11" ht="12.75">
      <c r="A7870" s="69">
        <f ca="1">IFERROR(__xludf.DUMMYFUNCTION("""COMPUTED_VALUE"""),109549)</f>
        <v>109549</v>
      </c>
      <c r="B7870" s="4">
        <f ca="1">IFERROR(__xludf.DUMMYFUNCTION("""COMPUTED_VALUE"""),44841)</f>
        <v>44841</v>
      </c>
      <c r="C7870" t="str">
        <f ca="1">IFERROR(__xludf.DUMMYFUNCTION("""COMPUTED_VALUE"""),"БУ Г. ОМСКА ""УДХБ"" 216-РДО от 03.10.2022")</f>
        <v>БУ Г. ОМСКА "УДХБ" 216-РДО от 03.10.2022</v>
      </c>
      <c r="D78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0" t="str">
        <f ca="1">IFERROR(__xludf.DUMMYFUNCTION("""COMPUTED_VALUE"""),"Новый")</f>
        <v>Новый</v>
      </c>
      <c r="G7870" s="68"/>
      <c r="K7870" s="68"/>
    </row>
    <row r="7871" spans="1:11" ht="12.75">
      <c r="A7871" s="69">
        <f ca="1">IFERROR(__xludf.DUMMYFUNCTION("""COMPUTED_VALUE"""),109550)</f>
        <v>109550</v>
      </c>
      <c r="B7871" s="4">
        <f ca="1">IFERROR(__xludf.DUMMYFUNCTION("""COMPUTED_VALUE"""),44841)</f>
        <v>44841</v>
      </c>
      <c r="C7871" t="str">
        <f ca="1">IFERROR(__xludf.DUMMYFUNCTION("""COMPUTED_VALUE"""),"БУ Г. ОМСКА ""УДХБ"" 216-РДО от 03.10.2022")</f>
        <v>БУ Г. ОМСКА "УДХБ" 216-РДО от 03.10.2022</v>
      </c>
      <c r="D78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1" t="str">
        <f ca="1">IFERROR(__xludf.DUMMYFUNCTION("""COMPUTED_VALUE"""),"Новый")</f>
        <v>Новый</v>
      </c>
      <c r="G7871" s="68"/>
      <c r="K7871" s="68"/>
    </row>
    <row r="7872" spans="1:11" ht="12.75">
      <c r="A7872" s="69">
        <f ca="1">IFERROR(__xludf.DUMMYFUNCTION("""COMPUTED_VALUE"""),109551)</f>
        <v>109551</v>
      </c>
      <c r="B7872" s="4">
        <f ca="1">IFERROR(__xludf.DUMMYFUNCTION("""COMPUTED_VALUE"""),44841)</f>
        <v>44841</v>
      </c>
      <c r="C7872" t="str">
        <f ca="1">IFERROR(__xludf.DUMMYFUNCTION("""COMPUTED_VALUE"""),"БУ Г. ОМСКА ""УДХБ"" 216-РДО от 03.10.2022")</f>
        <v>БУ Г. ОМСКА "УДХБ" 216-РДО от 03.10.2022</v>
      </c>
      <c r="D78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2" t="str">
        <f ca="1">IFERROR(__xludf.DUMMYFUNCTION("""COMPUTED_VALUE"""),"Новый")</f>
        <v>Новый</v>
      </c>
      <c r="G7872" s="68"/>
      <c r="K7872" s="68"/>
    </row>
    <row r="7873" spans="1:11" ht="12.75">
      <c r="A7873" s="69">
        <f ca="1">IFERROR(__xludf.DUMMYFUNCTION("""COMPUTED_VALUE"""),109552)</f>
        <v>109552</v>
      </c>
      <c r="B7873" s="4">
        <f ca="1">IFERROR(__xludf.DUMMYFUNCTION("""COMPUTED_VALUE"""),44841)</f>
        <v>44841</v>
      </c>
      <c r="C7873" t="str">
        <f ca="1">IFERROR(__xludf.DUMMYFUNCTION("""COMPUTED_VALUE"""),"БУ Г. ОМСКА ""УДХБ"" 216-РДО от 03.10.2022")</f>
        <v>БУ Г. ОМСКА "УДХБ" 216-РДО от 03.10.2022</v>
      </c>
      <c r="D78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3" t="str">
        <f ca="1">IFERROR(__xludf.DUMMYFUNCTION("""COMPUTED_VALUE"""),"Новый")</f>
        <v>Новый</v>
      </c>
      <c r="G7873" s="68"/>
      <c r="K7873" s="68"/>
    </row>
    <row r="7874" spans="1:11" ht="12.75">
      <c r="A7874" s="69">
        <f ca="1">IFERROR(__xludf.DUMMYFUNCTION("""COMPUTED_VALUE"""),109553)</f>
        <v>109553</v>
      </c>
      <c r="B7874" s="4">
        <f ca="1">IFERROR(__xludf.DUMMYFUNCTION("""COMPUTED_VALUE"""),44841)</f>
        <v>44841</v>
      </c>
      <c r="C7874" t="str">
        <f ca="1">IFERROR(__xludf.DUMMYFUNCTION("""COMPUTED_VALUE"""),"БУ Г. ОМСКА ""УДХБ"" 216-РДО от 03.10.2022")</f>
        <v>БУ Г. ОМСКА "УДХБ" 216-РДО от 03.10.2022</v>
      </c>
      <c r="D78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4" t="str">
        <f ca="1">IFERROR(__xludf.DUMMYFUNCTION("""COMPUTED_VALUE"""),"Новый")</f>
        <v>Новый</v>
      </c>
      <c r="G7874" s="68"/>
      <c r="K7874" s="68"/>
    </row>
    <row r="7875" spans="1:11" ht="12.75">
      <c r="A7875" s="69">
        <f ca="1">IFERROR(__xludf.DUMMYFUNCTION("""COMPUTED_VALUE"""),109554)</f>
        <v>109554</v>
      </c>
      <c r="B7875" s="4">
        <f ca="1">IFERROR(__xludf.DUMMYFUNCTION("""COMPUTED_VALUE"""),44841)</f>
        <v>44841</v>
      </c>
      <c r="C7875" t="str">
        <f ca="1">IFERROR(__xludf.DUMMYFUNCTION("""COMPUTED_VALUE"""),"БУ Г. ОМСКА ""УДХБ"" 216-РДО от 03.10.2022")</f>
        <v>БУ Г. ОМСКА "УДХБ" 216-РДО от 03.10.2022</v>
      </c>
      <c r="D78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5" t="str">
        <f ca="1">IFERROR(__xludf.DUMMYFUNCTION("""COMPUTED_VALUE"""),"Новый")</f>
        <v>Новый</v>
      </c>
      <c r="G7875" s="68"/>
      <c r="K7875" s="68"/>
    </row>
    <row r="7876" spans="1:11" ht="12.75">
      <c r="A7876" s="69">
        <f ca="1">IFERROR(__xludf.DUMMYFUNCTION("""COMPUTED_VALUE"""),109555)</f>
        <v>109555</v>
      </c>
      <c r="B7876" s="4">
        <f ca="1">IFERROR(__xludf.DUMMYFUNCTION("""COMPUTED_VALUE"""),44841)</f>
        <v>44841</v>
      </c>
      <c r="C7876" t="str">
        <f ca="1">IFERROR(__xludf.DUMMYFUNCTION("""COMPUTED_VALUE"""),"БУ Г. ОМСКА ""УДХБ"" 216-РДО от 03.10.2022")</f>
        <v>БУ Г. ОМСКА "УДХБ" 216-РДО от 03.10.2022</v>
      </c>
      <c r="D78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6" t="str">
        <f ca="1">IFERROR(__xludf.DUMMYFUNCTION("""COMPUTED_VALUE"""),"Новый")</f>
        <v>Новый</v>
      </c>
      <c r="G7876" s="68"/>
      <c r="K7876" s="68"/>
    </row>
    <row r="7877" spans="1:11" ht="12.75">
      <c r="A7877" s="69">
        <f ca="1">IFERROR(__xludf.DUMMYFUNCTION("""COMPUTED_VALUE"""),109556)</f>
        <v>109556</v>
      </c>
      <c r="B7877" s="4">
        <f ca="1">IFERROR(__xludf.DUMMYFUNCTION("""COMPUTED_VALUE"""),44841)</f>
        <v>44841</v>
      </c>
      <c r="C7877" t="str">
        <f ca="1">IFERROR(__xludf.DUMMYFUNCTION("""COMPUTED_VALUE"""),"БУ Г. ОМСКА ""УДХБ"" 216-РДО от 03.10.2022")</f>
        <v>БУ Г. ОМСКА "УДХБ" 216-РДО от 03.10.2022</v>
      </c>
      <c r="D78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7" t="str">
        <f ca="1">IFERROR(__xludf.DUMMYFUNCTION("""COMPUTED_VALUE"""),"Новый")</f>
        <v>Новый</v>
      </c>
      <c r="G7877" s="68"/>
      <c r="K7877" s="68"/>
    </row>
    <row r="7878" spans="1:11" ht="12.75">
      <c r="A7878" s="69">
        <f ca="1">IFERROR(__xludf.DUMMYFUNCTION("""COMPUTED_VALUE"""),109557)</f>
        <v>109557</v>
      </c>
      <c r="B7878" s="4">
        <f ca="1">IFERROR(__xludf.DUMMYFUNCTION("""COMPUTED_VALUE"""),44841)</f>
        <v>44841</v>
      </c>
      <c r="C7878" t="str">
        <f ca="1">IFERROR(__xludf.DUMMYFUNCTION("""COMPUTED_VALUE"""),"БУ Г. ОМСКА ""УДХБ"" 216-РДО от 03.10.2022")</f>
        <v>БУ Г. ОМСКА "УДХБ" 216-РДО от 03.10.2022</v>
      </c>
      <c r="D78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8" t="str">
        <f ca="1">IFERROR(__xludf.DUMMYFUNCTION("""COMPUTED_VALUE"""),"Новый")</f>
        <v>Новый</v>
      </c>
      <c r="G7878" s="68"/>
      <c r="K7878" s="68"/>
    </row>
    <row r="7879" spans="1:11" ht="12.75">
      <c r="A7879" s="69">
        <f ca="1">IFERROR(__xludf.DUMMYFUNCTION("""COMPUTED_VALUE"""),109558)</f>
        <v>109558</v>
      </c>
      <c r="B7879" s="4">
        <f ca="1">IFERROR(__xludf.DUMMYFUNCTION("""COMPUTED_VALUE"""),44841)</f>
        <v>44841</v>
      </c>
      <c r="C7879" t="str">
        <f ca="1">IFERROR(__xludf.DUMMYFUNCTION("""COMPUTED_VALUE"""),"БУ Г. ОМСКА ""УДХБ"" 216-РДО от 03.10.2022")</f>
        <v>БУ Г. ОМСКА "УДХБ" 216-РДО от 03.10.2022</v>
      </c>
      <c r="D78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79" t="str">
        <f ca="1">IFERROR(__xludf.DUMMYFUNCTION("""COMPUTED_VALUE"""),"Новый")</f>
        <v>Новый</v>
      </c>
      <c r="G7879" s="68"/>
      <c r="K7879" s="68"/>
    </row>
    <row r="7880" spans="1:11" ht="12.75">
      <c r="A7880" s="69">
        <f ca="1">IFERROR(__xludf.DUMMYFUNCTION("""COMPUTED_VALUE"""),109559)</f>
        <v>109559</v>
      </c>
      <c r="B7880" s="4">
        <f ca="1">IFERROR(__xludf.DUMMYFUNCTION("""COMPUTED_VALUE"""),44841)</f>
        <v>44841</v>
      </c>
      <c r="C7880" t="str">
        <f ca="1">IFERROR(__xludf.DUMMYFUNCTION("""COMPUTED_VALUE"""),"БУ Г. ОМСКА ""УДХБ"" 216-РДО от 03.10.2022")</f>
        <v>БУ Г. ОМСКА "УДХБ" 216-РДО от 03.10.2022</v>
      </c>
      <c r="D78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0" t="str">
        <f ca="1">IFERROR(__xludf.DUMMYFUNCTION("""COMPUTED_VALUE"""),"Новый")</f>
        <v>Новый</v>
      </c>
      <c r="G7880" s="68"/>
      <c r="K7880" s="68"/>
    </row>
    <row r="7881" spans="1:11" ht="12.75">
      <c r="A7881" s="69">
        <f ca="1">IFERROR(__xludf.DUMMYFUNCTION("""COMPUTED_VALUE"""),109560)</f>
        <v>109560</v>
      </c>
      <c r="B7881" s="4">
        <f ca="1">IFERROR(__xludf.DUMMYFUNCTION("""COMPUTED_VALUE"""),44841)</f>
        <v>44841</v>
      </c>
      <c r="C7881" t="str">
        <f ca="1">IFERROR(__xludf.DUMMYFUNCTION("""COMPUTED_VALUE"""),"БУ Г. ОМСКА ""УДХБ"" 216-РДО от 03.10.2022")</f>
        <v>БУ Г. ОМСКА "УДХБ" 216-РДО от 03.10.2022</v>
      </c>
      <c r="D78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1" t="str">
        <f ca="1">IFERROR(__xludf.DUMMYFUNCTION("""COMPUTED_VALUE"""),"Новый")</f>
        <v>Новый</v>
      </c>
      <c r="G7881" s="68"/>
      <c r="K7881" s="68"/>
    </row>
    <row r="7882" spans="1:11" ht="12.75">
      <c r="A7882" s="69">
        <f ca="1">IFERROR(__xludf.DUMMYFUNCTION("""COMPUTED_VALUE"""),109561)</f>
        <v>109561</v>
      </c>
      <c r="B7882" s="4">
        <f ca="1">IFERROR(__xludf.DUMMYFUNCTION("""COMPUTED_VALUE"""),44841)</f>
        <v>44841</v>
      </c>
      <c r="C7882" t="str">
        <f ca="1">IFERROR(__xludf.DUMMYFUNCTION("""COMPUTED_VALUE"""),"БУ Г. ОМСКА ""УДХБ"" 216-РДО от 03.10.2022")</f>
        <v>БУ Г. ОМСКА "УДХБ" 216-РДО от 03.10.2022</v>
      </c>
      <c r="D78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2" t="str">
        <f ca="1">IFERROR(__xludf.DUMMYFUNCTION("""COMPUTED_VALUE"""),"Новый")</f>
        <v>Новый</v>
      </c>
      <c r="G7882" s="68"/>
      <c r="K7882" s="68"/>
    </row>
    <row r="7883" spans="1:11" ht="12.75">
      <c r="A7883" s="69">
        <f ca="1">IFERROR(__xludf.DUMMYFUNCTION("""COMPUTED_VALUE"""),109562)</f>
        <v>109562</v>
      </c>
      <c r="B7883" s="4">
        <f ca="1">IFERROR(__xludf.DUMMYFUNCTION("""COMPUTED_VALUE"""),44841)</f>
        <v>44841</v>
      </c>
      <c r="C7883" t="str">
        <f ca="1">IFERROR(__xludf.DUMMYFUNCTION("""COMPUTED_VALUE"""),"БУ Г. ОМСКА ""УДХБ"" 216-РДО от 03.10.2022")</f>
        <v>БУ Г. ОМСКА "УДХБ" 216-РДО от 03.10.2022</v>
      </c>
      <c r="D78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3" t="str">
        <f ca="1">IFERROR(__xludf.DUMMYFUNCTION("""COMPUTED_VALUE"""),"Новый")</f>
        <v>Новый</v>
      </c>
      <c r="G7883" s="68"/>
      <c r="K7883" s="68"/>
    </row>
    <row r="7884" spans="1:11" ht="12.75">
      <c r="A7884" s="69">
        <f ca="1">IFERROR(__xludf.DUMMYFUNCTION("""COMPUTED_VALUE"""),109563)</f>
        <v>109563</v>
      </c>
      <c r="B7884" s="4">
        <f ca="1">IFERROR(__xludf.DUMMYFUNCTION("""COMPUTED_VALUE"""),44841)</f>
        <v>44841</v>
      </c>
      <c r="C7884" t="str">
        <f ca="1">IFERROR(__xludf.DUMMYFUNCTION("""COMPUTED_VALUE"""),"БУ Г. ОМСКА ""УДХБ"" 216-РДО от 03.10.2022")</f>
        <v>БУ Г. ОМСКА "УДХБ" 216-РДО от 03.10.2022</v>
      </c>
      <c r="D78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4" t="str">
        <f ca="1">IFERROR(__xludf.DUMMYFUNCTION("""COMPUTED_VALUE"""),"Новый")</f>
        <v>Новый</v>
      </c>
      <c r="G7884" s="68"/>
      <c r="K7884" s="68"/>
    </row>
    <row r="7885" spans="1:11" ht="12.75">
      <c r="A7885" s="69">
        <f ca="1">IFERROR(__xludf.DUMMYFUNCTION("""COMPUTED_VALUE"""),109564)</f>
        <v>109564</v>
      </c>
      <c r="B7885" s="4">
        <f ca="1">IFERROR(__xludf.DUMMYFUNCTION("""COMPUTED_VALUE"""),44841)</f>
        <v>44841</v>
      </c>
      <c r="C7885" t="str">
        <f ca="1">IFERROR(__xludf.DUMMYFUNCTION("""COMPUTED_VALUE"""),"БУ Г. ОМСКА ""УДХБ"" 216-РДО от 03.10.2022")</f>
        <v>БУ Г. ОМСКА "УДХБ" 216-РДО от 03.10.2022</v>
      </c>
      <c r="D78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5" t="str">
        <f ca="1">IFERROR(__xludf.DUMMYFUNCTION("""COMPUTED_VALUE"""),"Новый")</f>
        <v>Новый</v>
      </c>
      <c r="G7885" s="68"/>
      <c r="K7885" s="68"/>
    </row>
    <row r="7886" spans="1:11" ht="12.75">
      <c r="A7886" s="69">
        <f ca="1">IFERROR(__xludf.DUMMYFUNCTION("""COMPUTED_VALUE"""),109565)</f>
        <v>109565</v>
      </c>
      <c r="B7886" s="4">
        <f ca="1">IFERROR(__xludf.DUMMYFUNCTION("""COMPUTED_VALUE"""),44841)</f>
        <v>44841</v>
      </c>
      <c r="C7886" t="str">
        <f ca="1">IFERROR(__xludf.DUMMYFUNCTION("""COMPUTED_VALUE"""),"БУ Г. ОМСКА ""УДХБ"" 216-РДО от 03.10.2022")</f>
        <v>БУ Г. ОМСКА "УДХБ" 216-РДО от 03.10.2022</v>
      </c>
      <c r="D78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6" t="str">
        <f ca="1">IFERROR(__xludf.DUMMYFUNCTION("""COMPUTED_VALUE"""),"Новый")</f>
        <v>Новый</v>
      </c>
      <c r="G7886" s="68"/>
      <c r="K7886" s="68"/>
    </row>
    <row r="7887" spans="1:11" ht="12.75">
      <c r="A7887" s="69">
        <f ca="1">IFERROR(__xludf.DUMMYFUNCTION("""COMPUTED_VALUE"""),109566)</f>
        <v>109566</v>
      </c>
      <c r="B7887" s="4">
        <f ca="1">IFERROR(__xludf.DUMMYFUNCTION("""COMPUTED_VALUE"""),44841)</f>
        <v>44841</v>
      </c>
      <c r="C7887" t="str">
        <f ca="1">IFERROR(__xludf.DUMMYFUNCTION("""COMPUTED_VALUE"""),"БУ Г. ОМСКА ""УДХБ"" 216-РДО от 03.10.2022")</f>
        <v>БУ Г. ОМСКА "УДХБ" 216-РДО от 03.10.2022</v>
      </c>
      <c r="D78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7" t="str">
        <f ca="1">IFERROR(__xludf.DUMMYFUNCTION("""COMPUTED_VALUE"""),"Новый")</f>
        <v>Новый</v>
      </c>
      <c r="G7887" s="68"/>
      <c r="K7887" s="68"/>
    </row>
    <row r="7888" spans="1:11" ht="12.75">
      <c r="A7888" s="69">
        <f ca="1">IFERROR(__xludf.DUMMYFUNCTION("""COMPUTED_VALUE"""),109567)</f>
        <v>109567</v>
      </c>
      <c r="B7888" s="4">
        <f ca="1">IFERROR(__xludf.DUMMYFUNCTION("""COMPUTED_VALUE"""),44841)</f>
        <v>44841</v>
      </c>
      <c r="C7888" t="str">
        <f ca="1">IFERROR(__xludf.DUMMYFUNCTION("""COMPUTED_VALUE"""),"БУ Г. ОМСКА ""УДХБ"" 216-РДО от 03.10.2022")</f>
        <v>БУ Г. ОМСКА "УДХБ" 216-РДО от 03.10.2022</v>
      </c>
      <c r="D78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8" t="str">
        <f ca="1">IFERROR(__xludf.DUMMYFUNCTION("""COMPUTED_VALUE"""),"Новый")</f>
        <v>Новый</v>
      </c>
      <c r="G7888" s="68"/>
      <c r="K7888" s="68"/>
    </row>
    <row r="7889" spans="1:11" ht="12.75">
      <c r="A7889" s="69">
        <f ca="1">IFERROR(__xludf.DUMMYFUNCTION("""COMPUTED_VALUE"""),109568)</f>
        <v>109568</v>
      </c>
      <c r="B7889" s="4">
        <f ca="1">IFERROR(__xludf.DUMMYFUNCTION("""COMPUTED_VALUE"""),44841)</f>
        <v>44841</v>
      </c>
      <c r="C7889" t="str">
        <f ca="1">IFERROR(__xludf.DUMMYFUNCTION("""COMPUTED_VALUE"""),"БУ Г. ОМСКА ""УДХБ"" 216-РДО от 03.10.2022")</f>
        <v>БУ Г. ОМСКА "УДХБ" 216-РДО от 03.10.2022</v>
      </c>
      <c r="D78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89" t="str">
        <f ca="1">IFERROR(__xludf.DUMMYFUNCTION("""COMPUTED_VALUE"""),"Новый")</f>
        <v>Новый</v>
      </c>
      <c r="G7889" s="68"/>
      <c r="K7889" s="68"/>
    </row>
    <row r="7890" spans="1:11" ht="12.75">
      <c r="A7890" s="69">
        <f ca="1">IFERROR(__xludf.DUMMYFUNCTION("""COMPUTED_VALUE"""),109569)</f>
        <v>109569</v>
      </c>
      <c r="B7890" s="4">
        <f ca="1">IFERROR(__xludf.DUMMYFUNCTION("""COMPUTED_VALUE"""),44841)</f>
        <v>44841</v>
      </c>
      <c r="C7890" t="str">
        <f ca="1">IFERROR(__xludf.DUMMYFUNCTION("""COMPUTED_VALUE"""),"БУ Г. ОМСКА ""УДХБ"" 216-РДО от 03.10.2022")</f>
        <v>БУ Г. ОМСКА "УДХБ" 216-РДО от 03.10.2022</v>
      </c>
      <c r="D78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0" t="str">
        <f ca="1">IFERROR(__xludf.DUMMYFUNCTION("""COMPUTED_VALUE"""),"Новый")</f>
        <v>Новый</v>
      </c>
      <c r="G7890" s="68"/>
      <c r="K7890" s="68"/>
    </row>
    <row r="7891" spans="1:11" ht="12.75">
      <c r="A7891" s="69">
        <f ca="1">IFERROR(__xludf.DUMMYFUNCTION("""COMPUTED_VALUE"""),109570)</f>
        <v>109570</v>
      </c>
      <c r="B7891" s="4">
        <f ca="1">IFERROR(__xludf.DUMMYFUNCTION("""COMPUTED_VALUE"""),44841)</f>
        <v>44841</v>
      </c>
      <c r="C7891" t="str">
        <f ca="1">IFERROR(__xludf.DUMMYFUNCTION("""COMPUTED_VALUE"""),"БУ Г. ОМСКА ""УДХБ"" 216-РДО от 03.10.2022")</f>
        <v>БУ Г. ОМСКА "УДХБ" 216-РДО от 03.10.2022</v>
      </c>
      <c r="D78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1" t="str">
        <f ca="1">IFERROR(__xludf.DUMMYFUNCTION("""COMPUTED_VALUE"""),"Новый")</f>
        <v>Новый</v>
      </c>
      <c r="G7891" s="68"/>
      <c r="K7891" s="68"/>
    </row>
    <row r="7892" spans="1:11" ht="12.75">
      <c r="A7892" s="69">
        <f ca="1">IFERROR(__xludf.DUMMYFUNCTION("""COMPUTED_VALUE"""),109571)</f>
        <v>109571</v>
      </c>
      <c r="B7892" s="4">
        <f ca="1">IFERROR(__xludf.DUMMYFUNCTION("""COMPUTED_VALUE"""),44841)</f>
        <v>44841</v>
      </c>
      <c r="C7892" t="str">
        <f ca="1">IFERROR(__xludf.DUMMYFUNCTION("""COMPUTED_VALUE"""),"БУ Г. ОМСКА ""УДХБ"" 216-РДО от 03.10.2022")</f>
        <v>БУ Г. ОМСКА "УДХБ" 216-РДО от 03.10.2022</v>
      </c>
      <c r="D78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2" t="str">
        <f ca="1">IFERROR(__xludf.DUMMYFUNCTION("""COMPUTED_VALUE"""),"Новый")</f>
        <v>Новый</v>
      </c>
      <c r="G7892" s="68"/>
      <c r="K7892" s="68"/>
    </row>
    <row r="7893" spans="1:11" ht="12.75">
      <c r="A7893" s="69">
        <f ca="1">IFERROR(__xludf.DUMMYFUNCTION("""COMPUTED_VALUE"""),109572)</f>
        <v>109572</v>
      </c>
      <c r="B7893" s="4">
        <f ca="1">IFERROR(__xludf.DUMMYFUNCTION("""COMPUTED_VALUE"""),44841)</f>
        <v>44841</v>
      </c>
      <c r="C7893" t="str">
        <f ca="1">IFERROR(__xludf.DUMMYFUNCTION("""COMPUTED_VALUE"""),"БУ Г. ОМСКА ""УДХБ"" 216-РДО от 03.10.2022")</f>
        <v>БУ Г. ОМСКА "УДХБ" 216-РДО от 03.10.2022</v>
      </c>
      <c r="D78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3" t="str">
        <f ca="1">IFERROR(__xludf.DUMMYFUNCTION("""COMPUTED_VALUE"""),"Новый")</f>
        <v>Новый</v>
      </c>
      <c r="G7893" s="68"/>
      <c r="K7893" s="68"/>
    </row>
    <row r="7894" spans="1:11" ht="12.75">
      <c r="A7894" s="69">
        <f ca="1">IFERROR(__xludf.DUMMYFUNCTION("""COMPUTED_VALUE"""),109573)</f>
        <v>109573</v>
      </c>
      <c r="B7894" s="4">
        <f ca="1">IFERROR(__xludf.DUMMYFUNCTION("""COMPUTED_VALUE"""),44841)</f>
        <v>44841</v>
      </c>
      <c r="C7894" t="str">
        <f ca="1">IFERROR(__xludf.DUMMYFUNCTION("""COMPUTED_VALUE"""),"БУ Г. ОМСКА ""УДХБ"" 216-РДО от 03.10.2022")</f>
        <v>БУ Г. ОМСКА "УДХБ" 216-РДО от 03.10.2022</v>
      </c>
      <c r="D78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4" t="str">
        <f ca="1">IFERROR(__xludf.DUMMYFUNCTION("""COMPUTED_VALUE"""),"Новый")</f>
        <v>Новый</v>
      </c>
      <c r="G7894" s="68"/>
      <c r="K7894" s="68"/>
    </row>
    <row r="7895" spans="1:11" ht="12.75">
      <c r="A7895" s="69">
        <f ca="1">IFERROR(__xludf.DUMMYFUNCTION("""COMPUTED_VALUE"""),109574)</f>
        <v>109574</v>
      </c>
      <c r="B7895" s="4">
        <f ca="1">IFERROR(__xludf.DUMMYFUNCTION("""COMPUTED_VALUE"""),44841)</f>
        <v>44841</v>
      </c>
      <c r="C7895" t="str">
        <f ca="1">IFERROR(__xludf.DUMMYFUNCTION("""COMPUTED_VALUE"""),"БУ Г. ОМСКА ""УДХБ"" 216-РДО от 03.10.2022")</f>
        <v>БУ Г. ОМСКА "УДХБ" 216-РДО от 03.10.2022</v>
      </c>
      <c r="D78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5" t="str">
        <f ca="1">IFERROR(__xludf.DUMMYFUNCTION("""COMPUTED_VALUE"""),"Новый")</f>
        <v>Новый</v>
      </c>
      <c r="G7895" s="68"/>
      <c r="K7895" s="68"/>
    </row>
    <row r="7896" spans="1:11" ht="12.75">
      <c r="A7896" s="69">
        <f ca="1">IFERROR(__xludf.DUMMYFUNCTION("""COMPUTED_VALUE"""),109575)</f>
        <v>109575</v>
      </c>
      <c r="B7896" s="4">
        <f ca="1">IFERROR(__xludf.DUMMYFUNCTION("""COMPUTED_VALUE"""),44841)</f>
        <v>44841</v>
      </c>
      <c r="C7896" t="str">
        <f ca="1">IFERROR(__xludf.DUMMYFUNCTION("""COMPUTED_VALUE"""),"БУ Г. ОМСКА ""УДХБ"" 216-РДО от 03.10.2022")</f>
        <v>БУ Г. ОМСКА "УДХБ" 216-РДО от 03.10.2022</v>
      </c>
      <c r="D78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6" t="str">
        <f ca="1">IFERROR(__xludf.DUMMYFUNCTION("""COMPUTED_VALUE"""),"Новый")</f>
        <v>Новый</v>
      </c>
      <c r="G7896" s="68"/>
      <c r="K7896" s="68"/>
    </row>
    <row r="7897" spans="1:11" ht="12.75">
      <c r="A7897" s="69">
        <f ca="1">IFERROR(__xludf.DUMMYFUNCTION("""COMPUTED_VALUE"""),109576)</f>
        <v>109576</v>
      </c>
      <c r="B7897" s="4">
        <f ca="1">IFERROR(__xludf.DUMMYFUNCTION("""COMPUTED_VALUE"""),44841)</f>
        <v>44841</v>
      </c>
      <c r="C7897" t="str">
        <f ca="1">IFERROR(__xludf.DUMMYFUNCTION("""COMPUTED_VALUE"""),"БУ Г. ОМСКА ""УДХБ"" 216-РДО от 03.10.2022")</f>
        <v>БУ Г. ОМСКА "УДХБ" 216-РДО от 03.10.2022</v>
      </c>
      <c r="D78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7" t="str">
        <f ca="1">IFERROR(__xludf.DUMMYFUNCTION("""COMPUTED_VALUE"""),"Новый")</f>
        <v>Новый</v>
      </c>
      <c r="G7897" s="68"/>
      <c r="K7897" s="68"/>
    </row>
    <row r="7898" spans="1:11" ht="12.75">
      <c r="A7898" s="69">
        <f ca="1">IFERROR(__xludf.DUMMYFUNCTION("""COMPUTED_VALUE"""),109577)</f>
        <v>109577</v>
      </c>
      <c r="B7898" s="4">
        <f ca="1">IFERROR(__xludf.DUMMYFUNCTION("""COMPUTED_VALUE"""),44841)</f>
        <v>44841</v>
      </c>
      <c r="C7898" t="str">
        <f ca="1">IFERROR(__xludf.DUMMYFUNCTION("""COMPUTED_VALUE"""),"БУ Г. ОМСКА ""УДХБ"" 216-РДО от 03.10.2022")</f>
        <v>БУ Г. ОМСКА "УДХБ" 216-РДО от 03.10.2022</v>
      </c>
      <c r="D78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8" t="str">
        <f ca="1">IFERROR(__xludf.DUMMYFUNCTION("""COMPUTED_VALUE"""),"Новый")</f>
        <v>Новый</v>
      </c>
      <c r="G7898" s="68"/>
      <c r="K7898" s="68"/>
    </row>
    <row r="7899" spans="1:11" ht="12.75">
      <c r="A7899" s="69">
        <f ca="1">IFERROR(__xludf.DUMMYFUNCTION("""COMPUTED_VALUE"""),109578)</f>
        <v>109578</v>
      </c>
      <c r="B7899" s="4">
        <f ca="1">IFERROR(__xludf.DUMMYFUNCTION("""COMPUTED_VALUE"""),44841)</f>
        <v>44841</v>
      </c>
      <c r="C7899" t="str">
        <f ca="1">IFERROR(__xludf.DUMMYFUNCTION("""COMPUTED_VALUE"""),"БУ Г. ОМСКА ""УДХБ"" 216-РДО от 03.10.2022")</f>
        <v>БУ Г. ОМСКА "УДХБ" 216-РДО от 03.10.2022</v>
      </c>
      <c r="D78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899" t="str">
        <f ca="1">IFERROR(__xludf.DUMMYFUNCTION("""COMPUTED_VALUE"""),"Новый")</f>
        <v>Новый</v>
      </c>
      <c r="G7899" s="68"/>
      <c r="K7899" s="68"/>
    </row>
    <row r="7900" spans="1:11" ht="12.75">
      <c r="A7900" s="69">
        <f ca="1">IFERROR(__xludf.DUMMYFUNCTION("""COMPUTED_VALUE"""),109579)</f>
        <v>109579</v>
      </c>
      <c r="B7900" s="4">
        <f ca="1">IFERROR(__xludf.DUMMYFUNCTION("""COMPUTED_VALUE"""),44841)</f>
        <v>44841</v>
      </c>
      <c r="C7900" t="str">
        <f ca="1">IFERROR(__xludf.DUMMYFUNCTION("""COMPUTED_VALUE"""),"БУ Г. ОМСКА ""УДХБ"" 216-РДО от 03.10.2022")</f>
        <v>БУ Г. ОМСКА "УДХБ" 216-РДО от 03.10.2022</v>
      </c>
      <c r="D79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0" t="str">
        <f ca="1">IFERROR(__xludf.DUMMYFUNCTION("""COMPUTED_VALUE"""),"Новый")</f>
        <v>Новый</v>
      </c>
      <c r="G7900" s="68"/>
      <c r="K7900" s="68"/>
    </row>
    <row r="7901" spans="1:11" ht="12.75">
      <c r="A7901" s="69">
        <f ca="1">IFERROR(__xludf.DUMMYFUNCTION("""COMPUTED_VALUE"""),109580)</f>
        <v>109580</v>
      </c>
      <c r="B7901" s="4">
        <f ca="1">IFERROR(__xludf.DUMMYFUNCTION("""COMPUTED_VALUE"""),44841)</f>
        <v>44841</v>
      </c>
      <c r="C7901" t="str">
        <f ca="1">IFERROR(__xludf.DUMMYFUNCTION("""COMPUTED_VALUE"""),"БУ Г. ОМСКА ""УДХБ"" 216-РДО от 03.10.2022")</f>
        <v>БУ Г. ОМСКА "УДХБ" 216-РДО от 03.10.2022</v>
      </c>
      <c r="D79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1" t="str">
        <f ca="1">IFERROR(__xludf.DUMMYFUNCTION("""COMPUTED_VALUE"""),"Новый")</f>
        <v>Новый</v>
      </c>
      <c r="G7901" s="68"/>
      <c r="K7901" s="68"/>
    </row>
    <row r="7902" spans="1:11" ht="12.75">
      <c r="A7902" s="69">
        <f ca="1">IFERROR(__xludf.DUMMYFUNCTION("""COMPUTED_VALUE"""),109581)</f>
        <v>109581</v>
      </c>
      <c r="B7902" s="4">
        <f ca="1">IFERROR(__xludf.DUMMYFUNCTION("""COMPUTED_VALUE"""),44841)</f>
        <v>44841</v>
      </c>
      <c r="C7902" t="str">
        <f ca="1">IFERROR(__xludf.DUMMYFUNCTION("""COMPUTED_VALUE"""),"БУ Г. ОМСКА ""УДХБ"" 216-РДО от 03.10.2022")</f>
        <v>БУ Г. ОМСКА "УДХБ" 216-РДО от 03.10.2022</v>
      </c>
      <c r="D79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2" t="str">
        <f ca="1">IFERROR(__xludf.DUMMYFUNCTION("""COMPUTED_VALUE"""),"Новый")</f>
        <v>Новый</v>
      </c>
      <c r="G7902" s="68"/>
      <c r="K7902" s="68"/>
    </row>
    <row r="7903" spans="1:11" ht="12.75">
      <c r="A7903" s="69">
        <f ca="1">IFERROR(__xludf.DUMMYFUNCTION("""COMPUTED_VALUE"""),109582)</f>
        <v>109582</v>
      </c>
      <c r="B7903" s="4">
        <f ca="1">IFERROR(__xludf.DUMMYFUNCTION("""COMPUTED_VALUE"""),44841)</f>
        <v>44841</v>
      </c>
      <c r="C7903" t="str">
        <f ca="1">IFERROR(__xludf.DUMMYFUNCTION("""COMPUTED_VALUE"""),"БУ Г. ОМСКА ""УДХБ"" 216-РДО от 03.10.2022")</f>
        <v>БУ Г. ОМСКА "УДХБ" 216-РДО от 03.10.2022</v>
      </c>
      <c r="D79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3" t="str">
        <f ca="1">IFERROR(__xludf.DUMMYFUNCTION("""COMPUTED_VALUE"""),"Новый")</f>
        <v>Новый</v>
      </c>
      <c r="G7903" s="68"/>
      <c r="K7903" s="68"/>
    </row>
    <row r="7904" spans="1:11" ht="12.75">
      <c r="A7904" s="69">
        <f ca="1">IFERROR(__xludf.DUMMYFUNCTION("""COMPUTED_VALUE"""),109583)</f>
        <v>109583</v>
      </c>
      <c r="B7904" s="4">
        <f ca="1">IFERROR(__xludf.DUMMYFUNCTION("""COMPUTED_VALUE"""),44841)</f>
        <v>44841</v>
      </c>
      <c r="C7904" t="str">
        <f ca="1">IFERROR(__xludf.DUMMYFUNCTION("""COMPUTED_VALUE"""),"БУ Г. ОМСКА ""УДХБ"" 216-РДО от 03.10.2022")</f>
        <v>БУ Г. ОМСКА "УДХБ" 216-РДО от 03.10.2022</v>
      </c>
      <c r="D79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4" t="str">
        <f ca="1">IFERROR(__xludf.DUMMYFUNCTION("""COMPUTED_VALUE"""),"Новый")</f>
        <v>Новый</v>
      </c>
      <c r="G7904" s="68"/>
      <c r="K7904" s="68"/>
    </row>
    <row r="7905" spans="1:11" ht="12.75">
      <c r="A7905" s="69">
        <f ca="1">IFERROR(__xludf.DUMMYFUNCTION("""COMPUTED_VALUE"""),109584)</f>
        <v>109584</v>
      </c>
      <c r="B7905" s="4">
        <f ca="1">IFERROR(__xludf.DUMMYFUNCTION("""COMPUTED_VALUE"""),44841)</f>
        <v>44841</v>
      </c>
      <c r="C7905" t="str">
        <f ca="1">IFERROR(__xludf.DUMMYFUNCTION("""COMPUTED_VALUE"""),"БУ Г. ОМСКА ""УДХБ"" 216-РДО от 03.10.2022")</f>
        <v>БУ Г. ОМСКА "УДХБ" 216-РДО от 03.10.2022</v>
      </c>
      <c r="D79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5" t="str">
        <f ca="1">IFERROR(__xludf.DUMMYFUNCTION("""COMPUTED_VALUE"""),"Новый")</f>
        <v>Новый</v>
      </c>
      <c r="G7905" s="68"/>
      <c r="K7905" s="68"/>
    </row>
    <row r="7906" spans="1:11" ht="12.75">
      <c r="A7906" s="69">
        <f ca="1">IFERROR(__xludf.DUMMYFUNCTION("""COMPUTED_VALUE"""),109585)</f>
        <v>109585</v>
      </c>
      <c r="B7906" s="4">
        <f ca="1">IFERROR(__xludf.DUMMYFUNCTION("""COMPUTED_VALUE"""),44841)</f>
        <v>44841</v>
      </c>
      <c r="C7906" t="str">
        <f ca="1">IFERROR(__xludf.DUMMYFUNCTION("""COMPUTED_VALUE"""),"БУ Г. ОМСКА ""УДХБ"" 216-РДО от 03.10.2022")</f>
        <v>БУ Г. ОМСКА "УДХБ" 216-РДО от 03.10.2022</v>
      </c>
      <c r="D79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6" t="str">
        <f ca="1">IFERROR(__xludf.DUMMYFUNCTION("""COMPUTED_VALUE"""),"Новый")</f>
        <v>Новый</v>
      </c>
      <c r="G7906" s="68"/>
      <c r="K7906" s="68"/>
    </row>
    <row r="7907" spans="1:11" ht="12.75">
      <c r="A7907" s="69">
        <f ca="1">IFERROR(__xludf.DUMMYFUNCTION("""COMPUTED_VALUE"""),109586)</f>
        <v>109586</v>
      </c>
      <c r="B7907" s="4">
        <f ca="1">IFERROR(__xludf.DUMMYFUNCTION("""COMPUTED_VALUE"""),44841)</f>
        <v>44841</v>
      </c>
      <c r="C7907" t="str">
        <f ca="1">IFERROR(__xludf.DUMMYFUNCTION("""COMPUTED_VALUE"""),"БУ Г. ОМСКА ""УДХБ"" 216-РДО от 03.10.2022")</f>
        <v>БУ Г. ОМСКА "УДХБ" 216-РДО от 03.10.2022</v>
      </c>
      <c r="D79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7" t="str">
        <f ca="1">IFERROR(__xludf.DUMMYFUNCTION("""COMPUTED_VALUE"""),"Новый")</f>
        <v>Новый</v>
      </c>
      <c r="G7907" s="68"/>
      <c r="K7907" s="68"/>
    </row>
    <row r="7908" spans="1:11" ht="12.75">
      <c r="A7908" s="69">
        <f ca="1">IFERROR(__xludf.DUMMYFUNCTION("""COMPUTED_VALUE"""),109587)</f>
        <v>109587</v>
      </c>
      <c r="B7908" s="4">
        <f ca="1">IFERROR(__xludf.DUMMYFUNCTION("""COMPUTED_VALUE"""),44841)</f>
        <v>44841</v>
      </c>
      <c r="C7908" t="str">
        <f ca="1">IFERROR(__xludf.DUMMYFUNCTION("""COMPUTED_VALUE"""),"БУ Г. ОМСКА ""УДХБ"" 216-РДО от 03.10.2022")</f>
        <v>БУ Г. ОМСКА "УДХБ" 216-РДО от 03.10.2022</v>
      </c>
      <c r="D79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8" t="str">
        <f ca="1">IFERROR(__xludf.DUMMYFUNCTION("""COMPUTED_VALUE"""),"Новый")</f>
        <v>Новый</v>
      </c>
      <c r="G7908" s="68"/>
      <c r="K7908" s="68"/>
    </row>
    <row r="7909" spans="1:11" ht="12.75">
      <c r="A7909" s="69">
        <f ca="1">IFERROR(__xludf.DUMMYFUNCTION("""COMPUTED_VALUE"""),109588)</f>
        <v>109588</v>
      </c>
      <c r="B7909" s="4">
        <f ca="1">IFERROR(__xludf.DUMMYFUNCTION("""COMPUTED_VALUE"""),44841)</f>
        <v>44841</v>
      </c>
      <c r="C7909" t="str">
        <f ca="1">IFERROR(__xludf.DUMMYFUNCTION("""COMPUTED_VALUE"""),"БУ Г. ОМСКА ""УДХБ"" 216-РДО от 03.10.2022")</f>
        <v>БУ Г. ОМСКА "УДХБ" 216-РДО от 03.10.2022</v>
      </c>
      <c r="D79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09" t="str">
        <f ca="1">IFERROR(__xludf.DUMMYFUNCTION("""COMPUTED_VALUE"""),"Новый")</f>
        <v>Новый</v>
      </c>
      <c r="G7909" s="68"/>
      <c r="K7909" s="68"/>
    </row>
    <row r="7910" spans="1:11" ht="12.75">
      <c r="A7910" s="69">
        <f ca="1">IFERROR(__xludf.DUMMYFUNCTION("""COMPUTED_VALUE"""),109589)</f>
        <v>109589</v>
      </c>
      <c r="B7910" s="4">
        <f ca="1">IFERROR(__xludf.DUMMYFUNCTION("""COMPUTED_VALUE"""),44841)</f>
        <v>44841</v>
      </c>
      <c r="C7910" t="str">
        <f ca="1">IFERROR(__xludf.DUMMYFUNCTION("""COMPUTED_VALUE"""),"БУ Г. ОМСКА ""УДХБ"" 216-РДО от 03.10.2022")</f>
        <v>БУ Г. ОМСКА "УДХБ" 216-РДО от 03.10.2022</v>
      </c>
      <c r="D79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0" t="str">
        <f ca="1">IFERROR(__xludf.DUMMYFUNCTION("""COMPUTED_VALUE"""),"Новый")</f>
        <v>Новый</v>
      </c>
      <c r="G7910" s="68"/>
      <c r="K7910" s="68"/>
    </row>
    <row r="7911" spans="1:11" ht="12.75">
      <c r="A7911" s="69">
        <f ca="1">IFERROR(__xludf.DUMMYFUNCTION("""COMPUTED_VALUE"""),109590)</f>
        <v>109590</v>
      </c>
      <c r="B7911" s="4">
        <f ca="1">IFERROR(__xludf.DUMMYFUNCTION("""COMPUTED_VALUE"""),44841)</f>
        <v>44841</v>
      </c>
      <c r="C7911" t="str">
        <f ca="1">IFERROR(__xludf.DUMMYFUNCTION("""COMPUTED_VALUE"""),"БУ Г. ОМСКА ""УДХБ"" 216-РДО от 03.10.2022")</f>
        <v>БУ Г. ОМСКА "УДХБ" 216-РДО от 03.10.2022</v>
      </c>
      <c r="D79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1" t="str">
        <f ca="1">IFERROR(__xludf.DUMMYFUNCTION("""COMPUTED_VALUE"""),"Новый")</f>
        <v>Новый</v>
      </c>
      <c r="G7911" s="68"/>
      <c r="K7911" s="68"/>
    </row>
    <row r="7912" spans="1:11" ht="12.75">
      <c r="A7912" s="69">
        <f ca="1">IFERROR(__xludf.DUMMYFUNCTION("""COMPUTED_VALUE"""),109591)</f>
        <v>109591</v>
      </c>
      <c r="B7912" s="4">
        <f ca="1">IFERROR(__xludf.DUMMYFUNCTION("""COMPUTED_VALUE"""),44841)</f>
        <v>44841</v>
      </c>
      <c r="C7912" t="str">
        <f ca="1">IFERROR(__xludf.DUMMYFUNCTION("""COMPUTED_VALUE"""),"БУ Г. ОМСКА ""УДХБ"" 216-РДО от 03.10.2022")</f>
        <v>БУ Г. ОМСКА "УДХБ" 216-РДО от 03.10.2022</v>
      </c>
      <c r="D79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2" t="str">
        <f ca="1">IFERROR(__xludf.DUMMYFUNCTION("""COMPUTED_VALUE"""),"Новый")</f>
        <v>Новый</v>
      </c>
      <c r="G7912" s="68"/>
      <c r="K7912" s="68"/>
    </row>
    <row r="7913" spans="1:11" ht="12.75">
      <c r="A7913" s="69">
        <f ca="1">IFERROR(__xludf.DUMMYFUNCTION("""COMPUTED_VALUE"""),109592)</f>
        <v>109592</v>
      </c>
      <c r="B7913" s="4">
        <f ca="1">IFERROR(__xludf.DUMMYFUNCTION("""COMPUTED_VALUE"""),44841)</f>
        <v>44841</v>
      </c>
      <c r="C7913" t="str">
        <f ca="1">IFERROR(__xludf.DUMMYFUNCTION("""COMPUTED_VALUE"""),"БУ Г. ОМСКА ""УДХБ"" 216-РДО от 03.10.2022")</f>
        <v>БУ Г. ОМСКА "УДХБ" 216-РДО от 03.10.2022</v>
      </c>
      <c r="D79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3" t="str">
        <f ca="1">IFERROR(__xludf.DUMMYFUNCTION("""COMPUTED_VALUE"""),"Новый")</f>
        <v>Новый</v>
      </c>
      <c r="G7913" s="68"/>
      <c r="K7913" s="68"/>
    </row>
    <row r="7914" spans="1:11" ht="12.75">
      <c r="A7914" s="69">
        <f ca="1">IFERROR(__xludf.DUMMYFUNCTION("""COMPUTED_VALUE"""),109593)</f>
        <v>109593</v>
      </c>
      <c r="B7914" s="4">
        <f ca="1">IFERROR(__xludf.DUMMYFUNCTION("""COMPUTED_VALUE"""),44841)</f>
        <v>44841</v>
      </c>
      <c r="C7914" t="str">
        <f ca="1">IFERROR(__xludf.DUMMYFUNCTION("""COMPUTED_VALUE"""),"БУ Г. ОМСКА ""УДХБ"" 216-РДО от 03.10.2022")</f>
        <v>БУ Г. ОМСКА "УДХБ" 216-РДО от 03.10.2022</v>
      </c>
      <c r="D79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4" t="str">
        <f ca="1">IFERROR(__xludf.DUMMYFUNCTION("""COMPUTED_VALUE"""),"Новый")</f>
        <v>Новый</v>
      </c>
      <c r="G7914" s="68"/>
      <c r="K7914" s="68"/>
    </row>
    <row r="7915" spans="1:11" ht="12.75">
      <c r="A7915" s="69">
        <f ca="1">IFERROR(__xludf.DUMMYFUNCTION("""COMPUTED_VALUE"""),109594)</f>
        <v>109594</v>
      </c>
      <c r="B7915" s="4">
        <f ca="1">IFERROR(__xludf.DUMMYFUNCTION("""COMPUTED_VALUE"""),44841)</f>
        <v>44841</v>
      </c>
      <c r="C7915" t="str">
        <f ca="1">IFERROR(__xludf.DUMMYFUNCTION("""COMPUTED_VALUE"""),"БУ Г. ОМСКА ""УДХБ"" 216-РДО от 03.10.2022")</f>
        <v>БУ Г. ОМСКА "УДХБ" 216-РДО от 03.10.2022</v>
      </c>
      <c r="D79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5" t="str">
        <f ca="1">IFERROR(__xludf.DUMMYFUNCTION("""COMPUTED_VALUE"""),"Новый")</f>
        <v>Новый</v>
      </c>
      <c r="G7915" s="68"/>
      <c r="K7915" s="68"/>
    </row>
    <row r="7916" spans="1:11" ht="12.75">
      <c r="A7916" s="69">
        <f ca="1">IFERROR(__xludf.DUMMYFUNCTION("""COMPUTED_VALUE"""),109595)</f>
        <v>109595</v>
      </c>
      <c r="B7916" s="4">
        <f ca="1">IFERROR(__xludf.DUMMYFUNCTION("""COMPUTED_VALUE"""),44841)</f>
        <v>44841</v>
      </c>
      <c r="C7916" t="str">
        <f ca="1">IFERROR(__xludf.DUMMYFUNCTION("""COMPUTED_VALUE"""),"БУ Г. ОМСКА ""УДХБ"" 216-РДО от 03.10.2022")</f>
        <v>БУ Г. ОМСКА "УДХБ" 216-РДО от 03.10.2022</v>
      </c>
      <c r="D79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6" t="str">
        <f ca="1">IFERROR(__xludf.DUMMYFUNCTION("""COMPUTED_VALUE"""),"Новый")</f>
        <v>Новый</v>
      </c>
      <c r="G7916" s="68"/>
      <c r="K7916" s="68"/>
    </row>
    <row r="7917" spans="1:11" ht="12.75">
      <c r="A7917" s="69">
        <f ca="1">IFERROR(__xludf.DUMMYFUNCTION("""COMPUTED_VALUE"""),109596)</f>
        <v>109596</v>
      </c>
      <c r="B7917" s="4">
        <f ca="1">IFERROR(__xludf.DUMMYFUNCTION("""COMPUTED_VALUE"""),44841)</f>
        <v>44841</v>
      </c>
      <c r="C7917" t="str">
        <f ca="1">IFERROR(__xludf.DUMMYFUNCTION("""COMPUTED_VALUE"""),"БУ Г. ОМСКА ""УДХБ"" 216-РДО от 03.10.2022")</f>
        <v>БУ Г. ОМСКА "УДХБ" 216-РДО от 03.10.2022</v>
      </c>
      <c r="D79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7" t="str">
        <f ca="1">IFERROR(__xludf.DUMMYFUNCTION("""COMPUTED_VALUE"""),"Новый")</f>
        <v>Новый</v>
      </c>
      <c r="G7917" s="68"/>
      <c r="K7917" s="68"/>
    </row>
    <row r="7918" spans="1:11" ht="12.75">
      <c r="A7918" s="69">
        <f ca="1">IFERROR(__xludf.DUMMYFUNCTION("""COMPUTED_VALUE"""),109597)</f>
        <v>109597</v>
      </c>
      <c r="B7918" s="4">
        <f ca="1">IFERROR(__xludf.DUMMYFUNCTION("""COMPUTED_VALUE"""),44841)</f>
        <v>44841</v>
      </c>
      <c r="C7918" t="str">
        <f ca="1">IFERROR(__xludf.DUMMYFUNCTION("""COMPUTED_VALUE"""),"БУ Г. ОМСКА ""УДХБ"" 216-РДО от 03.10.2022")</f>
        <v>БУ Г. ОМСКА "УДХБ" 216-РДО от 03.10.2022</v>
      </c>
      <c r="D79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8" t="str">
        <f ca="1">IFERROR(__xludf.DUMMYFUNCTION("""COMPUTED_VALUE"""),"Новый")</f>
        <v>Новый</v>
      </c>
      <c r="G7918" s="68"/>
      <c r="K7918" s="68"/>
    </row>
    <row r="7919" spans="1:11" ht="12.75">
      <c r="A7919" s="69">
        <f ca="1">IFERROR(__xludf.DUMMYFUNCTION("""COMPUTED_VALUE"""),109598)</f>
        <v>109598</v>
      </c>
      <c r="B7919" s="4">
        <f ca="1">IFERROR(__xludf.DUMMYFUNCTION("""COMPUTED_VALUE"""),44841)</f>
        <v>44841</v>
      </c>
      <c r="C7919" t="str">
        <f ca="1">IFERROR(__xludf.DUMMYFUNCTION("""COMPUTED_VALUE"""),"БУ Г. ОМСКА ""УДХБ"" 216-РДО от 03.10.2022")</f>
        <v>БУ Г. ОМСКА "УДХБ" 216-РДО от 03.10.2022</v>
      </c>
      <c r="D79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19" t="str">
        <f ca="1">IFERROR(__xludf.DUMMYFUNCTION("""COMPUTED_VALUE"""),"Новый")</f>
        <v>Новый</v>
      </c>
      <c r="G7919" s="68"/>
      <c r="K7919" s="68"/>
    </row>
    <row r="7920" spans="1:11" ht="12.75">
      <c r="A7920" s="69">
        <f ca="1">IFERROR(__xludf.DUMMYFUNCTION("""COMPUTED_VALUE"""),109599)</f>
        <v>109599</v>
      </c>
      <c r="B7920" s="4">
        <f ca="1">IFERROR(__xludf.DUMMYFUNCTION("""COMPUTED_VALUE"""),44841)</f>
        <v>44841</v>
      </c>
      <c r="C7920" t="str">
        <f ca="1">IFERROR(__xludf.DUMMYFUNCTION("""COMPUTED_VALUE"""),"БУ Г. ОМСКА ""УДХБ"" 216-РДО от 03.10.2022")</f>
        <v>БУ Г. ОМСКА "УДХБ" 216-РДО от 03.10.2022</v>
      </c>
      <c r="D79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0" t="str">
        <f ca="1">IFERROR(__xludf.DUMMYFUNCTION("""COMPUTED_VALUE"""),"Новый")</f>
        <v>Новый</v>
      </c>
      <c r="G7920" s="68"/>
      <c r="K7920" s="68"/>
    </row>
    <row r="7921" spans="1:11" ht="12.75">
      <c r="A7921" s="69">
        <f ca="1">IFERROR(__xludf.DUMMYFUNCTION("""COMPUTED_VALUE"""),109600)</f>
        <v>109600</v>
      </c>
      <c r="B7921" s="4">
        <f ca="1">IFERROR(__xludf.DUMMYFUNCTION("""COMPUTED_VALUE"""),44841)</f>
        <v>44841</v>
      </c>
      <c r="C7921" t="str">
        <f ca="1">IFERROR(__xludf.DUMMYFUNCTION("""COMPUTED_VALUE"""),"БУ Г. ОМСКА ""УДХБ"" 216-РДО от 03.10.2022")</f>
        <v>БУ Г. ОМСКА "УДХБ" 216-РДО от 03.10.2022</v>
      </c>
      <c r="D79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1" t="str">
        <f ca="1">IFERROR(__xludf.DUMMYFUNCTION("""COMPUTED_VALUE"""),"Новый")</f>
        <v>Новый</v>
      </c>
      <c r="G7921" s="68"/>
      <c r="K7921" s="68"/>
    </row>
    <row r="7922" spans="1:11" ht="12.75">
      <c r="A7922" s="69">
        <f ca="1">IFERROR(__xludf.DUMMYFUNCTION("""COMPUTED_VALUE"""),109601)</f>
        <v>109601</v>
      </c>
      <c r="B7922" s="4">
        <f ca="1">IFERROR(__xludf.DUMMYFUNCTION("""COMPUTED_VALUE"""),44841)</f>
        <v>44841</v>
      </c>
      <c r="C7922" t="str">
        <f ca="1">IFERROR(__xludf.DUMMYFUNCTION("""COMPUTED_VALUE"""),"БУ Г. ОМСКА ""УДХБ"" 216-РДО от 03.10.2022")</f>
        <v>БУ Г. ОМСКА "УДХБ" 216-РДО от 03.10.2022</v>
      </c>
      <c r="D79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2" t="str">
        <f ca="1">IFERROR(__xludf.DUMMYFUNCTION("""COMPUTED_VALUE"""),"Новый")</f>
        <v>Новый</v>
      </c>
      <c r="G7922" s="68"/>
      <c r="K7922" s="68"/>
    </row>
    <row r="7923" spans="1:11" ht="12.75">
      <c r="A7923" s="69">
        <f ca="1">IFERROR(__xludf.DUMMYFUNCTION("""COMPUTED_VALUE"""),109602)</f>
        <v>109602</v>
      </c>
      <c r="B7923" s="4">
        <f ca="1">IFERROR(__xludf.DUMMYFUNCTION("""COMPUTED_VALUE"""),44841)</f>
        <v>44841</v>
      </c>
      <c r="C7923" t="str">
        <f ca="1">IFERROR(__xludf.DUMMYFUNCTION("""COMPUTED_VALUE"""),"БУ Г. ОМСКА ""УДХБ"" 216-РДО от 03.10.2022")</f>
        <v>БУ Г. ОМСКА "УДХБ" 216-РДО от 03.10.2022</v>
      </c>
      <c r="D79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3" t="str">
        <f ca="1">IFERROR(__xludf.DUMMYFUNCTION("""COMPUTED_VALUE"""),"Новый")</f>
        <v>Новый</v>
      </c>
      <c r="G7923" s="68"/>
      <c r="K7923" s="68"/>
    </row>
    <row r="7924" spans="1:11" ht="12.75">
      <c r="A7924" s="69">
        <f ca="1">IFERROR(__xludf.DUMMYFUNCTION("""COMPUTED_VALUE"""),109603)</f>
        <v>109603</v>
      </c>
      <c r="B7924" s="4">
        <f ca="1">IFERROR(__xludf.DUMMYFUNCTION("""COMPUTED_VALUE"""),44841)</f>
        <v>44841</v>
      </c>
      <c r="C7924" t="str">
        <f ca="1">IFERROR(__xludf.DUMMYFUNCTION("""COMPUTED_VALUE"""),"БУ Г. ОМСКА ""УДХБ"" 216-РДО от 03.10.2022")</f>
        <v>БУ Г. ОМСКА "УДХБ" 216-РДО от 03.10.2022</v>
      </c>
      <c r="D79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4" t="str">
        <f ca="1">IFERROR(__xludf.DUMMYFUNCTION("""COMPUTED_VALUE"""),"Новый")</f>
        <v>Новый</v>
      </c>
      <c r="G7924" s="68"/>
      <c r="K7924" s="68"/>
    </row>
    <row r="7925" spans="1:11" ht="12.75">
      <c r="A7925" s="69">
        <f ca="1">IFERROR(__xludf.DUMMYFUNCTION("""COMPUTED_VALUE"""),109604)</f>
        <v>109604</v>
      </c>
      <c r="B7925" s="4">
        <f ca="1">IFERROR(__xludf.DUMMYFUNCTION("""COMPUTED_VALUE"""),44841)</f>
        <v>44841</v>
      </c>
      <c r="C7925" t="str">
        <f ca="1">IFERROR(__xludf.DUMMYFUNCTION("""COMPUTED_VALUE"""),"БУ Г. ОМСКА ""УДХБ"" 216-РДО от 03.10.2022")</f>
        <v>БУ Г. ОМСКА "УДХБ" 216-РДО от 03.10.2022</v>
      </c>
      <c r="D79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5" t="str">
        <f ca="1">IFERROR(__xludf.DUMMYFUNCTION("""COMPUTED_VALUE"""),"Новый")</f>
        <v>Новый</v>
      </c>
      <c r="G7925" s="68"/>
      <c r="K7925" s="68"/>
    </row>
    <row r="7926" spans="1:11" ht="12.75">
      <c r="A7926" s="69">
        <f ca="1">IFERROR(__xludf.DUMMYFUNCTION("""COMPUTED_VALUE"""),109605)</f>
        <v>109605</v>
      </c>
      <c r="B7926" s="4">
        <f ca="1">IFERROR(__xludf.DUMMYFUNCTION("""COMPUTED_VALUE"""),44841)</f>
        <v>44841</v>
      </c>
      <c r="C7926" t="str">
        <f ca="1">IFERROR(__xludf.DUMMYFUNCTION("""COMPUTED_VALUE"""),"БУ Г. ОМСКА ""УДХБ"" 216-РДО от 03.10.2022")</f>
        <v>БУ Г. ОМСКА "УДХБ" 216-РДО от 03.10.2022</v>
      </c>
      <c r="D79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6" t="str">
        <f ca="1">IFERROR(__xludf.DUMMYFUNCTION("""COMPUTED_VALUE"""),"Новый")</f>
        <v>Новый</v>
      </c>
      <c r="G7926" s="68"/>
      <c r="K7926" s="68"/>
    </row>
    <row r="7927" spans="1:11" ht="12.75">
      <c r="A7927" s="69">
        <f ca="1">IFERROR(__xludf.DUMMYFUNCTION("""COMPUTED_VALUE"""),109606)</f>
        <v>109606</v>
      </c>
      <c r="B7927" s="4">
        <f ca="1">IFERROR(__xludf.DUMMYFUNCTION("""COMPUTED_VALUE"""),44841)</f>
        <v>44841</v>
      </c>
      <c r="C7927" t="str">
        <f ca="1">IFERROR(__xludf.DUMMYFUNCTION("""COMPUTED_VALUE"""),"БУ Г. ОМСКА ""УДХБ"" 216-РДО от 03.10.2022")</f>
        <v>БУ Г. ОМСКА "УДХБ" 216-РДО от 03.10.2022</v>
      </c>
      <c r="D79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7" t="str">
        <f ca="1">IFERROR(__xludf.DUMMYFUNCTION("""COMPUTED_VALUE"""),"Новый")</f>
        <v>Новый</v>
      </c>
      <c r="G7927" s="68"/>
      <c r="K7927" s="68"/>
    </row>
    <row r="7928" spans="1:11" ht="12.75">
      <c r="A7928" s="69">
        <f ca="1">IFERROR(__xludf.DUMMYFUNCTION("""COMPUTED_VALUE"""),109607)</f>
        <v>109607</v>
      </c>
      <c r="B7928" s="4">
        <f ca="1">IFERROR(__xludf.DUMMYFUNCTION("""COMPUTED_VALUE"""),44841)</f>
        <v>44841</v>
      </c>
      <c r="C7928" t="str">
        <f ca="1">IFERROR(__xludf.DUMMYFUNCTION("""COMPUTED_VALUE"""),"БУ Г. ОМСКА ""УДХБ"" 216-РДО от 03.10.2022")</f>
        <v>БУ Г. ОМСКА "УДХБ" 216-РДО от 03.10.2022</v>
      </c>
      <c r="D79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8" t="str">
        <f ca="1">IFERROR(__xludf.DUMMYFUNCTION("""COMPUTED_VALUE"""),"Новый")</f>
        <v>Новый</v>
      </c>
      <c r="G7928" s="68"/>
      <c r="K7928" s="68"/>
    </row>
    <row r="7929" spans="1:11" ht="12.75">
      <c r="A7929" s="69">
        <f ca="1">IFERROR(__xludf.DUMMYFUNCTION("""COMPUTED_VALUE"""),109608)</f>
        <v>109608</v>
      </c>
      <c r="B7929" s="4">
        <f ca="1">IFERROR(__xludf.DUMMYFUNCTION("""COMPUTED_VALUE"""),44841)</f>
        <v>44841</v>
      </c>
      <c r="C7929" t="str">
        <f ca="1">IFERROR(__xludf.DUMMYFUNCTION("""COMPUTED_VALUE"""),"БУ Г. ОМСКА ""УДХБ"" 216-РДО от 03.10.2022")</f>
        <v>БУ Г. ОМСКА "УДХБ" 216-РДО от 03.10.2022</v>
      </c>
      <c r="D79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29" t="str">
        <f ca="1">IFERROR(__xludf.DUMMYFUNCTION("""COMPUTED_VALUE"""),"Новый")</f>
        <v>Новый</v>
      </c>
      <c r="G7929" s="68"/>
      <c r="K7929" s="68"/>
    </row>
    <row r="7930" spans="1:11" ht="12.75">
      <c r="A7930" s="69">
        <f ca="1">IFERROR(__xludf.DUMMYFUNCTION("""COMPUTED_VALUE"""),109609)</f>
        <v>109609</v>
      </c>
      <c r="B7930" s="4">
        <f ca="1">IFERROR(__xludf.DUMMYFUNCTION("""COMPUTED_VALUE"""),44841)</f>
        <v>44841</v>
      </c>
      <c r="C7930" t="str">
        <f ca="1">IFERROR(__xludf.DUMMYFUNCTION("""COMPUTED_VALUE"""),"БУ Г. ОМСКА ""УДХБ"" 216-РДО от 03.10.2022")</f>
        <v>БУ Г. ОМСКА "УДХБ" 216-РДО от 03.10.2022</v>
      </c>
      <c r="D79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0" t="str">
        <f ca="1">IFERROR(__xludf.DUMMYFUNCTION("""COMPUTED_VALUE"""),"Новый")</f>
        <v>Новый</v>
      </c>
      <c r="G7930" s="68"/>
      <c r="K7930" s="68"/>
    </row>
    <row r="7931" spans="1:11" ht="12.75">
      <c r="A7931" s="69">
        <f ca="1">IFERROR(__xludf.DUMMYFUNCTION("""COMPUTED_VALUE"""),109610)</f>
        <v>109610</v>
      </c>
      <c r="B7931" s="4">
        <f ca="1">IFERROR(__xludf.DUMMYFUNCTION("""COMPUTED_VALUE"""),44841)</f>
        <v>44841</v>
      </c>
      <c r="C7931" t="str">
        <f ca="1">IFERROR(__xludf.DUMMYFUNCTION("""COMPUTED_VALUE"""),"БУ Г. ОМСКА ""УДХБ"" 216-РДО от 03.10.2022")</f>
        <v>БУ Г. ОМСКА "УДХБ" 216-РДО от 03.10.2022</v>
      </c>
      <c r="D79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1" t="str">
        <f ca="1">IFERROR(__xludf.DUMMYFUNCTION("""COMPUTED_VALUE"""),"Новый")</f>
        <v>Новый</v>
      </c>
      <c r="G7931" s="68"/>
      <c r="K7931" s="68"/>
    </row>
    <row r="7932" spans="1:11" ht="12.75">
      <c r="A7932" s="69">
        <f ca="1">IFERROR(__xludf.DUMMYFUNCTION("""COMPUTED_VALUE"""),109611)</f>
        <v>109611</v>
      </c>
      <c r="B7932" s="4">
        <f ca="1">IFERROR(__xludf.DUMMYFUNCTION("""COMPUTED_VALUE"""),44841)</f>
        <v>44841</v>
      </c>
      <c r="C7932" t="str">
        <f ca="1">IFERROR(__xludf.DUMMYFUNCTION("""COMPUTED_VALUE"""),"БУ Г. ОМСКА ""УДХБ"" 216-РДО от 03.10.2022")</f>
        <v>БУ Г. ОМСКА "УДХБ" 216-РДО от 03.10.2022</v>
      </c>
      <c r="D79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2" t="str">
        <f ca="1">IFERROR(__xludf.DUMMYFUNCTION("""COMPUTED_VALUE"""),"Новый")</f>
        <v>Новый</v>
      </c>
      <c r="G7932" s="68"/>
      <c r="K7932" s="68"/>
    </row>
    <row r="7933" spans="1:11" ht="12.75">
      <c r="A7933" s="69">
        <f ca="1">IFERROR(__xludf.DUMMYFUNCTION("""COMPUTED_VALUE"""),109612)</f>
        <v>109612</v>
      </c>
      <c r="B7933" s="4">
        <f ca="1">IFERROR(__xludf.DUMMYFUNCTION("""COMPUTED_VALUE"""),44841)</f>
        <v>44841</v>
      </c>
      <c r="C7933" t="str">
        <f ca="1">IFERROR(__xludf.DUMMYFUNCTION("""COMPUTED_VALUE"""),"БУ Г. ОМСКА ""УДХБ"" 216-РДО от 03.10.2022")</f>
        <v>БУ Г. ОМСКА "УДХБ" 216-РДО от 03.10.2022</v>
      </c>
      <c r="D79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3" t="str">
        <f ca="1">IFERROR(__xludf.DUMMYFUNCTION("""COMPUTED_VALUE"""),"Новый")</f>
        <v>Новый</v>
      </c>
      <c r="G7933" s="68"/>
      <c r="K7933" s="68"/>
    </row>
    <row r="7934" spans="1:11" ht="12.75">
      <c r="A7934" s="69">
        <f ca="1">IFERROR(__xludf.DUMMYFUNCTION("""COMPUTED_VALUE"""),109613)</f>
        <v>109613</v>
      </c>
      <c r="B7934" s="4">
        <f ca="1">IFERROR(__xludf.DUMMYFUNCTION("""COMPUTED_VALUE"""),44841)</f>
        <v>44841</v>
      </c>
      <c r="C7934" t="str">
        <f ca="1">IFERROR(__xludf.DUMMYFUNCTION("""COMPUTED_VALUE"""),"БУ Г. ОМСКА ""УДХБ"" 216-РДО от 03.10.2022")</f>
        <v>БУ Г. ОМСКА "УДХБ" 216-РДО от 03.10.2022</v>
      </c>
      <c r="D79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4" t="str">
        <f ca="1">IFERROR(__xludf.DUMMYFUNCTION("""COMPUTED_VALUE"""),"Новый")</f>
        <v>Новый</v>
      </c>
      <c r="G7934" s="68"/>
      <c r="K7934" s="68"/>
    </row>
    <row r="7935" spans="1:11" ht="12.75">
      <c r="A7935" s="69">
        <f ca="1">IFERROR(__xludf.DUMMYFUNCTION("""COMPUTED_VALUE"""),109614)</f>
        <v>109614</v>
      </c>
      <c r="B7935" s="4">
        <f ca="1">IFERROR(__xludf.DUMMYFUNCTION("""COMPUTED_VALUE"""),44841)</f>
        <v>44841</v>
      </c>
      <c r="C7935" t="str">
        <f ca="1">IFERROR(__xludf.DUMMYFUNCTION("""COMPUTED_VALUE"""),"БУ Г. ОМСКА ""УДХБ"" 216-РДО от 03.10.2022")</f>
        <v>БУ Г. ОМСКА "УДХБ" 216-РДО от 03.10.2022</v>
      </c>
      <c r="D79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5" t="str">
        <f ca="1">IFERROR(__xludf.DUMMYFUNCTION("""COMPUTED_VALUE"""),"Новый")</f>
        <v>Новый</v>
      </c>
      <c r="G7935" s="68"/>
      <c r="K7935" s="68"/>
    </row>
    <row r="7936" spans="1:11" ht="12.75">
      <c r="A7936" s="69">
        <f ca="1">IFERROR(__xludf.DUMMYFUNCTION("""COMPUTED_VALUE"""),109615)</f>
        <v>109615</v>
      </c>
      <c r="B7936" s="4">
        <f ca="1">IFERROR(__xludf.DUMMYFUNCTION("""COMPUTED_VALUE"""),44841)</f>
        <v>44841</v>
      </c>
      <c r="C7936" t="str">
        <f ca="1">IFERROR(__xludf.DUMMYFUNCTION("""COMPUTED_VALUE"""),"БУ Г. ОМСКА ""УДХБ"" 216-РДО от 03.10.2022")</f>
        <v>БУ Г. ОМСКА "УДХБ" 216-РДО от 03.10.2022</v>
      </c>
      <c r="D79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6" t="str">
        <f ca="1">IFERROR(__xludf.DUMMYFUNCTION("""COMPUTED_VALUE"""),"Новый")</f>
        <v>Новый</v>
      </c>
      <c r="G7936" s="68"/>
      <c r="K7936" s="68"/>
    </row>
    <row r="7937" spans="1:11" ht="12.75">
      <c r="A7937" s="69">
        <f ca="1">IFERROR(__xludf.DUMMYFUNCTION("""COMPUTED_VALUE"""),109616)</f>
        <v>109616</v>
      </c>
      <c r="B7937" s="4">
        <f ca="1">IFERROR(__xludf.DUMMYFUNCTION("""COMPUTED_VALUE"""),44841)</f>
        <v>44841</v>
      </c>
      <c r="C7937" t="str">
        <f ca="1">IFERROR(__xludf.DUMMYFUNCTION("""COMPUTED_VALUE"""),"БУ Г. ОМСКА ""УДХБ"" 216-РДО от 03.10.2022")</f>
        <v>БУ Г. ОМСКА "УДХБ" 216-РДО от 03.10.2022</v>
      </c>
      <c r="D79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7" t="str">
        <f ca="1">IFERROR(__xludf.DUMMYFUNCTION("""COMPUTED_VALUE"""),"Новый")</f>
        <v>Новый</v>
      </c>
      <c r="G7937" s="68"/>
      <c r="K7937" s="68"/>
    </row>
    <row r="7938" spans="1:11" ht="12.75">
      <c r="A7938" s="69">
        <f ca="1">IFERROR(__xludf.DUMMYFUNCTION("""COMPUTED_VALUE"""),109617)</f>
        <v>109617</v>
      </c>
      <c r="B7938" s="4">
        <f ca="1">IFERROR(__xludf.DUMMYFUNCTION("""COMPUTED_VALUE"""),44841)</f>
        <v>44841</v>
      </c>
      <c r="C7938" t="str">
        <f ca="1">IFERROR(__xludf.DUMMYFUNCTION("""COMPUTED_VALUE"""),"БУ Г. ОМСКА ""УДХБ"" 216-РДО от 03.10.2022")</f>
        <v>БУ Г. ОМСКА "УДХБ" 216-РДО от 03.10.2022</v>
      </c>
      <c r="D79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8" t="str">
        <f ca="1">IFERROR(__xludf.DUMMYFUNCTION("""COMPUTED_VALUE"""),"Новый")</f>
        <v>Новый</v>
      </c>
      <c r="G7938" s="68"/>
      <c r="K7938" s="68"/>
    </row>
    <row r="7939" spans="1:11" ht="12.75">
      <c r="A7939" s="69">
        <f ca="1">IFERROR(__xludf.DUMMYFUNCTION("""COMPUTED_VALUE"""),109618)</f>
        <v>109618</v>
      </c>
      <c r="B7939" s="4">
        <f ca="1">IFERROR(__xludf.DUMMYFUNCTION("""COMPUTED_VALUE"""),44841)</f>
        <v>44841</v>
      </c>
      <c r="C7939" t="str">
        <f ca="1">IFERROR(__xludf.DUMMYFUNCTION("""COMPUTED_VALUE"""),"БУ Г. ОМСКА ""УДХБ"" 216-РДО от 03.10.2022")</f>
        <v>БУ Г. ОМСКА "УДХБ" 216-РДО от 03.10.2022</v>
      </c>
      <c r="D79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39" t="str">
        <f ca="1">IFERROR(__xludf.DUMMYFUNCTION("""COMPUTED_VALUE"""),"Новый")</f>
        <v>Новый</v>
      </c>
      <c r="G7939" s="68"/>
      <c r="K7939" s="68"/>
    </row>
    <row r="7940" spans="1:11" ht="12.75">
      <c r="A7940" s="69">
        <f ca="1">IFERROR(__xludf.DUMMYFUNCTION("""COMPUTED_VALUE"""),109619)</f>
        <v>109619</v>
      </c>
      <c r="B7940" s="4">
        <f ca="1">IFERROR(__xludf.DUMMYFUNCTION("""COMPUTED_VALUE"""),44841)</f>
        <v>44841</v>
      </c>
      <c r="C7940" t="str">
        <f ca="1">IFERROR(__xludf.DUMMYFUNCTION("""COMPUTED_VALUE"""),"БУ Г. ОМСКА ""УДХБ"" 216-РДО от 03.10.2022")</f>
        <v>БУ Г. ОМСКА "УДХБ" 216-РДО от 03.10.2022</v>
      </c>
      <c r="D79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0" t="str">
        <f ca="1">IFERROR(__xludf.DUMMYFUNCTION("""COMPUTED_VALUE"""),"Новый")</f>
        <v>Новый</v>
      </c>
      <c r="G7940" s="68"/>
      <c r="K7940" s="68"/>
    </row>
    <row r="7941" spans="1:11" ht="12.75">
      <c r="A7941" s="69">
        <f ca="1">IFERROR(__xludf.DUMMYFUNCTION("""COMPUTED_VALUE"""),109620)</f>
        <v>109620</v>
      </c>
      <c r="B7941" s="4">
        <f ca="1">IFERROR(__xludf.DUMMYFUNCTION("""COMPUTED_VALUE"""),44841)</f>
        <v>44841</v>
      </c>
      <c r="C7941" t="str">
        <f ca="1">IFERROR(__xludf.DUMMYFUNCTION("""COMPUTED_VALUE"""),"БУ Г. ОМСКА ""УДХБ"" 216-РДО от 03.10.2022")</f>
        <v>БУ Г. ОМСКА "УДХБ" 216-РДО от 03.10.2022</v>
      </c>
      <c r="D79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1" t="str">
        <f ca="1">IFERROR(__xludf.DUMMYFUNCTION("""COMPUTED_VALUE"""),"Новый")</f>
        <v>Новый</v>
      </c>
      <c r="G7941" s="68"/>
      <c r="K7941" s="68"/>
    </row>
    <row r="7942" spans="1:11" ht="12.75">
      <c r="A7942" s="69">
        <f ca="1">IFERROR(__xludf.DUMMYFUNCTION("""COMPUTED_VALUE"""),109621)</f>
        <v>109621</v>
      </c>
      <c r="B7942" s="4">
        <f ca="1">IFERROR(__xludf.DUMMYFUNCTION("""COMPUTED_VALUE"""),44841)</f>
        <v>44841</v>
      </c>
      <c r="C7942" t="str">
        <f ca="1">IFERROR(__xludf.DUMMYFUNCTION("""COMPUTED_VALUE"""),"БУ Г. ОМСКА ""УДХБ"" 216-РДО от 03.10.2022")</f>
        <v>БУ Г. ОМСКА "УДХБ" 216-РДО от 03.10.2022</v>
      </c>
      <c r="D79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2" t="str">
        <f ca="1">IFERROR(__xludf.DUMMYFUNCTION("""COMPUTED_VALUE"""),"Новый")</f>
        <v>Новый</v>
      </c>
      <c r="G7942" s="68"/>
      <c r="K7942" s="68"/>
    </row>
    <row r="7943" spans="1:11" ht="12.75">
      <c r="A7943" s="69">
        <f ca="1">IFERROR(__xludf.DUMMYFUNCTION("""COMPUTED_VALUE"""),109622)</f>
        <v>109622</v>
      </c>
      <c r="B7943" s="4">
        <f ca="1">IFERROR(__xludf.DUMMYFUNCTION("""COMPUTED_VALUE"""),44841)</f>
        <v>44841</v>
      </c>
      <c r="C7943" t="str">
        <f ca="1">IFERROR(__xludf.DUMMYFUNCTION("""COMPUTED_VALUE"""),"БУ Г. ОМСКА ""УДХБ"" 216-РДО от 03.10.2022")</f>
        <v>БУ Г. ОМСКА "УДХБ" 216-РДО от 03.10.2022</v>
      </c>
      <c r="D79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3" t="str">
        <f ca="1">IFERROR(__xludf.DUMMYFUNCTION("""COMPUTED_VALUE"""),"Новый")</f>
        <v>Новый</v>
      </c>
      <c r="G7943" s="68"/>
      <c r="K7943" s="68"/>
    </row>
    <row r="7944" spans="1:11" ht="12.75">
      <c r="A7944" s="69">
        <f ca="1">IFERROR(__xludf.DUMMYFUNCTION("""COMPUTED_VALUE"""),109623)</f>
        <v>109623</v>
      </c>
      <c r="B7944" s="4">
        <f ca="1">IFERROR(__xludf.DUMMYFUNCTION("""COMPUTED_VALUE"""),44841)</f>
        <v>44841</v>
      </c>
      <c r="C7944" t="str">
        <f ca="1">IFERROR(__xludf.DUMMYFUNCTION("""COMPUTED_VALUE"""),"БУ Г. ОМСКА ""УДХБ"" 216-РДО от 03.10.2022")</f>
        <v>БУ Г. ОМСКА "УДХБ" 216-РДО от 03.10.2022</v>
      </c>
      <c r="D79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4" t="str">
        <f ca="1">IFERROR(__xludf.DUMMYFUNCTION("""COMPUTED_VALUE"""),"Новый")</f>
        <v>Новый</v>
      </c>
      <c r="G7944" s="68"/>
      <c r="K7944" s="68"/>
    </row>
    <row r="7945" spans="1:11" ht="12.75">
      <c r="A7945" s="69">
        <f ca="1">IFERROR(__xludf.DUMMYFUNCTION("""COMPUTED_VALUE"""),109624)</f>
        <v>109624</v>
      </c>
      <c r="B7945" s="4">
        <f ca="1">IFERROR(__xludf.DUMMYFUNCTION("""COMPUTED_VALUE"""),44841)</f>
        <v>44841</v>
      </c>
      <c r="C7945" t="str">
        <f ca="1">IFERROR(__xludf.DUMMYFUNCTION("""COMPUTED_VALUE"""),"БУ Г. ОМСКА ""УДХБ"" 216-РДО от 03.10.2022")</f>
        <v>БУ Г. ОМСКА "УДХБ" 216-РДО от 03.10.2022</v>
      </c>
      <c r="D79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5" t="str">
        <f ca="1">IFERROR(__xludf.DUMMYFUNCTION("""COMPUTED_VALUE"""),"Новый")</f>
        <v>Новый</v>
      </c>
      <c r="G7945" s="68"/>
      <c r="K7945" s="68"/>
    </row>
    <row r="7946" spans="1:11" ht="12.75">
      <c r="A7946" s="69">
        <f ca="1">IFERROR(__xludf.DUMMYFUNCTION("""COMPUTED_VALUE"""),109625)</f>
        <v>109625</v>
      </c>
      <c r="B7946" s="4">
        <f ca="1">IFERROR(__xludf.DUMMYFUNCTION("""COMPUTED_VALUE"""),44841)</f>
        <v>44841</v>
      </c>
      <c r="C7946" t="str">
        <f ca="1">IFERROR(__xludf.DUMMYFUNCTION("""COMPUTED_VALUE"""),"БУ Г. ОМСКА ""УДХБ"" 216-РДО от 03.10.2022")</f>
        <v>БУ Г. ОМСКА "УДХБ" 216-РДО от 03.10.2022</v>
      </c>
      <c r="D79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6" t="str">
        <f ca="1">IFERROR(__xludf.DUMMYFUNCTION("""COMPUTED_VALUE"""),"Новый")</f>
        <v>Новый</v>
      </c>
      <c r="G7946" s="68"/>
      <c r="K7946" s="68"/>
    </row>
    <row r="7947" spans="1:11" ht="12.75">
      <c r="A7947" s="69">
        <f ca="1">IFERROR(__xludf.DUMMYFUNCTION("""COMPUTED_VALUE"""),109626)</f>
        <v>109626</v>
      </c>
      <c r="B7947" s="4">
        <f ca="1">IFERROR(__xludf.DUMMYFUNCTION("""COMPUTED_VALUE"""),44841)</f>
        <v>44841</v>
      </c>
      <c r="C7947" t="str">
        <f ca="1">IFERROR(__xludf.DUMMYFUNCTION("""COMPUTED_VALUE"""),"БУ Г. ОМСКА ""УДХБ"" 216-РДО от 03.10.2022")</f>
        <v>БУ Г. ОМСКА "УДХБ" 216-РДО от 03.10.2022</v>
      </c>
      <c r="D79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7" t="str">
        <f ca="1">IFERROR(__xludf.DUMMYFUNCTION("""COMPUTED_VALUE"""),"Новый")</f>
        <v>Новый</v>
      </c>
      <c r="G7947" s="68"/>
      <c r="K7947" s="68"/>
    </row>
    <row r="7948" spans="1:11" ht="12.75">
      <c r="A7948" s="69">
        <f ca="1">IFERROR(__xludf.DUMMYFUNCTION("""COMPUTED_VALUE"""),109627)</f>
        <v>109627</v>
      </c>
      <c r="B7948" s="4">
        <f ca="1">IFERROR(__xludf.DUMMYFUNCTION("""COMPUTED_VALUE"""),44841)</f>
        <v>44841</v>
      </c>
      <c r="C7948" t="str">
        <f ca="1">IFERROR(__xludf.DUMMYFUNCTION("""COMPUTED_VALUE"""),"БУ Г. ОМСКА ""УДХБ"" 216-РДО от 03.10.2022")</f>
        <v>БУ Г. ОМСКА "УДХБ" 216-РДО от 03.10.2022</v>
      </c>
      <c r="D79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8" t="str">
        <f ca="1">IFERROR(__xludf.DUMMYFUNCTION("""COMPUTED_VALUE"""),"Новый")</f>
        <v>Новый</v>
      </c>
      <c r="G7948" s="68"/>
      <c r="K7948" s="68"/>
    </row>
    <row r="7949" spans="1:11" ht="12.75">
      <c r="A7949" s="69">
        <f ca="1">IFERROR(__xludf.DUMMYFUNCTION("""COMPUTED_VALUE"""),109628)</f>
        <v>109628</v>
      </c>
      <c r="B7949" s="4">
        <f ca="1">IFERROR(__xludf.DUMMYFUNCTION("""COMPUTED_VALUE"""),44841)</f>
        <v>44841</v>
      </c>
      <c r="C7949" t="str">
        <f ca="1">IFERROR(__xludf.DUMMYFUNCTION("""COMPUTED_VALUE"""),"БУ Г. ОМСКА ""УДХБ"" 216-РДО от 03.10.2022")</f>
        <v>БУ Г. ОМСКА "УДХБ" 216-РДО от 03.10.2022</v>
      </c>
      <c r="D79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49" t="str">
        <f ca="1">IFERROR(__xludf.DUMMYFUNCTION("""COMPUTED_VALUE"""),"Новый")</f>
        <v>Новый</v>
      </c>
      <c r="G7949" s="68"/>
      <c r="K7949" s="68"/>
    </row>
    <row r="7950" spans="1:11" ht="12.75">
      <c r="A7950" s="69">
        <f ca="1">IFERROR(__xludf.DUMMYFUNCTION("""COMPUTED_VALUE"""),109629)</f>
        <v>109629</v>
      </c>
      <c r="B7950" s="4">
        <f ca="1">IFERROR(__xludf.DUMMYFUNCTION("""COMPUTED_VALUE"""),44841)</f>
        <v>44841</v>
      </c>
      <c r="C7950" t="str">
        <f ca="1">IFERROR(__xludf.DUMMYFUNCTION("""COMPUTED_VALUE"""),"БУ Г. ОМСКА ""УДХБ"" 216-РДО от 03.10.2022")</f>
        <v>БУ Г. ОМСКА "УДХБ" 216-РДО от 03.10.2022</v>
      </c>
      <c r="D79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0" t="str">
        <f ca="1">IFERROR(__xludf.DUMMYFUNCTION("""COMPUTED_VALUE"""),"Новый")</f>
        <v>Новый</v>
      </c>
      <c r="G7950" s="68"/>
      <c r="K7950" s="68"/>
    </row>
    <row r="7951" spans="1:11" ht="12.75">
      <c r="A7951" s="69">
        <f ca="1">IFERROR(__xludf.DUMMYFUNCTION("""COMPUTED_VALUE"""),109630)</f>
        <v>109630</v>
      </c>
      <c r="B7951" s="4">
        <f ca="1">IFERROR(__xludf.DUMMYFUNCTION("""COMPUTED_VALUE"""),44841)</f>
        <v>44841</v>
      </c>
      <c r="C7951" t="str">
        <f ca="1">IFERROR(__xludf.DUMMYFUNCTION("""COMPUTED_VALUE"""),"БУ Г. ОМСКА ""УДХБ"" 216-РДО от 03.10.2022")</f>
        <v>БУ Г. ОМСКА "УДХБ" 216-РДО от 03.10.2022</v>
      </c>
      <c r="D79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1" t="str">
        <f ca="1">IFERROR(__xludf.DUMMYFUNCTION("""COMPUTED_VALUE"""),"Новый")</f>
        <v>Новый</v>
      </c>
      <c r="G7951" s="68"/>
      <c r="K7951" s="68"/>
    </row>
    <row r="7952" spans="1:11" ht="12.75">
      <c r="A7952" s="69">
        <f ca="1">IFERROR(__xludf.DUMMYFUNCTION("""COMPUTED_VALUE"""),109631)</f>
        <v>109631</v>
      </c>
      <c r="B7952" s="4">
        <f ca="1">IFERROR(__xludf.DUMMYFUNCTION("""COMPUTED_VALUE"""),44841)</f>
        <v>44841</v>
      </c>
      <c r="C7952" t="str">
        <f ca="1">IFERROR(__xludf.DUMMYFUNCTION("""COMPUTED_VALUE"""),"БУ Г. ОМСКА ""УДХБ"" 216-РДО от 03.10.2022")</f>
        <v>БУ Г. ОМСКА "УДХБ" 216-РДО от 03.10.2022</v>
      </c>
      <c r="D79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2" t="str">
        <f ca="1">IFERROR(__xludf.DUMMYFUNCTION("""COMPUTED_VALUE"""),"Новый")</f>
        <v>Новый</v>
      </c>
      <c r="G7952" s="68"/>
      <c r="K7952" s="68"/>
    </row>
    <row r="7953" spans="1:11" ht="12.75">
      <c r="A7953" s="69">
        <f ca="1">IFERROR(__xludf.DUMMYFUNCTION("""COMPUTED_VALUE"""),109632)</f>
        <v>109632</v>
      </c>
      <c r="B7953" s="4">
        <f ca="1">IFERROR(__xludf.DUMMYFUNCTION("""COMPUTED_VALUE"""),44841)</f>
        <v>44841</v>
      </c>
      <c r="C7953" t="str">
        <f ca="1">IFERROR(__xludf.DUMMYFUNCTION("""COMPUTED_VALUE"""),"БУ Г. ОМСКА ""УДХБ"" 216-РДО от 03.10.2022")</f>
        <v>БУ Г. ОМСКА "УДХБ" 216-РДО от 03.10.2022</v>
      </c>
      <c r="D79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3" t="str">
        <f ca="1">IFERROR(__xludf.DUMMYFUNCTION("""COMPUTED_VALUE"""),"Новый")</f>
        <v>Новый</v>
      </c>
      <c r="G7953" s="68"/>
      <c r="K7953" s="68"/>
    </row>
    <row r="7954" spans="1:11" ht="12.75">
      <c r="A7954" s="69">
        <f ca="1">IFERROR(__xludf.DUMMYFUNCTION("""COMPUTED_VALUE"""),109633)</f>
        <v>109633</v>
      </c>
      <c r="B7954" s="4">
        <f ca="1">IFERROR(__xludf.DUMMYFUNCTION("""COMPUTED_VALUE"""),44841)</f>
        <v>44841</v>
      </c>
      <c r="C7954" t="str">
        <f ca="1">IFERROR(__xludf.DUMMYFUNCTION("""COMPUTED_VALUE"""),"БУ Г. ОМСКА ""УДХБ"" 216-РДО от 03.10.2022")</f>
        <v>БУ Г. ОМСКА "УДХБ" 216-РДО от 03.10.2022</v>
      </c>
      <c r="D79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4" t="str">
        <f ca="1">IFERROR(__xludf.DUMMYFUNCTION("""COMPUTED_VALUE"""),"Новый")</f>
        <v>Новый</v>
      </c>
      <c r="G7954" s="68"/>
      <c r="K7954" s="68"/>
    </row>
    <row r="7955" spans="1:11" ht="12.75">
      <c r="A7955" s="69">
        <f ca="1">IFERROR(__xludf.DUMMYFUNCTION("""COMPUTED_VALUE"""),109634)</f>
        <v>109634</v>
      </c>
      <c r="B7955" s="4">
        <f ca="1">IFERROR(__xludf.DUMMYFUNCTION("""COMPUTED_VALUE"""),44841)</f>
        <v>44841</v>
      </c>
      <c r="C7955" t="str">
        <f ca="1">IFERROR(__xludf.DUMMYFUNCTION("""COMPUTED_VALUE"""),"БУ Г. ОМСКА ""УДХБ"" 216-РДО от 03.10.2022")</f>
        <v>БУ Г. ОМСКА "УДХБ" 216-РДО от 03.10.2022</v>
      </c>
      <c r="D79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5" t="str">
        <f ca="1">IFERROR(__xludf.DUMMYFUNCTION("""COMPUTED_VALUE"""),"Новый")</f>
        <v>Новый</v>
      </c>
      <c r="G7955" s="68"/>
      <c r="K7955" s="68"/>
    </row>
    <row r="7956" spans="1:11" ht="12.75">
      <c r="A7956" s="69">
        <f ca="1">IFERROR(__xludf.DUMMYFUNCTION("""COMPUTED_VALUE"""),109635)</f>
        <v>109635</v>
      </c>
      <c r="B7956" s="4">
        <f ca="1">IFERROR(__xludf.DUMMYFUNCTION("""COMPUTED_VALUE"""),44841)</f>
        <v>44841</v>
      </c>
      <c r="C7956" t="str">
        <f ca="1">IFERROR(__xludf.DUMMYFUNCTION("""COMPUTED_VALUE"""),"БУ Г. ОМСКА ""УДХБ"" 216-РДО от 03.10.2022")</f>
        <v>БУ Г. ОМСКА "УДХБ" 216-РДО от 03.10.2022</v>
      </c>
      <c r="D79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6" t="str">
        <f ca="1">IFERROR(__xludf.DUMMYFUNCTION("""COMPUTED_VALUE"""),"Новый")</f>
        <v>Новый</v>
      </c>
      <c r="G7956" s="68"/>
      <c r="K7956" s="68"/>
    </row>
    <row r="7957" spans="1:11" ht="12.75">
      <c r="A7957" s="69">
        <f ca="1">IFERROR(__xludf.DUMMYFUNCTION("""COMPUTED_VALUE"""),109636)</f>
        <v>109636</v>
      </c>
      <c r="B7957" s="4">
        <f ca="1">IFERROR(__xludf.DUMMYFUNCTION("""COMPUTED_VALUE"""),44841)</f>
        <v>44841</v>
      </c>
      <c r="C7957" t="str">
        <f ca="1">IFERROR(__xludf.DUMMYFUNCTION("""COMPUTED_VALUE"""),"БУ Г. ОМСКА ""УДХБ"" 216-РДО от 03.10.2022")</f>
        <v>БУ Г. ОМСКА "УДХБ" 216-РДО от 03.10.2022</v>
      </c>
      <c r="D79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7" t="str">
        <f ca="1">IFERROR(__xludf.DUMMYFUNCTION("""COMPUTED_VALUE"""),"Новый")</f>
        <v>Новый</v>
      </c>
      <c r="G7957" s="68"/>
      <c r="K7957" s="68"/>
    </row>
    <row r="7958" spans="1:11" ht="12.75">
      <c r="A7958" s="69">
        <f ca="1">IFERROR(__xludf.DUMMYFUNCTION("""COMPUTED_VALUE"""),109637)</f>
        <v>109637</v>
      </c>
      <c r="B7958" s="4">
        <f ca="1">IFERROR(__xludf.DUMMYFUNCTION("""COMPUTED_VALUE"""),44841)</f>
        <v>44841</v>
      </c>
      <c r="C7958" t="str">
        <f ca="1">IFERROR(__xludf.DUMMYFUNCTION("""COMPUTED_VALUE"""),"БУ Г. ОМСКА ""УДХБ"" 216-РДО от 03.10.2022")</f>
        <v>БУ Г. ОМСКА "УДХБ" 216-РДО от 03.10.2022</v>
      </c>
      <c r="D79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8" t="str">
        <f ca="1">IFERROR(__xludf.DUMMYFUNCTION("""COMPUTED_VALUE"""),"Новый")</f>
        <v>Новый</v>
      </c>
      <c r="G7958" s="68"/>
      <c r="K7958" s="68"/>
    </row>
    <row r="7959" spans="1:11" ht="12.75">
      <c r="A7959" s="69">
        <f ca="1">IFERROR(__xludf.DUMMYFUNCTION("""COMPUTED_VALUE"""),109638)</f>
        <v>109638</v>
      </c>
      <c r="B7959" s="4">
        <f ca="1">IFERROR(__xludf.DUMMYFUNCTION("""COMPUTED_VALUE"""),44841)</f>
        <v>44841</v>
      </c>
      <c r="C7959" t="str">
        <f ca="1">IFERROR(__xludf.DUMMYFUNCTION("""COMPUTED_VALUE"""),"ООО ""ТРАНССЕРВИС"" 218-РДО от 07.10.2022")</f>
        <v>ООО "ТРАНССЕРВИС" 218-РДО от 07.10.2022</v>
      </c>
      <c r="D79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59" t="str">
        <f ca="1">IFERROR(__xludf.DUMMYFUNCTION("""COMPUTED_VALUE"""),"Новый")</f>
        <v>Новый</v>
      </c>
      <c r="G7959" s="68"/>
      <c r="K7959" s="68"/>
    </row>
    <row r="7960" spans="1:11" ht="12.75">
      <c r="A7960" s="69">
        <f ca="1">IFERROR(__xludf.DUMMYFUNCTION("""COMPUTED_VALUE"""),109639)</f>
        <v>109639</v>
      </c>
      <c r="B7960" s="4">
        <f ca="1">IFERROR(__xludf.DUMMYFUNCTION("""COMPUTED_VALUE"""),44841)</f>
        <v>44841</v>
      </c>
      <c r="C7960" t="str">
        <f ca="1">IFERROR(__xludf.DUMMYFUNCTION("""COMPUTED_VALUE"""),"ООО ""ТРАНССЕРВИС"" 218-РДО от 07.10.2022")</f>
        <v>ООО "ТРАНССЕРВИС" 218-РДО от 07.10.2022</v>
      </c>
      <c r="D79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0" t="str">
        <f ca="1">IFERROR(__xludf.DUMMYFUNCTION("""COMPUTED_VALUE"""),"Новый")</f>
        <v>Новый</v>
      </c>
      <c r="G7960" s="68"/>
      <c r="K7960" s="68"/>
    </row>
    <row r="7961" spans="1:11" ht="12.75">
      <c r="A7961" s="69">
        <f ca="1">IFERROR(__xludf.DUMMYFUNCTION("""COMPUTED_VALUE"""),109640)</f>
        <v>109640</v>
      </c>
      <c r="B7961" s="4">
        <f ca="1">IFERROR(__xludf.DUMMYFUNCTION("""COMPUTED_VALUE"""),44841)</f>
        <v>44841</v>
      </c>
      <c r="C7961" t="str">
        <f ca="1">IFERROR(__xludf.DUMMYFUNCTION("""COMPUTED_VALUE"""),"ООО ""ТРАНССЕРВИС"" 218-РДО от 07.10.2022")</f>
        <v>ООО "ТРАНССЕРВИС" 218-РДО от 07.10.2022</v>
      </c>
      <c r="D79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1" t="str">
        <f ca="1">IFERROR(__xludf.DUMMYFUNCTION("""COMPUTED_VALUE"""),"Новый")</f>
        <v>Новый</v>
      </c>
      <c r="G7961" s="68"/>
      <c r="K7961" s="68"/>
    </row>
    <row r="7962" spans="1:11" ht="12.75">
      <c r="A7962" s="69">
        <f ca="1">IFERROR(__xludf.DUMMYFUNCTION("""COMPUTED_VALUE"""),109641)</f>
        <v>109641</v>
      </c>
      <c r="B7962" s="4">
        <f ca="1">IFERROR(__xludf.DUMMYFUNCTION("""COMPUTED_VALUE"""),44841)</f>
        <v>44841</v>
      </c>
      <c r="C7962" t="str">
        <f ca="1">IFERROR(__xludf.DUMMYFUNCTION("""COMPUTED_VALUE"""),"ООО ""ТРАНССЕРВИС"" 218-РДО от 07.10.2022")</f>
        <v>ООО "ТРАНССЕРВИС" 218-РДО от 07.10.2022</v>
      </c>
      <c r="D79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2" t="str">
        <f ca="1">IFERROR(__xludf.DUMMYFUNCTION("""COMPUTED_VALUE"""),"Новый")</f>
        <v>Новый</v>
      </c>
      <c r="G7962" s="68"/>
      <c r="K7962" s="68"/>
    </row>
    <row r="7963" spans="1:11" ht="12.75">
      <c r="A7963" s="69">
        <f ca="1">IFERROR(__xludf.DUMMYFUNCTION("""COMPUTED_VALUE"""),109642)</f>
        <v>109642</v>
      </c>
      <c r="B7963" s="4">
        <f ca="1">IFERROR(__xludf.DUMMYFUNCTION("""COMPUTED_VALUE"""),44841)</f>
        <v>44841</v>
      </c>
      <c r="C7963" t="str">
        <f ca="1">IFERROR(__xludf.DUMMYFUNCTION("""COMPUTED_VALUE"""),"ООО ""ТРАНССЕРВИС"" 218-РДО от 07.10.2022")</f>
        <v>ООО "ТРАНССЕРВИС" 218-РДО от 07.10.2022</v>
      </c>
      <c r="D79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3" t="str">
        <f ca="1">IFERROR(__xludf.DUMMYFUNCTION("""COMPUTED_VALUE"""),"Новый")</f>
        <v>Новый</v>
      </c>
      <c r="G7963" s="68"/>
      <c r="K7963" s="68"/>
    </row>
    <row r="7964" spans="1:11" ht="12.75">
      <c r="A7964" s="69">
        <f ca="1">IFERROR(__xludf.DUMMYFUNCTION("""COMPUTED_VALUE"""),109643)</f>
        <v>109643</v>
      </c>
      <c r="B7964" s="4">
        <f ca="1">IFERROR(__xludf.DUMMYFUNCTION("""COMPUTED_VALUE"""),44841)</f>
        <v>44841</v>
      </c>
      <c r="C7964" t="str">
        <f ca="1">IFERROR(__xludf.DUMMYFUNCTION("""COMPUTED_VALUE"""),"ООО ""ТРАНССЕРВИС"" 218-РДО от 07.10.2022")</f>
        <v>ООО "ТРАНССЕРВИС" 218-РДО от 07.10.2022</v>
      </c>
      <c r="D79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4" t="str">
        <f ca="1">IFERROR(__xludf.DUMMYFUNCTION("""COMPUTED_VALUE"""),"Новый")</f>
        <v>Новый</v>
      </c>
      <c r="G7964" s="68"/>
      <c r="K7964" s="68"/>
    </row>
    <row r="7965" spans="1:11" ht="12.75">
      <c r="A7965" s="69">
        <f ca="1">IFERROR(__xludf.DUMMYFUNCTION("""COMPUTED_VALUE"""),109644)</f>
        <v>109644</v>
      </c>
      <c r="B7965" s="4">
        <f ca="1">IFERROR(__xludf.DUMMYFUNCTION("""COMPUTED_VALUE"""),44841)</f>
        <v>44841</v>
      </c>
      <c r="C7965" t="str">
        <f ca="1">IFERROR(__xludf.DUMMYFUNCTION("""COMPUTED_VALUE"""),"ООО ""ТРАНССЕРВИС"" 218-РДО от 07.10.2022")</f>
        <v>ООО "ТРАНССЕРВИС" 218-РДО от 07.10.2022</v>
      </c>
      <c r="D79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5" t="str">
        <f ca="1">IFERROR(__xludf.DUMMYFUNCTION("""COMPUTED_VALUE"""),"Новый")</f>
        <v>Новый</v>
      </c>
      <c r="G7965" s="68"/>
      <c r="K7965" s="68"/>
    </row>
    <row r="7966" spans="1:11" ht="12.75">
      <c r="A7966" s="69">
        <f ca="1">IFERROR(__xludf.DUMMYFUNCTION("""COMPUTED_VALUE"""),109645)</f>
        <v>109645</v>
      </c>
      <c r="B7966" s="4">
        <f ca="1">IFERROR(__xludf.DUMMYFUNCTION("""COMPUTED_VALUE"""),44841)</f>
        <v>44841</v>
      </c>
      <c r="C7966" t="str">
        <f ca="1">IFERROR(__xludf.DUMMYFUNCTION("""COMPUTED_VALUE"""),"ООО ""ТРАНССЕРВИС"" 218-РДО от 07.10.2022")</f>
        <v>ООО "ТРАНССЕРВИС" 218-РДО от 07.10.2022</v>
      </c>
      <c r="D79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6" t="str">
        <f ca="1">IFERROR(__xludf.DUMMYFUNCTION("""COMPUTED_VALUE"""),"Новый")</f>
        <v>Новый</v>
      </c>
      <c r="G7966" s="68"/>
      <c r="K7966" s="68"/>
    </row>
    <row r="7967" spans="1:11" ht="12.75">
      <c r="A7967" s="69">
        <f ca="1">IFERROR(__xludf.DUMMYFUNCTION("""COMPUTED_VALUE"""),109646)</f>
        <v>109646</v>
      </c>
      <c r="B7967" s="4">
        <f ca="1">IFERROR(__xludf.DUMMYFUNCTION("""COMPUTED_VALUE"""),44841)</f>
        <v>44841</v>
      </c>
      <c r="C7967" t="str">
        <f ca="1">IFERROR(__xludf.DUMMYFUNCTION("""COMPUTED_VALUE"""),"ООО ""ТРАНССЕРВИС"" 218-РДО от 07.10.2022")</f>
        <v>ООО "ТРАНССЕРВИС" 218-РДО от 07.10.2022</v>
      </c>
      <c r="D79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7" t="str">
        <f ca="1">IFERROR(__xludf.DUMMYFUNCTION("""COMPUTED_VALUE"""),"Новый")</f>
        <v>Новый</v>
      </c>
      <c r="G7967" s="68"/>
      <c r="K7967" s="68"/>
    </row>
    <row r="7968" spans="1:11" ht="12.75">
      <c r="A7968" s="69">
        <f ca="1">IFERROR(__xludf.DUMMYFUNCTION("""COMPUTED_VALUE"""),109647)</f>
        <v>109647</v>
      </c>
      <c r="B7968" s="4">
        <f ca="1">IFERROR(__xludf.DUMMYFUNCTION("""COMPUTED_VALUE"""),44841)</f>
        <v>44841</v>
      </c>
      <c r="C7968" t="str">
        <f ca="1">IFERROR(__xludf.DUMMYFUNCTION("""COMPUTED_VALUE"""),"ООО ""ТРАНССЕРВИС"" 218-РДО от 07.10.2022")</f>
        <v>ООО "ТРАНССЕРВИС" 218-РДО от 07.10.2022</v>
      </c>
      <c r="D79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8" t="str">
        <f ca="1">IFERROR(__xludf.DUMMYFUNCTION("""COMPUTED_VALUE"""),"Новый")</f>
        <v>Новый</v>
      </c>
      <c r="G7968" s="68"/>
      <c r="K7968" s="68"/>
    </row>
    <row r="7969" spans="1:11" ht="12.75">
      <c r="A7969" s="69">
        <f ca="1">IFERROR(__xludf.DUMMYFUNCTION("""COMPUTED_VALUE"""),109648)</f>
        <v>109648</v>
      </c>
      <c r="B7969" s="4">
        <f ca="1">IFERROR(__xludf.DUMMYFUNCTION("""COMPUTED_VALUE"""),44844)</f>
        <v>44844</v>
      </c>
      <c r="C7969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69" t="str">
        <f ca="1">IFERROR(__xludf.DUMMYFUNCTION("""COMPUTED_VALUE"""),"Новый")</f>
        <v>Новый</v>
      </c>
      <c r="G7969" s="68"/>
      <c r="K7969" s="68"/>
    </row>
    <row r="7970" spans="1:11" ht="12.75">
      <c r="A7970" s="69">
        <f ca="1">IFERROR(__xludf.DUMMYFUNCTION("""COMPUTED_VALUE"""),109649)</f>
        <v>109649</v>
      </c>
      <c r="B7970" s="4">
        <f ca="1">IFERROR(__xludf.DUMMYFUNCTION("""COMPUTED_VALUE"""),44844)</f>
        <v>44844</v>
      </c>
      <c r="C7970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0" t="str">
        <f ca="1">IFERROR(__xludf.DUMMYFUNCTION("""COMPUTED_VALUE"""),"Новый")</f>
        <v>Новый</v>
      </c>
      <c r="G7970" s="68"/>
      <c r="K7970" s="68"/>
    </row>
    <row r="7971" spans="1:11" ht="12.75">
      <c r="A7971" s="69">
        <f ca="1">IFERROR(__xludf.DUMMYFUNCTION("""COMPUTED_VALUE"""),109650)</f>
        <v>109650</v>
      </c>
      <c r="B7971" s="4">
        <f ca="1">IFERROR(__xludf.DUMMYFUNCTION("""COMPUTED_VALUE"""),44844)</f>
        <v>44844</v>
      </c>
      <c r="C7971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1" t="str">
        <f ca="1">IFERROR(__xludf.DUMMYFUNCTION("""COMPUTED_VALUE"""),"Новый")</f>
        <v>Новый</v>
      </c>
      <c r="G7971" s="68"/>
      <c r="K7971" s="68"/>
    </row>
    <row r="7972" spans="1:11" ht="12.75">
      <c r="A7972" s="69">
        <f ca="1">IFERROR(__xludf.DUMMYFUNCTION("""COMPUTED_VALUE"""),109651)</f>
        <v>109651</v>
      </c>
      <c r="B7972" s="4">
        <f ca="1">IFERROR(__xludf.DUMMYFUNCTION("""COMPUTED_VALUE"""),44844)</f>
        <v>44844</v>
      </c>
      <c r="C7972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2" t="str">
        <f ca="1">IFERROR(__xludf.DUMMYFUNCTION("""COMPUTED_VALUE"""),"Новый")</f>
        <v>Новый</v>
      </c>
      <c r="G7972" s="68"/>
      <c r="K7972" s="68"/>
    </row>
    <row r="7973" spans="1:11" ht="12.75">
      <c r="A7973" s="69">
        <f ca="1">IFERROR(__xludf.DUMMYFUNCTION("""COMPUTED_VALUE"""),109652)</f>
        <v>109652</v>
      </c>
      <c r="B7973" s="4">
        <f ca="1">IFERROR(__xludf.DUMMYFUNCTION("""COMPUTED_VALUE"""),44844)</f>
        <v>44844</v>
      </c>
      <c r="C7973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3" t="str">
        <f ca="1">IFERROR(__xludf.DUMMYFUNCTION("""COMPUTED_VALUE"""),"Новый")</f>
        <v>Новый</v>
      </c>
      <c r="G7973" s="68"/>
      <c r="K7973" s="68"/>
    </row>
    <row r="7974" spans="1:11" ht="12.75">
      <c r="A7974" s="69">
        <f ca="1">IFERROR(__xludf.DUMMYFUNCTION("""COMPUTED_VALUE"""),109653)</f>
        <v>109653</v>
      </c>
      <c r="B7974" s="4">
        <f ca="1">IFERROR(__xludf.DUMMYFUNCTION("""COMPUTED_VALUE"""),44844)</f>
        <v>44844</v>
      </c>
      <c r="C7974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4" t="str">
        <f ca="1">IFERROR(__xludf.DUMMYFUNCTION("""COMPUTED_VALUE"""),"Новый")</f>
        <v>Новый</v>
      </c>
      <c r="G7974" s="68"/>
      <c r="K7974" s="68"/>
    </row>
    <row r="7975" spans="1:11" ht="12.75">
      <c r="A7975" s="69">
        <f ca="1">IFERROR(__xludf.DUMMYFUNCTION("""COMPUTED_VALUE"""),109654)</f>
        <v>109654</v>
      </c>
      <c r="B7975" s="4">
        <f ca="1">IFERROR(__xludf.DUMMYFUNCTION("""COMPUTED_VALUE"""),44844)</f>
        <v>44844</v>
      </c>
      <c r="C7975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5" t="str">
        <f ca="1">IFERROR(__xludf.DUMMYFUNCTION("""COMPUTED_VALUE"""),"Новый")</f>
        <v>Новый</v>
      </c>
      <c r="G7975" s="68"/>
      <c r="K7975" s="68"/>
    </row>
    <row r="7976" spans="1:11" ht="12.75">
      <c r="A7976" s="69">
        <f ca="1">IFERROR(__xludf.DUMMYFUNCTION("""COMPUTED_VALUE"""),109655)</f>
        <v>109655</v>
      </c>
      <c r="B7976" s="4">
        <f ca="1">IFERROR(__xludf.DUMMYFUNCTION("""COMPUTED_VALUE"""),44844)</f>
        <v>44844</v>
      </c>
      <c r="C7976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6" t="str">
        <f ca="1">IFERROR(__xludf.DUMMYFUNCTION("""COMPUTED_VALUE"""),"Новый")</f>
        <v>Новый</v>
      </c>
      <c r="G7976" s="68"/>
      <c r="K7976" s="68"/>
    </row>
    <row r="7977" spans="1:11" ht="12.75">
      <c r="A7977" s="69">
        <f ca="1">IFERROR(__xludf.DUMMYFUNCTION("""COMPUTED_VALUE"""),109656)</f>
        <v>109656</v>
      </c>
      <c r="B7977" s="4">
        <f ca="1">IFERROR(__xludf.DUMMYFUNCTION("""COMPUTED_VALUE"""),44844)</f>
        <v>44844</v>
      </c>
      <c r="C7977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7" t="str">
        <f ca="1">IFERROR(__xludf.DUMMYFUNCTION("""COMPUTED_VALUE"""),"Новый")</f>
        <v>Новый</v>
      </c>
      <c r="G7977" s="68"/>
      <c r="K7977" s="68"/>
    </row>
    <row r="7978" spans="1:11" ht="12.75">
      <c r="A7978" s="69">
        <f ca="1">IFERROR(__xludf.DUMMYFUNCTION("""COMPUTED_VALUE"""),109657)</f>
        <v>109657</v>
      </c>
      <c r="B7978" s="4">
        <f ca="1">IFERROR(__xludf.DUMMYFUNCTION("""COMPUTED_VALUE"""),44844)</f>
        <v>44844</v>
      </c>
      <c r="C7978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8" t="str">
        <f ca="1">IFERROR(__xludf.DUMMYFUNCTION("""COMPUTED_VALUE"""),"Новый")</f>
        <v>Новый</v>
      </c>
      <c r="G7978" s="68"/>
      <c r="K7978" s="68"/>
    </row>
    <row r="7979" spans="1:11" ht="12.75">
      <c r="A7979" s="69">
        <f ca="1">IFERROR(__xludf.DUMMYFUNCTION("""COMPUTED_VALUE"""),109658)</f>
        <v>109658</v>
      </c>
      <c r="B7979" s="4">
        <f ca="1">IFERROR(__xludf.DUMMYFUNCTION("""COMPUTED_VALUE"""),44844)</f>
        <v>44844</v>
      </c>
      <c r="C7979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79" t="str">
        <f ca="1">IFERROR(__xludf.DUMMYFUNCTION("""COMPUTED_VALUE"""),"Новый")</f>
        <v>Новый</v>
      </c>
      <c r="G7979" s="68"/>
      <c r="K7979" s="68"/>
    </row>
    <row r="7980" spans="1:11" ht="12.75">
      <c r="A7980" s="69">
        <f ca="1">IFERROR(__xludf.DUMMYFUNCTION("""COMPUTED_VALUE"""),109659)</f>
        <v>109659</v>
      </c>
      <c r="B7980" s="4">
        <f ca="1">IFERROR(__xludf.DUMMYFUNCTION("""COMPUTED_VALUE"""),44844)</f>
        <v>44844</v>
      </c>
      <c r="C7980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0" t="str">
        <f ca="1">IFERROR(__xludf.DUMMYFUNCTION("""COMPUTED_VALUE"""),"Новый")</f>
        <v>Новый</v>
      </c>
      <c r="G7980" s="68"/>
      <c r="K7980" s="68"/>
    </row>
    <row r="7981" spans="1:11" ht="12.75">
      <c r="A7981" s="69">
        <f ca="1">IFERROR(__xludf.DUMMYFUNCTION("""COMPUTED_VALUE"""),109660)</f>
        <v>109660</v>
      </c>
      <c r="B7981" s="4">
        <f ca="1">IFERROR(__xludf.DUMMYFUNCTION("""COMPUTED_VALUE"""),44844)</f>
        <v>44844</v>
      </c>
      <c r="C7981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1" t="str">
        <f ca="1">IFERROR(__xludf.DUMMYFUNCTION("""COMPUTED_VALUE"""),"Новый")</f>
        <v>Новый</v>
      </c>
      <c r="G7981" s="68"/>
      <c r="K7981" s="68"/>
    </row>
    <row r="7982" spans="1:11" ht="12.75">
      <c r="A7982" s="69">
        <f ca="1">IFERROR(__xludf.DUMMYFUNCTION("""COMPUTED_VALUE"""),109661)</f>
        <v>109661</v>
      </c>
      <c r="B7982" s="4">
        <f ca="1">IFERROR(__xludf.DUMMYFUNCTION("""COMPUTED_VALUE"""),44844)</f>
        <v>44844</v>
      </c>
      <c r="C7982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2" t="str">
        <f ca="1">IFERROR(__xludf.DUMMYFUNCTION("""COMPUTED_VALUE"""),"Новый")</f>
        <v>Новый</v>
      </c>
      <c r="G7982" s="68"/>
      <c r="K7982" s="68"/>
    </row>
    <row r="7983" spans="1:11" ht="12.75">
      <c r="A7983" s="69">
        <f ca="1">IFERROR(__xludf.DUMMYFUNCTION("""COMPUTED_VALUE"""),109662)</f>
        <v>109662</v>
      </c>
      <c r="B7983" s="4">
        <f ca="1">IFERROR(__xludf.DUMMYFUNCTION("""COMPUTED_VALUE"""),44844)</f>
        <v>44844</v>
      </c>
      <c r="C7983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3" t="str">
        <f ca="1">IFERROR(__xludf.DUMMYFUNCTION("""COMPUTED_VALUE"""),"Новый")</f>
        <v>Новый</v>
      </c>
      <c r="G7983" s="68"/>
      <c r="K7983" s="68"/>
    </row>
    <row r="7984" spans="1:11" ht="12.75">
      <c r="A7984" s="69">
        <f ca="1">IFERROR(__xludf.DUMMYFUNCTION("""COMPUTED_VALUE"""),109663)</f>
        <v>109663</v>
      </c>
      <c r="B7984" s="4">
        <f ca="1">IFERROR(__xludf.DUMMYFUNCTION("""COMPUTED_VALUE"""),44844)</f>
        <v>44844</v>
      </c>
      <c r="C7984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4" t="str">
        <f ca="1">IFERROR(__xludf.DUMMYFUNCTION("""COMPUTED_VALUE"""),"Новый")</f>
        <v>Новый</v>
      </c>
      <c r="G7984" s="68"/>
      <c r="K7984" s="68"/>
    </row>
    <row r="7985" spans="1:11" ht="12.75">
      <c r="A7985" s="69">
        <f ca="1">IFERROR(__xludf.DUMMYFUNCTION("""COMPUTED_VALUE"""),109664)</f>
        <v>109664</v>
      </c>
      <c r="B7985" s="4">
        <f ca="1">IFERROR(__xludf.DUMMYFUNCTION("""COMPUTED_VALUE"""),44844)</f>
        <v>44844</v>
      </c>
      <c r="C7985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5" t="str">
        <f ca="1">IFERROR(__xludf.DUMMYFUNCTION("""COMPUTED_VALUE"""),"Новый")</f>
        <v>Новый</v>
      </c>
      <c r="G7985" s="68"/>
      <c r="K7985" s="68"/>
    </row>
    <row r="7986" spans="1:11" ht="12.75">
      <c r="A7986" s="69">
        <f ca="1">IFERROR(__xludf.DUMMYFUNCTION("""COMPUTED_VALUE"""),109665)</f>
        <v>109665</v>
      </c>
      <c r="B7986" s="4">
        <f ca="1">IFERROR(__xludf.DUMMYFUNCTION("""COMPUTED_VALUE"""),44844)</f>
        <v>44844</v>
      </c>
      <c r="C7986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6" t="str">
        <f ca="1">IFERROR(__xludf.DUMMYFUNCTION("""COMPUTED_VALUE"""),"Новый")</f>
        <v>Новый</v>
      </c>
      <c r="G7986" s="68"/>
      <c r="K7986" s="68"/>
    </row>
    <row r="7987" spans="1:11" ht="12.75">
      <c r="A7987" s="69">
        <f ca="1">IFERROR(__xludf.DUMMYFUNCTION("""COMPUTED_VALUE"""),109666)</f>
        <v>109666</v>
      </c>
      <c r="B7987" s="4">
        <f ca="1">IFERROR(__xludf.DUMMYFUNCTION("""COMPUTED_VALUE"""),44844)</f>
        <v>44844</v>
      </c>
      <c r="C7987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7" t="str">
        <f ca="1">IFERROR(__xludf.DUMMYFUNCTION("""COMPUTED_VALUE"""),"Новый")</f>
        <v>Новый</v>
      </c>
      <c r="G7987" s="68"/>
      <c r="K7987" s="68"/>
    </row>
    <row r="7988" spans="1:11" ht="12.75">
      <c r="A7988" s="69">
        <f ca="1">IFERROR(__xludf.DUMMYFUNCTION("""COMPUTED_VALUE"""),109667)</f>
        <v>109667</v>
      </c>
      <c r="B7988" s="4">
        <f ca="1">IFERROR(__xludf.DUMMYFUNCTION("""COMPUTED_VALUE"""),44844)</f>
        <v>44844</v>
      </c>
      <c r="C7988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8" t="str">
        <f ca="1">IFERROR(__xludf.DUMMYFUNCTION("""COMPUTED_VALUE"""),"Новый")</f>
        <v>Новый</v>
      </c>
      <c r="G7988" s="68"/>
      <c r="K7988" s="68"/>
    </row>
    <row r="7989" spans="1:11" ht="12.75">
      <c r="A7989" s="69">
        <f ca="1">IFERROR(__xludf.DUMMYFUNCTION("""COMPUTED_VALUE"""),109668)</f>
        <v>109668</v>
      </c>
      <c r="B7989" s="4">
        <f ca="1">IFERROR(__xludf.DUMMYFUNCTION("""COMPUTED_VALUE"""),44844)</f>
        <v>44844</v>
      </c>
      <c r="C7989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89" t="str">
        <f ca="1">IFERROR(__xludf.DUMMYFUNCTION("""COMPUTED_VALUE"""),"Новый")</f>
        <v>Новый</v>
      </c>
      <c r="G7989" s="68"/>
      <c r="K7989" s="68"/>
    </row>
    <row r="7990" spans="1:11" ht="12.75">
      <c r="A7990" s="69">
        <f ca="1">IFERROR(__xludf.DUMMYFUNCTION("""COMPUTED_VALUE"""),109669)</f>
        <v>109669</v>
      </c>
      <c r="B7990" s="4">
        <f ca="1">IFERROR(__xludf.DUMMYFUNCTION("""COMPUTED_VALUE"""),44844)</f>
        <v>44844</v>
      </c>
      <c r="C7990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0" t="str">
        <f ca="1">IFERROR(__xludf.DUMMYFUNCTION("""COMPUTED_VALUE"""),"Новый")</f>
        <v>Новый</v>
      </c>
      <c r="G7990" s="68"/>
      <c r="K7990" s="68"/>
    </row>
    <row r="7991" spans="1:11" ht="12.75">
      <c r="A7991" s="69">
        <f ca="1">IFERROR(__xludf.DUMMYFUNCTION("""COMPUTED_VALUE"""),109670)</f>
        <v>109670</v>
      </c>
      <c r="B7991" s="4">
        <f ca="1">IFERROR(__xludf.DUMMYFUNCTION("""COMPUTED_VALUE"""),44844)</f>
        <v>44844</v>
      </c>
      <c r="C7991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1" t="str">
        <f ca="1">IFERROR(__xludf.DUMMYFUNCTION("""COMPUTED_VALUE"""),"Новый")</f>
        <v>Новый</v>
      </c>
      <c r="G7991" s="68"/>
      <c r="K7991" s="68"/>
    </row>
    <row r="7992" spans="1:11" ht="12.75">
      <c r="A7992" s="69">
        <f ca="1">IFERROR(__xludf.DUMMYFUNCTION("""COMPUTED_VALUE"""),109671)</f>
        <v>109671</v>
      </c>
      <c r="B7992" s="4">
        <f ca="1">IFERROR(__xludf.DUMMYFUNCTION("""COMPUTED_VALUE"""),44844)</f>
        <v>44844</v>
      </c>
      <c r="C7992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2" t="str">
        <f ca="1">IFERROR(__xludf.DUMMYFUNCTION("""COMPUTED_VALUE"""),"Новый")</f>
        <v>Новый</v>
      </c>
      <c r="G7992" s="68"/>
      <c r="K7992" s="68"/>
    </row>
    <row r="7993" spans="1:11" ht="12.75">
      <c r="A7993" s="69">
        <f ca="1">IFERROR(__xludf.DUMMYFUNCTION("""COMPUTED_VALUE"""),109672)</f>
        <v>109672</v>
      </c>
      <c r="B7993" s="4">
        <f ca="1">IFERROR(__xludf.DUMMYFUNCTION("""COMPUTED_VALUE"""),44844)</f>
        <v>44844</v>
      </c>
      <c r="C7993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3" t="str">
        <f ca="1">IFERROR(__xludf.DUMMYFUNCTION("""COMPUTED_VALUE"""),"Новый")</f>
        <v>Новый</v>
      </c>
      <c r="G7993" s="68"/>
      <c r="K7993" s="68"/>
    </row>
    <row r="7994" spans="1:11" ht="12.75">
      <c r="A7994" s="69">
        <f ca="1">IFERROR(__xludf.DUMMYFUNCTION("""COMPUTED_VALUE"""),109673)</f>
        <v>109673</v>
      </c>
      <c r="B7994" s="4">
        <f ca="1">IFERROR(__xludf.DUMMYFUNCTION("""COMPUTED_VALUE"""),44844)</f>
        <v>44844</v>
      </c>
      <c r="C7994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4" t="str">
        <f ca="1">IFERROR(__xludf.DUMMYFUNCTION("""COMPUTED_VALUE"""),"Новый")</f>
        <v>Новый</v>
      </c>
      <c r="G7994" s="68"/>
      <c r="K7994" s="68"/>
    </row>
    <row r="7995" spans="1:11" ht="12.75">
      <c r="A7995" s="69">
        <f ca="1">IFERROR(__xludf.DUMMYFUNCTION("""COMPUTED_VALUE"""),109674)</f>
        <v>109674</v>
      </c>
      <c r="B7995" s="4">
        <f ca="1">IFERROR(__xludf.DUMMYFUNCTION("""COMPUTED_VALUE"""),44844)</f>
        <v>44844</v>
      </c>
      <c r="C7995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5" t="str">
        <f ca="1">IFERROR(__xludf.DUMMYFUNCTION("""COMPUTED_VALUE"""),"Новый")</f>
        <v>Новый</v>
      </c>
      <c r="G7995" s="68"/>
      <c r="K7995" s="68"/>
    </row>
    <row r="7996" spans="1:11" ht="12.75">
      <c r="A7996" s="69">
        <f ca="1">IFERROR(__xludf.DUMMYFUNCTION("""COMPUTED_VALUE"""),109675)</f>
        <v>109675</v>
      </c>
      <c r="B7996" s="4">
        <f ca="1">IFERROR(__xludf.DUMMYFUNCTION("""COMPUTED_VALUE"""),44844)</f>
        <v>44844</v>
      </c>
      <c r="C7996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6" t="str">
        <f ca="1">IFERROR(__xludf.DUMMYFUNCTION("""COMPUTED_VALUE"""),"Новый")</f>
        <v>Новый</v>
      </c>
      <c r="G7996" s="68"/>
      <c r="K7996" s="68"/>
    </row>
    <row r="7997" spans="1:11" ht="12.75">
      <c r="A7997" s="69">
        <f ca="1">IFERROR(__xludf.DUMMYFUNCTION("""COMPUTED_VALUE"""),109676)</f>
        <v>109676</v>
      </c>
      <c r="B7997" s="4">
        <f ca="1">IFERROR(__xludf.DUMMYFUNCTION("""COMPUTED_VALUE"""),44844)</f>
        <v>44844</v>
      </c>
      <c r="C7997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7" t="str">
        <f ca="1">IFERROR(__xludf.DUMMYFUNCTION("""COMPUTED_VALUE"""),"Новый")</f>
        <v>Новый</v>
      </c>
      <c r="G7997" s="68"/>
      <c r="K7997" s="68"/>
    </row>
    <row r="7998" spans="1:11" ht="12.75">
      <c r="A7998" s="69">
        <f ca="1">IFERROR(__xludf.DUMMYFUNCTION("""COMPUTED_VALUE"""),109677)</f>
        <v>109677</v>
      </c>
      <c r="B7998" s="4">
        <f ca="1">IFERROR(__xludf.DUMMYFUNCTION("""COMPUTED_VALUE"""),44844)</f>
        <v>44844</v>
      </c>
      <c r="C7998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8" t="str">
        <f ca="1">IFERROR(__xludf.DUMMYFUNCTION("""COMPUTED_VALUE"""),"Новый")</f>
        <v>Новый</v>
      </c>
      <c r="G7998" s="68"/>
      <c r="K7998" s="68"/>
    </row>
    <row r="7999" spans="1:11" ht="12.75">
      <c r="A7999" s="69">
        <f ca="1">IFERROR(__xludf.DUMMYFUNCTION("""COMPUTED_VALUE"""),109678)</f>
        <v>109678</v>
      </c>
      <c r="B7999" s="4">
        <f ca="1">IFERROR(__xludf.DUMMYFUNCTION("""COMPUTED_VALUE"""),44844)</f>
        <v>44844</v>
      </c>
      <c r="C7999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79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7999" t="str">
        <f ca="1">IFERROR(__xludf.DUMMYFUNCTION("""COMPUTED_VALUE"""),"Новый")</f>
        <v>Новый</v>
      </c>
      <c r="G7999" s="68"/>
      <c r="K7999" s="68"/>
    </row>
    <row r="8000" spans="1:11" ht="12.75">
      <c r="A8000" s="69">
        <f ca="1">IFERROR(__xludf.DUMMYFUNCTION("""COMPUTED_VALUE"""),109679)</f>
        <v>109679</v>
      </c>
      <c r="B8000" s="4">
        <f ca="1">IFERROR(__xludf.DUMMYFUNCTION("""COMPUTED_VALUE"""),44844)</f>
        <v>44844</v>
      </c>
      <c r="C8000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0" t="str">
        <f ca="1">IFERROR(__xludf.DUMMYFUNCTION("""COMPUTED_VALUE"""),"Новый")</f>
        <v>Новый</v>
      </c>
      <c r="G8000" s="68"/>
      <c r="K8000" s="68"/>
    </row>
    <row r="8001" spans="1:11" ht="12.75">
      <c r="A8001" s="69">
        <f ca="1">IFERROR(__xludf.DUMMYFUNCTION("""COMPUTED_VALUE"""),109680)</f>
        <v>109680</v>
      </c>
      <c r="B8001" s="4">
        <f ca="1">IFERROR(__xludf.DUMMYFUNCTION("""COMPUTED_VALUE"""),44844)</f>
        <v>44844</v>
      </c>
      <c r="C8001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1" t="str">
        <f ca="1">IFERROR(__xludf.DUMMYFUNCTION("""COMPUTED_VALUE"""),"Новый")</f>
        <v>Новый</v>
      </c>
      <c r="G8001" s="68"/>
      <c r="K8001" s="68"/>
    </row>
    <row r="8002" spans="1:11" ht="12.75">
      <c r="A8002" s="69">
        <f ca="1">IFERROR(__xludf.DUMMYFUNCTION("""COMPUTED_VALUE"""),109681)</f>
        <v>109681</v>
      </c>
      <c r="B8002" s="4">
        <f ca="1">IFERROR(__xludf.DUMMYFUNCTION("""COMPUTED_VALUE"""),44844)</f>
        <v>44844</v>
      </c>
      <c r="C8002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2" t="str">
        <f ca="1">IFERROR(__xludf.DUMMYFUNCTION("""COMPUTED_VALUE"""),"Новый")</f>
        <v>Новый</v>
      </c>
      <c r="G8002" s="68"/>
      <c r="K8002" s="68"/>
    </row>
    <row r="8003" spans="1:11" ht="12.75">
      <c r="A8003" s="69">
        <f ca="1">IFERROR(__xludf.DUMMYFUNCTION("""COMPUTED_VALUE"""),109682)</f>
        <v>109682</v>
      </c>
      <c r="B8003" s="4">
        <f ca="1">IFERROR(__xludf.DUMMYFUNCTION("""COMPUTED_VALUE"""),44844)</f>
        <v>44844</v>
      </c>
      <c r="C8003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3" t="str">
        <f ca="1">IFERROR(__xludf.DUMMYFUNCTION("""COMPUTED_VALUE"""),"Новый")</f>
        <v>Новый</v>
      </c>
      <c r="G8003" s="68"/>
      <c r="K8003" s="68"/>
    </row>
    <row r="8004" spans="1:11" ht="12.75">
      <c r="A8004" s="69">
        <f ca="1">IFERROR(__xludf.DUMMYFUNCTION("""COMPUTED_VALUE"""),109683)</f>
        <v>109683</v>
      </c>
      <c r="B8004" s="4">
        <f ca="1">IFERROR(__xludf.DUMMYFUNCTION("""COMPUTED_VALUE"""),44844)</f>
        <v>44844</v>
      </c>
      <c r="C8004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4" t="str">
        <f ca="1">IFERROR(__xludf.DUMMYFUNCTION("""COMPUTED_VALUE"""),"Новый")</f>
        <v>Новый</v>
      </c>
      <c r="G8004" s="68"/>
      <c r="K8004" s="68"/>
    </row>
    <row r="8005" spans="1:11" ht="12.75">
      <c r="A8005" s="69">
        <f ca="1">IFERROR(__xludf.DUMMYFUNCTION("""COMPUTED_VALUE"""),109684)</f>
        <v>109684</v>
      </c>
      <c r="B8005" s="4">
        <f ca="1">IFERROR(__xludf.DUMMYFUNCTION("""COMPUTED_VALUE"""),44844)</f>
        <v>44844</v>
      </c>
      <c r="C8005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5" t="str">
        <f ca="1">IFERROR(__xludf.DUMMYFUNCTION("""COMPUTED_VALUE"""),"Новый")</f>
        <v>Новый</v>
      </c>
      <c r="G8005" s="68"/>
      <c r="K8005" s="68"/>
    </row>
    <row r="8006" spans="1:11" ht="12.75">
      <c r="A8006" s="69">
        <f ca="1">IFERROR(__xludf.DUMMYFUNCTION("""COMPUTED_VALUE"""),109685)</f>
        <v>109685</v>
      </c>
      <c r="B8006" s="4">
        <f ca="1">IFERROR(__xludf.DUMMYFUNCTION("""COMPUTED_VALUE"""),44844)</f>
        <v>44844</v>
      </c>
      <c r="C8006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6" t="str">
        <f ca="1">IFERROR(__xludf.DUMMYFUNCTION("""COMPUTED_VALUE"""),"Новый")</f>
        <v>Новый</v>
      </c>
      <c r="G8006" s="68"/>
      <c r="K8006" s="68"/>
    </row>
    <row r="8007" spans="1:11" ht="12.75">
      <c r="A8007" s="69">
        <f ca="1">IFERROR(__xludf.DUMMYFUNCTION("""COMPUTED_VALUE"""),109686)</f>
        <v>109686</v>
      </c>
      <c r="B8007" s="4">
        <f ca="1">IFERROR(__xludf.DUMMYFUNCTION("""COMPUTED_VALUE"""),44844)</f>
        <v>44844</v>
      </c>
      <c r="C8007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7" t="str">
        <f ca="1">IFERROR(__xludf.DUMMYFUNCTION("""COMPUTED_VALUE"""),"Новый")</f>
        <v>Новый</v>
      </c>
      <c r="G8007" s="68"/>
      <c r="K8007" s="68"/>
    </row>
    <row r="8008" spans="1:11" ht="12.75">
      <c r="A8008" s="69">
        <f ca="1">IFERROR(__xludf.DUMMYFUNCTION("""COMPUTED_VALUE"""),109687)</f>
        <v>109687</v>
      </c>
      <c r="B8008" s="4">
        <f ca="1">IFERROR(__xludf.DUMMYFUNCTION("""COMPUTED_VALUE"""),44844)</f>
        <v>44844</v>
      </c>
      <c r="C8008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8" t="str">
        <f ca="1">IFERROR(__xludf.DUMMYFUNCTION("""COMPUTED_VALUE"""),"Новый")</f>
        <v>Новый</v>
      </c>
      <c r="G8008" s="68"/>
      <c r="K8008" s="68"/>
    </row>
    <row r="8009" spans="1:11" ht="12.75">
      <c r="A8009" s="69">
        <f ca="1">IFERROR(__xludf.DUMMYFUNCTION("""COMPUTED_VALUE"""),109688)</f>
        <v>109688</v>
      </c>
      <c r="B8009" s="4">
        <f ca="1">IFERROR(__xludf.DUMMYFUNCTION("""COMPUTED_VALUE"""),44844)</f>
        <v>44844</v>
      </c>
      <c r="C8009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09" t="str">
        <f ca="1">IFERROR(__xludf.DUMMYFUNCTION("""COMPUTED_VALUE"""),"Новый")</f>
        <v>Новый</v>
      </c>
      <c r="G8009" s="68"/>
      <c r="K8009" s="68"/>
    </row>
    <row r="8010" spans="1:11" ht="12.75">
      <c r="A8010" s="69">
        <f ca="1">IFERROR(__xludf.DUMMYFUNCTION("""COMPUTED_VALUE"""),109689)</f>
        <v>109689</v>
      </c>
      <c r="B8010" s="4">
        <f ca="1">IFERROR(__xludf.DUMMYFUNCTION("""COMPUTED_VALUE"""),44844)</f>
        <v>44844</v>
      </c>
      <c r="C8010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0" t="str">
        <f ca="1">IFERROR(__xludf.DUMMYFUNCTION("""COMPUTED_VALUE"""),"Новый")</f>
        <v>Новый</v>
      </c>
      <c r="G8010" s="68"/>
      <c r="K8010" s="68"/>
    </row>
    <row r="8011" spans="1:11" ht="12.75">
      <c r="A8011" s="69">
        <f ca="1">IFERROR(__xludf.DUMMYFUNCTION("""COMPUTED_VALUE"""),109690)</f>
        <v>109690</v>
      </c>
      <c r="B8011" s="4">
        <f ca="1">IFERROR(__xludf.DUMMYFUNCTION("""COMPUTED_VALUE"""),44844)</f>
        <v>44844</v>
      </c>
      <c r="C8011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1" t="str">
        <f ca="1">IFERROR(__xludf.DUMMYFUNCTION("""COMPUTED_VALUE"""),"Новый")</f>
        <v>Новый</v>
      </c>
      <c r="G8011" s="68"/>
      <c r="K8011" s="68"/>
    </row>
    <row r="8012" spans="1:11" ht="12.75">
      <c r="A8012" s="69">
        <f ca="1">IFERROR(__xludf.DUMMYFUNCTION("""COMPUTED_VALUE"""),109691)</f>
        <v>109691</v>
      </c>
      <c r="B8012" s="4">
        <f ca="1">IFERROR(__xludf.DUMMYFUNCTION("""COMPUTED_VALUE"""),44844)</f>
        <v>44844</v>
      </c>
      <c r="C8012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2" t="str">
        <f ca="1">IFERROR(__xludf.DUMMYFUNCTION("""COMPUTED_VALUE"""),"Новый")</f>
        <v>Новый</v>
      </c>
      <c r="G8012" s="68"/>
      <c r="K8012" s="68"/>
    </row>
    <row r="8013" spans="1:11" ht="12.75">
      <c r="A8013" s="69">
        <f ca="1">IFERROR(__xludf.DUMMYFUNCTION("""COMPUTED_VALUE"""),109692)</f>
        <v>109692</v>
      </c>
      <c r="B8013" s="4">
        <f ca="1">IFERROR(__xludf.DUMMYFUNCTION("""COMPUTED_VALUE"""),44844)</f>
        <v>44844</v>
      </c>
      <c r="C8013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3" t="str">
        <f ca="1">IFERROR(__xludf.DUMMYFUNCTION("""COMPUTED_VALUE"""),"Новый")</f>
        <v>Новый</v>
      </c>
      <c r="G8013" s="68"/>
      <c r="K8013" s="68"/>
    </row>
    <row r="8014" spans="1:11" ht="12.75">
      <c r="A8014" s="69">
        <f ca="1">IFERROR(__xludf.DUMMYFUNCTION("""COMPUTED_VALUE"""),109693)</f>
        <v>109693</v>
      </c>
      <c r="B8014" s="4">
        <f ca="1">IFERROR(__xludf.DUMMYFUNCTION("""COMPUTED_VALUE"""),44844)</f>
        <v>44844</v>
      </c>
      <c r="C8014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4" t="str">
        <f ca="1">IFERROR(__xludf.DUMMYFUNCTION("""COMPUTED_VALUE"""),"Новый")</f>
        <v>Новый</v>
      </c>
      <c r="G8014" s="68"/>
      <c r="K8014" s="68"/>
    </row>
    <row r="8015" spans="1:11" ht="12.75">
      <c r="A8015" s="69">
        <f ca="1">IFERROR(__xludf.DUMMYFUNCTION("""COMPUTED_VALUE"""),109694)</f>
        <v>109694</v>
      </c>
      <c r="B8015" s="4">
        <f ca="1">IFERROR(__xludf.DUMMYFUNCTION("""COMPUTED_VALUE"""),44844)</f>
        <v>44844</v>
      </c>
      <c r="C8015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5" t="str">
        <f ca="1">IFERROR(__xludf.DUMMYFUNCTION("""COMPUTED_VALUE"""),"Новый")</f>
        <v>Новый</v>
      </c>
      <c r="G8015" s="68"/>
      <c r="K8015" s="68"/>
    </row>
    <row r="8016" spans="1:11" ht="12.75">
      <c r="A8016" s="69">
        <f ca="1">IFERROR(__xludf.DUMMYFUNCTION("""COMPUTED_VALUE"""),109695)</f>
        <v>109695</v>
      </c>
      <c r="B8016" s="4">
        <f ca="1">IFERROR(__xludf.DUMMYFUNCTION("""COMPUTED_VALUE"""),44844)</f>
        <v>44844</v>
      </c>
      <c r="C8016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6" t="str">
        <f ca="1">IFERROR(__xludf.DUMMYFUNCTION("""COMPUTED_VALUE"""),"Новый")</f>
        <v>Новый</v>
      </c>
      <c r="G8016" s="68"/>
      <c r="K8016" s="68"/>
    </row>
    <row r="8017" spans="1:11" ht="12.75">
      <c r="A8017" s="69">
        <f ca="1">IFERROR(__xludf.DUMMYFUNCTION("""COMPUTED_VALUE"""),109696)</f>
        <v>109696</v>
      </c>
      <c r="B8017" s="4">
        <f ca="1">IFERROR(__xludf.DUMMYFUNCTION("""COMPUTED_VALUE"""),44844)</f>
        <v>44844</v>
      </c>
      <c r="C8017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7" t="str">
        <f ca="1">IFERROR(__xludf.DUMMYFUNCTION("""COMPUTED_VALUE"""),"Новый")</f>
        <v>Новый</v>
      </c>
      <c r="G8017" s="68"/>
      <c r="K8017" s="68"/>
    </row>
    <row r="8018" spans="1:11" ht="12.75">
      <c r="A8018" s="69">
        <f ca="1">IFERROR(__xludf.DUMMYFUNCTION("""COMPUTED_VALUE"""),109697)</f>
        <v>109697</v>
      </c>
      <c r="B8018" s="4">
        <f ca="1">IFERROR(__xludf.DUMMYFUNCTION("""COMPUTED_VALUE"""),44844)</f>
        <v>44844</v>
      </c>
      <c r="C8018" t="str">
        <f ca="1">IFERROR(__xludf.DUMMYFUNCTION("""COMPUTED_VALUE"""),"ИП Паталаха Андрей Анатольевич 194-РДО от 15.06.2022")</f>
        <v>ИП Паталаха Андрей Анатольевич 194-РДО от 15.06.2022</v>
      </c>
      <c r="D80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8" t="str">
        <f ca="1">IFERROR(__xludf.DUMMYFUNCTION("""COMPUTED_VALUE"""),"Новый")</f>
        <v>Новый</v>
      </c>
      <c r="G8018" s="68"/>
      <c r="K8018" s="68"/>
    </row>
    <row r="8019" spans="1:11" ht="12.75">
      <c r="A8019" s="69">
        <f ca="1">IFERROR(__xludf.DUMMYFUNCTION("""COMPUTED_VALUE"""),109698)</f>
        <v>109698</v>
      </c>
      <c r="B8019" s="4">
        <f ca="1">IFERROR(__xludf.DUMMYFUNCTION("""COMPUTED_VALUE"""),44845)</f>
        <v>44845</v>
      </c>
      <c r="C8019" t="str">
        <f ca="1">IFERROR(__xludf.DUMMYFUNCTION("""COMPUTED_VALUE"""),"ООО ""СИБКОМ"" 154-РДО от 15.04.2022")</f>
        <v>ООО "СИБКОМ" 154-РДО от 15.04.2022</v>
      </c>
      <c r="D80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19" t="str">
        <f ca="1">IFERROR(__xludf.DUMMYFUNCTION("""COMPUTED_VALUE"""),"Новый")</f>
        <v>Новый</v>
      </c>
      <c r="G8019" s="68"/>
      <c r="K8019" s="68"/>
    </row>
    <row r="8020" spans="1:11" ht="12.75">
      <c r="A8020" s="69">
        <f ca="1">IFERROR(__xludf.DUMMYFUNCTION("""COMPUTED_VALUE"""),109699)</f>
        <v>109699</v>
      </c>
      <c r="B8020" s="4">
        <f ca="1">IFERROR(__xludf.DUMMYFUNCTION("""COMPUTED_VALUE"""),44845)</f>
        <v>44845</v>
      </c>
      <c r="C8020" t="str">
        <f ca="1">IFERROR(__xludf.DUMMYFUNCTION("""COMPUTED_VALUE"""),"ООО ""СИБКОМ"" 154-РДО от 15.04.2022")</f>
        <v>ООО "СИБКОМ" 154-РДО от 15.04.2022</v>
      </c>
      <c r="D80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0" t="str">
        <f ca="1">IFERROR(__xludf.DUMMYFUNCTION("""COMPUTED_VALUE"""),"Новый")</f>
        <v>Новый</v>
      </c>
      <c r="G8020" s="68"/>
      <c r="K8020" s="68"/>
    </row>
    <row r="8021" spans="1:11" ht="12.75">
      <c r="A8021" s="69">
        <f ca="1">IFERROR(__xludf.DUMMYFUNCTION("""COMPUTED_VALUE"""),109700)</f>
        <v>109700</v>
      </c>
      <c r="B8021" s="4">
        <f ca="1">IFERROR(__xludf.DUMMYFUNCTION("""COMPUTED_VALUE"""),44845)</f>
        <v>44845</v>
      </c>
      <c r="C8021" t="str">
        <f ca="1">IFERROR(__xludf.DUMMYFUNCTION("""COMPUTED_VALUE"""),"ООО ""СИБКОМ"" 154-РДО от 15.04.2022")</f>
        <v>ООО "СИБКОМ" 154-РДО от 15.04.2022</v>
      </c>
      <c r="D80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1" t="str">
        <f ca="1">IFERROR(__xludf.DUMMYFUNCTION("""COMPUTED_VALUE"""),"Новый")</f>
        <v>Новый</v>
      </c>
      <c r="G8021" s="68"/>
      <c r="K8021" s="68"/>
    </row>
    <row r="8022" spans="1:11" ht="12.75">
      <c r="A8022" s="69">
        <f ca="1">IFERROR(__xludf.DUMMYFUNCTION("""COMPUTED_VALUE"""),109701)</f>
        <v>109701</v>
      </c>
      <c r="B8022" s="4">
        <f ca="1">IFERROR(__xludf.DUMMYFUNCTION("""COMPUTED_VALUE"""),44845)</f>
        <v>44845</v>
      </c>
      <c r="C8022" t="str">
        <f ca="1">IFERROR(__xludf.DUMMYFUNCTION("""COMPUTED_VALUE"""),"ООО ""СИБКОМ"" 154-РДО от 15.04.2022")</f>
        <v>ООО "СИБКОМ" 154-РДО от 15.04.2022</v>
      </c>
      <c r="D80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2" t="str">
        <f ca="1">IFERROR(__xludf.DUMMYFUNCTION("""COMPUTED_VALUE"""),"Новый")</f>
        <v>Новый</v>
      </c>
      <c r="G8022" s="68"/>
      <c r="K8022" s="68"/>
    </row>
    <row r="8023" spans="1:11" ht="12.75">
      <c r="A8023" s="69">
        <f ca="1">IFERROR(__xludf.DUMMYFUNCTION("""COMPUTED_VALUE"""),109702)</f>
        <v>109702</v>
      </c>
      <c r="B8023" s="4">
        <f ca="1">IFERROR(__xludf.DUMMYFUNCTION("""COMPUTED_VALUE"""),44845)</f>
        <v>44845</v>
      </c>
      <c r="C8023" t="str">
        <f ca="1">IFERROR(__xludf.DUMMYFUNCTION("""COMPUTED_VALUE"""),"ООО ""СИБКОМ"" 154-РДО от 15.04.2022")</f>
        <v>ООО "СИБКОМ" 154-РДО от 15.04.2022</v>
      </c>
      <c r="D80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3" t="str">
        <f ca="1">IFERROR(__xludf.DUMMYFUNCTION("""COMPUTED_VALUE"""),"Новый")</f>
        <v>Новый</v>
      </c>
      <c r="G8023" s="68"/>
      <c r="K8023" s="68"/>
    </row>
    <row r="8024" spans="1:11" ht="12.75">
      <c r="A8024" s="69">
        <f ca="1">IFERROR(__xludf.DUMMYFUNCTION("""COMPUTED_VALUE"""),109703)</f>
        <v>109703</v>
      </c>
      <c r="B8024" s="4">
        <f ca="1">IFERROR(__xludf.DUMMYFUNCTION("""COMPUTED_VALUE"""),44845)</f>
        <v>44845</v>
      </c>
      <c r="C8024" t="str">
        <f ca="1">IFERROR(__xludf.DUMMYFUNCTION("""COMPUTED_VALUE"""),"ООО ""СИБКОМ"" 154-РДО от 15.04.2022")</f>
        <v>ООО "СИБКОМ" 154-РДО от 15.04.2022</v>
      </c>
      <c r="D80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4" t="str">
        <f ca="1">IFERROR(__xludf.DUMMYFUNCTION("""COMPUTED_VALUE"""),"Новый")</f>
        <v>Новый</v>
      </c>
      <c r="G8024" s="68"/>
      <c r="K8024" s="68"/>
    </row>
    <row r="8025" spans="1:11" ht="12.75">
      <c r="A8025" s="69">
        <f ca="1">IFERROR(__xludf.DUMMYFUNCTION("""COMPUTED_VALUE"""),109704)</f>
        <v>109704</v>
      </c>
      <c r="B8025" s="4">
        <f ca="1">IFERROR(__xludf.DUMMYFUNCTION("""COMPUTED_VALUE"""),44845)</f>
        <v>44845</v>
      </c>
      <c r="C8025" t="str">
        <f ca="1">IFERROR(__xludf.DUMMYFUNCTION("""COMPUTED_VALUE"""),"ООО ""СИБКОМ"" 154-РДО от 15.04.2022")</f>
        <v>ООО "СИБКОМ" 154-РДО от 15.04.2022</v>
      </c>
      <c r="D80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5" t="str">
        <f ca="1">IFERROR(__xludf.DUMMYFUNCTION("""COMPUTED_VALUE"""),"Новый")</f>
        <v>Новый</v>
      </c>
      <c r="G8025" s="68"/>
      <c r="K8025" s="68"/>
    </row>
    <row r="8026" spans="1:11" ht="12.75">
      <c r="A8026" s="69">
        <f ca="1">IFERROR(__xludf.DUMMYFUNCTION("""COMPUTED_VALUE"""),109705)</f>
        <v>109705</v>
      </c>
      <c r="B8026" s="4">
        <f ca="1">IFERROR(__xludf.DUMMYFUNCTION("""COMPUTED_VALUE"""),44845)</f>
        <v>44845</v>
      </c>
      <c r="C8026" t="str">
        <f ca="1">IFERROR(__xludf.DUMMYFUNCTION("""COMPUTED_VALUE"""),"ООО ""СИБКОМ"" 154-РДО от 15.04.2022")</f>
        <v>ООО "СИБКОМ" 154-РДО от 15.04.2022</v>
      </c>
      <c r="D80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6" t="str">
        <f ca="1">IFERROR(__xludf.DUMMYFUNCTION("""COMPUTED_VALUE"""),"Новый")</f>
        <v>Новый</v>
      </c>
      <c r="G8026" s="68"/>
      <c r="K8026" s="68"/>
    </row>
    <row r="8027" spans="1:11" ht="12.75">
      <c r="A8027" s="69">
        <f ca="1">IFERROR(__xludf.DUMMYFUNCTION("""COMPUTED_VALUE"""),109706)</f>
        <v>109706</v>
      </c>
      <c r="B8027" s="4">
        <f ca="1">IFERROR(__xludf.DUMMYFUNCTION("""COMPUTED_VALUE"""),44845)</f>
        <v>44845</v>
      </c>
      <c r="C8027" t="str">
        <f ca="1">IFERROR(__xludf.DUMMYFUNCTION("""COMPUTED_VALUE"""),"ООО ""СИБКОМ"" 154-РДО от 15.04.2022")</f>
        <v>ООО "СИБКОМ" 154-РДО от 15.04.2022</v>
      </c>
      <c r="D80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7" t="str">
        <f ca="1">IFERROR(__xludf.DUMMYFUNCTION("""COMPUTED_VALUE"""),"Новый")</f>
        <v>Новый</v>
      </c>
      <c r="G8027" s="68"/>
      <c r="K8027" s="68"/>
    </row>
    <row r="8028" spans="1:11" ht="12.75">
      <c r="A8028" s="69">
        <f ca="1">IFERROR(__xludf.DUMMYFUNCTION("""COMPUTED_VALUE"""),109707)</f>
        <v>109707</v>
      </c>
      <c r="B8028" s="4">
        <f ca="1">IFERROR(__xludf.DUMMYFUNCTION("""COMPUTED_VALUE"""),44845)</f>
        <v>44845</v>
      </c>
      <c r="C8028" t="str">
        <f ca="1">IFERROR(__xludf.DUMMYFUNCTION("""COMPUTED_VALUE"""),"ООО ""СИБКОМ"" 154-РДО от 15.04.2022")</f>
        <v>ООО "СИБКОМ" 154-РДО от 15.04.2022</v>
      </c>
      <c r="D80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8" t="str">
        <f ca="1">IFERROR(__xludf.DUMMYFUNCTION("""COMPUTED_VALUE"""),"Новый")</f>
        <v>Новый</v>
      </c>
      <c r="G8028" s="68"/>
      <c r="K8028" s="68"/>
    </row>
    <row r="8029" spans="1:11" ht="12.75">
      <c r="A8029" s="69">
        <f ca="1">IFERROR(__xludf.DUMMYFUNCTION("""COMPUTED_VALUE"""),109708)</f>
        <v>109708</v>
      </c>
      <c r="B8029" s="4">
        <f ca="1">IFERROR(__xludf.DUMMYFUNCTION("""COMPUTED_VALUE"""),44845)</f>
        <v>44845</v>
      </c>
      <c r="C8029" t="str">
        <f ca="1">IFERROR(__xludf.DUMMYFUNCTION("""COMPUTED_VALUE"""),"ООО ""СИБКОМ"" 154-РДО от 15.04.2022")</f>
        <v>ООО "СИБКОМ" 154-РДО от 15.04.2022</v>
      </c>
      <c r="D80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29" t="str">
        <f ca="1">IFERROR(__xludf.DUMMYFUNCTION("""COMPUTED_VALUE"""),"Новый")</f>
        <v>Новый</v>
      </c>
      <c r="G8029" s="68"/>
      <c r="K8029" s="68"/>
    </row>
    <row r="8030" spans="1:11" ht="12.75">
      <c r="A8030" s="69">
        <f ca="1">IFERROR(__xludf.DUMMYFUNCTION("""COMPUTED_VALUE"""),109709)</f>
        <v>109709</v>
      </c>
      <c r="B8030" s="4">
        <f ca="1">IFERROR(__xludf.DUMMYFUNCTION("""COMPUTED_VALUE"""),44845)</f>
        <v>44845</v>
      </c>
      <c r="C8030" t="str">
        <f ca="1">IFERROR(__xludf.DUMMYFUNCTION("""COMPUTED_VALUE"""),"ООО ""СИБКОМ"" 154-РДО от 15.04.2022")</f>
        <v>ООО "СИБКОМ" 154-РДО от 15.04.2022</v>
      </c>
      <c r="D80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0" t="str">
        <f ca="1">IFERROR(__xludf.DUMMYFUNCTION("""COMPUTED_VALUE"""),"Новый")</f>
        <v>Новый</v>
      </c>
      <c r="G8030" s="68"/>
      <c r="K8030" s="68"/>
    </row>
    <row r="8031" spans="1:11" ht="12.75">
      <c r="A8031" s="69">
        <f ca="1">IFERROR(__xludf.DUMMYFUNCTION("""COMPUTED_VALUE"""),109710)</f>
        <v>109710</v>
      </c>
      <c r="B8031" s="4">
        <f ca="1">IFERROR(__xludf.DUMMYFUNCTION("""COMPUTED_VALUE"""),44845)</f>
        <v>44845</v>
      </c>
      <c r="C8031" t="str">
        <f ca="1">IFERROR(__xludf.DUMMYFUNCTION("""COMPUTED_VALUE"""),"ООО ""СИБКОМ"" 154-РДО от 15.04.2022")</f>
        <v>ООО "СИБКОМ" 154-РДО от 15.04.2022</v>
      </c>
      <c r="D80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1" t="str">
        <f ca="1">IFERROR(__xludf.DUMMYFUNCTION("""COMPUTED_VALUE"""),"Новый")</f>
        <v>Новый</v>
      </c>
      <c r="G8031" s="68"/>
      <c r="K8031" s="68"/>
    </row>
    <row r="8032" spans="1:11" ht="12.75">
      <c r="A8032" s="69">
        <f ca="1">IFERROR(__xludf.DUMMYFUNCTION("""COMPUTED_VALUE"""),109711)</f>
        <v>109711</v>
      </c>
      <c r="B8032" s="4">
        <f ca="1">IFERROR(__xludf.DUMMYFUNCTION("""COMPUTED_VALUE"""),44845)</f>
        <v>44845</v>
      </c>
      <c r="C8032" t="str">
        <f ca="1">IFERROR(__xludf.DUMMYFUNCTION("""COMPUTED_VALUE"""),"ООО ""СИБКОМ"" 154-РДО от 15.04.2022")</f>
        <v>ООО "СИБКОМ" 154-РДО от 15.04.2022</v>
      </c>
      <c r="D80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2" t="str">
        <f ca="1">IFERROR(__xludf.DUMMYFUNCTION("""COMPUTED_VALUE"""),"Новый")</f>
        <v>Новый</v>
      </c>
      <c r="G8032" s="68"/>
      <c r="K8032" s="68"/>
    </row>
    <row r="8033" spans="1:11" ht="12.75">
      <c r="A8033" s="69">
        <f ca="1">IFERROR(__xludf.DUMMYFUNCTION("""COMPUTED_VALUE"""),109712)</f>
        <v>109712</v>
      </c>
      <c r="B8033" s="4">
        <f ca="1">IFERROR(__xludf.DUMMYFUNCTION("""COMPUTED_VALUE"""),44845)</f>
        <v>44845</v>
      </c>
      <c r="C8033" t="str">
        <f ca="1">IFERROR(__xludf.DUMMYFUNCTION("""COMPUTED_VALUE"""),"ООО ""СИБКОМ"" 154-РДО от 15.04.2022")</f>
        <v>ООО "СИБКОМ" 154-РДО от 15.04.2022</v>
      </c>
      <c r="D80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3" t="str">
        <f ca="1">IFERROR(__xludf.DUMMYFUNCTION("""COMPUTED_VALUE"""),"Новый")</f>
        <v>Новый</v>
      </c>
      <c r="G8033" s="68"/>
      <c r="K8033" s="68"/>
    </row>
    <row r="8034" spans="1:11" ht="12.75">
      <c r="A8034" s="69">
        <f ca="1">IFERROR(__xludf.DUMMYFUNCTION("""COMPUTED_VALUE"""),109713)</f>
        <v>109713</v>
      </c>
      <c r="B8034" s="4">
        <f ca="1">IFERROR(__xludf.DUMMYFUNCTION("""COMPUTED_VALUE"""),44845)</f>
        <v>44845</v>
      </c>
      <c r="C8034" t="str">
        <f ca="1">IFERROR(__xludf.DUMMYFUNCTION("""COMPUTED_VALUE"""),"ООО ""СИБКОМ"" 154-РДО от 15.04.2022")</f>
        <v>ООО "СИБКОМ" 154-РДО от 15.04.2022</v>
      </c>
      <c r="D80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4" t="str">
        <f ca="1">IFERROR(__xludf.DUMMYFUNCTION("""COMPUTED_VALUE"""),"Новый")</f>
        <v>Новый</v>
      </c>
      <c r="G8034" s="68"/>
      <c r="K8034" s="68"/>
    </row>
    <row r="8035" spans="1:11" ht="12.75">
      <c r="A8035" s="69">
        <f ca="1">IFERROR(__xludf.DUMMYFUNCTION("""COMPUTED_VALUE"""),109714)</f>
        <v>109714</v>
      </c>
      <c r="B8035" s="4">
        <f ca="1">IFERROR(__xludf.DUMMYFUNCTION("""COMPUTED_VALUE"""),44845)</f>
        <v>44845</v>
      </c>
      <c r="C8035" t="str">
        <f ca="1">IFERROR(__xludf.DUMMYFUNCTION("""COMPUTED_VALUE"""),"ООО ""СИБКОМ"" 154-РДО от 15.04.2022")</f>
        <v>ООО "СИБКОМ" 154-РДО от 15.04.2022</v>
      </c>
      <c r="D80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5" t="str">
        <f ca="1">IFERROR(__xludf.DUMMYFUNCTION("""COMPUTED_VALUE"""),"Новый")</f>
        <v>Новый</v>
      </c>
      <c r="G8035" s="68"/>
      <c r="K8035" s="68"/>
    </row>
    <row r="8036" spans="1:11" ht="12.75">
      <c r="A8036" s="69">
        <f ca="1">IFERROR(__xludf.DUMMYFUNCTION("""COMPUTED_VALUE"""),109715)</f>
        <v>109715</v>
      </c>
      <c r="B8036" s="4">
        <f ca="1">IFERROR(__xludf.DUMMYFUNCTION("""COMPUTED_VALUE"""),44845)</f>
        <v>44845</v>
      </c>
      <c r="C8036" t="str">
        <f ca="1">IFERROR(__xludf.DUMMYFUNCTION("""COMPUTED_VALUE"""),"ООО ""СИБКОМ"" 154-РДО от 15.04.2022")</f>
        <v>ООО "СИБКОМ" 154-РДО от 15.04.2022</v>
      </c>
      <c r="D80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6" t="str">
        <f ca="1">IFERROR(__xludf.DUMMYFUNCTION("""COMPUTED_VALUE"""),"Новый")</f>
        <v>Новый</v>
      </c>
      <c r="G8036" s="68"/>
      <c r="K8036" s="68"/>
    </row>
    <row r="8037" spans="1:11" ht="12.75">
      <c r="A8037" s="69">
        <f ca="1">IFERROR(__xludf.DUMMYFUNCTION("""COMPUTED_VALUE"""),109716)</f>
        <v>109716</v>
      </c>
      <c r="B8037" s="4">
        <f ca="1">IFERROR(__xludf.DUMMYFUNCTION("""COMPUTED_VALUE"""),44845)</f>
        <v>44845</v>
      </c>
      <c r="C8037" t="str">
        <f ca="1">IFERROR(__xludf.DUMMYFUNCTION("""COMPUTED_VALUE"""),"ООО ""СИБКОМ"" 154-РДО от 15.04.2022")</f>
        <v>ООО "СИБКОМ" 154-РДО от 15.04.2022</v>
      </c>
      <c r="D80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7" t="str">
        <f ca="1">IFERROR(__xludf.DUMMYFUNCTION("""COMPUTED_VALUE"""),"Новый")</f>
        <v>Новый</v>
      </c>
      <c r="G8037" s="68"/>
      <c r="K8037" s="68"/>
    </row>
    <row r="8038" spans="1:11" ht="12.75">
      <c r="A8038" s="69">
        <f ca="1">IFERROR(__xludf.DUMMYFUNCTION("""COMPUTED_VALUE"""),109717)</f>
        <v>109717</v>
      </c>
      <c r="B8038" s="4">
        <f ca="1">IFERROR(__xludf.DUMMYFUNCTION("""COMPUTED_VALUE"""),44845)</f>
        <v>44845</v>
      </c>
      <c r="C8038" t="str">
        <f ca="1">IFERROR(__xludf.DUMMYFUNCTION("""COMPUTED_VALUE"""),"ООО ""СИБКОМ"" 154-РДО от 15.04.2022")</f>
        <v>ООО "СИБКОМ" 154-РДО от 15.04.2022</v>
      </c>
      <c r="D80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8" t="str">
        <f ca="1">IFERROR(__xludf.DUMMYFUNCTION("""COMPUTED_VALUE"""),"Новый")</f>
        <v>Новый</v>
      </c>
      <c r="G8038" s="68"/>
      <c r="K8038" s="68"/>
    </row>
    <row r="8039" spans="1:11" ht="12.75">
      <c r="A8039" s="69">
        <f ca="1">IFERROR(__xludf.DUMMYFUNCTION("""COMPUTED_VALUE"""),109718)</f>
        <v>109718</v>
      </c>
      <c r="B8039" s="4">
        <f ca="1">IFERROR(__xludf.DUMMYFUNCTION("""COMPUTED_VALUE"""),44845)</f>
        <v>44845</v>
      </c>
      <c r="C8039" t="str">
        <f ca="1">IFERROR(__xludf.DUMMYFUNCTION("""COMPUTED_VALUE"""),"ООО ""СИБКОМ"" 154-РДО от 15.04.2022")</f>
        <v>ООО "СИБКОМ" 154-РДО от 15.04.2022</v>
      </c>
      <c r="D80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39" t="str">
        <f ca="1">IFERROR(__xludf.DUMMYFUNCTION("""COMPUTED_VALUE"""),"Новый")</f>
        <v>Новый</v>
      </c>
      <c r="G8039" s="68"/>
      <c r="K8039" s="68"/>
    </row>
    <row r="8040" spans="1:11" ht="12.75">
      <c r="A8040" s="69">
        <f ca="1">IFERROR(__xludf.DUMMYFUNCTION("""COMPUTED_VALUE"""),109719)</f>
        <v>109719</v>
      </c>
      <c r="B8040" s="4">
        <f ca="1">IFERROR(__xludf.DUMMYFUNCTION("""COMPUTED_VALUE"""),44845)</f>
        <v>44845</v>
      </c>
      <c r="C8040" t="str">
        <f ca="1">IFERROR(__xludf.DUMMYFUNCTION("""COMPUTED_VALUE"""),"ООО ""СИБКОМ"" 154-РДО от 15.04.2022")</f>
        <v>ООО "СИБКОМ" 154-РДО от 15.04.2022</v>
      </c>
      <c r="D80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0" t="str">
        <f ca="1">IFERROR(__xludf.DUMMYFUNCTION("""COMPUTED_VALUE"""),"Новый")</f>
        <v>Новый</v>
      </c>
      <c r="G8040" s="68"/>
      <c r="K8040" s="68"/>
    </row>
    <row r="8041" spans="1:11" ht="12.75">
      <c r="A8041" s="69">
        <f ca="1">IFERROR(__xludf.DUMMYFUNCTION("""COMPUTED_VALUE"""),109721)</f>
        <v>109721</v>
      </c>
      <c r="B8041" s="4">
        <f ca="1">IFERROR(__xludf.DUMMYFUNCTION("""COMPUTED_VALUE"""),44845)</f>
        <v>44845</v>
      </c>
      <c r="C8041" t="str">
        <f ca="1">IFERROR(__xludf.DUMMYFUNCTION("""COMPUTED_VALUE"""),"ООО ""СИБКОМ"" 154-РДО от 15.04.2022")</f>
        <v>ООО "СИБКОМ" 154-РДО от 15.04.2022</v>
      </c>
      <c r="D80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1" t="str">
        <f ca="1">IFERROR(__xludf.DUMMYFUNCTION("""COMPUTED_VALUE"""),"Новый")</f>
        <v>Новый</v>
      </c>
      <c r="G8041" s="68"/>
      <c r="K8041" s="68"/>
    </row>
    <row r="8042" spans="1:11" ht="12.75">
      <c r="A8042" s="69">
        <f ca="1">IFERROR(__xludf.DUMMYFUNCTION("""COMPUTED_VALUE"""),109722)</f>
        <v>109722</v>
      </c>
      <c r="B8042" s="4">
        <f ca="1">IFERROR(__xludf.DUMMYFUNCTION("""COMPUTED_VALUE"""),44845)</f>
        <v>44845</v>
      </c>
      <c r="C8042" t="str">
        <f ca="1">IFERROR(__xludf.DUMMYFUNCTION("""COMPUTED_VALUE"""),"ООО ""СИБКОМ"" 154-РДО от 15.04.2022")</f>
        <v>ООО "СИБКОМ" 154-РДО от 15.04.2022</v>
      </c>
      <c r="D80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2" t="str">
        <f ca="1">IFERROR(__xludf.DUMMYFUNCTION("""COMPUTED_VALUE"""),"Новый")</f>
        <v>Новый</v>
      </c>
      <c r="G8042" s="68"/>
      <c r="K8042" s="68"/>
    </row>
    <row r="8043" spans="1:11" ht="12.75">
      <c r="A8043" s="69">
        <f ca="1">IFERROR(__xludf.DUMMYFUNCTION("""COMPUTED_VALUE"""),109723)</f>
        <v>109723</v>
      </c>
      <c r="B8043" s="4">
        <f ca="1">IFERROR(__xludf.DUMMYFUNCTION("""COMPUTED_VALUE"""),44845)</f>
        <v>44845</v>
      </c>
      <c r="C8043" t="str">
        <f ca="1">IFERROR(__xludf.DUMMYFUNCTION("""COMPUTED_VALUE"""),"ООО ""СИБКОМ"" 154-РДО от 15.04.2022")</f>
        <v>ООО "СИБКОМ" 154-РДО от 15.04.2022</v>
      </c>
      <c r="D80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3" t="str">
        <f ca="1">IFERROR(__xludf.DUMMYFUNCTION("""COMPUTED_VALUE"""),"Новый")</f>
        <v>Новый</v>
      </c>
      <c r="G8043" s="68"/>
      <c r="K8043" s="68"/>
    </row>
    <row r="8044" spans="1:11" ht="12.75">
      <c r="A8044" s="69">
        <f ca="1">IFERROR(__xludf.DUMMYFUNCTION("""COMPUTED_VALUE"""),109724)</f>
        <v>109724</v>
      </c>
      <c r="B8044" s="4">
        <f ca="1">IFERROR(__xludf.DUMMYFUNCTION("""COMPUTED_VALUE"""),44845)</f>
        <v>44845</v>
      </c>
      <c r="C8044" t="str">
        <f ca="1">IFERROR(__xludf.DUMMYFUNCTION("""COMPUTED_VALUE"""),"ООО ""СИБКОМ"" 154-РДО от 15.04.2022")</f>
        <v>ООО "СИБКОМ" 154-РДО от 15.04.2022</v>
      </c>
      <c r="D80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4" t="str">
        <f ca="1">IFERROR(__xludf.DUMMYFUNCTION("""COMPUTED_VALUE"""),"Новый")</f>
        <v>Новый</v>
      </c>
      <c r="G8044" s="68"/>
      <c r="K8044" s="68"/>
    </row>
    <row r="8045" spans="1:11" ht="12.75">
      <c r="A8045" s="69">
        <f ca="1">IFERROR(__xludf.DUMMYFUNCTION("""COMPUTED_VALUE"""),109725)</f>
        <v>109725</v>
      </c>
      <c r="B8045" s="4">
        <f ca="1">IFERROR(__xludf.DUMMYFUNCTION("""COMPUTED_VALUE"""),44845)</f>
        <v>44845</v>
      </c>
      <c r="C8045" t="str">
        <f ca="1">IFERROR(__xludf.DUMMYFUNCTION("""COMPUTED_VALUE"""),"ООО ""СИБКОМ"" 154-РДО от 15.04.2022")</f>
        <v>ООО "СИБКОМ" 154-РДО от 15.04.2022</v>
      </c>
      <c r="D80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5" t="str">
        <f ca="1">IFERROR(__xludf.DUMMYFUNCTION("""COMPUTED_VALUE"""),"Новый")</f>
        <v>Новый</v>
      </c>
      <c r="G8045" s="68"/>
      <c r="K8045" s="68"/>
    </row>
    <row r="8046" spans="1:11" ht="12.75">
      <c r="A8046" s="69">
        <f ca="1">IFERROR(__xludf.DUMMYFUNCTION("""COMPUTED_VALUE"""),109726)</f>
        <v>109726</v>
      </c>
      <c r="B8046" s="4">
        <f ca="1">IFERROR(__xludf.DUMMYFUNCTION("""COMPUTED_VALUE"""),44845)</f>
        <v>44845</v>
      </c>
      <c r="C8046" t="str">
        <f ca="1">IFERROR(__xludf.DUMMYFUNCTION("""COMPUTED_VALUE"""),"ООО ""СИБКОМ"" 154-РДО от 15.04.2022")</f>
        <v>ООО "СИБКОМ" 154-РДО от 15.04.2022</v>
      </c>
      <c r="D804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6" t="str">
        <f ca="1">IFERROR(__xludf.DUMMYFUNCTION("""COMPUTED_VALUE"""),"Новый")</f>
        <v>Новый</v>
      </c>
      <c r="G8046" s="68"/>
      <c r="K8046" s="68"/>
    </row>
    <row r="8047" spans="1:11" ht="12.75">
      <c r="A8047" s="69">
        <f ca="1">IFERROR(__xludf.DUMMYFUNCTION("""COMPUTED_VALUE"""),109727)</f>
        <v>109727</v>
      </c>
      <c r="B8047" s="4">
        <f ca="1">IFERROR(__xludf.DUMMYFUNCTION("""COMPUTED_VALUE"""),44845)</f>
        <v>44845</v>
      </c>
      <c r="C8047" t="str">
        <f ca="1">IFERROR(__xludf.DUMMYFUNCTION("""COMPUTED_VALUE"""),"ООО ""СИБКОМ"" 154-РДО от 15.04.2022")</f>
        <v>ООО "СИБКОМ" 154-РДО от 15.04.2022</v>
      </c>
      <c r="D80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7" t="str">
        <f ca="1">IFERROR(__xludf.DUMMYFUNCTION("""COMPUTED_VALUE"""),"Новый")</f>
        <v>Новый</v>
      </c>
      <c r="G8047" s="68"/>
      <c r="K8047" s="68"/>
    </row>
    <row r="8048" spans="1:11" ht="12.75">
      <c r="A8048" s="69">
        <f ca="1">IFERROR(__xludf.DUMMYFUNCTION("""COMPUTED_VALUE"""),109728)</f>
        <v>109728</v>
      </c>
      <c r="B8048" s="4">
        <f ca="1">IFERROR(__xludf.DUMMYFUNCTION("""COMPUTED_VALUE"""),44845)</f>
        <v>44845</v>
      </c>
      <c r="C8048" t="str">
        <f ca="1">IFERROR(__xludf.DUMMYFUNCTION("""COMPUTED_VALUE"""),"ООО ""СИБКОМ"" 154-РДО от 15.04.2022")</f>
        <v>ООО "СИБКОМ" 154-РДО от 15.04.2022</v>
      </c>
      <c r="D80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8" t="str">
        <f ca="1">IFERROR(__xludf.DUMMYFUNCTION("""COMPUTED_VALUE"""),"Новый")</f>
        <v>Новый</v>
      </c>
      <c r="G8048" s="68"/>
      <c r="K8048" s="68"/>
    </row>
    <row r="8049" spans="1:11" ht="12.75">
      <c r="A8049" s="69">
        <f ca="1">IFERROR(__xludf.DUMMYFUNCTION("""COMPUTED_VALUE"""),109729)</f>
        <v>109729</v>
      </c>
      <c r="B8049" s="4">
        <f ca="1">IFERROR(__xludf.DUMMYFUNCTION("""COMPUTED_VALUE"""),44845)</f>
        <v>44845</v>
      </c>
      <c r="C8049" t="str">
        <f ca="1">IFERROR(__xludf.DUMMYFUNCTION("""COMPUTED_VALUE"""),"ООО ""СИБКОМ"" 154-РДО от 15.04.2022")</f>
        <v>ООО "СИБКОМ" 154-РДО от 15.04.2022</v>
      </c>
      <c r="D80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49" t="str">
        <f ca="1">IFERROR(__xludf.DUMMYFUNCTION("""COMPUTED_VALUE"""),"Новый")</f>
        <v>Новый</v>
      </c>
      <c r="G8049" s="68"/>
      <c r="K8049" s="68"/>
    </row>
    <row r="8050" spans="1:11" ht="12.75">
      <c r="A8050" s="69">
        <f ca="1">IFERROR(__xludf.DUMMYFUNCTION("""COMPUTED_VALUE"""),109730)</f>
        <v>109730</v>
      </c>
      <c r="B8050" s="4">
        <f ca="1">IFERROR(__xludf.DUMMYFUNCTION("""COMPUTED_VALUE"""),44845)</f>
        <v>44845</v>
      </c>
      <c r="C8050" t="str">
        <f ca="1">IFERROR(__xludf.DUMMYFUNCTION("""COMPUTED_VALUE"""),"ООО ""СИБКОМ"" 154-РДО от 15.04.2022")</f>
        <v>ООО "СИБКОМ" 154-РДО от 15.04.2022</v>
      </c>
      <c r="D80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0" t="str">
        <f ca="1">IFERROR(__xludf.DUMMYFUNCTION("""COMPUTED_VALUE"""),"Новый")</f>
        <v>Новый</v>
      </c>
      <c r="G8050" s="68"/>
      <c r="K8050" s="68"/>
    </row>
    <row r="8051" spans="1:11" ht="12.75">
      <c r="A8051" s="69">
        <f ca="1">IFERROR(__xludf.DUMMYFUNCTION("""COMPUTED_VALUE"""),109731)</f>
        <v>109731</v>
      </c>
      <c r="B8051" s="4">
        <f ca="1">IFERROR(__xludf.DUMMYFUNCTION("""COMPUTED_VALUE"""),44845)</f>
        <v>44845</v>
      </c>
      <c r="C8051" t="str">
        <f ca="1">IFERROR(__xludf.DUMMYFUNCTION("""COMPUTED_VALUE"""),"ООО ""СИБКОМ"" 154-РДО от 15.04.2022")</f>
        <v>ООО "СИБКОМ" 154-РДО от 15.04.2022</v>
      </c>
      <c r="D80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1" t="str">
        <f ca="1">IFERROR(__xludf.DUMMYFUNCTION("""COMPUTED_VALUE"""),"Новый")</f>
        <v>Новый</v>
      </c>
      <c r="G8051" s="68"/>
      <c r="K8051" s="68"/>
    </row>
    <row r="8052" spans="1:11" ht="12.75">
      <c r="A8052" s="69">
        <f ca="1">IFERROR(__xludf.DUMMYFUNCTION("""COMPUTED_VALUE"""),109732)</f>
        <v>109732</v>
      </c>
      <c r="B8052" s="4">
        <f ca="1">IFERROR(__xludf.DUMMYFUNCTION("""COMPUTED_VALUE"""),44845)</f>
        <v>44845</v>
      </c>
      <c r="C8052" t="str">
        <f ca="1">IFERROR(__xludf.DUMMYFUNCTION("""COMPUTED_VALUE"""),"ООО ""СИБКОМ"" 154-РДО от 15.04.2022")</f>
        <v>ООО "СИБКОМ" 154-РДО от 15.04.2022</v>
      </c>
      <c r="D80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2" t="str">
        <f ca="1">IFERROR(__xludf.DUMMYFUNCTION("""COMPUTED_VALUE"""),"Новый")</f>
        <v>Новый</v>
      </c>
      <c r="G8052" s="68"/>
      <c r="K8052" s="68"/>
    </row>
    <row r="8053" spans="1:11" ht="12.75">
      <c r="A8053" s="69">
        <f ca="1">IFERROR(__xludf.DUMMYFUNCTION("""COMPUTED_VALUE"""),109733)</f>
        <v>109733</v>
      </c>
      <c r="B8053" s="4">
        <f ca="1">IFERROR(__xludf.DUMMYFUNCTION("""COMPUTED_VALUE"""),44845)</f>
        <v>44845</v>
      </c>
      <c r="C8053" t="str">
        <f ca="1">IFERROR(__xludf.DUMMYFUNCTION("""COMPUTED_VALUE"""),"ООО ""СИБКОМ"" 154-РДО от 15.04.2022")</f>
        <v>ООО "СИБКОМ" 154-РДО от 15.04.2022</v>
      </c>
      <c r="D80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3" t="str">
        <f ca="1">IFERROR(__xludf.DUMMYFUNCTION("""COMPUTED_VALUE"""),"Новый")</f>
        <v>Новый</v>
      </c>
      <c r="G8053" s="68"/>
      <c r="K8053" s="68"/>
    </row>
    <row r="8054" spans="1:11" ht="12.75">
      <c r="A8054" s="69">
        <f ca="1">IFERROR(__xludf.DUMMYFUNCTION("""COMPUTED_VALUE"""),109734)</f>
        <v>109734</v>
      </c>
      <c r="B8054" s="4">
        <f ca="1">IFERROR(__xludf.DUMMYFUNCTION("""COMPUTED_VALUE"""),44845)</f>
        <v>44845</v>
      </c>
      <c r="C8054" t="str">
        <f ca="1">IFERROR(__xludf.DUMMYFUNCTION("""COMPUTED_VALUE"""),"ООО ""СИБКОМ"" 154-РДО от 15.04.2022")</f>
        <v>ООО "СИБКОМ" 154-РДО от 15.04.2022</v>
      </c>
      <c r="D80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4" t="str">
        <f ca="1">IFERROR(__xludf.DUMMYFUNCTION("""COMPUTED_VALUE"""),"Новый")</f>
        <v>Новый</v>
      </c>
      <c r="G8054" s="68"/>
      <c r="K8054" s="68"/>
    </row>
    <row r="8055" spans="1:11" ht="12.75">
      <c r="A8055" s="69">
        <f ca="1">IFERROR(__xludf.DUMMYFUNCTION("""COMPUTED_VALUE"""),109735)</f>
        <v>109735</v>
      </c>
      <c r="B8055" s="4">
        <f ca="1">IFERROR(__xludf.DUMMYFUNCTION("""COMPUTED_VALUE"""),44845)</f>
        <v>44845</v>
      </c>
      <c r="C8055" t="str">
        <f ca="1">IFERROR(__xludf.DUMMYFUNCTION("""COMPUTED_VALUE"""),"ООО ""СИБКОМ"" 154-РДО от 15.04.2022")</f>
        <v>ООО "СИБКОМ" 154-РДО от 15.04.2022</v>
      </c>
      <c r="D80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5" t="str">
        <f ca="1">IFERROR(__xludf.DUMMYFUNCTION("""COMPUTED_VALUE"""),"Новый")</f>
        <v>Новый</v>
      </c>
      <c r="G8055" s="68"/>
      <c r="K8055" s="68"/>
    </row>
    <row r="8056" spans="1:11" ht="12.75">
      <c r="A8056" s="69">
        <f ca="1">IFERROR(__xludf.DUMMYFUNCTION("""COMPUTED_VALUE"""),109736)</f>
        <v>109736</v>
      </c>
      <c r="B8056" s="4">
        <f ca="1">IFERROR(__xludf.DUMMYFUNCTION("""COMPUTED_VALUE"""),44845)</f>
        <v>44845</v>
      </c>
      <c r="C8056" t="str">
        <f ca="1">IFERROR(__xludf.DUMMYFUNCTION("""COMPUTED_VALUE"""),"ООО ""СИБКОМ"" 154-РДО от 15.04.2022")</f>
        <v>ООО "СИБКОМ" 154-РДО от 15.04.2022</v>
      </c>
      <c r="D80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6" t="str">
        <f ca="1">IFERROR(__xludf.DUMMYFUNCTION("""COMPUTED_VALUE"""),"Новый")</f>
        <v>Новый</v>
      </c>
      <c r="G8056" s="68"/>
      <c r="K8056" s="68"/>
    </row>
    <row r="8057" spans="1:11" ht="12.75">
      <c r="A8057" s="69">
        <f ca="1">IFERROR(__xludf.DUMMYFUNCTION("""COMPUTED_VALUE"""),109737)</f>
        <v>109737</v>
      </c>
      <c r="B8057" s="4">
        <f ca="1">IFERROR(__xludf.DUMMYFUNCTION("""COMPUTED_VALUE"""),44845)</f>
        <v>44845</v>
      </c>
      <c r="C8057" t="str">
        <f ca="1">IFERROR(__xludf.DUMMYFUNCTION("""COMPUTED_VALUE"""),"ООО ""СИБКОМ"" 154-РДО от 15.04.2022")</f>
        <v>ООО "СИБКОМ" 154-РДО от 15.04.2022</v>
      </c>
      <c r="D80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57" t="str">
        <f ca="1">IFERROR(__xludf.DUMMYFUNCTION("""COMPUTED_VALUE"""),"Новый")</f>
        <v>Новый</v>
      </c>
      <c r="G8057" s="68"/>
      <c r="K8057" s="68"/>
    </row>
    <row r="8058" spans="1:11" ht="12.75">
      <c r="A8058" s="69">
        <f ca="1">IFERROR(__xludf.DUMMYFUNCTION("""COMPUTED_VALUE"""),109738)</f>
        <v>109738</v>
      </c>
      <c r="B8058" s="4">
        <f ca="1">IFERROR(__xludf.DUMMYFUNCTION("""COMPUTED_VALUE"""),44845)</f>
        <v>44845</v>
      </c>
      <c r="C8058" t="str">
        <f ca="1">IFERROR(__xludf.DUMMYFUNCTION("""COMPUTED_VALUE"""),"ООО ""РЕГИОН 55"" 88-СТР от 07.06.2021")</f>
        <v>ООО "РЕГИОН 55" 88-СТР от 07.06.2021</v>
      </c>
      <c r="D80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58" t="str">
        <f ca="1">IFERROR(__xludf.DUMMYFUNCTION("""COMPUTED_VALUE"""),"Новый")</f>
        <v>Новый</v>
      </c>
      <c r="G8058" s="68"/>
      <c r="K8058" s="68"/>
    </row>
    <row r="8059" spans="1:11" ht="12.75">
      <c r="A8059" s="69">
        <f ca="1">IFERROR(__xludf.DUMMYFUNCTION("""COMPUTED_VALUE"""),109739)</f>
        <v>109739</v>
      </c>
      <c r="B8059" s="4">
        <f ca="1">IFERROR(__xludf.DUMMYFUNCTION("""COMPUTED_VALUE"""),44845)</f>
        <v>44845</v>
      </c>
      <c r="C8059" t="str">
        <f ca="1">IFERROR(__xludf.DUMMYFUNCTION("""COMPUTED_VALUE"""),"ООО ""РЕГИОН 55"" 88-СТР от 07.06.2021")</f>
        <v>ООО "РЕГИОН 55" 88-СТР от 07.06.2021</v>
      </c>
      <c r="D80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59" t="str">
        <f ca="1">IFERROR(__xludf.DUMMYFUNCTION("""COMPUTED_VALUE"""),"Новый")</f>
        <v>Новый</v>
      </c>
      <c r="G8059" s="68"/>
      <c r="K8059" s="68"/>
    </row>
    <row r="8060" spans="1:11" ht="12.75">
      <c r="A8060" s="69">
        <f ca="1">IFERROR(__xludf.DUMMYFUNCTION("""COMPUTED_VALUE"""),109740)</f>
        <v>109740</v>
      </c>
      <c r="B8060" s="4">
        <f ca="1">IFERROR(__xludf.DUMMYFUNCTION("""COMPUTED_VALUE"""),44845)</f>
        <v>44845</v>
      </c>
      <c r="C8060" t="str">
        <f ca="1">IFERROR(__xludf.DUMMYFUNCTION("""COMPUTED_VALUE"""),"ООО ""РЕГИОН 55"" 88-СТР от 07.06.2021")</f>
        <v>ООО "РЕГИОН 55" 88-СТР от 07.06.2021</v>
      </c>
      <c r="D80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0" t="str">
        <f ca="1">IFERROR(__xludf.DUMMYFUNCTION("""COMPUTED_VALUE"""),"Новый")</f>
        <v>Новый</v>
      </c>
      <c r="G8060" s="68"/>
      <c r="K8060" s="68"/>
    </row>
    <row r="8061" spans="1:11" ht="12.75">
      <c r="A8061" s="69">
        <f ca="1">IFERROR(__xludf.DUMMYFUNCTION("""COMPUTED_VALUE"""),109741)</f>
        <v>109741</v>
      </c>
      <c r="B8061" s="4">
        <f ca="1">IFERROR(__xludf.DUMMYFUNCTION("""COMPUTED_VALUE"""),44845)</f>
        <v>44845</v>
      </c>
      <c r="C8061" t="str">
        <f ca="1">IFERROR(__xludf.DUMMYFUNCTION("""COMPUTED_VALUE"""),"ООО ""РЕГИОН 55"" 88-СТР от 07.06.2021")</f>
        <v>ООО "РЕГИОН 55" 88-СТР от 07.06.2021</v>
      </c>
      <c r="D80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1" t="str">
        <f ca="1">IFERROR(__xludf.DUMMYFUNCTION("""COMPUTED_VALUE"""),"Новый")</f>
        <v>Новый</v>
      </c>
      <c r="G8061" s="68"/>
      <c r="K8061" s="68"/>
    </row>
    <row r="8062" spans="1:11" ht="12.75">
      <c r="A8062" s="69">
        <f ca="1">IFERROR(__xludf.DUMMYFUNCTION("""COMPUTED_VALUE"""),109742)</f>
        <v>109742</v>
      </c>
      <c r="B8062" s="4">
        <f ca="1">IFERROR(__xludf.DUMMYFUNCTION("""COMPUTED_VALUE"""),44845)</f>
        <v>44845</v>
      </c>
      <c r="C8062" t="str">
        <f ca="1">IFERROR(__xludf.DUMMYFUNCTION("""COMPUTED_VALUE"""),"ООО ""РЕГИОН 55"" 88-СТР от 07.06.2021")</f>
        <v>ООО "РЕГИОН 55" 88-СТР от 07.06.2021</v>
      </c>
      <c r="D80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2" t="str">
        <f ca="1">IFERROR(__xludf.DUMMYFUNCTION("""COMPUTED_VALUE"""),"Новый")</f>
        <v>Новый</v>
      </c>
      <c r="G8062" s="68"/>
      <c r="K8062" s="68"/>
    </row>
    <row r="8063" spans="1:11" ht="12.75">
      <c r="A8063" s="69">
        <f ca="1">IFERROR(__xludf.DUMMYFUNCTION("""COMPUTED_VALUE"""),109743)</f>
        <v>109743</v>
      </c>
      <c r="B8063" s="4">
        <f ca="1">IFERROR(__xludf.DUMMYFUNCTION("""COMPUTED_VALUE"""),44845)</f>
        <v>44845</v>
      </c>
      <c r="C8063" t="str">
        <f ca="1">IFERROR(__xludf.DUMMYFUNCTION("""COMPUTED_VALUE"""),"ООО ""РЕГИОН 55"" 88-СТР от 07.06.2021")</f>
        <v>ООО "РЕГИОН 55" 88-СТР от 07.06.2021</v>
      </c>
      <c r="D80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3" t="str">
        <f ca="1">IFERROR(__xludf.DUMMYFUNCTION("""COMPUTED_VALUE"""),"Новый")</f>
        <v>Новый</v>
      </c>
      <c r="G8063" s="68"/>
      <c r="K8063" s="68"/>
    </row>
    <row r="8064" spans="1:11" ht="12.75">
      <c r="A8064" s="69">
        <f ca="1">IFERROR(__xludf.DUMMYFUNCTION("""COMPUTED_VALUE"""),109744)</f>
        <v>109744</v>
      </c>
      <c r="B8064" s="4">
        <f ca="1">IFERROR(__xludf.DUMMYFUNCTION("""COMPUTED_VALUE"""),44845)</f>
        <v>44845</v>
      </c>
      <c r="C8064" t="str">
        <f ca="1">IFERROR(__xludf.DUMMYFUNCTION("""COMPUTED_VALUE"""),"ООО ""РЕГИОН 55"" 88-СТР от 07.06.2021")</f>
        <v>ООО "РЕГИОН 55" 88-СТР от 07.06.2021</v>
      </c>
      <c r="D80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4" t="str">
        <f ca="1">IFERROR(__xludf.DUMMYFUNCTION("""COMPUTED_VALUE"""),"Новый")</f>
        <v>Новый</v>
      </c>
      <c r="G8064" s="68"/>
      <c r="K8064" s="68"/>
    </row>
    <row r="8065" spans="1:11" ht="12.75">
      <c r="A8065" s="69">
        <f ca="1">IFERROR(__xludf.DUMMYFUNCTION("""COMPUTED_VALUE"""),109745)</f>
        <v>109745</v>
      </c>
      <c r="B8065" s="4">
        <f ca="1">IFERROR(__xludf.DUMMYFUNCTION("""COMPUTED_VALUE"""),44845)</f>
        <v>44845</v>
      </c>
      <c r="C8065" t="str">
        <f ca="1">IFERROR(__xludf.DUMMYFUNCTION("""COMPUTED_VALUE"""),"ООО ""РЕГИОН 55"" 88-СТР от 07.06.2021")</f>
        <v>ООО "РЕГИОН 55" 88-СТР от 07.06.2021</v>
      </c>
      <c r="D80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5" t="str">
        <f ca="1">IFERROR(__xludf.DUMMYFUNCTION("""COMPUTED_VALUE"""),"Новый")</f>
        <v>Новый</v>
      </c>
      <c r="G8065" s="68"/>
      <c r="K8065" s="68"/>
    </row>
    <row r="8066" spans="1:11" ht="12.75">
      <c r="A8066" s="69">
        <f ca="1">IFERROR(__xludf.DUMMYFUNCTION("""COMPUTED_VALUE"""),109746)</f>
        <v>109746</v>
      </c>
      <c r="B8066" s="4">
        <f ca="1">IFERROR(__xludf.DUMMYFUNCTION("""COMPUTED_VALUE"""),44845)</f>
        <v>44845</v>
      </c>
      <c r="C8066" t="str">
        <f ca="1">IFERROR(__xludf.DUMMYFUNCTION("""COMPUTED_VALUE"""),"ООО ""РЕГИОН 55"" 88-СТР от 07.06.2021")</f>
        <v>ООО "РЕГИОН 55" 88-СТР от 07.06.2021</v>
      </c>
      <c r="D80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6" t="str">
        <f ca="1">IFERROR(__xludf.DUMMYFUNCTION("""COMPUTED_VALUE"""),"Новый")</f>
        <v>Новый</v>
      </c>
      <c r="G8066" s="68"/>
      <c r="K8066" s="68"/>
    </row>
    <row r="8067" spans="1:11" ht="12.75">
      <c r="A8067" s="69">
        <f ca="1">IFERROR(__xludf.DUMMYFUNCTION("""COMPUTED_VALUE"""),109747)</f>
        <v>109747</v>
      </c>
      <c r="B8067" s="4">
        <f ca="1">IFERROR(__xludf.DUMMYFUNCTION("""COMPUTED_VALUE"""),44845)</f>
        <v>44845</v>
      </c>
      <c r="C8067" t="str">
        <f ca="1">IFERROR(__xludf.DUMMYFUNCTION("""COMPUTED_VALUE"""),"ООО ""РЕГИОН 55"" 88-СТР от 07.06.2021")</f>
        <v>ООО "РЕГИОН 55" 88-СТР от 07.06.2021</v>
      </c>
      <c r="D80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7" t="str">
        <f ca="1">IFERROR(__xludf.DUMMYFUNCTION("""COMPUTED_VALUE"""),"Новый")</f>
        <v>Новый</v>
      </c>
      <c r="G8067" s="68"/>
      <c r="K8067" s="68"/>
    </row>
    <row r="8068" spans="1:11" ht="12.75">
      <c r="A8068" s="69">
        <f ca="1">IFERROR(__xludf.DUMMYFUNCTION("""COMPUTED_VALUE"""),109748)</f>
        <v>109748</v>
      </c>
      <c r="B8068" s="4">
        <f ca="1">IFERROR(__xludf.DUMMYFUNCTION("""COMPUTED_VALUE"""),44845)</f>
        <v>44845</v>
      </c>
      <c r="C8068" t="str">
        <f ca="1">IFERROR(__xludf.DUMMYFUNCTION("""COMPUTED_VALUE"""),"ООО ""РЕГИОН 55"" 88-СТР от 07.06.2021")</f>
        <v>ООО "РЕГИОН 55" 88-СТР от 07.06.2021</v>
      </c>
      <c r="D80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8" t="str">
        <f ca="1">IFERROR(__xludf.DUMMYFUNCTION("""COMPUTED_VALUE"""),"Новый")</f>
        <v>Новый</v>
      </c>
      <c r="G8068" s="68"/>
      <c r="K8068" s="68"/>
    </row>
    <row r="8069" spans="1:11" ht="12.75">
      <c r="A8069" s="69">
        <f ca="1">IFERROR(__xludf.DUMMYFUNCTION("""COMPUTED_VALUE"""),109749)</f>
        <v>109749</v>
      </c>
      <c r="B8069" s="4">
        <f ca="1">IFERROR(__xludf.DUMMYFUNCTION("""COMPUTED_VALUE"""),44845)</f>
        <v>44845</v>
      </c>
      <c r="C8069" t="str">
        <f ca="1">IFERROR(__xludf.DUMMYFUNCTION("""COMPUTED_VALUE"""),"ООО ""РЕГИОН 55"" 88-СТР от 07.06.2021")</f>
        <v>ООО "РЕГИОН 55" 88-СТР от 07.06.2021</v>
      </c>
      <c r="D80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69" t="str">
        <f ca="1">IFERROR(__xludf.DUMMYFUNCTION("""COMPUTED_VALUE"""),"Новый")</f>
        <v>Новый</v>
      </c>
      <c r="G8069" s="68"/>
      <c r="K8069" s="68"/>
    </row>
    <row r="8070" spans="1:11" ht="12.75">
      <c r="A8070" s="69">
        <f ca="1">IFERROR(__xludf.DUMMYFUNCTION("""COMPUTED_VALUE"""),109750)</f>
        <v>109750</v>
      </c>
      <c r="B8070" s="4">
        <f ca="1">IFERROR(__xludf.DUMMYFUNCTION("""COMPUTED_VALUE"""),44845)</f>
        <v>44845</v>
      </c>
      <c r="C8070" t="str">
        <f ca="1">IFERROR(__xludf.DUMMYFUNCTION("""COMPUTED_VALUE"""),"ООО ""РЕГИОН 55"" 88-СТР от 07.06.2021")</f>
        <v>ООО "РЕГИОН 55" 88-СТР от 07.06.2021</v>
      </c>
      <c r="D80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0" t="str">
        <f ca="1">IFERROR(__xludf.DUMMYFUNCTION("""COMPUTED_VALUE"""),"Новый")</f>
        <v>Новый</v>
      </c>
      <c r="G8070" s="68"/>
      <c r="K8070" s="68"/>
    </row>
    <row r="8071" spans="1:11" ht="12.75">
      <c r="A8071" s="69">
        <f ca="1">IFERROR(__xludf.DUMMYFUNCTION("""COMPUTED_VALUE"""),109751)</f>
        <v>109751</v>
      </c>
      <c r="B8071" s="4">
        <f ca="1">IFERROR(__xludf.DUMMYFUNCTION("""COMPUTED_VALUE"""),44845)</f>
        <v>44845</v>
      </c>
      <c r="C8071" t="str">
        <f ca="1">IFERROR(__xludf.DUMMYFUNCTION("""COMPUTED_VALUE"""),"ООО ""РЕГИОН 55"" 88-СТР от 07.06.2021")</f>
        <v>ООО "РЕГИОН 55" 88-СТР от 07.06.2021</v>
      </c>
      <c r="D80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1" t="str">
        <f ca="1">IFERROR(__xludf.DUMMYFUNCTION("""COMPUTED_VALUE"""),"Новый")</f>
        <v>Новый</v>
      </c>
      <c r="G8071" s="68"/>
      <c r="K8071" s="68"/>
    </row>
    <row r="8072" spans="1:11" ht="12.75">
      <c r="A8072" s="69">
        <f ca="1">IFERROR(__xludf.DUMMYFUNCTION("""COMPUTED_VALUE"""),109752)</f>
        <v>109752</v>
      </c>
      <c r="B8072" s="4">
        <f ca="1">IFERROR(__xludf.DUMMYFUNCTION("""COMPUTED_VALUE"""),44845)</f>
        <v>44845</v>
      </c>
      <c r="C8072" t="str">
        <f ca="1">IFERROR(__xludf.DUMMYFUNCTION("""COMPUTED_VALUE"""),"ООО ""РЕГИОН 55"" 88-СТР от 07.06.2021")</f>
        <v>ООО "РЕГИОН 55" 88-СТР от 07.06.2021</v>
      </c>
      <c r="D80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2" t="str">
        <f ca="1">IFERROR(__xludf.DUMMYFUNCTION("""COMPUTED_VALUE"""),"Новый")</f>
        <v>Новый</v>
      </c>
      <c r="G8072" s="68"/>
      <c r="K8072" s="68"/>
    </row>
    <row r="8073" spans="1:11" ht="12.75">
      <c r="A8073" s="69">
        <f ca="1">IFERROR(__xludf.DUMMYFUNCTION("""COMPUTED_VALUE"""),109753)</f>
        <v>109753</v>
      </c>
      <c r="B8073" s="4">
        <f ca="1">IFERROR(__xludf.DUMMYFUNCTION("""COMPUTED_VALUE"""),44845)</f>
        <v>44845</v>
      </c>
      <c r="C8073" t="str">
        <f ca="1">IFERROR(__xludf.DUMMYFUNCTION("""COMPUTED_VALUE"""),"ООО ""РЕГИОН 55"" 88-СТР от 07.06.2021")</f>
        <v>ООО "РЕГИОН 55" 88-СТР от 07.06.2021</v>
      </c>
      <c r="D80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3" t="str">
        <f ca="1">IFERROR(__xludf.DUMMYFUNCTION("""COMPUTED_VALUE"""),"Новый")</f>
        <v>Новый</v>
      </c>
      <c r="G8073" s="68"/>
      <c r="K8073" s="68"/>
    </row>
    <row r="8074" spans="1:11" ht="12.75">
      <c r="A8074" s="69">
        <f ca="1">IFERROR(__xludf.DUMMYFUNCTION("""COMPUTED_VALUE"""),109754)</f>
        <v>109754</v>
      </c>
      <c r="B8074" s="4">
        <f ca="1">IFERROR(__xludf.DUMMYFUNCTION("""COMPUTED_VALUE"""),44845)</f>
        <v>44845</v>
      </c>
      <c r="C8074" t="str">
        <f ca="1">IFERROR(__xludf.DUMMYFUNCTION("""COMPUTED_VALUE"""),"ООО ""РЕГИОН 55"" 88-СТР от 07.06.2021")</f>
        <v>ООО "РЕГИОН 55" 88-СТР от 07.06.2021</v>
      </c>
      <c r="D80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4" t="str">
        <f ca="1">IFERROR(__xludf.DUMMYFUNCTION("""COMPUTED_VALUE"""),"Новый")</f>
        <v>Новый</v>
      </c>
      <c r="G8074" s="68"/>
      <c r="K8074" s="68"/>
    </row>
    <row r="8075" spans="1:11" ht="12.75">
      <c r="A8075" s="69">
        <f ca="1">IFERROR(__xludf.DUMMYFUNCTION("""COMPUTED_VALUE"""),109755)</f>
        <v>109755</v>
      </c>
      <c r="B8075" s="4">
        <f ca="1">IFERROR(__xludf.DUMMYFUNCTION("""COMPUTED_VALUE"""),44845)</f>
        <v>44845</v>
      </c>
      <c r="C8075" t="str">
        <f ca="1">IFERROR(__xludf.DUMMYFUNCTION("""COMPUTED_VALUE"""),"ООО ""РЕГИОН 55"" 88-СТР от 07.06.2021")</f>
        <v>ООО "РЕГИОН 55" 88-СТР от 07.06.2021</v>
      </c>
      <c r="D80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5" t="str">
        <f ca="1">IFERROR(__xludf.DUMMYFUNCTION("""COMPUTED_VALUE"""),"Новый")</f>
        <v>Новый</v>
      </c>
      <c r="G8075" s="68"/>
      <c r="K8075" s="68"/>
    </row>
    <row r="8076" spans="1:11" ht="12.75">
      <c r="A8076" s="69">
        <f ca="1">IFERROR(__xludf.DUMMYFUNCTION("""COMPUTED_VALUE"""),109756)</f>
        <v>109756</v>
      </c>
      <c r="B8076" s="4">
        <f ca="1">IFERROR(__xludf.DUMMYFUNCTION("""COMPUTED_VALUE"""),44845)</f>
        <v>44845</v>
      </c>
      <c r="C8076" t="str">
        <f ca="1">IFERROR(__xludf.DUMMYFUNCTION("""COMPUTED_VALUE"""),"ООО ""РЕГИОН 55"" 88-СТР от 07.06.2021")</f>
        <v>ООО "РЕГИОН 55" 88-СТР от 07.06.2021</v>
      </c>
      <c r="D807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6" t="str">
        <f ca="1">IFERROR(__xludf.DUMMYFUNCTION("""COMPUTED_VALUE"""),"Новый")</f>
        <v>Новый</v>
      </c>
      <c r="G8076" s="68"/>
      <c r="K8076" s="68"/>
    </row>
    <row r="8077" spans="1:11" ht="12.75">
      <c r="A8077" s="69">
        <f ca="1">IFERROR(__xludf.DUMMYFUNCTION("""COMPUTED_VALUE"""),109757)</f>
        <v>109757</v>
      </c>
      <c r="B8077" s="4">
        <f ca="1">IFERROR(__xludf.DUMMYFUNCTION("""COMPUTED_VALUE"""),44845)</f>
        <v>44845</v>
      </c>
      <c r="C8077" t="str">
        <f ca="1">IFERROR(__xludf.DUMMYFUNCTION("""COMPUTED_VALUE"""),"ООО ""РЕГИОН 55"" 88-СТР от 07.06.2021")</f>
        <v>ООО "РЕГИОН 55" 88-СТР от 07.06.2021</v>
      </c>
      <c r="D807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077" t="str">
        <f ca="1">IFERROR(__xludf.DUMMYFUNCTION("""COMPUTED_VALUE"""),"Новый")</f>
        <v>Новый</v>
      </c>
      <c r="G8077" s="68"/>
      <c r="K8077" s="68"/>
    </row>
    <row r="8078" spans="1:11" ht="12.75">
      <c r="A8078" s="69">
        <f ca="1">IFERROR(__xludf.DUMMYFUNCTION("""COMPUTED_VALUE"""),109758)</f>
        <v>109758</v>
      </c>
      <c r="B8078" s="4">
        <f ca="1">IFERROR(__xludf.DUMMYFUNCTION("""COMPUTED_VALUE"""),44846)</f>
        <v>44846</v>
      </c>
      <c r="C8078" t="str">
        <f ca="1">IFERROR(__xludf.DUMMYFUNCTION("""COMPUTED_VALUE"""),"Омскэлектро, АО 207-РДО от 08.08.2022")</f>
        <v>Омскэлектро, АО 207-РДО от 08.08.2022</v>
      </c>
      <c r="D80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78" t="str">
        <f ca="1">IFERROR(__xludf.DUMMYFUNCTION("""COMPUTED_VALUE"""),"Новый")</f>
        <v>Новый</v>
      </c>
      <c r="G8078" s="68"/>
      <c r="K8078" s="68"/>
    </row>
    <row r="8079" spans="1:11" ht="12.75">
      <c r="A8079" s="69">
        <f ca="1">IFERROR(__xludf.DUMMYFUNCTION("""COMPUTED_VALUE"""),109759)</f>
        <v>109759</v>
      </c>
      <c r="B8079" s="4">
        <f ca="1">IFERROR(__xludf.DUMMYFUNCTION("""COMPUTED_VALUE"""),44846)</f>
        <v>44846</v>
      </c>
      <c r="C8079" t="str">
        <f ca="1">IFERROR(__xludf.DUMMYFUNCTION("""COMPUTED_VALUE"""),"Омскэлектро, АО 207-РДО от 08.08.2022")</f>
        <v>Омскэлектро, АО 207-РДО от 08.08.2022</v>
      </c>
      <c r="D80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79" t="str">
        <f ca="1">IFERROR(__xludf.DUMMYFUNCTION("""COMPUTED_VALUE"""),"Новый")</f>
        <v>Новый</v>
      </c>
      <c r="G8079" s="68"/>
      <c r="K8079" s="68"/>
    </row>
    <row r="8080" spans="1:11" ht="12.75">
      <c r="A8080" s="69">
        <f ca="1">IFERROR(__xludf.DUMMYFUNCTION("""COMPUTED_VALUE"""),109760)</f>
        <v>109760</v>
      </c>
      <c r="B8080" s="4">
        <f ca="1">IFERROR(__xludf.DUMMYFUNCTION("""COMPUTED_VALUE"""),44846)</f>
        <v>44846</v>
      </c>
      <c r="C8080" t="str">
        <f ca="1">IFERROR(__xludf.DUMMYFUNCTION("""COMPUTED_VALUE"""),"Омскэлектро, АО 207-РДО от 08.08.2022")</f>
        <v>Омскэлектро, АО 207-РДО от 08.08.2022</v>
      </c>
      <c r="D80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0" t="str">
        <f ca="1">IFERROR(__xludf.DUMMYFUNCTION("""COMPUTED_VALUE"""),"Новый")</f>
        <v>Новый</v>
      </c>
      <c r="G8080" s="68"/>
      <c r="K8080" s="68"/>
    </row>
    <row r="8081" spans="1:11" ht="12.75">
      <c r="A8081" s="69">
        <f ca="1">IFERROR(__xludf.DUMMYFUNCTION("""COMPUTED_VALUE"""),109761)</f>
        <v>109761</v>
      </c>
      <c r="B8081" s="4">
        <f ca="1">IFERROR(__xludf.DUMMYFUNCTION("""COMPUTED_VALUE"""),44846)</f>
        <v>44846</v>
      </c>
      <c r="C8081" t="str">
        <f ca="1">IFERROR(__xludf.DUMMYFUNCTION("""COMPUTED_VALUE"""),"Омскэлектро, АО 207-РДО от 08.08.2022")</f>
        <v>Омскэлектро, АО 207-РДО от 08.08.2022</v>
      </c>
      <c r="D80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1" t="str">
        <f ca="1">IFERROR(__xludf.DUMMYFUNCTION("""COMPUTED_VALUE"""),"Новый")</f>
        <v>Новый</v>
      </c>
      <c r="G8081" s="68"/>
      <c r="K8081" s="68"/>
    </row>
    <row r="8082" spans="1:11" ht="12.75">
      <c r="A8082" s="69">
        <f ca="1">IFERROR(__xludf.DUMMYFUNCTION("""COMPUTED_VALUE"""),109762)</f>
        <v>109762</v>
      </c>
      <c r="B8082" s="4">
        <f ca="1">IFERROR(__xludf.DUMMYFUNCTION("""COMPUTED_VALUE"""),44846)</f>
        <v>44846</v>
      </c>
      <c r="C8082" t="str">
        <f ca="1">IFERROR(__xludf.DUMMYFUNCTION("""COMPUTED_VALUE"""),"Омскэлектро, АО 207-РДО от 08.08.2022")</f>
        <v>Омскэлектро, АО 207-РДО от 08.08.2022</v>
      </c>
      <c r="D80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2" t="str">
        <f ca="1">IFERROR(__xludf.DUMMYFUNCTION("""COMPUTED_VALUE"""),"Новый")</f>
        <v>Новый</v>
      </c>
      <c r="G8082" s="68"/>
      <c r="K8082" s="68"/>
    </row>
    <row r="8083" spans="1:11" ht="12.75">
      <c r="A8083" s="69">
        <f ca="1">IFERROR(__xludf.DUMMYFUNCTION("""COMPUTED_VALUE"""),109763)</f>
        <v>109763</v>
      </c>
      <c r="B8083" s="4">
        <f ca="1">IFERROR(__xludf.DUMMYFUNCTION("""COMPUTED_VALUE"""),44846)</f>
        <v>44846</v>
      </c>
      <c r="C8083" t="str">
        <f ca="1">IFERROR(__xludf.DUMMYFUNCTION("""COMPUTED_VALUE"""),"Омскэлектро, АО 207-РДО от 08.08.2022")</f>
        <v>Омскэлектро, АО 207-РДО от 08.08.2022</v>
      </c>
      <c r="D80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3" t="str">
        <f ca="1">IFERROR(__xludf.DUMMYFUNCTION("""COMPUTED_VALUE"""),"Новый")</f>
        <v>Новый</v>
      </c>
      <c r="G8083" s="68"/>
      <c r="K8083" s="68"/>
    </row>
    <row r="8084" spans="1:11" ht="12.75">
      <c r="A8084" s="69">
        <f ca="1">IFERROR(__xludf.DUMMYFUNCTION("""COMPUTED_VALUE"""),109764)</f>
        <v>109764</v>
      </c>
      <c r="B8084" s="4">
        <f ca="1">IFERROR(__xludf.DUMMYFUNCTION("""COMPUTED_VALUE"""),44846)</f>
        <v>44846</v>
      </c>
      <c r="C8084" t="str">
        <f ca="1">IFERROR(__xludf.DUMMYFUNCTION("""COMPUTED_VALUE"""),"Омскэлектро, АО 207-РДО от 08.08.2022")</f>
        <v>Омскэлектро, АО 207-РДО от 08.08.2022</v>
      </c>
      <c r="D80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4" t="str">
        <f ca="1">IFERROR(__xludf.DUMMYFUNCTION("""COMPUTED_VALUE"""),"Новый")</f>
        <v>Новый</v>
      </c>
      <c r="G8084" s="68"/>
      <c r="K8084" s="68"/>
    </row>
    <row r="8085" spans="1:11" ht="12.75">
      <c r="A8085" s="69">
        <f ca="1">IFERROR(__xludf.DUMMYFUNCTION("""COMPUTED_VALUE"""),109765)</f>
        <v>109765</v>
      </c>
      <c r="B8085" s="4">
        <f ca="1">IFERROR(__xludf.DUMMYFUNCTION("""COMPUTED_VALUE"""),44846)</f>
        <v>44846</v>
      </c>
      <c r="C8085" t="str">
        <f ca="1">IFERROR(__xludf.DUMMYFUNCTION("""COMPUTED_VALUE"""),"Омскэлектро, АО 207-РДО от 08.08.2022")</f>
        <v>Омскэлектро, АО 207-РДО от 08.08.2022</v>
      </c>
      <c r="D80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5" t="str">
        <f ca="1">IFERROR(__xludf.DUMMYFUNCTION("""COMPUTED_VALUE"""),"Новый")</f>
        <v>Новый</v>
      </c>
      <c r="G8085" s="68"/>
      <c r="K8085" s="68"/>
    </row>
    <row r="8086" spans="1:11" ht="12.75">
      <c r="A8086" s="69">
        <f ca="1">IFERROR(__xludf.DUMMYFUNCTION("""COMPUTED_VALUE"""),109766)</f>
        <v>109766</v>
      </c>
      <c r="B8086" s="4">
        <f ca="1">IFERROR(__xludf.DUMMYFUNCTION("""COMPUTED_VALUE"""),44846)</f>
        <v>44846</v>
      </c>
      <c r="C8086" t="str">
        <f ca="1">IFERROR(__xludf.DUMMYFUNCTION("""COMPUTED_VALUE"""),"Омскэлектро, АО 207-РДО от 08.08.2022")</f>
        <v>Омскэлектро, АО 207-РДО от 08.08.2022</v>
      </c>
      <c r="D80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6" t="str">
        <f ca="1">IFERROR(__xludf.DUMMYFUNCTION("""COMPUTED_VALUE"""),"Новый")</f>
        <v>Новый</v>
      </c>
      <c r="G8086" s="68"/>
      <c r="K8086" s="68"/>
    </row>
    <row r="8087" spans="1:11" ht="12.75">
      <c r="A8087" s="69">
        <f ca="1">IFERROR(__xludf.DUMMYFUNCTION("""COMPUTED_VALUE"""),109767)</f>
        <v>109767</v>
      </c>
      <c r="B8087" s="4">
        <f ca="1">IFERROR(__xludf.DUMMYFUNCTION("""COMPUTED_VALUE"""),44846)</f>
        <v>44846</v>
      </c>
      <c r="C8087" t="str">
        <f ca="1">IFERROR(__xludf.DUMMYFUNCTION("""COMPUTED_VALUE"""),"Омскэлектро, АО 207-РДО от 08.08.2022")</f>
        <v>Омскэлектро, АО 207-РДО от 08.08.2022</v>
      </c>
      <c r="D80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7" t="str">
        <f ca="1">IFERROR(__xludf.DUMMYFUNCTION("""COMPUTED_VALUE"""),"Новый")</f>
        <v>Новый</v>
      </c>
      <c r="G8087" s="68"/>
      <c r="K8087" s="68"/>
    </row>
    <row r="8088" spans="1:11" ht="12.75">
      <c r="A8088" s="69">
        <f ca="1">IFERROR(__xludf.DUMMYFUNCTION("""COMPUTED_VALUE"""),109768)</f>
        <v>109768</v>
      </c>
      <c r="B8088" s="4">
        <f ca="1">IFERROR(__xludf.DUMMYFUNCTION("""COMPUTED_VALUE"""),44846)</f>
        <v>44846</v>
      </c>
      <c r="C8088" t="str">
        <f ca="1">IFERROR(__xludf.DUMMYFUNCTION("""COMPUTED_VALUE"""),"Омскэлектро, АО 207-РДО от 08.08.2022")</f>
        <v>Омскэлектро, АО 207-РДО от 08.08.2022</v>
      </c>
      <c r="D80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8" t="str">
        <f ca="1">IFERROR(__xludf.DUMMYFUNCTION("""COMPUTED_VALUE"""),"Новый")</f>
        <v>Новый</v>
      </c>
      <c r="G8088" s="68"/>
      <c r="K8088" s="68"/>
    </row>
    <row r="8089" spans="1:11" ht="12.75">
      <c r="A8089" s="69">
        <f ca="1">IFERROR(__xludf.DUMMYFUNCTION("""COMPUTED_VALUE"""),109769)</f>
        <v>109769</v>
      </c>
      <c r="B8089" s="4">
        <f ca="1">IFERROR(__xludf.DUMMYFUNCTION("""COMPUTED_VALUE"""),44846)</f>
        <v>44846</v>
      </c>
      <c r="C8089" t="str">
        <f ca="1">IFERROR(__xludf.DUMMYFUNCTION("""COMPUTED_VALUE"""),"Омскэлектро, АО 207-РДО от 08.08.2022")</f>
        <v>Омскэлектро, АО 207-РДО от 08.08.2022</v>
      </c>
      <c r="D80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89" t="str">
        <f ca="1">IFERROR(__xludf.DUMMYFUNCTION("""COMPUTED_VALUE"""),"Новый")</f>
        <v>Новый</v>
      </c>
      <c r="G8089" s="68"/>
      <c r="K8089" s="68"/>
    </row>
    <row r="8090" spans="1:11" ht="12.75">
      <c r="A8090" s="69">
        <f ca="1">IFERROR(__xludf.DUMMYFUNCTION("""COMPUTED_VALUE"""),109770)</f>
        <v>109770</v>
      </c>
      <c r="B8090" s="4">
        <f ca="1">IFERROR(__xludf.DUMMYFUNCTION("""COMPUTED_VALUE"""),44846)</f>
        <v>44846</v>
      </c>
      <c r="C8090" t="str">
        <f ca="1">IFERROR(__xludf.DUMMYFUNCTION("""COMPUTED_VALUE"""),"Омскэлектро, АО 207-РДО от 08.08.2022")</f>
        <v>Омскэлектро, АО 207-РДО от 08.08.2022</v>
      </c>
      <c r="D80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0" t="str">
        <f ca="1">IFERROR(__xludf.DUMMYFUNCTION("""COMPUTED_VALUE"""),"Новый")</f>
        <v>Новый</v>
      </c>
      <c r="G8090" s="68"/>
      <c r="K8090" s="68"/>
    </row>
    <row r="8091" spans="1:11" ht="12.75">
      <c r="A8091" s="69">
        <f ca="1">IFERROR(__xludf.DUMMYFUNCTION("""COMPUTED_VALUE"""),109771)</f>
        <v>109771</v>
      </c>
      <c r="B8091" s="4">
        <f ca="1">IFERROR(__xludf.DUMMYFUNCTION("""COMPUTED_VALUE"""),44846)</f>
        <v>44846</v>
      </c>
      <c r="C8091" t="str">
        <f ca="1">IFERROR(__xludf.DUMMYFUNCTION("""COMPUTED_VALUE"""),"Омскэлектро, АО 207-РДО от 08.08.2022")</f>
        <v>Омскэлектро, АО 207-РДО от 08.08.2022</v>
      </c>
      <c r="D80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1" t="str">
        <f ca="1">IFERROR(__xludf.DUMMYFUNCTION("""COMPUTED_VALUE"""),"Новый")</f>
        <v>Новый</v>
      </c>
      <c r="G8091" s="68"/>
      <c r="K8091" s="68"/>
    </row>
    <row r="8092" spans="1:11" ht="12.75">
      <c r="A8092" s="69">
        <f ca="1">IFERROR(__xludf.DUMMYFUNCTION("""COMPUTED_VALUE"""),109772)</f>
        <v>109772</v>
      </c>
      <c r="B8092" s="4">
        <f ca="1">IFERROR(__xludf.DUMMYFUNCTION("""COMPUTED_VALUE"""),44846)</f>
        <v>44846</v>
      </c>
      <c r="C8092" t="str">
        <f ca="1">IFERROR(__xludf.DUMMYFUNCTION("""COMPUTED_VALUE"""),"Омскэлектро, АО 207-РДО от 08.08.2022")</f>
        <v>Омскэлектро, АО 207-РДО от 08.08.2022</v>
      </c>
      <c r="D80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2" t="str">
        <f ca="1">IFERROR(__xludf.DUMMYFUNCTION("""COMPUTED_VALUE"""),"Новый")</f>
        <v>Новый</v>
      </c>
      <c r="G8092" s="68"/>
      <c r="K8092" s="68"/>
    </row>
    <row r="8093" spans="1:11" ht="12.75">
      <c r="A8093" s="69">
        <f ca="1">IFERROR(__xludf.DUMMYFUNCTION("""COMPUTED_VALUE"""),109773)</f>
        <v>109773</v>
      </c>
      <c r="B8093" s="4">
        <f ca="1">IFERROR(__xludf.DUMMYFUNCTION("""COMPUTED_VALUE"""),44846)</f>
        <v>44846</v>
      </c>
      <c r="C8093" t="str">
        <f ca="1">IFERROR(__xludf.DUMMYFUNCTION("""COMPUTED_VALUE"""),"Омскэлектро, АО 207-РДО от 08.08.2022")</f>
        <v>Омскэлектро, АО 207-РДО от 08.08.2022</v>
      </c>
      <c r="D80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3" t="str">
        <f ca="1">IFERROR(__xludf.DUMMYFUNCTION("""COMPUTED_VALUE"""),"Новый")</f>
        <v>Новый</v>
      </c>
      <c r="G8093" s="68"/>
      <c r="K8093" s="68"/>
    </row>
    <row r="8094" spans="1:11" ht="12.75">
      <c r="A8094" s="69">
        <f ca="1">IFERROR(__xludf.DUMMYFUNCTION("""COMPUTED_VALUE"""),109774)</f>
        <v>109774</v>
      </c>
      <c r="B8094" s="4">
        <f ca="1">IFERROR(__xludf.DUMMYFUNCTION("""COMPUTED_VALUE"""),44846)</f>
        <v>44846</v>
      </c>
      <c r="C8094" t="str">
        <f ca="1">IFERROR(__xludf.DUMMYFUNCTION("""COMPUTED_VALUE"""),"Омскэлектро, АО 207-РДО от 08.08.2022")</f>
        <v>Омскэлектро, АО 207-РДО от 08.08.2022</v>
      </c>
      <c r="D80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4" t="str">
        <f ca="1">IFERROR(__xludf.DUMMYFUNCTION("""COMPUTED_VALUE"""),"Новый")</f>
        <v>Новый</v>
      </c>
      <c r="G8094" s="68"/>
      <c r="K8094" s="68"/>
    </row>
    <row r="8095" spans="1:11" ht="12.75">
      <c r="A8095" s="69">
        <f ca="1">IFERROR(__xludf.DUMMYFUNCTION("""COMPUTED_VALUE"""),109775)</f>
        <v>109775</v>
      </c>
      <c r="B8095" s="4">
        <f ca="1">IFERROR(__xludf.DUMMYFUNCTION("""COMPUTED_VALUE"""),44846)</f>
        <v>44846</v>
      </c>
      <c r="C8095" t="str">
        <f ca="1">IFERROR(__xludf.DUMMYFUNCTION("""COMPUTED_VALUE"""),"Омскэлектро, АО 207-РДО от 08.08.2022")</f>
        <v>Омскэлектро, АО 207-РДО от 08.08.2022</v>
      </c>
      <c r="D80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5" t="str">
        <f ca="1">IFERROR(__xludf.DUMMYFUNCTION("""COMPUTED_VALUE"""),"Новый")</f>
        <v>Новый</v>
      </c>
      <c r="G8095" s="68"/>
      <c r="K8095" s="68"/>
    </row>
    <row r="8096" spans="1:11" ht="12.75">
      <c r="A8096" s="69">
        <f ca="1">IFERROR(__xludf.DUMMYFUNCTION("""COMPUTED_VALUE"""),109776)</f>
        <v>109776</v>
      </c>
      <c r="B8096" s="4">
        <f ca="1">IFERROR(__xludf.DUMMYFUNCTION("""COMPUTED_VALUE"""),44846)</f>
        <v>44846</v>
      </c>
      <c r="C8096" t="str">
        <f ca="1">IFERROR(__xludf.DUMMYFUNCTION("""COMPUTED_VALUE"""),"Омскэлектро, АО 207-РДО от 08.08.2022")</f>
        <v>Омскэлектро, АО 207-РДО от 08.08.2022</v>
      </c>
      <c r="D80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6" t="str">
        <f ca="1">IFERROR(__xludf.DUMMYFUNCTION("""COMPUTED_VALUE"""),"Новый")</f>
        <v>Новый</v>
      </c>
      <c r="G8096" s="68"/>
      <c r="K8096" s="68"/>
    </row>
    <row r="8097" spans="1:11" ht="12.75">
      <c r="A8097" s="69">
        <f ca="1">IFERROR(__xludf.DUMMYFUNCTION("""COMPUTED_VALUE"""),109777)</f>
        <v>109777</v>
      </c>
      <c r="B8097" s="4">
        <f ca="1">IFERROR(__xludf.DUMMYFUNCTION("""COMPUTED_VALUE"""),44846)</f>
        <v>44846</v>
      </c>
      <c r="C8097" t="str">
        <f ca="1">IFERROR(__xludf.DUMMYFUNCTION("""COMPUTED_VALUE"""),"Омскэлектро, АО 207-РДО от 08.08.2022")</f>
        <v>Омскэлектро, АО 207-РДО от 08.08.2022</v>
      </c>
      <c r="D80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7" t="str">
        <f ca="1">IFERROR(__xludf.DUMMYFUNCTION("""COMPUTED_VALUE"""),"Новый")</f>
        <v>Новый</v>
      </c>
      <c r="G8097" s="68"/>
      <c r="K8097" s="68"/>
    </row>
    <row r="8098" spans="1:11" ht="12.75">
      <c r="A8098" s="69">
        <f ca="1">IFERROR(__xludf.DUMMYFUNCTION("""COMPUTED_VALUE"""),109778)</f>
        <v>109778</v>
      </c>
      <c r="B8098" s="4">
        <f ca="1">IFERROR(__xludf.DUMMYFUNCTION("""COMPUTED_VALUE"""),44846)</f>
        <v>44846</v>
      </c>
      <c r="C8098" t="str">
        <f ca="1">IFERROR(__xludf.DUMMYFUNCTION("""COMPUTED_VALUE"""),"Омскэлектро, АО 207-РДО от 08.08.2022")</f>
        <v>Омскэлектро, АО 207-РДО от 08.08.2022</v>
      </c>
      <c r="D80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8" t="str">
        <f ca="1">IFERROR(__xludf.DUMMYFUNCTION("""COMPUTED_VALUE"""),"Новый")</f>
        <v>Новый</v>
      </c>
      <c r="G8098" s="68"/>
      <c r="K8098" s="68"/>
    </row>
    <row r="8099" spans="1:11" ht="12.75">
      <c r="A8099" s="69">
        <f ca="1">IFERROR(__xludf.DUMMYFUNCTION("""COMPUTED_VALUE"""),109779)</f>
        <v>109779</v>
      </c>
      <c r="B8099" s="4">
        <f ca="1">IFERROR(__xludf.DUMMYFUNCTION("""COMPUTED_VALUE"""),44846)</f>
        <v>44846</v>
      </c>
      <c r="C8099" t="str">
        <f ca="1">IFERROR(__xludf.DUMMYFUNCTION("""COMPUTED_VALUE"""),"Омскэлектро, АО 207-РДО от 08.08.2022")</f>
        <v>Омскэлектро, АО 207-РДО от 08.08.2022</v>
      </c>
      <c r="D80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099" t="str">
        <f ca="1">IFERROR(__xludf.DUMMYFUNCTION("""COMPUTED_VALUE"""),"Новый")</f>
        <v>Новый</v>
      </c>
      <c r="G8099" s="68"/>
      <c r="K8099" s="68"/>
    </row>
    <row r="8100" spans="1:11" ht="12.75">
      <c r="A8100" s="69">
        <f ca="1">IFERROR(__xludf.DUMMYFUNCTION("""COMPUTED_VALUE"""),109780)</f>
        <v>109780</v>
      </c>
      <c r="B8100" s="4">
        <f ca="1">IFERROR(__xludf.DUMMYFUNCTION("""COMPUTED_VALUE"""),44846)</f>
        <v>44846</v>
      </c>
      <c r="C8100" t="str">
        <f ca="1">IFERROR(__xludf.DUMMYFUNCTION("""COMPUTED_VALUE"""),"Омскэлектро, АО 207-РДО от 08.08.2022")</f>
        <v>Омскэлектро, АО 207-РДО от 08.08.2022</v>
      </c>
      <c r="D81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0" t="str">
        <f ca="1">IFERROR(__xludf.DUMMYFUNCTION("""COMPUTED_VALUE"""),"Новый")</f>
        <v>Новый</v>
      </c>
      <c r="G8100" s="68"/>
      <c r="K8100" s="68"/>
    </row>
    <row r="8101" spans="1:11" ht="12.75">
      <c r="A8101" s="69">
        <f ca="1">IFERROR(__xludf.DUMMYFUNCTION("""COMPUTED_VALUE"""),109781)</f>
        <v>109781</v>
      </c>
      <c r="B8101" s="4">
        <f ca="1">IFERROR(__xludf.DUMMYFUNCTION("""COMPUTED_VALUE"""),44846)</f>
        <v>44846</v>
      </c>
      <c r="C8101" t="str">
        <f ca="1">IFERROR(__xludf.DUMMYFUNCTION("""COMPUTED_VALUE"""),"Омскэлектро, АО 207-РДО от 08.08.2022")</f>
        <v>Омскэлектро, АО 207-РДО от 08.08.2022</v>
      </c>
      <c r="D81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1" t="str">
        <f ca="1">IFERROR(__xludf.DUMMYFUNCTION("""COMPUTED_VALUE"""),"Новый")</f>
        <v>Новый</v>
      </c>
      <c r="G8101" s="68"/>
      <c r="K8101" s="68"/>
    </row>
    <row r="8102" spans="1:11" ht="12.75">
      <c r="A8102" s="69">
        <f ca="1">IFERROR(__xludf.DUMMYFUNCTION("""COMPUTED_VALUE"""),109782)</f>
        <v>109782</v>
      </c>
      <c r="B8102" s="4">
        <f ca="1">IFERROR(__xludf.DUMMYFUNCTION("""COMPUTED_VALUE"""),44846)</f>
        <v>44846</v>
      </c>
      <c r="C8102" t="str">
        <f ca="1">IFERROR(__xludf.DUMMYFUNCTION("""COMPUTED_VALUE"""),"Омскэлектро, АО 207-РДО от 08.08.2022")</f>
        <v>Омскэлектро, АО 207-РДО от 08.08.2022</v>
      </c>
      <c r="D81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2" t="str">
        <f ca="1">IFERROR(__xludf.DUMMYFUNCTION("""COMPUTED_VALUE"""),"Новый")</f>
        <v>Новый</v>
      </c>
      <c r="G8102" s="68"/>
      <c r="K8102" s="68"/>
    </row>
    <row r="8103" spans="1:11" ht="12.75">
      <c r="A8103" s="69">
        <f ca="1">IFERROR(__xludf.DUMMYFUNCTION("""COMPUTED_VALUE"""),109783)</f>
        <v>109783</v>
      </c>
      <c r="B8103" s="4">
        <f ca="1">IFERROR(__xludf.DUMMYFUNCTION("""COMPUTED_VALUE"""),44846)</f>
        <v>44846</v>
      </c>
      <c r="C8103" t="str">
        <f ca="1">IFERROR(__xludf.DUMMYFUNCTION("""COMPUTED_VALUE"""),"Омскэлектро, АО 207-РДО от 08.08.2022")</f>
        <v>Омскэлектро, АО 207-РДО от 08.08.2022</v>
      </c>
      <c r="D81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3" t="str">
        <f ca="1">IFERROR(__xludf.DUMMYFUNCTION("""COMPUTED_VALUE"""),"Новый")</f>
        <v>Новый</v>
      </c>
      <c r="G8103" s="68"/>
      <c r="K8103" s="68"/>
    </row>
    <row r="8104" spans="1:11" ht="12.75">
      <c r="A8104" s="69">
        <f ca="1">IFERROR(__xludf.DUMMYFUNCTION("""COMPUTED_VALUE"""),109784)</f>
        <v>109784</v>
      </c>
      <c r="B8104" s="4">
        <f ca="1">IFERROR(__xludf.DUMMYFUNCTION("""COMPUTED_VALUE"""),44846)</f>
        <v>44846</v>
      </c>
      <c r="C8104" t="str">
        <f ca="1">IFERROR(__xludf.DUMMYFUNCTION("""COMPUTED_VALUE"""),"Омскэлектро, АО 207-РДО от 08.08.2022")</f>
        <v>Омскэлектро, АО 207-РДО от 08.08.2022</v>
      </c>
      <c r="D81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4" t="str">
        <f ca="1">IFERROR(__xludf.DUMMYFUNCTION("""COMPUTED_VALUE"""),"Новый")</f>
        <v>Новый</v>
      </c>
      <c r="G8104" s="68"/>
      <c r="K8104" s="68"/>
    </row>
    <row r="8105" spans="1:11" ht="12.75">
      <c r="A8105" s="69">
        <f ca="1">IFERROR(__xludf.DUMMYFUNCTION("""COMPUTED_VALUE"""),109785)</f>
        <v>109785</v>
      </c>
      <c r="B8105" s="4">
        <f ca="1">IFERROR(__xludf.DUMMYFUNCTION("""COMPUTED_VALUE"""),44846)</f>
        <v>44846</v>
      </c>
      <c r="C8105" t="str">
        <f ca="1">IFERROR(__xludf.DUMMYFUNCTION("""COMPUTED_VALUE"""),"Омскэлектро, АО 207-РДО от 08.08.2022")</f>
        <v>Омскэлектро, АО 207-РДО от 08.08.2022</v>
      </c>
      <c r="D81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5" t="str">
        <f ca="1">IFERROR(__xludf.DUMMYFUNCTION("""COMPUTED_VALUE"""),"Новый")</f>
        <v>Новый</v>
      </c>
      <c r="G8105" s="68"/>
      <c r="K8105" s="68"/>
    </row>
    <row r="8106" spans="1:11" ht="12.75">
      <c r="A8106" s="69">
        <f ca="1">IFERROR(__xludf.DUMMYFUNCTION("""COMPUTED_VALUE"""),109786)</f>
        <v>109786</v>
      </c>
      <c r="B8106" s="4">
        <f ca="1">IFERROR(__xludf.DUMMYFUNCTION("""COMPUTED_VALUE"""),44846)</f>
        <v>44846</v>
      </c>
      <c r="C8106" t="str">
        <f ca="1">IFERROR(__xludf.DUMMYFUNCTION("""COMPUTED_VALUE"""),"Омскэлектро, АО 207-РДО от 08.08.2022")</f>
        <v>Омскэлектро, АО 207-РДО от 08.08.2022</v>
      </c>
      <c r="D81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6" t="str">
        <f ca="1">IFERROR(__xludf.DUMMYFUNCTION("""COMPUTED_VALUE"""),"Новый")</f>
        <v>Новый</v>
      </c>
      <c r="G8106" s="68"/>
      <c r="K8106" s="68"/>
    </row>
    <row r="8107" spans="1:11" ht="12.75">
      <c r="A8107" s="69">
        <f ca="1">IFERROR(__xludf.DUMMYFUNCTION("""COMPUTED_VALUE"""),109787)</f>
        <v>109787</v>
      </c>
      <c r="B8107" s="4">
        <f ca="1">IFERROR(__xludf.DUMMYFUNCTION("""COMPUTED_VALUE"""),44846)</f>
        <v>44846</v>
      </c>
      <c r="C8107" t="str">
        <f ca="1">IFERROR(__xludf.DUMMYFUNCTION("""COMPUTED_VALUE"""),"Омскэлектро, АО 207-РДО от 08.08.2022")</f>
        <v>Омскэлектро, АО 207-РДО от 08.08.2022</v>
      </c>
      <c r="D81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7" t="str">
        <f ca="1">IFERROR(__xludf.DUMMYFUNCTION("""COMPUTED_VALUE"""),"Новый")</f>
        <v>Новый</v>
      </c>
      <c r="G8107" s="68"/>
      <c r="K8107" s="68"/>
    </row>
    <row r="8108" spans="1:11" ht="12.75">
      <c r="A8108" s="69">
        <f ca="1">IFERROR(__xludf.DUMMYFUNCTION("""COMPUTED_VALUE"""),109788)</f>
        <v>109788</v>
      </c>
      <c r="B8108" s="4">
        <f ca="1">IFERROR(__xludf.DUMMYFUNCTION("""COMPUTED_VALUE"""),44846)</f>
        <v>44846</v>
      </c>
      <c r="C8108" t="str">
        <f ca="1">IFERROR(__xludf.DUMMYFUNCTION("""COMPUTED_VALUE"""),"Омскэлектро, АО 207-РДО от 08.08.2022")</f>
        <v>Омскэлектро, АО 207-РДО от 08.08.2022</v>
      </c>
      <c r="D81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8" t="str">
        <f ca="1">IFERROR(__xludf.DUMMYFUNCTION("""COMPUTED_VALUE"""),"Новый")</f>
        <v>Новый</v>
      </c>
      <c r="G8108" s="68"/>
      <c r="K8108" s="68"/>
    </row>
    <row r="8109" spans="1:11" ht="12.75">
      <c r="A8109" s="69">
        <f ca="1">IFERROR(__xludf.DUMMYFUNCTION("""COMPUTED_VALUE"""),109789)</f>
        <v>109789</v>
      </c>
      <c r="B8109" s="4">
        <f ca="1">IFERROR(__xludf.DUMMYFUNCTION("""COMPUTED_VALUE"""),44846)</f>
        <v>44846</v>
      </c>
      <c r="C8109" t="str">
        <f ca="1">IFERROR(__xludf.DUMMYFUNCTION("""COMPUTED_VALUE"""),"Омскэлектро, АО 207-РДО от 08.08.2022")</f>
        <v>Омскэлектро, АО 207-РДО от 08.08.2022</v>
      </c>
      <c r="D81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09" t="str">
        <f ca="1">IFERROR(__xludf.DUMMYFUNCTION("""COMPUTED_VALUE"""),"Новый")</f>
        <v>Новый</v>
      </c>
      <c r="G8109" s="68"/>
      <c r="K8109" s="68"/>
    </row>
    <row r="8110" spans="1:11" ht="12.75">
      <c r="A8110" s="69">
        <f ca="1">IFERROR(__xludf.DUMMYFUNCTION("""COMPUTED_VALUE"""),109790)</f>
        <v>109790</v>
      </c>
      <c r="B8110" s="4">
        <f ca="1">IFERROR(__xludf.DUMMYFUNCTION("""COMPUTED_VALUE"""),44846)</f>
        <v>44846</v>
      </c>
      <c r="C8110" t="str">
        <f ca="1">IFERROR(__xludf.DUMMYFUNCTION("""COMPUTED_VALUE"""),"Омскэлектро, АО 207-РДО от 08.08.2022")</f>
        <v>Омскэлектро, АО 207-РДО от 08.08.2022</v>
      </c>
      <c r="D81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0" t="str">
        <f ca="1">IFERROR(__xludf.DUMMYFUNCTION("""COMPUTED_VALUE"""),"Новый")</f>
        <v>Новый</v>
      </c>
      <c r="G8110" s="68"/>
      <c r="K8110" s="68"/>
    </row>
    <row r="8111" spans="1:11" ht="12.75">
      <c r="A8111" s="69">
        <f ca="1">IFERROR(__xludf.DUMMYFUNCTION("""COMPUTED_VALUE"""),109791)</f>
        <v>109791</v>
      </c>
      <c r="B8111" s="4">
        <f ca="1">IFERROR(__xludf.DUMMYFUNCTION("""COMPUTED_VALUE"""),44846)</f>
        <v>44846</v>
      </c>
      <c r="C8111" t="str">
        <f ca="1">IFERROR(__xludf.DUMMYFUNCTION("""COMPUTED_VALUE"""),"Омскэлектро, АО 207-РДО от 08.08.2022")</f>
        <v>Омскэлектро, АО 207-РДО от 08.08.2022</v>
      </c>
      <c r="D81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1" t="str">
        <f ca="1">IFERROR(__xludf.DUMMYFUNCTION("""COMPUTED_VALUE"""),"Новый")</f>
        <v>Новый</v>
      </c>
      <c r="G8111" s="68"/>
      <c r="K8111" s="68"/>
    </row>
    <row r="8112" spans="1:11" ht="12.75">
      <c r="A8112" s="69">
        <f ca="1">IFERROR(__xludf.DUMMYFUNCTION("""COMPUTED_VALUE"""),109792)</f>
        <v>109792</v>
      </c>
      <c r="B8112" s="4">
        <f ca="1">IFERROR(__xludf.DUMMYFUNCTION("""COMPUTED_VALUE"""),44846)</f>
        <v>44846</v>
      </c>
      <c r="C8112" t="str">
        <f ca="1">IFERROR(__xludf.DUMMYFUNCTION("""COMPUTED_VALUE"""),"Омскэлектро, АО 207-РДО от 08.08.2022")</f>
        <v>Омскэлектро, АО 207-РДО от 08.08.2022</v>
      </c>
      <c r="D81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2" t="str">
        <f ca="1">IFERROR(__xludf.DUMMYFUNCTION("""COMPUTED_VALUE"""),"Новый")</f>
        <v>Новый</v>
      </c>
      <c r="G8112" s="68"/>
      <c r="K8112" s="68"/>
    </row>
    <row r="8113" spans="1:11" ht="12.75">
      <c r="A8113" s="69">
        <f ca="1">IFERROR(__xludf.DUMMYFUNCTION("""COMPUTED_VALUE"""),109793)</f>
        <v>109793</v>
      </c>
      <c r="B8113" s="4">
        <f ca="1">IFERROR(__xludf.DUMMYFUNCTION("""COMPUTED_VALUE"""),44846)</f>
        <v>44846</v>
      </c>
      <c r="C8113" t="str">
        <f ca="1">IFERROR(__xludf.DUMMYFUNCTION("""COMPUTED_VALUE"""),"Омскэлектро, АО 207-РДО от 08.08.2022")</f>
        <v>Омскэлектро, АО 207-РДО от 08.08.2022</v>
      </c>
      <c r="D81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3" t="str">
        <f ca="1">IFERROR(__xludf.DUMMYFUNCTION("""COMPUTED_VALUE"""),"Новый")</f>
        <v>Новый</v>
      </c>
      <c r="G8113" s="68"/>
      <c r="K8113" s="68"/>
    </row>
    <row r="8114" spans="1:11" ht="12.75">
      <c r="A8114" s="69">
        <f ca="1">IFERROR(__xludf.DUMMYFUNCTION("""COMPUTED_VALUE"""),109794)</f>
        <v>109794</v>
      </c>
      <c r="B8114" s="4">
        <f ca="1">IFERROR(__xludf.DUMMYFUNCTION("""COMPUTED_VALUE"""),44846)</f>
        <v>44846</v>
      </c>
      <c r="C8114" t="str">
        <f ca="1">IFERROR(__xludf.DUMMYFUNCTION("""COMPUTED_VALUE"""),"Омскэлектро, АО 207-РДО от 08.08.2022")</f>
        <v>Омскэлектро, АО 207-РДО от 08.08.2022</v>
      </c>
      <c r="D81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4" t="str">
        <f ca="1">IFERROR(__xludf.DUMMYFUNCTION("""COMPUTED_VALUE"""),"Новый")</f>
        <v>Новый</v>
      </c>
      <c r="G8114" s="68"/>
      <c r="K8114" s="68"/>
    </row>
    <row r="8115" spans="1:11" ht="12.75">
      <c r="A8115" s="69">
        <f ca="1">IFERROR(__xludf.DUMMYFUNCTION("""COMPUTED_VALUE"""),109795)</f>
        <v>109795</v>
      </c>
      <c r="B8115" s="4">
        <f ca="1">IFERROR(__xludf.DUMMYFUNCTION("""COMPUTED_VALUE"""),44846)</f>
        <v>44846</v>
      </c>
      <c r="C8115" t="str">
        <f ca="1">IFERROR(__xludf.DUMMYFUNCTION("""COMPUTED_VALUE"""),"Омскэлектро, АО 207-РДО от 08.08.2022")</f>
        <v>Омскэлектро, АО 207-РДО от 08.08.2022</v>
      </c>
      <c r="D81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5" t="str">
        <f ca="1">IFERROR(__xludf.DUMMYFUNCTION("""COMPUTED_VALUE"""),"Новый")</f>
        <v>Новый</v>
      </c>
      <c r="G8115" s="68"/>
      <c r="K8115" s="68"/>
    </row>
    <row r="8116" spans="1:11" ht="12.75">
      <c r="A8116" s="69">
        <f ca="1">IFERROR(__xludf.DUMMYFUNCTION("""COMPUTED_VALUE"""),109796)</f>
        <v>109796</v>
      </c>
      <c r="B8116" s="4">
        <f ca="1">IFERROR(__xludf.DUMMYFUNCTION("""COMPUTED_VALUE"""),44846)</f>
        <v>44846</v>
      </c>
      <c r="C8116" t="str">
        <f ca="1">IFERROR(__xludf.DUMMYFUNCTION("""COMPUTED_VALUE"""),"Омскэлектро, АО 207-РДО от 08.08.2022")</f>
        <v>Омскэлектро, АО 207-РДО от 08.08.2022</v>
      </c>
      <c r="D81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6" t="str">
        <f ca="1">IFERROR(__xludf.DUMMYFUNCTION("""COMPUTED_VALUE"""),"Новый")</f>
        <v>Новый</v>
      </c>
      <c r="G8116" s="68"/>
      <c r="K8116" s="68"/>
    </row>
    <row r="8117" spans="1:11" ht="12.75">
      <c r="A8117" s="69">
        <f ca="1">IFERROR(__xludf.DUMMYFUNCTION("""COMPUTED_VALUE"""),109797)</f>
        <v>109797</v>
      </c>
      <c r="B8117" s="4">
        <f ca="1">IFERROR(__xludf.DUMMYFUNCTION("""COMPUTED_VALUE"""),44846)</f>
        <v>44846</v>
      </c>
      <c r="C8117" t="str">
        <f ca="1">IFERROR(__xludf.DUMMYFUNCTION("""COMPUTED_VALUE"""),"Омскэлектро, АО 207-РДО от 08.08.2022")</f>
        <v>Омскэлектро, АО 207-РДО от 08.08.2022</v>
      </c>
      <c r="D81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7" t="str">
        <f ca="1">IFERROR(__xludf.DUMMYFUNCTION("""COMPUTED_VALUE"""),"Новый")</f>
        <v>Новый</v>
      </c>
      <c r="G8117" s="68"/>
      <c r="K8117" s="68"/>
    </row>
    <row r="8118" spans="1:11" ht="12.75">
      <c r="A8118" s="69">
        <f ca="1">IFERROR(__xludf.DUMMYFUNCTION("""COMPUTED_VALUE"""),109798)</f>
        <v>109798</v>
      </c>
      <c r="B8118" s="4">
        <f ca="1">IFERROR(__xludf.DUMMYFUNCTION("""COMPUTED_VALUE"""),44846)</f>
        <v>44846</v>
      </c>
      <c r="C8118" t="str">
        <f ca="1">IFERROR(__xludf.DUMMYFUNCTION("""COMPUTED_VALUE"""),"Омскэлектро, АО 207-РДО от 08.08.2022")</f>
        <v>Омскэлектро, АО 207-РДО от 08.08.2022</v>
      </c>
      <c r="D81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8" t="str">
        <f ca="1">IFERROR(__xludf.DUMMYFUNCTION("""COMPUTED_VALUE"""),"Новый")</f>
        <v>Новый</v>
      </c>
      <c r="G8118" s="68"/>
      <c r="K8118" s="68"/>
    </row>
    <row r="8119" spans="1:11" ht="12.75">
      <c r="A8119" s="69">
        <f ca="1">IFERROR(__xludf.DUMMYFUNCTION("""COMPUTED_VALUE"""),109799)</f>
        <v>109799</v>
      </c>
      <c r="B8119" s="4">
        <f ca="1">IFERROR(__xludf.DUMMYFUNCTION("""COMPUTED_VALUE"""),44846)</f>
        <v>44846</v>
      </c>
      <c r="C8119" t="str">
        <f ca="1">IFERROR(__xludf.DUMMYFUNCTION("""COMPUTED_VALUE"""),"Омскэлектро, АО 207-РДО от 08.08.2022")</f>
        <v>Омскэлектро, АО 207-РДО от 08.08.2022</v>
      </c>
      <c r="D81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19" t="str">
        <f ca="1">IFERROR(__xludf.DUMMYFUNCTION("""COMPUTED_VALUE"""),"Новый")</f>
        <v>Новый</v>
      </c>
      <c r="G8119" s="68"/>
      <c r="K8119" s="68"/>
    </row>
    <row r="8120" spans="1:11" ht="12.75">
      <c r="A8120" s="69">
        <f ca="1">IFERROR(__xludf.DUMMYFUNCTION("""COMPUTED_VALUE"""),109800)</f>
        <v>109800</v>
      </c>
      <c r="B8120" s="4">
        <f ca="1">IFERROR(__xludf.DUMMYFUNCTION("""COMPUTED_VALUE"""),44846)</f>
        <v>44846</v>
      </c>
      <c r="C8120" t="str">
        <f ca="1">IFERROR(__xludf.DUMMYFUNCTION("""COMPUTED_VALUE"""),"Омскэлектро, АО 207-РДО от 08.08.2022")</f>
        <v>Омскэлектро, АО 207-РДО от 08.08.2022</v>
      </c>
      <c r="D81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0" t="str">
        <f ca="1">IFERROR(__xludf.DUMMYFUNCTION("""COMPUTED_VALUE"""),"Новый")</f>
        <v>Новый</v>
      </c>
      <c r="G8120" s="68"/>
      <c r="K8120" s="68"/>
    </row>
    <row r="8121" spans="1:11" ht="12.75">
      <c r="A8121" s="69">
        <f ca="1">IFERROR(__xludf.DUMMYFUNCTION("""COMPUTED_VALUE"""),109801)</f>
        <v>109801</v>
      </c>
      <c r="B8121" s="4">
        <f ca="1">IFERROR(__xludf.DUMMYFUNCTION("""COMPUTED_VALUE"""),44846)</f>
        <v>44846</v>
      </c>
      <c r="C8121" t="str">
        <f ca="1">IFERROR(__xludf.DUMMYFUNCTION("""COMPUTED_VALUE"""),"Омскэлектро, АО 207-РДО от 08.08.2022")</f>
        <v>Омскэлектро, АО 207-РДО от 08.08.2022</v>
      </c>
      <c r="D81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1" t="str">
        <f ca="1">IFERROR(__xludf.DUMMYFUNCTION("""COMPUTED_VALUE"""),"Новый")</f>
        <v>Новый</v>
      </c>
      <c r="G8121" s="68"/>
      <c r="K8121" s="68"/>
    </row>
    <row r="8122" spans="1:11" ht="12.75">
      <c r="A8122" s="69">
        <f ca="1">IFERROR(__xludf.DUMMYFUNCTION("""COMPUTED_VALUE"""),109802)</f>
        <v>109802</v>
      </c>
      <c r="B8122" s="4">
        <f ca="1">IFERROR(__xludf.DUMMYFUNCTION("""COMPUTED_VALUE"""),44846)</f>
        <v>44846</v>
      </c>
      <c r="C8122" t="str">
        <f ca="1">IFERROR(__xludf.DUMMYFUNCTION("""COMPUTED_VALUE"""),"Омскэлектро, АО 207-РДО от 08.08.2022")</f>
        <v>Омскэлектро, АО 207-РДО от 08.08.2022</v>
      </c>
      <c r="D81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2" t="str">
        <f ca="1">IFERROR(__xludf.DUMMYFUNCTION("""COMPUTED_VALUE"""),"Новый")</f>
        <v>Новый</v>
      </c>
      <c r="G8122" s="68"/>
      <c r="K8122" s="68"/>
    </row>
    <row r="8123" spans="1:11" ht="12.75">
      <c r="A8123" s="69">
        <f ca="1">IFERROR(__xludf.DUMMYFUNCTION("""COMPUTED_VALUE"""),109803)</f>
        <v>109803</v>
      </c>
      <c r="B8123" s="4">
        <f ca="1">IFERROR(__xludf.DUMMYFUNCTION("""COMPUTED_VALUE"""),44846)</f>
        <v>44846</v>
      </c>
      <c r="C8123" t="str">
        <f ca="1">IFERROR(__xludf.DUMMYFUNCTION("""COMPUTED_VALUE"""),"Омскэлектро, АО 207-РДО от 08.08.2022")</f>
        <v>Омскэлектро, АО 207-РДО от 08.08.2022</v>
      </c>
      <c r="D81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3" t="str">
        <f ca="1">IFERROR(__xludf.DUMMYFUNCTION("""COMPUTED_VALUE"""),"Новый")</f>
        <v>Новый</v>
      </c>
      <c r="G8123" s="68"/>
      <c r="K8123" s="68"/>
    </row>
    <row r="8124" spans="1:11" ht="12.75">
      <c r="A8124" s="69">
        <f ca="1">IFERROR(__xludf.DUMMYFUNCTION("""COMPUTED_VALUE"""),109804)</f>
        <v>109804</v>
      </c>
      <c r="B8124" s="4">
        <f ca="1">IFERROR(__xludf.DUMMYFUNCTION("""COMPUTED_VALUE"""),44846)</f>
        <v>44846</v>
      </c>
      <c r="C8124" t="str">
        <f ca="1">IFERROR(__xludf.DUMMYFUNCTION("""COMPUTED_VALUE"""),"Омскэлектро, АО 207-РДО от 08.08.2022")</f>
        <v>Омскэлектро, АО 207-РДО от 08.08.2022</v>
      </c>
      <c r="D81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4" t="str">
        <f ca="1">IFERROR(__xludf.DUMMYFUNCTION("""COMPUTED_VALUE"""),"Новый")</f>
        <v>Новый</v>
      </c>
      <c r="G8124" s="68"/>
      <c r="K8124" s="68"/>
    </row>
    <row r="8125" spans="1:11" ht="12.75">
      <c r="A8125" s="69">
        <f ca="1">IFERROR(__xludf.DUMMYFUNCTION("""COMPUTED_VALUE"""),109805)</f>
        <v>109805</v>
      </c>
      <c r="B8125" s="4">
        <f ca="1">IFERROR(__xludf.DUMMYFUNCTION("""COMPUTED_VALUE"""),44846)</f>
        <v>44846</v>
      </c>
      <c r="C8125" t="str">
        <f ca="1">IFERROR(__xludf.DUMMYFUNCTION("""COMPUTED_VALUE"""),"Омскэлектро, АО 207-РДО от 08.08.2022")</f>
        <v>Омскэлектро, АО 207-РДО от 08.08.2022</v>
      </c>
      <c r="D81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5" t="str">
        <f ca="1">IFERROR(__xludf.DUMMYFUNCTION("""COMPUTED_VALUE"""),"Новый")</f>
        <v>Новый</v>
      </c>
      <c r="G8125" s="68"/>
      <c r="K8125" s="68"/>
    </row>
    <row r="8126" spans="1:11" ht="12.75">
      <c r="A8126" s="69">
        <f ca="1">IFERROR(__xludf.DUMMYFUNCTION("""COMPUTED_VALUE"""),109806)</f>
        <v>109806</v>
      </c>
      <c r="B8126" s="4">
        <f ca="1">IFERROR(__xludf.DUMMYFUNCTION("""COMPUTED_VALUE"""),44846)</f>
        <v>44846</v>
      </c>
      <c r="C8126" t="str">
        <f ca="1">IFERROR(__xludf.DUMMYFUNCTION("""COMPUTED_VALUE"""),"Омскэлектро, АО 207-РДО от 08.08.2022")</f>
        <v>Омскэлектро, АО 207-РДО от 08.08.2022</v>
      </c>
      <c r="D81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6" t="str">
        <f ca="1">IFERROR(__xludf.DUMMYFUNCTION("""COMPUTED_VALUE"""),"Новый")</f>
        <v>Новый</v>
      </c>
      <c r="G8126" s="68"/>
      <c r="K8126" s="68"/>
    </row>
    <row r="8127" spans="1:11" ht="12.75">
      <c r="A8127" s="69">
        <f ca="1">IFERROR(__xludf.DUMMYFUNCTION("""COMPUTED_VALUE"""),109807)</f>
        <v>109807</v>
      </c>
      <c r="B8127" s="4">
        <f ca="1">IFERROR(__xludf.DUMMYFUNCTION("""COMPUTED_VALUE"""),44846)</f>
        <v>44846</v>
      </c>
      <c r="C8127" t="str">
        <f ca="1">IFERROR(__xludf.DUMMYFUNCTION("""COMPUTED_VALUE"""),"Омскэлектро, АО 207-РДО от 08.08.2022")</f>
        <v>Омскэлектро, АО 207-РДО от 08.08.2022</v>
      </c>
      <c r="D81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7" t="str">
        <f ca="1">IFERROR(__xludf.DUMMYFUNCTION("""COMPUTED_VALUE"""),"Новый")</f>
        <v>Новый</v>
      </c>
      <c r="G8127" s="68"/>
      <c r="K8127" s="68"/>
    </row>
    <row r="8128" spans="1:11" ht="12.75">
      <c r="A8128" s="69">
        <f ca="1">IFERROR(__xludf.DUMMYFUNCTION("""COMPUTED_VALUE"""),109808)</f>
        <v>109808</v>
      </c>
      <c r="B8128" s="4">
        <f ca="1">IFERROR(__xludf.DUMMYFUNCTION("""COMPUTED_VALUE"""),44846)</f>
        <v>44846</v>
      </c>
      <c r="C8128" t="str">
        <f ca="1">IFERROR(__xludf.DUMMYFUNCTION("""COMPUTED_VALUE"""),"Омскэлектро, АО 207-РДО от 08.08.2022")</f>
        <v>Омскэлектро, АО 207-РДО от 08.08.2022</v>
      </c>
      <c r="D81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8" t="str">
        <f ca="1">IFERROR(__xludf.DUMMYFUNCTION("""COMPUTED_VALUE"""),"Новый")</f>
        <v>Новый</v>
      </c>
      <c r="G8128" s="68"/>
      <c r="K8128" s="68"/>
    </row>
    <row r="8129" spans="1:11" ht="12.75">
      <c r="A8129" s="69">
        <f ca="1">IFERROR(__xludf.DUMMYFUNCTION("""COMPUTED_VALUE"""),109809)</f>
        <v>109809</v>
      </c>
      <c r="B8129" s="4">
        <f ca="1">IFERROR(__xludf.DUMMYFUNCTION("""COMPUTED_VALUE"""),44846)</f>
        <v>44846</v>
      </c>
      <c r="C8129" t="str">
        <f ca="1">IFERROR(__xludf.DUMMYFUNCTION("""COMPUTED_VALUE"""),"Омскэлектро, АО 207-РДО от 08.08.2022")</f>
        <v>Омскэлектро, АО 207-РДО от 08.08.2022</v>
      </c>
      <c r="D81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29" t="str">
        <f ca="1">IFERROR(__xludf.DUMMYFUNCTION("""COMPUTED_VALUE"""),"Новый")</f>
        <v>Новый</v>
      </c>
      <c r="G8129" s="68"/>
      <c r="K8129" s="68"/>
    </row>
    <row r="8130" spans="1:11" ht="12.75">
      <c r="A8130" s="69">
        <f ca="1">IFERROR(__xludf.DUMMYFUNCTION("""COMPUTED_VALUE"""),109810)</f>
        <v>109810</v>
      </c>
      <c r="B8130" s="4">
        <f ca="1">IFERROR(__xludf.DUMMYFUNCTION("""COMPUTED_VALUE"""),44846)</f>
        <v>44846</v>
      </c>
      <c r="C8130" t="str">
        <f ca="1">IFERROR(__xludf.DUMMYFUNCTION("""COMPUTED_VALUE"""),"Омскэлектро, АО 207-РДО от 08.08.2022")</f>
        <v>Омскэлектро, АО 207-РДО от 08.08.2022</v>
      </c>
      <c r="D81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0" t="str">
        <f ca="1">IFERROR(__xludf.DUMMYFUNCTION("""COMPUTED_VALUE"""),"Новый")</f>
        <v>Новый</v>
      </c>
      <c r="G8130" s="68"/>
      <c r="K8130" s="68"/>
    </row>
    <row r="8131" spans="1:11" ht="12.75">
      <c r="A8131" s="69">
        <f ca="1">IFERROR(__xludf.DUMMYFUNCTION("""COMPUTED_VALUE"""),109811)</f>
        <v>109811</v>
      </c>
      <c r="B8131" s="4">
        <f ca="1">IFERROR(__xludf.DUMMYFUNCTION("""COMPUTED_VALUE"""),44846)</f>
        <v>44846</v>
      </c>
      <c r="C8131" t="str">
        <f ca="1">IFERROR(__xludf.DUMMYFUNCTION("""COMPUTED_VALUE"""),"Омскэлектро, АО 207-РДО от 08.08.2022")</f>
        <v>Омскэлектро, АО 207-РДО от 08.08.2022</v>
      </c>
      <c r="D81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1" t="str">
        <f ca="1">IFERROR(__xludf.DUMMYFUNCTION("""COMPUTED_VALUE"""),"Новый")</f>
        <v>Новый</v>
      </c>
      <c r="G8131" s="68"/>
      <c r="K8131" s="68"/>
    </row>
    <row r="8132" spans="1:11" ht="12.75">
      <c r="A8132" s="69">
        <f ca="1">IFERROR(__xludf.DUMMYFUNCTION("""COMPUTED_VALUE"""),109812)</f>
        <v>109812</v>
      </c>
      <c r="B8132" s="4">
        <f ca="1">IFERROR(__xludf.DUMMYFUNCTION("""COMPUTED_VALUE"""),44846)</f>
        <v>44846</v>
      </c>
      <c r="C8132" t="str">
        <f ca="1">IFERROR(__xludf.DUMMYFUNCTION("""COMPUTED_VALUE"""),"Омскэлектро, АО 207-РДО от 08.08.2022")</f>
        <v>Омскэлектро, АО 207-РДО от 08.08.2022</v>
      </c>
      <c r="D81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2" t="str">
        <f ca="1">IFERROR(__xludf.DUMMYFUNCTION("""COMPUTED_VALUE"""),"Новый")</f>
        <v>Новый</v>
      </c>
      <c r="G8132" s="68"/>
      <c r="K8132" s="68"/>
    </row>
    <row r="8133" spans="1:11" ht="12.75">
      <c r="A8133" s="69">
        <f ca="1">IFERROR(__xludf.DUMMYFUNCTION("""COMPUTED_VALUE"""),109813)</f>
        <v>109813</v>
      </c>
      <c r="B8133" s="4">
        <f ca="1">IFERROR(__xludf.DUMMYFUNCTION("""COMPUTED_VALUE"""),44846)</f>
        <v>44846</v>
      </c>
      <c r="C8133" t="str">
        <f ca="1">IFERROR(__xludf.DUMMYFUNCTION("""COMPUTED_VALUE"""),"Омскэлектро, АО 207-РДО от 08.08.2022")</f>
        <v>Омскэлектро, АО 207-РДО от 08.08.2022</v>
      </c>
      <c r="D81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3" t="str">
        <f ca="1">IFERROR(__xludf.DUMMYFUNCTION("""COMPUTED_VALUE"""),"Новый")</f>
        <v>Новый</v>
      </c>
      <c r="G8133" s="68"/>
      <c r="K8133" s="68"/>
    </row>
    <row r="8134" spans="1:11" ht="12.75">
      <c r="A8134" s="69">
        <f ca="1">IFERROR(__xludf.DUMMYFUNCTION("""COMPUTED_VALUE"""),109814)</f>
        <v>109814</v>
      </c>
      <c r="B8134" s="4">
        <f ca="1">IFERROR(__xludf.DUMMYFUNCTION("""COMPUTED_VALUE"""),44846)</f>
        <v>44846</v>
      </c>
      <c r="C8134" t="str">
        <f ca="1">IFERROR(__xludf.DUMMYFUNCTION("""COMPUTED_VALUE"""),"Омскэлектро, АО 207-РДО от 08.08.2022")</f>
        <v>Омскэлектро, АО 207-РДО от 08.08.2022</v>
      </c>
      <c r="D81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4" t="str">
        <f ca="1">IFERROR(__xludf.DUMMYFUNCTION("""COMPUTED_VALUE"""),"Новый")</f>
        <v>Новый</v>
      </c>
      <c r="G8134" s="68"/>
      <c r="K8134" s="68"/>
    </row>
    <row r="8135" spans="1:11" ht="12.75">
      <c r="A8135" s="69">
        <f ca="1">IFERROR(__xludf.DUMMYFUNCTION("""COMPUTED_VALUE"""),109815)</f>
        <v>109815</v>
      </c>
      <c r="B8135" s="4">
        <f ca="1">IFERROR(__xludf.DUMMYFUNCTION("""COMPUTED_VALUE"""),44846)</f>
        <v>44846</v>
      </c>
      <c r="C8135" t="str">
        <f ca="1">IFERROR(__xludf.DUMMYFUNCTION("""COMPUTED_VALUE"""),"Омскэлектро, АО 207-РДО от 08.08.2022")</f>
        <v>Омскэлектро, АО 207-РДО от 08.08.2022</v>
      </c>
      <c r="D81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5" t="str">
        <f ca="1">IFERROR(__xludf.DUMMYFUNCTION("""COMPUTED_VALUE"""),"Новый")</f>
        <v>Новый</v>
      </c>
      <c r="G8135" s="68"/>
      <c r="K8135" s="68"/>
    </row>
    <row r="8136" spans="1:11" ht="12.75">
      <c r="A8136" s="69">
        <f ca="1">IFERROR(__xludf.DUMMYFUNCTION("""COMPUTED_VALUE"""),109816)</f>
        <v>109816</v>
      </c>
      <c r="B8136" s="4">
        <f ca="1">IFERROR(__xludf.DUMMYFUNCTION("""COMPUTED_VALUE"""),44846)</f>
        <v>44846</v>
      </c>
      <c r="C8136" t="str">
        <f ca="1">IFERROR(__xludf.DUMMYFUNCTION("""COMPUTED_VALUE"""),"Омскэлектро, АО 207-РДО от 08.08.2022")</f>
        <v>Омскэлектро, АО 207-РДО от 08.08.2022</v>
      </c>
      <c r="D81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6" t="str">
        <f ca="1">IFERROR(__xludf.DUMMYFUNCTION("""COMPUTED_VALUE"""),"Новый")</f>
        <v>Новый</v>
      </c>
      <c r="G8136" s="68"/>
      <c r="K8136" s="68"/>
    </row>
    <row r="8137" spans="1:11" ht="12.75">
      <c r="A8137" s="69">
        <f ca="1">IFERROR(__xludf.DUMMYFUNCTION("""COMPUTED_VALUE"""),109817)</f>
        <v>109817</v>
      </c>
      <c r="B8137" s="4">
        <f ca="1">IFERROR(__xludf.DUMMYFUNCTION("""COMPUTED_VALUE"""),44846)</f>
        <v>44846</v>
      </c>
      <c r="C8137" t="str">
        <f ca="1">IFERROR(__xludf.DUMMYFUNCTION("""COMPUTED_VALUE"""),"Омскэлектро, АО 207-РДО от 08.08.2022")</f>
        <v>Омскэлектро, АО 207-РДО от 08.08.2022</v>
      </c>
      <c r="D81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37" t="str">
        <f ca="1">IFERROR(__xludf.DUMMYFUNCTION("""COMPUTED_VALUE"""),"Новый")</f>
        <v>Новый</v>
      </c>
      <c r="G8137" s="68"/>
      <c r="K8137" s="68"/>
    </row>
    <row r="8138" spans="1:11" ht="12.75">
      <c r="A8138" s="69">
        <f ca="1">IFERROR(__xludf.DUMMYFUNCTION("""COMPUTED_VALUE"""),109818)</f>
        <v>109818</v>
      </c>
      <c r="B8138" s="4">
        <f ca="1">IFERROR(__xludf.DUMMYFUNCTION("""COMPUTED_VALUE"""),44846)</f>
        <v>44846</v>
      </c>
      <c r="C8138" t="str">
        <f ca="1">IFERROR(__xludf.DUMMYFUNCTION("""COMPUTED_VALUE"""),"Роде Олег Адамович 161-СТР от 01.08.2022")</f>
        <v>Роде Олег Адамович 161-СТР от 01.08.2022</v>
      </c>
      <c r="D81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38" t="str">
        <f ca="1">IFERROR(__xludf.DUMMYFUNCTION("""COMPUTED_VALUE"""),"Новый")</f>
        <v>Новый</v>
      </c>
      <c r="G8138" s="68"/>
      <c r="K8138" s="68"/>
    </row>
    <row r="8139" spans="1:11" ht="12.75">
      <c r="A8139" s="69">
        <f ca="1">IFERROR(__xludf.DUMMYFUNCTION("""COMPUTED_VALUE"""),109820)</f>
        <v>109820</v>
      </c>
      <c r="B8139" s="4">
        <f ca="1">IFERROR(__xludf.DUMMYFUNCTION("""COMPUTED_VALUE"""),44846)</f>
        <v>44846</v>
      </c>
      <c r="C8139" t="str">
        <f ca="1">IFERROR(__xludf.DUMMYFUNCTION("""COMPUTED_VALUE"""),"Роде Олег Адамович 161-СТР от 01.08.2022")</f>
        <v>Роде Олег Адамович 161-СТР от 01.08.2022</v>
      </c>
      <c r="D81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39" t="str">
        <f ca="1">IFERROR(__xludf.DUMMYFUNCTION("""COMPUTED_VALUE"""),"Новый")</f>
        <v>Новый</v>
      </c>
      <c r="G8139" s="68"/>
      <c r="K8139" s="68"/>
    </row>
    <row r="8140" spans="1:11" ht="12.75">
      <c r="A8140" s="69">
        <f ca="1">IFERROR(__xludf.DUMMYFUNCTION("""COMPUTED_VALUE"""),109821)</f>
        <v>109821</v>
      </c>
      <c r="B8140" s="4">
        <f ca="1">IFERROR(__xludf.DUMMYFUNCTION("""COMPUTED_VALUE"""),44846)</f>
        <v>44846</v>
      </c>
      <c r="C8140" t="str">
        <f ca="1">IFERROR(__xludf.DUMMYFUNCTION("""COMPUTED_VALUE"""),"Роде Олег Адамович 161-СТР от 01.08.2022")</f>
        <v>Роде Олег Адамович 161-СТР от 01.08.2022</v>
      </c>
      <c r="D81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0" t="str">
        <f ca="1">IFERROR(__xludf.DUMMYFUNCTION("""COMPUTED_VALUE"""),"Новый")</f>
        <v>Новый</v>
      </c>
      <c r="G8140" s="68"/>
      <c r="K8140" s="68"/>
    </row>
    <row r="8141" spans="1:11" ht="12.75">
      <c r="A8141" s="69">
        <f ca="1">IFERROR(__xludf.DUMMYFUNCTION("""COMPUTED_VALUE"""),109822)</f>
        <v>109822</v>
      </c>
      <c r="B8141" s="4">
        <f ca="1">IFERROR(__xludf.DUMMYFUNCTION("""COMPUTED_VALUE"""),44846)</f>
        <v>44846</v>
      </c>
      <c r="C8141" t="str">
        <f ca="1">IFERROR(__xludf.DUMMYFUNCTION("""COMPUTED_VALUE"""),"Роде Олег Адамович 161-СТР от 01.08.2022")</f>
        <v>Роде Олег Адамович 161-СТР от 01.08.2022</v>
      </c>
      <c r="D81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1" t="str">
        <f ca="1">IFERROR(__xludf.DUMMYFUNCTION("""COMPUTED_VALUE"""),"Новый")</f>
        <v>Новый</v>
      </c>
      <c r="G8141" s="68"/>
      <c r="K8141" s="68"/>
    </row>
    <row r="8142" spans="1:11" ht="12.75">
      <c r="A8142" s="69">
        <f ca="1">IFERROR(__xludf.DUMMYFUNCTION("""COMPUTED_VALUE"""),109823)</f>
        <v>109823</v>
      </c>
      <c r="B8142" s="4">
        <f ca="1">IFERROR(__xludf.DUMMYFUNCTION("""COMPUTED_VALUE"""),44846)</f>
        <v>44846</v>
      </c>
      <c r="C8142" t="str">
        <f ca="1">IFERROR(__xludf.DUMMYFUNCTION("""COMPUTED_VALUE"""),"Роде Олег Адамович 161-СТР от 01.08.2022")</f>
        <v>Роде Олег Адамович 161-СТР от 01.08.2022</v>
      </c>
      <c r="D81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2" t="str">
        <f ca="1">IFERROR(__xludf.DUMMYFUNCTION("""COMPUTED_VALUE"""),"Новый")</f>
        <v>Новый</v>
      </c>
      <c r="G8142" s="68"/>
      <c r="K8142" s="68"/>
    </row>
    <row r="8143" spans="1:11" ht="12.75">
      <c r="A8143" s="69">
        <f ca="1">IFERROR(__xludf.DUMMYFUNCTION("""COMPUTED_VALUE"""),109824)</f>
        <v>109824</v>
      </c>
      <c r="B8143" s="4">
        <f ca="1">IFERROR(__xludf.DUMMYFUNCTION("""COMPUTED_VALUE"""),44846)</f>
        <v>44846</v>
      </c>
      <c r="C8143" t="str">
        <f ca="1">IFERROR(__xludf.DUMMYFUNCTION("""COMPUTED_VALUE"""),"Роде Олег Адамович 161-СТР от 01.08.2022")</f>
        <v>Роде Олег Адамович 161-СТР от 01.08.2022</v>
      </c>
      <c r="D81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3" t="str">
        <f ca="1">IFERROR(__xludf.DUMMYFUNCTION("""COMPUTED_VALUE"""),"Новый")</f>
        <v>Новый</v>
      </c>
      <c r="G8143" s="68"/>
      <c r="K8143" s="68"/>
    </row>
    <row r="8144" spans="1:11" ht="12.75">
      <c r="A8144" s="69">
        <f ca="1">IFERROR(__xludf.DUMMYFUNCTION("""COMPUTED_VALUE"""),109825)</f>
        <v>109825</v>
      </c>
      <c r="B8144" s="4">
        <f ca="1">IFERROR(__xludf.DUMMYFUNCTION("""COMPUTED_VALUE"""),44846)</f>
        <v>44846</v>
      </c>
      <c r="C8144" t="str">
        <f ca="1">IFERROR(__xludf.DUMMYFUNCTION("""COMPUTED_VALUE"""),"Роде Олег Адамович 161-СТР от 01.08.2022")</f>
        <v>Роде Олег Адамович 161-СТР от 01.08.2022</v>
      </c>
      <c r="D81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4" t="str">
        <f ca="1">IFERROR(__xludf.DUMMYFUNCTION("""COMPUTED_VALUE"""),"Новый")</f>
        <v>Новый</v>
      </c>
      <c r="G8144" s="68"/>
      <c r="K8144" s="68"/>
    </row>
    <row r="8145" spans="1:11" ht="12.75">
      <c r="A8145" s="69">
        <f ca="1">IFERROR(__xludf.DUMMYFUNCTION("""COMPUTED_VALUE"""),109826)</f>
        <v>109826</v>
      </c>
      <c r="B8145" s="4">
        <f ca="1">IFERROR(__xludf.DUMMYFUNCTION("""COMPUTED_VALUE"""),44846)</f>
        <v>44846</v>
      </c>
      <c r="C8145" t="str">
        <f ca="1">IFERROR(__xludf.DUMMYFUNCTION("""COMPUTED_VALUE"""),"Роде Олег Адамович 161-СТР от 01.08.2022")</f>
        <v>Роде Олег Адамович 161-СТР от 01.08.2022</v>
      </c>
      <c r="D81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5" t="str">
        <f ca="1">IFERROR(__xludf.DUMMYFUNCTION("""COMPUTED_VALUE"""),"Новый")</f>
        <v>Новый</v>
      </c>
      <c r="G8145" s="68"/>
      <c r="K8145" s="68"/>
    </row>
    <row r="8146" spans="1:11" ht="12.75">
      <c r="A8146" s="69">
        <f ca="1">IFERROR(__xludf.DUMMYFUNCTION("""COMPUTED_VALUE"""),109827)</f>
        <v>109827</v>
      </c>
      <c r="B8146" s="4">
        <f ca="1">IFERROR(__xludf.DUMMYFUNCTION("""COMPUTED_VALUE"""),44846)</f>
        <v>44846</v>
      </c>
      <c r="C8146" t="str">
        <f ca="1">IFERROR(__xludf.DUMMYFUNCTION("""COMPUTED_VALUE"""),"Роде Олег Адамович 161-СТР от 01.08.2022")</f>
        <v>Роде Олег Адамович 161-СТР от 01.08.2022</v>
      </c>
      <c r="D81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46" t="str">
        <f ca="1">IFERROR(__xludf.DUMMYFUNCTION("""COMPUTED_VALUE"""),"Новый")</f>
        <v>Новый</v>
      </c>
      <c r="G8146" s="68"/>
      <c r="K8146" s="68"/>
    </row>
    <row r="8147" spans="1:11" ht="12.75">
      <c r="A8147" s="69">
        <f ca="1">IFERROR(__xludf.DUMMYFUNCTION("""COMPUTED_VALUE"""),109828)</f>
        <v>109828</v>
      </c>
      <c r="B8147" s="4">
        <f ca="1">IFERROR(__xludf.DUMMYFUNCTION("""COMPUTED_VALUE"""),44846)</f>
        <v>44846</v>
      </c>
      <c r="C8147" t="str">
        <f ca="1">IFERROR(__xludf.DUMMYFUNCTION("""COMPUTED_VALUE"""),"ЗАО ""ЭКОС"" 128-РДО от 01.01.2022")</f>
        <v>ЗАО "ЭКОС" 128-РДО от 01.01.2022</v>
      </c>
      <c r="D814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47" t="str">
        <f ca="1">IFERROR(__xludf.DUMMYFUNCTION("""COMPUTED_VALUE"""),"Новый")</f>
        <v>Новый</v>
      </c>
      <c r="G8147" s="68"/>
      <c r="K8147" s="68"/>
    </row>
    <row r="8148" spans="1:11" ht="12.75">
      <c r="A8148" s="69">
        <f ca="1">IFERROR(__xludf.DUMMYFUNCTION("""COMPUTED_VALUE"""),109829)</f>
        <v>109829</v>
      </c>
      <c r="B8148" s="4">
        <f ca="1">IFERROR(__xludf.DUMMYFUNCTION("""COMPUTED_VALUE"""),44846)</f>
        <v>44846</v>
      </c>
      <c r="C8148" t="str">
        <f ca="1">IFERROR(__xludf.DUMMYFUNCTION("""COMPUTED_VALUE"""),"ЗАО ""ЭКОС"" 128-РДО от 01.01.2022")</f>
        <v>ЗАО "ЭКОС" 128-РДО от 01.01.2022</v>
      </c>
      <c r="D814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48" t="str">
        <f ca="1">IFERROR(__xludf.DUMMYFUNCTION("""COMPUTED_VALUE"""),"Новый")</f>
        <v>Новый</v>
      </c>
      <c r="G8148" s="68"/>
      <c r="K8148" s="68"/>
    </row>
    <row r="8149" spans="1:11" ht="12.75">
      <c r="A8149" s="69">
        <f ca="1">IFERROR(__xludf.DUMMYFUNCTION("""COMPUTED_VALUE"""),109830)</f>
        <v>109830</v>
      </c>
      <c r="B8149" s="4">
        <f ca="1">IFERROR(__xludf.DUMMYFUNCTION("""COMPUTED_VALUE"""),44846)</f>
        <v>44846</v>
      </c>
      <c r="C8149" t="str">
        <f ca="1">IFERROR(__xludf.DUMMYFUNCTION("""COMPUTED_VALUE"""),"ЗАО ""ЭКОС"" 128-РДО от 01.01.2022")</f>
        <v>ЗАО "ЭКОС" 128-РДО от 01.01.2022</v>
      </c>
      <c r="D814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49" t="str">
        <f ca="1">IFERROR(__xludf.DUMMYFUNCTION("""COMPUTED_VALUE"""),"Новый")</f>
        <v>Новый</v>
      </c>
      <c r="G8149" s="68"/>
      <c r="K8149" s="68"/>
    </row>
    <row r="8150" spans="1:11" ht="12.75">
      <c r="A8150" s="69">
        <f ca="1">IFERROR(__xludf.DUMMYFUNCTION("""COMPUTED_VALUE"""),109831)</f>
        <v>109831</v>
      </c>
      <c r="B8150" s="4">
        <f ca="1">IFERROR(__xludf.DUMMYFUNCTION("""COMPUTED_VALUE"""),44846)</f>
        <v>44846</v>
      </c>
      <c r="C8150" t="str">
        <f ca="1">IFERROR(__xludf.DUMMYFUNCTION("""COMPUTED_VALUE"""),"ЗАО ""ЭКОС"" 128-РДО от 01.01.2022")</f>
        <v>ЗАО "ЭКОС" 128-РДО от 01.01.2022</v>
      </c>
      <c r="D815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0" t="str">
        <f ca="1">IFERROR(__xludf.DUMMYFUNCTION("""COMPUTED_VALUE"""),"Новый")</f>
        <v>Новый</v>
      </c>
      <c r="G8150" s="68"/>
      <c r="K8150" s="68"/>
    </row>
    <row r="8151" spans="1:11" ht="12.75">
      <c r="A8151" s="69">
        <f ca="1">IFERROR(__xludf.DUMMYFUNCTION("""COMPUTED_VALUE"""),109832)</f>
        <v>109832</v>
      </c>
      <c r="B8151" s="4">
        <f ca="1">IFERROR(__xludf.DUMMYFUNCTION("""COMPUTED_VALUE"""),44846)</f>
        <v>44846</v>
      </c>
      <c r="C8151" t="str">
        <f ca="1">IFERROR(__xludf.DUMMYFUNCTION("""COMPUTED_VALUE"""),"ЗАО ""ЭКОС"" 128-РДО от 01.01.2022")</f>
        <v>ЗАО "ЭКОС" 128-РДО от 01.01.2022</v>
      </c>
      <c r="D815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1" t="str">
        <f ca="1">IFERROR(__xludf.DUMMYFUNCTION("""COMPUTED_VALUE"""),"Новый")</f>
        <v>Новый</v>
      </c>
      <c r="G8151" s="68"/>
      <c r="K8151" s="68"/>
    </row>
    <row r="8152" spans="1:11" ht="12.75">
      <c r="A8152" s="69">
        <f ca="1">IFERROR(__xludf.DUMMYFUNCTION("""COMPUTED_VALUE"""),109833)</f>
        <v>109833</v>
      </c>
      <c r="B8152" s="4">
        <f ca="1">IFERROR(__xludf.DUMMYFUNCTION("""COMPUTED_VALUE"""),44846)</f>
        <v>44846</v>
      </c>
      <c r="C8152" t="str">
        <f ca="1">IFERROR(__xludf.DUMMYFUNCTION("""COMPUTED_VALUE"""),"ЗАО ""ЭКОС"" 128-РДО от 01.01.2022")</f>
        <v>ЗАО "ЭКОС" 128-РДО от 01.01.2022</v>
      </c>
      <c r="D815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2" t="str">
        <f ca="1">IFERROR(__xludf.DUMMYFUNCTION("""COMPUTED_VALUE"""),"Новый")</f>
        <v>Новый</v>
      </c>
      <c r="G8152" s="68"/>
      <c r="K8152" s="68"/>
    </row>
    <row r="8153" spans="1:11" ht="12.75">
      <c r="A8153" s="69">
        <f ca="1">IFERROR(__xludf.DUMMYFUNCTION("""COMPUTED_VALUE"""),109834)</f>
        <v>109834</v>
      </c>
      <c r="B8153" s="4">
        <f ca="1">IFERROR(__xludf.DUMMYFUNCTION("""COMPUTED_VALUE"""),44846)</f>
        <v>44846</v>
      </c>
      <c r="C8153" t="str">
        <f ca="1">IFERROR(__xludf.DUMMYFUNCTION("""COMPUTED_VALUE"""),"ЗАО ""ЭКОС"" 128-РДО от 01.01.2022")</f>
        <v>ЗАО "ЭКОС" 128-РДО от 01.01.2022</v>
      </c>
      <c r="D815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3" t="str">
        <f ca="1">IFERROR(__xludf.DUMMYFUNCTION("""COMPUTED_VALUE"""),"Новый")</f>
        <v>Новый</v>
      </c>
      <c r="G8153" s="68"/>
      <c r="K8153" s="68"/>
    </row>
    <row r="8154" spans="1:11" ht="12.75">
      <c r="A8154" s="69">
        <f ca="1">IFERROR(__xludf.DUMMYFUNCTION("""COMPUTED_VALUE"""),109835)</f>
        <v>109835</v>
      </c>
      <c r="B8154" s="4">
        <f ca="1">IFERROR(__xludf.DUMMYFUNCTION("""COMPUTED_VALUE"""),44846)</f>
        <v>44846</v>
      </c>
      <c r="C8154" t="str">
        <f ca="1">IFERROR(__xludf.DUMMYFUNCTION("""COMPUTED_VALUE"""),"ЗАО ""ЭКОС"" 128-РДО от 01.01.2022")</f>
        <v>ЗАО "ЭКОС" 128-РДО от 01.01.2022</v>
      </c>
      <c r="D815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4" t="str">
        <f ca="1">IFERROR(__xludf.DUMMYFUNCTION("""COMPUTED_VALUE"""),"Новый")</f>
        <v>Новый</v>
      </c>
      <c r="G8154" s="68"/>
      <c r="K8154" s="68"/>
    </row>
    <row r="8155" spans="1:11" ht="12.75">
      <c r="A8155" s="69">
        <f ca="1">IFERROR(__xludf.DUMMYFUNCTION("""COMPUTED_VALUE"""),109836)</f>
        <v>109836</v>
      </c>
      <c r="B8155" s="4">
        <f ca="1">IFERROR(__xludf.DUMMYFUNCTION("""COMPUTED_VALUE"""),44846)</f>
        <v>44846</v>
      </c>
      <c r="C8155" t="str">
        <f ca="1">IFERROR(__xludf.DUMMYFUNCTION("""COMPUTED_VALUE"""),"ЗАО ""ЭКОС"" 128-РДО от 01.01.2022")</f>
        <v>ЗАО "ЭКОС" 128-РДО от 01.01.2022</v>
      </c>
      <c r="D815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5" t="str">
        <f ca="1">IFERROR(__xludf.DUMMYFUNCTION("""COMPUTED_VALUE"""),"Новый")</f>
        <v>Новый</v>
      </c>
      <c r="G8155" s="68"/>
      <c r="K8155" s="68"/>
    </row>
    <row r="8156" spans="1:11" ht="12.75">
      <c r="A8156" s="69">
        <f ca="1">IFERROR(__xludf.DUMMYFUNCTION("""COMPUTED_VALUE"""),109837)</f>
        <v>109837</v>
      </c>
      <c r="B8156" s="4">
        <f ca="1">IFERROR(__xludf.DUMMYFUNCTION("""COMPUTED_VALUE"""),44846)</f>
        <v>44846</v>
      </c>
      <c r="C8156" t="str">
        <f ca="1">IFERROR(__xludf.DUMMYFUNCTION("""COMPUTED_VALUE"""),"ЗАО ""ЭКОС"" 128-РДО от 01.01.2022")</f>
        <v>ЗАО "ЭКОС" 128-РДО от 01.01.2022</v>
      </c>
      <c r="D815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6" t="str">
        <f ca="1">IFERROR(__xludf.DUMMYFUNCTION("""COMPUTED_VALUE"""),"Новый")</f>
        <v>Новый</v>
      </c>
      <c r="G8156" s="68"/>
      <c r="K8156" s="68"/>
    </row>
    <row r="8157" spans="1:11" ht="12.75">
      <c r="A8157" s="69">
        <f ca="1">IFERROR(__xludf.DUMMYFUNCTION("""COMPUTED_VALUE"""),109838)</f>
        <v>109838</v>
      </c>
      <c r="B8157" s="4">
        <f ca="1">IFERROR(__xludf.DUMMYFUNCTION("""COMPUTED_VALUE"""),44846)</f>
        <v>44846</v>
      </c>
      <c r="C8157" t="str">
        <f ca="1">IFERROR(__xludf.DUMMYFUNCTION("""COMPUTED_VALUE"""),"ООО ""УК ВиТа"" 138-РДО от 25.03.2022")</f>
        <v>ООО "УК ВиТа" 138-РДО от 25.03.2022</v>
      </c>
      <c r="D815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7" t="str">
        <f ca="1">IFERROR(__xludf.DUMMYFUNCTION("""COMPUTED_VALUE"""),"Новый")</f>
        <v>Новый</v>
      </c>
      <c r="G8157" s="68"/>
      <c r="K8157" s="68"/>
    </row>
    <row r="8158" spans="1:11" ht="12.75">
      <c r="A8158" s="69">
        <f ca="1">IFERROR(__xludf.DUMMYFUNCTION("""COMPUTED_VALUE"""),109839)</f>
        <v>109839</v>
      </c>
      <c r="B8158" s="4">
        <f ca="1">IFERROR(__xludf.DUMMYFUNCTION("""COMPUTED_VALUE"""),44846)</f>
        <v>44846</v>
      </c>
      <c r="C8158" t="str">
        <f ca="1">IFERROR(__xludf.DUMMYFUNCTION("""COMPUTED_VALUE"""),"ООО ""УК ВиТа"" 138-РДО от 25.03.2022")</f>
        <v>ООО "УК ВиТа" 138-РДО от 25.03.2022</v>
      </c>
      <c r="D815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8" t="str">
        <f ca="1">IFERROR(__xludf.DUMMYFUNCTION("""COMPUTED_VALUE"""),"Новый")</f>
        <v>Новый</v>
      </c>
      <c r="G8158" s="68"/>
      <c r="K8158" s="68"/>
    </row>
    <row r="8159" spans="1:11" ht="12.75">
      <c r="A8159" s="69">
        <f ca="1">IFERROR(__xludf.DUMMYFUNCTION("""COMPUTED_VALUE"""),109840)</f>
        <v>109840</v>
      </c>
      <c r="B8159" s="4">
        <f ca="1">IFERROR(__xludf.DUMMYFUNCTION("""COMPUTED_VALUE"""),44846)</f>
        <v>44846</v>
      </c>
      <c r="C8159" t="str">
        <f ca="1">IFERROR(__xludf.DUMMYFUNCTION("""COMPUTED_VALUE"""),"ООО ""УК ВиТа"" 138-РДО от 25.03.2022")</f>
        <v>ООО "УК ВиТа" 138-РДО от 25.03.2022</v>
      </c>
      <c r="D815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59" t="str">
        <f ca="1">IFERROR(__xludf.DUMMYFUNCTION("""COMPUTED_VALUE"""),"Новый")</f>
        <v>Новый</v>
      </c>
      <c r="G8159" s="68"/>
      <c r="K8159" s="68"/>
    </row>
    <row r="8160" spans="1:11" ht="12.75">
      <c r="A8160" s="69">
        <f ca="1">IFERROR(__xludf.DUMMYFUNCTION("""COMPUTED_VALUE"""),109841)</f>
        <v>109841</v>
      </c>
      <c r="B8160" s="4">
        <f ca="1">IFERROR(__xludf.DUMMYFUNCTION("""COMPUTED_VALUE"""),44846)</f>
        <v>44846</v>
      </c>
      <c r="C8160" t="str">
        <f ca="1">IFERROR(__xludf.DUMMYFUNCTION("""COMPUTED_VALUE"""),"ООО ""УК ВиТа"" 138-РДО от 25.03.2022")</f>
        <v>ООО "УК ВиТа" 138-РДО от 25.03.2022</v>
      </c>
      <c r="D816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0" t="str">
        <f ca="1">IFERROR(__xludf.DUMMYFUNCTION("""COMPUTED_VALUE"""),"Новый")</f>
        <v>Новый</v>
      </c>
      <c r="G8160" s="68"/>
      <c r="K8160" s="68"/>
    </row>
    <row r="8161" spans="1:11" ht="12.75">
      <c r="A8161" s="69">
        <f ca="1">IFERROR(__xludf.DUMMYFUNCTION("""COMPUTED_VALUE"""),109842)</f>
        <v>109842</v>
      </c>
      <c r="B8161" s="4">
        <f ca="1">IFERROR(__xludf.DUMMYFUNCTION("""COMPUTED_VALUE"""),44846)</f>
        <v>44846</v>
      </c>
      <c r="C8161" t="str">
        <f ca="1">IFERROR(__xludf.DUMMYFUNCTION("""COMPUTED_VALUE"""),"ООО ""УК ВиТа"" 138-РДО от 25.03.2022")</f>
        <v>ООО "УК ВиТа" 138-РДО от 25.03.2022</v>
      </c>
      <c r="D816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1" t="str">
        <f ca="1">IFERROR(__xludf.DUMMYFUNCTION("""COMPUTED_VALUE"""),"Новый")</f>
        <v>Новый</v>
      </c>
      <c r="G8161" s="68"/>
      <c r="K8161" s="68"/>
    </row>
    <row r="8162" spans="1:11" ht="12.75">
      <c r="A8162" s="69">
        <f ca="1">IFERROR(__xludf.DUMMYFUNCTION("""COMPUTED_VALUE"""),109843)</f>
        <v>109843</v>
      </c>
      <c r="B8162" s="4">
        <f ca="1">IFERROR(__xludf.DUMMYFUNCTION("""COMPUTED_VALUE"""),44846)</f>
        <v>44846</v>
      </c>
      <c r="C8162" t="str">
        <f ca="1">IFERROR(__xludf.DUMMYFUNCTION("""COMPUTED_VALUE"""),"ООО ""УК ВиТа"" 138-РДО от 25.03.2022")</f>
        <v>ООО "УК ВиТа" 138-РДО от 25.03.2022</v>
      </c>
      <c r="D816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2" t="str">
        <f ca="1">IFERROR(__xludf.DUMMYFUNCTION("""COMPUTED_VALUE"""),"Новый")</f>
        <v>Новый</v>
      </c>
      <c r="G8162" s="68"/>
      <c r="K8162" s="68"/>
    </row>
    <row r="8163" spans="1:11" ht="12.75">
      <c r="A8163" s="69">
        <f ca="1">IFERROR(__xludf.DUMMYFUNCTION("""COMPUTED_VALUE"""),109844)</f>
        <v>109844</v>
      </c>
      <c r="B8163" s="4">
        <f ca="1">IFERROR(__xludf.DUMMYFUNCTION("""COMPUTED_VALUE"""),44846)</f>
        <v>44846</v>
      </c>
      <c r="C8163" t="str">
        <f ca="1">IFERROR(__xludf.DUMMYFUNCTION("""COMPUTED_VALUE"""),"ООО ""УК ВиТа"" 138-РДО от 25.03.2022")</f>
        <v>ООО "УК ВиТа" 138-РДО от 25.03.2022</v>
      </c>
      <c r="D816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3" t="str">
        <f ca="1">IFERROR(__xludf.DUMMYFUNCTION("""COMPUTED_VALUE"""),"Новый")</f>
        <v>Новый</v>
      </c>
      <c r="G8163" s="68"/>
      <c r="K8163" s="68"/>
    </row>
    <row r="8164" spans="1:11" ht="12.75">
      <c r="A8164" s="69">
        <f ca="1">IFERROR(__xludf.DUMMYFUNCTION("""COMPUTED_VALUE"""),109845)</f>
        <v>109845</v>
      </c>
      <c r="B8164" s="4">
        <f ca="1">IFERROR(__xludf.DUMMYFUNCTION("""COMPUTED_VALUE"""),44846)</f>
        <v>44846</v>
      </c>
      <c r="C8164" t="str">
        <f ca="1">IFERROR(__xludf.DUMMYFUNCTION("""COMPUTED_VALUE"""),"ООО ""УК ВиТа"" 138-РДО от 25.03.2022")</f>
        <v>ООО "УК ВиТа" 138-РДО от 25.03.2022</v>
      </c>
      <c r="D816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4" t="str">
        <f ca="1">IFERROR(__xludf.DUMMYFUNCTION("""COMPUTED_VALUE"""),"Новый")</f>
        <v>Новый</v>
      </c>
      <c r="G8164" s="68"/>
      <c r="K8164" s="68"/>
    </row>
    <row r="8165" spans="1:11" ht="12.75">
      <c r="A8165" s="69">
        <f ca="1">IFERROR(__xludf.DUMMYFUNCTION("""COMPUTED_VALUE"""),109847)</f>
        <v>109847</v>
      </c>
      <c r="B8165" s="4">
        <f ca="1">IFERROR(__xludf.DUMMYFUNCTION("""COMPUTED_VALUE"""),44846)</f>
        <v>44846</v>
      </c>
      <c r="C8165" t="str">
        <f ca="1">IFERROR(__xludf.DUMMYFUNCTION("""COMPUTED_VALUE"""),"ООО ""УК ВиТа"" 138-РДО от 25.03.2022")</f>
        <v>ООО "УК ВиТа" 138-РДО от 25.03.2022</v>
      </c>
      <c r="D816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5" t="str">
        <f ca="1">IFERROR(__xludf.DUMMYFUNCTION("""COMPUTED_VALUE"""),"Новый")</f>
        <v>Новый</v>
      </c>
      <c r="G8165" s="68"/>
      <c r="K8165" s="68"/>
    </row>
    <row r="8166" spans="1:11" ht="12.75">
      <c r="A8166" s="69">
        <f ca="1">IFERROR(__xludf.DUMMYFUNCTION("""COMPUTED_VALUE"""),109848)</f>
        <v>109848</v>
      </c>
      <c r="B8166" s="4">
        <f ca="1">IFERROR(__xludf.DUMMYFUNCTION("""COMPUTED_VALUE"""),44846)</f>
        <v>44846</v>
      </c>
      <c r="C8166" t="str">
        <f ca="1">IFERROR(__xludf.DUMMYFUNCTION("""COMPUTED_VALUE"""),"ООО ""УК ВиТа"" 138-РДО от 25.03.2022")</f>
        <v>ООО "УК ВиТа" 138-РДО от 25.03.2022</v>
      </c>
      <c r="D816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6" t="str">
        <f ca="1">IFERROR(__xludf.DUMMYFUNCTION("""COMPUTED_VALUE"""),"Новый")</f>
        <v>Новый</v>
      </c>
      <c r="G8166" s="68"/>
      <c r="K8166" s="68"/>
    </row>
    <row r="8167" spans="1:11" ht="12.75">
      <c r="A8167" s="69">
        <f ca="1">IFERROR(__xludf.DUMMYFUNCTION("""COMPUTED_VALUE"""),109849)</f>
        <v>109849</v>
      </c>
      <c r="B8167" s="4">
        <f ca="1">IFERROR(__xludf.DUMMYFUNCTION("""COMPUTED_VALUE"""),44846)</f>
        <v>44846</v>
      </c>
      <c r="C8167" t="str">
        <f ca="1">IFERROR(__xludf.DUMMYFUNCTION("""COMPUTED_VALUE"""),"ООО ""УК ВиТа"" 138-РДО от 25.03.2022")</f>
        <v>ООО "УК ВиТа" 138-РДО от 25.03.2022</v>
      </c>
      <c r="D816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7" t="str">
        <f ca="1">IFERROR(__xludf.DUMMYFUNCTION("""COMPUTED_VALUE"""),"Новый")</f>
        <v>Новый</v>
      </c>
      <c r="G8167" s="68"/>
      <c r="K8167" s="68"/>
    </row>
    <row r="8168" spans="1:11" ht="12.75">
      <c r="A8168" s="69">
        <f ca="1">IFERROR(__xludf.DUMMYFUNCTION("""COMPUTED_VALUE"""),109850)</f>
        <v>109850</v>
      </c>
      <c r="B8168" s="4">
        <f ca="1">IFERROR(__xludf.DUMMYFUNCTION("""COMPUTED_VALUE"""),44846)</f>
        <v>44846</v>
      </c>
      <c r="C8168" t="str">
        <f ca="1">IFERROR(__xludf.DUMMYFUNCTION("""COMPUTED_VALUE"""),"ООО ""УК ВиТа"" 138-РДО от 25.03.2022")</f>
        <v>ООО "УК ВиТа" 138-РДО от 25.03.2022</v>
      </c>
      <c r="D816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8" t="str">
        <f ca="1">IFERROR(__xludf.DUMMYFUNCTION("""COMPUTED_VALUE"""),"Новый")</f>
        <v>Новый</v>
      </c>
      <c r="G8168" s="68"/>
      <c r="K8168" s="68"/>
    </row>
    <row r="8169" spans="1:11" ht="12.75">
      <c r="A8169" s="69">
        <f ca="1">IFERROR(__xludf.DUMMYFUNCTION("""COMPUTED_VALUE"""),109851)</f>
        <v>109851</v>
      </c>
      <c r="B8169" s="4">
        <f ca="1">IFERROR(__xludf.DUMMYFUNCTION("""COMPUTED_VALUE"""),44846)</f>
        <v>44846</v>
      </c>
      <c r="C8169" t="str">
        <f ca="1">IFERROR(__xludf.DUMMYFUNCTION("""COMPUTED_VALUE"""),"ООО ""УК ВиТа"" 138-РДО от 25.03.2022")</f>
        <v>ООО "УК ВиТа" 138-РДО от 25.03.2022</v>
      </c>
      <c r="D816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69" t="str">
        <f ca="1">IFERROR(__xludf.DUMMYFUNCTION("""COMPUTED_VALUE"""),"Новый")</f>
        <v>Новый</v>
      </c>
      <c r="G8169" s="68"/>
      <c r="K8169" s="68"/>
    </row>
    <row r="8170" spans="1:11" ht="12.75">
      <c r="A8170" s="69">
        <f ca="1">IFERROR(__xludf.DUMMYFUNCTION("""COMPUTED_VALUE"""),109852)</f>
        <v>109852</v>
      </c>
      <c r="B8170" s="4">
        <f ca="1">IFERROR(__xludf.DUMMYFUNCTION("""COMPUTED_VALUE"""),44846)</f>
        <v>44846</v>
      </c>
      <c r="C8170" t="str">
        <f ca="1">IFERROR(__xludf.DUMMYFUNCTION("""COMPUTED_VALUE"""),"ООО ""УК ВиТа"" 138-РДО от 25.03.2022")</f>
        <v>ООО "УК ВиТа" 138-РДО от 25.03.2022</v>
      </c>
      <c r="D817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0" t="str">
        <f ca="1">IFERROR(__xludf.DUMMYFUNCTION("""COMPUTED_VALUE"""),"Новый")</f>
        <v>Новый</v>
      </c>
      <c r="G8170" s="68"/>
      <c r="K8170" s="68"/>
    </row>
    <row r="8171" spans="1:11" ht="12.75">
      <c r="A8171" s="69">
        <f ca="1">IFERROR(__xludf.DUMMYFUNCTION("""COMPUTED_VALUE"""),109853)</f>
        <v>109853</v>
      </c>
      <c r="B8171" s="4">
        <f ca="1">IFERROR(__xludf.DUMMYFUNCTION("""COMPUTED_VALUE"""),44846)</f>
        <v>44846</v>
      </c>
      <c r="C8171" t="str">
        <f ca="1">IFERROR(__xludf.DUMMYFUNCTION("""COMPUTED_VALUE"""),"ООО ""УК ВиТа"" 138-РДО от 25.03.2022")</f>
        <v>ООО "УК ВиТа" 138-РДО от 25.03.2022</v>
      </c>
      <c r="D817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1" t="str">
        <f ca="1">IFERROR(__xludf.DUMMYFUNCTION("""COMPUTED_VALUE"""),"Новый")</f>
        <v>Новый</v>
      </c>
      <c r="G8171" s="68"/>
      <c r="K8171" s="68"/>
    </row>
    <row r="8172" spans="1:11" ht="12.75">
      <c r="A8172" s="69">
        <f ca="1">IFERROR(__xludf.DUMMYFUNCTION("""COMPUTED_VALUE"""),109854)</f>
        <v>109854</v>
      </c>
      <c r="B8172" s="4">
        <f ca="1">IFERROR(__xludf.DUMMYFUNCTION("""COMPUTED_VALUE"""),44846)</f>
        <v>44846</v>
      </c>
      <c r="C8172" t="str">
        <f ca="1">IFERROR(__xludf.DUMMYFUNCTION("""COMPUTED_VALUE"""),"ООО ""УК ВиТа"" 138-РДО от 25.03.2022")</f>
        <v>ООО "УК ВиТа" 138-РДО от 25.03.2022</v>
      </c>
      <c r="D817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2" t="str">
        <f ca="1">IFERROR(__xludf.DUMMYFUNCTION("""COMPUTED_VALUE"""),"Новый")</f>
        <v>Новый</v>
      </c>
      <c r="G8172" s="68"/>
      <c r="K8172" s="68"/>
    </row>
    <row r="8173" spans="1:11" ht="12.75">
      <c r="A8173" s="69">
        <f ca="1">IFERROR(__xludf.DUMMYFUNCTION("""COMPUTED_VALUE"""),109855)</f>
        <v>109855</v>
      </c>
      <c r="B8173" s="4">
        <f ca="1">IFERROR(__xludf.DUMMYFUNCTION("""COMPUTED_VALUE"""),44846)</f>
        <v>44846</v>
      </c>
      <c r="C8173" t="str">
        <f ca="1">IFERROR(__xludf.DUMMYFUNCTION("""COMPUTED_VALUE"""),"ООО ""УК ВиТа"" 138-РДО от 25.03.2022")</f>
        <v>ООО "УК ВиТа" 138-РДО от 25.03.2022</v>
      </c>
      <c r="D817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3" t="str">
        <f ca="1">IFERROR(__xludf.DUMMYFUNCTION("""COMPUTED_VALUE"""),"Новый")</f>
        <v>Новый</v>
      </c>
      <c r="G8173" s="68"/>
      <c r="K8173" s="68"/>
    </row>
    <row r="8174" spans="1:11" ht="12.75">
      <c r="A8174" s="69">
        <f ca="1">IFERROR(__xludf.DUMMYFUNCTION("""COMPUTED_VALUE"""),109856)</f>
        <v>109856</v>
      </c>
      <c r="B8174" s="4">
        <f ca="1">IFERROR(__xludf.DUMMYFUNCTION("""COMPUTED_VALUE"""),44846)</f>
        <v>44846</v>
      </c>
      <c r="C8174" t="str">
        <f ca="1">IFERROR(__xludf.DUMMYFUNCTION("""COMPUTED_VALUE"""),"ООО ""УК ВиТа"" 138-РДО от 25.03.2022")</f>
        <v>ООО "УК ВиТа" 138-РДО от 25.03.2022</v>
      </c>
      <c r="D817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4" t="str">
        <f ca="1">IFERROR(__xludf.DUMMYFUNCTION("""COMPUTED_VALUE"""),"Новый")</f>
        <v>Новый</v>
      </c>
      <c r="G8174" s="68"/>
      <c r="K8174" s="68"/>
    </row>
    <row r="8175" spans="1:11" ht="12.75">
      <c r="A8175" s="69">
        <f ca="1">IFERROR(__xludf.DUMMYFUNCTION("""COMPUTED_VALUE"""),109857)</f>
        <v>109857</v>
      </c>
      <c r="B8175" s="4">
        <f ca="1">IFERROR(__xludf.DUMMYFUNCTION("""COMPUTED_VALUE"""),44846)</f>
        <v>44846</v>
      </c>
      <c r="C8175" t="str">
        <f ca="1">IFERROR(__xludf.DUMMYFUNCTION("""COMPUTED_VALUE"""),"ООО ""УК ВиТа"" 138-РДО от 25.03.2022")</f>
        <v>ООО "УК ВиТа" 138-РДО от 25.03.2022</v>
      </c>
      <c r="D817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5" t="str">
        <f ca="1">IFERROR(__xludf.DUMMYFUNCTION("""COMPUTED_VALUE"""),"Новый")</f>
        <v>Новый</v>
      </c>
      <c r="G8175" s="68"/>
      <c r="K8175" s="68"/>
    </row>
    <row r="8176" spans="1:11" ht="12.75">
      <c r="A8176" s="69">
        <f ca="1">IFERROR(__xludf.DUMMYFUNCTION("""COMPUTED_VALUE"""),109858)</f>
        <v>109858</v>
      </c>
      <c r="B8176" s="4">
        <f ca="1">IFERROR(__xludf.DUMMYFUNCTION("""COMPUTED_VALUE"""),44846)</f>
        <v>44846</v>
      </c>
      <c r="C8176" t="str">
        <f ca="1">IFERROR(__xludf.DUMMYFUNCTION("""COMPUTED_VALUE"""),"ООО ""УК АЛЕКС"" 149-РДО от 13.04.2022")</f>
        <v>ООО "УК АЛЕКС" 149-РДО от 13.04.2022</v>
      </c>
      <c r="D81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6" t="str">
        <f ca="1">IFERROR(__xludf.DUMMYFUNCTION("""COMPUTED_VALUE"""),"Новый")</f>
        <v>Новый</v>
      </c>
      <c r="G8176" s="68"/>
      <c r="K8176" s="68"/>
    </row>
    <row r="8177" spans="1:11" ht="12.75">
      <c r="A8177" s="69">
        <f ca="1">IFERROR(__xludf.DUMMYFUNCTION("""COMPUTED_VALUE"""),109859)</f>
        <v>109859</v>
      </c>
      <c r="B8177" s="4">
        <f ca="1">IFERROR(__xludf.DUMMYFUNCTION("""COMPUTED_VALUE"""),44846)</f>
        <v>44846</v>
      </c>
      <c r="C8177" t="str">
        <f ca="1">IFERROR(__xludf.DUMMYFUNCTION("""COMPUTED_VALUE"""),"ООО ""УК АЛЕКС"" 149-РДО от 13.04.2022")</f>
        <v>ООО "УК АЛЕКС" 149-РДО от 13.04.2022</v>
      </c>
      <c r="D81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7" t="str">
        <f ca="1">IFERROR(__xludf.DUMMYFUNCTION("""COMPUTED_VALUE"""),"Новый")</f>
        <v>Новый</v>
      </c>
      <c r="G8177" s="68"/>
      <c r="K8177" s="68"/>
    </row>
    <row r="8178" spans="1:11" ht="12.75">
      <c r="A8178" s="69">
        <f ca="1">IFERROR(__xludf.DUMMYFUNCTION("""COMPUTED_VALUE"""),109860)</f>
        <v>109860</v>
      </c>
      <c r="B8178" s="4">
        <f ca="1">IFERROR(__xludf.DUMMYFUNCTION("""COMPUTED_VALUE"""),44846)</f>
        <v>44846</v>
      </c>
      <c r="C8178" t="str">
        <f ca="1">IFERROR(__xludf.DUMMYFUNCTION("""COMPUTED_VALUE"""),"ООО ""УК АЛЕКС"" 149-РДО от 13.04.2022")</f>
        <v>ООО "УК АЛЕКС" 149-РДО от 13.04.2022</v>
      </c>
      <c r="D81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8" t="str">
        <f ca="1">IFERROR(__xludf.DUMMYFUNCTION("""COMPUTED_VALUE"""),"Новый")</f>
        <v>Новый</v>
      </c>
      <c r="G8178" s="68"/>
      <c r="K8178" s="68"/>
    </row>
    <row r="8179" spans="1:11" ht="12.75">
      <c r="A8179" s="69">
        <f ca="1">IFERROR(__xludf.DUMMYFUNCTION("""COMPUTED_VALUE"""),109861)</f>
        <v>109861</v>
      </c>
      <c r="B8179" s="4">
        <f ca="1">IFERROR(__xludf.DUMMYFUNCTION("""COMPUTED_VALUE"""),44846)</f>
        <v>44846</v>
      </c>
      <c r="C8179" t="str">
        <f ca="1">IFERROR(__xludf.DUMMYFUNCTION("""COMPUTED_VALUE"""),"ООО ""УК АЛЕКС"" 149-РДО от 13.04.2022")</f>
        <v>ООО "УК АЛЕКС" 149-РДО от 13.04.2022</v>
      </c>
      <c r="D81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79" t="str">
        <f ca="1">IFERROR(__xludf.DUMMYFUNCTION("""COMPUTED_VALUE"""),"Новый")</f>
        <v>Новый</v>
      </c>
      <c r="G8179" s="68"/>
      <c r="K8179" s="68"/>
    </row>
    <row r="8180" spans="1:11" ht="12.75">
      <c r="A8180" s="69">
        <f ca="1">IFERROR(__xludf.DUMMYFUNCTION("""COMPUTED_VALUE"""),109862)</f>
        <v>109862</v>
      </c>
      <c r="B8180" s="4">
        <f ca="1">IFERROR(__xludf.DUMMYFUNCTION("""COMPUTED_VALUE"""),44846)</f>
        <v>44846</v>
      </c>
      <c r="C8180" t="str">
        <f ca="1">IFERROR(__xludf.DUMMYFUNCTION("""COMPUTED_VALUE"""),"ООО ""УК АЛЕКС"" 149-РДО от 13.04.2022")</f>
        <v>ООО "УК АЛЕКС" 149-РДО от 13.04.2022</v>
      </c>
      <c r="D81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0" t="str">
        <f ca="1">IFERROR(__xludf.DUMMYFUNCTION("""COMPUTED_VALUE"""),"Новый")</f>
        <v>Новый</v>
      </c>
      <c r="G8180" s="68"/>
      <c r="K8180" s="68"/>
    </row>
    <row r="8181" spans="1:11" ht="12.75">
      <c r="A8181" s="69">
        <f ca="1">IFERROR(__xludf.DUMMYFUNCTION("""COMPUTED_VALUE"""),109863)</f>
        <v>109863</v>
      </c>
      <c r="B8181" s="4">
        <f ca="1">IFERROR(__xludf.DUMMYFUNCTION("""COMPUTED_VALUE"""),44846)</f>
        <v>44846</v>
      </c>
      <c r="C8181" t="str">
        <f ca="1">IFERROR(__xludf.DUMMYFUNCTION("""COMPUTED_VALUE"""),"ООО ""УК АЛЕКС"" 149-РДО от 13.04.2022")</f>
        <v>ООО "УК АЛЕКС" 149-РДО от 13.04.2022</v>
      </c>
      <c r="D81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1" t="str">
        <f ca="1">IFERROR(__xludf.DUMMYFUNCTION("""COMPUTED_VALUE"""),"Новый")</f>
        <v>Новый</v>
      </c>
      <c r="G8181" s="68"/>
      <c r="K8181" s="68"/>
    </row>
    <row r="8182" spans="1:11" ht="12.75">
      <c r="A8182" s="69">
        <f ca="1">IFERROR(__xludf.DUMMYFUNCTION("""COMPUTED_VALUE"""),109864)</f>
        <v>109864</v>
      </c>
      <c r="B8182" s="4">
        <f ca="1">IFERROR(__xludf.DUMMYFUNCTION("""COMPUTED_VALUE"""),44846)</f>
        <v>44846</v>
      </c>
      <c r="C8182" t="str">
        <f ca="1">IFERROR(__xludf.DUMMYFUNCTION("""COMPUTED_VALUE"""),"ООО ""УК АЛЕКС"" 149-РДО от 13.04.2022")</f>
        <v>ООО "УК АЛЕКС" 149-РДО от 13.04.2022</v>
      </c>
      <c r="D81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2" t="str">
        <f ca="1">IFERROR(__xludf.DUMMYFUNCTION("""COMPUTED_VALUE"""),"Новый")</f>
        <v>Новый</v>
      </c>
      <c r="G8182" s="68"/>
      <c r="K8182" s="68"/>
    </row>
    <row r="8183" spans="1:11" ht="12.75">
      <c r="A8183" s="69">
        <f ca="1">IFERROR(__xludf.DUMMYFUNCTION("""COMPUTED_VALUE"""),109865)</f>
        <v>109865</v>
      </c>
      <c r="B8183" s="4">
        <f ca="1">IFERROR(__xludf.DUMMYFUNCTION("""COMPUTED_VALUE"""),44846)</f>
        <v>44846</v>
      </c>
      <c r="C8183" t="str">
        <f ca="1">IFERROR(__xludf.DUMMYFUNCTION("""COMPUTED_VALUE"""),"ООО ""УК АЛЕКС"" 149-РДО от 13.04.2022")</f>
        <v>ООО "УК АЛЕКС" 149-РДО от 13.04.2022</v>
      </c>
      <c r="D81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3" t="str">
        <f ca="1">IFERROR(__xludf.DUMMYFUNCTION("""COMPUTED_VALUE"""),"Новый")</f>
        <v>Новый</v>
      </c>
      <c r="G8183" s="68"/>
      <c r="K8183" s="68"/>
    </row>
    <row r="8184" spans="1:11" ht="12.75">
      <c r="A8184" s="69">
        <f ca="1">IFERROR(__xludf.DUMMYFUNCTION("""COMPUTED_VALUE"""),109866)</f>
        <v>109866</v>
      </c>
      <c r="B8184" s="4">
        <f ca="1">IFERROR(__xludf.DUMMYFUNCTION("""COMPUTED_VALUE"""),44846)</f>
        <v>44846</v>
      </c>
      <c r="C8184" t="str">
        <f ca="1">IFERROR(__xludf.DUMMYFUNCTION("""COMPUTED_VALUE"""),"ООО ""УК АЛЕКС"" 149-РДО от 13.04.2022")</f>
        <v>ООО "УК АЛЕКС" 149-РДО от 13.04.2022</v>
      </c>
      <c r="D81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4" t="str">
        <f ca="1">IFERROR(__xludf.DUMMYFUNCTION("""COMPUTED_VALUE"""),"Новый")</f>
        <v>Новый</v>
      </c>
      <c r="G8184" s="68"/>
      <c r="K8184" s="68"/>
    </row>
    <row r="8185" spans="1:11" ht="12.75">
      <c r="A8185" s="69">
        <f ca="1">IFERROR(__xludf.DUMMYFUNCTION("""COMPUTED_VALUE"""),109867)</f>
        <v>109867</v>
      </c>
      <c r="B8185" s="4">
        <f ca="1">IFERROR(__xludf.DUMMYFUNCTION("""COMPUTED_VALUE"""),44846)</f>
        <v>44846</v>
      </c>
      <c r="C8185" t="str">
        <f ca="1">IFERROR(__xludf.DUMMYFUNCTION("""COMPUTED_VALUE"""),"ООО ""УК АЛЕКС"" 149-РДО от 13.04.2022")</f>
        <v>ООО "УК АЛЕКС" 149-РДО от 13.04.2022</v>
      </c>
      <c r="D81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85" t="str">
        <f ca="1">IFERROR(__xludf.DUMMYFUNCTION("""COMPUTED_VALUE"""),"Новый")</f>
        <v>Новый</v>
      </c>
      <c r="G8185" s="68"/>
      <c r="K8185" s="68"/>
    </row>
    <row r="8186" spans="1:11" ht="12.75">
      <c r="A8186" s="69">
        <f ca="1">IFERROR(__xludf.DUMMYFUNCTION("""COMPUTED_VALUE"""),109868)</f>
        <v>109868</v>
      </c>
      <c r="B8186" s="4">
        <f ca="1">IFERROR(__xludf.DUMMYFUNCTION("""COMPUTED_VALUE"""),44847)</f>
        <v>44847</v>
      </c>
      <c r="C8186" t="str">
        <f ca="1">IFERROR(__xludf.DUMMYFUNCTION("""COMPUTED_VALUE"""),"ЗАО ""ЭКОС"" 115-СТР от 01.01.2022")</f>
        <v>ЗАО "ЭКОС" 115-СТР от 01.01.2022</v>
      </c>
      <c r="D818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86" t="str">
        <f ca="1">IFERROR(__xludf.DUMMYFUNCTION("""COMPUTED_VALUE"""),"Новый")</f>
        <v>Новый</v>
      </c>
      <c r="G8186" s="68"/>
      <c r="K8186" s="68"/>
    </row>
    <row r="8187" spans="1:11" ht="12.75">
      <c r="A8187" s="69">
        <f ca="1">IFERROR(__xludf.DUMMYFUNCTION("""COMPUTED_VALUE"""),109869)</f>
        <v>109869</v>
      </c>
      <c r="B8187" s="4">
        <f ca="1">IFERROR(__xludf.DUMMYFUNCTION("""COMPUTED_VALUE"""),44847)</f>
        <v>44847</v>
      </c>
      <c r="C8187" t="str">
        <f ca="1">IFERROR(__xludf.DUMMYFUNCTION("""COMPUTED_VALUE"""),"ЗАО ""ЭКОС"" 115-СТР от 01.01.2022")</f>
        <v>ЗАО "ЭКОС" 115-СТР от 01.01.2022</v>
      </c>
      <c r="D818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87" t="str">
        <f ca="1">IFERROR(__xludf.DUMMYFUNCTION("""COMPUTED_VALUE"""),"Новый")</f>
        <v>Новый</v>
      </c>
      <c r="G8187" s="68"/>
      <c r="K8187" s="68"/>
    </row>
    <row r="8188" spans="1:11" ht="12.75">
      <c r="A8188" s="69">
        <f ca="1">IFERROR(__xludf.DUMMYFUNCTION("""COMPUTED_VALUE"""),109870)</f>
        <v>109870</v>
      </c>
      <c r="B8188" s="4">
        <f ca="1">IFERROR(__xludf.DUMMYFUNCTION("""COMPUTED_VALUE"""),44847)</f>
        <v>44847</v>
      </c>
      <c r="C8188" t="str">
        <f ca="1">IFERROR(__xludf.DUMMYFUNCTION("""COMPUTED_VALUE"""),"ЗАО ""ЭКОС"" 115-СТР от 01.01.2022")</f>
        <v>ЗАО "ЭКОС" 115-СТР от 01.01.2022</v>
      </c>
      <c r="D818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88" t="str">
        <f ca="1">IFERROR(__xludf.DUMMYFUNCTION("""COMPUTED_VALUE"""),"Новый")</f>
        <v>Новый</v>
      </c>
      <c r="G8188" s="68"/>
      <c r="K8188" s="68"/>
    </row>
    <row r="8189" spans="1:11" ht="12.75">
      <c r="A8189" s="69">
        <f ca="1">IFERROR(__xludf.DUMMYFUNCTION("""COMPUTED_VALUE"""),109871)</f>
        <v>109871</v>
      </c>
      <c r="B8189" s="4">
        <f ca="1">IFERROR(__xludf.DUMMYFUNCTION("""COMPUTED_VALUE"""),44847)</f>
        <v>44847</v>
      </c>
      <c r="C8189" t="str">
        <f ca="1">IFERROR(__xludf.DUMMYFUNCTION("""COMPUTED_VALUE"""),"ЗАО ""ЭКОС"" 115-СТР от 01.01.2022")</f>
        <v>ЗАО "ЭКОС" 115-СТР от 01.01.2022</v>
      </c>
      <c r="D818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89" t="str">
        <f ca="1">IFERROR(__xludf.DUMMYFUNCTION("""COMPUTED_VALUE"""),"Новый")</f>
        <v>Новый</v>
      </c>
      <c r="G8189" s="68"/>
      <c r="K8189" s="68"/>
    </row>
    <row r="8190" spans="1:11" ht="12.75">
      <c r="A8190" s="69">
        <f ca="1">IFERROR(__xludf.DUMMYFUNCTION("""COMPUTED_VALUE"""),109872)</f>
        <v>109872</v>
      </c>
      <c r="B8190" s="4">
        <f ca="1">IFERROR(__xludf.DUMMYFUNCTION("""COMPUTED_VALUE"""),44847)</f>
        <v>44847</v>
      </c>
      <c r="C8190" t="str">
        <f ca="1">IFERROR(__xludf.DUMMYFUNCTION("""COMPUTED_VALUE"""),"ЗАО ""ЭКОС"" 115-СТР от 01.01.2022")</f>
        <v>ЗАО "ЭКОС" 115-СТР от 01.01.2022</v>
      </c>
      <c r="D819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0" t="str">
        <f ca="1">IFERROR(__xludf.DUMMYFUNCTION("""COMPUTED_VALUE"""),"Новый")</f>
        <v>Новый</v>
      </c>
      <c r="G8190" s="68"/>
      <c r="K8190" s="68"/>
    </row>
    <row r="8191" spans="1:11" ht="12.75">
      <c r="A8191" s="69">
        <f ca="1">IFERROR(__xludf.DUMMYFUNCTION("""COMPUTED_VALUE"""),109873)</f>
        <v>109873</v>
      </c>
      <c r="B8191" s="4">
        <f ca="1">IFERROR(__xludf.DUMMYFUNCTION("""COMPUTED_VALUE"""),44847)</f>
        <v>44847</v>
      </c>
      <c r="C8191" t="str">
        <f ca="1">IFERROR(__xludf.DUMMYFUNCTION("""COMPUTED_VALUE"""),"ЗАО ""ЭКОС"" 115-СТР от 01.01.2022")</f>
        <v>ЗАО "ЭКОС" 115-СТР от 01.01.2022</v>
      </c>
      <c r="D819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1" t="str">
        <f ca="1">IFERROR(__xludf.DUMMYFUNCTION("""COMPUTED_VALUE"""),"Новый")</f>
        <v>Новый</v>
      </c>
      <c r="G8191" s="68"/>
      <c r="K8191" s="68"/>
    </row>
    <row r="8192" spans="1:11" ht="12.75">
      <c r="A8192" s="69">
        <f ca="1">IFERROR(__xludf.DUMMYFUNCTION("""COMPUTED_VALUE"""),109874)</f>
        <v>109874</v>
      </c>
      <c r="B8192" s="4">
        <f ca="1">IFERROR(__xludf.DUMMYFUNCTION("""COMPUTED_VALUE"""),44847)</f>
        <v>44847</v>
      </c>
      <c r="C8192" t="str">
        <f ca="1">IFERROR(__xludf.DUMMYFUNCTION("""COMPUTED_VALUE"""),"ЗАО ""ЭКОС"" 115-СТР от 01.01.2022")</f>
        <v>ЗАО "ЭКОС" 115-СТР от 01.01.2022</v>
      </c>
      <c r="D819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2" t="str">
        <f ca="1">IFERROR(__xludf.DUMMYFUNCTION("""COMPUTED_VALUE"""),"Новый")</f>
        <v>Новый</v>
      </c>
      <c r="G8192" s="68"/>
      <c r="K8192" s="68"/>
    </row>
    <row r="8193" spans="1:11" ht="12.75">
      <c r="A8193" s="69">
        <f ca="1">IFERROR(__xludf.DUMMYFUNCTION("""COMPUTED_VALUE"""),109875)</f>
        <v>109875</v>
      </c>
      <c r="B8193" s="4">
        <f ca="1">IFERROR(__xludf.DUMMYFUNCTION("""COMPUTED_VALUE"""),44847)</f>
        <v>44847</v>
      </c>
      <c r="C8193" t="str">
        <f ca="1">IFERROR(__xludf.DUMMYFUNCTION("""COMPUTED_VALUE"""),"ЗАО ""ЭКОС"" 115-СТР от 01.01.2022")</f>
        <v>ЗАО "ЭКОС" 115-СТР от 01.01.2022</v>
      </c>
      <c r="D819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3" t="str">
        <f ca="1">IFERROR(__xludf.DUMMYFUNCTION("""COMPUTED_VALUE"""),"Новый")</f>
        <v>Новый</v>
      </c>
      <c r="G8193" s="68"/>
      <c r="K8193" s="68"/>
    </row>
    <row r="8194" spans="1:11" ht="12.75">
      <c r="A8194" s="69">
        <f ca="1">IFERROR(__xludf.DUMMYFUNCTION("""COMPUTED_VALUE"""),109876)</f>
        <v>109876</v>
      </c>
      <c r="B8194" s="4">
        <f ca="1">IFERROR(__xludf.DUMMYFUNCTION("""COMPUTED_VALUE"""),44847)</f>
        <v>44847</v>
      </c>
      <c r="C8194" t="str">
        <f ca="1">IFERROR(__xludf.DUMMYFUNCTION("""COMPUTED_VALUE"""),"ЗАО ""ЭКОС"" 115-СТР от 01.01.2022")</f>
        <v>ЗАО "ЭКОС" 115-СТР от 01.01.2022</v>
      </c>
      <c r="D819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4" t="str">
        <f ca="1">IFERROR(__xludf.DUMMYFUNCTION("""COMPUTED_VALUE"""),"Новый")</f>
        <v>Новый</v>
      </c>
      <c r="G8194" s="68"/>
      <c r="K8194" s="68"/>
    </row>
    <row r="8195" spans="1:11" ht="12.75">
      <c r="A8195" s="69">
        <f ca="1">IFERROR(__xludf.DUMMYFUNCTION("""COMPUTED_VALUE"""),109877)</f>
        <v>109877</v>
      </c>
      <c r="B8195" s="4">
        <f ca="1">IFERROR(__xludf.DUMMYFUNCTION("""COMPUTED_VALUE"""),44847)</f>
        <v>44847</v>
      </c>
      <c r="C8195" t="str">
        <f ca="1">IFERROR(__xludf.DUMMYFUNCTION("""COMPUTED_VALUE"""),"ЗАО ""ЭКОС"" 115-СТР от 01.01.2022")</f>
        <v>ЗАО "ЭКОС" 115-СТР от 01.01.2022</v>
      </c>
      <c r="D819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195" t="str">
        <f ca="1">IFERROR(__xludf.DUMMYFUNCTION("""COMPUTED_VALUE"""),"Новый")</f>
        <v>Новый</v>
      </c>
      <c r="G8195" s="68"/>
      <c r="K8195" s="68"/>
    </row>
    <row r="8196" spans="1:11" ht="12.75">
      <c r="A8196" s="69">
        <f ca="1">IFERROR(__xludf.DUMMYFUNCTION("""COMPUTED_VALUE"""),109878)</f>
        <v>109878</v>
      </c>
      <c r="B8196" s="4">
        <f ca="1">IFERROR(__xludf.DUMMYFUNCTION("""COMPUTED_VALUE"""),44847)</f>
        <v>44847</v>
      </c>
      <c r="C8196" t="str">
        <f ca="1">IFERROR(__xludf.DUMMYFUNCTION("""COMPUTED_VALUE"""),"ЗАО ""ЭКОС"" 128-РДО от 01.01.2022")</f>
        <v>ЗАО "ЭКОС" 128-РДО от 01.01.2022</v>
      </c>
      <c r="D81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96" t="str">
        <f ca="1">IFERROR(__xludf.DUMMYFUNCTION("""COMPUTED_VALUE"""),"Новый")</f>
        <v>Новый</v>
      </c>
      <c r="G8196" s="68"/>
      <c r="K8196" s="68"/>
    </row>
    <row r="8197" spans="1:11" ht="12.75">
      <c r="A8197" s="69">
        <f ca="1">IFERROR(__xludf.DUMMYFUNCTION("""COMPUTED_VALUE"""),109879)</f>
        <v>109879</v>
      </c>
      <c r="B8197" s="4">
        <f ca="1">IFERROR(__xludf.DUMMYFUNCTION("""COMPUTED_VALUE"""),44847)</f>
        <v>44847</v>
      </c>
      <c r="C8197" t="str">
        <f ca="1">IFERROR(__xludf.DUMMYFUNCTION("""COMPUTED_VALUE"""),"ЗАО ""ЭКОС"" 128-РДО от 01.01.2022")</f>
        <v>ЗАО "ЭКОС" 128-РДО от 01.01.2022</v>
      </c>
      <c r="D81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97" t="str">
        <f ca="1">IFERROR(__xludf.DUMMYFUNCTION("""COMPUTED_VALUE"""),"Новый")</f>
        <v>Новый</v>
      </c>
      <c r="G8197" s="68"/>
      <c r="K8197" s="68"/>
    </row>
    <row r="8198" spans="1:11" ht="12.75">
      <c r="A8198" s="69">
        <f ca="1">IFERROR(__xludf.DUMMYFUNCTION("""COMPUTED_VALUE"""),109880)</f>
        <v>109880</v>
      </c>
      <c r="B8198" s="4">
        <f ca="1">IFERROR(__xludf.DUMMYFUNCTION("""COMPUTED_VALUE"""),44847)</f>
        <v>44847</v>
      </c>
      <c r="C8198" t="str">
        <f ca="1">IFERROR(__xludf.DUMMYFUNCTION("""COMPUTED_VALUE"""),"ЗАО ""ЭКОС"" 128-РДО от 01.01.2022")</f>
        <v>ЗАО "ЭКОС" 128-РДО от 01.01.2022</v>
      </c>
      <c r="D81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98" t="str">
        <f ca="1">IFERROR(__xludf.DUMMYFUNCTION("""COMPUTED_VALUE"""),"Новый")</f>
        <v>Новый</v>
      </c>
      <c r="G8198" s="68"/>
      <c r="K8198" s="68"/>
    </row>
    <row r="8199" spans="1:11" ht="12.75">
      <c r="A8199" s="69">
        <f ca="1">IFERROR(__xludf.DUMMYFUNCTION("""COMPUTED_VALUE"""),109881)</f>
        <v>109881</v>
      </c>
      <c r="B8199" s="4">
        <f ca="1">IFERROR(__xludf.DUMMYFUNCTION("""COMPUTED_VALUE"""),44847)</f>
        <v>44847</v>
      </c>
      <c r="C8199" t="str">
        <f ca="1">IFERROR(__xludf.DUMMYFUNCTION("""COMPUTED_VALUE"""),"ЗАО ""ЭКОС"" 128-РДО от 01.01.2022")</f>
        <v>ЗАО "ЭКОС" 128-РДО от 01.01.2022</v>
      </c>
      <c r="D81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199" t="str">
        <f ca="1">IFERROR(__xludf.DUMMYFUNCTION("""COMPUTED_VALUE"""),"Новый")</f>
        <v>Новый</v>
      </c>
      <c r="G8199" s="68"/>
      <c r="K8199" s="68"/>
    </row>
    <row r="8200" spans="1:11" ht="12.75">
      <c r="A8200" s="69">
        <f ca="1">IFERROR(__xludf.DUMMYFUNCTION("""COMPUTED_VALUE"""),109882)</f>
        <v>109882</v>
      </c>
      <c r="B8200" s="4">
        <f ca="1">IFERROR(__xludf.DUMMYFUNCTION("""COMPUTED_VALUE"""),44847)</f>
        <v>44847</v>
      </c>
      <c r="C8200" t="str">
        <f ca="1">IFERROR(__xludf.DUMMYFUNCTION("""COMPUTED_VALUE"""),"ЗАО ""ЭКОС"" 128-РДО от 01.01.2022")</f>
        <v>ЗАО "ЭКОС" 128-РДО от 01.01.2022</v>
      </c>
      <c r="D82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0" t="str">
        <f ca="1">IFERROR(__xludf.DUMMYFUNCTION("""COMPUTED_VALUE"""),"Новый")</f>
        <v>Новый</v>
      </c>
      <c r="G8200" s="68"/>
      <c r="K8200" s="68"/>
    </row>
    <row r="8201" spans="1:11" ht="12.75">
      <c r="A8201" s="69">
        <f ca="1">IFERROR(__xludf.DUMMYFUNCTION("""COMPUTED_VALUE"""),109883)</f>
        <v>109883</v>
      </c>
      <c r="B8201" s="4">
        <f ca="1">IFERROR(__xludf.DUMMYFUNCTION("""COMPUTED_VALUE"""),44847)</f>
        <v>44847</v>
      </c>
      <c r="C8201" t="str">
        <f ca="1">IFERROR(__xludf.DUMMYFUNCTION("""COMPUTED_VALUE"""),"ЗАО ""ЭКОС"" 128-РДО от 01.01.2022")</f>
        <v>ЗАО "ЭКОС" 128-РДО от 01.01.2022</v>
      </c>
      <c r="D82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1" t="str">
        <f ca="1">IFERROR(__xludf.DUMMYFUNCTION("""COMPUTED_VALUE"""),"Новый")</f>
        <v>Новый</v>
      </c>
      <c r="G8201" s="68"/>
      <c r="K8201" s="68"/>
    </row>
    <row r="8202" spans="1:11" ht="12.75">
      <c r="A8202" s="69">
        <f ca="1">IFERROR(__xludf.DUMMYFUNCTION("""COMPUTED_VALUE"""),109884)</f>
        <v>109884</v>
      </c>
      <c r="B8202" s="4">
        <f ca="1">IFERROR(__xludf.DUMMYFUNCTION("""COMPUTED_VALUE"""),44847)</f>
        <v>44847</v>
      </c>
      <c r="C8202" t="str">
        <f ca="1">IFERROR(__xludf.DUMMYFUNCTION("""COMPUTED_VALUE"""),"ЗАО ""ЭКОС"" 128-РДО от 01.01.2022")</f>
        <v>ЗАО "ЭКОС" 128-РДО от 01.01.2022</v>
      </c>
      <c r="D82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2" t="str">
        <f ca="1">IFERROR(__xludf.DUMMYFUNCTION("""COMPUTED_VALUE"""),"Новый")</f>
        <v>Новый</v>
      </c>
      <c r="G8202" s="68"/>
      <c r="K8202" s="68"/>
    </row>
    <row r="8203" spans="1:11" ht="12.75">
      <c r="A8203" s="69">
        <f ca="1">IFERROR(__xludf.DUMMYFUNCTION("""COMPUTED_VALUE"""),109885)</f>
        <v>109885</v>
      </c>
      <c r="B8203" s="4">
        <f ca="1">IFERROR(__xludf.DUMMYFUNCTION("""COMPUTED_VALUE"""),44847)</f>
        <v>44847</v>
      </c>
      <c r="C8203" t="str">
        <f ca="1">IFERROR(__xludf.DUMMYFUNCTION("""COMPUTED_VALUE"""),"ЗАО ""ЭКОС"" 128-РДО от 01.01.2022")</f>
        <v>ЗАО "ЭКОС" 128-РДО от 01.01.2022</v>
      </c>
      <c r="D82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3" t="str">
        <f ca="1">IFERROR(__xludf.DUMMYFUNCTION("""COMPUTED_VALUE"""),"Новый")</f>
        <v>Новый</v>
      </c>
      <c r="G8203" s="68"/>
      <c r="K8203" s="68"/>
    </row>
    <row r="8204" spans="1:11" ht="12.75">
      <c r="A8204" s="69">
        <f ca="1">IFERROR(__xludf.DUMMYFUNCTION("""COMPUTED_VALUE"""),109886)</f>
        <v>109886</v>
      </c>
      <c r="B8204" s="4">
        <f ca="1">IFERROR(__xludf.DUMMYFUNCTION("""COMPUTED_VALUE"""),44847)</f>
        <v>44847</v>
      </c>
      <c r="C8204" t="str">
        <f ca="1">IFERROR(__xludf.DUMMYFUNCTION("""COMPUTED_VALUE"""),"ЗАО ""ЭКОС"" 128-РДО от 01.01.2022")</f>
        <v>ЗАО "ЭКОС" 128-РДО от 01.01.2022</v>
      </c>
      <c r="D82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4" t="str">
        <f ca="1">IFERROR(__xludf.DUMMYFUNCTION("""COMPUTED_VALUE"""),"Новый")</f>
        <v>Новый</v>
      </c>
      <c r="G8204" s="68"/>
      <c r="K8204" s="68"/>
    </row>
    <row r="8205" spans="1:11" ht="12.75">
      <c r="A8205" s="69">
        <f ca="1">IFERROR(__xludf.DUMMYFUNCTION("""COMPUTED_VALUE"""),109887)</f>
        <v>109887</v>
      </c>
      <c r="B8205" s="4">
        <f ca="1">IFERROR(__xludf.DUMMYFUNCTION("""COMPUTED_VALUE"""),44847)</f>
        <v>44847</v>
      </c>
      <c r="C8205" t="str">
        <f ca="1">IFERROR(__xludf.DUMMYFUNCTION("""COMPUTED_VALUE"""),"ЗАО ""ЭКОС"" 128-РДО от 01.01.2022")</f>
        <v>ЗАО "ЭКОС" 128-РДО от 01.01.2022</v>
      </c>
      <c r="D82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5" t="str">
        <f ca="1">IFERROR(__xludf.DUMMYFUNCTION("""COMPUTED_VALUE"""),"Новый")</f>
        <v>Новый</v>
      </c>
      <c r="G8205" s="68"/>
      <c r="K8205" s="68"/>
    </row>
    <row r="8206" spans="1:11" ht="12.75">
      <c r="A8206" s="69">
        <f ca="1">IFERROR(__xludf.DUMMYFUNCTION("""COMPUTED_VALUE"""),109888)</f>
        <v>109888</v>
      </c>
      <c r="B8206" s="4">
        <f ca="1">IFERROR(__xludf.DUMMYFUNCTION("""COMPUTED_VALUE"""),44847)</f>
        <v>44847</v>
      </c>
      <c r="C8206" t="str">
        <f ca="1">IFERROR(__xludf.DUMMYFUNCTION("""COMPUTED_VALUE"""),"ЗАО ""ЭКОС"" 128-РДО от 01.01.2022")</f>
        <v>ЗАО "ЭКОС" 128-РДО от 01.01.2022</v>
      </c>
      <c r="D82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6" t="str">
        <f ca="1">IFERROR(__xludf.DUMMYFUNCTION("""COMPUTED_VALUE"""),"Новый")</f>
        <v>Новый</v>
      </c>
      <c r="G8206" s="68"/>
      <c r="K8206" s="68"/>
    </row>
    <row r="8207" spans="1:11" ht="12.75">
      <c r="A8207" s="69">
        <f ca="1">IFERROR(__xludf.DUMMYFUNCTION("""COMPUTED_VALUE"""),109889)</f>
        <v>109889</v>
      </c>
      <c r="B8207" s="4">
        <f ca="1">IFERROR(__xludf.DUMMYFUNCTION("""COMPUTED_VALUE"""),44847)</f>
        <v>44847</v>
      </c>
      <c r="C8207" t="str">
        <f ca="1">IFERROR(__xludf.DUMMYFUNCTION("""COMPUTED_VALUE"""),"ЗАО ""ЭКОС"" 128-РДО от 01.01.2022")</f>
        <v>ЗАО "ЭКОС" 128-РДО от 01.01.2022</v>
      </c>
      <c r="D82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7" t="str">
        <f ca="1">IFERROR(__xludf.DUMMYFUNCTION("""COMPUTED_VALUE"""),"Новый")</f>
        <v>Новый</v>
      </c>
      <c r="G8207" s="68"/>
      <c r="K8207" s="68"/>
    </row>
    <row r="8208" spans="1:11" ht="12.75">
      <c r="A8208" s="69">
        <f ca="1">IFERROR(__xludf.DUMMYFUNCTION("""COMPUTED_VALUE"""),109890)</f>
        <v>109890</v>
      </c>
      <c r="B8208" s="4">
        <f ca="1">IFERROR(__xludf.DUMMYFUNCTION("""COMPUTED_VALUE"""),44847)</f>
        <v>44847</v>
      </c>
      <c r="C8208" t="str">
        <f ca="1">IFERROR(__xludf.DUMMYFUNCTION("""COMPUTED_VALUE"""),"ЗАО ""ЭКОС"" 128-РДО от 01.01.2022")</f>
        <v>ЗАО "ЭКОС" 128-РДО от 01.01.2022</v>
      </c>
      <c r="D82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8" t="str">
        <f ca="1">IFERROR(__xludf.DUMMYFUNCTION("""COMPUTED_VALUE"""),"Новый")</f>
        <v>Новый</v>
      </c>
      <c r="G8208" s="68"/>
      <c r="K8208" s="68"/>
    </row>
    <row r="8209" spans="1:11" ht="12.75">
      <c r="A8209" s="69">
        <f ca="1">IFERROR(__xludf.DUMMYFUNCTION("""COMPUTED_VALUE"""),109891)</f>
        <v>109891</v>
      </c>
      <c r="B8209" s="4">
        <f ca="1">IFERROR(__xludf.DUMMYFUNCTION("""COMPUTED_VALUE"""),44847)</f>
        <v>44847</v>
      </c>
      <c r="C8209" t="str">
        <f ca="1">IFERROR(__xludf.DUMMYFUNCTION("""COMPUTED_VALUE"""),"ЗАО ""ЭКОС"" 128-РДО от 01.01.2022")</f>
        <v>ЗАО "ЭКОС" 128-РДО от 01.01.2022</v>
      </c>
      <c r="D82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09" t="str">
        <f ca="1">IFERROR(__xludf.DUMMYFUNCTION("""COMPUTED_VALUE"""),"Новый")</f>
        <v>Новый</v>
      </c>
      <c r="G8209" s="68"/>
      <c r="K8209" s="68"/>
    </row>
    <row r="8210" spans="1:11" ht="12.75">
      <c r="A8210" s="69">
        <f ca="1">IFERROR(__xludf.DUMMYFUNCTION("""COMPUTED_VALUE"""),109892)</f>
        <v>109892</v>
      </c>
      <c r="B8210" s="4">
        <f ca="1">IFERROR(__xludf.DUMMYFUNCTION("""COMPUTED_VALUE"""),44847)</f>
        <v>44847</v>
      </c>
      <c r="C8210" t="str">
        <f ca="1">IFERROR(__xludf.DUMMYFUNCTION("""COMPUTED_VALUE"""),"ЗАО ""ЭКОС"" 128-РДО от 01.01.2022")</f>
        <v>ЗАО "ЭКОС" 128-РДО от 01.01.2022</v>
      </c>
      <c r="D82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0" t="str">
        <f ca="1">IFERROR(__xludf.DUMMYFUNCTION("""COMPUTED_VALUE"""),"Новый")</f>
        <v>Новый</v>
      </c>
      <c r="G8210" s="68"/>
      <c r="K8210" s="68"/>
    </row>
    <row r="8211" spans="1:11" ht="12.75">
      <c r="A8211" s="69">
        <f ca="1">IFERROR(__xludf.DUMMYFUNCTION("""COMPUTED_VALUE"""),109893)</f>
        <v>109893</v>
      </c>
      <c r="B8211" s="4">
        <f ca="1">IFERROR(__xludf.DUMMYFUNCTION("""COMPUTED_VALUE"""),44847)</f>
        <v>44847</v>
      </c>
      <c r="C8211" t="str">
        <f ca="1">IFERROR(__xludf.DUMMYFUNCTION("""COMPUTED_VALUE"""),"ЗАО ""ЭКОС"" 128-РДО от 01.01.2022")</f>
        <v>ЗАО "ЭКОС" 128-РДО от 01.01.2022</v>
      </c>
      <c r="D82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1" t="str">
        <f ca="1">IFERROR(__xludf.DUMMYFUNCTION("""COMPUTED_VALUE"""),"Новый")</f>
        <v>Новый</v>
      </c>
      <c r="G8211" s="68"/>
      <c r="K8211" s="68"/>
    </row>
    <row r="8212" spans="1:11" ht="12.75">
      <c r="A8212" s="69">
        <f ca="1">IFERROR(__xludf.DUMMYFUNCTION("""COMPUTED_VALUE"""),109894)</f>
        <v>109894</v>
      </c>
      <c r="B8212" s="4">
        <f ca="1">IFERROR(__xludf.DUMMYFUNCTION("""COMPUTED_VALUE"""),44847)</f>
        <v>44847</v>
      </c>
      <c r="C8212" t="str">
        <f ca="1">IFERROR(__xludf.DUMMYFUNCTION("""COMPUTED_VALUE"""),"ЗАО ""ЭКОС"" 128-РДО от 01.01.2022")</f>
        <v>ЗАО "ЭКОС" 128-РДО от 01.01.2022</v>
      </c>
      <c r="D82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2" t="str">
        <f ca="1">IFERROR(__xludf.DUMMYFUNCTION("""COMPUTED_VALUE"""),"Новый")</f>
        <v>Новый</v>
      </c>
      <c r="G8212" s="68"/>
      <c r="K8212" s="68"/>
    </row>
    <row r="8213" spans="1:11" ht="12.75">
      <c r="A8213" s="69">
        <f ca="1">IFERROR(__xludf.DUMMYFUNCTION("""COMPUTED_VALUE"""),109895)</f>
        <v>109895</v>
      </c>
      <c r="B8213" s="4">
        <f ca="1">IFERROR(__xludf.DUMMYFUNCTION("""COMPUTED_VALUE"""),44847)</f>
        <v>44847</v>
      </c>
      <c r="C8213" t="str">
        <f ca="1">IFERROR(__xludf.DUMMYFUNCTION("""COMPUTED_VALUE"""),"ЗАО ""ЭКОС"" 128-РДО от 01.01.2022")</f>
        <v>ЗАО "ЭКОС" 128-РДО от 01.01.2022</v>
      </c>
      <c r="D82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3" t="str">
        <f ca="1">IFERROR(__xludf.DUMMYFUNCTION("""COMPUTED_VALUE"""),"Новый")</f>
        <v>Новый</v>
      </c>
      <c r="G8213" s="68"/>
      <c r="K8213" s="68"/>
    </row>
    <row r="8214" spans="1:11" ht="12.75">
      <c r="A8214" s="69">
        <f ca="1">IFERROR(__xludf.DUMMYFUNCTION("""COMPUTED_VALUE"""),109896)</f>
        <v>109896</v>
      </c>
      <c r="B8214" s="4">
        <f ca="1">IFERROR(__xludf.DUMMYFUNCTION("""COMPUTED_VALUE"""),44847)</f>
        <v>44847</v>
      </c>
      <c r="C8214" t="str">
        <f ca="1">IFERROR(__xludf.DUMMYFUNCTION("""COMPUTED_VALUE"""),"ЗАО ""ЭКОС"" 128-РДО от 01.01.2022")</f>
        <v>ЗАО "ЭКОС" 128-РДО от 01.01.2022</v>
      </c>
      <c r="D82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4" t="str">
        <f ca="1">IFERROR(__xludf.DUMMYFUNCTION("""COMPUTED_VALUE"""),"Новый")</f>
        <v>Новый</v>
      </c>
      <c r="G8214" s="68"/>
      <c r="K8214" s="68"/>
    </row>
    <row r="8215" spans="1:11" ht="12.75">
      <c r="A8215" s="69">
        <f ca="1">IFERROR(__xludf.DUMMYFUNCTION("""COMPUTED_VALUE"""),109897)</f>
        <v>109897</v>
      </c>
      <c r="B8215" s="4">
        <f ca="1">IFERROR(__xludf.DUMMYFUNCTION("""COMPUTED_VALUE"""),44847)</f>
        <v>44847</v>
      </c>
      <c r="C8215" t="str">
        <f ca="1">IFERROR(__xludf.DUMMYFUNCTION("""COMPUTED_VALUE"""),"ЗАО ""ЭКОС"" 128-РДО от 01.01.2022")</f>
        <v>ЗАО "ЭКОС" 128-РДО от 01.01.2022</v>
      </c>
      <c r="D82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5" t="str">
        <f ca="1">IFERROR(__xludf.DUMMYFUNCTION("""COMPUTED_VALUE"""),"Новый")</f>
        <v>Новый</v>
      </c>
      <c r="G8215" s="68"/>
      <c r="K8215" s="68"/>
    </row>
    <row r="8216" spans="1:11" ht="12.75">
      <c r="A8216" s="69">
        <f ca="1">IFERROR(__xludf.DUMMYFUNCTION("""COMPUTED_VALUE"""),109898)</f>
        <v>109898</v>
      </c>
      <c r="B8216" s="4">
        <f ca="1">IFERROR(__xludf.DUMMYFUNCTION("""COMPUTED_VALUE"""),44847)</f>
        <v>44847</v>
      </c>
      <c r="C8216" t="str">
        <f ca="1">IFERROR(__xludf.DUMMYFUNCTION("""COMPUTED_VALUE"""),"ЗАО ""ЭКОС"" 128-РДО от 01.01.2022")</f>
        <v>ЗАО "ЭКОС" 128-РДО от 01.01.2022</v>
      </c>
      <c r="D821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6" t="str">
        <f ca="1">IFERROR(__xludf.DUMMYFUNCTION("""COMPUTED_VALUE"""),"Новый")</f>
        <v>Новый</v>
      </c>
      <c r="G8216" s="68"/>
      <c r="K8216" s="68"/>
    </row>
    <row r="8217" spans="1:11" ht="12.75">
      <c r="A8217" s="69">
        <f ca="1">IFERROR(__xludf.DUMMYFUNCTION("""COMPUTED_VALUE"""),109899)</f>
        <v>109899</v>
      </c>
      <c r="B8217" s="4">
        <f ca="1">IFERROR(__xludf.DUMMYFUNCTION("""COMPUTED_VALUE"""),44847)</f>
        <v>44847</v>
      </c>
      <c r="C8217" t="str">
        <f ca="1">IFERROR(__xludf.DUMMYFUNCTION("""COMPUTED_VALUE"""),"ЗАО ""ЭКОС"" 128-РДО от 01.01.2022")</f>
        <v>ЗАО "ЭКОС" 128-РДО от 01.01.2022</v>
      </c>
      <c r="D821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7" t="str">
        <f ca="1">IFERROR(__xludf.DUMMYFUNCTION("""COMPUTED_VALUE"""),"Новый")</f>
        <v>Новый</v>
      </c>
      <c r="G8217" s="68"/>
      <c r="K8217" s="68"/>
    </row>
    <row r="8218" spans="1:11" ht="12.75">
      <c r="A8218" s="69">
        <f ca="1">IFERROR(__xludf.DUMMYFUNCTION("""COMPUTED_VALUE"""),109900)</f>
        <v>109900</v>
      </c>
      <c r="B8218" s="4">
        <f ca="1">IFERROR(__xludf.DUMMYFUNCTION("""COMPUTED_VALUE"""),44847)</f>
        <v>44847</v>
      </c>
      <c r="C8218" t="str">
        <f ca="1">IFERROR(__xludf.DUMMYFUNCTION("""COMPUTED_VALUE"""),"ЗАО ""ЭКОС"" 128-РДО от 01.01.2022")</f>
        <v>ЗАО "ЭКОС" 128-РДО от 01.01.2022</v>
      </c>
      <c r="D821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8" t="str">
        <f ca="1">IFERROR(__xludf.DUMMYFUNCTION("""COMPUTED_VALUE"""),"Новый")</f>
        <v>Новый</v>
      </c>
      <c r="G8218" s="68"/>
      <c r="K8218" s="68"/>
    </row>
    <row r="8219" spans="1:11" ht="12.75">
      <c r="A8219" s="69">
        <f ca="1">IFERROR(__xludf.DUMMYFUNCTION("""COMPUTED_VALUE"""),109901)</f>
        <v>109901</v>
      </c>
      <c r="B8219" s="4">
        <f ca="1">IFERROR(__xludf.DUMMYFUNCTION("""COMPUTED_VALUE"""),44847)</f>
        <v>44847</v>
      </c>
      <c r="C8219" t="str">
        <f ca="1">IFERROR(__xludf.DUMMYFUNCTION("""COMPUTED_VALUE"""),"ЗАО ""ЭКОС"" 128-РДО от 01.01.2022")</f>
        <v>ЗАО "ЭКОС" 128-РДО от 01.01.2022</v>
      </c>
      <c r="D821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19" t="str">
        <f ca="1">IFERROR(__xludf.DUMMYFUNCTION("""COMPUTED_VALUE"""),"Новый")</f>
        <v>Новый</v>
      </c>
      <c r="G8219" s="68"/>
      <c r="K8219" s="68"/>
    </row>
    <row r="8220" spans="1:11" ht="12.75">
      <c r="A8220" s="69">
        <f ca="1">IFERROR(__xludf.DUMMYFUNCTION("""COMPUTED_VALUE"""),109902)</f>
        <v>109902</v>
      </c>
      <c r="B8220" s="4">
        <f ca="1">IFERROR(__xludf.DUMMYFUNCTION("""COMPUTED_VALUE"""),44847)</f>
        <v>44847</v>
      </c>
      <c r="C8220" t="str">
        <f ca="1">IFERROR(__xludf.DUMMYFUNCTION("""COMPUTED_VALUE"""),"ЗАО ""ЭКОС"" 128-РДО от 01.01.2022")</f>
        <v>ЗАО "ЭКОС" 128-РДО от 01.01.2022</v>
      </c>
      <c r="D822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0" t="str">
        <f ca="1">IFERROR(__xludf.DUMMYFUNCTION("""COMPUTED_VALUE"""),"Новый")</f>
        <v>Новый</v>
      </c>
      <c r="G8220" s="68"/>
      <c r="K8220" s="68"/>
    </row>
    <row r="8221" spans="1:11" ht="12.75">
      <c r="A8221" s="69">
        <f ca="1">IFERROR(__xludf.DUMMYFUNCTION("""COMPUTED_VALUE"""),109903)</f>
        <v>109903</v>
      </c>
      <c r="B8221" s="4">
        <f ca="1">IFERROR(__xludf.DUMMYFUNCTION("""COMPUTED_VALUE"""),44847)</f>
        <v>44847</v>
      </c>
      <c r="C8221" t="str">
        <f ca="1">IFERROR(__xludf.DUMMYFUNCTION("""COMPUTED_VALUE"""),"ЗАО ""ЭКОС"" 128-РДО от 01.01.2022")</f>
        <v>ЗАО "ЭКОС" 128-РДО от 01.01.2022</v>
      </c>
      <c r="D822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1" t="str">
        <f ca="1">IFERROR(__xludf.DUMMYFUNCTION("""COMPUTED_VALUE"""),"Новый")</f>
        <v>Новый</v>
      </c>
      <c r="G8221" s="68"/>
      <c r="K8221" s="68"/>
    </row>
    <row r="8222" spans="1:11" ht="12.75">
      <c r="A8222" s="69">
        <f ca="1">IFERROR(__xludf.DUMMYFUNCTION("""COMPUTED_VALUE"""),109904)</f>
        <v>109904</v>
      </c>
      <c r="B8222" s="4">
        <f ca="1">IFERROR(__xludf.DUMMYFUNCTION("""COMPUTED_VALUE"""),44847)</f>
        <v>44847</v>
      </c>
      <c r="C8222" t="str">
        <f ca="1">IFERROR(__xludf.DUMMYFUNCTION("""COMPUTED_VALUE"""),"ЗАО ""ЭКОС"" 128-РДО от 01.01.2022")</f>
        <v>ЗАО "ЭКОС" 128-РДО от 01.01.2022</v>
      </c>
      <c r="D822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2" t="str">
        <f ca="1">IFERROR(__xludf.DUMMYFUNCTION("""COMPUTED_VALUE"""),"Новый")</f>
        <v>Новый</v>
      </c>
      <c r="G8222" s="68"/>
      <c r="K8222" s="68"/>
    </row>
    <row r="8223" spans="1:11" ht="12.75">
      <c r="A8223" s="69">
        <f ca="1">IFERROR(__xludf.DUMMYFUNCTION("""COMPUTED_VALUE"""),109905)</f>
        <v>109905</v>
      </c>
      <c r="B8223" s="4">
        <f ca="1">IFERROR(__xludf.DUMMYFUNCTION("""COMPUTED_VALUE"""),44847)</f>
        <v>44847</v>
      </c>
      <c r="C8223" t="str">
        <f ca="1">IFERROR(__xludf.DUMMYFUNCTION("""COMPUTED_VALUE"""),"ЗАО ""ЭКОС"" 128-РДО от 01.01.2022")</f>
        <v>ЗАО "ЭКОС" 128-РДО от 01.01.2022</v>
      </c>
      <c r="D822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3" t="str">
        <f ca="1">IFERROR(__xludf.DUMMYFUNCTION("""COMPUTED_VALUE"""),"Новый")</f>
        <v>Новый</v>
      </c>
      <c r="G8223" s="68"/>
      <c r="K8223" s="68"/>
    </row>
    <row r="8224" spans="1:11" ht="12.75">
      <c r="A8224" s="69">
        <f ca="1">IFERROR(__xludf.DUMMYFUNCTION("""COMPUTED_VALUE"""),109906)</f>
        <v>109906</v>
      </c>
      <c r="B8224" s="4">
        <f ca="1">IFERROR(__xludf.DUMMYFUNCTION("""COMPUTED_VALUE"""),44847)</f>
        <v>44847</v>
      </c>
      <c r="C8224" t="str">
        <f ca="1">IFERROR(__xludf.DUMMYFUNCTION("""COMPUTED_VALUE"""),"ЗАО ""ЭКОС"" 128-РДО от 01.01.2022")</f>
        <v>ЗАО "ЭКОС" 128-РДО от 01.01.2022</v>
      </c>
      <c r="D822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4" t="str">
        <f ca="1">IFERROR(__xludf.DUMMYFUNCTION("""COMPUTED_VALUE"""),"Новый")</f>
        <v>Новый</v>
      </c>
      <c r="G8224" s="68"/>
      <c r="K8224" s="68"/>
    </row>
    <row r="8225" spans="1:11" ht="12.75">
      <c r="A8225" s="69">
        <f ca="1">IFERROR(__xludf.DUMMYFUNCTION("""COMPUTED_VALUE"""),109907)</f>
        <v>109907</v>
      </c>
      <c r="B8225" s="4">
        <f ca="1">IFERROR(__xludf.DUMMYFUNCTION("""COMPUTED_VALUE"""),44847)</f>
        <v>44847</v>
      </c>
      <c r="C8225" t="str">
        <f ca="1">IFERROR(__xludf.DUMMYFUNCTION("""COMPUTED_VALUE"""),"ЗАО ""ЭКОС"" 128-РДО от 01.01.2022")</f>
        <v>ЗАО "ЭКОС" 128-РДО от 01.01.2022</v>
      </c>
      <c r="D822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5" t="str">
        <f ca="1">IFERROR(__xludf.DUMMYFUNCTION("""COMPUTED_VALUE"""),"Новый")</f>
        <v>Новый</v>
      </c>
      <c r="G8225" s="68"/>
      <c r="K8225" s="68"/>
    </row>
    <row r="8226" spans="1:11" ht="12.75">
      <c r="A8226" s="69">
        <f ca="1">IFERROR(__xludf.DUMMYFUNCTION("""COMPUTED_VALUE"""),109908)</f>
        <v>109908</v>
      </c>
      <c r="B8226" s="4">
        <f ca="1">IFERROR(__xludf.DUMMYFUNCTION("""COMPUTED_VALUE"""),44847)</f>
        <v>44847</v>
      </c>
      <c r="C8226" t="str">
        <f ca="1">IFERROR(__xludf.DUMMYFUNCTION("""COMPUTED_VALUE"""),"ЗАО ""ЭКОС"" 128-РДО от 01.01.2022")</f>
        <v>ЗАО "ЭКОС" 128-РДО от 01.01.2022</v>
      </c>
      <c r="D82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6" t="str">
        <f ca="1">IFERROR(__xludf.DUMMYFUNCTION("""COMPUTED_VALUE"""),"Новый")</f>
        <v>Новый</v>
      </c>
      <c r="G8226" s="68"/>
      <c r="K8226" s="68"/>
    </row>
    <row r="8227" spans="1:11" ht="12.75">
      <c r="A8227" s="69">
        <f ca="1">IFERROR(__xludf.DUMMYFUNCTION("""COMPUTED_VALUE"""),109909)</f>
        <v>109909</v>
      </c>
      <c r="B8227" s="4">
        <f ca="1">IFERROR(__xludf.DUMMYFUNCTION("""COMPUTED_VALUE"""),44847)</f>
        <v>44847</v>
      </c>
      <c r="C8227" t="str">
        <f ca="1">IFERROR(__xludf.DUMMYFUNCTION("""COMPUTED_VALUE"""),"ЗАО ""ЭКОС"" 128-РДО от 01.01.2022")</f>
        <v>ЗАО "ЭКОС" 128-РДО от 01.01.2022</v>
      </c>
      <c r="D82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7" t="str">
        <f ca="1">IFERROR(__xludf.DUMMYFUNCTION("""COMPUTED_VALUE"""),"Новый")</f>
        <v>Новый</v>
      </c>
      <c r="G8227" s="68"/>
      <c r="K8227" s="68"/>
    </row>
    <row r="8228" spans="1:11" ht="12.75">
      <c r="A8228" s="69">
        <f ca="1">IFERROR(__xludf.DUMMYFUNCTION("""COMPUTED_VALUE"""),109910)</f>
        <v>109910</v>
      </c>
      <c r="B8228" s="4">
        <f ca="1">IFERROR(__xludf.DUMMYFUNCTION("""COMPUTED_VALUE"""),44847)</f>
        <v>44847</v>
      </c>
      <c r="C8228" t="str">
        <f ca="1">IFERROR(__xludf.DUMMYFUNCTION("""COMPUTED_VALUE"""),"ЗАО ""ЭКОС"" 128-РДО от 01.01.2022")</f>
        <v>ЗАО "ЭКОС" 128-РДО от 01.01.2022</v>
      </c>
      <c r="D82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8" t="str">
        <f ca="1">IFERROR(__xludf.DUMMYFUNCTION("""COMPUTED_VALUE"""),"Новый")</f>
        <v>Новый</v>
      </c>
      <c r="G8228" s="68"/>
      <c r="K8228" s="68"/>
    </row>
    <row r="8229" spans="1:11" ht="12.75">
      <c r="A8229" s="69">
        <f ca="1">IFERROR(__xludf.DUMMYFUNCTION("""COMPUTED_VALUE"""),109911)</f>
        <v>109911</v>
      </c>
      <c r="B8229" s="4">
        <f ca="1">IFERROR(__xludf.DUMMYFUNCTION("""COMPUTED_VALUE"""),44847)</f>
        <v>44847</v>
      </c>
      <c r="C8229" t="str">
        <f ca="1">IFERROR(__xludf.DUMMYFUNCTION("""COMPUTED_VALUE"""),"ЗАО ""ЭКОС"" 128-РДО от 01.01.2022")</f>
        <v>ЗАО "ЭКОС" 128-РДО от 01.01.2022</v>
      </c>
      <c r="D82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29" t="str">
        <f ca="1">IFERROR(__xludf.DUMMYFUNCTION("""COMPUTED_VALUE"""),"Новый")</f>
        <v>Новый</v>
      </c>
      <c r="G8229" s="68"/>
      <c r="K8229" s="68"/>
    </row>
    <row r="8230" spans="1:11" ht="12.75">
      <c r="A8230" s="69">
        <f ca="1">IFERROR(__xludf.DUMMYFUNCTION("""COMPUTED_VALUE"""),109912)</f>
        <v>109912</v>
      </c>
      <c r="B8230" s="4">
        <f ca="1">IFERROR(__xludf.DUMMYFUNCTION("""COMPUTED_VALUE"""),44847)</f>
        <v>44847</v>
      </c>
      <c r="C8230" t="str">
        <f ca="1">IFERROR(__xludf.DUMMYFUNCTION("""COMPUTED_VALUE"""),"ЗАО ""ЭКОС"" 128-РДО от 01.01.2022")</f>
        <v>ЗАО "ЭКОС" 128-РДО от 01.01.2022</v>
      </c>
      <c r="D82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0" t="str">
        <f ca="1">IFERROR(__xludf.DUMMYFUNCTION("""COMPUTED_VALUE"""),"Новый")</f>
        <v>Новый</v>
      </c>
      <c r="G8230" s="68"/>
      <c r="K8230" s="68"/>
    </row>
    <row r="8231" spans="1:11" ht="12.75">
      <c r="A8231" s="69">
        <f ca="1">IFERROR(__xludf.DUMMYFUNCTION("""COMPUTED_VALUE"""),109913)</f>
        <v>109913</v>
      </c>
      <c r="B8231" s="4">
        <f ca="1">IFERROR(__xludf.DUMMYFUNCTION("""COMPUTED_VALUE"""),44847)</f>
        <v>44847</v>
      </c>
      <c r="C8231" t="str">
        <f ca="1">IFERROR(__xludf.DUMMYFUNCTION("""COMPUTED_VALUE"""),"ЗАО ""ЭКОС"" 128-РДО от 01.01.2022")</f>
        <v>ЗАО "ЭКОС" 128-РДО от 01.01.2022</v>
      </c>
      <c r="D82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1" t="str">
        <f ca="1">IFERROR(__xludf.DUMMYFUNCTION("""COMPUTED_VALUE"""),"Новый")</f>
        <v>Новый</v>
      </c>
      <c r="G8231" s="68"/>
      <c r="K8231" s="68"/>
    </row>
    <row r="8232" spans="1:11" ht="12.75">
      <c r="A8232" s="69">
        <f ca="1">IFERROR(__xludf.DUMMYFUNCTION("""COMPUTED_VALUE"""),109914)</f>
        <v>109914</v>
      </c>
      <c r="B8232" s="4">
        <f ca="1">IFERROR(__xludf.DUMMYFUNCTION("""COMPUTED_VALUE"""),44847)</f>
        <v>44847</v>
      </c>
      <c r="C8232" t="str">
        <f ca="1">IFERROR(__xludf.DUMMYFUNCTION("""COMPUTED_VALUE"""),"ЗАО ""ЭКОС"" 128-РДО от 01.01.2022")</f>
        <v>ЗАО "ЭКОС" 128-РДО от 01.01.2022</v>
      </c>
      <c r="D82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2" t="str">
        <f ca="1">IFERROR(__xludf.DUMMYFUNCTION("""COMPUTED_VALUE"""),"Новый")</f>
        <v>Новый</v>
      </c>
      <c r="G8232" s="68"/>
      <c r="K8232" s="68"/>
    </row>
    <row r="8233" spans="1:11" ht="12.75">
      <c r="A8233" s="69">
        <f ca="1">IFERROR(__xludf.DUMMYFUNCTION("""COMPUTED_VALUE"""),109915)</f>
        <v>109915</v>
      </c>
      <c r="B8233" s="4">
        <f ca="1">IFERROR(__xludf.DUMMYFUNCTION("""COMPUTED_VALUE"""),44847)</f>
        <v>44847</v>
      </c>
      <c r="C8233" t="str">
        <f ca="1">IFERROR(__xludf.DUMMYFUNCTION("""COMPUTED_VALUE"""),"ЗАО ""ЭКОС"" 128-РДО от 01.01.2022")</f>
        <v>ЗАО "ЭКОС" 128-РДО от 01.01.2022</v>
      </c>
      <c r="D82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3" t="str">
        <f ca="1">IFERROR(__xludf.DUMMYFUNCTION("""COMPUTED_VALUE"""),"Новый")</f>
        <v>Новый</v>
      </c>
      <c r="G8233" s="68"/>
      <c r="K8233" s="68"/>
    </row>
    <row r="8234" spans="1:11" ht="12.75">
      <c r="A8234" s="69">
        <f ca="1">IFERROR(__xludf.DUMMYFUNCTION("""COMPUTED_VALUE"""),109916)</f>
        <v>109916</v>
      </c>
      <c r="B8234" s="4">
        <f ca="1">IFERROR(__xludf.DUMMYFUNCTION("""COMPUTED_VALUE"""),44847)</f>
        <v>44847</v>
      </c>
      <c r="C8234" t="str">
        <f ca="1">IFERROR(__xludf.DUMMYFUNCTION("""COMPUTED_VALUE"""),"ЗАО ""ЭКОС"" 128-РДО от 01.01.2022")</f>
        <v>ЗАО "ЭКОС" 128-РДО от 01.01.2022</v>
      </c>
      <c r="D82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4" t="str">
        <f ca="1">IFERROR(__xludf.DUMMYFUNCTION("""COMPUTED_VALUE"""),"Новый")</f>
        <v>Новый</v>
      </c>
      <c r="G8234" s="68"/>
      <c r="K8234" s="68"/>
    </row>
    <row r="8235" spans="1:11" ht="12.75">
      <c r="A8235" s="69">
        <f ca="1">IFERROR(__xludf.DUMMYFUNCTION("""COMPUTED_VALUE"""),109917)</f>
        <v>109917</v>
      </c>
      <c r="B8235" s="4">
        <f ca="1">IFERROR(__xludf.DUMMYFUNCTION("""COMPUTED_VALUE"""),44847)</f>
        <v>44847</v>
      </c>
      <c r="C8235" t="str">
        <f ca="1">IFERROR(__xludf.DUMMYFUNCTION("""COMPUTED_VALUE"""),"ЗАО ""ЭКОС"" 128-РДО от 01.01.2022")</f>
        <v>ЗАО "ЭКОС" 128-РДО от 01.01.2022</v>
      </c>
      <c r="D82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35" t="str">
        <f ca="1">IFERROR(__xludf.DUMMYFUNCTION("""COMPUTED_VALUE"""),"Новый")</f>
        <v>Новый</v>
      </c>
      <c r="G8235" s="68"/>
      <c r="K8235" s="68"/>
    </row>
    <row r="8236" spans="1:11" ht="12.75">
      <c r="A8236" s="69">
        <f ca="1">IFERROR(__xludf.DUMMYFUNCTION("""COMPUTED_VALUE"""),109918)</f>
        <v>109918</v>
      </c>
      <c r="B8236" s="4">
        <f ca="1">IFERROR(__xludf.DUMMYFUNCTION("""COMPUTED_VALUE"""),44847)</f>
        <v>44847</v>
      </c>
      <c r="C8236" t="str">
        <f ca="1">IFERROR(__xludf.DUMMYFUNCTION("""COMPUTED_VALUE"""),"ЗАО ""ЭКОС"" 115-СТР от 01.01.2022")</f>
        <v>ЗАО "ЭКОС" 115-СТР от 01.01.2022</v>
      </c>
      <c r="D823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36" t="str">
        <f ca="1">IFERROR(__xludf.DUMMYFUNCTION("""COMPUTED_VALUE"""),"Новый")</f>
        <v>Новый</v>
      </c>
      <c r="G8236" s="68"/>
      <c r="K8236" s="68"/>
    </row>
    <row r="8237" spans="1:11" ht="12.75">
      <c r="A8237" s="69">
        <f ca="1">IFERROR(__xludf.DUMMYFUNCTION("""COMPUTED_VALUE"""),109919)</f>
        <v>109919</v>
      </c>
      <c r="B8237" s="4">
        <f ca="1">IFERROR(__xludf.DUMMYFUNCTION("""COMPUTED_VALUE"""),44847)</f>
        <v>44847</v>
      </c>
      <c r="C8237" t="str">
        <f ca="1">IFERROR(__xludf.DUMMYFUNCTION("""COMPUTED_VALUE"""),"ЗАО ""ЭКОС"" 115-СТР от 01.01.2022")</f>
        <v>ЗАО "ЭКОС" 115-СТР от 01.01.2022</v>
      </c>
      <c r="D823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37" t="str">
        <f ca="1">IFERROR(__xludf.DUMMYFUNCTION("""COMPUTED_VALUE"""),"Новый")</f>
        <v>Новый</v>
      </c>
      <c r="G8237" s="68"/>
      <c r="K8237" s="68"/>
    </row>
    <row r="8238" spans="1:11" ht="12.75">
      <c r="A8238" s="69">
        <f ca="1">IFERROR(__xludf.DUMMYFUNCTION("""COMPUTED_VALUE"""),109920)</f>
        <v>109920</v>
      </c>
      <c r="B8238" s="4">
        <f ca="1">IFERROR(__xludf.DUMMYFUNCTION("""COMPUTED_VALUE"""),44847)</f>
        <v>44847</v>
      </c>
      <c r="C8238" t="str">
        <f ca="1">IFERROR(__xludf.DUMMYFUNCTION("""COMPUTED_VALUE"""),"ЗАО ""ЭКОС"" 115-СТР от 01.01.2022")</f>
        <v>ЗАО "ЭКОС" 115-СТР от 01.01.2022</v>
      </c>
      <c r="D823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38" t="str">
        <f ca="1">IFERROR(__xludf.DUMMYFUNCTION("""COMPUTED_VALUE"""),"Новый")</f>
        <v>Новый</v>
      </c>
      <c r="G8238" s="68"/>
      <c r="K8238" s="68"/>
    </row>
    <row r="8239" spans="1:11" ht="12.75">
      <c r="A8239" s="69">
        <f ca="1">IFERROR(__xludf.DUMMYFUNCTION("""COMPUTED_VALUE"""),109921)</f>
        <v>109921</v>
      </c>
      <c r="B8239" s="4">
        <f ca="1">IFERROR(__xludf.DUMMYFUNCTION("""COMPUTED_VALUE"""),44847)</f>
        <v>44847</v>
      </c>
      <c r="C8239" t="str">
        <f ca="1">IFERROR(__xludf.DUMMYFUNCTION("""COMPUTED_VALUE"""),"ЗАО ""ЭКОС"" 115-СТР от 01.01.2022")</f>
        <v>ЗАО "ЭКОС" 115-СТР от 01.01.2022</v>
      </c>
      <c r="D823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39" t="str">
        <f ca="1">IFERROR(__xludf.DUMMYFUNCTION("""COMPUTED_VALUE"""),"Новый")</f>
        <v>Новый</v>
      </c>
      <c r="G8239" s="68"/>
      <c r="K8239" s="68"/>
    </row>
    <row r="8240" spans="1:11" ht="12.75">
      <c r="A8240" s="69">
        <f ca="1">IFERROR(__xludf.DUMMYFUNCTION("""COMPUTED_VALUE"""),109922)</f>
        <v>109922</v>
      </c>
      <c r="B8240" s="4">
        <f ca="1">IFERROR(__xludf.DUMMYFUNCTION("""COMPUTED_VALUE"""),44847)</f>
        <v>44847</v>
      </c>
      <c r="C8240" t="str">
        <f ca="1">IFERROR(__xludf.DUMMYFUNCTION("""COMPUTED_VALUE"""),"ЗАО ""ЭКОС"" 115-СТР от 01.01.2022")</f>
        <v>ЗАО "ЭКОС" 115-СТР от 01.01.2022</v>
      </c>
      <c r="D824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0" t="str">
        <f ca="1">IFERROR(__xludf.DUMMYFUNCTION("""COMPUTED_VALUE"""),"Новый")</f>
        <v>Новый</v>
      </c>
      <c r="G8240" s="68"/>
      <c r="K8240" s="68"/>
    </row>
    <row r="8241" spans="1:11" ht="12.75">
      <c r="A8241" s="69">
        <f ca="1">IFERROR(__xludf.DUMMYFUNCTION("""COMPUTED_VALUE"""),109923)</f>
        <v>109923</v>
      </c>
      <c r="B8241" s="4">
        <f ca="1">IFERROR(__xludf.DUMMYFUNCTION("""COMPUTED_VALUE"""),44847)</f>
        <v>44847</v>
      </c>
      <c r="C8241" t="str">
        <f ca="1">IFERROR(__xludf.DUMMYFUNCTION("""COMPUTED_VALUE"""),"ЗАО ""ЭКОС"" 115-СТР от 01.01.2022")</f>
        <v>ЗАО "ЭКОС" 115-СТР от 01.01.2022</v>
      </c>
      <c r="D824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1" t="str">
        <f ca="1">IFERROR(__xludf.DUMMYFUNCTION("""COMPUTED_VALUE"""),"Новый")</f>
        <v>Новый</v>
      </c>
      <c r="G8241" s="68"/>
      <c r="K8241" s="68"/>
    </row>
    <row r="8242" spans="1:11" ht="12.75">
      <c r="A8242" s="69">
        <f ca="1">IFERROR(__xludf.DUMMYFUNCTION("""COMPUTED_VALUE"""),109924)</f>
        <v>109924</v>
      </c>
      <c r="B8242" s="4">
        <f ca="1">IFERROR(__xludf.DUMMYFUNCTION("""COMPUTED_VALUE"""),44847)</f>
        <v>44847</v>
      </c>
      <c r="C8242" t="str">
        <f ca="1">IFERROR(__xludf.DUMMYFUNCTION("""COMPUTED_VALUE"""),"ЗАО ""ЭКОС"" 115-СТР от 01.01.2022")</f>
        <v>ЗАО "ЭКОС" 115-СТР от 01.01.2022</v>
      </c>
      <c r="D824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2" t="str">
        <f ca="1">IFERROR(__xludf.DUMMYFUNCTION("""COMPUTED_VALUE"""),"Новый")</f>
        <v>Новый</v>
      </c>
      <c r="G8242" s="68"/>
      <c r="K8242" s="68"/>
    </row>
    <row r="8243" spans="1:11" ht="12.75">
      <c r="A8243" s="69">
        <f ca="1">IFERROR(__xludf.DUMMYFUNCTION("""COMPUTED_VALUE"""),109925)</f>
        <v>109925</v>
      </c>
      <c r="B8243" s="4">
        <f ca="1">IFERROR(__xludf.DUMMYFUNCTION("""COMPUTED_VALUE"""),44847)</f>
        <v>44847</v>
      </c>
      <c r="C8243" t="str">
        <f ca="1">IFERROR(__xludf.DUMMYFUNCTION("""COMPUTED_VALUE"""),"ЗАО ""ЭКОС"" 115-СТР от 01.01.2022")</f>
        <v>ЗАО "ЭКОС" 115-СТР от 01.01.2022</v>
      </c>
      <c r="D824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3" t="str">
        <f ca="1">IFERROR(__xludf.DUMMYFUNCTION("""COMPUTED_VALUE"""),"Новый")</f>
        <v>Новый</v>
      </c>
      <c r="G8243" s="68"/>
      <c r="K8243" s="68"/>
    </row>
    <row r="8244" spans="1:11" ht="12.75">
      <c r="A8244" s="69">
        <f ca="1">IFERROR(__xludf.DUMMYFUNCTION("""COMPUTED_VALUE"""),109926)</f>
        <v>109926</v>
      </c>
      <c r="B8244" s="4">
        <f ca="1">IFERROR(__xludf.DUMMYFUNCTION("""COMPUTED_VALUE"""),44847)</f>
        <v>44847</v>
      </c>
      <c r="C8244" t="str">
        <f ca="1">IFERROR(__xludf.DUMMYFUNCTION("""COMPUTED_VALUE"""),"ЗАО ""ЭКОС"" 115-СТР от 01.01.2022")</f>
        <v>ЗАО "ЭКОС" 115-СТР от 01.01.2022</v>
      </c>
      <c r="D824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4" t="str">
        <f ca="1">IFERROR(__xludf.DUMMYFUNCTION("""COMPUTED_VALUE"""),"Новый")</f>
        <v>Новый</v>
      </c>
      <c r="G8244" s="68"/>
      <c r="K8244" s="68"/>
    </row>
    <row r="8245" spans="1:11" ht="12.75">
      <c r="A8245" s="69">
        <f ca="1">IFERROR(__xludf.DUMMYFUNCTION("""COMPUTED_VALUE"""),109927)</f>
        <v>109927</v>
      </c>
      <c r="B8245" s="4">
        <f ca="1">IFERROR(__xludf.DUMMYFUNCTION("""COMPUTED_VALUE"""),44847)</f>
        <v>44847</v>
      </c>
      <c r="C8245" t="str">
        <f ca="1">IFERROR(__xludf.DUMMYFUNCTION("""COMPUTED_VALUE"""),"ЗАО ""ЭКОС"" 115-СТР от 01.01.2022")</f>
        <v>ЗАО "ЭКОС" 115-СТР от 01.01.2022</v>
      </c>
      <c r="D824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5" t="str">
        <f ca="1">IFERROR(__xludf.DUMMYFUNCTION("""COMPUTED_VALUE"""),"Новый")</f>
        <v>Новый</v>
      </c>
      <c r="G8245" s="68"/>
      <c r="K8245" s="68"/>
    </row>
    <row r="8246" spans="1:11" ht="12.75">
      <c r="A8246" s="69">
        <f ca="1">IFERROR(__xludf.DUMMYFUNCTION("""COMPUTED_VALUE"""),109928)</f>
        <v>109928</v>
      </c>
      <c r="B8246" s="4">
        <f ca="1">IFERROR(__xludf.DUMMYFUNCTION("""COMPUTED_VALUE"""),44847)</f>
        <v>44847</v>
      </c>
      <c r="C8246" t="str">
        <f ca="1">IFERROR(__xludf.DUMMYFUNCTION("""COMPUTED_VALUE"""),"ЗАО ""ЭКОС"" 115-СТР от 01.01.2022")</f>
        <v>ЗАО "ЭКОС" 115-СТР от 01.01.2022</v>
      </c>
      <c r="D824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6" t="str">
        <f ca="1">IFERROR(__xludf.DUMMYFUNCTION("""COMPUTED_VALUE"""),"Новый")</f>
        <v>Новый</v>
      </c>
      <c r="G8246" s="68"/>
      <c r="K8246" s="68"/>
    </row>
    <row r="8247" spans="1:11" ht="12.75">
      <c r="A8247" s="69">
        <f ca="1">IFERROR(__xludf.DUMMYFUNCTION("""COMPUTED_VALUE"""),109929)</f>
        <v>109929</v>
      </c>
      <c r="B8247" s="4">
        <f ca="1">IFERROR(__xludf.DUMMYFUNCTION("""COMPUTED_VALUE"""),44847)</f>
        <v>44847</v>
      </c>
      <c r="C8247" t="str">
        <f ca="1">IFERROR(__xludf.DUMMYFUNCTION("""COMPUTED_VALUE"""),"ЗАО ""ЭКОС"" 115-СТР от 01.01.2022")</f>
        <v>ЗАО "ЭКОС" 115-СТР от 01.01.2022</v>
      </c>
      <c r="D824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7" t="str">
        <f ca="1">IFERROR(__xludf.DUMMYFUNCTION("""COMPUTED_VALUE"""),"Новый")</f>
        <v>Новый</v>
      </c>
      <c r="G8247" s="68"/>
      <c r="K8247" s="68"/>
    </row>
    <row r="8248" spans="1:11" ht="12.75">
      <c r="A8248" s="69">
        <f ca="1">IFERROR(__xludf.DUMMYFUNCTION("""COMPUTED_VALUE"""),109930)</f>
        <v>109930</v>
      </c>
      <c r="B8248" s="4">
        <f ca="1">IFERROR(__xludf.DUMMYFUNCTION("""COMPUTED_VALUE"""),44847)</f>
        <v>44847</v>
      </c>
      <c r="C8248" t="str">
        <f ca="1">IFERROR(__xludf.DUMMYFUNCTION("""COMPUTED_VALUE"""),"ЗАО ""ЭКОС"" 115-СТР от 01.01.2022")</f>
        <v>ЗАО "ЭКОС" 115-СТР от 01.01.2022</v>
      </c>
      <c r="D824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8" t="str">
        <f ca="1">IFERROR(__xludf.DUMMYFUNCTION("""COMPUTED_VALUE"""),"Новый")</f>
        <v>Новый</v>
      </c>
      <c r="G8248" s="68"/>
      <c r="K8248" s="68"/>
    </row>
    <row r="8249" spans="1:11" ht="12.75">
      <c r="A8249" s="69">
        <f ca="1">IFERROR(__xludf.DUMMYFUNCTION("""COMPUTED_VALUE"""),109931)</f>
        <v>109931</v>
      </c>
      <c r="B8249" s="4">
        <f ca="1">IFERROR(__xludf.DUMMYFUNCTION("""COMPUTED_VALUE"""),44847)</f>
        <v>44847</v>
      </c>
      <c r="C8249" t="str">
        <f ca="1">IFERROR(__xludf.DUMMYFUNCTION("""COMPUTED_VALUE"""),"ЗАО ""ЭКОС"" 115-СТР от 01.01.2022")</f>
        <v>ЗАО "ЭКОС" 115-СТР от 01.01.2022</v>
      </c>
      <c r="D824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49" t="str">
        <f ca="1">IFERROR(__xludf.DUMMYFUNCTION("""COMPUTED_VALUE"""),"Новый")</f>
        <v>Новый</v>
      </c>
      <c r="G8249" s="68"/>
      <c r="K8249" s="68"/>
    </row>
    <row r="8250" spans="1:11" ht="12.75">
      <c r="A8250" s="69">
        <f ca="1">IFERROR(__xludf.DUMMYFUNCTION("""COMPUTED_VALUE"""),109932)</f>
        <v>109932</v>
      </c>
      <c r="B8250" s="4">
        <f ca="1">IFERROR(__xludf.DUMMYFUNCTION("""COMPUTED_VALUE"""),44847)</f>
        <v>44847</v>
      </c>
      <c r="C8250" t="str">
        <f ca="1">IFERROR(__xludf.DUMMYFUNCTION("""COMPUTED_VALUE"""),"ЗАО ""ЭКОС"" 115-СТР от 01.01.2022")</f>
        <v>ЗАО "ЭКОС" 115-СТР от 01.01.2022</v>
      </c>
      <c r="D825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0" t="str">
        <f ca="1">IFERROR(__xludf.DUMMYFUNCTION("""COMPUTED_VALUE"""),"Новый")</f>
        <v>Новый</v>
      </c>
      <c r="G8250" s="68"/>
      <c r="K8250" s="68"/>
    </row>
    <row r="8251" spans="1:11" ht="12.75">
      <c r="A8251" s="69">
        <f ca="1">IFERROR(__xludf.DUMMYFUNCTION("""COMPUTED_VALUE"""),109933)</f>
        <v>109933</v>
      </c>
      <c r="B8251" s="4">
        <f ca="1">IFERROR(__xludf.DUMMYFUNCTION("""COMPUTED_VALUE"""),44847)</f>
        <v>44847</v>
      </c>
      <c r="C8251" t="str">
        <f ca="1">IFERROR(__xludf.DUMMYFUNCTION("""COMPUTED_VALUE"""),"ЗАО ""ЭКОС"" 115-СТР от 01.01.2022")</f>
        <v>ЗАО "ЭКОС" 115-СТР от 01.01.2022</v>
      </c>
      <c r="D825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1" t="str">
        <f ca="1">IFERROR(__xludf.DUMMYFUNCTION("""COMPUTED_VALUE"""),"Новый")</f>
        <v>Новый</v>
      </c>
      <c r="G8251" s="68"/>
      <c r="K8251" s="68"/>
    </row>
    <row r="8252" spans="1:11" ht="12.75">
      <c r="A8252" s="69">
        <f ca="1">IFERROR(__xludf.DUMMYFUNCTION("""COMPUTED_VALUE"""),109934)</f>
        <v>109934</v>
      </c>
      <c r="B8252" s="4">
        <f ca="1">IFERROR(__xludf.DUMMYFUNCTION("""COMPUTED_VALUE"""),44847)</f>
        <v>44847</v>
      </c>
      <c r="C8252" t="str">
        <f ca="1">IFERROR(__xludf.DUMMYFUNCTION("""COMPUTED_VALUE"""),"ЗАО ""ЭКОС"" 115-СТР от 01.01.2022")</f>
        <v>ЗАО "ЭКОС" 115-СТР от 01.01.2022</v>
      </c>
      <c r="D825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2" t="str">
        <f ca="1">IFERROR(__xludf.DUMMYFUNCTION("""COMPUTED_VALUE"""),"Новый")</f>
        <v>Новый</v>
      </c>
      <c r="G8252" s="68"/>
      <c r="K8252" s="68"/>
    </row>
    <row r="8253" spans="1:11" ht="12.75">
      <c r="A8253" s="69">
        <f ca="1">IFERROR(__xludf.DUMMYFUNCTION("""COMPUTED_VALUE"""),109935)</f>
        <v>109935</v>
      </c>
      <c r="B8253" s="4">
        <f ca="1">IFERROR(__xludf.DUMMYFUNCTION("""COMPUTED_VALUE"""),44847)</f>
        <v>44847</v>
      </c>
      <c r="C8253" t="str">
        <f ca="1">IFERROR(__xludf.DUMMYFUNCTION("""COMPUTED_VALUE"""),"ЗАО ""ЭКОС"" 115-СТР от 01.01.2022")</f>
        <v>ЗАО "ЭКОС" 115-СТР от 01.01.2022</v>
      </c>
      <c r="D825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3" t="str">
        <f ca="1">IFERROR(__xludf.DUMMYFUNCTION("""COMPUTED_VALUE"""),"Новый")</f>
        <v>Новый</v>
      </c>
      <c r="G8253" s="68"/>
      <c r="K8253" s="68"/>
    </row>
    <row r="8254" spans="1:11" ht="12.75">
      <c r="A8254" s="69">
        <f ca="1">IFERROR(__xludf.DUMMYFUNCTION("""COMPUTED_VALUE"""),109936)</f>
        <v>109936</v>
      </c>
      <c r="B8254" s="4">
        <f ca="1">IFERROR(__xludf.DUMMYFUNCTION("""COMPUTED_VALUE"""),44847)</f>
        <v>44847</v>
      </c>
      <c r="C8254" t="str">
        <f ca="1">IFERROR(__xludf.DUMMYFUNCTION("""COMPUTED_VALUE"""),"ЗАО ""ЭКОС"" 115-СТР от 01.01.2022")</f>
        <v>ЗАО "ЭКОС" 115-СТР от 01.01.2022</v>
      </c>
      <c r="D825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4" t="str">
        <f ca="1">IFERROR(__xludf.DUMMYFUNCTION("""COMPUTED_VALUE"""),"Новый")</f>
        <v>Новый</v>
      </c>
      <c r="G8254" s="68"/>
      <c r="K8254" s="68"/>
    </row>
    <row r="8255" spans="1:11" ht="12.75">
      <c r="A8255" s="69">
        <f ca="1">IFERROR(__xludf.DUMMYFUNCTION("""COMPUTED_VALUE"""),109937)</f>
        <v>109937</v>
      </c>
      <c r="B8255" s="4">
        <f ca="1">IFERROR(__xludf.DUMMYFUNCTION("""COMPUTED_VALUE"""),44847)</f>
        <v>44847</v>
      </c>
      <c r="C8255" t="str">
        <f ca="1">IFERROR(__xludf.DUMMYFUNCTION("""COMPUTED_VALUE"""),"ЗАО ""ЭКОС"" 115-СТР от 01.01.2022")</f>
        <v>ЗАО "ЭКОС" 115-СТР от 01.01.2022</v>
      </c>
      <c r="D825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5" t="str">
        <f ca="1">IFERROR(__xludf.DUMMYFUNCTION("""COMPUTED_VALUE"""),"Новый")</f>
        <v>Новый</v>
      </c>
      <c r="G8255" s="68"/>
      <c r="K8255" s="68"/>
    </row>
    <row r="8256" spans="1:11" ht="12.75">
      <c r="A8256" s="69">
        <f ca="1">IFERROR(__xludf.DUMMYFUNCTION("""COMPUTED_VALUE"""),109938)</f>
        <v>109938</v>
      </c>
      <c r="B8256" s="4">
        <f ca="1">IFERROR(__xludf.DUMMYFUNCTION("""COMPUTED_VALUE"""),44847)</f>
        <v>44847</v>
      </c>
      <c r="C8256" t="str">
        <f ca="1">IFERROR(__xludf.DUMMYFUNCTION("""COMPUTED_VALUE"""),"ЗАО ""ЭКОС"" 115-СТР от 01.01.2022")</f>
        <v>ЗАО "ЭКОС" 115-СТР от 01.01.2022</v>
      </c>
      <c r="D825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6" t="str">
        <f ca="1">IFERROR(__xludf.DUMMYFUNCTION("""COMPUTED_VALUE"""),"Новый")</f>
        <v>Новый</v>
      </c>
      <c r="G8256" s="68"/>
      <c r="K8256" s="68"/>
    </row>
    <row r="8257" spans="1:11" ht="12.75">
      <c r="A8257" s="69">
        <f ca="1">IFERROR(__xludf.DUMMYFUNCTION("""COMPUTED_VALUE"""),109939)</f>
        <v>109939</v>
      </c>
      <c r="B8257" s="4">
        <f ca="1">IFERROR(__xludf.DUMMYFUNCTION("""COMPUTED_VALUE"""),44847)</f>
        <v>44847</v>
      </c>
      <c r="C8257" t="str">
        <f ca="1">IFERROR(__xludf.DUMMYFUNCTION("""COMPUTED_VALUE"""),"ЗАО ""ЭКОС"" 115-СТР от 01.01.2022")</f>
        <v>ЗАО "ЭКОС" 115-СТР от 01.01.2022</v>
      </c>
      <c r="D825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7" t="str">
        <f ca="1">IFERROR(__xludf.DUMMYFUNCTION("""COMPUTED_VALUE"""),"Новый")</f>
        <v>Новый</v>
      </c>
      <c r="G8257" s="68"/>
      <c r="K8257" s="68"/>
    </row>
    <row r="8258" spans="1:11" ht="12.75">
      <c r="A8258" s="69">
        <f ca="1">IFERROR(__xludf.DUMMYFUNCTION("""COMPUTED_VALUE"""),109940)</f>
        <v>109940</v>
      </c>
      <c r="B8258" s="4">
        <f ca="1">IFERROR(__xludf.DUMMYFUNCTION("""COMPUTED_VALUE"""),44847)</f>
        <v>44847</v>
      </c>
      <c r="C8258" t="str">
        <f ca="1">IFERROR(__xludf.DUMMYFUNCTION("""COMPUTED_VALUE"""),"ЗАО ""ЭКОС"" 115-СТР от 01.01.2022")</f>
        <v>ЗАО "ЭКОС" 115-СТР от 01.01.2022</v>
      </c>
      <c r="D825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8" t="str">
        <f ca="1">IFERROR(__xludf.DUMMYFUNCTION("""COMPUTED_VALUE"""),"Новый")</f>
        <v>Новый</v>
      </c>
      <c r="G8258" s="68"/>
      <c r="K8258" s="68"/>
    </row>
    <row r="8259" spans="1:11" ht="12.75">
      <c r="A8259" s="69">
        <f ca="1">IFERROR(__xludf.DUMMYFUNCTION("""COMPUTED_VALUE"""),109941)</f>
        <v>109941</v>
      </c>
      <c r="B8259" s="4">
        <f ca="1">IFERROR(__xludf.DUMMYFUNCTION("""COMPUTED_VALUE"""),44847)</f>
        <v>44847</v>
      </c>
      <c r="C8259" t="str">
        <f ca="1">IFERROR(__xludf.DUMMYFUNCTION("""COMPUTED_VALUE"""),"ЗАО ""ЭКОС"" 115-СТР от 01.01.2022")</f>
        <v>ЗАО "ЭКОС" 115-СТР от 01.01.2022</v>
      </c>
      <c r="D825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59" t="str">
        <f ca="1">IFERROR(__xludf.DUMMYFUNCTION("""COMPUTED_VALUE"""),"Новый")</f>
        <v>Новый</v>
      </c>
      <c r="G8259" s="68"/>
      <c r="K8259" s="68"/>
    </row>
    <row r="8260" spans="1:11" ht="12.75">
      <c r="A8260" s="69">
        <f ca="1">IFERROR(__xludf.DUMMYFUNCTION("""COMPUTED_VALUE"""),109942)</f>
        <v>109942</v>
      </c>
      <c r="B8260" s="4">
        <f ca="1">IFERROR(__xludf.DUMMYFUNCTION("""COMPUTED_VALUE"""),44847)</f>
        <v>44847</v>
      </c>
      <c r="C8260" t="str">
        <f ca="1">IFERROR(__xludf.DUMMYFUNCTION("""COMPUTED_VALUE"""),"ЗАО ""ЭКОС"" 115-СТР от 01.01.2022")</f>
        <v>ЗАО "ЭКОС" 115-СТР от 01.01.2022</v>
      </c>
      <c r="D826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0" t="str">
        <f ca="1">IFERROR(__xludf.DUMMYFUNCTION("""COMPUTED_VALUE"""),"Новый")</f>
        <v>Новый</v>
      </c>
      <c r="G8260" s="68"/>
      <c r="K8260" s="68"/>
    </row>
    <row r="8261" spans="1:11" ht="12.75">
      <c r="A8261" s="69">
        <f ca="1">IFERROR(__xludf.DUMMYFUNCTION("""COMPUTED_VALUE"""),109943)</f>
        <v>109943</v>
      </c>
      <c r="B8261" s="4">
        <f ca="1">IFERROR(__xludf.DUMMYFUNCTION("""COMPUTED_VALUE"""),44847)</f>
        <v>44847</v>
      </c>
      <c r="C8261" t="str">
        <f ca="1">IFERROR(__xludf.DUMMYFUNCTION("""COMPUTED_VALUE"""),"ЗАО ""ЭКОС"" 115-СТР от 01.01.2022")</f>
        <v>ЗАО "ЭКОС" 115-СТР от 01.01.2022</v>
      </c>
      <c r="D826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1" t="str">
        <f ca="1">IFERROR(__xludf.DUMMYFUNCTION("""COMPUTED_VALUE"""),"Новый")</f>
        <v>Новый</v>
      </c>
      <c r="G8261" s="68"/>
      <c r="K8261" s="68"/>
    </row>
    <row r="8262" spans="1:11" ht="12.75">
      <c r="A8262" s="69">
        <f ca="1">IFERROR(__xludf.DUMMYFUNCTION("""COMPUTED_VALUE"""),109944)</f>
        <v>109944</v>
      </c>
      <c r="B8262" s="4">
        <f ca="1">IFERROR(__xludf.DUMMYFUNCTION("""COMPUTED_VALUE"""),44847)</f>
        <v>44847</v>
      </c>
      <c r="C8262" t="str">
        <f ca="1">IFERROR(__xludf.DUMMYFUNCTION("""COMPUTED_VALUE"""),"ЗАО ""ЭКОС"" 115-СТР от 01.01.2022")</f>
        <v>ЗАО "ЭКОС" 115-СТР от 01.01.2022</v>
      </c>
      <c r="D826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2" t="str">
        <f ca="1">IFERROR(__xludf.DUMMYFUNCTION("""COMPUTED_VALUE"""),"Новый")</f>
        <v>Новый</v>
      </c>
      <c r="G8262" s="68"/>
      <c r="K8262" s="68"/>
    </row>
    <row r="8263" spans="1:11" ht="12.75">
      <c r="A8263" s="69">
        <f ca="1">IFERROR(__xludf.DUMMYFUNCTION("""COMPUTED_VALUE"""),109945)</f>
        <v>109945</v>
      </c>
      <c r="B8263" s="4">
        <f ca="1">IFERROR(__xludf.DUMMYFUNCTION("""COMPUTED_VALUE"""),44847)</f>
        <v>44847</v>
      </c>
      <c r="C8263" t="str">
        <f ca="1">IFERROR(__xludf.DUMMYFUNCTION("""COMPUTED_VALUE"""),"ЗАО ""ЭКОС"" 115-СТР от 01.01.2022")</f>
        <v>ЗАО "ЭКОС" 115-СТР от 01.01.2022</v>
      </c>
      <c r="D826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3" t="str">
        <f ca="1">IFERROR(__xludf.DUMMYFUNCTION("""COMPUTED_VALUE"""),"Новый")</f>
        <v>Новый</v>
      </c>
      <c r="G8263" s="68"/>
      <c r="K8263" s="68"/>
    </row>
    <row r="8264" spans="1:11" ht="12.75">
      <c r="A8264" s="69">
        <f ca="1">IFERROR(__xludf.DUMMYFUNCTION("""COMPUTED_VALUE"""),109946)</f>
        <v>109946</v>
      </c>
      <c r="B8264" s="4">
        <f ca="1">IFERROR(__xludf.DUMMYFUNCTION("""COMPUTED_VALUE"""),44847)</f>
        <v>44847</v>
      </c>
      <c r="C8264" t="str">
        <f ca="1">IFERROR(__xludf.DUMMYFUNCTION("""COMPUTED_VALUE"""),"ЗАО ""ЭКОС"" 115-СТР от 01.01.2022")</f>
        <v>ЗАО "ЭКОС" 115-СТР от 01.01.2022</v>
      </c>
      <c r="D826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4" t="str">
        <f ca="1">IFERROR(__xludf.DUMMYFUNCTION("""COMPUTED_VALUE"""),"Новый")</f>
        <v>Новый</v>
      </c>
      <c r="G8264" s="68"/>
      <c r="K8264" s="68"/>
    </row>
    <row r="8265" spans="1:11" ht="12.75">
      <c r="A8265" s="69">
        <f ca="1">IFERROR(__xludf.DUMMYFUNCTION("""COMPUTED_VALUE"""),109947)</f>
        <v>109947</v>
      </c>
      <c r="B8265" s="4">
        <f ca="1">IFERROR(__xludf.DUMMYFUNCTION("""COMPUTED_VALUE"""),44847)</f>
        <v>44847</v>
      </c>
      <c r="C8265" t="str">
        <f ca="1">IFERROR(__xludf.DUMMYFUNCTION("""COMPUTED_VALUE"""),"ЗАО ""ЭКОС"" 115-СТР от 01.01.2022")</f>
        <v>ЗАО "ЭКОС" 115-СТР от 01.01.2022</v>
      </c>
      <c r="D826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5" t="str">
        <f ca="1">IFERROR(__xludf.DUMMYFUNCTION("""COMPUTED_VALUE"""),"Новый")</f>
        <v>Новый</v>
      </c>
      <c r="G8265" s="68"/>
      <c r="K8265" s="68"/>
    </row>
    <row r="8266" spans="1:11" ht="12.75">
      <c r="A8266" s="69">
        <f ca="1">IFERROR(__xludf.DUMMYFUNCTION("""COMPUTED_VALUE"""),109948)</f>
        <v>109948</v>
      </c>
      <c r="B8266" s="4">
        <f ca="1">IFERROR(__xludf.DUMMYFUNCTION("""COMPUTED_VALUE"""),44847)</f>
        <v>44847</v>
      </c>
      <c r="C8266" t="str">
        <f ca="1">IFERROR(__xludf.DUMMYFUNCTION("""COMPUTED_VALUE"""),"ЗАО ""ЭКОС"" 115-СТР от 01.01.2022")</f>
        <v>ЗАО "ЭКОС" 115-СТР от 01.01.2022</v>
      </c>
      <c r="D826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6" t="str">
        <f ca="1">IFERROR(__xludf.DUMMYFUNCTION("""COMPUTED_VALUE"""),"Новый")</f>
        <v>Новый</v>
      </c>
      <c r="G8266" s="68"/>
      <c r="K8266" s="68"/>
    </row>
    <row r="8267" spans="1:11" ht="12.75">
      <c r="A8267" s="69">
        <f ca="1">IFERROR(__xludf.DUMMYFUNCTION("""COMPUTED_VALUE"""),109949)</f>
        <v>109949</v>
      </c>
      <c r="B8267" s="4">
        <f ca="1">IFERROR(__xludf.DUMMYFUNCTION("""COMPUTED_VALUE"""),44847)</f>
        <v>44847</v>
      </c>
      <c r="C8267" t="str">
        <f ca="1">IFERROR(__xludf.DUMMYFUNCTION("""COMPUTED_VALUE"""),"ЗАО ""ЭКОС"" 115-СТР от 01.01.2022")</f>
        <v>ЗАО "ЭКОС" 115-СТР от 01.01.2022</v>
      </c>
      <c r="D826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7" t="str">
        <f ca="1">IFERROR(__xludf.DUMMYFUNCTION("""COMPUTED_VALUE"""),"Новый")</f>
        <v>Новый</v>
      </c>
      <c r="G8267" s="68"/>
      <c r="K8267" s="68"/>
    </row>
    <row r="8268" spans="1:11" ht="12.75">
      <c r="A8268" s="69">
        <f ca="1">IFERROR(__xludf.DUMMYFUNCTION("""COMPUTED_VALUE"""),109950)</f>
        <v>109950</v>
      </c>
      <c r="B8268" s="4">
        <f ca="1">IFERROR(__xludf.DUMMYFUNCTION("""COMPUTED_VALUE"""),44847)</f>
        <v>44847</v>
      </c>
      <c r="C8268" t="str">
        <f ca="1">IFERROR(__xludf.DUMMYFUNCTION("""COMPUTED_VALUE"""),"ЗАО ""ЭКОС"" 115-СТР от 01.01.2022")</f>
        <v>ЗАО "ЭКОС" 115-СТР от 01.01.2022</v>
      </c>
      <c r="D826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8" t="str">
        <f ca="1">IFERROR(__xludf.DUMMYFUNCTION("""COMPUTED_VALUE"""),"Новый")</f>
        <v>Новый</v>
      </c>
      <c r="G8268" s="68"/>
      <c r="K8268" s="68"/>
    </row>
    <row r="8269" spans="1:11" ht="12.75">
      <c r="A8269" s="69">
        <f ca="1">IFERROR(__xludf.DUMMYFUNCTION("""COMPUTED_VALUE"""),109951)</f>
        <v>109951</v>
      </c>
      <c r="B8269" s="4">
        <f ca="1">IFERROR(__xludf.DUMMYFUNCTION("""COMPUTED_VALUE"""),44847)</f>
        <v>44847</v>
      </c>
      <c r="C8269" t="str">
        <f ca="1">IFERROR(__xludf.DUMMYFUNCTION("""COMPUTED_VALUE"""),"ЗАО ""ЭКОС"" 115-СТР от 01.01.2022")</f>
        <v>ЗАО "ЭКОС" 115-СТР от 01.01.2022</v>
      </c>
      <c r="D826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69" t="str">
        <f ca="1">IFERROR(__xludf.DUMMYFUNCTION("""COMPUTED_VALUE"""),"Новый")</f>
        <v>Новый</v>
      </c>
      <c r="G8269" s="68"/>
      <c r="K8269" s="68"/>
    </row>
    <row r="8270" spans="1:11" ht="12.75">
      <c r="A8270" s="69">
        <f ca="1">IFERROR(__xludf.DUMMYFUNCTION("""COMPUTED_VALUE"""),109952)</f>
        <v>109952</v>
      </c>
      <c r="B8270" s="4">
        <f ca="1">IFERROR(__xludf.DUMMYFUNCTION("""COMPUTED_VALUE"""),44847)</f>
        <v>44847</v>
      </c>
      <c r="C8270" t="str">
        <f ca="1">IFERROR(__xludf.DUMMYFUNCTION("""COMPUTED_VALUE"""),"ЗАО ""ЭКОС"" 115-СТР от 01.01.2022")</f>
        <v>ЗАО "ЭКОС" 115-СТР от 01.01.2022</v>
      </c>
      <c r="D827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0" t="str">
        <f ca="1">IFERROR(__xludf.DUMMYFUNCTION("""COMPUTED_VALUE"""),"Новый")</f>
        <v>Новый</v>
      </c>
      <c r="G8270" s="68"/>
      <c r="K8270" s="68"/>
    </row>
    <row r="8271" spans="1:11" ht="12.75">
      <c r="A8271" s="69">
        <f ca="1">IFERROR(__xludf.DUMMYFUNCTION("""COMPUTED_VALUE"""),109953)</f>
        <v>109953</v>
      </c>
      <c r="B8271" s="4">
        <f ca="1">IFERROR(__xludf.DUMMYFUNCTION("""COMPUTED_VALUE"""),44847)</f>
        <v>44847</v>
      </c>
      <c r="C8271" t="str">
        <f ca="1">IFERROR(__xludf.DUMMYFUNCTION("""COMPUTED_VALUE"""),"ЗАО ""ЭКОС"" 115-СТР от 01.01.2022")</f>
        <v>ЗАО "ЭКОС" 115-СТР от 01.01.2022</v>
      </c>
      <c r="D827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1" t="str">
        <f ca="1">IFERROR(__xludf.DUMMYFUNCTION("""COMPUTED_VALUE"""),"Новый")</f>
        <v>Новый</v>
      </c>
      <c r="G8271" s="68"/>
      <c r="K8271" s="68"/>
    </row>
    <row r="8272" spans="1:11" ht="12.75">
      <c r="A8272" s="69">
        <f ca="1">IFERROR(__xludf.DUMMYFUNCTION("""COMPUTED_VALUE"""),109954)</f>
        <v>109954</v>
      </c>
      <c r="B8272" s="4">
        <f ca="1">IFERROR(__xludf.DUMMYFUNCTION("""COMPUTED_VALUE"""),44847)</f>
        <v>44847</v>
      </c>
      <c r="C8272" t="str">
        <f ca="1">IFERROR(__xludf.DUMMYFUNCTION("""COMPUTED_VALUE"""),"ЗАО ""ЭКОС"" 115-СТР от 01.01.2022")</f>
        <v>ЗАО "ЭКОС" 115-СТР от 01.01.2022</v>
      </c>
      <c r="D827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2" t="str">
        <f ca="1">IFERROR(__xludf.DUMMYFUNCTION("""COMPUTED_VALUE"""),"Новый")</f>
        <v>Новый</v>
      </c>
      <c r="G8272" s="68"/>
      <c r="K8272" s="68"/>
    </row>
    <row r="8273" spans="1:11" ht="12.75">
      <c r="A8273" s="69">
        <f ca="1">IFERROR(__xludf.DUMMYFUNCTION("""COMPUTED_VALUE"""),109955)</f>
        <v>109955</v>
      </c>
      <c r="B8273" s="4">
        <f ca="1">IFERROR(__xludf.DUMMYFUNCTION("""COMPUTED_VALUE"""),44847)</f>
        <v>44847</v>
      </c>
      <c r="C8273" t="str">
        <f ca="1">IFERROR(__xludf.DUMMYFUNCTION("""COMPUTED_VALUE"""),"ЗАО ""ЭКОС"" 115-СТР от 01.01.2022")</f>
        <v>ЗАО "ЭКОС" 115-СТР от 01.01.2022</v>
      </c>
      <c r="D827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3" t="str">
        <f ca="1">IFERROR(__xludf.DUMMYFUNCTION("""COMPUTED_VALUE"""),"Новый")</f>
        <v>Новый</v>
      </c>
      <c r="G8273" s="68"/>
      <c r="K8273" s="68"/>
    </row>
    <row r="8274" spans="1:11" ht="12.75">
      <c r="A8274" s="69">
        <f ca="1">IFERROR(__xludf.DUMMYFUNCTION("""COMPUTED_VALUE"""),109956)</f>
        <v>109956</v>
      </c>
      <c r="B8274" s="4">
        <f ca="1">IFERROR(__xludf.DUMMYFUNCTION("""COMPUTED_VALUE"""),44847)</f>
        <v>44847</v>
      </c>
      <c r="C8274" t="str">
        <f ca="1">IFERROR(__xludf.DUMMYFUNCTION("""COMPUTED_VALUE"""),"ЗАО ""ЭКОС"" 115-СТР от 01.01.2022")</f>
        <v>ЗАО "ЭКОС" 115-СТР от 01.01.2022</v>
      </c>
      <c r="D827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4" t="str">
        <f ca="1">IFERROR(__xludf.DUMMYFUNCTION("""COMPUTED_VALUE"""),"Новый")</f>
        <v>Новый</v>
      </c>
      <c r="G8274" s="68"/>
      <c r="K8274" s="68"/>
    </row>
    <row r="8275" spans="1:11" ht="12.75">
      <c r="A8275" s="69">
        <f ca="1">IFERROR(__xludf.DUMMYFUNCTION("""COMPUTED_VALUE"""),109957)</f>
        <v>109957</v>
      </c>
      <c r="B8275" s="4">
        <f ca="1">IFERROR(__xludf.DUMMYFUNCTION("""COMPUTED_VALUE"""),44847)</f>
        <v>44847</v>
      </c>
      <c r="C8275" t="str">
        <f ca="1">IFERROR(__xludf.DUMMYFUNCTION("""COMPUTED_VALUE"""),"ЗАО ""ЭКОС"" 115-СТР от 01.01.2022")</f>
        <v>ЗАО "ЭКОС" 115-СТР от 01.01.2022</v>
      </c>
      <c r="D827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275" t="str">
        <f ca="1">IFERROR(__xludf.DUMMYFUNCTION("""COMPUTED_VALUE"""),"Новый")</f>
        <v>Новый</v>
      </c>
      <c r="G8275" s="68"/>
      <c r="K8275" s="68"/>
    </row>
    <row r="8276" spans="1:11" ht="12.75">
      <c r="A8276" s="69">
        <f ca="1">IFERROR(__xludf.DUMMYFUNCTION("""COMPUTED_VALUE"""),109958)</f>
        <v>109958</v>
      </c>
      <c r="B8276" s="4">
        <f ca="1">IFERROR(__xludf.DUMMYFUNCTION("""COMPUTED_VALUE"""),44847)</f>
        <v>44847</v>
      </c>
      <c r="C8276" t="str">
        <f ca="1">IFERROR(__xludf.DUMMYFUNCTION("""COMPUTED_VALUE"""),"ЗАО ""ЭКОС"" 115-СТР от 01.01.2022")</f>
        <v>ЗАО "ЭКОС" 115-СТР от 01.01.2022</v>
      </c>
      <c r="D827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76" t="str">
        <f ca="1">IFERROR(__xludf.DUMMYFUNCTION("""COMPUTED_VALUE"""),"Новый")</f>
        <v>Новый</v>
      </c>
      <c r="G8276" s="68"/>
      <c r="K8276" s="68"/>
    </row>
    <row r="8277" spans="1:11" ht="12.75">
      <c r="A8277" s="69">
        <f ca="1">IFERROR(__xludf.DUMMYFUNCTION("""COMPUTED_VALUE"""),109959)</f>
        <v>109959</v>
      </c>
      <c r="B8277" s="4">
        <f ca="1">IFERROR(__xludf.DUMMYFUNCTION("""COMPUTED_VALUE"""),44847)</f>
        <v>44847</v>
      </c>
      <c r="C8277" t="str">
        <f ca="1">IFERROR(__xludf.DUMMYFUNCTION("""COMPUTED_VALUE"""),"ЗАО ""ЭКОС"" 115-СТР от 01.01.2022")</f>
        <v>ЗАО "ЭКОС" 115-СТР от 01.01.2022</v>
      </c>
      <c r="D827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77" t="str">
        <f ca="1">IFERROR(__xludf.DUMMYFUNCTION("""COMPUTED_VALUE"""),"Новый")</f>
        <v>Новый</v>
      </c>
      <c r="G8277" s="68"/>
      <c r="K8277" s="68"/>
    </row>
    <row r="8278" spans="1:11" ht="12.75">
      <c r="A8278" s="69">
        <f ca="1">IFERROR(__xludf.DUMMYFUNCTION("""COMPUTED_VALUE"""),109960)</f>
        <v>109960</v>
      </c>
      <c r="B8278" s="4">
        <f ca="1">IFERROR(__xludf.DUMMYFUNCTION("""COMPUTED_VALUE"""),44847)</f>
        <v>44847</v>
      </c>
      <c r="C8278" t="str">
        <f ca="1">IFERROR(__xludf.DUMMYFUNCTION("""COMPUTED_VALUE"""),"ЗАО ""ЭКОС"" 115-СТР от 01.01.2022")</f>
        <v>ЗАО "ЭКОС" 115-СТР от 01.01.2022</v>
      </c>
      <c r="D827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78" t="str">
        <f ca="1">IFERROR(__xludf.DUMMYFUNCTION("""COMPUTED_VALUE"""),"Новый")</f>
        <v>Новый</v>
      </c>
      <c r="G8278" s="68"/>
      <c r="K8278" s="68"/>
    </row>
    <row r="8279" spans="1:11" ht="12.75">
      <c r="A8279" s="69">
        <f ca="1">IFERROR(__xludf.DUMMYFUNCTION("""COMPUTED_VALUE"""),109961)</f>
        <v>109961</v>
      </c>
      <c r="B8279" s="4">
        <f ca="1">IFERROR(__xludf.DUMMYFUNCTION("""COMPUTED_VALUE"""),44847)</f>
        <v>44847</v>
      </c>
      <c r="C8279" t="str">
        <f ca="1">IFERROR(__xludf.DUMMYFUNCTION("""COMPUTED_VALUE"""),"ЗАО ""ЭКОС"" 115-СТР от 01.01.2022")</f>
        <v>ЗАО "ЭКОС" 115-СТР от 01.01.2022</v>
      </c>
      <c r="D827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79" t="str">
        <f ca="1">IFERROR(__xludf.DUMMYFUNCTION("""COMPUTED_VALUE"""),"Новый")</f>
        <v>Новый</v>
      </c>
      <c r="G8279" s="68"/>
      <c r="K8279" s="68"/>
    </row>
    <row r="8280" spans="1:11" ht="12.75">
      <c r="A8280" s="69">
        <f ca="1">IFERROR(__xludf.DUMMYFUNCTION("""COMPUTED_VALUE"""),109962)</f>
        <v>109962</v>
      </c>
      <c r="B8280" s="4">
        <f ca="1">IFERROR(__xludf.DUMMYFUNCTION("""COMPUTED_VALUE"""),44847)</f>
        <v>44847</v>
      </c>
      <c r="C8280" t="str">
        <f ca="1">IFERROR(__xludf.DUMMYFUNCTION("""COMPUTED_VALUE"""),"ЗАО ""ЭКОС"" 115-СТР от 01.01.2022")</f>
        <v>ЗАО "ЭКОС" 115-СТР от 01.01.2022</v>
      </c>
      <c r="D828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0" t="str">
        <f ca="1">IFERROR(__xludf.DUMMYFUNCTION("""COMPUTED_VALUE"""),"Новый")</f>
        <v>Новый</v>
      </c>
      <c r="G8280" s="68"/>
      <c r="K8280" s="68"/>
    </row>
    <row r="8281" spans="1:11" ht="12.75">
      <c r="A8281" s="69">
        <f ca="1">IFERROR(__xludf.DUMMYFUNCTION("""COMPUTED_VALUE"""),109963)</f>
        <v>109963</v>
      </c>
      <c r="B8281" s="4">
        <f ca="1">IFERROR(__xludf.DUMMYFUNCTION("""COMPUTED_VALUE"""),44847)</f>
        <v>44847</v>
      </c>
      <c r="C8281" t="str">
        <f ca="1">IFERROR(__xludf.DUMMYFUNCTION("""COMPUTED_VALUE"""),"ЗАО ""ЭКОС"" 115-СТР от 01.01.2022")</f>
        <v>ЗАО "ЭКОС" 115-СТР от 01.01.2022</v>
      </c>
      <c r="D828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1" t="str">
        <f ca="1">IFERROR(__xludf.DUMMYFUNCTION("""COMPUTED_VALUE"""),"Новый")</f>
        <v>Новый</v>
      </c>
      <c r="G8281" s="68"/>
      <c r="K8281" s="68"/>
    </row>
    <row r="8282" spans="1:11" ht="12.75">
      <c r="A8282" s="69">
        <f ca="1">IFERROR(__xludf.DUMMYFUNCTION("""COMPUTED_VALUE"""),109964)</f>
        <v>109964</v>
      </c>
      <c r="B8282" s="4">
        <f ca="1">IFERROR(__xludf.DUMMYFUNCTION("""COMPUTED_VALUE"""),44847)</f>
        <v>44847</v>
      </c>
      <c r="C8282" t="str">
        <f ca="1">IFERROR(__xludf.DUMMYFUNCTION("""COMPUTED_VALUE"""),"ЗАО ""ЭКОС"" 115-СТР от 01.01.2022")</f>
        <v>ЗАО "ЭКОС" 115-СТР от 01.01.2022</v>
      </c>
      <c r="D828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2" t="str">
        <f ca="1">IFERROR(__xludf.DUMMYFUNCTION("""COMPUTED_VALUE"""),"Новый")</f>
        <v>Новый</v>
      </c>
      <c r="G8282" s="68"/>
      <c r="K8282" s="68"/>
    </row>
    <row r="8283" spans="1:11" ht="12.75">
      <c r="A8283" s="69">
        <f ca="1">IFERROR(__xludf.DUMMYFUNCTION("""COMPUTED_VALUE"""),109965)</f>
        <v>109965</v>
      </c>
      <c r="B8283" s="4">
        <f ca="1">IFERROR(__xludf.DUMMYFUNCTION("""COMPUTED_VALUE"""),44847)</f>
        <v>44847</v>
      </c>
      <c r="C8283" t="str">
        <f ca="1">IFERROR(__xludf.DUMMYFUNCTION("""COMPUTED_VALUE"""),"ЗАО ""ЭКОС"" 115-СТР от 01.01.2022")</f>
        <v>ЗАО "ЭКОС" 115-СТР от 01.01.2022</v>
      </c>
      <c r="D828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3" t="str">
        <f ca="1">IFERROR(__xludf.DUMMYFUNCTION("""COMPUTED_VALUE"""),"Новый")</f>
        <v>Новый</v>
      </c>
      <c r="G8283" s="68"/>
      <c r="K8283" s="68"/>
    </row>
    <row r="8284" spans="1:11" ht="12.75">
      <c r="A8284" s="69">
        <f ca="1">IFERROR(__xludf.DUMMYFUNCTION("""COMPUTED_VALUE"""),109966)</f>
        <v>109966</v>
      </c>
      <c r="B8284" s="4">
        <f ca="1">IFERROR(__xludf.DUMMYFUNCTION("""COMPUTED_VALUE"""),44847)</f>
        <v>44847</v>
      </c>
      <c r="C8284" t="str">
        <f ca="1">IFERROR(__xludf.DUMMYFUNCTION("""COMPUTED_VALUE"""),"ЗАО ""ЭКОС"" 115-СТР от 01.01.2022")</f>
        <v>ЗАО "ЭКОС" 115-СТР от 01.01.2022</v>
      </c>
      <c r="D828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4" t="str">
        <f ca="1">IFERROR(__xludf.DUMMYFUNCTION("""COMPUTED_VALUE"""),"Новый")</f>
        <v>Новый</v>
      </c>
      <c r="G8284" s="68"/>
      <c r="K8284" s="68"/>
    </row>
    <row r="8285" spans="1:11" ht="12.75">
      <c r="A8285" s="69">
        <f ca="1">IFERROR(__xludf.DUMMYFUNCTION("""COMPUTED_VALUE"""),109967)</f>
        <v>109967</v>
      </c>
      <c r="B8285" s="4">
        <f ca="1">IFERROR(__xludf.DUMMYFUNCTION("""COMPUTED_VALUE"""),44847)</f>
        <v>44847</v>
      </c>
      <c r="C8285" t="str">
        <f ca="1">IFERROR(__xludf.DUMMYFUNCTION("""COMPUTED_VALUE"""),"ЗАО ""ЭКОС"" 115-СТР от 01.01.2022")</f>
        <v>ЗАО "ЭКОС" 115-СТР от 01.01.2022</v>
      </c>
      <c r="D828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5" t="str">
        <f ca="1">IFERROR(__xludf.DUMMYFUNCTION("""COMPUTED_VALUE"""),"Новый")</f>
        <v>Новый</v>
      </c>
      <c r="G8285" s="68"/>
      <c r="K8285" s="68"/>
    </row>
    <row r="8286" spans="1:11" ht="12.75">
      <c r="A8286" s="69">
        <f ca="1">IFERROR(__xludf.DUMMYFUNCTION("""COMPUTED_VALUE"""),109968)</f>
        <v>109968</v>
      </c>
      <c r="B8286" s="4">
        <f ca="1">IFERROR(__xludf.DUMMYFUNCTION("""COMPUTED_VALUE"""),44847)</f>
        <v>44847</v>
      </c>
      <c r="C8286" t="str">
        <f ca="1">IFERROR(__xludf.DUMMYFUNCTION("""COMPUTED_VALUE"""),"ЗАО ""ЭКОС"" 115-СТР от 01.01.2022")</f>
        <v>ЗАО "ЭКОС" 115-СТР от 01.01.2022</v>
      </c>
      <c r="D828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6" t="str">
        <f ca="1">IFERROR(__xludf.DUMMYFUNCTION("""COMPUTED_VALUE"""),"Новый")</f>
        <v>Новый</v>
      </c>
      <c r="G8286" s="68"/>
      <c r="K8286" s="68"/>
    </row>
    <row r="8287" spans="1:11" ht="12.75">
      <c r="A8287" s="69">
        <f ca="1">IFERROR(__xludf.DUMMYFUNCTION("""COMPUTED_VALUE"""),109969)</f>
        <v>109969</v>
      </c>
      <c r="B8287" s="4">
        <f ca="1">IFERROR(__xludf.DUMMYFUNCTION("""COMPUTED_VALUE"""),44847)</f>
        <v>44847</v>
      </c>
      <c r="C8287" t="str">
        <f ca="1">IFERROR(__xludf.DUMMYFUNCTION("""COMPUTED_VALUE"""),"ЗАО ""ЭКОС"" 115-СТР от 01.01.2022")</f>
        <v>ЗАО "ЭКОС" 115-СТР от 01.01.2022</v>
      </c>
      <c r="D828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7" t="str">
        <f ca="1">IFERROR(__xludf.DUMMYFUNCTION("""COMPUTED_VALUE"""),"Новый")</f>
        <v>Новый</v>
      </c>
      <c r="G8287" s="68"/>
      <c r="K8287" s="68"/>
    </row>
    <row r="8288" spans="1:11" ht="12.75">
      <c r="A8288" s="69">
        <f ca="1">IFERROR(__xludf.DUMMYFUNCTION("""COMPUTED_VALUE"""),109970)</f>
        <v>109970</v>
      </c>
      <c r="B8288" s="4">
        <f ca="1">IFERROR(__xludf.DUMMYFUNCTION("""COMPUTED_VALUE"""),44847)</f>
        <v>44847</v>
      </c>
      <c r="C8288" t="str">
        <f ca="1">IFERROR(__xludf.DUMMYFUNCTION("""COMPUTED_VALUE"""),"ЗАО ""ЭКОС"" 115-СТР от 01.01.2022")</f>
        <v>ЗАО "ЭКОС" 115-СТР от 01.01.2022</v>
      </c>
      <c r="D828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8" t="str">
        <f ca="1">IFERROR(__xludf.DUMMYFUNCTION("""COMPUTED_VALUE"""),"Новый")</f>
        <v>Новый</v>
      </c>
      <c r="G8288" s="68"/>
      <c r="K8288" s="68"/>
    </row>
    <row r="8289" spans="1:11" ht="12.75">
      <c r="A8289" s="69">
        <f ca="1">IFERROR(__xludf.DUMMYFUNCTION("""COMPUTED_VALUE"""),109971)</f>
        <v>109971</v>
      </c>
      <c r="B8289" s="4">
        <f ca="1">IFERROR(__xludf.DUMMYFUNCTION("""COMPUTED_VALUE"""),44847)</f>
        <v>44847</v>
      </c>
      <c r="C8289" t="str">
        <f ca="1">IFERROR(__xludf.DUMMYFUNCTION("""COMPUTED_VALUE"""),"ЗАО ""ЭКОС"" 115-СТР от 01.01.2022")</f>
        <v>ЗАО "ЭКОС" 115-СТР от 01.01.2022</v>
      </c>
      <c r="D828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89" t="str">
        <f ca="1">IFERROR(__xludf.DUMMYFUNCTION("""COMPUTED_VALUE"""),"Новый")</f>
        <v>Новый</v>
      </c>
      <c r="G8289" s="68"/>
      <c r="K8289" s="68"/>
    </row>
    <row r="8290" spans="1:11" ht="12.75">
      <c r="A8290" s="69">
        <f ca="1">IFERROR(__xludf.DUMMYFUNCTION("""COMPUTED_VALUE"""),109972)</f>
        <v>109972</v>
      </c>
      <c r="B8290" s="4">
        <f ca="1">IFERROR(__xludf.DUMMYFUNCTION("""COMPUTED_VALUE"""),44847)</f>
        <v>44847</v>
      </c>
      <c r="C8290" t="str">
        <f ca="1">IFERROR(__xludf.DUMMYFUNCTION("""COMPUTED_VALUE"""),"ЗАО ""ЭКОС"" 115-СТР от 01.01.2022")</f>
        <v>ЗАО "ЭКОС" 115-СТР от 01.01.2022</v>
      </c>
      <c r="D829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0" t="str">
        <f ca="1">IFERROR(__xludf.DUMMYFUNCTION("""COMPUTED_VALUE"""),"Новый")</f>
        <v>Новый</v>
      </c>
      <c r="G8290" s="68"/>
      <c r="K8290" s="68"/>
    </row>
    <row r="8291" spans="1:11" ht="12.75">
      <c r="A8291" s="69">
        <f ca="1">IFERROR(__xludf.DUMMYFUNCTION("""COMPUTED_VALUE"""),109973)</f>
        <v>109973</v>
      </c>
      <c r="B8291" s="4">
        <f ca="1">IFERROR(__xludf.DUMMYFUNCTION("""COMPUTED_VALUE"""),44847)</f>
        <v>44847</v>
      </c>
      <c r="C8291" t="str">
        <f ca="1">IFERROR(__xludf.DUMMYFUNCTION("""COMPUTED_VALUE"""),"ЗАО ""ЭКОС"" 115-СТР от 01.01.2022")</f>
        <v>ЗАО "ЭКОС" 115-СТР от 01.01.2022</v>
      </c>
      <c r="D829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1" t="str">
        <f ca="1">IFERROR(__xludf.DUMMYFUNCTION("""COMPUTED_VALUE"""),"Новый")</f>
        <v>Новый</v>
      </c>
      <c r="G8291" s="68"/>
      <c r="K8291" s="68"/>
    </row>
    <row r="8292" spans="1:11" ht="12.75">
      <c r="A8292" s="69">
        <f ca="1">IFERROR(__xludf.DUMMYFUNCTION("""COMPUTED_VALUE"""),109974)</f>
        <v>109974</v>
      </c>
      <c r="B8292" s="4">
        <f ca="1">IFERROR(__xludf.DUMMYFUNCTION("""COMPUTED_VALUE"""),44847)</f>
        <v>44847</v>
      </c>
      <c r="C8292" t="str">
        <f ca="1">IFERROR(__xludf.DUMMYFUNCTION("""COMPUTED_VALUE"""),"ЗАО ""ЭКОС"" 115-СТР от 01.01.2022")</f>
        <v>ЗАО "ЭКОС" 115-СТР от 01.01.2022</v>
      </c>
      <c r="D829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2" t="str">
        <f ca="1">IFERROR(__xludf.DUMMYFUNCTION("""COMPUTED_VALUE"""),"Новый")</f>
        <v>Новый</v>
      </c>
      <c r="G8292" s="68"/>
      <c r="K8292" s="68"/>
    </row>
    <row r="8293" spans="1:11" ht="12.75">
      <c r="A8293" s="69">
        <f ca="1">IFERROR(__xludf.DUMMYFUNCTION("""COMPUTED_VALUE"""),109975)</f>
        <v>109975</v>
      </c>
      <c r="B8293" s="4">
        <f ca="1">IFERROR(__xludf.DUMMYFUNCTION("""COMPUTED_VALUE"""),44847)</f>
        <v>44847</v>
      </c>
      <c r="C8293" t="str">
        <f ca="1">IFERROR(__xludf.DUMMYFUNCTION("""COMPUTED_VALUE"""),"ЗАО ""ЭКОС"" 115-СТР от 01.01.2022")</f>
        <v>ЗАО "ЭКОС" 115-СТР от 01.01.2022</v>
      </c>
      <c r="D829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3" t="str">
        <f ca="1">IFERROR(__xludf.DUMMYFUNCTION("""COMPUTED_VALUE"""),"Новый")</f>
        <v>Новый</v>
      </c>
      <c r="G8293" s="68"/>
      <c r="K8293" s="68"/>
    </row>
    <row r="8294" spans="1:11" ht="12.75">
      <c r="A8294" s="69">
        <f ca="1">IFERROR(__xludf.DUMMYFUNCTION("""COMPUTED_VALUE"""),109976)</f>
        <v>109976</v>
      </c>
      <c r="B8294" s="4">
        <f ca="1">IFERROR(__xludf.DUMMYFUNCTION("""COMPUTED_VALUE"""),44847)</f>
        <v>44847</v>
      </c>
      <c r="C8294" t="str">
        <f ca="1">IFERROR(__xludf.DUMMYFUNCTION("""COMPUTED_VALUE"""),"ЗАО ""ЭКОС"" 115-СТР от 01.01.2022")</f>
        <v>ЗАО "ЭКОС" 115-СТР от 01.01.2022</v>
      </c>
      <c r="D829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4" t="str">
        <f ca="1">IFERROR(__xludf.DUMMYFUNCTION("""COMPUTED_VALUE"""),"Новый")</f>
        <v>Новый</v>
      </c>
      <c r="G8294" s="68"/>
      <c r="K8294" s="68"/>
    </row>
    <row r="8295" spans="1:11" ht="12.75">
      <c r="A8295" s="69">
        <f ca="1">IFERROR(__xludf.DUMMYFUNCTION("""COMPUTED_VALUE"""),109977)</f>
        <v>109977</v>
      </c>
      <c r="B8295" s="4">
        <f ca="1">IFERROR(__xludf.DUMMYFUNCTION("""COMPUTED_VALUE"""),44847)</f>
        <v>44847</v>
      </c>
      <c r="C8295" t="str">
        <f ca="1">IFERROR(__xludf.DUMMYFUNCTION("""COMPUTED_VALUE"""),"ЗАО ""ЭКОС"" 115-СТР от 01.01.2022")</f>
        <v>ЗАО "ЭКОС" 115-СТР от 01.01.2022</v>
      </c>
      <c r="D829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5" t="str">
        <f ca="1">IFERROR(__xludf.DUMMYFUNCTION("""COMPUTED_VALUE"""),"Новый")</f>
        <v>Новый</v>
      </c>
      <c r="G8295" s="68"/>
      <c r="K8295" s="68"/>
    </row>
    <row r="8296" spans="1:11" ht="12.75">
      <c r="A8296" s="69">
        <f ca="1">IFERROR(__xludf.DUMMYFUNCTION("""COMPUTED_VALUE"""),109978)</f>
        <v>109978</v>
      </c>
      <c r="B8296" s="4">
        <f ca="1">IFERROR(__xludf.DUMMYFUNCTION("""COMPUTED_VALUE"""),44847)</f>
        <v>44847</v>
      </c>
      <c r="C8296" t="str">
        <f ca="1">IFERROR(__xludf.DUMMYFUNCTION("""COMPUTED_VALUE"""),"ЗАО ""ЭКОС"" 115-СТР от 01.01.2022")</f>
        <v>ЗАО "ЭКОС" 115-СТР от 01.01.2022</v>
      </c>
      <c r="D829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6" t="str">
        <f ca="1">IFERROR(__xludf.DUMMYFUNCTION("""COMPUTED_VALUE"""),"Новый")</f>
        <v>Новый</v>
      </c>
      <c r="G8296" s="68"/>
      <c r="K8296" s="68"/>
    </row>
    <row r="8297" spans="1:11" ht="12.75">
      <c r="A8297" s="69">
        <f ca="1">IFERROR(__xludf.DUMMYFUNCTION("""COMPUTED_VALUE"""),109979)</f>
        <v>109979</v>
      </c>
      <c r="B8297" s="4">
        <f ca="1">IFERROR(__xludf.DUMMYFUNCTION("""COMPUTED_VALUE"""),44847)</f>
        <v>44847</v>
      </c>
      <c r="C8297" t="str">
        <f ca="1">IFERROR(__xludf.DUMMYFUNCTION("""COMPUTED_VALUE"""),"ЗАО ""ЭКОС"" 115-СТР от 01.01.2022")</f>
        <v>ЗАО "ЭКОС" 115-СТР от 01.01.2022</v>
      </c>
      <c r="D829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7" t="str">
        <f ca="1">IFERROR(__xludf.DUMMYFUNCTION("""COMPUTED_VALUE"""),"Новый")</f>
        <v>Новый</v>
      </c>
      <c r="G8297" s="68"/>
      <c r="K8297" s="68"/>
    </row>
    <row r="8298" spans="1:11" ht="12.75">
      <c r="A8298" s="69">
        <f ca="1">IFERROR(__xludf.DUMMYFUNCTION("""COMPUTED_VALUE"""),109980)</f>
        <v>109980</v>
      </c>
      <c r="B8298" s="4">
        <f ca="1">IFERROR(__xludf.DUMMYFUNCTION("""COMPUTED_VALUE"""),44847)</f>
        <v>44847</v>
      </c>
      <c r="C8298" t="str">
        <f ca="1">IFERROR(__xludf.DUMMYFUNCTION("""COMPUTED_VALUE"""),"ЗАО ""ЭКОС"" 115-СТР от 01.01.2022")</f>
        <v>ЗАО "ЭКОС" 115-СТР от 01.01.2022</v>
      </c>
      <c r="D829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8" t="str">
        <f ca="1">IFERROR(__xludf.DUMMYFUNCTION("""COMPUTED_VALUE"""),"Новый")</f>
        <v>Новый</v>
      </c>
      <c r="G8298" s="68"/>
      <c r="K8298" s="68"/>
    </row>
    <row r="8299" spans="1:11" ht="12.75">
      <c r="A8299" s="69">
        <f ca="1">IFERROR(__xludf.DUMMYFUNCTION("""COMPUTED_VALUE"""),109981)</f>
        <v>109981</v>
      </c>
      <c r="B8299" s="4">
        <f ca="1">IFERROR(__xludf.DUMMYFUNCTION("""COMPUTED_VALUE"""),44847)</f>
        <v>44847</v>
      </c>
      <c r="C8299" t="str">
        <f ca="1">IFERROR(__xludf.DUMMYFUNCTION("""COMPUTED_VALUE"""),"ЗАО ""ЭКОС"" 115-СТР от 01.01.2022")</f>
        <v>ЗАО "ЭКОС" 115-СТР от 01.01.2022</v>
      </c>
      <c r="D829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299" t="str">
        <f ca="1">IFERROR(__xludf.DUMMYFUNCTION("""COMPUTED_VALUE"""),"Новый")</f>
        <v>Новый</v>
      </c>
      <c r="G8299" s="68"/>
      <c r="K8299" s="68"/>
    </row>
    <row r="8300" spans="1:11" ht="12.75">
      <c r="A8300" s="69">
        <f ca="1">IFERROR(__xludf.DUMMYFUNCTION("""COMPUTED_VALUE"""),109982)</f>
        <v>109982</v>
      </c>
      <c r="B8300" s="4">
        <f ca="1">IFERROR(__xludf.DUMMYFUNCTION("""COMPUTED_VALUE"""),44847)</f>
        <v>44847</v>
      </c>
      <c r="C8300" t="str">
        <f ca="1">IFERROR(__xludf.DUMMYFUNCTION("""COMPUTED_VALUE"""),"ЗАО ""ЭКОС"" 115-СТР от 01.01.2022")</f>
        <v>ЗАО "ЭКОС" 115-СТР от 01.01.2022</v>
      </c>
      <c r="D830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0" t="str">
        <f ca="1">IFERROR(__xludf.DUMMYFUNCTION("""COMPUTED_VALUE"""),"Новый")</f>
        <v>Новый</v>
      </c>
      <c r="G8300" s="68"/>
      <c r="K8300" s="68"/>
    </row>
    <row r="8301" spans="1:11" ht="12.75">
      <c r="A8301" s="69">
        <f ca="1">IFERROR(__xludf.DUMMYFUNCTION("""COMPUTED_VALUE"""),109983)</f>
        <v>109983</v>
      </c>
      <c r="B8301" s="4">
        <f ca="1">IFERROR(__xludf.DUMMYFUNCTION("""COMPUTED_VALUE"""),44847)</f>
        <v>44847</v>
      </c>
      <c r="C8301" t="str">
        <f ca="1">IFERROR(__xludf.DUMMYFUNCTION("""COMPUTED_VALUE"""),"ЗАО ""ЭКОС"" 115-СТР от 01.01.2022")</f>
        <v>ЗАО "ЭКОС" 115-СТР от 01.01.2022</v>
      </c>
      <c r="D830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1" t="str">
        <f ca="1">IFERROR(__xludf.DUMMYFUNCTION("""COMPUTED_VALUE"""),"Новый")</f>
        <v>Новый</v>
      </c>
      <c r="G8301" s="68"/>
      <c r="K8301" s="68"/>
    </row>
    <row r="8302" spans="1:11" ht="12.75">
      <c r="A8302" s="69">
        <f ca="1">IFERROR(__xludf.DUMMYFUNCTION("""COMPUTED_VALUE"""),109984)</f>
        <v>109984</v>
      </c>
      <c r="B8302" s="4">
        <f ca="1">IFERROR(__xludf.DUMMYFUNCTION("""COMPUTED_VALUE"""),44847)</f>
        <v>44847</v>
      </c>
      <c r="C8302" t="str">
        <f ca="1">IFERROR(__xludf.DUMMYFUNCTION("""COMPUTED_VALUE"""),"ЗАО ""ЭКОС"" 115-СТР от 01.01.2022")</f>
        <v>ЗАО "ЭКОС" 115-СТР от 01.01.2022</v>
      </c>
      <c r="D830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2" t="str">
        <f ca="1">IFERROR(__xludf.DUMMYFUNCTION("""COMPUTED_VALUE"""),"Новый")</f>
        <v>Новый</v>
      </c>
      <c r="G8302" s="68"/>
      <c r="K8302" s="68"/>
    </row>
    <row r="8303" spans="1:11" ht="12.75">
      <c r="A8303" s="69">
        <f ca="1">IFERROR(__xludf.DUMMYFUNCTION("""COMPUTED_VALUE"""),109985)</f>
        <v>109985</v>
      </c>
      <c r="B8303" s="4">
        <f ca="1">IFERROR(__xludf.DUMMYFUNCTION("""COMPUTED_VALUE"""),44847)</f>
        <v>44847</v>
      </c>
      <c r="C8303" t="str">
        <f ca="1">IFERROR(__xludf.DUMMYFUNCTION("""COMPUTED_VALUE"""),"ЗАО ""ЭКОС"" 115-СТР от 01.01.2022")</f>
        <v>ЗАО "ЭКОС" 115-СТР от 01.01.2022</v>
      </c>
      <c r="D830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3" t="str">
        <f ca="1">IFERROR(__xludf.DUMMYFUNCTION("""COMPUTED_VALUE"""),"Новый")</f>
        <v>Новый</v>
      </c>
      <c r="G8303" s="68"/>
      <c r="K8303" s="68"/>
    </row>
    <row r="8304" spans="1:11" ht="12.75">
      <c r="A8304" s="69">
        <f ca="1">IFERROR(__xludf.DUMMYFUNCTION("""COMPUTED_VALUE"""),109986)</f>
        <v>109986</v>
      </c>
      <c r="B8304" s="4">
        <f ca="1">IFERROR(__xludf.DUMMYFUNCTION("""COMPUTED_VALUE"""),44847)</f>
        <v>44847</v>
      </c>
      <c r="C8304" t="str">
        <f ca="1">IFERROR(__xludf.DUMMYFUNCTION("""COMPUTED_VALUE"""),"ЗАО ""ЭКОС"" 115-СТР от 01.01.2022")</f>
        <v>ЗАО "ЭКОС" 115-СТР от 01.01.2022</v>
      </c>
      <c r="D830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4" t="str">
        <f ca="1">IFERROR(__xludf.DUMMYFUNCTION("""COMPUTED_VALUE"""),"Новый")</f>
        <v>Новый</v>
      </c>
      <c r="G8304" s="68"/>
      <c r="K8304" s="68"/>
    </row>
    <row r="8305" spans="1:11" ht="12.75">
      <c r="A8305" s="69">
        <f ca="1">IFERROR(__xludf.DUMMYFUNCTION("""COMPUTED_VALUE"""),109987)</f>
        <v>109987</v>
      </c>
      <c r="B8305" s="4">
        <f ca="1">IFERROR(__xludf.DUMMYFUNCTION("""COMPUTED_VALUE"""),44847)</f>
        <v>44847</v>
      </c>
      <c r="C8305" t="str">
        <f ca="1">IFERROR(__xludf.DUMMYFUNCTION("""COMPUTED_VALUE"""),"ЗАО ""ЭКОС"" 115-СТР от 01.01.2022")</f>
        <v>ЗАО "ЭКОС" 115-СТР от 01.01.2022</v>
      </c>
      <c r="D830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5" t="str">
        <f ca="1">IFERROR(__xludf.DUMMYFUNCTION("""COMPUTED_VALUE"""),"Новый")</f>
        <v>Новый</v>
      </c>
      <c r="G8305" s="68"/>
      <c r="K8305" s="68"/>
    </row>
    <row r="8306" spans="1:11" ht="12.75">
      <c r="A8306" s="69">
        <f ca="1">IFERROR(__xludf.DUMMYFUNCTION("""COMPUTED_VALUE"""),109988)</f>
        <v>109988</v>
      </c>
      <c r="B8306" s="4">
        <f ca="1">IFERROR(__xludf.DUMMYFUNCTION("""COMPUTED_VALUE"""),44847)</f>
        <v>44847</v>
      </c>
      <c r="C8306" t="str">
        <f ca="1">IFERROR(__xludf.DUMMYFUNCTION("""COMPUTED_VALUE"""),"ЗАО ""ЭКОС"" 115-СТР от 01.01.2022")</f>
        <v>ЗАО "ЭКОС" 115-СТР от 01.01.2022</v>
      </c>
      <c r="D830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6" t="str">
        <f ca="1">IFERROR(__xludf.DUMMYFUNCTION("""COMPUTED_VALUE"""),"Новый")</f>
        <v>Новый</v>
      </c>
      <c r="G8306" s="68"/>
      <c r="K8306" s="68"/>
    </row>
    <row r="8307" spans="1:11" ht="12.75">
      <c r="A8307" s="69">
        <f ca="1">IFERROR(__xludf.DUMMYFUNCTION("""COMPUTED_VALUE"""),109989)</f>
        <v>109989</v>
      </c>
      <c r="B8307" s="4">
        <f ca="1">IFERROR(__xludf.DUMMYFUNCTION("""COMPUTED_VALUE"""),44847)</f>
        <v>44847</v>
      </c>
      <c r="C8307" t="str">
        <f ca="1">IFERROR(__xludf.DUMMYFUNCTION("""COMPUTED_VALUE"""),"ЗАО ""ЭКОС"" 115-СТР от 01.01.2022")</f>
        <v>ЗАО "ЭКОС" 115-СТР от 01.01.2022</v>
      </c>
      <c r="D830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7" t="str">
        <f ca="1">IFERROR(__xludf.DUMMYFUNCTION("""COMPUTED_VALUE"""),"Новый")</f>
        <v>Новый</v>
      </c>
      <c r="G8307" s="68"/>
      <c r="K8307" s="68"/>
    </row>
    <row r="8308" spans="1:11" ht="12.75">
      <c r="A8308" s="69">
        <f ca="1">IFERROR(__xludf.DUMMYFUNCTION("""COMPUTED_VALUE"""),109990)</f>
        <v>109990</v>
      </c>
      <c r="B8308" s="4">
        <f ca="1">IFERROR(__xludf.DUMMYFUNCTION("""COMPUTED_VALUE"""),44847)</f>
        <v>44847</v>
      </c>
      <c r="C8308" t="str">
        <f ca="1">IFERROR(__xludf.DUMMYFUNCTION("""COMPUTED_VALUE"""),"ЗАО ""ЭКОС"" 115-СТР от 01.01.2022")</f>
        <v>ЗАО "ЭКОС" 115-СТР от 01.01.2022</v>
      </c>
      <c r="D830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8" t="str">
        <f ca="1">IFERROR(__xludf.DUMMYFUNCTION("""COMPUTED_VALUE"""),"Новый")</f>
        <v>Новый</v>
      </c>
      <c r="G8308" s="68"/>
      <c r="K8308" s="68"/>
    </row>
    <row r="8309" spans="1:11" ht="12.75">
      <c r="A8309" s="69">
        <f ca="1">IFERROR(__xludf.DUMMYFUNCTION("""COMPUTED_VALUE"""),109991)</f>
        <v>109991</v>
      </c>
      <c r="B8309" s="4">
        <f ca="1">IFERROR(__xludf.DUMMYFUNCTION("""COMPUTED_VALUE"""),44847)</f>
        <v>44847</v>
      </c>
      <c r="C8309" t="str">
        <f ca="1">IFERROR(__xludf.DUMMYFUNCTION("""COMPUTED_VALUE"""),"ЗАО ""ЭКОС"" 115-СТР от 01.01.2022")</f>
        <v>ЗАО "ЭКОС" 115-СТР от 01.01.2022</v>
      </c>
      <c r="D830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09" t="str">
        <f ca="1">IFERROR(__xludf.DUMMYFUNCTION("""COMPUTED_VALUE"""),"Новый")</f>
        <v>Новый</v>
      </c>
      <c r="G8309" s="68"/>
      <c r="K8309" s="68"/>
    </row>
    <row r="8310" spans="1:11" ht="12.75">
      <c r="A8310" s="69">
        <f ca="1">IFERROR(__xludf.DUMMYFUNCTION("""COMPUTED_VALUE"""),109992)</f>
        <v>109992</v>
      </c>
      <c r="B8310" s="4">
        <f ca="1">IFERROR(__xludf.DUMMYFUNCTION("""COMPUTED_VALUE"""),44847)</f>
        <v>44847</v>
      </c>
      <c r="C8310" t="str">
        <f ca="1">IFERROR(__xludf.DUMMYFUNCTION("""COMPUTED_VALUE"""),"ЗАО ""ЭКОС"" 115-СТР от 01.01.2022")</f>
        <v>ЗАО "ЭКОС" 115-СТР от 01.01.2022</v>
      </c>
      <c r="D831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0" t="str">
        <f ca="1">IFERROR(__xludf.DUMMYFUNCTION("""COMPUTED_VALUE"""),"Новый")</f>
        <v>Новый</v>
      </c>
      <c r="G8310" s="68"/>
      <c r="K8310" s="68"/>
    </row>
    <row r="8311" spans="1:11" ht="12.75">
      <c r="A8311" s="69">
        <f ca="1">IFERROR(__xludf.DUMMYFUNCTION("""COMPUTED_VALUE"""),109993)</f>
        <v>109993</v>
      </c>
      <c r="B8311" s="4">
        <f ca="1">IFERROR(__xludf.DUMMYFUNCTION("""COMPUTED_VALUE"""),44847)</f>
        <v>44847</v>
      </c>
      <c r="C8311" t="str">
        <f ca="1">IFERROR(__xludf.DUMMYFUNCTION("""COMPUTED_VALUE"""),"ЗАО ""ЭКОС"" 115-СТР от 01.01.2022")</f>
        <v>ЗАО "ЭКОС" 115-СТР от 01.01.2022</v>
      </c>
      <c r="D831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1" t="str">
        <f ca="1">IFERROR(__xludf.DUMMYFUNCTION("""COMPUTED_VALUE"""),"Новый")</f>
        <v>Новый</v>
      </c>
      <c r="G8311" s="68"/>
      <c r="K8311" s="68"/>
    </row>
    <row r="8312" spans="1:11" ht="12.75">
      <c r="A8312" s="69">
        <f ca="1">IFERROR(__xludf.DUMMYFUNCTION("""COMPUTED_VALUE"""),109994)</f>
        <v>109994</v>
      </c>
      <c r="B8312" s="4">
        <f ca="1">IFERROR(__xludf.DUMMYFUNCTION("""COMPUTED_VALUE"""),44847)</f>
        <v>44847</v>
      </c>
      <c r="C8312" t="str">
        <f ca="1">IFERROR(__xludf.DUMMYFUNCTION("""COMPUTED_VALUE"""),"ЗАО ""ЭКОС"" 115-СТР от 01.01.2022")</f>
        <v>ЗАО "ЭКОС" 115-СТР от 01.01.2022</v>
      </c>
      <c r="D831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2" t="str">
        <f ca="1">IFERROR(__xludf.DUMMYFUNCTION("""COMPUTED_VALUE"""),"Новый")</f>
        <v>Новый</v>
      </c>
      <c r="G8312" s="68"/>
      <c r="K8312" s="68"/>
    </row>
    <row r="8313" spans="1:11" ht="12.75">
      <c r="A8313" s="69">
        <f ca="1">IFERROR(__xludf.DUMMYFUNCTION("""COMPUTED_VALUE"""),109995)</f>
        <v>109995</v>
      </c>
      <c r="B8313" s="4">
        <f ca="1">IFERROR(__xludf.DUMMYFUNCTION("""COMPUTED_VALUE"""),44847)</f>
        <v>44847</v>
      </c>
      <c r="C8313" t="str">
        <f ca="1">IFERROR(__xludf.DUMMYFUNCTION("""COMPUTED_VALUE"""),"ЗАО ""ЭКОС"" 115-СТР от 01.01.2022")</f>
        <v>ЗАО "ЭКОС" 115-СТР от 01.01.2022</v>
      </c>
      <c r="D831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3" t="str">
        <f ca="1">IFERROR(__xludf.DUMMYFUNCTION("""COMPUTED_VALUE"""),"Новый")</f>
        <v>Новый</v>
      </c>
      <c r="G8313" s="68"/>
      <c r="K8313" s="68"/>
    </row>
    <row r="8314" spans="1:11" ht="12.75">
      <c r="A8314" s="69">
        <f ca="1">IFERROR(__xludf.DUMMYFUNCTION("""COMPUTED_VALUE"""),109996)</f>
        <v>109996</v>
      </c>
      <c r="B8314" s="4">
        <f ca="1">IFERROR(__xludf.DUMMYFUNCTION("""COMPUTED_VALUE"""),44847)</f>
        <v>44847</v>
      </c>
      <c r="C8314" t="str">
        <f ca="1">IFERROR(__xludf.DUMMYFUNCTION("""COMPUTED_VALUE"""),"ЗАО ""ЭКОС"" 115-СТР от 01.01.2022")</f>
        <v>ЗАО "ЭКОС" 115-СТР от 01.01.2022</v>
      </c>
      <c r="D831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4" t="str">
        <f ca="1">IFERROR(__xludf.DUMMYFUNCTION("""COMPUTED_VALUE"""),"Новый")</f>
        <v>Новый</v>
      </c>
      <c r="G8314" s="68"/>
      <c r="K8314" s="68"/>
    </row>
    <row r="8315" spans="1:11" ht="12.75">
      <c r="A8315" s="69">
        <f ca="1">IFERROR(__xludf.DUMMYFUNCTION("""COMPUTED_VALUE"""),109997)</f>
        <v>109997</v>
      </c>
      <c r="B8315" s="4">
        <f ca="1">IFERROR(__xludf.DUMMYFUNCTION("""COMPUTED_VALUE"""),44847)</f>
        <v>44847</v>
      </c>
      <c r="C8315" t="str">
        <f ca="1">IFERROR(__xludf.DUMMYFUNCTION("""COMPUTED_VALUE"""),"ЗАО ""ЭКОС"" 115-СТР от 01.01.2022")</f>
        <v>ЗАО "ЭКОС" 115-СТР от 01.01.2022</v>
      </c>
      <c r="D831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15" t="str">
        <f ca="1">IFERROR(__xludf.DUMMYFUNCTION("""COMPUTED_VALUE"""),"Новый")</f>
        <v>Новый</v>
      </c>
      <c r="G8315" s="68"/>
      <c r="K8315" s="68"/>
    </row>
    <row r="8316" spans="1:11" ht="12.75">
      <c r="A8316" s="69">
        <f ca="1">IFERROR(__xludf.DUMMYFUNCTION("""COMPUTED_VALUE"""),109998)</f>
        <v>109998</v>
      </c>
      <c r="B8316" s="4">
        <f ca="1">IFERROR(__xludf.DUMMYFUNCTION("""COMPUTED_VALUE"""),44847)</f>
        <v>44847</v>
      </c>
      <c r="C8316" t="str">
        <f ca="1">IFERROR(__xludf.DUMMYFUNCTION("""COMPUTED_VALUE"""),"ЗАО ""ЭКОС"" 115-СТР от 01.01.2022")</f>
        <v>ЗАО "ЭКОС" 115-СТР от 01.01.2022</v>
      </c>
      <c r="D8316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16" t="str">
        <f ca="1">IFERROR(__xludf.DUMMYFUNCTION("""COMPUTED_VALUE"""),"Новый")</f>
        <v>Новый</v>
      </c>
      <c r="G8316" s="68"/>
      <c r="K8316" s="68"/>
    </row>
    <row r="8317" spans="1:11" ht="12.75">
      <c r="A8317" s="69">
        <f ca="1">IFERROR(__xludf.DUMMYFUNCTION("""COMPUTED_VALUE"""),109999)</f>
        <v>109999</v>
      </c>
      <c r="B8317" s="4">
        <f ca="1">IFERROR(__xludf.DUMMYFUNCTION("""COMPUTED_VALUE"""),44847)</f>
        <v>44847</v>
      </c>
      <c r="C8317" t="str">
        <f ca="1">IFERROR(__xludf.DUMMYFUNCTION("""COMPUTED_VALUE"""),"ЗАО ""ЭКОС"" 115-СТР от 01.01.2022")</f>
        <v>ЗАО "ЭКОС" 115-СТР от 01.01.2022</v>
      </c>
      <c r="D8317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17" t="str">
        <f ca="1">IFERROR(__xludf.DUMMYFUNCTION("""COMPUTED_VALUE"""),"Новый")</f>
        <v>Новый</v>
      </c>
      <c r="G8317" s="68"/>
      <c r="K8317" s="68"/>
    </row>
    <row r="8318" spans="1:11" ht="12.75">
      <c r="A8318" s="69">
        <f ca="1">IFERROR(__xludf.DUMMYFUNCTION("""COMPUTED_VALUE"""),110000)</f>
        <v>110000</v>
      </c>
      <c r="B8318" s="4">
        <f ca="1">IFERROR(__xludf.DUMMYFUNCTION("""COMPUTED_VALUE"""),44847)</f>
        <v>44847</v>
      </c>
      <c r="C8318" t="str">
        <f ca="1">IFERROR(__xludf.DUMMYFUNCTION("""COMPUTED_VALUE"""),"ЗАО ""ЭКОС"" 115-СТР от 01.01.2022")</f>
        <v>ЗАО "ЭКОС" 115-СТР от 01.01.2022</v>
      </c>
      <c r="D8318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18" t="str">
        <f ca="1">IFERROR(__xludf.DUMMYFUNCTION("""COMPUTED_VALUE"""),"Новый")</f>
        <v>Новый</v>
      </c>
      <c r="G8318" s="68"/>
      <c r="K8318" s="68"/>
    </row>
    <row r="8319" spans="1:11" ht="12.75">
      <c r="A8319" s="69">
        <f ca="1">IFERROR(__xludf.DUMMYFUNCTION("""COMPUTED_VALUE"""),110001)</f>
        <v>110001</v>
      </c>
      <c r="B8319" s="4">
        <f ca="1">IFERROR(__xludf.DUMMYFUNCTION("""COMPUTED_VALUE"""),44847)</f>
        <v>44847</v>
      </c>
      <c r="C8319" t="str">
        <f ca="1">IFERROR(__xludf.DUMMYFUNCTION("""COMPUTED_VALUE"""),"ЗАО ""ЭКОС"" 115-СТР от 01.01.2022")</f>
        <v>ЗАО "ЭКОС" 115-СТР от 01.01.2022</v>
      </c>
      <c r="D8319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19" t="str">
        <f ca="1">IFERROR(__xludf.DUMMYFUNCTION("""COMPUTED_VALUE"""),"Новый")</f>
        <v>Новый</v>
      </c>
      <c r="G8319" s="68"/>
      <c r="K8319" s="68"/>
    </row>
    <row r="8320" spans="1:11" ht="12.75">
      <c r="A8320" s="69">
        <f ca="1">IFERROR(__xludf.DUMMYFUNCTION("""COMPUTED_VALUE"""),110002)</f>
        <v>110002</v>
      </c>
      <c r="B8320" s="4">
        <f ca="1">IFERROR(__xludf.DUMMYFUNCTION("""COMPUTED_VALUE"""),44847)</f>
        <v>44847</v>
      </c>
      <c r="C8320" t="str">
        <f ca="1">IFERROR(__xludf.DUMMYFUNCTION("""COMPUTED_VALUE"""),"ЗАО ""ЭКОС"" 115-СТР от 01.01.2022")</f>
        <v>ЗАО "ЭКОС" 115-СТР от 01.01.2022</v>
      </c>
      <c r="D8320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0" t="str">
        <f ca="1">IFERROR(__xludf.DUMMYFUNCTION("""COMPUTED_VALUE"""),"Новый")</f>
        <v>Новый</v>
      </c>
      <c r="G8320" s="68"/>
      <c r="K8320" s="68"/>
    </row>
    <row r="8321" spans="1:11" ht="12.75">
      <c r="A8321" s="69">
        <f ca="1">IFERROR(__xludf.DUMMYFUNCTION("""COMPUTED_VALUE"""),110003)</f>
        <v>110003</v>
      </c>
      <c r="B8321" s="4">
        <f ca="1">IFERROR(__xludf.DUMMYFUNCTION("""COMPUTED_VALUE"""),44847)</f>
        <v>44847</v>
      </c>
      <c r="C8321" t="str">
        <f ca="1">IFERROR(__xludf.DUMMYFUNCTION("""COMPUTED_VALUE"""),"ЗАО ""ЭКОС"" 115-СТР от 01.01.2022")</f>
        <v>ЗАО "ЭКОС" 115-СТР от 01.01.2022</v>
      </c>
      <c r="D8321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1" t="str">
        <f ca="1">IFERROR(__xludf.DUMMYFUNCTION("""COMPUTED_VALUE"""),"Новый")</f>
        <v>Новый</v>
      </c>
      <c r="G8321" s="68"/>
      <c r="K8321" s="68"/>
    </row>
    <row r="8322" spans="1:11" ht="12.75">
      <c r="A8322" s="69">
        <f ca="1">IFERROR(__xludf.DUMMYFUNCTION("""COMPUTED_VALUE"""),110004)</f>
        <v>110004</v>
      </c>
      <c r="B8322" s="4">
        <f ca="1">IFERROR(__xludf.DUMMYFUNCTION("""COMPUTED_VALUE"""),44847)</f>
        <v>44847</v>
      </c>
      <c r="C8322" t="str">
        <f ca="1">IFERROR(__xludf.DUMMYFUNCTION("""COMPUTED_VALUE"""),"ЗАО ""ЭКОС"" 115-СТР от 01.01.2022")</f>
        <v>ЗАО "ЭКОС" 115-СТР от 01.01.2022</v>
      </c>
      <c r="D8322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2" t="str">
        <f ca="1">IFERROR(__xludf.DUMMYFUNCTION("""COMPUTED_VALUE"""),"Новый")</f>
        <v>Новый</v>
      </c>
      <c r="G8322" s="68"/>
      <c r="K8322" s="68"/>
    </row>
    <row r="8323" spans="1:11" ht="12.75">
      <c r="A8323" s="69">
        <f ca="1">IFERROR(__xludf.DUMMYFUNCTION("""COMPUTED_VALUE"""),110005)</f>
        <v>110005</v>
      </c>
      <c r="B8323" s="4">
        <f ca="1">IFERROR(__xludf.DUMMYFUNCTION("""COMPUTED_VALUE"""),44847)</f>
        <v>44847</v>
      </c>
      <c r="C8323" t="str">
        <f ca="1">IFERROR(__xludf.DUMMYFUNCTION("""COMPUTED_VALUE"""),"ЗАО ""ЭКОС"" 115-СТР от 01.01.2022")</f>
        <v>ЗАО "ЭКОС" 115-СТР от 01.01.2022</v>
      </c>
      <c r="D8323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3" t="str">
        <f ca="1">IFERROR(__xludf.DUMMYFUNCTION("""COMPUTED_VALUE"""),"Новый")</f>
        <v>Новый</v>
      </c>
      <c r="G8323" s="68"/>
      <c r="K8323" s="68"/>
    </row>
    <row r="8324" spans="1:11" ht="12.75">
      <c r="A8324" s="69">
        <f ca="1">IFERROR(__xludf.DUMMYFUNCTION("""COMPUTED_VALUE"""),110006)</f>
        <v>110006</v>
      </c>
      <c r="B8324" s="4">
        <f ca="1">IFERROR(__xludf.DUMMYFUNCTION("""COMPUTED_VALUE"""),44847)</f>
        <v>44847</v>
      </c>
      <c r="C8324" t="str">
        <f ca="1">IFERROR(__xludf.DUMMYFUNCTION("""COMPUTED_VALUE"""),"ЗАО ""ЭКОС"" 115-СТР от 01.01.2022")</f>
        <v>ЗАО "ЭКОС" 115-СТР от 01.01.2022</v>
      </c>
      <c r="D8324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4" t="str">
        <f ca="1">IFERROR(__xludf.DUMMYFUNCTION("""COMPUTED_VALUE"""),"Новый")</f>
        <v>Новый</v>
      </c>
      <c r="G8324" s="68"/>
      <c r="K8324" s="68"/>
    </row>
    <row r="8325" spans="1:11" ht="12.75">
      <c r="A8325" s="69">
        <f ca="1">IFERROR(__xludf.DUMMYFUNCTION("""COMPUTED_VALUE"""),110007)</f>
        <v>110007</v>
      </c>
      <c r="B8325" s="4">
        <f ca="1">IFERROR(__xludf.DUMMYFUNCTION("""COMPUTED_VALUE"""),44847)</f>
        <v>44847</v>
      </c>
      <c r="C8325" t="str">
        <f ca="1">IFERROR(__xludf.DUMMYFUNCTION("""COMPUTED_VALUE"""),"ЗАО ""ЭКОС"" 115-СТР от 01.01.2022")</f>
        <v>ЗАО "ЭКОС" 115-СТР от 01.01.2022</v>
      </c>
      <c r="D8325" s="67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E8325" t="str">
        <f ca="1">IFERROR(__xludf.DUMMYFUNCTION("""COMPUTED_VALUE"""),"Новый")</f>
        <v>Новый</v>
      </c>
      <c r="G8325" s="68"/>
      <c r="K8325" s="68"/>
    </row>
    <row r="8326" spans="1:11" ht="12.75">
      <c r="A8326" s="69">
        <f ca="1">IFERROR(__xludf.DUMMYFUNCTION("""COMPUTED_VALUE"""),110008)</f>
        <v>110008</v>
      </c>
      <c r="B8326" s="4">
        <f ca="1">IFERROR(__xludf.DUMMYFUNCTION("""COMPUTED_VALUE"""),44847)</f>
        <v>44847</v>
      </c>
      <c r="C8326" t="str">
        <f ca="1">IFERROR(__xludf.DUMMYFUNCTION("""COMPUTED_VALUE"""),"ООО ""ОМСКТЕХУГЛЕРОД"" 137-РДО от 25.04.2022")</f>
        <v>ООО "ОМСКТЕХУГЛЕРОД" 137-РДО от 25.04.2022</v>
      </c>
      <c r="D832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26" t="str">
        <f ca="1">IFERROR(__xludf.DUMMYFUNCTION("""COMPUTED_VALUE"""),"Новый")</f>
        <v>Новый</v>
      </c>
      <c r="G8326" s="68"/>
      <c r="K8326" s="68"/>
    </row>
    <row r="8327" spans="1:11" ht="12.75">
      <c r="A8327" s="69">
        <f ca="1">IFERROR(__xludf.DUMMYFUNCTION("""COMPUTED_VALUE"""),110009)</f>
        <v>110009</v>
      </c>
      <c r="B8327" s="4">
        <f ca="1">IFERROR(__xludf.DUMMYFUNCTION("""COMPUTED_VALUE"""),44847)</f>
        <v>44847</v>
      </c>
      <c r="C8327" t="str">
        <f ca="1">IFERROR(__xludf.DUMMYFUNCTION("""COMPUTED_VALUE"""),"ООО ""ОМСКТЕХУГЛЕРОД"" 137-РДО от 25.04.2022")</f>
        <v>ООО "ОМСКТЕХУГЛЕРОД" 137-РДО от 25.04.2022</v>
      </c>
      <c r="D832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27" t="str">
        <f ca="1">IFERROR(__xludf.DUMMYFUNCTION("""COMPUTED_VALUE"""),"Новый")</f>
        <v>Новый</v>
      </c>
      <c r="G8327" s="68"/>
      <c r="K8327" s="68"/>
    </row>
    <row r="8328" spans="1:11" ht="12.75">
      <c r="A8328" s="69">
        <f ca="1">IFERROR(__xludf.DUMMYFUNCTION("""COMPUTED_VALUE"""),110010)</f>
        <v>110010</v>
      </c>
      <c r="B8328" s="4">
        <f ca="1">IFERROR(__xludf.DUMMYFUNCTION("""COMPUTED_VALUE"""),44847)</f>
        <v>44847</v>
      </c>
      <c r="C8328" t="str">
        <f ca="1">IFERROR(__xludf.DUMMYFUNCTION("""COMPUTED_VALUE"""),"ООО ""ОМСКТЕХУГЛЕРОД"" 137-РДО от 25.04.2022")</f>
        <v>ООО "ОМСКТЕХУГЛЕРОД" 137-РДО от 25.04.2022</v>
      </c>
      <c r="D832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28" t="str">
        <f ca="1">IFERROR(__xludf.DUMMYFUNCTION("""COMPUTED_VALUE"""),"Новый")</f>
        <v>Новый</v>
      </c>
      <c r="G8328" s="68"/>
      <c r="K8328" s="68"/>
    </row>
    <row r="8329" spans="1:11" ht="12.75">
      <c r="A8329" s="69">
        <f ca="1">IFERROR(__xludf.DUMMYFUNCTION("""COMPUTED_VALUE"""),110011)</f>
        <v>110011</v>
      </c>
      <c r="B8329" s="4">
        <f ca="1">IFERROR(__xludf.DUMMYFUNCTION("""COMPUTED_VALUE"""),44847)</f>
        <v>44847</v>
      </c>
      <c r="C8329" t="str">
        <f ca="1">IFERROR(__xludf.DUMMYFUNCTION("""COMPUTED_VALUE"""),"ООО ""ОМСКТЕХУГЛЕРОД"" 137-РДО от 25.04.2022")</f>
        <v>ООО "ОМСКТЕХУГЛЕРОД" 137-РДО от 25.04.2022</v>
      </c>
      <c r="D832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29" t="str">
        <f ca="1">IFERROR(__xludf.DUMMYFUNCTION("""COMPUTED_VALUE"""),"Новый")</f>
        <v>Новый</v>
      </c>
      <c r="G8329" s="68"/>
      <c r="K8329" s="68"/>
    </row>
    <row r="8330" spans="1:11" ht="12.75">
      <c r="A8330" s="69">
        <f ca="1">IFERROR(__xludf.DUMMYFUNCTION("""COMPUTED_VALUE"""),110012)</f>
        <v>110012</v>
      </c>
      <c r="B8330" s="4">
        <f ca="1">IFERROR(__xludf.DUMMYFUNCTION("""COMPUTED_VALUE"""),44847)</f>
        <v>44847</v>
      </c>
      <c r="C8330" t="str">
        <f ca="1">IFERROR(__xludf.DUMMYFUNCTION("""COMPUTED_VALUE"""),"ООО ""ОМСКТЕХУГЛЕРОД"" 137-РДО от 25.04.2022")</f>
        <v>ООО "ОМСКТЕХУГЛЕРОД" 137-РДО от 25.04.2022</v>
      </c>
      <c r="D833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0" t="str">
        <f ca="1">IFERROR(__xludf.DUMMYFUNCTION("""COMPUTED_VALUE"""),"Новый")</f>
        <v>Новый</v>
      </c>
      <c r="G8330" s="68"/>
      <c r="K8330" s="68"/>
    </row>
    <row r="8331" spans="1:11" ht="12.75">
      <c r="A8331" s="69">
        <f ca="1">IFERROR(__xludf.DUMMYFUNCTION("""COMPUTED_VALUE"""),110013)</f>
        <v>110013</v>
      </c>
      <c r="B8331" s="4">
        <f ca="1">IFERROR(__xludf.DUMMYFUNCTION("""COMPUTED_VALUE"""),44847)</f>
        <v>44847</v>
      </c>
      <c r="C8331" t="str">
        <f ca="1">IFERROR(__xludf.DUMMYFUNCTION("""COMPUTED_VALUE"""),"ООО ""ОМСКТЕХУГЛЕРОД"" 137-РДО от 25.04.2022")</f>
        <v>ООО "ОМСКТЕХУГЛЕРОД" 137-РДО от 25.04.2022</v>
      </c>
      <c r="D833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1" t="str">
        <f ca="1">IFERROR(__xludf.DUMMYFUNCTION("""COMPUTED_VALUE"""),"Новый")</f>
        <v>Новый</v>
      </c>
      <c r="G8331" s="68"/>
      <c r="K8331" s="68"/>
    </row>
    <row r="8332" spans="1:11" ht="12.75">
      <c r="A8332" s="69">
        <f ca="1">IFERROR(__xludf.DUMMYFUNCTION("""COMPUTED_VALUE"""),110014)</f>
        <v>110014</v>
      </c>
      <c r="B8332" s="4">
        <f ca="1">IFERROR(__xludf.DUMMYFUNCTION("""COMPUTED_VALUE"""),44847)</f>
        <v>44847</v>
      </c>
      <c r="C8332" t="str">
        <f ca="1">IFERROR(__xludf.DUMMYFUNCTION("""COMPUTED_VALUE"""),"ООО ""ОМСКТЕХУГЛЕРОД"" 137-РДО от 25.04.2022")</f>
        <v>ООО "ОМСКТЕХУГЛЕРОД" 137-РДО от 25.04.2022</v>
      </c>
      <c r="D833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2" t="str">
        <f ca="1">IFERROR(__xludf.DUMMYFUNCTION("""COMPUTED_VALUE"""),"Новый")</f>
        <v>Новый</v>
      </c>
      <c r="G8332" s="68"/>
      <c r="K8332" s="68"/>
    </row>
    <row r="8333" spans="1:11" ht="12.75">
      <c r="A8333" s="69">
        <f ca="1">IFERROR(__xludf.DUMMYFUNCTION("""COMPUTED_VALUE"""),110015)</f>
        <v>110015</v>
      </c>
      <c r="B8333" s="4">
        <f ca="1">IFERROR(__xludf.DUMMYFUNCTION("""COMPUTED_VALUE"""),44847)</f>
        <v>44847</v>
      </c>
      <c r="C8333" t="str">
        <f ca="1">IFERROR(__xludf.DUMMYFUNCTION("""COMPUTED_VALUE"""),"ООО ""ОМСКТЕХУГЛЕРОД"" 137-РДО от 25.04.2022")</f>
        <v>ООО "ОМСКТЕХУГЛЕРОД" 137-РДО от 25.04.2022</v>
      </c>
      <c r="D833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3" t="str">
        <f ca="1">IFERROR(__xludf.DUMMYFUNCTION("""COMPUTED_VALUE"""),"Новый")</f>
        <v>Новый</v>
      </c>
      <c r="G8333" s="68"/>
      <c r="K8333" s="68"/>
    </row>
    <row r="8334" spans="1:11" ht="12.75">
      <c r="A8334" s="69">
        <f ca="1">IFERROR(__xludf.DUMMYFUNCTION("""COMPUTED_VALUE"""),110016)</f>
        <v>110016</v>
      </c>
      <c r="B8334" s="4">
        <f ca="1">IFERROR(__xludf.DUMMYFUNCTION("""COMPUTED_VALUE"""),44847)</f>
        <v>44847</v>
      </c>
      <c r="C8334" t="str">
        <f ca="1">IFERROR(__xludf.DUMMYFUNCTION("""COMPUTED_VALUE"""),"ООО ""ОМСКТЕХУГЛЕРОД"" 137-РДО от 25.04.2022")</f>
        <v>ООО "ОМСКТЕХУГЛЕРОД" 137-РДО от 25.04.2022</v>
      </c>
      <c r="D833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4" t="str">
        <f ca="1">IFERROR(__xludf.DUMMYFUNCTION("""COMPUTED_VALUE"""),"Новый")</f>
        <v>Новый</v>
      </c>
      <c r="G8334" s="68"/>
      <c r="K8334" s="68"/>
    </row>
    <row r="8335" spans="1:11" ht="12.75">
      <c r="A8335" s="69">
        <f ca="1">IFERROR(__xludf.DUMMYFUNCTION("""COMPUTED_VALUE"""),110017)</f>
        <v>110017</v>
      </c>
      <c r="B8335" s="4">
        <f ca="1">IFERROR(__xludf.DUMMYFUNCTION("""COMPUTED_VALUE"""),44847)</f>
        <v>44847</v>
      </c>
      <c r="C8335" t="str">
        <f ca="1">IFERROR(__xludf.DUMMYFUNCTION("""COMPUTED_VALUE"""),"ООО ""ОМСКТЕХУГЛЕРОД"" 137-РДО от 25.04.2022")</f>
        <v>ООО "ОМСКТЕХУГЛЕРОД" 137-РДО от 25.04.2022</v>
      </c>
      <c r="D833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5" t="str">
        <f ca="1">IFERROR(__xludf.DUMMYFUNCTION("""COMPUTED_VALUE"""),"Новый")</f>
        <v>Новый</v>
      </c>
      <c r="G8335" s="68"/>
      <c r="K8335" s="68"/>
    </row>
    <row r="8336" spans="1:11" ht="12.75">
      <c r="A8336" s="69">
        <f ca="1">IFERROR(__xludf.DUMMYFUNCTION("""COMPUTED_VALUE"""),110018)</f>
        <v>110018</v>
      </c>
      <c r="B8336" s="4">
        <f ca="1">IFERROR(__xludf.DUMMYFUNCTION("""COMPUTED_VALUE"""),44847)</f>
        <v>44847</v>
      </c>
      <c r="C8336" t="str">
        <f ca="1">IFERROR(__xludf.DUMMYFUNCTION("""COMPUTED_VALUE"""),"ООО ""ОМСКТЕХУГЛЕРОД"" 137-РДО от 25.04.2022")</f>
        <v>ООО "ОМСКТЕХУГЛЕРОД" 137-РДО от 25.04.2022</v>
      </c>
      <c r="D8336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6" t="str">
        <f ca="1">IFERROR(__xludf.DUMMYFUNCTION("""COMPUTED_VALUE"""),"Новый")</f>
        <v>Новый</v>
      </c>
      <c r="G8336" s="68"/>
      <c r="K8336" s="68"/>
    </row>
    <row r="8337" spans="1:11" ht="12.75">
      <c r="A8337" s="69">
        <f ca="1">IFERROR(__xludf.DUMMYFUNCTION("""COMPUTED_VALUE"""),110019)</f>
        <v>110019</v>
      </c>
      <c r="B8337" s="4">
        <f ca="1">IFERROR(__xludf.DUMMYFUNCTION("""COMPUTED_VALUE"""),44847)</f>
        <v>44847</v>
      </c>
      <c r="C8337" t="str">
        <f ca="1">IFERROR(__xludf.DUMMYFUNCTION("""COMPUTED_VALUE"""),"ООО ""ОМСКТЕХУГЛЕРОД"" 137-РДО от 25.04.2022")</f>
        <v>ООО "ОМСКТЕХУГЛЕРОД" 137-РДО от 25.04.2022</v>
      </c>
      <c r="D8337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7" t="str">
        <f ca="1">IFERROR(__xludf.DUMMYFUNCTION("""COMPUTED_VALUE"""),"Новый")</f>
        <v>Новый</v>
      </c>
      <c r="G8337" s="68"/>
      <c r="K8337" s="68"/>
    </row>
    <row r="8338" spans="1:11" ht="12.75">
      <c r="A8338" s="69">
        <f ca="1">IFERROR(__xludf.DUMMYFUNCTION("""COMPUTED_VALUE"""),110020)</f>
        <v>110020</v>
      </c>
      <c r="B8338" s="4">
        <f ca="1">IFERROR(__xludf.DUMMYFUNCTION("""COMPUTED_VALUE"""),44847)</f>
        <v>44847</v>
      </c>
      <c r="C8338" t="str">
        <f ca="1">IFERROR(__xludf.DUMMYFUNCTION("""COMPUTED_VALUE"""),"ООО ""ОМСКТЕХУГЛЕРОД"" 137-РДО от 25.04.2022")</f>
        <v>ООО "ОМСКТЕХУГЛЕРОД" 137-РДО от 25.04.2022</v>
      </c>
      <c r="D8338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8" t="str">
        <f ca="1">IFERROR(__xludf.DUMMYFUNCTION("""COMPUTED_VALUE"""),"Новый")</f>
        <v>Новый</v>
      </c>
      <c r="G8338" s="68"/>
      <c r="K8338" s="68"/>
    </row>
    <row r="8339" spans="1:11" ht="12.75">
      <c r="A8339" s="69">
        <f ca="1">IFERROR(__xludf.DUMMYFUNCTION("""COMPUTED_VALUE"""),110021)</f>
        <v>110021</v>
      </c>
      <c r="B8339" s="4">
        <f ca="1">IFERROR(__xludf.DUMMYFUNCTION("""COMPUTED_VALUE"""),44847)</f>
        <v>44847</v>
      </c>
      <c r="C8339" t="str">
        <f ca="1">IFERROR(__xludf.DUMMYFUNCTION("""COMPUTED_VALUE"""),"ООО ""ОМСКТЕХУГЛЕРОД"" 137-РДО от 25.04.2022")</f>
        <v>ООО "ОМСКТЕХУГЛЕРОД" 137-РДО от 25.04.2022</v>
      </c>
      <c r="D8339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39" t="str">
        <f ca="1">IFERROR(__xludf.DUMMYFUNCTION("""COMPUTED_VALUE"""),"Новый")</f>
        <v>Новый</v>
      </c>
      <c r="G8339" s="68"/>
      <c r="K8339" s="68"/>
    </row>
    <row r="8340" spans="1:11" ht="12.75">
      <c r="A8340" s="69">
        <f ca="1">IFERROR(__xludf.DUMMYFUNCTION("""COMPUTED_VALUE"""),110022)</f>
        <v>110022</v>
      </c>
      <c r="B8340" s="4">
        <f ca="1">IFERROR(__xludf.DUMMYFUNCTION("""COMPUTED_VALUE"""),44847)</f>
        <v>44847</v>
      </c>
      <c r="C8340" t="str">
        <f ca="1">IFERROR(__xludf.DUMMYFUNCTION("""COMPUTED_VALUE"""),"ООО ""ОМСКТЕХУГЛЕРОД"" 137-РДО от 25.04.2022")</f>
        <v>ООО "ОМСКТЕХУГЛЕРОД" 137-РДО от 25.04.2022</v>
      </c>
      <c r="D8340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0" t="str">
        <f ca="1">IFERROR(__xludf.DUMMYFUNCTION("""COMPUTED_VALUE"""),"Новый")</f>
        <v>Новый</v>
      </c>
      <c r="G8340" s="68"/>
      <c r="K8340" s="68"/>
    </row>
    <row r="8341" spans="1:11" ht="12.75">
      <c r="A8341" s="69">
        <f ca="1">IFERROR(__xludf.DUMMYFUNCTION("""COMPUTED_VALUE"""),110023)</f>
        <v>110023</v>
      </c>
      <c r="B8341" s="4">
        <f ca="1">IFERROR(__xludf.DUMMYFUNCTION("""COMPUTED_VALUE"""),44847)</f>
        <v>44847</v>
      </c>
      <c r="C8341" t="str">
        <f ca="1">IFERROR(__xludf.DUMMYFUNCTION("""COMPUTED_VALUE"""),"ООО ""ОМСКТЕХУГЛЕРОД"" 137-РДО от 25.04.2022")</f>
        <v>ООО "ОМСКТЕХУГЛЕРОД" 137-РДО от 25.04.2022</v>
      </c>
      <c r="D8341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1" t="str">
        <f ca="1">IFERROR(__xludf.DUMMYFUNCTION("""COMPUTED_VALUE"""),"Новый")</f>
        <v>Новый</v>
      </c>
      <c r="G8341" s="68"/>
      <c r="K8341" s="68"/>
    </row>
    <row r="8342" spans="1:11" ht="12.75">
      <c r="A8342" s="69">
        <f ca="1">IFERROR(__xludf.DUMMYFUNCTION("""COMPUTED_VALUE"""),110024)</f>
        <v>110024</v>
      </c>
      <c r="B8342" s="4">
        <f ca="1">IFERROR(__xludf.DUMMYFUNCTION("""COMPUTED_VALUE"""),44847)</f>
        <v>44847</v>
      </c>
      <c r="C8342" t="str">
        <f ca="1">IFERROR(__xludf.DUMMYFUNCTION("""COMPUTED_VALUE"""),"ООО ""ОМСКТЕХУГЛЕРОД"" 137-РДО от 25.04.2022")</f>
        <v>ООО "ОМСКТЕХУГЛЕРОД" 137-РДО от 25.04.2022</v>
      </c>
      <c r="D8342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2" t="str">
        <f ca="1">IFERROR(__xludf.DUMMYFUNCTION("""COMPUTED_VALUE"""),"Новый")</f>
        <v>Новый</v>
      </c>
      <c r="G8342" s="68"/>
      <c r="K8342" s="68"/>
    </row>
    <row r="8343" spans="1:11" ht="12.75">
      <c r="A8343" s="69">
        <f ca="1">IFERROR(__xludf.DUMMYFUNCTION("""COMPUTED_VALUE"""),110025)</f>
        <v>110025</v>
      </c>
      <c r="B8343" s="4">
        <f ca="1">IFERROR(__xludf.DUMMYFUNCTION("""COMPUTED_VALUE"""),44847)</f>
        <v>44847</v>
      </c>
      <c r="C8343" t="str">
        <f ca="1">IFERROR(__xludf.DUMMYFUNCTION("""COMPUTED_VALUE"""),"ООО ""ОМСКТЕХУГЛЕРОД"" 137-РДО от 25.04.2022")</f>
        <v>ООО "ОМСКТЕХУГЛЕРОД" 137-РДО от 25.04.2022</v>
      </c>
      <c r="D8343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3" t="str">
        <f ca="1">IFERROR(__xludf.DUMMYFUNCTION("""COMPUTED_VALUE"""),"Новый")</f>
        <v>Новый</v>
      </c>
      <c r="G8343" s="68"/>
      <c r="K8343" s="68"/>
    </row>
    <row r="8344" spans="1:11" ht="12.75">
      <c r="A8344" s="69">
        <f ca="1">IFERROR(__xludf.DUMMYFUNCTION("""COMPUTED_VALUE"""),110026)</f>
        <v>110026</v>
      </c>
      <c r="B8344" s="4">
        <f ca="1">IFERROR(__xludf.DUMMYFUNCTION("""COMPUTED_VALUE"""),44847)</f>
        <v>44847</v>
      </c>
      <c r="C8344" t="str">
        <f ca="1">IFERROR(__xludf.DUMMYFUNCTION("""COMPUTED_VALUE"""),"ООО ""ОМСКТЕХУГЛЕРОД"" 137-РДО от 25.04.2022")</f>
        <v>ООО "ОМСКТЕХУГЛЕРОД" 137-РДО от 25.04.2022</v>
      </c>
      <c r="D8344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4" t="str">
        <f ca="1">IFERROR(__xludf.DUMMYFUNCTION("""COMPUTED_VALUE"""),"Новый")</f>
        <v>Новый</v>
      </c>
      <c r="G8344" s="68"/>
      <c r="K8344" s="68"/>
    </row>
    <row r="8345" spans="1:11" ht="12.75">
      <c r="A8345" s="69">
        <f ca="1">IFERROR(__xludf.DUMMYFUNCTION("""COMPUTED_VALUE"""),110027)</f>
        <v>110027</v>
      </c>
      <c r="B8345" s="4">
        <f ca="1">IFERROR(__xludf.DUMMYFUNCTION("""COMPUTED_VALUE"""),44847)</f>
        <v>44847</v>
      </c>
      <c r="C8345" t="str">
        <f ca="1">IFERROR(__xludf.DUMMYFUNCTION("""COMPUTED_VALUE"""),"ООО ""ОМСКТЕХУГЛЕРОД"" 137-РДО от 25.04.2022")</f>
        <v>ООО "ОМСКТЕХУГЛЕРОД" 137-РДО от 25.04.2022</v>
      </c>
      <c r="D8345" s="67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E8345" t="str">
        <f ca="1">IFERROR(__xludf.DUMMYFUNCTION("""COMPUTED_VALUE"""),"Новый")</f>
        <v>Новый</v>
      </c>
      <c r="G8345" s="68"/>
      <c r="K8345" s="68"/>
    </row>
    <row r="8346" spans="1:11" ht="12.75">
      <c r="B8346" s="4"/>
      <c r="D8346" s="67"/>
      <c r="G8346" s="68"/>
      <c r="K8346" s="68"/>
    </row>
    <row r="8347" spans="1:11" ht="12.75">
      <c r="B8347" s="4"/>
      <c r="D8347" s="67"/>
      <c r="G8347" s="68"/>
      <c r="K8347" s="68"/>
    </row>
    <row r="8348" spans="1:11" ht="12.75">
      <c r="B8348" s="4"/>
      <c r="D8348" s="67"/>
      <c r="G8348" s="68"/>
      <c r="K8348" s="68"/>
    </row>
    <row r="8349" spans="1:11" ht="12.75">
      <c r="B8349" s="4"/>
      <c r="D8349" s="67"/>
      <c r="G8349" s="68"/>
      <c r="K8349" s="68"/>
    </row>
    <row r="8350" spans="1:11" ht="12.75">
      <c r="B8350" s="4"/>
      <c r="D8350" s="67"/>
      <c r="G8350" s="68"/>
      <c r="K8350" s="68"/>
    </row>
    <row r="8351" spans="1:11" ht="12.75">
      <c r="B8351" s="4"/>
      <c r="D8351" s="67"/>
      <c r="G8351" s="68"/>
      <c r="K8351" s="68"/>
    </row>
    <row r="8352" spans="1:11" ht="12.75">
      <c r="B8352" s="4"/>
      <c r="D8352" s="67"/>
      <c r="G8352" s="68"/>
      <c r="K8352" s="68"/>
    </row>
    <row r="8353" spans="2:11" ht="12.75">
      <c r="B8353" s="4"/>
      <c r="D8353" s="67"/>
      <c r="G8353" s="68"/>
      <c r="K8353" s="68"/>
    </row>
    <row r="8354" spans="2:11" ht="12.75">
      <c r="B8354" s="4"/>
      <c r="D8354" s="67"/>
      <c r="G8354" s="68"/>
      <c r="K8354" s="68"/>
    </row>
    <row r="8355" spans="2:11" ht="12.75">
      <c r="B8355" s="4"/>
      <c r="D8355" s="67"/>
      <c r="G8355" s="68"/>
      <c r="K8355" s="68"/>
    </row>
    <row r="8356" spans="2:11" ht="12.75">
      <c r="B8356" s="4"/>
      <c r="D8356" s="67"/>
      <c r="G8356" s="68"/>
      <c r="K8356" s="68"/>
    </row>
    <row r="8357" spans="2:11" ht="12.75">
      <c r="B8357" s="4"/>
      <c r="D8357" s="67"/>
      <c r="G8357" s="68"/>
      <c r="K8357" s="68"/>
    </row>
    <row r="8358" spans="2:11" ht="12.75">
      <c r="B8358" s="4"/>
      <c r="D8358" s="67"/>
      <c r="G8358" s="68"/>
      <c r="K8358" s="68"/>
    </row>
    <row r="8359" spans="2:11" ht="12.75">
      <c r="B8359" s="4"/>
      <c r="D8359" s="67"/>
      <c r="G8359" s="68"/>
      <c r="K8359" s="68"/>
    </row>
    <row r="8360" spans="2:11" ht="12.75">
      <c r="B8360" s="4"/>
      <c r="D8360" s="67"/>
      <c r="G8360" s="68"/>
      <c r="K8360" s="68"/>
    </row>
    <row r="8361" spans="2:11" ht="12.75">
      <c r="B8361" s="4"/>
      <c r="D8361" s="67"/>
      <c r="G8361" s="68"/>
      <c r="K8361" s="68"/>
    </row>
    <row r="8362" spans="2:11" ht="12.75">
      <c r="B8362" s="4"/>
      <c r="D8362" s="67"/>
      <c r="G8362" s="68"/>
      <c r="K8362" s="68"/>
    </row>
    <row r="8363" spans="2:11" ht="12.75">
      <c r="B8363" s="4"/>
      <c r="D8363" s="67"/>
      <c r="G8363" s="68"/>
      <c r="K8363" s="68"/>
    </row>
    <row r="8364" spans="2:11" ht="12.75">
      <c r="B8364" s="4"/>
      <c r="D8364" s="67"/>
      <c r="G8364" s="68"/>
      <c r="K8364" s="68"/>
    </row>
    <row r="8365" spans="2:11" ht="12.75">
      <c r="B8365" s="4"/>
      <c r="D8365" s="67"/>
      <c r="G8365" s="68"/>
      <c r="K8365" s="68"/>
    </row>
    <row r="8366" spans="2:11" ht="12.75">
      <c r="B8366" s="4"/>
      <c r="D8366" s="67"/>
      <c r="G8366" s="68"/>
      <c r="K8366" s="68"/>
    </row>
    <row r="8367" spans="2:11" ht="12.75">
      <c r="B8367" s="4"/>
      <c r="D8367" s="67"/>
      <c r="G8367" s="68"/>
      <c r="K8367" s="68"/>
    </row>
    <row r="8368" spans="2:11" ht="12.75">
      <c r="B8368" s="4"/>
      <c r="D8368" s="67"/>
      <c r="G8368" s="68"/>
      <c r="K8368" s="68"/>
    </row>
    <row r="8369" spans="2:11" ht="12.75">
      <c r="B8369" s="4"/>
      <c r="D8369" s="67"/>
      <c r="G8369" s="68"/>
      <c r="K8369" s="68"/>
    </row>
    <row r="8370" spans="2:11" ht="12.75">
      <c r="B8370" s="4"/>
      <c r="D8370" s="67"/>
      <c r="G8370" s="68"/>
      <c r="K8370" s="68"/>
    </row>
    <row r="8371" spans="2:11" ht="12.75">
      <c r="B8371" s="4"/>
      <c r="D8371" s="67"/>
      <c r="G8371" s="68"/>
      <c r="K8371" s="68"/>
    </row>
    <row r="8372" spans="2:11" ht="12.75">
      <c r="B8372" s="4"/>
      <c r="D8372" s="67"/>
      <c r="G8372" s="68"/>
      <c r="K8372" s="68"/>
    </row>
    <row r="8373" spans="2:11" ht="12.75">
      <c r="B8373" s="4"/>
      <c r="D8373" s="67"/>
      <c r="G8373" s="68"/>
      <c r="K8373" s="68"/>
    </row>
    <row r="8374" spans="2:11" ht="12.75">
      <c r="B8374" s="4"/>
      <c r="D8374" s="67"/>
      <c r="G8374" s="68"/>
      <c r="K8374" s="68"/>
    </row>
    <row r="8375" spans="2:11" ht="12.75">
      <c r="B8375" s="4"/>
      <c r="D8375" s="67"/>
      <c r="G8375" s="68"/>
      <c r="K8375" s="68"/>
    </row>
    <row r="8376" spans="2:11" ht="12.75">
      <c r="B8376" s="4"/>
      <c r="D8376" s="67"/>
      <c r="G8376" s="68"/>
      <c r="K8376" s="68"/>
    </row>
    <row r="8377" spans="2:11" ht="12.75">
      <c r="B8377" s="4"/>
      <c r="D8377" s="67"/>
      <c r="G8377" s="68"/>
      <c r="K8377" s="68"/>
    </row>
    <row r="8378" spans="2:11" ht="12.75">
      <c r="B8378" s="4"/>
      <c r="D8378" s="67"/>
      <c r="G8378" s="68"/>
      <c r="K8378" s="68"/>
    </row>
    <row r="8379" spans="2:11" ht="12.75">
      <c r="B8379" s="4"/>
      <c r="D8379" s="67"/>
      <c r="G8379" s="68"/>
      <c r="K8379" s="68"/>
    </row>
    <row r="8380" spans="2:11" ht="12.75">
      <c r="B8380" s="4"/>
      <c r="D8380" s="67"/>
      <c r="G8380" s="68"/>
      <c r="K8380" s="68"/>
    </row>
    <row r="8381" spans="2:11" ht="12.75">
      <c r="B8381" s="4"/>
      <c r="D8381" s="67"/>
      <c r="G8381" s="68"/>
      <c r="K8381" s="68"/>
    </row>
    <row r="8382" spans="2:11" ht="12.75">
      <c r="B8382" s="4"/>
      <c r="D8382" s="67"/>
      <c r="G8382" s="68"/>
      <c r="K8382" s="68"/>
    </row>
    <row r="8383" spans="2:11" ht="12.75">
      <c r="B8383" s="4"/>
      <c r="D8383" s="67"/>
      <c r="G8383" s="68"/>
      <c r="K8383" s="68"/>
    </row>
    <row r="8384" spans="2:11" ht="12.75">
      <c r="B8384" s="4"/>
      <c r="D8384" s="67"/>
      <c r="G8384" s="68"/>
      <c r="K8384" s="68"/>
    </row>
    <row r="8385" spans="2:11" ht="12.75">
      <c r="B8385" s="4"/>
      <c r="D8385" s="67"/>
      <c r="G8385" s="68"/>
      <c r="K8385" s="68"/>
    </row>
    <row r="8386" spans="2:11" ht="12.75">
      <c r="B8386" s="4"/>
      <c r="D8386" s="67"/>
      <c r="G8386" s="68"/>
      <c r="K8386" s="68"/>
    </row>
    <row r="8387" spans="2:11" ht="12.75">
      <c r="B8387" s="4"/>
      <c r="D8387" s="67"/>
      <c r="G8387" s="68"/>
      <c r="K8387" s="68"/>
    </row>
    <row r="8388" spans="2:11" ht="12.75">
      <c r="B8388" s="4"/>
      <c r="D8388" s="67"/>
      <c r="G8388" s="68"/>
      <c r="K8388" s="68"/>
    </row>
    <row r="8389" spans="2:11" ht="12.75">
      <c r="B8389" s="4"/>
      <c r="D8389" s="67"/>
      <c r="G8389" s="68"/>
      <c r="K8389" s="68"/>
    </row>
    <row r="8390" spans="2:11" ht="12.75">
      <c r="B8390" s="4"/>
      <c r="D8390" s="67"/>
      <c r="G8390" s="68"/>
      <c r="K8390" s="68"/>
    </row>
    <row r="8391" spans="2:11" ht="12.75">
      <c r="B8391" s="4"/>
      <c r="D8391" s="67"/>
      <c r="G8391" s="68"/>
      <c r="K8391" s="68"/>
    </row>
    <row r="8392" spans="2:11" ht="12.75">
      <c r="B8392" s="4"/>
      <c r="D8392" s="67"/>
      <c r="G8392" s="68"/>
      <c r="K8392" s="68"/>
    </row>
    <row r="8393" spans="2:11" ht="12.75">
      <c r="B8393" s="4"/>
      <c r="D8393" s="67"/>
      <c r="G8393" s="68"/>
      <c r="K8393" s="68"/>
    </row>
    <row r="8394" spans="2:11" ht="12.75">
      <c r="B8394" s="4"/>
      <c r="D8394" s="67"/>
      <c r="G8394" s="68"/>
      <c r="K8394" s="68"/>
    </row>
    <row r="8395" spans="2:11" ht="12.75">
      <c r="B8395" s="4"/>
      <c r="D8395" s="67"/>
      <c r="G8395" s="68"/>
      <c r="K8395" s="68"/>
    </row>
    <row r="8396" spans="2:11" ht="12.75">
      <c r="B8396" s="4"/>
      <c r="D8396" s="67"/>
      <c r="G8396" s="68"/>
      <c r="K8396" s="68"/>
    </row>
    <row r="8397" spans="2:11" ht="12.75">
      <c r="B8397" s="4"/>
      <c r="D8397" s="67"/>
      <c r="G8397" s="68"/>
      <c r="K8397" s="68"/>
    </row>
    <row r="8398" spans="2:11" ht="12.75">
      <c r="B8398" s="4"/>
      <c r="D8398" s="67"/>
      <c r="G8398" s="68"/>
      <c r="K8398" s="68"/>
    </row>
    <row r="8399" spans="2:11" ht="12.75">
      <c r="B8399" s="4"/>
      <c r="D8399" s="67"/>
      <c r="G8399" s="68"/>
      <c r="K8399" s="68"/>
    </row>
    <row r="8400" spans="2:11" ht="12.75">
      <c r="B8400" s="4"/>
      <c r="D8400" s="67"/>
      <c r="G8400" s="68"/>
      <c r="K8400" s="68"/>
    </row>
    <row r="8401" spans="2:11" ht="12.75">
      <c r="B8401" s="4"/>
      <c r="D8401" s="67"/>
      <c r="G8401" s="68"/>
      <c r="K8401" s="68"/>
    </row>
    <row r="8402" spans="2:11" ht="12.75">
      <c r="B8402" s="4"/>
      <c r="D8402" s="67"/>
      <c r="G8402" s="68"/>
      <c r="K8402" s="68"/>
    </row>
    <row r="8403" spans="2:11" ht="12.75">
      <c r="B8403" s="4"/>
      <c r="D8403" s="67"/>
      <c r="G8403" s="68"/>
      <c r="K8403" s="68"/>
    </row>
    <row r="8404" spans="2:11" ht="12.75">
      <c r="B8404" s="4"/>
      <c r="D8404" s="67"/>
      <c r="G8404" s="68"/>
      <c r="K8404" s="68"/>
    </row>
    <row r="8405" spans="2:11" ht="12.75">
      <c r="B8405" s="4"/>
      <c r="D8405" s="67"/>
      <c r="G8405" s="68"/>
      <c r="K8405" s="68"/>
    </row>
    <row r="8406" spans="2:11" ht="12.75">
      <c r="B8406" s="4"/>
      <c r="D8406" s="67"/>
      <c r="G8406" s="68"/>
      <c r="K8406" s="68"/>
    </row>
    <row r="8407" spans="2:11" ht="12.75">
      <c r="B8407" s="4"/>
      <c r="D8407" s="67"/>
      <c r="G8407" s="68"/>
      <c r="K8407" s="68"/>
    </row>
    <row r="8408" spans="2:11" ht="12.75">
      <c r="B8408" s="4"/>
      <c r="D8408" s="67"/>
      <c r="G8408" s="68"/>
      <c r="K8408" s="68"/>
    </row>
    <row r="8409" spans="2:11" ht="12.75">
      <c r="B8409" s="4"/>
      <c r="D8409" s="67"/>
      <c r="G8409" s="68"/>
      <c r="K8409" s="68"/>
    </row>
    <row r="8410" spans="2:11" ht="12.75">
      <c r="B8410" s="4"/>
      <c r="D8410" s="67"/>
      <c r="G8410" s="68"/>
      <c r="K8410" s="68"/>
    </row>
    <row r="8411" spans="2:11" ht="12.75">
      <c r="B8411" s="4"/>
      <c r="D8411" s="67"/>
      <c r="G8411" s="68"/>
      <c r="K8411" s="68"/>
    </row>
    <row r="8412" spans="2:11" ht="12.75">
      <c r="B8412" s="4"/>
      <c r="D8412" s="67"/>
      <c r="G8412" s="68"/>
      <c r="K8412" s="68"/>
    </row>
    <row r="8413" spans="2:11" ht="12.75">
      <c r="B8413" s="4"/>
      <c r="D8413" s="67"/>
      <c r="G8413" s="68"/>
      <c r="K8413" s="68"/>
    </row>
    <row r="8414" spans="2:11" ht="12.75">
      <c r="B8414" s="4"/>
      <c r="D8414" s="67"/>
      <c r="G8414" s="68"/>
      <c r="K8414" s="68"/>
    </row>
    <row r="8415" spans="2:11" ht="12.75">
      <c r="B8415" s="4"/>
      <c r="D8415" s="67"/>
      <c r="G8415" s="68"/>
      <c r="K8415" s="68"/>
    </row>
    <row r="8416" spans="2:11" ht="12.75">
      <c r="B8416" s="4"/>
      <c r="D8416" s="67"/>
      <c r="G8416" s="68"/>
      <c r="K8416" s="68"/>
    </row>
    <row r="8417" spans="2:11" ht="12.75">
      <c r="B8417" s="4"/>
      <c r="D8417" s="67"/>
      <c r="G8417" s="68"/>
      <c r="K8417" s="68"/>
    </row>
    <row r="8418" spans="2:11" ht="12.75">
      <c r="B8418" s="4"/>
      <c r="D8418" s="67"/>
      <c r="G8418" s="68"/>
      <c r="K8418" s="68"/>
    </row>
    <row r="8419" spans="2:11" ht="12.75">
      <c r="B8419" s="4"/>
      <c r="D8419" s="67"/>
      <c r="G8419" s="68"/>
      <c r="K8419" s="68"/>
    </row>
    <row r="8420" spans="2:11" ht="12.75">
      <c r="B8420" s="4"/>
      <c r="D8420" s="67"/>
      <c r="G8420" s="68"/>
      <c r="K8420" s="68"/>
    </row>
    <row r="8421" spans="2:11" ht="12.75">
      <c r="B8421" s="4"/>
      <c r="D8421" s="67"/>
      <c r="G8421" s="68"/>
      <c r="K8421" s="68"/>
    </row>
    <row r="8422" spans="2:11" ht="12.75">
      <c r="B8422" s="4"/>
      <c r="D8422" s="67"/>
      <c r="G8422" s="68"/>
      <c r="K8422" s="68"/>
    </row>
    <row r="8423" spans="2:11" ht="12.75">
      <c r="B8423" s="4"/>
      <c r="D8423" s="67"/>
      <c r="G8423" s="68"/>
      <c r="K8423" s="68"/>
    </row>
    <row r="8424" spans="2:11" ht="12.75">
      <c r="B8424" s="4"/>
      <c r="D8424" s="67"/>
      <c r="G8424" s="68"/>
      <c r="K8424" s="68"/>
    </row>
    <row r="8425" spans="2:11" ht="12.75">
      <c r="B8425" s="4"/>
      <c r="D8425" s="67"/>
      <c r="G8425" s="68"/>
      <c r="K8425" s="68"/>
    </row>
    <row r="8426" spans="2:11" ht="12.75">
      <c r="B8426" s="4"/>
      <c r="D8426" s="67"/>
      <c r="G8426" s="68"/>
      <c r="K8426" s="68"/>
    </row>
    <row r="8427" spans="2:11" ht="12.75">
      <c r="B8427" s="4"/>
      <c r="D8427" s="67"/>
      <c r="G8427" s="68"/>
      <c r="K8427" s="68"/>
    </row>
    <row r="8428" spans="2:11" ht="12.75">
      <c r="B8428" s="4"/>
      <c r="D8428" s="67"/>
      <c r="G8428" s="68"/>
      <c r="K8428" s="68"/>
    </row>
    <row r="8429" spans="2:11" ht="12.75">
      <c r="B8429" s="4"/>
      <c r="D8429" s="67"/>
      <c r="G8429" s="68"/>
      <c r="K8429" s="68"/>
    </row>
    <row r="8430" spans="2:11" ht="12.75">
      <c r="B8430" s="4"/>
      <c r="D8430" s="67"/>
      <c r="G8430" s="68"/>
      <c r="K8430" s="68"/>
    </row>
    <row r="8431" spans="2:11" ht="12.75">
      <c r="B8431" s="4"/>
      <c r="D8431" s="67"/>
      <c r="G8431" s="68"/>
      <c r="K8431" s="68"/>
    </row>
    <row r="8432" spans="2:11" ht="12.75">
      <c r="B8432" s="4"/>
      <c r="D8432" s="67"/>
      <c r="G8432" s="68"/>
      <c r="K8432" s="68"/>
    </row>
    <row r="8433" spans="2:11" ht="12.75">
      <c r="B8433" s="4"/>
      <c r="D8433" s="67"/>
      <c r="G8433" s="68"/>
      <c r="K8433" s="68"/>
    </row>
    <row r="8434" spans="2:11" ht="12.75">
      <c r="B8434" s="4"/>
      <c r="D8434" s="67"/>
      <c r="G8434" s="68"/>
      <c r="K8434" s="68"/>
    </row>
    <row r="8435" spans="2:11" ht="12.75">
      <c r="B8435" s="4"/>
      <c r="D8435" s="67"/>
      <c r="G8435" s="68"/>
      <c r="K8435" s="68"/>
    </row>
    <row r="8436" spans="2:11" ht="12.75">
      <c r="B8436" s="4"/>
      <c r="D8436" s="67"/>
      <c r="G8436" s="68"/>
      <c r="K8436" s="68"/>
    </row>
    <row r="8437" spans="2:11" ht="12.75">
      <c r="B8437" s="4"/>
      <c r="D8437" s="67"/>
      <c r="G8437" s="68"/>
      <c r="K8437" s="68"/>
    </row>
    <row r="8438" spans="2:11" ht="12.75">
      <c r="B8438" s="4"/>
      <c r="D8438" s="67"/>
      <c r="G8438" s="68"/>
      <c r="K8438" s="68"/>
    </row>
    <row r="8439" spans="2:11" ht="12.75">
      <c r="B8439" s="4"/>
      <c r="D8439" s="67"/>
      <c r="G8439" s="68"/>
      <c r="K8439" s="68"/>
    </row>
    <row r="8440" spans="2:11" ht="12.75">
      <c r="B8440" s="4"/>
      <c r="D8440" s="67"/>
      <c r="G8440" s="68"/>
      <c r="K8440" s="68"/>
    </row>
    <row r="8441" spans="2:11" ht="12.75">
      <c r="B8441" s="4"/>
      <c r="D8441" s="67"/>
      <c r="G8441" s="68"/>
      <c r="K8441" s="68"/>
    </row>
    <row r="8442" spans="2:11" ht="12.75">
      <c r="B8442" s="4"/>
      <c r="D8442" s="67"/>
      <c r="G8442" s="68"/>
      <c r="K8442" s="68"/>
    </row>
    <row r="8443" spans="2:11" ht="12.75">
      <c r="B8443" s="4"/>
      <c r="D8443" s="67"/>
      <c r="G8443" s="68"/>
      <c r="K8443" s="68"/>
    </row>
    <row r="8444" spans="2:11" ht="12.75">
      <c r="B8444" s="4"/>
      <c r="D8444" s="67"/>
      <c r="G8444" s="68"/>
      <c r="K8444" s="68"/>
    </row>
    <row r="8445" spans="2:11" ht="12.75">
      <c r="B8445" s="4"/>
      <c r="D8445" s="67"/>
      <c r="G8445" s="68"/>
      <c r="K8445" s="68"/>
    </row>
    <row r="8446" spans="2:11" ht="12.75">
      <c r="B8446" s="4"/>
      <c r="D8446" s="67"/>
      <c r="G8446" s="68"/>
      <c r="K8446" s="68"/>
    </row>
    <row r="8447" spans="2:11" ht="12.75">
      <c r="B8447" s="4"/>
      <c r="D8447" s="67"/>
      <c r="G8447" s="68"/>
      <c r="K8447" s="68"/>
    </row>
    <row r="8448" spans="2:11" ht="12.75">
      <c r="B8448" s="4"/>
      <c r="D8448" s="67"/>
      <c r="G8448" s="68"/>
      <c r="K8448" s="68"/>
    </row>
    <row r="8449" spans="2:11" ht="12.75">
      <c r="B8449" s="4"/>
      <c r="D8449" s="67"/>
      <c r="G8449" s="68"/>
      <c r="K8449" s="68"/>
    </row>
    <row r="8450" spans="2:11" ht="12.75">
      <c r="B8450" s="4"/>
      <c r="D8450" s="67"/>
      <c r="G8450" s="68"/>
      <c r="K8450" s="68"/>
    </row>
    <row r="8451" spans="2:11" ht="12.75">
      <c r="B8451" s="4"/>
      <c r="D8451" s="67"/>
      <c r="G8451" s="68"/>
      <c r="K8451" s="68"/>
    </row>
    <row r="8452" spans="2:11" ht="12.75">
      <c r="B8452" s="4"/>
      <c r="D8452" s="67"/>
      <c r="G8452" s="68"/>
      <c r="K8452" s="68"/>
    </row>
    <row r="8453" spans="2:11" ht="12.75">
      <c r="B8453" s="4"/>
      <c r="D8453" s="67"/>
      <c r="G8453" s="68"/>
      <c r="K8453" s="68"/>
    </row>
    <row r="8454" spans="2:11" ht="12.75">
      <c r="B8454" s="4"/>
      <c r="D8454" s="67"/>
      <c r="G8454" s="68"/>
      <c r="K8454" s="68"/>
    </row>
    <row r="8455" spans="2:11" ht="12.75">
      <c r="B8455" s="4"/>
      <c r="D8455" s="67"/>
      <c r="G8455" s="68"/>
      <c r="K8455" s="68"/>
    </row>
    <row r="8456" spans="2:11" ht="12.75">
      <c r="B8456" s="4"/>
      <c r="D8456" s="67"/>
      <c r="G8456" s="68"/>
      <c r="K8456" s="68"/>
    </row>
    <row r="8457" spans="2:11" ht="12.75">
      <c r="B8457" s="4"/>
      <c r="D8457" s="67"/>
      <c r="G8457" s="68"/>
      <c r="K8457" s="68"/>
    </row>
    <row r="8458" spans="2:11" ht="12.75">
      <c r="B8458" s="4"/>
      <c r="D8458" s="67"/>
      <c r="G8458" s="68"/>
      <c r="K8458" s="68"/>
    </row>
    <row r="8459" spans="2:11" ht="12.75">
      <c r="B8459" s="4"/>
      <c r="D8459" s="67"/>
      <c r="G8459" s="68"/>
      <c r="K8459" s="68"/>
    </row>
    <row r="8460" spans="2:11" ht="12.75">
      <c r="B8460" s="4"/>
      <c r="D8460" s="67"/>
      <c r="G8460" s="68"/>
      <c r="K8460" s="68"/>
    </row>
    <row r="8461" spans="2:11" ht="12.75">
      <c r="B8461" s="4"/>
      <c r="D8461" s="67"/>
      <c r="G8461" s="68"/>
      <c r="K8461" s="68"/>
    </row>
    <row r="8462" spans="2:11" ht="12.75">
      <c r="B8462" s="4"/>
      <c r="D8462" s="67"/>
      <c r="G8462" s="68"/>
      <c r="K8462" s="68"/>
    </row>
    <row r="8463" spans="2:11" ht="12.75">
      <c r="B8463" s="4"/>
      <c r="D8463" s="67"/>
      <c r="G8463" s="68"/>
      <c r="K8463" s="68"/>
    </row>
    <row r="8464" spans="2:11" ht="12.75">
      <c r="B8464" s="4"/>
      <c r="D8464" s="67"/>
      <c r="G8464" s="68"/>
      <c r="K8464" s="68"/>
    </row>
    <row r="8465" spans="2:11" ht="12.75">
      <c r="B8465" s="4"/>
      <c r="D8465" s="67"/>
      <c r="G8465" s="68"/>
      <c r="K8465" s="68"/>
    </row>
    <row r="8466" spans="2:11" ht="12.75">
      <c r="B8466" s="4"/>
      <c r="D8466" s="67"/>
      <c r="G8466" s="68"/>
      <c r="K8466" s="68"/>
    </row>
    <row r="8467" spans="2:11" ht="12.75">
      <c r="B8467" s="4"/>
      <c r="D8467" s="67"/>
      <c r="G8467" s="68"/>
      <c r="K8467" s="68"/>
    </row>
    <row r="8468" spans="2:11" ht="12.75">
      <c r="B8468" s="4"/>
      <c r="D8468" s="67"/>
      <c r="G8468" s="68"/>
      <c r="K8468" s="68"/>
    </row>
    <row r="8469" spans="2:11" ht="12.75">
      <c r="B8469" s="4"/>
      <c r="D8469" s="67"/>
      <c r="G8469" s="68"/>
      <c r="K8469" s="68"/>
    </row>
    <row r="8470" spans="2:11" ht="12.75">
      <c r="B8470" s="4"/>
      <c r="D8470" s="67"/>
      <c r="G8470" s="68"/>
      <c r="K8470" s="68"/>
    </row>
    <row r="8471" spans="2:11" ht="12.75">
      <c r="B8471" s="4"/>
      <c r="D8471" s="67"/>
      <c r="G8471" s="68"/>
      <c r="K8471" s="68"/>
    </row>
    <row r="8472" spans="2:11" ht="12.75">
      <c r="B8472" s="4"/>
      <c r="D8472" s="67"/>
      <c r="G8472" s="68"/>
      <c r="K8472" s="68"/>
    </row>
    <row r="8473" spans="2:11" ht="12.75">
      <c r="B8473" s="4"/>
      <c r="D8473" s="67"/>
      <c r="G8473" s="68"/>
      <c r="K8473" s="68"/>
    </row>
    <row r="8474" spans="2:11" ht="12.75">
      <c r="B8474" s="4"/>
      <c r="D8474" s="67"/>
      <c r="G8474" s="68"/>
      <c r="K8474" s="68"/>
    </row>
    <row r="8475" spans="2:11" ht="12.75">
      <c r="B8475" s="4"/>
      <c r="D8475" s="67"/>
      <c r="G8475" s="68"/>
      <c r="K8475" s="68"/>
    </row>
    <row r="8476" spans="2:11" ht="12.75">
      <c r="B8476" s="4"/>
      <c r="D8476" s="67"/>
      <c r="G8476" s="68"/>
      <c r="K8476" s="68"/>
    </row>
    <row r="8477" spans="2:11" ht="12.75">
      <c r="B8477" s="4"/>
      <c r="D8477" s="67"/>
      <c r="G8477" s="68"/>
      <c r="K8477" s="68"/>
    </row>
    <row r="8478" spans="2:11" ht="12.75">
      <c r="B8478" s="4"/>
      <c r="D8478" s="67"/>
      <c r="G8478" s="68"/>
      <c r="K8478" s="68"/>
    </row>
    <row r="8479" spans="2:11" ht="12.75">
      <c r="B8479" s="4"/>
      <c r="D8479" s="67"/>
      <c r="G8479" s="68"/>
      <c r="K8479" s="68"/>
    </row>
    <row r="8480" spans="2:11" ht="12.75">
      <c r="B8480" s="4"/>
      <c r="D8480" s="67"/>
      <c r="G8480" s="68"/>
      <c r="K8480" s="68"/>
    </row>
    <row r="8481" spans="2:11" ht="12.75">
      <c r="B8481" s="4"/>
      <c r="D8481" s="67"/>
      <c r="G8481" s="68"/>
      <c r="K8481" s="68"/>
    </row>
    <row r="8482" spans="2:11" ht="12.75">
      <c r="B8482" s="4"/>
      <c r="D8482" s="67"/>
      <c r="G8482" s="68"/>
      <c r="K8482" s="68"/>
    </row>
    <row r="8483" spans="2:11" ht="12.75">
      <c r="B8483" s="4"/>
      <c r="D8483" s="67"/>
      <c r="G8483" s="68"/>
      <c r="K8483" s="68"/>
    </row>
    <row r="8484" spans="2:11" ht="12.75">
      <c r="B8484" s="4"/>
      <c r="D8484" s="67"/>
      <c r="G8484" s="68"/>
      <c r="K8484" s="68"/>
    </row>
    <row r="8485" spans="2:11" ht="12.75">
      <c r="B8485" s="4"/>
      <c r="D8485" s="67"/>
      <c r="G8485" s="68"/>
      <c r="K8485" s="68"/>
    </row>
    <row r="8486" spans="2:11" ht="12.75">
      <c r="B8486" s="4"/>
      <c r="D8486" s="67"/>
      <c r="G8486" s="68"/>
      <c r="K8486" s="68"/>
    </row>
    <row r="8487" spans="2:11" ht="12.75">
      <c r="B8487" s="4"/>
      <c r="D8487" s="67"/>
      <c r="G8487" s="68"/>
      <c r="K8487" s="68"/>
    </row>
    <row r="8488" spans="2:11" ht="12.75">
      <c r="B8488" s="4"/>
      <c r="D8488" s="67"/>
      <c r="G8488" s="68"/>
      <c r="K8488" s="68"/>
    </row>
    <row r="8489" spans="2:11" ht="12.75">
      <c r="B8489" s="4"/>
      <c r="D8489" s="67"/>
      <c r="G8489" s="68"/>
      <c r="K8489" s="68"/>
    </row>
    <row r="8490" spans="2:11" ht="12.75">
      <c r="B8490" s="4"/>
      <c r="D8490" s="67"/>
      <c r="G8490" s="68"/>
      <c r="K8490" s="68"/>
    </row>
    <row r="8491" spans="2:11" ht="12.75">
      <c r="B8491" s="4"/>
      <c r="D8491" s="67"/>
      <c r="G8491" s="68"/>
      <c r="K8491" s="68"/>
    </row>
    <row r="8492" spans="2:11" ht="12.75">
      <c r="B8492" s="4"/>
      <c r="D8492" s="67"/>
      <c r="G8492" s="68"/>
      <c r="K8492" s="68"/>
    </row>
    <row r="8493" spans="2:11" ht="12.75">
      <c r="B8493" s="4"/>
      <c r="D8493" s="67"/>
      <c r="G8493" s="68"/>
      <c r="K8493" s="68"/>
    </row>
    <row r="8494" spans="2:11" ht="12.75">
      <c r="B8494" s="4"/>
      <c r="D8494" s="67"/>
      <c r="G8494" s="68"/>
      <c r="K8494" s="68"/>
    </row>
    <row r="8495" spans="2:11" ht="12.75">
      <c r="B8495" s="4"/>
      <c r="D8495" s="67"/>
      <c r="G8495" s="68"/>
      <c r="K8495" s="68"/>
    </row>
    <row r="8496" spans="2:11" ht="12.75">
      <c r="B8496" s="4"/>
      <c r="D8496" s="67"/>
      <c r="G8496" s="68"/>
      <c r="K8496" s="68"/>
    </row>
    <row r="8497" spans="2:11" ht="12.75">
      <c r="B8497" s="4"/>
      <c r="D8497" s="67"/>
      <c r="G8497" s="68"/>
      <c r="K8497" s="68"/>
    </row>
    <row r="8498" spans="2:11" ht="12.75">
      <c r="B8498" s="4"/>
      <c r="D8498" s="67"/>
      <c r="G8498" s="68"/>
      <c r="K8498" s="68"/>
    </row>
    <row r="8499" spans="2:11" ht="12.75">
      <c r="B8499" s="4"/>
      <c r="D8499" s="67"/>
      <c r="G8499" s="68"/>
      <c r="K8499" s="68"/>
    </row>
    <row r="8500" spans="2:11" ht="12.75">
      <c r="B8500" s="4"/>
      <c r="D8500" s="67"/>
      <c r="G8500" s="68"/>
      <c r="K8500" s="68"/>
    </row>
    <row r="8501" spans="2:11" ht="12.75">
      <c r="B8501" s="4"/>
      <c r="D8501" s="67"/>
      <c r="G8501" s="68"/>
      <c r="K8501" s="68"/>
    </row>
    <row r="8502" spans="2:11" ht="12.75">
      <c r="B8502" s="4"/>
      <c r="D8502" s="67"/>
      <c r="G8502" s="68"/>
      <c r="K8502" s="68"/>
    </row>
    <row r="8503" spans="2:11" ht="12.75">
      <c r="B8503" s="4"/>
      <c r="D8503" s="67"/>
      <c r="G8503" s="68"/>
      <c r="K8503" s="68"/>
    </row>
    <row r="8504" spans="2:11" ht="12.75">
      <c r="B8504" s="4"/>
      <c r="D8504" s="67"/>
      <c r="G8504" s="68"/>
      <c r="K8504" s="68"/>
    </row>
    <row r="8505" spans="2:11" ht="12.75">
      <c r="B8505" s="4"/>
      <c r="D8505" s="67"/>
      <c r="G8505" s="68"/>
      <c r="K8505" s="68"/>
    </row>
    <row r="8506" spans="2:11" ht="12.75">
      <c r="B8506" s="4"/>
      <c r="D8506" s="67"/>
      <c r="G8506" s="68"/>
      <c r="K8506" s="68"/>
    </row>
    <row r="8507" spans="2:11" ht="12.75">
      <c r="B8507" s="4"/>
      <c r="D8507" s="67"/>
      <c r="G8507" s="68"/>
      <c r="K8507" s="68"/>
    </row>
    <row r="8508" spans="2:11" ht="12.75">
      <c r="B8508" s="4"/>
      <c r="D8508" s="67"/>
      <c r="G8508" s="68"/>
      <c r="K8508" s="68"/>
    </row>
    <row r="8509" spans="2:11" ht="12.75">
      <c r="B8509" s="4"/>
      <c r="D8509" s="67"/>
      <c r="G8509" s="68"/>
      <c r="K8509" s="68"/>
    </row>
    <row r="8510" spans="2:11" ht="12.75">
      <c r="B8510" s="4"/>
      <c r="D8510" s="67"/>
      <c r="G8510" s="68"/>
      <c r="K8510" s="68"/>
    </row>
    <row r="8511" spans="2:11" ht="12.75">
      <c r="B8511" s="4"/>
      <c r="D8511" s="67"/>
      <c r="G8511" s="68"/>
      <c r="K8511" s="68"/>
    </row>
    <row r="8512" spans="2:11" ht="12.75">
      <c r="B8512" s="4"/>
      <c r="D8512" s="67"/>
      <c r="G8512" s="68"/>
      <c r="K8512" s="68"/>
    </row>
    <row r="8513" spans="2:11" ht="12.75">
      <c r="B8513" s="4"/>
      <c r="D8513" s="67"/>
      <c r="G8513" s="68"/>
      <c r="K8513" s="68"/>
    </row>
    <row r="8514" spans="2:11" ht="12.75">
      <c r="B8514" s="4"/>
      <c r="D8514" s="67"/>
      <c r="G8514" s="68"/>
      <c r="K8514" s="68"/>
    </row>
    <row r="8515" spans="2:11" ht="12.75">
      <c r="B8515" s="4"/>
      <c r="D8515" s="67"/>
      <c r="G8515" s="68"/>
      <c r="K8515" s="68"/>
    </row>
    <row r="8516" spans="2:11" ht="12.75">
      <c r="B8516" s="4"/>
      <c r="D8516" s="67"/>
      <c r="G8516" s="68"/>
      <c r="K8516" s="68"/>
    </row>
    <row r="8517" spans="2:11" ht="12.75">
      <c r="B8517" s="4"/>
      <c r="D8517" s="67"/>
      <c r="G8517" s="68"/>
      <c r="K8517" s="68"/>
    </row>
    <row r="8518" spans="2:11" ht="12.75">
      <c r="B8518" s="4"/>
      <c r="D8518" s="67"/>
      <c r="G8518" s="68"/>
      <c r="K8518" s="68"/>
    </row>
    <row r="8519" spans="2:11" ht="12.75">
      <c r="B8519" s="4"/>
      <c r="D8519" s="67"/>
      <c r="G8519" s="68"/>
      <c r="K8519" s="68"/>
    </row>
    <row r="8520" spans="2:11" ht="12.75">
      <c r="B8520" s="4"/>
      <c r="D8520" s="67"/>
      <c r="G8520" s="68"/>
      <c r="K8520" s="68"/>
    </row>
    <row r="8521" spans="2:11" ht="12.75">
      <c r="B8521" s="4"/>
      <c r="D8521" s="67"/>
      <c r="G8521" s="68"/>
      <c r="K8521" s="68"/>
    </row>
    <row r="8522" spans="2:11" ht="12.75">
      <c r="B8522" s="4"/>
      <c r="D8522" s="67"/>
      <c r="G8522" s="68"/>
      <c r="K8522" s="68"/>
    </row>
    <row r="8523" spans="2:11" ht="12.75">
      <c r="B8523" s="4"/>
      <c r="D8523" s="67"/>
      <c r="G8523" s="68"/>
      <c r="K8523" s="68"/>
    </row>
    <row r="8524" spans="2:11" ht="12.75">
      <c r="B8524" s="4"/>
      <c r="D8524" s="67"/>
      <c r="G8524" s="68"/>
      <c r="K8524" s="68"/>
    </row>
    <row r="8525" spans="2:11" ht="12.75">
      <c r="B8525" s="4"/>
      <c r="D8525" s="67"/>
      <c r="G8525" s="68"/>
      <c r="K8525" s="68"/>
    </row>
    <row r="8526" spans="2:11" ht="12.75">
      <c r="B8526" s="4"/>
      <c r="D8526" s="67"/>
      <c r="G8526" s="68"/>
      <c r="K8526" s="68"/>
    </row>
    <row r="8527" spans="2:11" ht="12.75">
      <c r="B8527" s="4"/>
      <c r="D8527" s="67"/>
      <c r="G8527" s="68"/>
      <c r="K8527" s="68"/>
    </row>
    <row r="8528" spans="2:11" ht="12.75">
      <c r="B8528" s="4"/>
      <c r="D8528" s="67"/>
      <c r="G8528" s="68"/>
      <c r="K8528" s="68"/>
    </row>
    <row r="8529" spans="2:11" ht="12.75">
      <c r="B8529" s="4"/>
      <c r="D8529" s="67"/>
      <c r="G8529" s="68"/>
      <c r="K8529" s="68"/>
    </row>
    <row r="8530" spans="2:11" ht="12.75">
      <c r="B8530" s="4"/>
      <c r="D8530" s="67"/>
      <c r="G8530" s="68"/>
      <c r="K8530" s="68"/>
    </row>
    <row r="8531" spans="2:11" ht="12.75">
      <c r="B8531" s="4"/>
      <c r="D8531" s="67"/>
      <c r="G8531" s="68"/>
      <c r="K8531" s="68"/>
    </row>
    <row r="8532" spans="2:11" ht="12.75">
      <c r="B8532" s="4"/>
      <c r="D8532" s="67"/>
      <c r="G8532" s="68"/>
      <c r="K8532" s="68"/>
    </row>
    <row r="8533" spans="2:11" ht="12.75">
      <c r="B8533" s="4"/>
      <c r="D8533" s="67"/>
      <c r="G8533" s="68"/>
      <c r="K8533" s="68"/>
    </row>
    <row r="8534" spans="2:11" ht="12.75">
      <c r="B8534" s="4"/>
      <c r="D8534" s="67"/>
      <c r="G8534" s="68"/>
      <c r="K8534" s="68"/>
    </row>
    <row r="8535" spans="2:11" ht="12.75">
      <c r="B8535" s="4"/>
      <c r="D8535" s="67"/>
      <c r="G8535" s="68"/>
      <c r="K8535" s="68"/>
    </row>
    <row r="8536" spans="2:11" ht="12.75">
      <c r="B8536" s="4"/>
      <c r="D8536" s="67"/>
      <c r="G8536" s="68"/>
      <c r="K8536" s="68"/>
    </row>
    <row r="8537" spans="2:11" ht="12.75">
      <c r="B8537" s="4"/>
      <c r="D8537" s="67"/>
      <c r="G8537" s="68"/>
      <c r="K8537" s="68"/>
    </row>
    <row r="8538" spans="2:11" ht="12.75">
      <c r="B8538" s="4"/>
      <c r="D8538" s="67"/>
      <c r="G8538" s="68"/>
      <c r="K8538" s="68"/>
    </row>
    <row r="8539" spans="2:11" ht="12.75">
      <c r="B8539" s="4"/>
      <c r="D8539" s="67"/>
      <c r="G8539" s="68"/>
      <c r="K8539" s="68"/>
    </row>
    <row r="8540" spans="2:11" ht="12.75">
      <c r="B8540" s="4"/>
      <c r="D8540" s="67"/>
      <c r="G8540" s="68"/>
      <c r="K8540" s="68"/>
    </row>
    <row r="8541" spans="2:11" ht="12.75">
      <c r="B8541" s="4"/>
      <c r="D8541" s="67"/>
      <c r="G8541" s="68"/>
      <c r="K8541" s="68"/>
    </row>
    <row r="8542" spans="2:11" ht="12.75">
      <c r="B8542" s="4"/>
      <c r="D8542" s="67"/>
      <c r="G8542" s="68"/>
      <c r="K8542" s="68"/>
    </row>
    <row r="8543" spans="2:11" ht="12.75">
      <c r="B8543" s="4"/>
      <c r="D8543" s="67"/>
      <c r="G8543" s="68"/>
      <c r="K8543" s="68"/>
    </row>
    <row r="8544" spans="2:11" ht="12.75">
      <c r="B8544" s="4"/>
      <c r="D8544" s="67"/>
      <c r="G8544" s="68"/>
      <c r="K8544" s="68"/>
    </row>
    <row r="8545" spans="2:11" ht="12.75">
      <c r="B8545" s="4"/>
      <c r="D8545" s="67"/>
      <c r="G8545" s="68"/>
      <c r="K8545" s="68"/>
    </row>
    <row r="8546" spans="2:11" ht="12.75">
      <c r="B8546" s="4"/>
      <c r="D8546" s="67"/>
      <c r="G8546" s="68"/>
      <c r="K8546" s="68"/>
    </row>
    <row r="8547" spans="2:11" ht="12.75">
      <c r="B8547" s="4"/>
      <c r="D8547" s="67"/>
      <c r="G8547" s="68"/>
      <c r="K8547" s="68"/>
    </row>
    <row r="8548" spans="2:11" ht="12.75">
      <c r="B8548" s="4"/>
      <c r="D8548" s="67"/>
      <c r="G8548" s="68"/>
      <c r="K8548" s="68"/>
    </row>
    <row r="8549" spans="2:11" ht="12.75">
      <c r="B8549" s="4"/>
      <c r="D8549" s="67"/>
      <c r="G8549" s="68"/>
      <c r="K8549" s="68"/>
    </row>
    <row r="8550" spans="2:11" ht="12.75">
      <c r="B8550" s="4"/>
      <c r="D8550" s="67"/>
      <c r="G8550" s="68"/>
      <c r="K8550" s="68"/>
    </row>
    <row r="8551" spans="2:11" ht="12.75">
      <c r="B8551" s="4"/>
      <c r="D8551" s="67"/>
      <c r="G8551" s="68"/>
      <c r="K8551" s="68"/>
    </row>
    <row r="8552" spans="2:11" ht="12.75">
      <c r="B8552" s="4"/>
      <c r="D8552" s="67"/>
      <c r="G8552" s="68"/>
      <c r="K8552" s="68"/>
    </row>
    <row r="8553" spans="2:11" ht="12.75">
      <c r="B8553" s="4"/>
      <c r="D8553" s="67"/>
      <c r="G8553" s="68"/>
      <c r="K8553" s="68"/>
    </row>
    <row r="8554" spans="2:11" ht="12.75">
      <c r="B8554" s="4"/>
      <c r="D8554" s="67"/>
      <c r="G8554" s="68"/>
      <c r="K8554" s="68"/>
    </row>
    <row r="8555" spans="2:11" ht="12.75">
      <c r="B8555" s="4"/>
      <c r="D8555" s="67"/>
      <c r="G8555" s="68"/>
      <c r="K8555" s="68"/>
    </row>
    <row r="8556" spans="2:11" ht="12.75">
      <c r="B8556" s="4"/>
      <c r="D8556" s="67"/>
      <c r="G8556" s="68"/>
      <c r="K8556" s="68"/>
    </row>
    <row r="8557" spans="2:11" ht="12.75">
      <c r="B8557" s="4"/>
      <c r="D8557" s="67"/>
      <c r="G8557" s="68"/>
      <c r="K8557" s="68"/>
    </row>
    <row r="8558" spans="2:11" ht="12.75">
      <c r="B8558" s="4"/>
      <c r="D8558" s="67"/>
      <c r="G8558" s="68"/>
      <c r="K8558" s="68"/>
    </row>
    <row r="8559" spans="2:11" ht="12.75">
      <c r="B8559" s="4"/>
      <c r="D8559" s="67"/>
      <c r="G8559" s="68"/>
      <c r="K8559" s="68"/>
    </row>
    <row r="8560" spans="2:11" ht="12.75">
      <c r="B8560" s="4"/>
      <c r="D8560" s="67"/>
      <c r="G8560" s="68"/>
      <c r="K8560" s="68"/>
    </row>
    <row r="8561" spans="2:11" ht="12.75">
      <c r="B8561" s="4"/>
      <c r="D8561" s="67"/>
      <c r="G8561" s="68"/>
      <c r="K8561" s="68"/>
    </row>
    <row r="8562" spans="2:11" ht="12.75">
      <c r="B8562" s="4"/>
      <c r="D8562" s="67"/>
      <c r="G8562" s="68"/>
      <c r="K8562" s="68"/>
    </row>
    <row r="8563" spans="2:11" ht="12.75">
      <c r="B8563" s="4"/>
      <c r="D8563" s="67"/>
      <c r="G8563" s="68"/>
      <c r="K8563" s="68"/>
    </row>
    <row r="8564" spans="2:11" ht="12.75">
      <c r="B8564" s="4"/>
      <c r="D8564" s="67"/>
      <c r="G8564" s="68"/>
      <c r="K8564" s="68"/>
    </row>
    <row r="8565" spans="2:11" ht="12.75">
      <c r="B8565" s="4"/>
      <c r="D8565" s="67"/>
      <c r="G8565" s="68"/>
      <c r="K8565" s="68"/>
    </row>
    <row r="8566" spans="2:11" ht="12.75">
      <c r="B8566" s="4"/>
      <c r="D8566" s="67"/>
      <c r="G8566" s="68"/>
      <c r="K8566" s="68"/>
    </row>
    <row r="8567" spans="2:11" ht="12.75">
      <c r="B8567" s="4"/>
      <c r="D8567" s="67"/>
      <c r="G8567" s="68"/>
      <c r="K8567" s="68"/>
    </row>
    <row r="8568" spans="2:11" ht="12.75">
      <c r="B8568" s="4"/>
      <c r="D8568" s="67"/>
      <c r="G8568" s="68"/>
      <c r="K8568" s="68"/>
    </row>
    <row r="8569" spans="2:11" ht="12.75">
      <c r="B8569" s="4"/>
      <c r="D8569" s="67"/>
      <c r="G8569" s="68"/>
      <c r="K8569" s="68"/>
    </row>
    <row r="8570" spans="2:11" ht="12.75">
      <c r="B8570" s="4"/>
      <c r="D8570" s="67"/>
      <c r="G8570" s="68"/>
      <c r="K8570" s="68"/>
    </row>
    <row r="8571" spans="2:11" ht="12.75">
      <c r="B8571" s="4"/>
      <c r="D8571" s="67"/>
      <c r="G8571" s="68"/>
      <c r="K8571" s="68"/>
    </row>
    <row r="8572" spans="2:11" ht="12.75">
      <c r="B8572" s="4"/>
      <c r="D8572" s="67"/>
      <c r="G8572" s="68"/>
      <c r="K8572" s="68"/>
    </row>
    <row r="8573" spans="2:11" ht="12.75">
      <c r="B8573" s="4"/>
      <c r="D8573" s="67"/>
      <c r="G8573" s="68"/>
      <c r="K8573" s="68"/>
    </row>
    <row r="8574" spans="2:11" ht="12.75">
      <c r="B8574" s="4"/>
      <c r="D8574" s="67"/>
      <c r="G8574" s="68"/>
      <c r="K8574" s="68"/>
    </row>
    <row r="8575" spans="2:11" ht="12.75">
      <c r="B8575" s="4"/>
      <c r="D8575" s="67"/>
      <c r="G8575" s="68"/>
      <c r="K8575" s="68"/>
    </row>
    <row r="8576" spans="2:11" ht="12.75">
      <c r="B8576" s="4"/>
      <c r="D8576" s="67"/>
      <c r="G8576" s="68"/>
      <c r="K8576" s="68"/>
    </row>
    <row r="8577" spans="2:11" ht="12.75">
      <c r="B8577" s="4"/>
      <c r="D8577" s="67"/>
      <c r="G8577" s="68"/>
      <c r="K8577" s="68"/>
    </row>
    <row r="8578" spans="2:11" ht="12.75">
      <c r="B8578" s="4"/>
      <c r="D8578" s="67"/>
      <c r="G8578" s="68"/>
      <c r="K8578" s="68"/>
    </row>
    <row r="8579" spans="2:11" ht="12.75">
      <c r="B8579" s="4"/>
      <c r="D8579" s="67"/>
      <c r="G8579" s="68"/>
      <c r="K8579" s="68"/>
    </row>
    <row r="8580" spans="2:11" ht="12.75">
      <c r="B8580" s="4"/>
      <c r="D8580" s="67"/>
      <c r="G8580" s="68"/>
      <c r="K8580" s="68"/>
    </row>
    <row r="8581" spans="2:11" ht="12.75">
      <c r="B8581" s="4"/>
      <c r="D8581" s="67"/>
      <c r="G8581" s="68"/>
      <c r="K8581" s="68"/>
    </row>
    <row r="8582" spans="2:11" ht="12.75">
      <c r="B8582" s="4"/>
      <c r="D8582" s="67"/>
      <c r="G8582" s="68"/>
      <c r="K8582" s="68"/>
    </row>
    <row r="8583" spans="2:11" ht="12.75">
      <c r="B8583" s="4"/>
      <c r="D8583" s="67"/>
      <c r="G8583" s="68"/>
      <c r="K8583" s="68"/>
    </row>
    <row r="8584" spans="2:11" ht="12.75">
      <c r="B8584" s="4"/>
      <c r="D8584" s="67"/>
      <c r="G8584" s="68"/>
      <c r="K8584" s="68"/>
    </row>
    <row r="8585" spans="2:11" ht="12.75">
      <c r="B8585" s="4"/>
      <c r="D8585" s="67"/>
      <c r="G8585" s="68"/>
      <c r="K8585" s="68"/>
    </row>
    <row r="8586" spans="2:11" ht="12.75">
      <c r="B8586" s="4"/>
      <c r="D8586" s="67"/>
      <c r="G8586" s="68"/>
      <c r="K8586" s="68"/>
    </row>
    <row r="8587" spans="2:11" ht="12.75">
      <c r="B8587" s="4"/>
      <c r="D8587" s="67"/>
      <c r="G8587" s="68"/>
      <c r="K8587" s="68"/>
    </row>
    <row r="8588" spans="2:11" ht="12.75">
      <c r="B8588" s="4"/>
      <c r="D8588" s="67"/>
      <c r="G8588" s="68"/>
      <c r="K8588" s="68"/>
    </row>
    <row r="8589" spans="2:11" ht="12.75">
      <c r="B8589" s="4"/>
      <c r="D8589" s="67"/>
      <c r="G8589" s="68"/>
      <c r="K8589" s="68"/>
    </row>
    <row r="8590" spans="2:11" ht="12.75">
      <c r="B8590" s="4"/>
      <c r="D8590" s="67"/>
      <c r="G8590" s="68"/>
      <c r="K8590" s="68"/>
    </row>
    <row r="8591" spans="2:11" ht="12.75">
      <c r="B8591" s="4"/>
      <c r="D8591" s="67"/>
      <c r="G8591" s="68"/>
      <c r="K8591" s="68"/>
    </row>
    <row r="8592" spans="2:11" ht="12.75">
      <c r="B8592" s="4"/>
      <c r="D8592" s="67"/>
      <c r="G8592" s="68"/>
      <c r="K8592" s="68"/>
    </row>
    <row r="8593" spans="2:11" ht="12.75">
      <c r="B8593" s="4"/>
      <c r="D8593" s="67"/>
      <c r="G8593" s="68"/>
      <c r="K8593" s="68"/>
    </row>
    <row r="8594" spans="2:11" ht="12.75">
      <c r="B8594" s="4"/>
      <c r="D8594" s="67"/>
      <c r="G8594" s="68"/>
      <c r="K8594" s="68"/>
    </row>
    <row r="8595" spans="2:11" ht="12.75">
      <c r="B8595" s="4"/>
      <c r="D8595" s="67"/>
      <c r="G8595" s="68"/>
      <c r="K8595" s="68"/>
    </row>
    <row r="8596" spans="2:11" ht="12.75">
      <c r="B8596" s="4"/>
      <c r="D8596" s="67"/>
      <c r="G8596" s="68"/>
      <c r="K8596" s="68"/>
    </row>
    <row r="8597" spans="2:11" ht="12.75">
      <c r="B8597" s="4"/>
      <c r="D8597" s="67"/>
      <c r="G8597" s="68"/>
      <c r="K8597" s="68"/>
    </row>
    <row r="8598" spans="2:11" ht="12.75">
      <c r="B8598" s="4"/>
      <c r="D8598" s="67"/>
      <c r="G8598" s="68"/>
      <c r="K8598" s="68"/>
    </row>
    <row r="8599" spans="2:11" ht="12.75">
      <c r="B8599" s="4"/>
      <c r="D8599" s="67"/>
      <c r="G8599" s="68"/>
      <c r="K8599" s="68"/>
    </row>
    <row r="8600" spans="2:11" ht="12.75">
      <c r="B8600" s="4"/>
      <c r="D8600" s="67"/>
      <c r="G8600" s="68"/>
      <c r="K8600" s="68"/>
    </row>
    <row r="8601" spans="2:11" ht="12.75">
      <c r="B8601" s="4"/>
      <c r="D8601" s="67"/>
      <c r="G8601" s="68"/>
      <c r="K8601" s="68"/>
    </row>
    <row r="8602" spans="2:11" ht="12.75">
      <c r="B8602" s="4"/>
      <c r="D8602" s="67"/>
      <c r="G8602" s="68"/>
      <c r="K8602" s="68"/>
    </row>
    <row r="8603" spans="2:11" ht="12.75">
      <c r="B8603" s="4"/>
      <c r="D8603" s="67"/>
      <c r="G8603" s="68"/>
      <c r="K8603" s="68"/>
    </row>
    <row r="8604" spans="2:11" ht="12.75">
      <c r="B8604" s="4"/>
      <c r="D8604" s="67"/>
      <c r="G8604" s="68"/>
      <c r="K8604" s="68"/>
    </row>
    <row r="8605" spans="2:11" ht="12.75">
      <c r="B8605" s="4"/>
      <c r="D8605" s="67"/>
      <c r="G8605" s="68"/>
      <c r="K8605" s="68"/>
    </row>
    <row r="8606" spans="2:11" ht="12.75">
      <c r="B8606" s="4"/>
      <c r="D8606" s="67"/>
      <c r="G8606" s="68"/>
      <c r="K8606" s="68"/>
    </row>
    <row r="8607" spans="2:11" ht="12.75">
      <c r="B8607" s="4"/>
      <c r="D8607" s="67"/>
      <c r="G8607" s="68"/>
      <c r="K8607" s="68"/>
    </row>
    <row r="8608" spans="2:11" ht="12.75">
      <c r="B8608" s="4"/>
      <c r="D8608" s="67"/>
      <c r="G8608" s="68"/>
      <c r="K8608" s="68"/>
    </row>
    <row r="8609" spans="2:11" ht="12.75">
      <c r="B8609" s="4"/>
      <c r="D8609" s="67"/>
      <c r="G8609" s="68"/>
      <c r="K8609" s="68"/>
    </row>
    <row r="8610" spans="2:11" ht="12.75">
      <c r="B8610" s="4"/>
      <c r="D8610" s="67"/>
      <c r="G8610" s="68"/>
      <c r="K8610" s="68"/>
    </row>
    <row r="8611" spans="2:11" ht="12.75">
      <c r="B8611" s="4"/>
      <c r="D8611" s="67"/>
      <c r="G8611" s="68"/>
      <c r="K8611" s="68"/>
    </row>
    <row r="8612" spans="2:11" ht="12.75">
      <c r="B8612" s="4"/>
      <c r="D8612" s="67"/>
      <c r="G8612" s="68"/>
      <c r="K8612" s="68"/>
    </row>
    <row r="8613" spans="2:11" ht="12.75">
      <c r="B8613" s="4"/>
      <c r="D8613" s="67"/>
      <c r="G8613" s="68"/>
      <c r="K8613" s="68"/>
    </row>
    <row r="8614" spans="2:11" ht="12.75">
      <c r="B8614" s="4"/>
      <c r="D8614" s="67"/>
      <c r="G8614" s="68"/>
      <c r="K8614" s="68"/>
    </row>
    <row r="8615" spans="2:11" ht="12.75">
      <c r="B8615" s="4"/>
      <c r="D8615" s="67"/>
      <c r="G8615" s="68"/>
      <c r="K8615" s="68"/>
    </row>
    <row r="8616" spans="2:11" ht="12.75">
      <c r="B8616" s="4"/>
      <c r="D8616" s="67"/>
      <c r="G8616" s="68"/>
      <c r="K8616" s="68"/>
    </row>
    <row r="8617" spans="2:11" ht="12.75">
      <c r="B8617" s="4"/>
      <c r="D8617" s="67"/>
      <c r="G8617" s="68"/>
      <c r="K8617" s="68"/>
    </row>
    <row r="8618" spans="2:11" ht="12.75">
      <c r="B8618" s="4"/>
      <c r="D8618" s="67"/>
      <c r="G8618" s="68"/>
      <c r="K8618" s="68"/>
    </row>
    <row r="8619" spans="2:11" ht="12.75">
      <c r="B8619" s="4"/>
      <c r="D8619" s="67"/>
      <c r="G8619" s="68"/>
      <c r="K8619" s="68"/>
    </row>
    <row r="8620" spans="2:11" ht="12.75">
      <c r="B8620" s="4"/>
      <c r="D8620" s="67"/>
      <c r="G8620" s="68"/>
      <c r="K8620" s="68"/>
    </row>
    <row r="8621" spans="2:11" ht="12.75">
      <c r="B8621" s="4"/>
      <c r="D8621" s="67"/>
      <c r="G8621" s="68"/>
      <c r="K8621" s="68"/>
    </row>
    <row r="8622" spans="2:11" ht="12.75">
      <c r="B8622" s="4"/>
      <c r="D8622" s="67"/>
      <c r="G8622" s="68"/>
      <c r="K8622" s="68"/>
    </row>
    <row r="8623" spans="2:11" ht="12.75">
      <c r="B8623" s="4"/>
      <c r="D8623" s="67"/>
      <c r="G8623" s="68"/>
      <c r="K8623" s="68"/>
    </row>
    <row r="8624" spans="2:11" ht="12.75">
      <c r="B8624" s="4"/>
      <c r="D8624" s="67"/>
      <c r="G8624" s="68"/>
      <c r="K8624" s="68"/>
    </row>
    <row r="8625" spans="2:11" ht="12.75">
      <c r="B8625" s="4"/>
      <c r="D8625" s="67"/>
      <c r="G8625" s="68"/>
      <c r="K8625" s="68"/>
    </row>
    <row r="8626" spans="2:11" ht="12.75">
      <c r="B8626" s="4"/>
      <c r="D8626" s="67"/>
      <c r="G8626" s="68"/>
      <c r="K8626" s="68"/>
    </row>
    <row r="8627" spans="2:11" ht="12.75">
      <c r="B8627" s="4"/>
      <c r="D8627" s="67"/>
      <c r="G8627" s="68"/>
      <c r="K8627" s="68"/>
    </row>
    <row r="8628" spans="2:11" ht="12.75">
      <c r="B8628" s="4"/>
      <c r="D8628" s="67"/>
      <c r="G8628" s="68"/>
      <c r="K8628" s="68"/>
    </row>
    <row r="8629" spans="2:11" ht="12.75">
      <c r="B8629" s="4"/>
      <c r="D8629" s="67"/>
      <c r="G8629" s="68"/>
      <c r="K8629" s="68"/>
    </row>
    <row r="8630" spans="2:11" ht="12.75">
      <c r="B8630" s="4"/>
      <c r="D8630" s="67"/>
      <c r="G8630" s="68"/>
      <c r="K8630" s="68"/>
    </row>
    <row r="8631" spans="2:11" ht="12.75">
      <c r="B8631" s="4"/>
      <c r="D8631" s="67"/>
      <c r="G8631" s="68"/>
      <c r="K8631" s="68"/>
    </row>
    <row r="8632" spans="2:11" ht="12.75">
      <c r="B8632" s="4"/>
      <c r="D8632" s="67"/>
      <c r="G8632" s="68"/>
      <c r="K8632" s="68"/>
    </row>
    <row r="8633" spans="2:11" ht="12.75">
      <c r="B8633" s="4"/>
      <c r="D8633" s="67"/>
      <c r="G8633" s="68"/>
      <c r="K8633" s="68"/>
    </row>
    <row r="8634" spans="2:11" ht="12.75">
      <c r="B8634" s="4"/>
      <c r="D8634" s="67"/>
      <c r="G8634" s="68"/>
      <c r="K8634" s="68"/>
    </row>
    <row r="8635" spans="2:11" ht="12.75">
      <c r="B8635" s="4"/>
      <c r="D8635" s="67"/>
      <c r="G8635" s="68"/>
      <c r="K8635" s="68"/>
    </row>
    <row r="8636" spans="2:11" ht="12.75">
      <c r="B8636" s="4"/>
      <c r="D8636" s="67"/>
      <c r="G8636" s="68"/>
      <c r="K8636" s="68"/>
    </row>
    <row r="8637" spans="2:11" ht="12.75">
      <c r="B8637" s="4"/>
      <c r="D8637" s="67"/>
      <c r="G8637" s="68"/>
      <c r="K8637" s="68"/>
    </row>
    <row r="8638" spans="2:11" ht="12.75">
      <c r="B8638" s="4"/>
      <c r="D8638" s="67"/>
      <c r="G8638" s="68"/>
      <c r="K8638" s="68"/>
    </row>
    <row r="8639" spans="2:11" ht="12.75">
      <c r="B8639" s="4"/>
      <c r="D8639" s="67"/>
      <c r="G8639" s="68"/>
      <c r="K8639" s="68"/>
    </row>
    <row r="8640" spans="2:11" ht="12.75">
      <c r="B8640" s="4"/>
      <c r="D8640" s="67"/>
      <c r="G8640" s="68"/>
      <c r="K8640" s="68"/>
    </row>
    <row r="8641" spans="2:11" ht="12.75">
      <c r="B8641" s="4"/>
      <c r="D8641" s="67"/>
      <c r="G8641" s="68"/>
      <c r="K8641" s="68"/>
    </row>
    <row r="8642" spans="2:11" ht="12.75">
      <c r="B8642" s="4"/>
      <c r="D8642" s="67"/>
      <c r="G8642" s="68"/>
      <c r="K8642" s="68"/>
    </row>
    <row r="8643" spans="2:11" ht="12.75">
      <c r="B8643" s="4"/>
      <c r="D8643" s="67"/>
      <c r="G8643" s="68"/>
      <c r="K8643" s="68"/>
    </row>
    <row r="8644" spans="2:11" ht="12.75">
      <c r="B8644" s="4"/>
      <c r="D8644" s="67"/>
      <c r="G8644" s="68"/>
      <c r="K8644" s="68"/>
    </row>
    <row r="8645" spans="2:11" ht="12.75">
      <c r="B8645" s="4"/>
      <c r="D8645" s="67"/>
      <c r="G8645" s="68"/>
      <c r="K8645" s="68"/>
    </row>
    <row r="8646" spans="2:11" ht="12.75">
      <c r="B8646" s="4"/>
      <c r="D8646" s="67"/>
      <c r="G8646" s="68"/>
      <c r="K8646" s="68"/>
    </row>
    <row r="8647" spans="2:11" ht="12.75">
      <c r="B8647" s="4"/>
      <c r="D8647" s="67"/>
      <c r="G8647" s="68"/>
      <c r="K8647" s="68"/>
    </row>
    <row r="8648" spans="2:11" ht="12.75">
      <c r="B8648" s="4"/>
      <c r="D8648" s="67"/>
      <c r="G8648" s="68"/>
      <c r="K8648" s="68"/>
    </row>
    <row r="8649" spans="2:11" ht="12.75">
      <c r="B8649" s="4"/>
      <c r="D8649" s="67"/>
      <c r="G8649" s="68"/>
      <c r="K8649" s="68"/>
    </row>
    <row r="8650" spans="2:11" ht="12.75">
      <c r="B8650" s="4"/>
      <c r="D8650" s="67"/>
      <c r="G8650" s="68"/>
      <c r="K8650" s="68"/>
    </row>
    <row r="8651" spans="2:11" ht="12.75">
      <c r="B8651" s="4"/>
      <c r="D8651" s="67"/>
      <c r="G8651" s="68"/>
      <c r="K8651" s="68"/>
    </row>
    <row r="8652" spans="2:11" ht="12.75">
      <c r="B8652" s="4"/>
      <c r="D8652" s="67"/>
      <c r="G8652" s="68"/>
      <c r="K8652" s="68"/>
    </row>
    <row r="8653" spans="2:11" ht="12.75">
      <c r="B8653" s="4"/>
      <c r="D8653" s="67"/>
      <c r="G8653" s="68"/>
      <c r="K8653" s="68"/>
    </row>
    <row r="8654" spans="2:11" ht="12.75">
      <c r="B8654" s="4"/>
      <c r="D8654" s="67"/>
      <c r="G8654" s="68"/>
      <c r="K8654" s="68"/>
    </row>
    <row r="8655" spans="2:11" ht="12.75">
      <c r="B8655" s="4"/>
      <c r="D8655" s="67"/>
      <c r="G8655" s="68"/>
      <c r="K8655" s="68"/>
    </row>
    <row r="8656" spans="2:11" ht="12.75">
      <c r="B8656" s="4"/>
      <c r="D8656" s="67"/>
      <c r="G8656" s="68"/>
      <c r="K8656" s="68"/>
    </row>
    <row r="8657" spans="2:11" ht="12.75">
      <c r="B8657" s="4"/>
      <c r="D8657" s="67"/>
      <c r="G8657" s="68"/>
      <c r="K8657" s="68"/>
    </row>
    <row r="8658" spans="2:11" ht="12.75">
      <c r="B8658" s="4"/>
      <c r="D8658" s="67"/>
      <c r="G8658" s="68"/>
      <c r="K8658" s="68"/>
    </row>
    <row r="8659" spans="2:11" ht="12.75">
      <c r="B8659" s="4"/>
      <c r="D8659" s="67"/>
      <c r="G8659" s="68"/>
      <c r="K8659" s="68"/>
    </row>
    <row r="8660" spans="2:11" ht="12.75">
      <c r="B8660" s="4"/>
      <c r="D8660" s="67"/>
      <c r="G8660" s="68"/>
      <c r="K8660" s="68"/>
    </row>
    <row r="8661" spans="2:11" ht="12.75">
      <c r="B8661" s="4"/>
      <c r="D8661" s="67"/>
      <c r="G8661" s="68"/>
      <c r="K8661" s="68"/>
    </row>
    <row r="8662" spans="2:11" ht="12.75">
      <c r="B8662" s="4"/>
      <c r="D8662" s="67"/>
      <c r="G8662" s="68"/>
      <c r="K8662" s="68"/>
    </row>
    <row r="8663" spans="2:11" ht="12.75">
      <c r="B8663" s="4"/>
      <c r="D8663" s="67"/>
      <c r="G8663" s="68"/>
      <c r="K8663" s="68"/>
    </row>
    <row r="8664" spans="2:11" ht="12.75">
      <c r="B8664" s="4"/>
      <c r="D8664" s="67"/>
      <c r="G8664" s="68"/>
      <c r="K8664" s="68"/>
    </row>
    <row r="8665" spans="2:11" ht="12.75">
      <c r="B8665" s="4"/>
      <c r="D8665" s="67"/>
      <c r="G8665" s="68"/>
      <c r="K8665" s="68"/>
    </row>
    <row r="8666" spans="2:11" ht="12.75">
      <c r="B8666" s="4"/>
      <c r="D8666" s="67"/>
      <c r="G8666" s="68"/>
      <c r="K8666" s="68"/>
    </row>
    <row r="8667" spans="2:11" ht="12.75">
      <c r="B8667" s="4"/>
      <c r="D8667" s="67"/>
      <c r="G8667" s="68"/>
      <c r="K8667" s="68"/>
    </row>
    <row r="8668" spans="2:11" ht="12.75">
      <c r="B8668" s="4"/>
      <c r="D8668" s="67"/>
      <c r="G8668" s="68"/>
      <c r="K8668" s="68"/>
    </row>
    <row r="8669" spans="2:11" ht="12.75">
      <c r="B8669" s="4"/>
      <c r="D8669" s="67"/>
      <c r="G8669" s="68"/>
      <c r="K8669" s="68"/>
    </row>
    <row r="8670" spans="2:11" ht="12.75">
      <c r="B8670" s="4"/>
      <c r="D8670" s="67"/>
      <c r="G8670" s="68"/>
      <c r="K8670" s="68"/>
    </row>
    <row r="8671" spans="2:11" ht="12.75">
      <c r="B8671" s="4"/>
      <c r="D8671" s="67"/>
      <c r="G8671" s="68"/>
      <c r="K8671" s="68"/>
    </row>
    <row r="8672" spans="2:11" ht="12.75">
      <c r="B8672" s="4"/>
      <c r="D8672" s="67"/>
      <c r="G8672" s="68"/>
      <c r="K8672" s="68"/>
    </row>
    <row r="8673" spans="2:11" ht="12.75">
      <c r="B8673" s="4"/>
      <c r="D8673" s="67"/>
      <c r="G8673" s="68"/>
      <c r="K8673" s="68"/>
    </row>
    <row r="8674" spans="2:11" ht="12.75">
      <c r="B8674" s="4"/>
      <c r="D8674" s="67"/>
      <c r="G8674" s="68"/>
      <c r="K8674" s="68"/>
    </row>
    <row r="8675" spans="2:11" ht="12.75">
      <c r="B8675" s="4"/>
      <c r="D8675" s="67"/>
      <c r="G8675" s="68"/>
      <c r="K8675" s="68"/>
    </row>
    <row r="8676" spans="2:11" ht="12.75">
      <c r="B8676" s="4"/>
      <c r="D8676" s="67"/>
      <c r="G8676" s="68"/>
      <c r="K8676" s="68"/>
    </row>
    <row r="8677" spans="2:11" ht="12.75">
      <c r="B8677" s="4"/>
      <c r="D8677" s="67"/>
      <c r="G8677" s="68"/>
      <c r="K8677" s="68"/>
    </row>
    <row r="8678" spans="2:11" ht="12.75">
      <c r="B8678" s="4"/>
      <c r="D8678" s="67"/>
      <c r="G8678" s="68"/>
      <c r="K8678" s="68"/>
    </row>
    <row r="8679" spans="2:11" ht="12.75">
      <c r="B8679" s="4"/>
      <c r="D8679" s="67"/>
      <c r="G8679" s="68"/>
      <c r="K8679" s="68"/>
    </row>
    <row r="8680" spans="2:11" ht="12.75">
      <c r="B8680" s="4"/>
      <c r="D8680" s="67"/>
      <c r="G8680" s="68"/>
      <c r="K8680" s="68"/>
    </row>
    <row r="8681" spans="2:11" ht="12.75">
      <c r="B8681" s="4"/>
      <c r="D8681" s="67"/>
      <c r="G8681" s="68"/>
      <c r="K8681" s="68"/>
    </row>
    <row r="8682" spans="2:11" ht="12.75">
      <c r="B8682" s="4"/>
      <c r="D8682" s="67"/>
      <c r="G8682" s="68"/>
      <c r="K8682" s="68"/>
    </row>
    <row r="8683" spans="2:11" ht="12.75">
      <c r="B8683" s="4"/>
      <c r="D8683" s="67"/>
      <c r="G8683" s="68"/>
      <c r="K8683" s="68"/>
    </row>
    <row r="8684" spans="2:11" ht="12.75">
      <c r="B8684" s="4"/>
      <c r="D8684" s="67"/>
      <c r="G8684" s="68"/>
      <c r="K8684" s="68"/>
    </row>
    <row r="8685" spans="2:11" ht="12.75">
      <c r="B8685" s="4"/>
      <c r="D8685" s="67"/>
      <c r="G8685" s="68"/>
      <c r="K8685" s="68"/>
    </row>
    <row r="8686" spans="2:11" ht="12.75">
      <c r="B8686" s="4"/>
      <c r="D8686" s="67"/>
      <c r="G8686" s="68"/>
      <c r="K8686" s="68"/>
    </row>
    <row r="8687" spans="2:11" ht="12.75">
      <c r="B8687" s="4"/>
      <c r="D8687" s="67"/>
      <c r="G8687" s="68"/>
      <c r="K8687" s="68"/>
    </row>
    <row r="8688" spans="2:11" ht="12.75">
      <c r="B8688" s="4"/>
      <c r="D8688" s="67"/>
      <c r="G8688" s="68"/>
      <c r="K8688" s="68"/>
    </row>
    <row r="8689" spans="2:11" ht="12.75">
      <c r="B8689" s="4"/>
      <c r="D8689" s="67"/>
      <c r="G8689" s="68"/>
      <c r="K8689" s="68"/>
    </row>
    <row r="8690" spans="2:11" ht="12.75">
      <c r="B8690" s="4"/>
      <c r="D8690" s="67"/>
      <c r="G8690" s="68"/>
      <c r="K8690" s="68"/>
    </row>
    <row r="8691" spans="2:11" ht="12.75">
      <c r="B8691" s="4"/>
      <c r="D8691" s="67"/>
      <c r="G8691" s="68"/>
      <c r="K8691" s="68"/>
    </row>
    <row r="8692" spans="2:11" ht="12.75">
      <c r="B8692" s="4"/>
      <c r="D8692" s="67"/>
      <c r="G8692" s="68"/>
      <c r="K8692" s="68"/>
    </row>
    <row r="8693" spans="2:11" ht="12.75">
      <c r="B8693" s="4"/>
      <c r="D8693" s="67"/>
      <c r="G8693" s="68"/>
      <c r="K8693" s="68"/>
    </row>
    <row r="8694" spans="2:11" ht="12.75">
      <c r="B8694" s="4"/>
      <c r="D8694" s="67"/>
      <c r="G8694" s="68"/>
      <c r="K8694" s="68"/>
    </row>
    <row r="8695" spans="2:11" ht="12.75">
      <c r="B8695" s="4"/>
      <c r="D8695" s="67"/>
      <c r="G8695" s="68"/>
      <c r="K8695" s="68"/>
    </row>
    <row r="8696" spans="2:11" ht="12.75">
      <c r="B8696" s="4"/>
      <c r="D8696" s="67"/>
      <c r="G8696" s="68"/>
      <c r="K8696" s="68"/>
    </row>
    <row r="8697" spans="2:11" ht="12.75">
      <c r="B8697" s="4"/>
      <c r="D8697" s="67"/>
      <c r="G8697" s="68"/>
      <c r="K8697" s="68"/>
    </row>
    <row r="8698" spans="2:11" ht="12.75">
      <c r="B8698" s="4"/>
      <c r="D8698" s="67"/>
      <c r="G8698" s="68"/>
      <c r="K8698" s="68"/>
    </row>
    <row r="8699" spans="2:11" ht="12.75">
      <c r="B8699" s="4"/>
      <c r="D8699" s="67"/>
      <c r="G8699" s="68"/>
      <c r="K8699" s="68"/>
    </row>
    <row r="8700" spans="2:11" ht="12.75">
      <c r="B8700" s="4"/>
      <c r="D8700" s="67"/>
      <c r="G8700" s="68"/>
      <c r="K8700" s="68"/>
    </row>
    <row r="8701" spans="2:11" ht="12.75">
      <c r="B8701" s="4"/>
      <c r="D8701" s="67"/>
      <c r="G8701" s="68"/>
      <c r="K8701" s="68"/>
    </row>
    <row r="8702" spans="2:11" ht="12.75">
      <c r="B8702" s="4"/>
      <c r="D8702" s="67"/>
      <c r="G8702" s="68"/>
      <c r="K8702" s="68"/>
    </row>
    <row r="8703" spans="2:11" ht="12.75">
      <c r="B8703" s="4"/>
      <c r="D8703" s="67"/>
      <c r="G8703" s="68"/>
      <c r="K8703" s="68"/>
    </row>
    <row r="8704" spans="2:11" ht="12.75">
      <c r="B8704" s="4"/>
      <c r="D8704" s="67"/>
      <c r="G8704" s="68"/>
      <c r="K8704" s="68"/>
    </row>
    <row r="8705" spans="2:11" ht="12.75">
      <c r="B8705" s="4"/>
      <c r="D8705" s="67"/>
      <c r="G8705" s="68"/>
      <c r="K8705" s="68"/>
    </row>
    <row r="8706" spans="2:11" ht="12.75">
      <c r="B8706" s="4"/>
      <c r="D8706" s="67"/>
      <c r="G8706" s="68"/>
      <c r="K8706" s="68"/>
    </row>
    <row r="8707" spans="2:11" ht="12.75">
      <c r="B8707" s="4"/>
      <c r="D8707" s="67"/>
      <c r="G8707" s="68"/>
      <c r="K8707" s="68"/>
    </row>
    <row r="8708" spans="2:11" ht="12.75">
      <c r="B8708" s="4"/>
      <c r="D8708" s="67"/>
      <c r="G8708" s="68"/>
      <c r="K8708" s="68"/>
    </row>
    <row r="8709" spans="2:11" ht="12.75">
      <c r="B8709" s="4"/>
      <c r="D8709" s="67"/>
      <c r="G8709" s="68"/>
      <c r="K8709" s="68"/>
    </row>
    <row r="8710" spans="2:11" ht="12.75">
      <c r="B8710" s="4"/>
      <c r="D8710" s="67"/>
      <c r="G8710" s="68"/>
      <c r="K8710" s="68"/>
    </row>
    <row r="8711" spans="2:11" ht="12.75">
      <c r="B8711" s="4"/>
      <c r="D8711" s="67"/>
      <c r="G8711" s="68"/>
      <c r="K8711" s="68"/>
    </row>
    <row r="8712" spans="2:11" ht="12.75">
      <c r="B8712" s="4"/>
      <c r="D8712" s="67"/>
      <c r="G8712" s="68"/>
      <c r="K8712" s="68"/>
    </row>
    <row r="8713" spans="2:11" ht="12.75">
      <c r="B8713" s="4"/>
      <c r="D8713" s="67"/>
      <c r="G8713" s="68"/>
      <c r="K8713" s="68"/>
    </row>
    <row r="8714" spans="2:11" ht="12.75">
      <c r="B8714" s="4"/>
      <c r="D8714" s="67"/>
      <c r="G8714" s="68"/>
      <c r="K8714" s="68"/>
    </row>
    <row r="8715" spans="2:11" ht="12.75">
      <c r="B8715" s="4"/>
      <c r="D8715" s="67"/>
      <c r="G8715" s="68"/>
      <c r="K8715" s="68"/>
    </row>
    <row r="8716" spans="2:11" ht="12.75">
      <c r="B8716" s="4"/>
      <c r="D8716" s="67"/>
      <c r="G8716" s="68"/>
      <c r="K8716" s="68"/>
    </row>
    <row r="8717" spans="2:11" ht="12.75">
      <c r="B8717" s="4"/>
      <c r="D8717" s="67"/>
      <c r="G8717" s="68"/>
      <c r="K8717" s="68"/>
    </row>
    <row r="8718" spans="2:11" ht="12.75">
      <c r="B8718" s="4"/>
      <c r="D8718" s="67"/>
      <c r="G8718" s="68"/>
      <c r="K8718" s="68"/>
    </row>
    <row r="8719" spans="2:11" ht="12.75">
      <c r="B8719" s="4"/>
      <c r="D8719" s="67"/>
      <c r="G8719" s="68"/>
      <c r="K8719" s="68"/>
    </row>
    <row r="8720" spans="2:11" ht="12.75">
      <c r="B8720" s="4"/>
      <c r="D8720" s="67"/>
      <c r="G8720" s="68"/>
      <c r="K8720" s="68"/>
    </row>
    <row r="8721" spans="2:11" ht="12.75">
      <c r="B8721" s="4"/>
      <c r="D8721" s="67"/>
      <c r="G8721" s="68"/>
      <c r="K8721" s="68"/>
    </row>
    <row r="8722" spans="2:11" ht="12.75">
      <c r="B8722" s="4"/>
      <c r="D8722" s="67"/>
      <c r="G8722" s="68"/>
      <c r="K8722" s="68"/>
    </row>
    <row r="8723" spans="2:11" ht="12.75">
      <c r="B8723" s="4"/>
      <c r="D8723" s="67"/>
      <c r="G8723" s="68"/>
      <c r="K8723" s="68"/>
    </row>
    <row r="8724" spans="2:11" ht="12.75">
      <c r="B8724" s="4"/>
      <c r="D8724" s="67"/>
      <c r="G8724" s="68"/>
      <c r="K8724" s="68"/>
    </row>
    <row r="8725" spans="2:11" ht="12.75">
      <c r="B8725" s="4"/>
      <c r="D8725" s="67"/>
      <c r="G8725" s="68"/>
      <c r="K8725" s="68"/>
    </row>
    <row r="8726" spans="2:11" ht="12.75">
      <c r="B8726" s="4"/>
      <c r="D8726" s="67"/>
      <c r="G8726" s="68"/>
      <c r="K8726" s="68"/>
    </row>
    <row r="8727" spans="2:11" ht="12.75">
      <c r="B8727" s="4"/>
      <c r="D8727" s="67"/>
      <c r="G8727" s="68"/>
      <c r="K8727" s="68"/>
    </row>
    <row r="8728" spans="2:11" ht="12.75">
      <c r="B8728" s="4"/>
      <c r="D8728" s="67"/>
      <c r="G8728" s="68"/>
      <c r="K8728" s="68"/>
    </row>
    <row r="8729" spans="2:11" ht="12.75">
      <c r="B8729" s="4"/>
      <c r="D8729" s="67"/>
      <c r="G8729" s="68"/>
      <c r="K8729" s="68"/>
    </row>
    <row r="8730" spans="2:11" ht="12.75">
      <c r="B8730" s="4"/>
      <c r="D8730" s="67"/>
      <c r="G8730" s="68"/>
      <c r="K8730" s="68"/>
    </row>
    <row r="8731" spans="2:11" ht="12.75">
      <c r="B8731" s="4"/>
      <c r="D8731" s="67"/>
      <c r="G8731" s="68"/>
      <c r="K8731" s="68"/>
    </row>
    <row r="8732" spans="2:11" ht="12.75">
      <c r="B8732" s="4"/>
      <c r="D8732" s="67"/>
      <c r="G8732" s="68"/>
      <c r="K8732" s="68"/>
    </row>
    <row r="8733" spans="2:11" ht="12.75">
      <c r="B8733" s="4"/>
      <c r="D8733" s="67"/>
      <c r="G8733" s="68"/>
      <c r="K8733" s="68"/>
    </row>
    <row r="8734" spans="2:11" ht="12.75">
      <c r="B8734" s="4"/>
      <c r="D8734" s="67"/>
      <c r="G8734" s="68"/>
      <c r="K8734" s="68"/>
    </row>
    <row r="8735" spans="2:11" ht="12.75">
      <c r="B8735" s="4"/>
      <c r="D8735" s="67"/>
      <c r="G8735" s="68"/>
      <c r="K8735" s="68"/>
    </row>
    <row r="8736" spans="2:11" ht="12.75">
      <c r="B8736" s="4"/>
      <c r="D8736" s="67"/>
      <c r="G8736" s="68"/>
      <c r="K8736" s="68"/>
    </row>
    <row r="8737" spans="2:11" ht="12.75">
      <c r="B8737" s="4"/>
      <c r="D8737" s="67"/>
      <c r="G8737" s="68"/>
      <c r="K8737" s="68"/>
    </row>
    <row r="8738" spans="2:11" ht="12.75">
      <c r="B8738" s="4"/>
      <c r="D8738" s="67"/>
      <c r="G8738" s="68"/>
      <c r="K8738" s="68"/>
    </row>
    <row r="8739" spans="2:11" ht="12.75">
      <c r="B8739" s="4"/>
      <c r="D8739" s="67"/>
      <c r="G8739" s="68"/>
      <c r="K8739" s="68"/>
    </row>
    <row r="8740" spans="2:11" ht="12.75">
      <c r="B8740" s="4"/>
      <c r="D8740" s="67"/>
      <c r="G8740" s="68"/>
      <c r="K8740" s="68"/>
    </row>
    <row r="8741" spans="2:11" ht="12.75">
      <c r="B8741" s="4"/>
      <c r="D8741" s="67"/>
      <c r="G8741" s="68"/>
      <c r="K8741" s="68"/>
    </row>
    <row r="8742" spans="2:11" ht="12.75">
      <c r="B8742" s="4"/>
      <c r="D8742" s="67"/>
      <c r="G8742" s="68"/>
      <c r="K8742" s="68"/>
    </row>
    <row r="8743" spans="2:11" ht="12.75">
      <c r="B8743" s="4"/>
      <c r="D8743" s="67"/>
      <c r="G8743" s="68"/>
      <c r="K8743" s="68"/>
    </row>
    <row r="8744" spans="2:11" ht="12.75">
      <c r="B8744" s="4"/>
      <c r="D8744" s="67"/>
      <c r="G8744" s="68"/>
      <c r="K8744" s="68"/>
    </row>
    <row r="8745" spans="2:11" ht="12.75">
      <c r="B8745" s="4"/>
      <c r="D8745" s="67"/>
      <c r="G8745" s="68"/>
      <c r="K8745" s="68"/>
    </row>
    <row r="8746" spans="2:11" ht="12.75">
      <c r="B8746" s="4"/>
      <c r="D8746" s="67"/>
      <c r="G8746" s="68"/>
      <c r="K8746" s="68"/>
    </row>
    <row r="8747" spans="2:11" ht="12.75">
      <c r="B8747" s="4"/>
      <c r="D8747" s="67"/>
      <c r="G8747" s="68"/>
      <c r="K8747" s="68"/>
    </row>
    <row r="8748" spans="2:11" ht="12.75">
      <c r="B8748" s="4"/>
      <c r="D8748" s="67"/>
      <c r="G8748" s="68"/>
      <c r="K8748" s="68"/>
    </row>
    <row r="8749" spans="2:11" ht="12.75">
      <c r="B8749" s="4"/>
      <c r="D8749" s="67"/>
      <c r="G8749" s="68"/>
      <c r="K8749" s="68"/>
    </row>
    <row r="8750" spans="2:11" ht="12.75">
      <c r="B8750" s="4"/>
      <c r="D8750" s="67"/>
      <c r="G8750" s="68"/>
      <c r="K8750" s="68"/>
    </row>
    <row r="8751" spans="2:11" ht="12.75">
      <c r="B8751" s="4"/>
      <c r="D8751" s="67"/>
      <c r="G8751" s="68"/>
      <c r="K8751" s="68"/>
    </row>
    <row r="8752" spans="2:11" ht="12.75">
      <c r="B8752" s="4"/>
      <c r="D8752" s="67"/>
      <c r="G8752" s="68"/>
      <c r="K8752" s="68"/>
    </row>
    <row r="8753" spans="2:11" ht="12.75">
      <c r="B8753" s="4"/>
      <c r="D8753" s="67"/>
      <c r="G8753" s="68"/>
      <c r="K8753" s="68"/>
    </row>
    <row r="8754" spans="2:11" ht="12.75">
      <c r="B8754" s="4"/>
      <c r="D8754" s="67"/>
      <c r="G8754" s="68"/>
      <c r="K8754" s="68"/>
    </row>
    <row r="8755" spans="2:11" ht="12.75">
      <c r="B8755" s="4"/>
      <c r="D8755" s="67"/>
      <c r="G8755" s="68"/>
      <c r="K8755" s="68"/>
    </row>
    <row r="8756" spans="2:11" ht="12.75">
      <c r="B8756" s="4"/>
      <c r="D8756" s="67"/>
      <c r="G8756" s="68"/>
      <c r="K8756" s="68"/>
    </row>
    <row r="8757" spans="2:11" ht="12.75">
      <c r="B8757" s="4"/>
      <c r="D8757" s="67"/>
      <c r="G8757" s="68"/>
      <c r="K8757" s="68"/>
    </row>
    <row r="8758" spans="2:11" ht="12.75">
      <c r="B8758" s="4"/>
      <c r="D8758" s="67"/>
      <c r="G8758" s="68"/>
      <c r="K8758" s="68"/>
    </row>
    <row r="8759" spans="2:11" ht="12.75">
      <c r="B8759" s="4"/>
      <c r="D8759" s="67"/>
      <c r="G8759" s="68"/>
      <c r="K8759" s="68"/>
    </row>
    <row r="8760" spans="2:11" ht="12.75">
      <c r="B8760" s="4"/>
      <c r="D8760" s="67"/>
      <c r="G8760" s="68"/>
      <c r="K8760" s="68"/>
    </row>
    <row r="8761" spans="2:11" ht="12.75">
      <c r="B8761" s="4"/>
      <c r="D8761" s="67"/>
      <c r="G8761" s="68"/>
      <c r="K8761" s="68"/>
    </row>
    <row r="8762" spans="2:11" ht="12.75">
      <c r="B8762" s="4"/>
      <c r="D8762" s="67"/>
      <c r="G8762" s="68"/>
      <c r="K8762" s="68"/>
    </row>
    <row r="8763" spans="2:11" ht="12.75">
      <c r="B8763" s="4"/>
      <c r="D8763" s="67"/>
      <c r="G8763" s="68"/>
      <c r="K8763" s="68"/>
    </row>
    <row r="8764" spans="2:11" ht="12.75">
      <c r="B8764" s="4"/>
      <c r="D8764" s="67"/>
      <c r="G8764" s="68"/>
      <c r="K8764" s="68"/>
    </row>
    <row r="8765" spans="2:11" ht="12.75">
      <c r="B8765" s="4"/>
      <c r="D8765" s="67"/>
      <c r="G8765" s="68"/>
      <c r="K8765" s="68"/>
    </row>
    <row r="8766" spans="2:11" ht="12.75">
      <c r="B8766" s="4"/>
      <c r="D8766" s="67"/>
      <c r="G8766" s="68"/>
      <c r="K8766" s="68"/>
    </row>
    <row r="8767" spans="2:11" ht="12.75">
      <c r="B8767" s="4"/>
      <c r="D8767" s="67"/>
      <c r="G8767" s="68"/>
      <c r="K8767" s="68"/>
    </row>
    <row r="8768" spans="2:11" ht="12.75">
      <c r="B8768" s="4"/>
      <c r="D8768" s="67"/>
      <c r="G8768" s="68"/>
      <c r="K8768" s="68"/>
    </row>
    <row r="8769" spans="2:11" ht="12.75">
      <c r="B8769" s="4"/>
      <c r="D8769" s="67"/>
      <c r="G8769" s="68"/>
      <c r="K8769" s="68"/>
    </row>
    <row r="8770" spans="2:11" ht="12.75">
      <c r="B8770" s="4"/>
      <c r="D8770" s="67"/>
      <c r="G8770" s="68"/>
      <c r="K8770" s="68"/>
    </row>
    <row r="8771" spans="2:11" ht="12.75">
      <c r="B8771" s="4"/>
      <c r="D8771" s="67"/>
      <c r="G8771" s="68"/>
      <c r="K8771" s="68"/>
    </row>
    <row r="8772" spans="2:11" ht="12.75">
      <c r="B8772" s="4"/>
      <c r="D8772" s="67"/>
      <c r="G8772" s="68"/>
      <c r="K8772" s="68"/>
    </row>
    <row r="8773" spans="2:11" ht="12.75">
      <c r="B8773" s="4"/>
      <c r="D8773" s="67"/>
      <c r="G8773" s="68"/>
      <c r="K8773" s="68"/>
    </row>
    <row r="8774" spans="2:11" ht="12.75">
      <c r="B8774" s="4"/>
      <c r="D8774" s="67"/>
      <c r="G8774" s="68"/>
      <c r="K8774" s="68"/>
    </row>
    <row r="8775" spans="2:11" ht="12.75">
      <c r="B8775" s="4"/>
      <c r="D8775" s="67"/>
      <c r="G8775" s="68"/>
      <c r="K8775" s="68"/>
    </row>
    <row r="8776" spans="2:11" ht="12.75">
      <c r="B8776" s="4"/>
      <c r="D8776" s="67"/>
      <c r="G8776" s="68"/>
      <c r="K8776" s="68"/>
    </row>
    <row r="8777" spans="2:11" ht="12.75">
      <c r="B8777" s="4"/>
      <c r="D8777" s="67"/>
      <c r="G8777" s="68"/>
      <c r="K8777" s="68"/>
    </row>
    <row r="8778" spans="2:11" ht="12.75">
      <c r="B8778" s="4"/>
      <c r="D8778" s="67"/>
      <c r="G8778" s="68"/>
      <c r="K8778" s="68"/>
    </row>
    <row r="8779" spans="2:11" ht="12.75">
      <c r="B8779" s="4"/>
      <c r="D8779" s="67"/>
      <c r="G8779" s="68"/>
      <c r="K8779" s="68"/>
    </row>
    <row r="8780" spans="2:11" ht="12.75">
      <c r="B8780" s="4"/>
      <c r="D8780" s="67"/>
      <c r="G8780" s="68"/>
      <c r="K8780" s="68"/>
    </row>
    <row r="8781" spans="2:11" ht="12.75">
      <c r="B8781" s="4"/>
      <c r="D8781" s="67"/>
      <c r="G8781" s="68"/>
      <c r="K8781" s="68"/>
    </row>
    <row r="8782" spans="2:11" ht="12.75">
      <c r="B8782" s="4"/>
      <c r="D8782" s="67"/>
      <c r="G8782" s="68"/>
      <c r="K8782" s="68"/>
    </row>
    <row r="8783" spans="2:11" ht="12.75">
      <c r="B8783" s="4"/>
      <c r="D8783" s="67"/>
      <c r="G8783" s="68"/>
      <c r="K8783" s="68"/>
    </row>
    <row r="8784" spans="2:11" ht="12.75">
      <c r="B8784" s="4"/>
      <c r="D8784" s="67"/>
      <c r="G8784" s="68"/>
      <c r="K8784" s="68"/>
    </row>
    <row r="8785" spans="2:11" ht="12.75">
      <c r="B8785" s="4"/>
      <c r="D8785" s="67"/>
      <c r="G8785" s="68"/>
      <c r="K8785" s="68"/>
    </row>
    <row r="8786" spans="2:11" ht="12.75">
      <c r="B8786" s="4"/>
      <c r="D8786" s="67"/>
      <c r="G8786" s="68"/>
      <c r="K8786" s="68"/>
    </row>
    <row r="8787" spans="2:11" ht="12.75">
      <c r="B8787" s="4"/>
      <c r="D8787" s="67"/>
      <c r="G8787" s="68"/>
      <c r="K8787" s="68"/>
    </row>
    <row r="8788" spans="2:11" ht="12.75">
      <c r="B8788" s="4"/>
      <c r="D8788" s="67"/>
      <c r="G8788" s="68"/>
      <c r="K8788" s="68"/>
    </row>
    <row r="8789" spans="2:11" ht="12.75">
      <c r="B8789" s="4"/>
      <c r="D8789" s="67"/>
      <c r="G8789" s="68"/>
      <c r="K8789" s="68"/>
    </row>
    <row r="8790" spans="2:11" ht="12.75">
      <c r="B8790" s="4"/>
      <c r="D8790" s="67"/>
      <c r="G8790" s="68"/>
      <c r="K8790" s="68"/>
    </row>
    <row r="8791" spans="2:11" ht="12.75">
      <c r="B8791" s="4"/>
      <c r="D8791" s="67"/>
      <c r="G8791" s="68"/>
      <c r="K8791" s="68"/>
    </row>
    <row r="8792" spans="2:11" ht="12.75">
      <c r="B8792" s="4"/>
      <c r="D8792" s="67"/>
      <c r="G8792" s="68"/>
      <c r="K8792" s="68"/>
    </row>
    <row r="8793" spans="2:11" ht="12.75">
      <c r="B8793" s="4"/>
      <c r="D8793" s="67"/>
      <c r="G8793" s="68"/>
      <c r="K8793" s="68"/>
    </row>
    <row r="8794" spans="2:11" ht="12.75">
      <c r="B8794" s="4"/>
      <c r="D8794" s="67"/>
      <c r="G8794" s="68"/>
      <c r="K8794" s="68"/>
    </row>
    <row r="8795" spans="2:11" ht="12.75">
      <c r="B8795" s="4"/>
      <c r="D8795" s="67"/>
      <c r="G8795" s="68"/>
      <c r="K8795" s="68"/>
    </row>
    <row r="8796" spans="2:11" ht="12.75">
      <c r="D8796" s="67"/>
      <c r="G8796" s="68"/>
      <c r="K8796" s="68"/>
    </row>
    <row r="8797" spans="2:11" ht="12.75">
      <c r="D8797" s="67"/>
      <c r="G8797" s="68"/>
      <c r="K8797" s="68"/>
    </row>
    <row r="8798" spans="2:11" ht="12.75">
      <c r="D8798" s="67"/>
      <c r="G8798" s="68"/>
      <c r="K8798" s="68"/>
    </row>
    <row r="8799" spans="2:11" ht="12.75">
      <c r="B8799" s="4"/>
      <c r="D8799" s="67"/>
      <c r="G8799" s="68"/>
      <c r="K8799" s="68"/>
    </row>
    <row r="8800" spans="2:11" ht="12.75">
      <c r="B8800" s="4"/>
      <c r="D8800" s="67"/>
      <c r="G8800" s="68"/>
      <c r="K8800" s="68"/>
    </row>
    <row r="8801" spans="2:11" ht="12.75">
      <c r="B8801" s="4"/>
      <c r="D8801" s="67"/>
      <c r="G8801" s="68"/>
      <c r="K8801" s="68"/>
    </row>
    <row r="8802" spans="2:11" ht="12.75">
      <c r="B8802" s="4"/>
      <c r="D8802" s="67"/>
      <c r="G8802" s="68"/>
      <c r="K8802" s="68"/>
    </row>
    <row r="8803" spans="2:11" ht="12.75">
      <c r="B8803" s="4"/>
      <c r="D8803" s="67"/>
      <c r="G8803" s="68"/>
      <c r="K8803" s="68"/>
    </row>
    <row r="8804" spans="2:11" ht="12.75">
      <c r="B8804" s="4"/>
      <c r="D8804" s="67"/>
      <c r="G8804" s="68"/>
      <c r="K8804" s="68"/>
    </row>
    <row r="8805" spans="2:11" ht="12.75">
      <c r="B8805" s="4"/>
      <c r="D8805" s="67"/>
      <c r="G8805" s="68"/>
      <c r="K8805" s="68"/>
    </row>
    <row r="8806" spans="2:11" ht="12.75">
      <c r="B8806" s="4"/>
      <c r="D8806" s="67"/>
      <c r="G8806" s="68"/>
      <c r="K8806" s="68"/>
    </row>
    <row r="8807" spans="2:11" ht="12.75">
      <c r="B8807" s="4"/>
      <c r="D8807" s="67"/>
      <c r="G8807" s="68"/>
      <c r="K8807" s="68"/>
    </row>
    <row r="8808" spans="2:11" ht="12.75">
      <c r="B8808" s="4"/>
      <c r="D8808" s="67"/>
      <c r="G8808" s="68"/>
      <c r="K8808" s="68"/>
    </row>
    <row r="8809" spans="2:11" ht="12.75">
      <c r="B8809" s="4"/>
      <c r="D8809" s="67"/>
      <c r="G8809" s="68"/>
      <c r="K8809" s="68"/>
    </row>
    <row r="8810" spans="2:11" ht="12.75">
      <c r="B8810" s="4"/>
      <c r="D8810" s="67"/>
      <c r="G8810" s="68"/>
      <c r="K8810" s="68"/>
    </row>
    <row r="8811" spans="2:11" ht="12.75">
      <c r="B8811" s="4"/>
      <c r="D8811" s="67"/>
      <c r="G8811" s="68"/>
      <c r="K8811" s="68"/>
    </row>
    <row r="8812" spans="2:11" ht="12.75">
      <c r="B8812" s="4"/>
      <c r="D8812" s="67"/>
      <c r="G8812" s="68"/>
      <c r="K8812" s="68"/>
    </row>
    <row r="8813" spans="2:11" ht="12.75">
      <c r="B8813" s="4"/>
      <c r="D8813" s="67"/>
      <c r="G8813" s="68"/>
      <c r="K8813" s="68"/>
    </row>
    <row r="8814" spans="2:11" ht="12.75">
      <c r="B8814" s="4"/>
      <c r="D8814" s="67"/>
      <c r="G8814" s="68"/>
      <c r="K8814" s="68"/>
    </row>
    <row r="8815" spans="2:11" ht="12.75">
      <c r="B8815" s="4"/>
      <c r="D8815" s="67"/>
      <c r="G8815" s="68"/>
      <c r="K8815" s="68"/>
    </row>
    <row r="8816" spans="2:11" ht="12.75">
      <c r="B8816" s="4"/>
      <c r="D8816" s="67"/>
      <c r="G8816" s="68"/>
      <c r="K8816" s="68"/>
    </row>
    <row r="8817" spans="2:11" ht="12.75">
      <c r="B8817" s="4"/>
      <c r="D8817" s="67"/>
      <c r="G8817" s="68"/>
      <c r="K8817" s="68"/>
    </row>
    <row r="8818" spans="2:11" ht="12.75">
      <c r="B8818" s="4"/>
      <c r="D8818" s="67"/>
      <c r="G8818" s="68"/>
      <c r="K8818" s="68"/>
    </row>
    <row r="8819" spans="2:11" ht="12.75">
      <c r="B8819" s="4"/>
      <c r="D8819" s="67"/>
      <c r="G8819" s="68"/>
      <c r="K8819" s="68"/>
    </row>
    <row r="8820" spans="2:11" ht="12.75">
      <c r="B8820" s="4"/>
      <c r="D8820" s="67"/>
      <c r="G8820" s="68"/>
      <c r="K8820" s="68"/>
    </row>
    <row r="8821" spans="2:11" ht="12.75">
      <c r="B8821" s="4"/>
      <c r="D8821" s="67"/>
      <c r="G8821" s="68"/>
      <c r="K8821" s="68"/>
    </row>
    <row r="8822" spans="2:11" ht="12.75">
      <c r="B8822" s="4"/>
      <c r="D8822" s="67"/>
      <c r="G8822" s="68"/>
      <c r="K8822" s="68"/>
    </row>
    <row r="8823" spans="2:11" ht="12.75">
      <c r="B8823" s="4"/>
      <c r="D8823" s="67"/>
      <c r="G8823" s="68"/>
      <c r="K8823" s="68"/>
    </row>
    <row r="8824" spans="2:11" ht="12.75">
      <c r="B8824" s="4"/>
      <c r="D8824" s="67"/>
      <c r="G8824" s="68"/>
      <c r="K8824" s="68"/>
    </row>
    <row r="8825" spans="2:11" ht="12.75">
      <c r="B8825" s="4"/>
      <c r="D8825" s="67"/>
      <c r="G8825" s="68"/>
      <c r="K8825" s="68"/>
    </row>
    <row r="8826" spans="2:11" ht="12.75">
      <c r="B8826" s="4"/>
      <c r="D8826" s="67"/>
      <c r="G8826" s="68"/>
      <c r="K8826" s="68"/>
    </row>
    <row r="8827" spans="2:11" ht="12.75">
      <c r="B8827" s="4"/>
      <c r="D8827" s="67"/>
      <c r="G8827" s="68"/>
      <c r="K8827" s="68"/>
    </row>
    <row r="8828" spans="2:11" ht="12.75">
      <c r="B8828" s="4"/>
      <c r="D8828" s="67"/>
      <c r="G8828" s="68"/>
      <c r="K8828" s="68"/>
    </row>
    <row r="8829" spans="2:11" ht="12.75">
      <c r="B8829" s="4"/>
      <c r="D8829" s="67"/>
      <c r="G8829" s="68"/>
      <c r="K8829" s="68"/>
    </row>
    <row r="8830" spans="2:11" ht="12.75">
      <c r="B8830" s="4"/>
      <c r="D8830" s="67"/>
      <c r="G8830" s="68"/>
      <c r="K8830" s="68"/>
    </row>
    <row r="8831" spans="2:11" ht="12.75">
      <c r="B8831" s="4"/>
      <c r="D8831" s="67"/>
      <c r="G8831" s="68"/>
      <c r="K8831" s="68"/>
    </row>
    <row r="8832" spans="2:11" ht="12.75">
      <c r="B8832" s="4"/>
      <c r="D8832" s="67"/>
      <c r="G8832" s="68"/>
      <c r="K8832" s="68"/>
    </row>
    <row r="8833" spans="2:11" ht="12.75">
      <c r="B8833" s="4"/>
      <c r="D8833" s="67"/>
      <c r="G8833" s="68"/>
      <c r="K8833" s="68"/>
    </row>
    <row r="8834" spans="2:11" ht="12.75">
      <c r="B8834" s="4"/>
      <c r="D8834" s="67"/>
      <c r="G8834" s="68"/>
      <c r="K8834" s="68"/>
    </row>
    <row r="8835" spans="2:11" ht="12.75">
      <c r="B8835" s="4"/>
      <c r="D8835" s="67"/>
      <c r="G8835" s="68"/>
      <c r="K8835" s="68"/>
    </row>
    <row r="8836" spans="2:11" ht="12.75">
      <c r="B8836" s="4"/>
      <c r="D8836" s="67"/>
      <c r="G8836" s="68"/>
      <c r="K8836" s="68"/>
    </row>
    <row r="8837" spans="2:11" ht="12.75">
      <c r="B8837" s="4"/>
      <c r="D8837" s="67"/>
      <c r="G8837" s="68"/>
      <c r="K8837" s="68"/>
    </row>
    <row r="8838" spans="2:11" ht="12.75">
      <c r="B8838" s="4"/>
      <c r="D8838" s="67"/>
      <c r="G8838" s="68"/>
      <c r="K8838" s="68"/>
    </row>
    <row r="8839" spans="2:11" ht="12.75">
      <c r="B8839" s="4"/>
      <c r="D8839" s="67"/>
      <c r="G8839" s="68"/>
      <c r="K8839" s="68"/>
    </row>
    <row r="8840" spans="2:11" ht="12.75">
      <c r="B8840" s="4"/>
      <c r="D8840" s="67"/>
      <c r="G8840" s="68"/>
      <c r="K8840" s="68"/>
    </row>
    <row r="8841" spans="2:11" ht="12.75">
      <c r="B8841" s="4"/>
      <c r="D8841" s="67"/>
      <c r="G8841" s="68"/>
      <c r="K8841" s="68"/>
    </row>
    <row r="8842" spans="2:11" ht="12.75">
      <c r="B8842" s="4"/>
      <c r="D8842" s="67"/>
      <c r="G8842" s="68"/>
      <c r="K8842" s="68"/>
    </row>
    <row r="8843" spans="2:11" ht="12.75">
      <c r="B8843" s="4"/>
      <c r="D8843" s="67"/>
      <c r="G8843" s="68"/>
      <c r="K8843" s="68"/>
    </row>
    <row r="8844" spans="2:11" ht="12.75">
      <c r="B8844" s="4"/>
      <c r="D8844" s="67"/>
      <c r="G8844" s="68"/>
      <c r="K8844" s="68"/>
    </row>
    <row r="8845" spans="2:11" ht="12.75">
      <c r="B8845" s="4"/>
      <c r="D8845" s="67"/>
      <c r="G8845" s="68"/>
      <c r="K8845" s="68"/>
    </row>
    <row r="8846" spans="2:11" ht="12.75">
      <c r="B8846" s="4"/>
      <c r="D8846" s="67"/>
      <c r="G8846" s="68"/>
      <c r="K8846" s="68"/>
    </row>
    <row r="8847" spans="2:11" ht="12.75">
      <c r="B8847" s="4"/>
      <c r="D8847" s="67"/>
      <c r="G8847" s="68"/>
      <c r="K8847" s="68"/>
    </row>
    <row r="8848" spans="2:11" ht="12.75">
      <c r="B8848" s="4"/>
      <c r="D8848" s="67"/>
      <c r="G8848" s="68"/>
      <c r="K8848" s="68"/>
    </row>
    <row r="8849" spans="2:11" ht="12.75">
      <c r="B8849" s="4"/>
      <c r="D8849" s="67"/>
      <c r="G8849" s="68"/>
      <c r="K8849" s="68"/>
    </row>
    <row r="8850" spans="2:11" ht="12.75">
      <c r="B8850" s="4"/>
      <c r="D8850" s="67"/>
      <c r="G8850" s="68"/>
      <c r="K8850" s="68"/>
    </row>
    <row r="8851" spans="2:11" ht="12.75">
      <c r="B8851" s="4"/>
      <c r="D8851" s="67"/>
      <c r="G8851" s="68"/>
      <c r="K8851" s="68"/>
    </row>
    <row r="8852" spans="2:11" ht="12.75">
      <c r="B8852" s="4"/>
      <c r="D8852" s="67"/>
      <c r="G8852" s="68"/>
      <c r="K8852" s="68"/>
    </row>
    <row r="8853" spans="2:11" ht="12.75">
      <c r="B8853" s="4"/>
      <c r="D8853" s="67"/>
      <c r="G8853" s="68"/>
      <c r="K8853" s="68"/>
    </row>
    <row r="8854" spans="2:11" ht="12.75">
      <c r="B8854" s="4"/>
      <c r="D8854" s="67"/>
      <c r="G8854" s="68"/>
      <c r="K8854" s="68"/>
    </row>
    <row r="8855" spans="2:11" ht="12.75">
      <c r="B8855" s="4"/>
      <c r="D8855" s="67"/>
      <c r="G8855" s="68"/>
      <c r="K8855" s="68"/>
    </row>
    <row r="8856" spans="2:11" ht="12.75">
      <c r="B8856" s="4"/>
      <c r="D8856" s="67"/>
      <c r="G8856" s="68"/>
      <c r="K8856" s="68"/>
    </row>
    <row r="8857" spans="2:11" ht="12.75">
      <c r="B8857" s="4"/>
      <c r="D8857" s="67"/>
      <c r="G8857" s="68"/>
      <c r="K8857" s="68"/>
    </row>
    <row r="8858" spans="2:11" ht="12.75">
      <c r="B8858" s="4"/>
      <c r="D8858" s="67"/>
      <c r="G8858" s="68"/>
      <c r="K8858" s="68"/>
    </row>
    <row r="8859" spans="2:11" ht="12.75">
      <c r="B8859" s="4"/>
      <c r="D8859" s="67"/>
      <c r="G8859" s="68"/>
      <c r="K8859" s="68"/>
    </row>
    <row r="8860" spans="2:11" ht="12.75">
      <c r="B8860" s="4"/>
      <c r="D8860" s="67"/>
      <c r="G8860" s="68"/>
      <c r="K8860" s="68"/>
    </row>
    <row r="8861" spans="2:11" ht="12.75">
      <c r="B8861" s="4"/>
      <c r="D8861" s="67"/>
      <c r="G8861" s="68"/>
      <c r="K8861" s="68"/>
    </row>
    <row r="8862" spans="2:11" ht="12.75">
      <c r="B8862" s="4"/>
      <c r="D8862" s="67"/>
      <c r="G8862" s="68"/>
      <c r="K8862" s="68"/>
    </row>
    <row r="8863" spans="2:11" ht="12.75">
      <c r="B8863" s="4"/>
      <c r="D8863" s="67"/>
      <c r="G8863" s="68"/>
      <c r="K8863" s="68"/>
    </row>
    <row r="8864" spans="2:11" ht="12.75">
      <c r="B8864" s="4"/>
      <c r="D8864" s="67"/>
      <c r="G8864" s="68"/>
      <c r="K8864" s="68"/>
    </row>
    <row r="8865" spans="2:11" ht="12.75">
      <c r="B8865" s="4"/>
      <c r="D8865" s="67"/>
      <c r="G8865" s="68"/>
      <c r="K8865" s="68"/>
    </row>
    <row r="8866" spans="2:11" ht="12.75">
      <c r="B8866" s="4"/>
      <c r="D8866" s="67"/>
      <c r="G8866" s="68"/>
      <c r="K8866" s="68"/>
    </row>
    <row r="8867" spans="2:11" ht="12.75">
      <c r="B8867" s="4"/>
      <c r="D8867" s="67"/>
      <c r="G8867" s="68"/>
      <c r="K8867" s="68"/>
    </row>
    <row r="8868" spans="2:11" ht="12.75">
      <c r="B8868" s="4"/>
      <c r="D8868" s="67"/>
      <c r="G8868" s="68"/>
      <c r="K8868" s="68"/>
    </row>
    <row r="8869" spans="2:11" ht="12.75">
      <c r="B8869" s="4"/>
      <c r="D8869" s="67"/>
      <c r="G8869" s="68"/>
      <c r="K8869" s="68"/>
    </row>
    <row r="8870" spans="2:11" ht="12.75">
      <c r="B8870" s="4"/>
      <c r="D8870" s="67"/>
      <c r="G8870" s="68"/>
      <c r="K8870" s="68"/>
    </row>
    <row r="8871" spans="2:11" ht="12.75">
      <c r="B8871" s="4"/>
      <c r="D8871" s="67"/>
      <c r="G8871" s="68"/>
      <c r="K8871" s="68"/>
    </row>
    <row r="8872" spans="2:11" ht="12.75">
      <c r="B8872" s="4"/>
      <c r="D8872" s="67"/>
      <c r="G8872" s="68"/>
      <c r="K8872" s="68"/>
    </row>
    <row r="8873" spans="2:11" ht="12.75">
      <c r="B8873" s="4"/>
      <c r="D8873" s="67"/>
      <c r="G8873" s="68"/>
      <c r="K8873" s="68"/>
    </row>
    <row r="8874" spans="2:11" ht="12.75">
      <c r="B8874" s="4"/>
      <c r="D8874" s="67"/>
      <c r="G8874" s="68"/>
      <c r="K8874" s="68"/>
    </row>
    <row r="8875" spans="2:11" ht="12.75">
      <c r="B8875" s="4"/>
      <c r="D8875" s="67"/>
      <c r="G8875" s="68"/>
      <c r="K8875" s="68"/>
    </row>
    <row r="8876" spans="2:11" ht="12.75">
      <c r="B8876" s="4"/>
      <c r="D8876" s="67"/>
      <c r="G8876" s="68"/>
      <c r="K8876" s="68"/>
    </row>
    <row r="8877" spans="2:11" ht="12.75">
      <c r="B8877" s="4"/>
      <c r="D8877" s="67"/>
      <c r="G8877" s="68"/>
      <c r="K8877" s="68"/>
    </row>
    <row r="8878" spans="2:11" ht="12.75">
      <c r="B8878" s="4"/>
      <c r="D8878" s="67"/>
      <c r="G8878" s="68"/>
      <c r="K8878" s="68"/>
    </row>
    <row r="8879" spans="2:11" ht="12.75">
      <c r="B8879" s="4"/>
      <c r="D8879" s="67"/>
      <c r="G8879" s="68"/>
      <c r="K8879" s="68"/>
    </row>
    <row r="8880" spans="2:11" ht="12.75">
      <c r="B8880" s="4"/>
      <c r="D8880" s="67"/>
      <c r="G8880" s="68"/>
      <c r="K8880" s="68"/>
    </row>
    <row r="8881" spans="2:11" ht="12.75">
      <c r="B8881" s="4"/>
      <c r="D8881" s="67"/>
      <c r="G8881" s="68"/>
      <c r="K8881" s="68"/>
    </row>
    <row r="8882" spans="2:11" ht="12.75">
      <c r="B8882" s="4"/>
      <c r="D8882" s="67"/>
      <c r="G8882" s="68"/>
      <c r="K8882" s="68"/>
    </row>
    <row r="8883" spans="2:11" ht="12.75">
      <c r="B8883" s="4"/>
      <c r="D8883" s="67"/>
      <c r="G8883" s="68"/>
      <c r="K8883" s="68"/>
    </row>
    <row r="8884" spans="2:11" ht="12.75">
      <c r="B8884" s="4"/>
      <c r="D8884" s="67"/>
      <c r="G8884" s="68"/>
      <c r="K8884" s="68"/>
    </row>
    <row r="8885" spans="2:11" ht="12.75">
      <c r="B8885" s="4"/>
      <c r="D8885" s="67"/>
      <c r="G8885" s="68"/>
      <c r="K8885" s="68"/>
    </row>
    <row r="8886" spans="2:11" ht="12.75">
      <c r="B8886" s="4"/>
      <c r="D8886" s="67"/>
      <c r="G8886" s="68"/>
      <c r="K8886" s="68"/>
    </row>
    <row r="8887" spans="2:11" ht="12.75">
      <c r="B8887" s="4"/>
      <c r="D8887" s="67"/>
      <c r="G8887" s="68"/>
      <c r="K8887" s="68"/>
    </row>
    <row r="8888" spans="2:11" ht="12.75">
      <c r="B8888" s="4"/>
      <c r="D8888" s="67"/>
      <c r="G8888" s="68"/>
      <c r="K8888" s="68"/>
    </row>
    <row r="8889" spans="2:11" ht="12.75">
      <c r="B8889" s="4"/>
      <c r="D8889" s="67"/>
      <c r="G8889" s="68"/>
      <c r="K8889" s="68"/>
    </row>
    <row r="8890" spans="2:11" ht="12.75">
      <c r="B8890" s="4"/>
      <c r="D8890" s="67"/>
      <c r="G8890" s="68"/>
      <c r="K8890" s="68"/>
    </row>
    <row r="8891" spans="2:11" ht="12.75">
      <c r="B8891" s="4"/>
      <c r="D8891" s="67"/>
      <c r="G8891" s="68"/>
      <c r="K8891" s="68"/>
    </row>
    <row r="8892" spans="2:11" ht="12.75">
      <c r="B8892" s="4"/>
      <c r="D8892" s="67"/>
      <c r="G8892" s="68"/>
      <c r="K8892" s="68"/>
    </row>
    <row r="8893" spans="2:11" ht="12.75">
      <c r="B8893" s="4"/>
      <c r="D8893" s="67"/>
      <c r="G8893" s="68"/>
      <c r="K8893" s="68"/>
    </row>
    <row r="8894" spans="2:11" ht="12.75">
      <c r="B8894" s="4"/>
      <c r="D8894" s="67"/>
      <c r="G8894" s="68"/>
      <c r="K8894" s="68"/>
    </row>
    <row r="8895" spans="2:11" ht="12.75">
      <c r="B8895" s="4"/>
      <c r="D8895" s="67"/>
      <c r="G8895" s="68"/>
      <c r="K8895" s="68"/>
    </row>
    <row r="8896" spans="2:11" ht="12.75">
      <c r="B8896" s="4"/>
      <c r="D8896" s="67"/>
      <c r="G8896" s="68"/>
      <c r="K8896" s="68"/>
    </row>
    <row r="8897" spans="2:11" ht="12.75">
      <c r="B8897" s="4"/>
      <c r="D8897" s="67"/>
      <c r="G8897" s="68"/>
      <c r="K8897" s="68"/>
    </row>
    <row r="8898" spans="2:11" ht="12.75">
      <c r="B8898" s="4"/>
      <c r="D8898" s="67"/>
      <c r="G8898" s="68"/>
      <c r="K8898" s="68"/>
    </row>
    <row r="8899" spans="2:11" ht="12.75">
      <c r="B8899" s="4"/>
      <c r="D8899" s="67"/>
      <c r="G8899" s="68"/>
      <c r="K8899" s="68"/>
    </row>
    <row r="8900" spans="2:11" ht="12.75">
      <c r="B8900" s="4"/>
      <c r="D8900" s="67"/>
      <c r="G8900" s="68"/>
      <c r="K8900" s="68"/>
    </row>
    <row r="8901" spans="2:11" ht="12.75">
      <c r="B8901" s="4"/>
      <c r="D8901" s="67"/>
      <c r="G8901" s="68"/>
      <c r="K8901" s="68"/>
    </row>
    <row r="8902" spans="2:11" ht="12.75">
      <c r="B8902" s="4"/>
      <c r="D8902" s="67"/>
      <c r="G8902" s="68"/>
      <c r="K8902" s="68"/>
    </row>
    <row r="8903" spans="2:11" ht="12.75">
      <c r="B8903" s="4"/>
      <c r="D8903" s="67"/>
      <c r="G8903" s="68"/>
      <c r="K8903" s="68"/>
    </row>
    <row r="8904" spans="2:11" ht="12.75">
      <c r="B8904" s="4"/>
      <c r="D8904" s="67"/>
      <c r="G8904" s="68"/>
      <c r="K8904" s="68"/>
    </row>
    <row r="8905" spans="2:11" ht="12.75">
      <c r="B8905" s="4"/>
      <c r="D8905" s="67"/>
      <c r="G8905" s="68"/>
      <c r="K8905" s="68"/>
    </row>
    <row r="8906" spans="2:11" ht="12.75">
      <c r="B8906" s="4"/>
      <c r="D8906" s="67"/>
      <c r="G8906" s="68"/>
      <c r="K8906" s="68"/>
    </row>
    <row r="8907" spans="2:11" ht="12.75">
      <c r="B8907" s="4"/>
      <c r="D8907" s="67"/>
      <c r="G8907" s="68"/>
      <c r="K8907" s="68"/>
    </row>
    <row r="8908" spans="2:11" ht="12.75">
      <c r="B8908" s="4"/>
      <c r="D8908" s="67"/>
      <c r="G8908" s="68"/>
      <c r="K8908" s="68"/>
    </row>
    <row r="8909" spans="2:11" ht="12.75">
      <c r="B8909" s="4"/>
      <c r="D8909" s="67"/>
      <c r="G8909" s="68"/>
      <c r="K8909" s="68"/>
    </row>
    <row r="8910" spans="2:11" ht="12.75">
      <c r="B8910" s="4"/>
      <c r="D8910" s="67"/>
      <c r="G8910" s="68"/>
      <c r="K8910" s="68"/>
    </row>
    <row r="8911" spans="2:11" ht="12.75">
      <c r="B8911" s="4"/>
      <c r="D8911" s="67"/>
      <c r="G8911" s="68"/>
      <c r="K8911" s="68"/>
    </row>
    <row r="8912" spans="2:11" ht="12.75">
      <c r="B8912" s="4"/>
      <c r="D8912" s="67"/>
      <c r="G8912" s="68"/>
      <c r="K8912" s="68"/>
    </row>
    <row r="8913" spans="2:11" ht="12.75">
      <c r="B8913" s="4"/>
      <c r="D8913" s="67"/>
      <c r="G8913" s="68"/>
      <c r="K8913" s="68"/>
    </row>
    <row r="8914" spans="2:11" ht="12.75">
      <c r="B8914" s="4"/>
      <c r="D8914" s="67"/>
      <c r="G8914" s="68"/>
      <c r="K8914" s="68"/>
    </row>
    <row r="8915" spans="2:11" ht="12.75">
      <c r="B8915" s="4"/>
      <c r="D8915" s="67"/>
      <c r="G8915" s="68"/>
      <c r="K8915" s="68"/>
    </row>
    <row r="8916" spans="2:11" ht="12.75">
      <c r="B8916" s="4"/>
      <c r="D8916" s="67"/>
      <c r="G8916" s="68"/>
      <c r="K8916" s="68"/>
    </row>
    <row r="8917" spans="2:11" ht="12.75">
      <c r="B8917" s="4"/>
      <c r="D8917" s="67"/>
      <c r="G8917" s="68"/>
      <c r="K8917" s="68"/>
    </row>
    <row r="8918" spans="2:11" ht="12.75">
      <c r="B8918" s="4"/>
      <c r="D8918" s="67"/>
      <c r="G8918" s="68"/>
      <c r="K8918" s="68"/>
    </row>
    <row r="8919" spans="2:11" ht="12.75">
      <c r="B8919" s="4"/>
      <c r="D8919" s="67"/>
      <c r="G8919" s="68"/>
      <c r="K8919" s="68"/>
    </row>
    <row r="8920" spans="2:11" ht="12.75">
      <c r="B8920" s="4"/>
      <c r="D8920" s="67"/>
      <c r="G8920" s="68"/>
      <c r="K8920" s="68"/>
    </row>
    <row r="8921" spans="2:11" ht="12.75">
      <c r="B8921" s="4"/>
      <c r="D8921" s="67"/>
      <c r="G8921" s="68"/>
      <c r="K8921" s="68"/>
    </row>
    <row r="8922" spans="2:11" ht="12.75">
      <c r="B8922" s="4"/>
      <c r="D8922" s="67"/>
      <c r="G8922" s="68"/>
      <c r="K8922" s="68"/>
    </row>
    <row r="8923" spans="2:11" ht="12.75">
      <c r="B8923" s="4"/>
      <c r="D8923" s="67"/>
      <c r="G8923" s="68"/>
      <c r="K8923" s="68"/>
    </row>
    <row r="8924" spans="2:11" ht="12.75">
      <c r="B8924" s="4"/>
      <c r="D8924" s="67"/>
      <c r="G8924" s="68"/>
      <c r="K8924" s="68"/>
    </row>
    <row r="8925" spans="2:11" ht="12.75">
      <c r="B8925" s="4"/>
      <c r="D8925" s="67"/>
      <c r="G8925" s="68"/>
      <c r="K8925" s="68"/>
    </row>
    <row r="8926" spans="2:11" ht="12.75">
      <c r="B8926" s="4"/>
      <c r="D8926" s="67"/>
      <c r="G8926" s="68"/>
      <c r="K8926" s="68"/>
    </row>
    <row r="8927" spans="2:11" ht="12.75">
      <c r="B8927" s="4"/>
      <c r="D8927" s="67"/>
      <c r="G8927" s="68"/>
      <c r="K8927" s="68"/>
    </row>
    <row r="8928" spans="2:11" ht="12.75">
      <c r="B8928" s="4"/>
      <c r="D8928" s="67"/>
      <c r="G8928" s="68"/>
      <c r="K8928" s="68"/>
    </row>
    <row r="8929" spans="2:11" ht="12.75">
      <c r="B8929" s="4"/>
      <c r="D8929" s="67"/>
      <c r="G8929" s="68"/>
      <c r="K8929" s="68"/>
    </row>
    <row r="8930" spans="2:11" ht="12.75">
      <c r="B8930" s="4"/>
      <c r="D8930" s="67"/>
      <c r="G8930" s="68"/>
      <c r="K8930" s="68"/>
    </row>
    <row r="8931" spans="2:11" ht="12.75">
      <c r="B8931" s="4"/>
      <c r="D8931" s="67"/>
      <c r="G8931" s="68"/>
      <c r="K8931" s="68"/>
    </row>
    <row r="8932" spans="2:11" ht="12.75">
      <c r="B8932" s="4"/>
      <c r="D8932" s="67"/>
      <c r="G8932" s="68"/>
      <c r="K8932" s="68"/>
    </row>
    <row r="8933" spans="2:11" ht="12.75">
      <c r="B8933" s="4"/>
      <c r="D8933" s="67"/>
      <c r="G8933" s="68"/>
      <c r="K8933" s="68"/>
    </row>
    <row r="8934" spans="2:11" ht="12.75">
      <c r="B8934" s="4"/>
      <c r="D8934" s="67"/>
      <c r="G8934" s="68"/>
      <c r="K8934" s="68"/>
    </row>
    <row r="8935" spans="2:11" ht="12.75">
      <c r="B8935" s="4"/>
      <c r="D8935" s="67"/>
      <c r="G8935" s="68"/>
      <c r="K8935" s="68"/>
    </row>
    <row r="8936" spans="2:11" ht="12.75">
      <c r="B8936" s="4"/>
      <c r="D8936" s="67"/>
      <c r="G8936" s="68"/>
      <c r="K8936" s="68"/>
    </row>
    <row r="8937" spans="2:11" ht="12.75">
      <c r="B8937" s="4"/>
      <c r="D8937" s="67"/>
      <c r="G8937" s="68"/>
      <c r="K8937" s="68"/>
    </row>
    <row r="8938" spans="2:11" ht="12.75">
      <c r="B8938" s="4"/>
      <c r="D8938" s="67"/>
      <c r="G8938" s="68"/>
      <c r="K8938" s="68"/>
    </row>
    <row r="8939" spans="2:11" ht="12.75">
      <c r="B8939" s="4"/>
      <c r="D8939" s="67"/>
      <c r="G8939" s="68"/>
      <c r="K8939" s="68"/>
    </row>
    <row r="8940" spans="2:11" ht="12.75">
      <c r="B8940" s="4"/>
      <c r="D8940" s="67"/>
      <c r="G8940" s="68"/>
      <c r="K8940" s="68"/>
    </row>
    <row r="8941" spans="2:11" ht="12.75">
      <c r="B8941" s="4"/>
      <c r="D8941" s="67"/>
      <c r="G8941" s="68"/>
      <c r="K8941" s="68"/>
    </row>
    <row r="8942" spans="2:11" ht="12.75">
      <c r="B8942" s="4"/>
      <c r="D8942" s="67"/>
      <c r="G8942" s="68"/>
      <c r="K8942" s="68"/>
    </row>
    <row r="8943" spans="2:11" ht="12.75">
      <c r="B8943" s="4"/>
      <c r="D8943" s="67"/>
      <c r="G8943" s="68"/>
      <c r="K8943" s="68"/>
    </row>
    <row r="8944" spans="2:11" ht="12.75">
      <c r="B8944" s="4"/>
      <c r="D8944" s="67"/>
      <c r="G8944" s="68"/>
      <c r="K8944" s="68"/>
    </row>
    <row r="8945" spans="2:11" ht="12.75">
      <c r="B8945" s="4"/>
      <c r="D8945" s="67"/>
      <c r="G8945" s="68"/>
      <c r="K8945" s="68"/>
    </row>
    <row r="8946" spans="2:11" ht="12.75">
      <c r="B8946" s="4"/>
      <c r="D8946" s="67"/>
      <c r="G8946" s="68"/>
      <c r="K8946" s="68"/>
    </row>
    <row r="8947" spans="2:11" ht="12.75">
      <c r="B8947" s="4"/>
      <c r="D8947" s="67"/>
      <c r="G8947" s="68"/>
      <c r="K8947" s="68"/>
    </row>
    <row r="8948" spans="2:11" ht="12.75">
      <c r="B8948" s="4"/>
      <c r="D8948" s="67"/>
      <c r="G8948" s="68"/>
      <c r="K8948" s="68"/>
    </row>
    <row r="8949" spans="2:11" ht="12.75">
      <c r="B8949" s="4"/>
      <c r="D8949" s="67"/>
      <c r="G8949" s="68"/>
      <c r="K8949" s="68"/>
    </row>
    <row r="8950" spans="2:11" ht="12.75">
      <c r="B8950" s="4"/>
      <c r="D8950" s="67"/>
      <c r="G8950" s="68"/>
      <c r="K8950" s="68"/>
    </row>
    <row r="8951" spans="2:11" ht="12.75">
      <c r="B8951" s="4"/>
      <c r="D8951" s="67"/>
      <c r="G8951" s="68"/>
      <c r="K8951" s="68"/>
    </row>
    <row r="8952" spans="2:11" ht="12.75">
      <c r="B8952" s="4"/>
      <c r="D8952" s="67"/>
      <c r="G8952" s="68"/>
      <c r="K8952" s="68"/>
    </row>
    <row r="8953" spans="2:11" ht="12.75">
      <c r="B8953" s="4"/>
      <c r="D8953" s="67"/>
      <c r="G8953" s="68"/>
      <c r="K8953" s="68"/>
    </row>
    <row r="8954" spans="2:11" ht="12.75">
      <c r="B8954" s="4"/>
      <c r="D8954" s="67"/>
      <c r="G8954" s="68"/>
      <c r="K8954" s="68"/>
    </row>
    <row r="8955" spans="2:11" ht="12.75">
      <c r="B8955" s="4"/>
      <c r="D8955" s="67"/>
      <c r="G8955" s="68"/>
      <c r="K8955" s="68"/>
    </row>
    <row r="8956" spans="2:11" ht="12.75">
      <c r="B8956" s="4"/>
      <c r="D8956" s="67"/>
      <c r="G8956" s="68"/>
      <c r="K8956" s="68"/>
    </row>
    <row r="8957" spans="2:11" ht="12.75">
      <c r="B8957" s="4"/>
      <c r="D8957" s="67"/>
      <c r="G8957" s="68"/>
      <c r="K8957" s="68"/>
    </row>
    <row r="8958" spans="2:11" ht="12.75">
      <c r="B8958" s="4"/>
      <c r="D8958" s="67"/>
      <c r="G8958" s="68"/>
      <c r="K8958" s="68"/>
    </row>
    <row r="8959" spans="2:11" ht="12.75">
      <c r="B8959" s="4"/>
      <c r="D8959" s="67"/>
      <c r="G8959" s="68"/>
      <c r="K8959" s="68"/>
    </row>
    <row r="8960" spans="2:11" ht="12.75">
      <c r="B8960" s="4"/>
      <c r="D8960" s="67"/>
      <c r="G8960" s="68"/>
      <c r="K8960" s="68"/>
    </row>
    <row r="8961" spans="2:11" ht="12.75">
      <c r="B8961" s="4"/>
      <c r="D8961" s="67"/>
      <c r="G8961" s="68"/>
      <c r="K8961" s="68"/>
    </row>
    <row r="8962" spans="2:11" ht="12.75">
      <c r="B8962" s="4"/>
      <c r="D8962" s="67"/>
      <c r="G8962" s="68"/>
      <c r="K8962" s="68"/>
    </row>
    <row r="8963" spans="2:11" ht="12.75">
      <c r="B8963" s="4"/>
      <c r="D8963" s="67"/>
      <c r="G8963" s="68"/>
      <c r="K8963" s="68"/>
    </row>
    <row r="8964" spans="2:11" ht="12.75">
      <c r="B8964" s="4"/>
      <c r="D8964" s="67"/>
      <c r="G8964" s="68"/>
      <c r="K8964" s="68"/>
    </row>
    <row r="8965" spans="2:11" ht="12.75">
      <c r="B8965" s="4"/>
      <c r="D8965" s="67"/>
      <c r="G8965" s="68"/>
      <c r="K8965" s="68"/>
    </row>
    <row r="8966" spans="2:11" ht="12.75">
      <c r="B8966" s="4"/>
      <c r="D8966" s="67"/>
      <c r="G8966" s="68"/>
      <c r="K8966" s="68"/>
    </row>
    <row r="8967" spans="2:11" ht="12.75">
      <c r="B8967" s="4"/>
      <c r="D8967" s="67"/>
      <c r="G8967" s="68"/>
      <c r="K8967" s="68"/>
    </row>
    <row r="8968" spans="2:11" ht="12.75">
      <c r="B8968" s="4"/>
      <c r="D8968" s="67"/>
      <c r="G8968" s="68"/>
      <c r="K8968" s="68"/>
    </row>
    <row r="8969" spans="2:11" ht="12.75">
      <c r="B8969" s="4"/>
      <c r="D8969" s="67"/>
      <c r="G8969" s="68"/>
      <c r="K8969" s="68"/>
    </row>
    <row r="8970" spans="2:11" ht="12.75">
      <c r="B8970" s="4"/>
      <c r="D8970" s="67"/>
      <c r="G8970" s="68"/>
      <c r="K8970" s="68"/>
    </row>
    <row r="8971" spans="2:11" ht="12.75">
      <c r="B8971" s="4"/>
      <c r="D8971" s="67"/>
      <c r="G8971" s="68"/>
      <c r="K8971" s="68"/>
    </row>
    <row r="8972" spans="2:11" ht="12.75">
      <c r="B8972" s="4"/>
      <c r="D8972" s="67"/>
      <c r="G8972" s="68"/>
      <c r="K8972" s="68"/>
    </row>
    <row r="8973" spans="2:11" ht="12.75">
      <c r="B8973" s="4"/>
      <c r="D8973" s="67"/>
      <c r="G8973" s="68"/>
      <c r="K8973" s="68"/>
    </row>
    <row r="8974" spans="2:11" ht="12.75">
      <c r="B8974" s="4"/>
      <c r="D8974" s="67"/>
      <c r="G8974" s="68"/>
      <c r="K8974" s="68"/>
    </row>
    <row r="8975" spans="2:11" ht="12.75">
      <c r="B8975" s="4"/>
      <c r="D8975" s="67"/>
      <c r="G8975" s="68"/>
      <c r="K8975" s="68"/>
    </row>
    <row r="8976" spans="2:11" ht="12.75">
      <c r="B8976" s="4"/>
      <c r="D8976" s="67"/>
      <c r="G8976" s="68"/>
      <c r="K8976" s="68"/>
    </row>
    <row r="8977" spans="2:11" ht="12.75">
      <c r="B8977" s="4"/>
      <c r="D8977" s="67"/>
      <c r="G8977" s="68"/>
      <c r="K8977" s="68"/>
    </row>
    <row r="8978" spans="2:11" ht="12.75">
      <c r="B8978" s="4"/>
      <c r="D8978" s="67"/>
      <c r="G8978" s="68"/>
      <c r="K8978" s="68"/>
    </row>
    <row r="8979" spans="2:11" ht="12.75">
      <c r="B8979" s="4"/>
      <c r="D8979" s="67"/>
      <c r="G8979" s="68"/>
      <c r="K8979" s="68"/>
    </row>
    <row r="8980" spans="2:11" ht="12.75">
      <c r="B8980" s="4"/>
      <c r="D8980" s="67"/>
      <c r="G8980" s="68"/>
      <c r="K8980" s="68"/>
    </row>
    <row r="8981" spans="2:11" ht="12.75">
      <c r="B8981" s="4"/>
      <c r="D8981" s="67"/>
      <c r="G8981" s="68"/>
      <c r="K8981" s="68"/>
    </row>
    <row r="8982" spans="2:11" ht="12.75">
      <c r="B8982" s="4"/>
      <c r="D8982" s="67"/>
      <c r="G8982" s="68"/>
      <c r="K8982" s="68"/>
    </row>
    <row r="8983" spans="2:11" ht="12.75">
      <c r="B8983" s="4"/>
      <c r="D8983" s="67"/>
      <c r="G8983" s="68"/>
      <c r="K8983" s="68"/>
    </row>
    <row r="8984" spans="2:11" ht="12.75">
      <c r="B8984" s="4"/>
      <c r="D8984" s="67"/>
      <c r="G8984" s="68"/>
      <c r="K8984" s="68"/>
    </row>
    <row r="8985" spans="2:11" ht="12.75">
      <c r="B8985" s="4"/>
      <c r="D8985" s="67"/>
      <c r="G8985" s="68"/>
      <c r="K8985" s="68"/>
    </row>
    <row r="8986" spans="2:11" ht="12.75">
      <c r="B8986" s="4"/>
      <c r="D8986" s="67"/>
      <c r="G8986" s="68"/>
      <c r="K8986" s="68"/>
    </row>
    <row r="8987" spans="2:11" ht="12.75">
      <c r="B8987" s="4"/>
      <c r="D8987" s="67"/>
      <c r="G8987" s="68"/>
      <c r="K8987" s="68"/>
    </row>
    <row r="8988" spans="2:11" ht="12.75">
      <c r="B8988" s="4"/>
      <c r="D8988" s="67"/>
      <c r="G8988" s="68"/>
      <c r="K8988" s="68"/>
    </row>
    <row r="8989" spans="2:11" ht="12.75">
      <c r="B8989" s="4"/>
      <c r="D8989" s="67"/>
      <c r="G8989" s="68"/>
      <c r="K8989" s="68"/>
    </row>
    <row r="8990" spans="2:11" ht="12.75">
      <c r="B8990" s="4"/>
      <c r="D8990" s="67"/>
      <c r="G8990" s="68"/>
      <c r="K8990" s="68"/>
    </row>
    <row r="8991" spans="2:11" ht="12.75">
      <c r="B8991" s="4"/>
      <c r="D8991" s="67"/>
      <c r="G8991" s="68"/>
      <c r="K8991" s="68"/>
    </row>
    <row r="8992" spans="2:11" ht="12.75">
      <c r="B8992" s="4"/>
      <c r="D8992" s="67"/>
      <c r="G8992" s="68"/>
      <c r="K8992" s="68"/>
    </row>
    <row r="8993" spans="2:11" ht="12.75">
      <c r="B8993" s="4"/>
      <c r="D8993" s="67"/>
      <c r="G8993" s="68"/>
      <c r="K8993" s="68"/>
    </row>
    <row r="8994" spans="2:11" ht="12.75">
      <c r="B8994" s="4"/>
      <c r="D8994" s="67"/>
      <c r="G8994" s="68"/>
      <c r="K8994" s="68"/>
    </row>
    <row r="8995" spans="2:11" ht="12.75">
      <c r="B8995" s="4"/>
      <c r="D8995" s="67"/>
      <c r="G8995" s="68"/>
      <c r="K8995" s="68"/>
    </row>
    <row r="8996" spans="2:11" ht="12.75">
      <c r="B8996" s="4"/>
      <c r="D8996" s="67"/>
      <c r="G8996" s="68"/>
      <c r="K8996" s="68"/>
    </row>
    <row r="8997" spans="2:11" ht="12.75">
      <c r="B8997" s="4"/>
      <c r="D8997" s="67"/>
      <c r="G8997" s="68"/>
      <c r="K8997" s="68"/>
    </row>
    <row r="8998" spans="2:11" ht="12.75">
      <c r="B8998" s="4"/>
      <c r="D8998" s="67"/>
      <c r="G8998" s="68"/>
      <c r="K8998" s="68"/>
    </row>
    <row r="8999" spans="2:11" ht="12.75">
      <c r="B8999" s="4"/>
      <c r="D8999" s="67"/>
      <c r="G8999" s="68"/>
      <c r="K8999" s="68"/>
    </row>
    <row r="9000" spans="2:11" ht="12.75">
      <c r="B9000" s="4"/>
      <c r="D9000" s="67"/>
      <c r="G9000" s="68"/>
      <c r="K9000" s="68"/>
    </row>
    <row r="9001" spans="2:11" ht="12.75">
      <c r="B9001" s="4"/>
      <c r="D9001" s="67"/>
      <c r="G9001" s="68"/>
      <c r="K9001" s="68"/>
    </row>
    <row r="9002" spans="2:11" ht="12.75">
      <c r="B9002" s="4"/>
      <c r="D9002" s="67"/>
      <c r="G9002" s="68"/>
      <c r="K9002" s="68"/>
    </row>
    <row r="9003" spans="2:11" ht="12.75">
      <c r="B9003" s="4"/>
      <c r="D9003" s="67"/>
      <c r="G9003" s="68"/>
      <c r="K9003" s="68"/>
    </row>
    <row r="9004" spans="2:11" ht="12.75">
      <c r="B9004" s="4"/>
      <c r="D9004" s="67"/>
      <c r="G9004" s="68"/>
      <c r="K9004" s="68"/>
    </row>
    <row r="9005" spans="2:11" ht="12.75">
      <c r="B9005" s="4"/>
      <c r="D9005" s="67"/>
      <c r="G9005" s="68"/>
      <c r="K9005" s="68"/>
    </row>
    <row r="9006" spans="2:11" ht="12.75">
      <c r="B9006" s="4"/>
      <c r="D9006" s="67"/>
      <c r="G9006" s="68"/>
      <c r="K9006" s="68"/>
    </row>
    <row r="9007" spans="2:11" ht="12.75">
      <c r="B9007" s="4"/>
      <c r="D9007" s="67"/>
      <c r="G9007" s="68"/>
      <c r="K9007" s="68"/>
    </row>
    <row r="9008" spans="2:11" ht="12.75">
      <c r="B9008" s="4"/>
      <c r="D9008" s="67"/>
      <c r="G9008" s="68"/>
      <c r="K9008" s="68"/>
    </row>
    <row r="9009" spans="2:11" ht="12.75">
      <c r="B9009" s="4"/>
      <c r="D9009" s="67"/>
      <c r="G9009" s="68"/>
      <c r="K9009" s="68"/>
    </row>
    <row r="9010" spans="2:11" ht="12.75">
      <c r="B9010" s="4"/>
      <c r="D9010" s="67"/>
      <c r="G9010" s="68"/>
      <c r="K9010" s="68"/>
    </row>
    <row r="9011" spans="2:11" ht="12.75">
      <c r="B9011" s="4"/>
      <c r="D9011" s="67"/>
      <c r="G9011" s="68"/>
      <c r="K9011" s="68"/>
    </row>
    <row r="9012" spans="2:11" ht="12.75">
      <c r="B9012" s="4"/>
      <c r="D9012" s="67"/>
      <c r="G9012" s="68"/>
      <c r="K9012" s="68"/>
    </row>
    <row r="9013" spans="2:11" ht="12.75">
      <c r="B9013" s="4"/>
      <c r="D9013" s="67"/>
      <c r="G9013" s="68"/>
      <c r="K9013" s="68"/>
    </row>
    <row r="9014" spans="2:11" ht="12.75">
      <c r="B9014" s="4"/>
      <c r="D9014" s="67"/>
      <c r="G9014" s="68"/>
      <c r="K9014" s="68"/>
    </row>
    <row r="9015" spans="2:11" ht="12.75">
      <c r="B9015" s="4"/>
      <c r="D9015" s="67"/>
      <c r="G9015" s="68"/>
      <c r="K9015" s="68"/>
    </row>
    <row r="9016" spans="2:11" ht="12.75">
      <c r="B9016" s="4"/>
      <c r="D9016" s="67"/>
      <c r="G9016" s="68"/>
      <c r="K9016" s="68"/>
    </row>
    <row r="9017" spans="2:11" ht="12.75">
      <c r="B9017" s="4"/>
      <c r="D9017" s="67"/>
      <c r="G9017" s="68"/>
      <c r="K9017" s="68"/>
    </row>
    <row r="9018" spans="2:11" ht="12.75">
      <c r="B9018" s="4"/>
      <c r="D9018" s="67"/>
      <c r="G9018" s="68"/>
      <c r="K9018" s="68"/>
    </row>
    <row r="9019" spans="2:11" ht="12.75">
      <c r="B9019" s="4"/>
      <c r="D9019" s="67"/>
      <c r="G9019" s="68"/>
      <c r="K9019" s="68"/>
    </row>
    <row r="9020" spans="2:11" ht="12.75">
      <c r="B9020" s="4"/>
      <c r="D9020" s="67"/>
      <c r="G9020" s="68"/>
      <c r="K9020" s="68"/>
    </row>
    <row r="9021" spans="2:11" ht="12.75">
      <c r="B9021" s="4"/>
      <c r="D9021" s="67"/>
      <c r="G9021" s="68"/>
      <c r="K9021" s="68"/>
    </row>
    <row r="9022" spans="2:11" ht="12.75">
      <c r="B9022" s="4"/>
      <c r="D9022" s="67"/>
      <c r="G9022" s="68"/>
      <c r="K9022" s="68"/>
    </row>
    <row r="9023" spans="2:11" ht="12.75">
      <c r="B9023" s="4"/>
      <c r="D9023" s="67"/>
      <c r="G9023" s="68"/>
      <c r="K9023" s="68"/>
    </row>
    <row r="9024" spans="2:11" ht="12.75">
      <c r="B9024" s="4"/>
      <c r="D9024" s="67"/>
      <c r="G9024" s="68"/>
      <c r="K9024" s="68"/>
    </row>
    <row r="9025" spans="2:11" ht="12.75">
      <c r="B9025" s="4"/>
      <c r="D9025" s="67"/>
      <c r="G9025" s="68"/>
      <c r="K9025" s="68"/>
    </row>
    <row r="9026" spans="2:11" ht="12.75">
      <c r="B9026" s="4"/>
      <c r="D9026" s="67"/>
      <c r="G9026" s="68"/>
      <c r="K9026" s="68"/>
    </row>
    <row r="9027" spans="2:11" ht="12.75">
      <c r="B9027" s="4"/>
      <c r="D9027" s="67"/>
      <c r="G9027" s="68"/>
      <c r="K9027" s="68"/>
    </row>
    <row r="9028" spans="2:11" ht="12.75">
      <c r="B9028" s="4"/>
      <c r="D9028" s="67"/>
      <c r="G9028" s="68"/>
      <c r="K9028" s="68"/>
    </row>
    <row r="9029" spans="2:11" ht="12.75">
      <c r="B9029" s="4"/>
      <c r="D9029" s="67"/>
      <c r="G9029" s="68"/>
      <c r="K9029" s="68"/>
    </row>
    <row r="9030" spans="2:11" ht="12.75">
      <c r="B9030" s="4"/>
      <c r="D9030" s="67"/>
      <c r="G9030" s="68"/>
      <c r="K9030" s="68"/>
    </row>
    <row r="9031" spans="2:11" ht="12.75">
      <c r="B9031" s="4"/>
      <c r="D9031" s="67"/>
      <c r="G9031" s="68"/>
      <c r="K9031" s="68"/>
    </row>
    <row r="9032" spans="2:11" ht="12.75">
      <c r="B9032" s="4"/>
      <c r="D9032" s="67"/>
      <c r="G9032" s="68"/>
      <c r="K9032" s="68"/>
    </row>
    <row r="9033" spans="2:11" ht="12.75">
      <c r="B9033" s="4"/>
      <c r="D9033" s="67"/>
      <c r="G9033" s="68"/>
      <c r="K9033" s="68"/>
    </row>
    <row r="9034" spans="2:11" ht="12.75">
      <c r="B9034" s="4"/>
      <c r="D9034" s="67"/>
      <c r="G9034" s="68"/>
      <c r="K9034" s="68"/>
    </row>
    <row r="9035" spans="2:11" ht="12.75">
      <c r="B9035" s="4"/>
      <c r="D9035" s="67"/>
      <c r="G9035" s="68"/>
      <c r="K9035" s="68"/>
    </row>
    <row r="9036" spans="2:11" ht="12.75">
      <c r="B9036" s="4"/>
      <c r="D9036" s="67"/>
      <c r="G9036" s="68"/>
      <c r="K9036" s="68"/>
    </row>
    <row r="9037" spans="2:11" ht="12.75">
      <c r="B9037" s="4"/>
      <c r="D9037" s="67"/>
      <c r="G9037" s="68"/>
      <c r="K9037" s="68"/>
    </row>
    <row r="9038" spans="2:11" ht="12.75">
      <c r="B9038" s="4"/>
      <c r="D9038" s="67"/>
      <c r="G9038" s="68"/>
      <c r="K9038" s="68"/>
    </row>
    <row r="9039" spans="2:11" ht="12.75">
      <c r="B9039" s="4"/>
      <c r="D9039" s="67"/>
      <c r="G9039" s="68"/>
      <c r="K9039" s="68"/>
    </row>
    <row r="9040" spans="2:11" ht="12.75">
      <c r="B9040" s="4"/>
      <c r="D9040" s="67"/>
      <c r="G9040" s="68"/>
      <c r="K9040" s="68"/>
    </row>
    <row r="9041" spans="2:11" ht="12.75">
      <c r="B9041" s="4"/>
      <c r="D9041" s="67"/>
      <c r="G9041" s="68"/>
      <c r="K9041" s="68"/>
    </row>
    <row r="9042" spans="2:11" ht="12.75">
      <c r="B9042" s="4"/>
      <c r="D9042" s="67"/>
      <c r="G9042" s="68"/>
      <c r="K9042" s="68"/>
    </row>
    <row r="9043" spans="2:11" ht="12.75">
      <c r="B9043" s="4"/>
      <c r="D9043" s="67"/>
      <c r="G9043" s="68"/>
      <c r="K9043" s="68"/>
    </row>
    <row r="9044" spans="2:11" ht="12.75">
      <c r="B9044" s="4"/>
      <c r="D9044" s="67"/>
      <c r="G9044" s="68"/>
      <c r="K9044" s="68"/>
    </row>
    <row r="9045" spans="2:11" ht="12.75">
      <c r="B9045" s="4"/>
      <c r="D9045" s="67"/>
      <c r="G9045" s="68"/>
      <c r="K9045" s="68"/>
    </row>
    <row r="9046" spans="2:11" ht="12.75">
      <c r="B9046" s="4"/>
      <c r="D9046" s="67"/>
      <c r="G9046" s="68"/>
      <c r="K9046" s="68"/>
    </row>
    <row r="9047" spans="2:11" ht="12.75">
      <c r="B9047" s="4"/>
      <c r="D9047" s="67"/>
      <c r="G9047" s="68"/>
      <c r="K9047" s="68"/>
    </row>
    <row r="9048" spans="2:11" ht="12.75">
      <c r="B9048" s="4"/>
      <c r="D9048" s="67"/>
      <c r="G9048" s="68"/>
      <c r="K9048" s="68"/>
    </row>
    <row r="9049" spans="2:11" ht="12.75">
      <c r="B9049" s="4"/>
      <c r="D9049" s="67"/>
      <c r="G9049" s="68"/>
      <c r="K9049" s="68"/>
    </row>
    <row r="9050" spans="2:11" ht="12.75">
      <c r="B9050" s="4"/>
      <c r="D9050" s="67"/>
      <c r="G9050" s="68"/>
      <c r="K9050" s="68"/>
    </row>
    <row r="9051" spans="2:11" ht="12.75">
      <c r="B9051" s="4"/>
      <c r="D9051" s="67"/>
      <c r="G9051" s="68"/>
      <c r="K9051" s="68"/>
    </row>
    <row r="9052" spans="2:11" ht="12.75">
      <c r="B9052" s="4"/>
      <c r="D9052" s="67"/>
      <c r="G9052" s="68"/>
      <c r="K9052" s="68"/>
    </row>
    <row r="9053" spans="2:11" ht="12.75">
      <c r="B9053" s="4"/>
      <c r="D9053" s="67"/>
      <c r="G9053" s="68"/>
      <c r="K9053" s="68"/>
    </row>
    <row r="9054" spans="2:11" ht="12.75">
      <c r="B9054" s="4"/>
      <c r="D9054" s="67"/>
      <c r="G9054" s="68"/>
      <c r="K9054" s="68"/>
    </row>
    <row r="9055" spans="2:11" ht="12.75">
      <c r="B9055" s="4"/>
      <c r="D9055" s="67"/>
      <c r="G9055" s="68"/>
      <c r="K9055" s="68"/>
    </row>
    <row r="9056" spans="2:11" ht="12.75">
      <c r="B9056" s="4"/>
      <c r="D9056" s="67"/>
      <c r="G9056" s="68"/>
      <c r="K9056" s="68"/>
    </row>
    <row r="9057" spans="2:11" ht="12.75">
      <c r="B9057" s="4"/>
      <c r="D9057" s="67"/>
      <c r="G9057" s="68"/>
      <c r="K9057" s="68"/>
    </row>
    <row r="9058" spans="2:11" ht="12.75">
      <c r="B9058" s="4"/>
      <c r="D9058" s="67"/>
      <c r="G9058" s="68"/>
      <c r="K9058" s="68"/>
    </row>
    <row r="9059" spans="2:11" ht="12.75">
      <c r="B9059" s="4"/>
      <c r="D9059" s="67"/>
      <c r="G9059" s="68"/>
      <c r="K9059" s="68"/>
    </row>
    <row r="9060" spans="2:11" ht="12.75">
      <c r="B9060" s="4"/>
      <c r="D9060" s="67"/>
      <c r="G9060" s="68"/>
      <c r="K9060" s="68"/>
    </row>
    <row r="9061" spans="2:11" ht="12.75">
      <c r="B9061" s="4"/>
      <c r="D9061" s="67"/>
      <c r="G9061" s="68"/>
      <c r="K9061" s="68"/>
    </row>
    <row r="9062" spans="2:11" ht="12.75">
      <c r="B9062" s="4"/>
      <c r="D9062" s="67"/>
      <c r="G9062" s="68"/>
      <c r="K9062" s="68"/>
    </row>
    <row r="9063" spans="2:11" ht="12.75">
      <c r="B9063" s="4"/>
      <c r="D9063" s="67"/>
      <c r="G9063" s="68"/>
      <c r="K9063" s="68"/>
    </row>
    <row r="9064" spans="2:11" ht="12.75">
      <c r="B9064" s="4"/>
      <c r="D9064" s="67"/>
      <c r="G9064" s="68"/>
      <c r="K9064" s="68"/>
    </row>
    <row r="9065" spans="2:11" ht="12.75">
      <c r="B9065" s="4"/>
      <c r="D9065" s="67"/>
      <c r="G9065" s="68"/>
      <c r="K9065" s="68"/>
    </row>
    <row r="9066" spans="2:11" ht="12.75">
      <c r="B9066" s="4"/>
      <c r="D9066" s="67"/>
      <c r="G9066" s="68"/>
      <c r="K9066" s="68"/>
    </row>
    <row r="9067" spans="2:11" ht="12.75">
      <c r="B9067" s="4"/>
      <c r="D9067" s="67"/>
      <c r="G9067" s="68"/>
      <c r="K9067" s="68"/>
    </row>
    <row r="9068" spans="2:11" ht="12.75">
      <c r="B9068" s="4"/>
      <c r="D9068" s="67"/>
      <c r="G9068" s="68"/>
      <c r="K9068" s="68"/>
    </row>
    <row r="9069" spans="2:11" ht="12.75">
      <c r="B9069" s="4"/>
      <c r="D9069" s="67"/>
      <c r="G9069" s="68"/>
      <c r="K9069" s="68"/>
    </row>
    <row r="9070" spans="2:11" ht="12.75">
      <c r="B9070" s="4"/>
      <c r="D9070" s="67"/>
      <c r="G9070" s="68"/>
      <c r="K9070" s="68"/>
    </row>
    <row r="9071" spans="2:11" ht="12.75">
      <c r="B9071" s="4"/>
      <c r="D9071" s="67"/>
      <c r="G9071" s="68"/>
      <c r="K9071" s="68"/>
    </row>
    <row r="9072" spans="2:11" ht="12.75">
      <c r="B9072" s="4"/>
      <c r="D9072" s="67"/>
      <c r="G9072" s="68"/>
      <c r="K9072" s="68"/>
    </row>
    <row r="9073" spans="2:11" ht="12.75">
      <c r="B9073" s="4"/>
      <c r="D9073" s="67"/>
      <c r="G9073" s="68"/>
      <c r="K9073" s="68"/>
    </row>
    <row r="9074" spans="2:11" ht="12.75">
      <c r="B9074" s="4"/>
      <c r="D9074" s="67"/>
      <c r="G9074" s="68"/>
      <c r="K9074" s="68"/>
    </row>
    <row r="9075" spans="2:11" ht="12.75">
      <c r="B9075" s="4"/>
      <c r="D9075" s="67"/>
      <c r="G9075" s="68"/>
      <c r="K9075" s="68"/>
    </row>
    <row r="9076" spans="2:11" ht="12.75">
      <c r="B9076" s="4"/>
      <c r="D9076" s="67"/>
      <c r="G9076" s="68"/>
      <c r="K9076" s="68"/>
    </row>
    <row r="9077" spans="2:11" ht="12.75">
      <c r="B9077" s="4"/>
      <c r="D9077" s="67"/>
      <c r="G9077" s="68"/>
      <c r="K9077" s="68"/>
    </row>
    <row r="9078" spans="2:11" ht="12.75">
      <c r="B9078" s="4"/>
      <c r="D9078" s="67"/>
      <c r="G9078" s="68"/>
      <c r="K9078" s="68"/>
    </row>
    <row r="9079" spans="2:11" ht="12.75">
      <c r="B9079" s="4"/>
      <c r="D9079" s="67"/>
      <c r="G9079" s="68"/>
      <c r="K9079" s="68"/>
    </row>
    <row r="9080" spans="2:11" ht="12.75">
      <c r="B9080" s="4"/>
      <c r="D9080" s="67"/>
      <c r="G9080" s="68"/>
      <c r="K9080" s="68"/>
    </row>
    <row r="9081" spans="2:11" ht="12.75">
      <c r="B9081" s="4"/>
      <c r="D9081" s="67"/>
      <c r="G9081" s="68"/>
      <c r="K9081" s="68"/>
    </row>
    <row r="9082" spans="2:11" ht="12.75">
      <c r="B9082" s="4"/>
      <c r="D9082" s="67"/>
      <c r="G9082" s="68"/>
      <c r="K9082" s="68"/>
    </row>
    <row r="9083" spans="2:11" ht="12.75">
      <c r="B9083" s="4"/>
      <c r="D9083" s="67"/>
      <c r="G9083" s="68"/>
      <c r="K9083" s="68"/>
    </row>
    <row r="9084" spans="2:11" ht="12.75">
      <c r="B9084" s="4"/>
      <c r="D9084" s="67"/>
      <c r="G9084" s="68"/>
      <c r="K9084" s="68"/>
    </row>
    <row r="9085" spans="2:11" ht="12.75">
      <c r="B9085" s="4"/>
      <c r="D9085" s="67"/>
      <c r="G9085" s="68"/>
      <c r="K9085" s="68"/>
    </row>
    <row r="9086" spans="2:11" ht="12.75">
      <c r="B9086" s="4"/>
      <c r="D9086" s="67"/>
      <c r="G9086" s="68"/>
      <c r="K9086" s="68"/>
    </row>
    <row r="9087" spans="2:11" ht="12.75">
      <c r="B9087" s="4"/>
      <c r="D9087" s="67"/>
      <c r="G9087" s="68"/>
      <c r="K9087" s="68"/>
    </row>
    <row r="9088" spans="2:11" ht="12.75">
      <c r="B9088" s="4"/>
      <c r="D9088" s="67"/>
      <c r="G9088" s="68"/>
      <c r="K9088" s="68"/>
    </row>
    <row r="9089" spans="2:11" ht="12.75">
      <c r="B9089" s="4"/>
      <c r="D9089" s="67"/>
      <c r="G9089" s="68"/>
      <c r="K9089" s="68"/>
    </row>
    <row r="9090" spans="2:11" ht="12.75">
      <c r="B9090" s="4"/>
      <c r="D9090" s="67"/>
      <c r="G9090" s="68"/>
      <c r="K9090" s="68"/>
    </row>
    <row r="9091" spans="2:11" ht="12.75">
      <c r="B9091" s="4"/>
      <c r="D9091" s="67"/>
      <c r="G9091" s="68"/>
      <c r="K9091" s="68"/>
    </row>
    <row r="9092" spans="2:11" ht="12.75">
      <c r="B9092" s="4"/>
      <c r="D9092" s="67"/>
      <c r="G9092" s="68"/>
      <c r="K9092" s="68"/>
    </row>
    <row r="9093" spans="2:11" ht="12.75">
      <c r="B9093" s="4"/>
      <c r="D9093" s="67"/>
      <c r="G9093" s="68"/>
      <c r="K9093" s="68"/>
    </row>
    <row r="9094" spans="2:11" ht="12.75">
      <c r="B9094" s="4"/>
      <c r="D9094" s="67"/>
      <c r="G9094" s="68"/>
      <c r="K9094" s="68"/>
    </row>
    <row r="9095" spans="2:11" ht="12.75">
      <c r="B9095" s="4"/>
      <c r="D9095" s="67"/>
      <c r="G9095" s="68"/>
      <c r="K9095" s="68"/>
    </row>
    <row r="9096" spans="2:11" ht="12.75">
      <c r="B9096" s="4"/>
      <c r="D9096" s="67"/>
      <c r="G9096" s="68"/>
      <c r="K9096" s="68"/>
    </row>
    <row r="9097" spans="2:11" ht="12.75">
      <c r="B9097" s="4"/>
      <c r="D9097" s="67"/>
      <c r="G9097" s="68"/>
      <c r="K9097" s="68"/>
    </row>
    <row r="9098" spans="2:11" ht="12.75">
      <c r="B9098" s="4"/>
      <c r="D9098" s="67"/>
      <c r="G9098" s="68"/>
      <c r="K9098" s="68"/>
    </row>
    <row r="9099" spans="2:11" ht="12.75">
      <c r="B9099" s="4"/>
      <c r="D9099" s="67"/>
      <c r="G9099" s="68"/>
      <c r="K9099" s="68"/>
    </row>
    <row r="9100" spans="2:11" ht="12.75">
      <c r="B9100" s="4"/>
      <c r="D9100" s="67"/>
      <c r="G9100" s="68"/>
      <c r="K9100" s="68"/>
    </row>
    <row r="9101" spans="2:11" ht="12.75">
      <c r="B9101" s="4"/>
      <c r="D9101" s="67"/>
      <c r="G9101" s="68"/>
      <c r="K9101" s="68"/>
    </row>
    <row r="9102" spans="2:11" ht="12.75">
      <c r="B9102" s="4"/>
      <c r="D9102" s="67"/>
      <c r="G9102" s="68"/>
      <c r="K9102" s="68"/>
    </row>
    <row r="9103" spans="2:11" ht="12.75">
      <c r="B9103" s="4"/>
      <c r="D9103" s="67"/>
      <c r="G9103" s="68"/>
      <c r="K9103" s="68"/>
    </row>
    <row r="9104" spans="2:11" ht="12.75">
      <c r="B9104" s="4"/>
      <c r="D9104" s="67"/>
      <c r="G9104" s="68"/>
      <c r="K9104" s="68"/>
    </row>
    <row r="9105" spans="2:11" ht="12.75">
      <c r="B9105" s="4"/>
      <c r="D9105" s="67"/>
      <c r="G9105" s="68"/>
      <c r="K9105" s="68"/>
    </row>
    <row r="9106" spans="2:11" ht="12.75">
      <c r="B9106" s="4"/>
      <c r="D9106" s="67"/>
      <c r="G9106" s="68"/>
      <c r="K9106" s="68"/>
    </row>
    <row r="9107" spans="2:11" ht="12.75">
      <c r="B9107" s="4"/>
      <c r="D9107" s="67"/>
      <c r="G9107" s="68"/>
      <c r="K9107" s="68"/>
    </row>
    <row r="9108" spans="2:11" ht="12.75">
      <c r="B9108" s="4"/>
      <c r="D9108" s="67"/>
      <c r="G9108" s="68"/>
      <c r="K9108" s="68"/>
    </row>
    <row r="9109" spans="2:11" ht="12.75">
      <c r="B9109" s="4"/>
      <c r="D9109" s="67"/>
      <c r="G9109" s="68"/>
      <c r="K9109" s="68"/>
    </row>
    <row r="9110" spans="2:11" ht="12.75">
      <c r="B9110" s="4"/>
      <c r="D9110" s="67"/>
      <c r="G9110" s="68"/>
      <c r="K9110" s="68"/>
    </row>
    <row r="9111" spans="2:11" ht="12.75">
      <c r="B9111" s="4"/>
      <c r="D9111" s="67"/>
      <c r="G9111" s="68"/>
      <c r="K9111" s="68"/>
    </row>
    <row r="9112" spans="2:11" ht="12.75">
      <c r="B9112" s="4"/>
      <c r="D9112" s="67"/>
      <c r="G9112" s="68"/>
      <c r="K9112" s="68"/>
    </row>
    <row r="9113" spans="2:11" ht="12.75">
      <c r="B9113" s="4"/>
      <c r="D9113" s="67"/>
      <c r="G9113" s="68"/>
      <c r="K9113" s="68"/>
    </row>
    <row r="9114" spans="2:11" ht="12.75">
      <c r="B9114" s="4"/>
      <c r="D9114" s="67"/>
      <c r="G9114" s="68"/>
      <c r="K9114" s="68"/>
    </row>
    <row r="9115" spans="2:11" ht="12.75">
      <c r="B9115" s="4"/>
      <c r="D9115" s="67"/>
      <c r="G9115" s="68"/>
      <c r="K9115" s="68"/>
    </row>
    <row r="9116" spans="2:11" ht="12.75">
      <c r="B9116" s="4"/>
      <c r="D9116" s="67"/>
      <c r="G9116" s="68"/>
      <c r="K9116" s="68"/>
    </row>
    <row r="9117" spans="2:11" ht="12.75">
      <c r="B9117" s="4"/>
      <c r="D9117" s="67"/>
      <c r="G9117" s="68"/>
      <c r="K9117" s="68"/>
    </row>
    <row r="9118" spans="2:11" ht="12.75">
      <c r="B9118" s="4"/>
      <c r="D9118" s="67"/>
      <c r="G9118" s="68"/>
      <c r="K9118" s="68"/>
    </row>
    <row r="9119" spans="2:11" ht="12.75">
      <c r="B9119" s="4"/>
      <c r="D9119" s="67"/>
      <c r="G9119" s="68"/>
      <c r="K9119" s="68"/>
    </row>
    <row r="9120" spans="2:11" ht="12.75">
      <c r="B9120" s="4"/>
      <c r="D9120" s="67"/>
      <c r="G9120" s="68"/>
      <c r="K9120" s="68"/>
    </row>
    <row r="9121" spans="2:11" ht="12.75">
      <c r="B9121" s="4"/>
      <c r="D9121" s="67"/>
      <c r="G9121" s="68"/>
      <c r="K9121" s="68"/>
    </row>
    <row r="9122" spans="2:11" ht="12.75">
      <c r="B9122" s="4"/>
      <c r="D9122" s="67"/>
      <c r="G9122" s="68"/>
      <c r="K9122" s="68"/>
    </row>
    <row r="9123" spans="2:11" ht="12.75">
      <c r="B9123" s="4"/>
      <c r="D9123" s="67"/>
      <c r="G9123" s="68"/>
      <c r="K9123" s="68"/>
    </row>
    <row r="9124" spans="2:11" ht="12.75">
      <c r="B9124" s="4"/>
      <c r="D9124" s="67"/>
      <c r="G9124" s="68"/>
      <c r="K9124" s="68"/>
    </row>
    <row r="9125" spans="2:11" ht="12.75">
      <c r="B9125" s="4"/>
      <c r="D9125" s="67"/>
      <c r="G9125" s="68"/>
      <c r="K9125" s="68"/>
    </row>
    <row r="9126" spans="2:11" ht="12.75">
      <c r="B9126" s="4"/>
      <c r="D9126" s="67"/>
      <c r="G9126" s="68"/>
      <c r="K9126" s="68"/>
    </row>
    <row r="9127" spans="2:11" ht="12.75">
      <c r="B9127" s="4"/>
      <c r="D9127" s="67"/>
      <c r="G9127" s="68"/>
      <c r="K9127" s="68"/>
    </row>
    <row r="9128" spans="2:11" ht="12.75">
      <c r="B9128" s="4"/>
      <c r="D9128" s="67"/>
      <c r="G9128" s="68"/>
      <c r="K9128" s="68"/>
    </row>
    <row r="9129" spans="2:11" ht="12.75">
      <c r="B9129" s="4"/>
      <c r="D9129" s="67"/>
      <c r="G9129" s="68"/>
      <c r="K9129" s="68"/>
    </row>
    <row r="9130" spans="2:11" ht="12.75">
      <c r="B9130" s="4"/>
      <c r="D9130" s="67"/>
      <c r="G9130" s="68"/>
      <c r="K9130" s="68"/>
    </row>
    <row r="9131" spans="2:11" ht="12.75">
      <c r="B9131" s="4"/>
      <c r="D9131" s="67"/>
      <c r="G9131" s="68"/>
      <c r="K9131" s="68"/>
    </row>
    <row r="9132" spans="2:11" ht="12.75">
      <c r="B9132" s="4"/>
      <c r="D9132" s="67"/>
      <c r="G9132" s="68"/>
      <c r="K9132" s="68"/>
    </row>
    <row r="9133" spans="2:11" ht="12.75">
      <c r="B9133" s="4"/>
      <c r="D9133" s="67"/>
      <c r="G9133" s="68"/>
      <c r="K9133" s="68"/>
    </row>
    <row r="9134" spans="2:11" ht="12.75">
      <c r="B9134" s="4"/>
      <c r="D9134" s="67"/>
      <c r="G9134" s="68"/>
      <c r="K9134" s="68"/>
    </row>
    <row r="9135" spans="2:11" ht="12.75">
      <c r="B9135" s="4"/>
      <c r="D9135" s="67"/>
      <c r="G9135" s="68"/>
      <c r="K9135" s="68"/>
    </row>
    <row r="9136" spans="2:11" ht="12.75">
      <c r="B9136" s="4"/>
      <c r="D9136" s="67"/>
      <c r="G9136" s="68"/>
      <c r="K9136" s="68"/>
    </row>
    <row r="9137" spans="2:11" ht="12.75">
      <c r="B9137" s="4"/>
      <c r="D9137" s="67"/>
      <c r="G9137" s="68"/>
      <c r="K9137" s="68"/>
    </row>
    <row r="9138" spans="2:11" ht="12.75">
      <c r="B9138" s="4"/>
      <c r="D9138" s="67"/>
      <c r="G9138" s="68"/>
      <c r="K9138" s="68"/>
    </row>
    <row r="9139" spans="2:11" ht="12.75">
      <c r="B9139" s="4"/>
      <c r="D9139" s="67"/>
      <c r="G9139" s="68"/>
      <c r="K9139" s="68"/>
    </row>
    <row r="9140" spans="2:11" ht="12.75">
      <c r="B9140" s="4"/>
      <c r="D9140" s="67"/>
      <c r="G9140" s="68"/>
      <c r="K9140" s="68"/>
    </row>
    <row r="9141" spans="2:11" ht="12.75">
      <c r="B9141" s="4"/>
      <c r="D9141" s="67"/>
      <c r="G9141" s="68"/>
      <c r="K9141" s="68"/>
    </row>
    <row r="9142" spans="2:11" ht="12.75">
      <c r="B9142" s="4"/>
      <c r="D9142" s="67"/>
      <c r="G9142" s="68"/>
      <c r="K9142" s="68"/>
    </row>
    <row r="9143" spans="2:11" ht="12.75">
      <c r="B9143" s="4"/>
      <c r="D9143" s="67"/>
      <c r="G9143" s="68"/>
      <c r="K9143" s="68"/>
    </row>
    <row r="9144" spans="2:11" ht="12.75">
      <c r="B9144" s="4"/>
      <c r="D9144" s="67"/>
      <c r="G9144" s="68"/>
      <c r="K9144" s="68"/>
    </row>
    <row r="9145" spans="2:11" ht="12.75">
      <c r="B9145" s="4"/>
      <c r="D9145" s="67"/>
      <c r="G9145" s="68"/>
      <c r="K9145" s="68"/>
    </row>
    <row r="9146" spans="2:11" ht="12.75">
      <c r="B9146" s="4"/>
      <c r="D9146" s="67"/>
      <c r="G9146" s="68"/>
      <c r="K9146" s="68"/>
    </row>
    <row r="9147" spans="2:11" ht="12.75">
      <c r="B9147" s="4"/>
      <c r="D9147" s="67"/>
      <c r="G9147" s="68"/>
      <c r="K9147" s="68"/>
    </row>
    <row r="9148" spans="2:11" ht="12.75">
      <c r="B9148" s="4"/>
      <c r="D9148" s="67"/>
      <c r="G9148" s="68"/>
      <c r="K9148" s="68"/>
    </row>
    <row r="9149" spans="2:11" ht="12.75">
      <c r="B9149" s="4"/>
      <c r="D9149" s="67"/>
      <c r="G9149" s="68"/>
      <c r="K9149" s="68"/>
    </row>
    <row r="9150" spans="2:11" ht="12.75">
      <c r="B9150" s="4"/>
      <c r="D9150" s="67"/>
      <c r="G9150" s="68"/>
      <c r="K9150" s="68"/>
    </row>
    <row r="9151" spans="2:11" ht="12.75">
      <c r="B9151" s="4"/>
      <c r="D9151" s="67"/>
      <c r="G9151" s="68"/>
      <c r="K9151" s="68"/>
    </row>
    <row r="9152" spans="2:11" ht="12.75">
      <c r="B9152" s="4"/>
      <c r="D9152" s="67"/>
      <c r="G9152" s="68"/>
      <c r="K9152" s="68"/>
    </row>
    <row r="9153" spans="2:11" ht="12.75">
      <c r="B9153" s="4"/>
      <c r="D9153" s="67"/>
      <c r="G9153" s="68"/>
      <c r="K9153" s="68"/>
    </row>
    <row r="9154" spans="2:11" ht="12.75">
      <c r="B9154" s="4"/>
      <c r="D9154" s="67"/>
      <c r="G9154" s="68"/>
      <c r="K9154" s="68"/>
    </row>
    <row r="9155" spans="2:11" ht="12.75">
      <c r="B9155" s="4"/>
      <c r="D9155" s="67"/>
      <c r="G9155" s="68"/>
      <c r="K9155" s="68"/>
    </row>
    <row r="9156" spans="2:11" ht="12.75">
      <c r="B9156" s="4"/>
      <c r="D9156" s="67"/>
      <c r="G9156" s="68"/>
      <c r="K9156" s="68"/>
    </row>
    <row r="9157" spans="2:11" ht="12.75">
      <c r="B9157" s="4"/>
      <c r="D9157" s="67"/>
      <c r="G9157" s="68"/>
      <c r="K9157" s="68"/>
    </row>
    <row r="9158" spans="2:11" ht="12.75">
      <c r="B9158" s="4"/>
      <c r="D9158" s="67"/>
      <c r="G9158" s="68"/>
      <c r="K9158" s="68"/>
    </row>
    <row r="9159" spans="2:11" ht="12.75">
      <c r="B9159" s="4"/>
      <c r="D9159" s="67"/>
      <c r="G9159" s="68"/>
      <c r="K9159" s="68"/>
    </row>
    <row r="9160" spans="2:11" ht="12.75">
      <c r="B9160" s="4"/>
      <c r="D9160" s="67"/>
      <c r="G9160" s="68"/>
      <c r="K9160" s="68"/>
    </row>
    <row r="9161" spans="2:11" ht="12.75">
      <c r="B9161" s="4"/>
      <c r="D9161" s="67"/>
      <c r="G9161" s="68"/>
      <c r="K9161" s="68"/>
    </row>
    <row r="9162" spans="2:11" ht="12.75">
      <c r="B9162" s="4"/>
      <c r="D9162" s="67"/>
      <c r="G9162" s="68"/>
      <c r="K9162" s="68"/>
    </row>
    <row r="9163" spans="2:11" ht="12.75">
      <c r="B9163" s="4"/>
      <c r="D9163" s="67"/>
      <c r="G9163" s="68"/>
      <c r="K9163" s="68"/>
    </row>
    <row r="9164" spans="2:11" ht="12.75">
      <c r="B9164" s="4"/>
      <c r="D9164" s="67"/>
      <c r="G9164" s="68"/>
      <c r="K9164" s="68"/>
    </row>
    <row r="9165" spans="2:11" ht="12.75">
      <c r="B9165" s="4"/>
      <c r="D9165" s="67"/>
      <c r="G9165" s="68"/>
      <c r="K9165" s="68"/>
    </row>
    <row r="9166" spans="2:11" ht="12.75">
      <c r="B9166" s="4"/>
      <c r="D9166" s="67"/>
      <c r="G9166" s="68"/>
      <c r="K9166" s="68"/>
    </row>
    <row r="9167" spans="2:11" ht="12.75">
      <c r="B9167" s="4"/>
      <c r="D9167" s="67"/>
      <c r="G9167" s="68"/>
      <c r="K9167" s="68"/>
    </row>
    <row r="9168" spans="2:11" ht="12.75">
      <c r="B9168" s="4"/>
      <c r="D9168" s="67"/>
      <c r="G9168" s="68"/>
      <c r="K9168" s="68"/>
    </row>
    <row r="9169" spans="2:11" ht="12.75">
      <c r="B9169" s="4"/>
      <c r="D9169" s="67"/>
      <c r="G9169" s="68"/>
      <c r="K9169" s="68"/>
    </row>
    <row r="9170" spans="2:11" ht="12.75">
      <c r="B9170" s="4"/>
      <c r="D9170" s="67"/>
      <c r="G9170" s="68"/>
      <c r="K9170" s="68"/>
    </row>
    <row r="9171" spans="2:11" ht="12.75">
      <c r="B9171" s="4"/>
      <c r="D9171" s="67"/>
      <c r="G9171" s="68"/>
      <c r="K9171" s="68"/>
    </row>
    <row r="9172" spans="2:11" ht="12.75">
      <c r="B9172" s="4"/>
      <c r="D9172" s="67"/>
      <c r="G9172" s="68"/>
      <c r="K9172" s="68"/>
    </row>
    <row r="9173" spans="2:11" ht="12.75">
      <c r="B9173" s="4"/>
      <c r="D9173" s="67"/>
      <c r="G9173" s="68"/>
      <c r="K9173" s="68"/>
    </row>
    <row r="9174" spans="2:11" ht="12.75">
      <c r="B9174" s="4"/>
      <c r="D9174" s="67"/>
      <c r="G9174" s="68"/>
      <c r="K9174" s="68"/>
    </row>
    <row r="9175" spans="2:11" ht="12.75">
      <c r="B9175" s="4"/>
      <c r="D9175" s="67"/>
      <c r="G9175" s="68"/>
      <c r="K9175" s="68"/>
    </row>
    <row r="9176" spans="2:11" ht="12.75">
      <c r="B9176" s="4"/>
      <c r="D9176" s="67"/>
      <c r="G9176" s="68"/>
      <c r="K9176" s="68"/>
    </row>
    <row r="9177" spans="2:11" ht="12.75">
      <c r="B9177" s="4"/>
      <c r="D9177" s="67"/>
      <c r="G9177" s="68"/>
      <c r="K9177" s="68"/>
    </row>
    <row r="9178" spans="2:11" ht="12.75">
      <c r="B9178" s="4"/>
      <c r="D9178" s="67"/>
      <c r="G9178" s="68"/>
      <c r="K9178" s="68"/>
    </row>
    <row r="9179" spans="2:11" ht="12.75">
      <c r="B9179" s="4"/>
      <c r="D9179" s="67"/>
      <c r="G9179" s="68"/>
      <c r="K9179" s="68"/>
    </row>
    <row r="9180" spans="2:11" ht="12.75">
      <c r="B9180" s="4"/>
      <c r="D9180" s="67"/>
      <c r="G9180" s="68"/>
      <c r="K9180" s="68"/>
    </row>
    <row r="9181" spans="2:11" ht="12.75">
      <c r="B9181" s="4"/>
      <c r="D9181" s="67"/>
      <c r="G9181" s="68"/>
      <c r="K9181" s="68"/>
    </row>
    <row r="9182" spans="2:11" ht="12.75">
      <c r="B9182" s="4"/>
      <c r="D9182" s="67"/>
      <c r="G9182" s="68"/>
      <c r="K9182" s="68"/>
    </row>
    <row r="9183" spans="2:11" ht="12.75">
      <c r="B9183" s="4"/>
      <c r="D9183" s="67"/>
      <c r="G9183" s="68"/>
      <c r="K9183" s="68"/>
    </row>
    <row r="9184" spans="2:11" ht="12.75">
      <c r="B9184" s="4"/>
      <c r="D9184" s="67"/>
      <c r="G9184" s="68"/>
      <c r="K9184" s="68"/>
    </row>
    <row r="9185" spans="2:11" ht="12.75">
      <c r="B9185" s="4"/>
      <c r="D9185" s="67"/>
      <c r="G9185" s="68"/>
      <c r="K9185" s="68"/>
    </row>
    <row r="9186" spans="2:11" ht="12.75">
      <c r="B9186" s="4"/>
      <c r="D9186" s="67"/>
      <c r="G9186" s="68"/>
      <c r="K9186" s="68"/>
    </row>
    <row r="9187" spans="2:11" ht="12.75">
      <c r="B9187" s="4"/>
      <c r="D9187" s="67"/>
      <c r="G9187" s="68"/>
      <c r="K9187" s="68"/>
    </row>
    <row r="9188" spans="2:11" ht="12.75">
      <c r="B9188" s="4"/>
      <c r="D9188" s="67"/>
      <c r="G9188" s="68"/>
      <c r="K9188" s="68"/>
    </row>
    <row r="9189" spans="2:11" ht="12.75">
      <c r="B9189" s="4"/>
      <c r="D9189" s="67"/>
      <c r="G9189" s="68"/>
      <c r="K9189" s="68"/>
    </row>
    <row r="9190" spans="2:11" ht="12.75">
      <c r="B9190" s="4"/>
      <c r="D9190" s="67"/>
      <c r="G9190" s="68"/>
      <c r="K9190" s="68"/>
    </row>
    <row r="9191" spans="2:11" ht="12.75">
      <c r="B9191" s="4"/>
      <c r="D9191" s="67"/>
      <c r="G9191" s="68"/>
      <c r="K9191" s="68"/>
    </row>
    <row r="9192" spans="2:11" ht="12.75">
      <c r="B9192" s="4"/>
      <c r="D9192" s="67"/>
      <c r="G9192" s="68"/>
      <c r="K9192" s="68"/>
    </row>
    <row r="9193" spans="2:11" ht="12.75">
      <c r="B9193" s="4"/>
      <c r="D9193" s="67"/>
      <c r="G9193" s="68"/>
      <c r="K9193" s="68"/>
    </row>
    <row r="9194" spans="2:11" ht="12.75">
      <c r="B9194" s="4"/>
      <c r="D9194" s="67"/>
      <c r="G9194" s="68"/>
      <c r="K9194" s="68"/>
    </row>
    <row r="9195" spans="2:11" ht="12.75">
      <c r="B9195" s="4"/>
      <c r="D9195" s="67"/>
      <c r="G9195" s="68"/>
      <c r="K9195" s="68"/>
    </row>
    <row r="9196" spans="2:11" ht="12.75">
      <c r="B9196" s="4"/>
      <c r="D9196" s="67"/>
      <c r="G9196" s="68"/>
      <c r="K9196" s="68"/>
    </row>
    <row r="9197" spans="2:11" ht="12.75">
      <c r="B9197" s="4"/>
      <c r="D9197" s="67"/>
      <c r="G9197" s="68"/>
      <c r="K9197" s="68"/>
    </row>
    <row r="9198" spans="2:11" ht="12.75">
      <c r="B9198" s="4"/>
      <c r="D9198" s="67"/>
      <c r="G9198" s="68"/>
      <c r="K9198" s="68"/>
    </row>
    <row r="9199" spans="2:11" ht="12.75">
      <c r="B9199" s="4"/>
      <c r="D9199" s="67"/>
      <c r="G9199" s="68"/>
      <c r="K9199" s="68"/>
    </row>
    <row r="9200" spans="2:11" ht="12.75">
      <c r="B9200" s="4"/>
      <c r="D9200" s="67"/>
      <c r="G9200" s="68"/>
      <c r="K9200" s="68"/>
    </row>
    <row r="9201" spans="2:11" ht="12.75">
      <c r="B9201" s="4"/>
      <c r="D9201" s="67"/>
      <c r="G9201" s="68"/>
      <c r="K9201" s="68"/>
    </row>
    <row r="9202" spans="2:11" ht="12.75">
      <c r="B9202" s="4"/>
      <c r="D9202" s="67"/>
      <c r="G9202" s="68"/>
      <c r="K9202" s="68"/>
    </row>
    <row r="9203" spans="2:11" ht="12.75">
      <c r="B9203" s="4"/>
      <c r="D9203" s="67"/>
      <c r="G9203" s="68"/>
      <c r="K9203" s="68"/>
    </row>
    <row r="9204" spans="2:11" ht="12.75">
      <c r="B9204" s="4"/>
      <c r="D9204" s="67"/>
      <c r="G9204" s="68"/>
      <c r="K9204" s="68"/>
    </row>
    <row r="9205" spans="2:11" ht="12.75">
      <c r="B9205" s="4"/>
      <c r="D9205" s="67"/>
      <c r="G9205" s="68"/>
      <c r="K9205" s="68"/>
    </row>
    <row r="9206" spans="2:11" ht="12.75">
      <c r="B9206" s="4"/>
      <c r="D9206" s="67"/>
      <c r="G9206" s="68"/>
      <c r="K9206" s="68"/>
    </row>
    <row r="9207" spans="2:11" ht="12.75">
      <c r="B9207" s="4"/>
      <c r="D9207" s="67"/>
      <c r="G9207" s="68"/>
      <c r="K9207" s="68"/>
    </row>
    <row r="9208" spans="2:11" ht="12.75">
      <c r="B9208" s="4"/>
      <c r="D9208" s="67"/>
      <c r="G9208" s="68"/>
      <c r="K9208" s="68"/>
    </row>
    <row r="9209" spans="2:11" ht="12.75">
      <c r="B9209" s="4"/>
      <c r="D9209" s="67"/>
      <c r="G9209" s="68"/>
      <c r="K9209" s="68"/>
    </row>
    <row r="9210" spans="2:11" ht="12.75">
      <c r="B9210" s="4"/>
      <c r="D9210" s="67"/>
      <c r="G9210" s="68"/>
      <c r="K9210" s="68"/>
    </row>
    <row r="9211" spans="2:11" ht="12.75">
      <c r="B9211" s="4"/>
      <c r="D9211" s="67"/>
      <c r="G9211" s="68"/>
      <c r="K9211" s="68"/>
    </row>
    <row r="9212" spans="2:11" ht="12.75">
      <c r="B9212" s="4"/>
      <c r="D9212" s="67"/>
      <c r="G9212" s="68"/>
      <c r="K9212" s="68"/>
    </row>
    <row r="9213" spans="2:11" ht="12.75">
      <c r="B9213" s="4"/>
      <c r="D9213" s="67"/>
      <c r="G9213" s="68"/>
      <c r="K9213" s="68"/>
    </row>
    <row r="9214" spans="2:11" ht="12.75">
      <c r="B9214" s="4"/>
      <c r="D9214" s="67"/>
      <c r="G9214" s="68"/>
      <c r="K9214" s="68"/>
    </row>
    <row r="9215" spans="2:11" ht="12.75">
      <c r="B9215" s="4"/>
      <c r="D9215" s="67"/>
      <c r="G9215" s="68"/>
      <c r="K9215" s="68"/>
    </row>
    <row r="9216" spans="2:11" ht="12.75">
      <c r="B9216" s="4"/>
      <c r="D9216" s="67"/>
      <c r="G9216" s="68"/>
      <c r="K9216" s="68"/>
    </row>
    <row r="9217" spans="2:11" ht="12.75">
      <c r="B9217" s="4"/>
      <c r="D9217" s="67"/>
      <c r="G9217" s="68"/>
      <c r="K9217" s="68"/>
    </row>
    <row r="9218" spans="2:11" ht="12.75">
      <c r="B9218" s="4"/>
      <c r="D9218" s="67"/>
      <c r="G9218" s="68"/>
      <c r="K9218" s="68"/>
    </row>
    <row r="9219" spans="2:11" ht="12.75">
      <c r="B9219" s="4"/>
      <c r="D9219" s="67"/>
      <c r="G9219" s="68"/>
      <c r="K9219" s="68"/>
    </row>
    <row r="9220" spans="2:11" ht="12.75">
      <c r="B9220" s="4"/>
      <c r="D9220" s="67"/>
      <c r="G9220" s="68"/>
      <c r="K9220" s="68"/>
    </row>
    <row r="9221" spans="2:11" ht="12.75">
      <c r="B9221" s="4"/>
      <c r="D9221" s="67"/>
      <c r="G9221" s="68"/>
      <c r="K9221" s="68"/>
    </row>
    <row r="9222" spans="2:11" ht="12.75">
      <c r="B9222" s="4"/>
      <c r="D9222" s="67"/>
      <c r="G9222" s="68"/>
      <c r="K9222" s="68"/>
    </row>
    <row r="9223" spans="2:11" ht="12.75">
      <c r="B9223" s="4"/>
      <c r="D9223" s="67"/>
      <c r="G9223" s="68"/>
      <c r="K9223" s="68"/>
    </row>
    <row r="9224" spans="2:11" ht="12.75">
      <c r="B9224" s="4"/>
      <c r="D9224" s="67"/>
      <c r="G9224" s="68"/>
      <c r="K9224" s="68"/>
    </row>
    <row r="9225" spans="2:11" ht="12.75">
      <c r="B9225" s="4"/>
      <c r="D9225" s="67"/>
      <c r="G9225" s="68"/>
      <c r="K9225" s="68"/>
    </row>
    <row r="9226" spans="2:11" ht="12.75">
      <c r="B9226" s="4"/>
      <c r="D9226" s="67"/>
      <c r="G9226" s="68"/>
      <c r="K9226" s="68"/>
    </row>
    <row r="9227" spans="2:11" ht="12.75">
      <c r="B9227" s="4"/>
      <c r="D9227" s="67"/>
      <c r="G9227" s="68"/>
      <c r="K9227" s="68"/>
    </row>
    <row r="9228" spans="2:11" ht="12.75">
      <c r="B9228" s="4"/>
      <c r="D9228" s="67"/>
      <c r="G9228" s="68"/>
      <c r="K9228" s="68"/>
    </row>
    <row r="9229" spans="2:11" ht="12.75">
      <c r="B9229" s="4"/>
      <c r="D9229" s="67"/>
      <c r="G9229" s="68"/>
      <c r="K9229" s="68"/>
    </row>
    <row r="9230" spans="2:11" ht="12.75">
      <c r="B9230" s="4"/>
      <c r="D9230" s="67"/>
      <c r="G9230" s="68"/>
      <c r="K9230" s="68"/>
    </row>
    <row r="9231" spans="2:11" ht="12.75">
      <c r="B9231" s="4"/>
      <c r="D9231" s="67"/>
      <c r="G9231" s="68"/>
      <c r="K9231" s="68"/>
    </row>
    <row r="9232" spans="2:11" ht="12.75">
      <c r="B9232" s="4"/>
      <c r="D9232" s="67"/>
      <c r="G9232" s="68"/>
      <c r="K9232" s="68"/>
    </row>
    <row r="9233" spans="2:11" ht="12.75">
      <c r="B9233" s="4"/>
      <c r="D9233" s="67"/>
      <c r="G9233" s="68"/>
      <c r="K9233" s="68"/>
    </row>
    <row r="9234" spans="2:11" ht="12.75">
      <c r="B9234" s="4"/>
      <c r="D9234" s="67"/>
      <c r="G9234" s="68"/>
      <c r="K9234" s="68"/>
    </row>
    <row r="9235" spans="2:11" ht="12.75">
      <c r="B9235" s="4"/>
      <c r="D9235" s="67"/>
      <c r="G9235" s="68"/>
      <c r="K9235" s="68"/>
    </row>
    <row r="9236" spans="2:11" ht="12.75">
      <c r="B9236" s="4"/>
      <c r="D9236" s="67"/>
      <c r="G9236" s="68"/>
      <c r="K9236" s="68"/>
    </row>
    <row r="9237" spans="2:11" ht="12.75">
      <c r="B9237" s="4"/>
      <c r="D9237" s="67"/>
      <c r="G9237" s="68"/>
      <c r="K9237" s="68"/>
    </row>
    <row r="9238" spans="2:11" ht="12.75">
      <c r="B9238" s="4"/>
      <c r="D9238" s="67"/>
      <c r="G9238" s="68"/>
      <c r="K9238" s="68"/>
    </row>
    <row r="9239" spans="2:11" ht="12.75">
      <c r="B9239" s="4"/>
      <c r="D9239" s="67"/>
      <c r="G9239" s="68"/>
      <c r="K9239" s="68"/>
    </row>
    <row r="9240" spans="2:11" ht="12.75">
      <c r="B9240" s="4"/>
      <c r="D9240" s="67"/>
      <c r="G9240" s="68"/>
      <c r="K9240" s="68"/>
    </row>
    <row r="9241" spans="2:11" ht="12.75">
      <c r="B9241" s="4"/>
      <c r="D9241" s="67"/>
      <c r="G9241" s="68"/>
      <c r="K9241" s="68"/>
    </row>
    <row r="9242" spans="2:11" ht="12.75">
      <c r="B9242" s="4"/>
      <c r="D9242" s="67"/>
      <c r="G9242" s="68"/>
      <c r="K9242" s="68"/>
    </row>
    <row r="9243" spans="2:11" ht="12.75">
      <c r="B9243" s="4"/>
      <c r="D9243" s="67"/>
      <c r="G9243" s="68"/>
      <c r="K9243" s="68"/>
    </row>
    <row r="9244" spans="2:11" ht="12.75">
      <c r="B9244" s="4"/>
      <c r="D9244" s="67"/>
      <c r="G9244" s="68"/>
      <c r="K9244" s="68"/>
    </row>
    <row r="9245" spans="2:11" ht="12.75">
      <c r="B9245" s="4"/>
      <c r="D9245" s="67"/>
      <c r="G9245" s="68"/>
      <c r="K9245" s="68"/>
    </row>
    <row r="9246" spans="2:11" ht="12.75">
      <c r="B9246" s="4"/>
      <c r="D9246" s="67"/>
      <c r="G9246" s="68"/>
      <c r="K9246" s="68"/>
    </row>
    <row r="9247" spans="2:11" ht="12.75">
      <c r="B9247" s="4"/>
      <c r="D9247" s="67"/>
      <c r="G9247" s="68"/>
      <c r="K9247" s="68"/>
    </row>
    <row r="9248" spans="2:11" ht="12.75">
      <c r="B9248" s="4"/>
      <c r="D9248" s="67"/>
      <c r="G9248" s="68"/>
      <c r="K9248" s="68"/>
    </row>
    <row r="9249" spans="2:11" ht="12.75">
      <c r="B9249" s="4"/>
      <c r="D9249" s="67"/>
      <c r="G9249" s="68"/>
      <c r="K9249" s="68"/>
    </row>
    <row r="9250" spans="2:11" ht="12.75">
      <c r="B9250" s="4"/>
      <c r="D9250" s="67"/>
      <c r="G9250" s="68"/>
      <c r="K9250" s="68"/>
    </row>
    <row r="9251" spans="2:11" ht="12.75">
      <c r="B9251" s="4"/>
      <c r="D9251" s="67"/>
      <c r="G9251" s="68"/>
      <c r="K9251" s="68"/>
    </row>
    <row r="9252" spans="2:11" ht="12.75">
      <c r="B9252" s="4"/>
      <c r="D9252" s="67"/>
      <c r="G9252" s="68"/>
      <c r="K9252" s="68"/>
    </row>
    <row r="9253" spans="2:11" ht="12.75">
      <c r="B9253" s="4"/>
      <c r="D9253" s="67"/>
      <c r="G9253" s="68"/>
      <c r="K9253" s="68"/>
    </row>
    <row r="9254" spans="2:11" ht="12.75">
      <c r="B9254" s="4"/>
      <c r="D9254" s="67"/>
      <c r="G9254" s="68"/>
      <c r="K9254" s="68"/>
    </row>
    <row r="9255" spans="2:11" ht="12.75">
      <c r="B9255" s="4"/>
      <c r="D9255" s="67"/>
      <c r="G9255" s="68"/>
      <c r="K9255" s="68"/>
    </row>
    <row r="9256" spans="2:11" ht="12.75">
      <c r="B9256" s="4"/>
      <c r="D9256" s="67"/>
      <c r="G9256" s="68"/>
      <c r="K9256" s="68"/>
    </row>
    <row r="9257" spans="2:11" ht="12.75">
      <c r="B9257" s="4"/>
      <c r="D9257" s="67"/>
      <c r="G9257" s="68"/>
      <c r="K9257" s="68"/>
    </row>
    <row r="9258" spans="2:11" ht="12.75">
      <c r="B9258" s="4"/>
      <c r="D9258" s="67"/>
      <c r="G9258" s="68"/>
      <c r="K9258" s="68"/>
    </row>
    <row r="9259" spans="2:11" ht="12.75">
      <c r="B9259" s="4"/>
      <c r="D9259" s="67"/>
      <c r="G9259" s="68"/>
      <c r="K9259" s="68"/>
    </row>
    <row r="9260" spans="2:11" ht="12.75">
      <c r="B9260" s="4"/>
      <c r="D9260" s="67"/>
      <c r="G9260" s="68"/>
      <c r="K9260" s="68"/>
    </row>
    <row r="9261" spans="2:11" ht="12.75">
      <c r="B9261" s="4"/>
      <c r="D9261" s="67"/>
      <c r="G9261" s="68"/>
      <c r="K9261" s="68"/>
    </row>
    <row r="9262" spans="2:11" ht="12.75">
      <c r="B9262" s="4"/>
      <c r="D9262" s="67"/>
      <c r="G9262" s="68"/>
      <c r="K9262" s="68"/>
    </row>
    <row r="9263" spans="2:11" ht="12.75">
      <c r="B9263" s="4"/>
      <c r="D9263" s="67"/>
      <c r="G9263" s="68"/>
      <c r="K9263" s="68"/>
    </row>
    <row r="9264" spans="2:11" ht="12.75">
      <c r="B9264" s="4"/>
      <c r="D9264" s="67"/>
      <c r="G9264" s="68"/>
      <c r="K9264" s="68"/>
    </row>
    <row r="9265" spans="2:11" ht="12.75">
      <c r="B9265" s="4"/>
      <c r="D9265" s="67"/>
      <c r="G9265" s="68"/>
      <c r="K9265" s="68"/>
    </row>
    <row r="9266" spans="2:11" ht="12.75">
      <c r="B9266" s="4"/>
      <c r="D9266" s="67"/>
      <c r="G9266" s="68"/>
      <c r="K9266" s="68"/>
    </row>
    <row r="9267" spans="2:11" ht="12.75">
      <c r="B9267" s="4"/>
      <c r="D9267" s="67"/>
      <c r="G9267" s="68"/>
      <c r="K9267" s="68"/>
    </row>
    <row r="9268" spans="2:11" ht="12.75">
      <c r="B9268" s="4"/>
      <c r="D9268" s="67"/>
      <c r="G9268" s="68"/>
      <c r="K9268" s="68"/>
    </row>
    <row r="9269" spans="2:11" ht="12.75">
      <c r="B9269" s="4"/>
      <c r="D9269" s="67"/>
      <c r="G9269" s="68"/>
      <c r="K9269" s="68"/>
    </row>
    <row r="9270" spans="2:11" ht="12.75">
      <c r="B9270" s="4"/>
      <c r="D9270" s="67"/>
      <c r="G9270" s="68"/>
      <c r="K9270" s="68"/>
    </row>
    <row r="9271" spans="2:11" ht="12.75">
      <c r="B9271" s="4"/>
      <c r="D9271" s="67"/>
      <c r="G9271" s="68"/>
      <c r="K9271" s="68"/>
    </row>
    <row r="9272" spans="2:11" ht="12.75">
      <c r="B9272" s="4"/>
      <c r="D9272" s="67"/>
      <c r="G9272" s="68"/>
      <c r="K9272" s="68"/>
    </row>
    <row r="9273" spans="2:11" ht="12.75">
      <c r="B9273" s="4"/>
      <c r="D9273" s="67"/>
      <c r="G9273" s="68"/>
      <c r="K9273" s="68"/>
    </row>
    <row r="9274" spans="2:11" ht="12.75">
      <c r="B9274" s="4"/>
      <c r="D9274" s="67"/>
      <c r="G9274" s="68"/>
      <c r="K9274" s="68"/>
    </row>
    <row r="9275" spans="2:11" ht="12.75">
      <c r="B9275" s="4"/>
      <c r="D9275" s="67"/>
      <c r="G9275" s="68"/>
      <c r="K9275" s="68"/>
    </row>
    <row r="9276" spans="2:11" ht="12.75">
      <c r="B9276" s="4"/>
      <c r="D9276" s="67"/>
      <c r="G9276" s="68"/>
      <c r="K9276" s="68"/>
    </row>
    <row r="9277" spans="2:11" ht="12.75">
      <c r="B9277" s="4"/>
      <c r="D9277" s="67"/>
      <c r="G9277" s="68"/>
      <c r="K9277" s="68"/>
    </row>
    <row r="9278" spans="2:11" ht="12.75">
      <c r="B9278" s="4"/>
      <c r="D9278" s="67"/>
      <c r="G9278" s="68"/>
      <c r="K9278" s="68"/>
    </row>
    <row r="9279" spans="2:11" ht="12.75">
      <c r="B9279" s="4"/>
      <c r="D9279" s="67"/>
      <c r="G9279" s="68"/>
      <c r="K9279" s="68"/>
    </row>
    <row r="9280" spans="2:11" ht="12.75">
      <c r="B9280" s="4"/>
      <c r="D9280" s="67"/>
      <c r="G9280" s="68"/>
      <c r="K9280" s="68"/>
    </row>
    <row r="9281" spans="2:11" ht="12.75">
      <c r="B9281" s="4"/>
      <c r="D9281" s="67"/>
      <c r="G9281" s="68"/>
      <c r="K9281" s="68"/>
    </row>
    <row r="9282" spans="2:11" ht="12.75">
      <c r="B9282" s="4"/>
      <c r="D9282" s="67"/>
      <c r="G9282" s="68"/>
      <c r="K9282" s="68"/>
    </row>
    <row r="9283" spans="2:11" ht="12.75">
      <c r="B9283" s="4"/>
      <c r="D9283" s="67"/>
      <c r="G9283" s="68"/>
      <c r="K9283" s="68"/>
    </row>
    <row r="9284" spans="2:11" ht="12.75">
      <c r="B9284" s="4"/>
      <c r="D9284" s="67"/>
      <c r="G9284" s="68"/>
      <c r="K9284" s="68"/>
    </row>
    <row r="9285" spans="2:11" ht="12.75">
      <c r="B9285" s="4"/>
      <c r="D9285" s="67"/>
      <c r="G9285" s="68"/>
      <c r="K9285" s="68"/>
    </row>
    <row r="9286" spans="2:11" ht="12.75">
      <c r="B9286" s="4"/>
      <c r="D9286" s="67"/>
      <c r="G9286" s="68"/>
      <c r="K9286" s="68"/>
    </row>
    <row r="9287" spans="2:11" ht="12.75">
      <c r="B9287" s="4"/>
      <c r="D9287" s="67"/>
      <c r="G9287" s="68"/>
      <c r="K9287" s="68"/>
    </row>
    <row r="9288" spans="2:11" ht="12.75">
      <c r="B9288" s="4"/>
      <c r="D9288" s="67"/>
      <c r="G9288" s="68"/>
      <c r="K9288" s="68"/>
    </row>
    <row r="9289" spans="2:11" ht="12.75">
      <c r="B9289" s="4"/>
      <c r="D9289" s="67"/>
      <c r="G9289" s="68"/>
      <c r="K9289" s="68"/>
    </row>
    <row r="9290" spans="2:11" ht="12.75">
      <c r="B9290" s="4"/>
      <c r="D9290" s="67"/>
      <c r="G9290" s="68"/>
      <c r="K9290" s="68"/>
    </row>
    <row r="9291" spans="2:11" ht="12.75">
      <c r="B9291" s="4"/>
      <c r="D9291" s="67"/>
      <c r="G9291" s="68"/>
      <c r="K9291" s="68"/>
    </row>
    <row r="9292" spans="2:11" ht="12.75">
      <c r="B9292" s="4"/>
      <c r="D9292" s="67"/>
      <c r="G9292" s="68"/>
      <c r="K9292" s="68"/>
    </row>
    <row r="9293" spans="2:11" ht="12.75">
      <c r="B9293" s="4"/>
      <c r="D9293" s="67"/>
      <c r="G9293" s="68"/>
      <c r="K9293" s="68"/>
    </row>
    <row r="9294" spans="2:11" ht="12.75">
      <c r="B9294" s="4"/>
      <c r="D9294" s="67"/>
      <c r="G9294" s="68"/>
      <c r="K9294" s="68"/>
    </row>
    <row r="9295" spans="2:11" ht="12.75">
      <c r="B9295" s="4"/>
      <c r="D9295" s="67"/>
      <c r="G9295" s="68"/>
      <c r="K9295" s="68"/>
    </row>
    <row r="9296" spans="2:11" ht="12.75">
      <c r="B9296" s="4"/>
      <c r="D9296" s="67"/>
      <c r="G9296" s="68"/>
      <c r="K9296" s="68"/>
    </row>
    <row r="9297" spans="2:11" ht="12.75">
      <c r="B9297" s="4"/>
      <c r="D9297" s="67"/>
      <c r="G9297" s="68"/>
      <c r="K9297" s="68"/>
    </row>
    <row r="9298" spans="2:11" ht="12.75">
      <c r="B9298" s="4"/>
      <c r="D9298" s="67"/>
      <c r="G9298" s="68"/>
      <c r="K9298" s="68"/>
    </row>
    <row r="9299" spans="2:11" ht="12.75">
      <c r="B9299" s="4"/>
      <c r="D9299" s="67"/>
      <c r="G9299" s="68"/>
      <c r="K9299" s="68"/>
    </row>
    <row r="9300" spans="2:11" ht="12.75">
      <c r="B9300" s="4"/>
      <c r="D9300" s="67"/>
      <c r="G9300" s="68"/>
      <c r="K9300" s="68"/>
    </row>
    <row r="9301" spans="2:11" ht="12.75">
      <c r="B9301" s="4"/>
      <c r="D9301" s="67"/>
      <c r="G9301" s="68"/>
      <c r="K9301" s="68"/>
    </row>
    <row r="9302" spans="2:11" ht="12.75">
      <c r="B9302" s="4"/>
      <c r="D9302" s="67"/>
      <c r="G9302" s="68"/>
      <c r="K9302" s="68"/>
    </row>
    <row r="9303" spans="2:11" ht="12.75">
      <c r="B9303" s="4"/>
      <c r="D9303" s="67"/>
      <c r="G9303" s="68"/>
      <c r="K9303" s="68"/>
    </row>
    <row r="9304" spans="2:11" ht="12.75">
      <c r="B9304" s="4"/>
      <c r="D9304" s="67"/>
      <c r="G9304" s="68"/>
      <c r="K9304" s="68"/>
    </row>
    <row r="9305" spans="2:11" ht="12.75">
      <c r="B9305" s="4"/>
      <c r="D9305" s="67"/>
      <c r="G9305" s="68"/>
      <c r="K9305" s="68"/>
    </row>
    <row r="9306" spans="2:11" ht="12.75">
      <c r="B9306" s="4"/>
      <c r="D9306" s="67"/>
      <c r="G9306" s="68"/>
      <c r="K9306" s="68"/>
    </row>
    <row r="9307" spans="2:11" ht="12.75">
      <c r="B9307" s="4"/>
      <c r="D9307" s="67"/>
      <c r="G9307" s="68"/>
      <c r="K9307" s="68"/>
    </row>
    <row r="9308" spans="2:11" ht="12.75">
      <c r="B9308" s="4"/>
      <c r="D9308" s="67"/>
      <c r="G9308" s="68"/>
      <c r="K9308" s="68"/>
    </row>
    <row r="9309" spans="2:11" ht="12.75">
      <c r="B9309" s="4"/>
      <c r="D9309" s="67"/>
      <c r="G9309" s="68"/>
      <c r="K9309" s="68"/>
    </row>
    <row r="9310" spans="2:11" ht="12.75">
      <c r="B9310" s="4"/>
      <c r="D9310" s="67"/>
      <c r="G9310" s="68"/>
      <c r="K9310" s="68"/>
    </row>
    <row r="9311" spans="2:11" ht="12.75">
      <c r="B9311" s="4"/>
      <c r="D9311" s="67"/>
      <c r="G9311" s="68"/>
      <c r="K9311" s="68"/>
    </row>
    <row r="9312" spans="2:11" ht="12.75">
      <c r="B9312" s="4"/>
      <c r="D9312" s="67"/>
      <c r="G9312" s="68"/>
      <c r="K9312" s="68"/>
    </row>
    <row r="9313" spans="2:11" ht="12.75">
      <c r="B9313" s="4"/>
      <c r="D9313" s="67"/>
      <c r="G9313" s="68"/>
      <c r="K9313" s="68"/>
    </row>
    <row r="9314" spans="2:11" ht="12.75">
      <c r="B9314" s="4"/>
      <c r="D9314" s="67"/>
      <c r="G9314" s="68"/>
      <c r="K9314" s="68"/>
    </row>
    <row r="9315" spans="2:11" ht="12.75">
      <c r="B9315" s="4"/>
      <c r="D9315" s="67"/>
      <c r="G9315" s="68"/>
      <c r="K9315" s="68"/>
    </row>
    <row r="9316" spans="2:11" ht="12.75">
      <c r="B9316" s="4"/>
      <c r="D9316" s="67"/>
      <c r="G9316" s="68"/>
      <c r="K9316" s="68"/>
    </row>
    <row r="9317" spans="2:11" ht="12.75">
      <c r="B9317" s="4"/>
      <c r="D9317" s="67"/>
      <c r="G9317" s="68"/>
      <c r="K9317" s="68"/>
    </row>
    <row r="9318" spans="2:11" ht="12.75">
      <c r="B9318" s="4"/>
      <c r="D9318" s="67"/>
      <c r="G9318" s="68"/>
      <c r="K9318" s="68"/>
    </row>
    <row r="9319" spans="2:11" ht="12.75">
      <c r="B9319" s="4"/>
      <c r="D9319" s="67"/>
      <c r="G9319" s="68"/>
      <c r="K9319" s="68"/>
    </row>
    <row r="9320" spans="2:11" ht="12.75">
      <c r="B9320" s="4"/>
      <c r="D9320" s="67"/>
      <c r="G9320" s="68"/>
      <c r="K9320" s="68"/>
    </row>
    <row r="9321" spans="2:11" ht="12.75">
      <c r="B9321" s="4"/>
      <c r="D9321" s="67"/>
      <c r="G9321" s="68"/>
      <c r="K9321" s="68"/>
    </row>
    <row r="9322" spans="2:11" ht="12.75">
      <c r="B9322" s="4"/>
      <c r="D9322" s="67"/>
      <c r="G9322" s="68"/>
      <c r="K9322" s="68"/>
    </row>
    <row r="9323" spans="2:11" ht="12.75">
      <c r="B9323" s="4"/>
      <c r="D9323" s="67"/>
      <c r="G9323" s="68"/>
      <c r="K9323" s="68"/>
    </row>
    <row r="9324" spans="2:11" ht="12.75">
      <c r="B9324" s="4"/>
      <c r="D9324" s="67"/>
      <c r="G9324" s="68"/>
      <c r="K9324" s="68"/>
    </row>
    <row r="9325" spans="2:11" ht="12.75">
      <c r="B9325" s="4"/>
      <c r="D9325" s="67"/>
      <c r="G9325" s="68"/>
      <c r="K9325" s="68"/>
    </row>
    <row r="9326" spans="2:11" ht="12.75">
      <c r="B9326" s="4"/>
      <c r="D9326" s="67"/>
      <c r="G9326" s="68"/>
      <c r="K9326" s="68"/>
    </row>
    <row r="9327" spans="2:11" ht="12.75">
      <c r="B9327" s="4"/>
      <c r="D9327" s="67"/>
      <c r="G9327" s="68"/>
      <c r="K9327" s="68"/>
    </row>
    <row r="9328" spans="2:11" ht="12.75">
      <c r="B9328" s="4"/>
      <c r="D9328" s="67"/>
      <c r="G9328" s="68"/>
      <c r="K9328" s="68"/>
    </row>
    <row r="9329" spans="2:11" ht="12.75">
      <c r="B9329" s="4"/>
      <c r="D9329" s="67"/>
      <c r="G9329" s="68"/>
      <c r="K9329" s="68"/>
    </row>
    <row r="9330" spans="2:11" ht="12.75">
      <c r="B9330" s="4"/>
      <c r="D9330" s="67"/>
      <c r="G9330" s="68"/>
      <c r="K9330" s="68"/>
    </row>
    <row r="9331" spans="2:11" ht="12.75">
      <c r="B9331" s="4"/>
      <c r="D9331" s="67"/>
      <c r="G9331" s="68"/>
      <c r="K9331" s="68"/>
    </row>
    <row r="9332" spans="2:11" ht="12.75">
      <c r="B9332" s="4"/>
      <c r="D9332" s="67"/>
      <c r="G9332" s="68"/>
      <c r="K9332" s="68"/>
    </row>
    <row r="9333" spans="2:11" ht="12.75">
      <c r="B9333" s="4"/>
      <c r="D9333" s="67"/>
      <c r="G9333" s="68"/>
      <c r="K9333" s="68"/>
    </row>
    <row r="9334" spans="2:11" ht="12.75">
      <c r="B9334" s="4"/>
      <c r="D9334" s="67"/>
      <c r="G9334" s="68"/>
      <c r="K9334" s="68"/>
    </row>
    <row r="9335" spans="2:11" ht="12.75">
      <c r="B9335" s="4"/>
      <c r="D9335" s="67"/>
      <c r="G9335" s="68"/>
      <c r="K9335" s="68"/>
    </row>
    <row r="9336" spans="2:11" ht="12.75">
      <c r="B9336" s="4"/>
      <c r="D9336" s="67"/>
      <c r="G9336" s="68"/>
      <c r="K9336" s="68"/>
    </row>
    <row r="9337" spans="2:11" ht="12.75">
      <c r="B9337" s="4"/>
      <c r="D9337" s="67"/>
      <c r="G9337" s="68"/>
      <c r="K9337" s="68"/>
    </row>
    <row r="9338" spans="2:11" ht="12.75">
      <c r="B9338" s="4"/>
      <c r="D9338" s="67"/>
      <c r="G9338" s="68"/>
      <c r="K9338" s="68"/>
    </row>
    <row r="9339" spans="2:11" ht="12.75">
      <c r="B9339" s="4"/>
      <c r="D9339" s="67"/>
      <c r="G9339" s="68"/>
      <c r="K9339" s="68"/>
    </row>
    <row r="9340" spans="2:11" ht="12.75">
      <c r="B9340" s="4"/>
      <c r="D9340" s="67"/>
      <c r="G9340" s="68"/>
      <c r="K9340" s="68"/>
    </row>
    <row r="9341" spans="2:11" ht="12.75">
      <c r="B9341" s="4"/>
      <c r="D9341" s="67"/>
      <c r="G9341" s="68"/>
      <c r="K9341" s="68"/>
    </row>
    <row r="9342" spans="2:11" ht="12.75">
      <c r="B9342" s="4"/>
      <c r="D9342" s="67"/>
      <c r="G9342" s="68"/>
      <c r="K9342" s="68"/>
    </row>
    <row r="9343" spans="2:11" ht="12.75">
      <c r="B9343" s="4"/>
      <c r="D9343" s="67"/>
      <c r="G9343" s="68"/>
      <c r="K9343" s="68"/>
    </row>
    <row r="9344" spans="2:11" ht="12.75">
      <c r="B9344" s="4"/>
      <c r="D9344" s="67"/>
      <c r="G9344" s="68"/>
      <c r="K9344" s="68"/>
    </row>
    <row r="9345" spans="2:11" ht="12.75">
      <c r="B9345" s="4"/>
      <c r="D9345" s="67"/>
      <c r="G9345" s="68"/>
      <c r="K9345" s="68"/>
    </row>
    <row r="9346" spans="2:11" ht="12.75">
      <c r="B9346" s="4"/>
      <c r="D9346" s="67"/>
      <c r="G9346" s="68"/>
      <c r="K9346" s="68"/>
    </row>
    <row r="9347" spans="2:11" ht="12.75">
      <c r="B9347" s="4"/>
      <c r="D9347" s="67"/>
      <c r="G9347" s="68"/>
      <c r="K9347" s="68"/>
    </row>
    <row r="9348" spans="2:11" ht="12.75">
      <c r="B9348" s="4"/>
      <c r="D9348" s="67"/>
      <c r="G9348" s="68"/>
      <c r="K9348" s="68"/>
    </row>
    <row r="9349" spans="2:11" ht="12.75">
      <c r="B9349" s="4"/>
      <c r="D9349" s="67"/>
      <c r="G9349" s="68"/>
      <c r="K9349" s="68"/>
    </row>
    <row r="9350" spans="2:11" ht="12.75">
      <c r="B9350" s="4"/>
      <c r="D9350" s="67"/>
      <c r="G9350" s="68"/>
      <c r="K9350" s="68"/>
    </row>
    <row r="9351" spans="2:11" ht="12.75">
      <c r="B9351" s="4"/>
      <c r="D9351" s="67"/>
      <c r="G9351" s="68"/>
      <c r="K9351" s="68"/>
    </row>
    <row r="9352" spans="2:11" ht="12.75">
      <c r="B9352" s="4"/>
      <c r="D9352" s="67"/>
      <c r="G9352" s="68"/>
      <c r="K9352" s="68"/>
    </row>
    <row r="9353" spans="2:11" ht="12.75">
      <c r="B9353" s="4"/>
      <c r="D9353" s="67"/>
      <c r="G9353" s="68"/>
      <c r="K9353" s="68"/>
    </row>
    <row r="9354" spans="2:11" ht="12.75">
      <c r="B9354" s="4"/>
      <c r="D9354" s="67"/>
      <c r="G9354" s="68"/>
      <c r="K9354" s="68"/>
    </row>
    <row r="9355" spans="2:11" ht="12.75">
      <c r="B9355" s="4"/>
      <c r="D9355" s="67"/>
      <c r="G9355" s="68"/>
      <c r="K9355" s="68"/>
    </row>
    <row r="9356" spans="2:11" ht="12.75">
      <c r="B9356" s="4"/>
      <c r="D9356" s="67"/>
      <c r="G9356" s="68"/>
      <c r="K9356" s="68"/>
    </row>
    <row r="9357" spans="2:11" ht="12.75">
      <c r="B9357" s="4"/>
      <c r="D9357" s="67"/>
      <c r="G9357" s="68"/>
      <c r="K9357" s="68"/>
    </row>
    <row r="9358" spans="2:11" ht="12.75">
      <c r="B9358" s="4"/>
      <c r="D9358" s="67"/>
      <c r="G9358" s="68"/>
      <c r="K9358" s="68"/>
    </row>
    <row r="9359" spans="2:11" ht="12.75">
      <c r="B9359" s="4"/>
      <c r="D9359" s="67"/>
      <c r="G9359" s="68"/>
      <c r="K9359" s="68"/>
    </row>
    <row r="9360" spans="2:11" ht="12.75">
      <c r="B9360" s="4"/>
      <c r="D9360" s="67"/>
      <c r="G9360" s="68"/>
      <c r="K9360" s="68"/>
    </row>
    <row r="9361" spans="2:11" ht="12.75">
      <c r="B9361" s="4"/>
      <c r="D9361" s="67"/>
      <c r="G9361" s="68"/>
      <c r="K9361" s="68"/>
    </row>
    <row r="9362" spans="2:11" ht="12.75">
      <c r="B9362" s="4"/>
      <c r="D9362" s="67"/>
      <c r="G9362" s="68"/>
      <c r="K9362" s="68"/>
    </row>
    <row r="9363" spans="2:11" ht="12.75">
      <c r="B9363" s="4"/>
      <c r="D9363" s="67"/>
      <c r="G9363" s="68"/>
      <c r="K9363" s="68"/>
    </row>
    <row r="9364" spans="2:11" ht="12.75">
      <c r="B9364" s="4"/>
      <c r="D9364" s="67"/>
      <c r="G9364" s="68"/>
      <c r="K9364" s="68"/>
    </row>
    <row r="9365" spans="2:11" ht="12.75">
      <c r="B9365" s="4"/>
      <c r="D9365" s="67"/>
      <c r="G9365" s="68"/>
      <c r="K9365" s="68"/>
    </row>
    <row r="9366" spans="2:11" ht="12.75">
      <c r="B9366" s="4"/>
      <c r="D9366" s="67"/>
      <c r="G9366" s="68"/>
      <c r="K9366" s="68"/>
    </row>
    <row r="9367" spans="2:11" ht="12.75">
      <c r="B9367" s="4"/>
      <c r="D9367" s="67"/>
      <c r="G9367" s="68"/>
      <c r="K9367" s="68"/>
    </row>
    <row r="9368" spans="2:11" ht="12.75">
      <c r="B9368" s="4"/>
      <c r="D9368" s="67"/>
      <c r="G9368" s="68"/>
      <c r="K9368" s="68"/>
    </row>
    <row r="9369" spans="2:11" ht="12.75">
      <c r="B9369" s="4"/>
      <c r="D9369" s="67"/>
      <c r="G9369" s="68"/>
      <c r="K9369" s="68"/>
    </row>
    <row r="9370" spans="2:11" ht="12.75">
      <c r="B9370" s="4"/>
      <c r="D9370" s="67"/>
      <c r="G9370" s="68"/>
      <c r="K9370" s="68"/>
    </row>
    <row r="9371" spans="2:11" ht="12.75">
      <c r="B9371" s="4"/>
      <c r="D9371" s="67"/>
      <c r="G9371" s="68"/>
      <c r="K9371" s="68"/>
    </row>
    <row r="9372" spans="2:11" ht="12.75">
      <c r="B9372" s="4"/>
      <c r="D9372" s="67"/>
      <c r="G9372" s="68"/>
      <c r="K9372" s="68"/>
    </row>
    <row r="9373" spans="2:11" ht="12.75">
      <c r="B9373" s="4"/>
      <c r="D9373" s="67"/>
      <c r="G9373" s="68"/>
      <c r="K9373" s="68"/>
    </row>
    <row r="9374" spans="2:11" ht="12.75">
      <c r="B9374" s="4"/>
      <c r="D9374" s="67"/>
      <c r="G9374" s="68"/>
      <c r="K9374" s="68"/>
    </row>
    <row r="9375" spans="2:11" ht="12.75">
      <c r="B9375" s="4"/>
      <c r="D9375" s="67"/>
      <c r="G9375" s="68"/>
      <c r="K9375" s="68"/>
    </row>
    <row r="9376" spans="2:11" ht="12.75">
      <c r="B9376" s="4"/>
      <c r="D9376" s="67"/>
      <c r="G9376" s="68"/>
      <c r="K9376" s="68"/>
    </row>
    <row r="9377" spans="2:11" ht="12.75">
      <c r="B9377" s="4"/>
      <c r="D9377" s="67"/>
      <c r="G9377" s="68"/>
      <c r="K9377" s="68"/>
    </row>
    <row r="9378" spans="2:11" ht="12.75">
      <c r="B9378" s="4"/>
      <c r="D9378" s="67"/>
      <c r="G9378" s="68"/>
      <c r="K9378" s="68"/>
    </row>
    <row r="9379" spans="2:11" ht="12.75">
      <c r="B9379" s="4"/>
      <c r="D9379" s="67"/>
      <c r="G9379" s="68"/>
      <c r="K9379" s="68"/>
    </row>
    <row r="9380" spans="2:11" ht="12.75">
      <c r="B9380" s="4"/>
      <c r="D9380" s="67"/>
      <c r="G9380" s="68"/>
      <c r="K9380" s="68"/>
    </row>
    <row r="9381" spans="2:11" ht="12.75">
      <c r="B9381" s="4"/>
      <c r="D9381" s="67"/>
      <c r="G9381" s="68"/>
      <c r="K9381" s="68"/>
    </row>
    <row r="9382" spans="2:11" ht="12.75">
      <c r="B9382" s="4"/>
      <c r="D9382" s="67"/>
      <c r="G9382" s="68"/>
      <c r="K9382" s="68"/>
    </row>
    <row r="9383" spans="2:11" ht="12.75">
      <c r="B9383" s="4"/>
      <c r="D9383" s="67"/>
      <c r="G9383" s="68"/>
      <c r="K9383" s="68"/>
    </row>
    <row r="9384" spans="2:11" ht="12.75">
      <c r="B9384" s="4"/>
      <c r="D9384" s="67"/>
      <c r="G9384" s="68"/>
      <c r="K9384" s="68"/>
    </row>
    <row r="9385" spans="2:11" ht="12.75">
      <c r="B9385" s="4"/>
      <c r="D9385" s="67"/>
      <c r="G9385" s="68"/>
      <c r="K9385" s="68"/>
    </row>
    <row r="9386" spans="2:11" ht="12.75">
      <c r="B9386" s="4"/>
      <c r="D9386" s="67"/>
      <c r="G9386" s="68"/>
      <c r="K9386" s="68"/>
    </row>
    <row r="9387" spans="2:11" ht="12.75">
      <c r="B9387" s="4"/>
      <c r="D9387" s="67"/>
      <c r="G9387" s="68"/>
      <c r="K9387" s="68"/>
    </row>
    <row r="9388" spans="2:11" ht="12.75">
      <c r="B9388" s="4"/>
      <c r="D9388" s="67"/>
      <c r="G9388" s="68"/>
      <c r="K9388" s="68"/>
    </row>
    <row r="9389" spans="2:11" ht="12.75">
      <c r="B9389" s="4"/>
      <c r="D9389" s="67"/>
      <c r="G9389" s="68"/>
      <c r="K9389" s="68"/>
    </row>
    <row r="9390" spans="2:11" ht="12.75">
      <c r="B9390" s="4"/>
      <c r="D9390" s="67"/>
      <c r="G9390" s="68"/>
      <c r="K9390" s="68"/>
    </row>
    <row r="9391" spans="2:11" ht="12.75">
      <c r="B9391" s="4"/>
      <c r="D9391" s="67"/>
      <c r="G9391" s="68"/>
      <c r="K9391" s="68"/>
    </row>
    <row r="9392" spans="2:11" ht="12.75">
      <c r="B9392" s="4"/>
      <c r="D9392" s="67"/>
      <c r="G9392" s="68"/>
      <c r="K9392" s="68"/>
    </row>
    <row r="9393" spans="2:11" ht="12.75">
      <c r="B9393" s="4"/>
      <c r="D9393" s="67"/>
      <c r="G9393" s="68"/>
      <c r="K9393" s="68"/>
    </row>
    <row r="9394" spans="2:11" ht="12.75">
      <c r="B9394" s="4"/>
      <c r="D9394" s="67"/>
      <c r="G9394" s="68"/>
      <c r="K9394" s="68"/>
    </row>
    <row r="9395" spans="2:11" ht="12.75">
      <c r="B9395" s="4"/>
      <c r="D9395" s="67"/>
      <c r="G9395" s="68"/>
      <c r="K9395" s="68"/>
    </row>
    <row r="9396" spans="2:11" ht="12.75">
      <c r="B9396" s="4"/>
      <c r="D9396" s="67"/>
      <c r="G9396" s="68"/>
      <c r="K9396" s="68"/>
    </row>
    <row r="9397" spans="2:11" ht="12.75">
      <c r="B9397" s="4"/>
      <c r="D9397" s="67"/>
      <c r="G9397" s="68"/>
      <c r="K9397" s="68"/>
    </row>
    <row r="9398" spans="2:11" ht="12.75">
      <c r="B9398" s="4"/>
      <c r="D9398" s="67"/>
      <c r="G9398" s="68"/>
      <c r="K9398" s="68"/>
    </row>
    <row r="9399" spans="2:11" ht="12.75">
      <c r="B9399" s="4"/>
      <c r="D9399" s="67"/>
      <c r="G9399" s="68"/>
      <c r="K9399" s="68"/>
    </row>
    <row r="9400" spans="2:11" ht="12.75">
      <c r="B9400" s="4"/>
      <c r="D9400" s="67"/>
      <c r="G9400" s="68"/>
      <c r="K9400" s="68"/>
    </row>
    <row r="9401" spans="2:11" ht="12.75">
      <c r="B9401" s="4"/>
      <c r="D9401" s="67"/>
      <c r="G9401" s="68"/>
      <c r="K9401" s="68"/>
    </row>
    <row r="9402" spans="2:11" ht="12.75">
      <c r="B9402" s="4"/>
      <c r="D9402" s="67"/>
      <c r="G9402" s="68"/>
      <c r="K9402" s="68"/>
    </row>
    <row r="9403" spans="2:11" ht="12.75">
      <c r="B9403" s="4"/>
      <c r="D9403" s="67"/>
      <c r="G9403" s="68"/>
      <c r="K9403" s="68"/>
    </row>
    <row r="9404" spans="2:11" ht="12.75">
      <c r="B9404" s="4"/>
      <c r="D9404" s="67"/>
      <c r="G9404" s="68"/>
      <c r="K9404" s="68"/>
    </row>
    <row r="9405" spans="2:11" ht="12.75">
      <c r="B9405" s="4"/>
      <c r="D9405" s="67"/>
      <c r="G9405" s="68"/>
      <c r="K9405" s="68"/>
    </row>
    <row r="9406" spans="2:11" ht="12.75">
      <c r="B9406" s="4"/>
      <c r="D9406" s="67"/>
      <c r="G9406" s="68"/>
      <c r="K9406" s="68"/>
    </row>
    <row r="9407" spans="2:11" ht="12.75">
      <c r="B9407" s="4"/>
      <c r="D9407" s="67"/>
      <c r="G9407" s="68"/>
      <c r="K9407" s="68"/>
    </row>
    <row r="9408" spans="2:11" ht="12.75">
      <c r="B9408" s="4"/>
      <c r="D9408" s="67"/>
      <c r="G9408" s="68"/>
      <c r="K9408" s="68"/>
    </row>
    <row r="9409" spans="2:11" ht="12.75">
      <c r="B9409" s="4"/>
      <c r="D9409" s="67"/>
      <c r="G9409" s="68"/>
      <c r="K9409" s="68"/>
    </row>
    <row r="9410" spans="2:11" ht="12.75">
      <c r="B9410" s="4"/>
      <c r="D9410" s="67"/>
      <c r="G9410" s="68"/>
      <c r="K9410" s="68"/>
    </row>
    <row r="9411" spans="2:11" ht="12.75">
      <c r="B9411" s="4"/>
      <c r="D9411" s="67"/>
      <c r="G9411" s="68"/>
      <c r="K9411" s="68"/>
    </row>
    <row r="9412" spans="2:11" ht="12.75">
      <c r="B9412" s="4"/>
      <c r="D9412" s="67"/>
      <c r="G9412" s="68"/>
      <c r="K9412" s="68"/>
    </row>
    <row r="9413" spans="2:11" ht="12.75">
      <c r="B9413" s="4"/>
      <c r="D9413" s="67"/>
      <c r="G9413" s="68"/>
      <c r="K9413" s="68"/>
    </row>
    <row r="9414" spans="2:11" ht="12.75">
      <c r="B9414" s="4"/>
      <c r="D9414" s="67"/>
      <c r="G9414" s="68"/>
      <c r="K9414" s="68"/>
    </row>
    <row r="9415" spans="2:11" ht="12.75">
      <c r="B9415" s="4"/>
      <c r="D9415" s="67"/>
      <c r="G9415" s="68"/>
      <c r="K9415" s="68"/>
    </row>
    <row r="9416" spans="2:11" ht="12.75">
      <c r="B9416" s="4"/>
      <c r="D9416" s="67"/>
      <c r="G9416" s="68"/>
      <c r="K9416" s="68"/>
    </row>
    <row r="9417" spans="2:11" ht="12.75">
      <c r="B9417" s="4"/>
      <c r="D9417" s="67"/>
      <c r="G9417" s="68"/>
      <c r="K9417" s="68"/>
    </row>
    <row r="9418" spans="2:11" ht="12.75">
      <c r="B9418" s="4"/>
      <c r="D9418" s="67"/>
      <c r="G9418" s="68"/>
      <c r="K9418" s="68"/>
    </row>
    <row r="9419" spans="2:11" ht="12.75">
      <c r="B9419" s="4"/>
      <c r="D9419" s="67"/>
      <c r="G9419" s="68"/>
      <c r="K9419" s="68"/>
    </row>
    <row r="9420" spans="2:11" ht="12.75">
      <c r="B9420" s="4"/>
      <c r="D9420" s="67"/>
      <c r="G9420" s="68"/>
      <c r="K9420" s="68"/>
    </row>
    <row r="9421" spans="2:11" ht="12.75">
      <c r="B9421" s="4"/>
      <c r="D9421" s="67"/>
      <c r="G9421" s="68"/>
      <c r="K9421" s="68"/>
    </row>
    <row r="9422" spans="2:11" ht="12.75">
      <c r="B9422" s="4"/>
      <c r="D9422" s="67"/>
      <c r="G9422" s="68"/>
      <c r="K9422" s="68"/>
    </row>
    <row r="9423" spans="2:11" ht="12.75">
      <c r="B9423" s="4"/>
      <c r="D9423" s="67"/>
      <c r="G9423" s="68"/>
      <c r="K9423" s="68"/>
    </row>
    <row r="9424" spans="2:11" ht="12.75">
      <c r="B9424" s="4"/>
      <c r="D9424" s="67"/>
      <c r="G9424" s="68"/>
      <c r="K9424" s="68"/>
    </row>
    <row r="9425" spans="2:11" ht="12.75">
      <c r="B9425" s="4"/>
      <c r="D9425" s="67"/>
      <c r="G9425" s="68"/>
      <c r="K9425" s="68"/>
    </row>
    <row r="9426" spans="2:11" ht="12.75">
      <c r="B9426" s="4"/>
      <c r="D9426" s="67"/>
      <c r="G9426" s="68"/>
      <c r="K9426" s="68"/>
    </row>
    <row r="9427" spans="2:11" ht="12.75">
      <c r="B9427" s="4"/>
      <c r="D9427" s="67"/>
      <c r="G9427" s="68"/>
      <c r="K9427" s="68"/>
    </row>
    <row r="9428" spans="2:11" ht="12.75">
      <c r="B9428" s="4"/>
      <c r="D9428" s="67"/>
      <c r="G9428" s="68"/>
      <c r="K9428" s="68"/>
    </row>
    <row r="9429" spans="2:11" ht="12.75">
      <c r="B9429" s="4"/>
      <c r="D9429" s="67"/>
      <c r="G9429" s="68"/>
      <c r="K9429" s="68"/>
    </row>
    <row r="9430" spans="2:11" ht="12.75">
      <c r="B9430" s="4"/>
      <c r="D9430" s="67"/>
      <c r="G9430" s="68"/>
      <c r="K9430" s="68"/>
    </row>
    <row r="9431" spans="2:11" ht="12.75">
      <c r="B9431" s="4"/>
      <c r="D9431" s="67"/>
      <c r="G9431" s="68"/>
      <c r="K9431" s="68"/>
    </row>
    <row r="9432" spans="2:11" ht="12.75">
      <c r="B9432" s="4"/>
      <c r="D9432" s="67"/>
      <c r="G9432" s="68"/>
      <c r="K9432" s="68"/>
    </row>
    <row r="9433" spans="2:11" ht="12.75">
      <c r="B9433" s="4"/>
      <c r="D9433" s="67"/>
      <c r="G9433" s="68"/>
      <c r="K9433" s="68"/>
    </row>
    <row r="9434" spans="2:11" ht="12.75">
      <c r="B9434" s="4"/>
      <c r="D9434" s="67"/>
      <c r="G9434" s="68"/>
      <c r="K9434" s="68"/>
    </row>
    <row r="9435" spans="2:11" ht="12.75">
      <c r="B9435" s="4"/>
      <c r="D9435" s="67"/>
      <c r="G9435" s="68"/>
      <c r="K9435" s="68"/>
    </row>
    <row r="9436" spans="2:11" ht="12.75">
      <c r="B9436" s="4"/>
      <c r="D9436" s="67"/>
      <c r="G9436" s="68"/>
      <c r="K9436" s="68"/>
    </row>
    <row r="9437" spans="2:11" ht="12.75">
      <c r="B9437" s="4"/>
      <c r="D9437" s="67"/>
      <c r="G9437" s="68"/>
      <c r="K9437" s="68"/>
    </row>
    <row r="9438" spans="2:11" ht="12.75">
      <c r="B9438" s="4"/>
      <c r="D9438" s="67"/>
      <c r="G9438" s="68"/>
      <c r="K9438" s="68"/>
    </row>
    <row r="9439" spans="2:11" ht="12.75">
      <c r="B9439" s="4"/>
      <c r="D9439" s="67"/>
      <c r="G9439" s="68"/>
      <c r="K9439" s="68"/>
    </row>
    <row r="9440" spans="2:11" ht="12.75">
      <c r="B9440" s="4"/>
      <c r="D9440" s="67"/>
      <c r="G9440" s="68"/>
      <c r="K9440" s="68"/>
    </row>
    <row r="9441" spans="2:11" ht="12.75">
      <c r="B9441" s="4"/>
      <c r="D9441" s="67"/>
      <c r="G9441" s="68"/>
      <c r="K9441" s="68"/>
    </row>
    <row r="9442" spans="2:11" ht="12.75">
      <c r="B9442" s="4"/>
      <c r="D9442" s="67"/>
      <c r="G9442" s="68"/>
      <c r="K9442" s="68"/>
    </row>
    <row r="9443" spans="2:11" ht="12.75">
      <c r="B9443" s="4"/>
      <c r="D9443" s="67"/>
      <c r="G9443" s="68"/>
      <c r="K9443" s="68"/>
    </row>
    <row r="9444" spans="2:11" ht="12.75">
      <c r="B9444" s="4"/>
      <c r="D9444" s="67"/>
      <c r="G9444" s="68"/>
      <c r="K9444" s="68"/>
    </row>
    <row r="9445" spans="2:11" ht="12.75">
      <c r="B9445" s="4"/>
      <c r="D9445" s="67"/>
      <c r="G9445" s="68"/>
      <c r="K9445" s="68"/>
    </row>
    <row r="9446" spans="2:11" ht="12.75">
      <c r="B9446" s="4"/>
      <c r="D9446" s="67"/>
      <c r="G9446" s="68"/>
      <c r="K9446" s="68"/>
    </row>
    <row r="9447" spans="2:11" ht="12.75">
      <c r="B9447" s="4"/>
      <c r="D9447" s="67"/>
      <c r="G9447" s="68"/>
      <c r="K9447" s="68"/>
    </row>
    <row r="9448" spans="2:11" ht="12.75">
      <c r="B9448" s="4"/>
      <c r="D9448" s="67"/>
      <c r="G9448" s="68"/>
      <c r="K9448" s="68"/>
    </row>
    <row r="9449" spans="2:11" ht="12.75">
      <c r="B9449" s="4"/>
      <c r="D9449" s="67"/>
      <c r="G9449" s="68"/>
      <c r="K9449" s="68"/>
    </row>
    <row r="9450" spans="2:11" ht="12.75">
      <c r="B9450" s="4"/>
      <c r="D9450" s="67"/>
      <c r="G9450" s="68"/>
      <c r="K9450" s="68"/>
    </row>
    <row r="9451" spans="2:11" ht="12.75">
      <c r="B9451" s="4"/>
      <c r="D9451" s="67"/>
      <c r="G9451" s="68"/>
      <c r="K9451" s="68"/>
    </row>
    <row r="9452" spans="2:11" ht="12.75">
      <c r="B9452" s="4"/>
      <c r="D9452" s="67"/>
      <c r="G9452" s="68"/>
      <c r="K9452" s="68"/>
    </row>
    <row r="9453" spans="2:11" ht="12.75">
      <c r="B9453" s="4"/>
      <c r="D9453" s="67"/>
      <c r="G9453" s="68"/>
      <c r="K9453" s="68"/>
    </row>
    <row r="9454" spans="2:11" ht="12.75">
      <c r="B9454" s="4"/>
      <c r="D9454" s="67"/>
      <c r="G9454" s="68"/>
      <c r="K9454" s="68"/>
    </row>
    <row r="9455" spans="2:11" ht="12.75">
      <c r="B9455" s="4"/>
      <c r="D9455" s="67"/>
      <c r="G9455" s="68"/>
      <c r="K9455" s="68"/>
    </row>
    <row r="9456" spans="2:11" ht="12.75">
      <c r="B9456" s="4"/>
      <c r="D9456" s="67"/>
      <c r="G9456" s="68"/>
      <c r="K9456" s="68"/>
    </row>
    <row r="9457" spans="2:11" ht="12.75">
      <c r="B9457" s="4"/>
      <c r="D9457" s="67"/>
      <c r="G9457" s="68"/>
      <c r="K9457" s="68"/>
    </row>
    <row r="9458" spans="2:11" ht="12.75">
      <c r="B9458" s="4"/>
      <c r="D9458" s="67"/>
      <c r="G9458" s="68"/>
      <c r="K9458" s="68"/>
    </row>
    <row r="9459" spans="2:11" ht="12.75">
      <c r="B9459" s="4"/>
      <c r="D9459" s="67"/>
      <c r="G9459" s="68"/>
      <c r="K9459" s="68"/>
    </row>
    <row r="9460" spans="2:11" ht="12.75">
      <c r="B9460" s="4"/>
      <c r="D9460" s="67"/>
      <c r="G9460" s="68"/>
      <c r="K9460" s="68"/>
    </row>
    <row r="9461" spans="2:11" ht="12.75">
      <c r="B9461" s="4"/>
      <c r="D9461" s="67"/>
      <c r="G9461" s="68"/>
      <c r="K9461" s="68"/>
    </row>
    <row r="9462" spans="2:11" ht="12.75">
      <c r="B9462" s="4"/>
      <c r="D9462" s="67"/>
      <c r="G9462" s="68"/>
      <c r="K9462" s="68"/>
    </row>
    <row r="9463" spans="2:11" ht="12.75">
      <c r="B9463" s="4"/>
      <c r="D9463" s="67"/>
      <c r="G9463" s="68"/>
      <c r="K9463" s="68"/>
    </row>
    <row r="9464" spans="2:11" ht="12.75">
      <c r="B9464" s="4"/>
      <c r="D9464" s="67"/>
      <c r="G9464" s="68"/>
      <c r="K9464" s="68"/>
    </row>
    <row r="9465" spans="2:11" ht="12.75">
      <c r="B9465" s="4"/>
      <c r="D9465" s="67"/>
      <c r="G9465" s="68"/>
      <c r="K9465" s="68"/>
    </row>
    <row r="9466" spans="2:11" ht="12.75">
      <c r="B9466" s="4"/>
      <c r="D9466" s="67"/>
      <c r="G9466" s="68"/>
      <c r="K9466" s="68"/>
    </row>
    <row r="9467" spans="2:11" ht="12.75">
      <c r="B9467" s="4"/>
      <c r="D9467" s="67"/>
      <c r="G9467" s="68"/>
      <c r="K9467" s="68"/>
    </row>
    <row r="9468" spans="2:11" ht="12.75">
      <c r="B9468" s="4"/>
      <c r="D9468" s="67"/>
      <c r="G9468" s="68"/>
      <c r="K9468" s="68"/>
    </row>
    <row r="9469" spans="2:11" ht="12.75">
      <c r="B9469" s="4"/>
      <c r="D9469" s="67"/>
      <c r="G9469" s="68"/>
      <c r="K9469" s="68"/>
    </row>
    <row r="9470" spans="2:11" ht="12.75">
      <c r="B9470" s="4"/>
      <c r="D9470" s="67"/>
      <c r="G9470" s="68"/>
      <c r="K9470" s="68"/>
    </row>
    <row r="9471" spans="2:11" ht="12.75">
      <c r="B9471" s="4"/>
      <c r="D9471" s="67"/>
      <c r="G9471" s="68"/>
      <c r="K9471" s="68"/>
    </row>
    <row r="9472" spans="2:11" ht="12.75">
      <c r="B9472" s="4"/>
      <c r="D9472" s="67"/>
      <c r="G9472" s="68"/>
      <c r="K9472" s="68"/>
    </row>
    <row r="9473" spans="2:11" ht="12.75">
      <c r="B9473" s="4"/>
      <c r="D9473" s="67"/>
      <c r="G9473" s="68"/>
      <c r="K9473" s="68"/>
    </row>
    <row r="9474" spans="2:11" ht="12.75">
      <c r="B9474" s="4"/>
      <c r="D9474" s="67"/>
      <c r="G9474" s="68"/>
      <c r="K9474" s="68"/>
    </row>
    <row r="9475" spans="2:11" ht="12.75">
      <c r="B9475" s="4"/>
      <c r="D9475" s="67"/>
      <c r="G9475" s="68"/>
      <c r="K9475" s="68"/>
    </row>
    <row r="9476" spans="2:11" ht="12.75">
      <c r="B9476" s="4"/>
      <c r="D9476" s="67"/>
      <c r="G9476" s="68"/>
      <c r="K9476" s="68"/>
    </row>
    <row r="9477" spans="2:11" ht="12.75">
      <c r="B9477" s="4"/>
      <c r="D9477" s="67"/>
      <c r="G9477" s="68"/>
      <c r="K9477" s="68"/>
    </row>
    <row r="9478" spans="2:11" ht="12.75">
      <c r="B9478" s="4"/>
      <c r="D9478" s="67"/>
      <c r="G9478" s="68"/>
      <c r="K9478" s="68"/>
    </row>
    <row r="9479" spans="2:11" ht="12.75">
      <c r="B9479" s="4"/>
      <c r="D9479" s="67"/>
      <c r="G9479" s="68"/>
      <c r="K9479" s="68"/>
    </row>
    <row r="9480" spans="2:11" ht="12.75">
      <c r="B9480" s="4"/>
      <c r="D9480" s="67"/>
      <c r="G9480" s="68"/>
      <c r="K9480" s="68"/>
    </row>
    <row r="9481" spans="2:11" ht="12.75">
      <c r="B9481" s="4"/>
      <c r="D9481" s="67"/>
      <c r="G9481" s="68"/>
      <c r="K9481" s="68"/>
    </row>
    <row r="9482" spans="2:11" ht="12.75">
      <c r="B9482" s="4"/>
      <c r="D9482" s="67"/>
      <c r="G9482" s="68"/>
      <c r="K9482" s="68"/>
    </row>
    <row r="9483" spans="2:11" ht="12.75">
      <c r="B9483" s="4"/>
      <c r="D9483" s="67"/>
      <c r="G9483" s="68"/>
      <c r="K9483" s="68"/>
    </row>
    <row r="9484" spans="2:11" ht="12.75">
      <c r="B9484" s="4"/>
      <c r="D9484" s="67"/>
      <c r="G9484" s="68"/>
      <c r="K9484" s="68"/>
    </row>
    <row r="9485" spans="2:11" ht="12.75">
      <c r="B9485" s="4"/>
      <c r="D9485" s="67"/>
      <c r="G9485" s="68"/>
      <c r="K9485" s="68"/>
    </row>
    <row r="9486" spans="2:11" ht="12.75">
      <c r="B9486" s="4"/>
      <c r="D9486" s="67"/>
      <c r="G9486" s="68"/>
      <c r="K9486" s="68"/>
    </row>
    <row r="9487" spans="2:11" ht="12.75">
      <c r="B9487" s="4"/>
      <c r="D9487" s="67"/>
      <c r="G9487" s="68"/>
      <c r="K9487" s="68"/>
    </row>
    <row r="9488" spans="2:11" ht="12.75">
      <c r="B9488" s="4"/>
      <c r="D9488" s="67"/>
      <c r="G9488" s="68"/>
      <c r="K9488" s="68"/>
    </row>
    <row r="9489" spans="2:11" ht="12.75">
      <c r="B9489" s="4"/>
      <c r="D9489" s="67"/>
      <c r="G9489" s="68"/>
      <c r="K9489" s="68"/>
    </row>
    <row r="9490" spans="2:11" ht="12.75">
      <c r="B9490" s="4"/>
      <c r="D9490" s="67"/>
      <c r="G9490" s="68"/>
      <c r="K9490" s="68"/>
    </row>
    <row r="9491" spans="2:11" ht="12.75">
      <c r="B9491" s="4"/>
      <c r="D9491" s="67"/>
      <c r="G9491" s="68"/>
      <c r="K9491" s="68"/>
    </row>
    <row r="9492" spans="2:11" ht="12.75">
      <c r="B9492" s="4"/>
      <c r="D9492" s="67"/>
      <c r="G9492" s="68"/>
      <c r="K9492" s="68"/>
    </row>
    <row r="9493" spans="2:11" ht="12.75">
      <c r="B9493" s="4"/>
      <c r="D9493" s="67"/>
      <c r="G9493" s="68"/>
      <c r="K9493" s="68"/>
    </row>
    <row r="9494" spans="2:11" ht="12.75">
      <c r="B9494" s="4"/>
      <c r="D9494" s="67"/>
      <c r="G9494" s="68"/>
      <c r="K9494" s="68"/>
    </row>
    <row r="9495" spans="2:11" ht="12.75">
      <c r="B9495" s="4"/>
      <c r="D9495" s="67"/>
      <c r="G9495" s="68"/>
      <c r="K9495" s="68"/>
    </row>
    <row r="9496" spans="2:11" ht="12.75">
      <c r="B9496" s="4"/>
      <c r="D9496" s="67"/>
      <c r="G9496" s="68"/>
      <c r="K9496" s="68"/>
    </row>
    <row r="9497" spans="2:11" ht="12.75">
      <c r="B9497" s="4"/>
      <c r="D9497" s="67"/>
      <c r="G9497" s="68"/>
      <c r="K9497" s="68"/>
    </row>
    <row r="9498" spans="2:11" ht="12.75">
      <c r="B9498" s="4"/>
      <c r="D9498" s="67"/>
      <c r="G9498" s="68"/>
      <c r="K9498" s="68"/>
    </row>
    <row r="9499" spans="2:11" ht="12.75">
      <c r="B9499" s="4"/>
      <c r="D9499" s="67"/>
      <c r="G9499" s="68"/>
      <c r="K9499" s="68"/>
    </row>
    <row r="9500" spans="2:11" ht="12.75">
      <c r="B9500" s="4"/>
      <c r="D9500" s="67"/>
      <c r="G9500" s="68"/>
      <c r="K9500" s="68"/>
    </row>
    <row r="9501" spans="2:11" ht="12.75">
      <c r="B9501" s="4"/>
      <c r="D9501" s="67"/>
      <c r="G9501" s="68"/>
      <c r="K9501" s="68"/>
    </row>
    <row r="9502" spans="2:11" ht="12.75">
      <c r="B9502" s="4"/>
      <c r="D9502" s="67"/>
      <c r="G9502" s="68"/>
      <c r="K9502" s="68"/>
    </row>
    <row r="9503" spans="2:11" ht="12.75">
      <c r="B9503" s="4"/>
      <c r="D9503" s="67"/>
      <c r="G9503" s="68"/>
      <c r="K9503" s="68"/>
    </row>
    <row r="9504" spans="2:11" ht="12.75">
      <c r="B9504" s="4"/>
      <c r="D9504" s="67"/>
      <c r="G9504" s="68"/>
      <c r="K9504" s="68"/>
    </row>
    <row r="9505" spans="2:11" ht="12.75">
      <c r="B9505" s="4"/>
      <c r="D9505" s="67"/>
      <c r="G9505" s="68"/>
      <c r="K9505" s="68"/>
    </row>
    <row r="9506" spans="2:11" ht="12.75">
      <c r="B9506" s="4"/>
      <c r="D9506" s="67"/>
      <c r="G9506" s="68"/>
      <c r="K9506" s="68"/>
    </row>
    <row r="9507" spans="2:11" ht="12.75">
      <c r="B9507" s="4"/>
      <c r="D9507" s="67"/>
      <c r="G9507" s="68"/>
      <c r="K9507" s="68"/>
    </row>
    <row r="9508" spans="2:11" ht="12.75">
      <c r="B9508" s="4"/>
      <c r="D9508" s="67"/>
      <c r="G9508" s="68"/>
      <c r="K9508" s="68"/>
    </row>
    <row r="9509" spans="2:11" ht="12.75">
      <c r="B9509" s="4"/>
      <c r="D9509" s="67"/>
      <c r="G9509" s="68"/>
      <c r="K9509" s="68"/>
    </row>
    <row r="9510" spans="2:11" ht="12.75">
      <c r="B9510" s="4"/>
      <c r="D9510" s="67"/>
      <c r="G9510" s="68"/>
      <c r="K9510" s="68"/>
    </row>
    <row r="9511" spans="2:11" ht="12.75">
      <c r="B9511" s="4"/>
      <c r="D9511" s="67"/>
      <c r="G9511" s="68"/>
      <c r="K9511" s="68"/>
    </row>
    <row r="9512" spans="2:11" ht="12.75">
      <c r="B9512" s="4"/>
      <c r="D9512" s="67"/>
      <c r="G9512" s="68"/>
      <c r="K9512" s="68"/>
    </row>
    <row r="9513" spans="2:11" ht="12.75">
      <c r="B9513" s="4"/>
      <c r="D9513" s="67"/>
      <c r="G9513" s="68"/>
      <c r="K9513" s="68"/>
    </row>
    <row r="9514" spans="2:11" ht="12.75">
      <c r="B9514" s="4"/>
      <c r="D9514" s="67"/>
      <c r="G9514" s="68"/>
      <c r="K9514" s="68"/>
    </row>
    <row r="9515" spans="2:11" ht="12.75">
      <c r="B9515" s="4"/>
      <c r="D9515" s="67"/>
      <c r="G9515" s="68"/>
      <c r="K9515" s="68"/>
    </row>
    <row r="9516" spans="2:11" ht="12.75">
      <c r="B9516" s="4"/>
      <c r="D9516" s="67"/>
      <c r="G9516" s="68"/>
      <c r="K9516" s="68"/>
    </row>
    <row r="9517" spans="2:11" ht="12.75">
      <c r="B9517" s="4"/>
      <c r="D9517" s="67"/>
      <c r="G9517" s="68"/>
      <c r="K9517" s="68"/>
    </row>
    <row r="9518" spans="2:11" ht="12.75">
      <c r="B9518" s="4"/>
      <c r="D9518" s="67"/>
      <c r="G9518" s="68"/>
      <c r="K9518" s="68"/>
    </row>
    <row r="9519" spans="2:11" ht="12.75">
      <c r="B9519" s="4"/>
      <c r="D9519" s="67"/>
      <c r="G9519" s="68"/>
      <c r="K9519" s="68"/>
    </row>
    <row r="9520" spans="2:11" ht="12.75">
      <c r="B9520" s="4"/>
      <c r="D9520" s="67"/>
      <c r="G9520" s="68"/>
      <c r="K9520" s="68"/>
    </row>
    <row r="9521" spans="2:11" ht="12.75">
      <c r="B9521" s="4"/>
      <c r="D9521" s="67"/>
      <c r="G9521" s="68"/>
      <c r="K9521" s="68"/>
    </row>
    <row r="9522" spans="2:11" ht="12.75">
      <c r="B9522" s="4"/>
      <c r="D9522" s="67"/>
      <c r="G9522" s="68"/>
      <c r="K9522" s="68"/>
    </row>
    <row r="9523" spans="2:11" ht="12.75">
      <c r="B9523" s="4"/>
      <c r="D9523" s="67"/>
      <c r="G9523" s="68"/>
      <c r="K9523" s="68"/>
    </row>
    <row r="9524" spans="2:11" ht="12.75">
      <c r="B9524" s="4"/>
      <c r="D9524" s="67"/>
      <c r="G9524" s="68"/>
      <c r="K9524" s="68"/>
    </row>
    <row r="9525" spans="2:11" ht="12.75">
      <c r="B9525" s="4"/>
      <c r="D9525" s="67"/>
      <c r="G9525" s="68"/>
      <c r="K9525" s="68"/>
    </row>
    <row r="9526" spans="2:11" ht="12.75">
      <c r="B9526" s="4"/>
      <c r="D9526" s="67"/>
      <c r="G9526" s="68"/>
      <c r="K9526" s="68"/>
    </row>
    <row r="9527" spans="2:11" ht="12.75">
      <c r="B9527" s="4"/>
      <c r="D9527" s="67"/>
      <c r="G9527" s="68"/>
      <c r="K9527" s="68"/>
    </row>
    <row r="9528" spans="2:11" ht="12.75">
      <c r="B9528" s="4"/>
      <c r="D9528" s="67"/>
      <c r="G9528" s="68"/>
      <c r="K9528" s="68"/>
    </row>
    <row r="9529" spans="2:11" ht="12.75">
      <c r="B9529" s="4"/>
      <c r="D9529" s="67"/>
      <c r="G9529" s="68"/>
      <c r="K9529" s="68"/>
    </row>
    <row r="9530" spans="2:11" ht="12.75">
      <c r="B9530" s="4"/>
      <c r="D9530" s="67"/>
      <c r="G9530" s="68"/>
      <c r="K9530" s="68"/>
    </row>
    <row r="9531" spans="2:11" ht="12.75">
      <c r="B9531" s="4"/>
      <c r="D9531" s="67"/>
      <c r="G9531" s="68"/>
      <c r="K9531" s="68"/>
    </row>
    <row r="9532" spans="2:11" ht="12.75">
      <c r="B9532" s="4"/>
      <c r="D9532" s="67"/>
      <c r="G9532" s="68"/>
      <c r="K9532" s="68"/>
    </row>
    <row r="9533" spans="2:11" ht="12.75">
      <c r="B9533" s="4"/>
      <c r="D9533" s="67"/>
      <c r="G9533" s="68"/>
      <c r="K9533" s="68"/>
    </row>
    <row r="9534" spans="2:11" ht="12.75">
      <c r="B9534" s="4"/>
      <c r="D9534" s="67"/>
      <c r="G9534" s="68"/>
      <c r="K9534" s="68"/>
    </row>
    <row r="9535" spans="2:11" ht="12.75">
      <c r="B9535" s="4"/>
      <c r="D9535" s="67"/>
      <c r="G9535" s="68"/>
      <c r="K9535" s="68"/>
    </row>
    <row r="9536" spans="2:11" ht="12.75">
      <c r="B9536" s="4"/>
      <c r="D9536" s="67"/>
      <c r="G9536" s="68"/>
      <c r="K9536" s="68"/>
    </row>
    <row r="9537" spans="2:11" ht="12.75">
      <c r="B9537" s="4"/>
      <c r="D9537" s="67"/>
      <c r="G9537" s="68"/>
      <c r="K9537" s="68"/>
    </row>
    <row r="9538" spans="2:11" ht="12.75">
      <c r="B9538" s="4"/>
      <c r="D9538" s="67"/>
      <c r="G9538" s="68"/>
      <c r="K9538" s="68"/>
    </row>
    <row r="9539" spans="2:11" ht="12.75">
      <c r="B9539" s="4"/>
      <c r="D9539" s="67"/>
      <c r="G9539" s="68"/>
      <c r="K9539" s="68"/>
    </row>
    <row r="9540" spans="2:11" ht="12.75">
      <c r="B9540" s="4"/>
      <c r="D9540" s="67"/>
      <c r="G9540" s="68"/>
      <c r="K9540" s="68"/>
    </row>
    <row r="9541" spans="2:11" ht="12.75">
      <c r="B9541" s="4"/>
      <c r="D9541" s="67"/>
      <c r="G9541" s="68"/>
      <c r="K9541" s="68"/>
    </row>
    <row r="9542" spans="2:11" ht="12.75">
      <c r="B9542" s="4"/>
      <c r="D9542" s="67"/>
      <c r="G9542" s="68"/>
      <c r="K9542" s="68"/>
    </row>
    <row r="9543" spans="2:11" ht="12.75">
      <c r="B9543" s="4"/>
      <c r="D9543" s="67"/>
      <c r="G9543" s="68"/>
      <c r="K9543" s="68"/>
    </row>
    <row r="9544" spans="2:11" ht="12.75">
      <c r="B9544" s="4"/>
      <c r="D9544" s="67"/>
      <c r="G9544" s="68"/>
      <c r="K9544" s="68"/>
    </row>
    <row r="9545" spans="2:11" ht="12.75">
      <c r="B9545" s="4"/>
      <c r="D9545" s="67"/>
      <c r="G9545" s="68"/>
      <c r="K9545" s="68"/>
    </row>
    <row r="9546" spans="2:11" ht="12.75">
      <c r="B9546" s="4"/>
      <c r="D9546" s="67"/>
      <c r="G9546" s="68"/>
      <c r="K9546" s="68"/>
    </row>
    <row r="9547" spans="2:11" ht="12.75">
      <c r="B9547" s="4"/>
      <c r="D9547" s="67"/>
      <c r="G9547" s="68"/>
      <c r="K9547" s="68"/>
    </row>
    <row r="9548" spans="2:11" ht="12.75">
      <c r="B9548" s="4"/>
      <c r="D9548" s="67"/>
      <c r="G9548" s="68"/>
      <c r="K9548" s="68"/>
    </row>
    <row r="9549" spans="2:11" ht="12.75">
      <c r="B9549" s="4"/>
      <c r="D9549" s="67"/>
      <c r="G9549" s="68"/>
      <c r="K9549" s="68"/>
    </row>
    <row r="9550" spans="2:11" ht="12.75">
      <c r="B9550" s="4"/>
      <c r="D9550" s="67"/>
      <c r="G9550" s="68"/>
      <c r="K9550" s="68"/>
    </row>
    <row r="9551" spans="2:11" ht="12.75">
      <c r="B9551" s="4"/>
      <c r="D9551" s="67"/>
      <c r="G9551" s="68"/>
      <c r="K9551" s="68"/>
    </row>
    <row r="9552" spans="2:11" ht="12.75">
      <c r="B9552" s="4"/>
      <c r="D9552" s="67"/>
      <c r="G9552" s="68"/>
      <c r="K9552" s="68"/>
    </row>
    <row r="9553" spans="2:11" ht="12.75">
      <c r="B9553" s="4"/>
      <c r="D9553" s="67"/>
      <c r="G9553" s="68"/>
      <c r="K9553" s="68"/>
    </row>
    <row r="9554" spans="2:11" ht="12.75">
      <c r="B9554" s="4"/>
      <c r="D9554" s="67"/>
      <c r="G9554" s="68"/>
      <c r="K9554" s="68"/>
    </row>
    <row r="9555" spans="2:11" ht="12.75">
      <c r="B9555" s="4"/>
      <c r="D9555" s="67"/>
      <c r="G9555" s="68"/>
      <c r="K9555" s="68"/>
    </row>
    <row r="9556" spans="2:11" ht="12.75">
      <c r="B9556" s="4"/>
      <c r="D9556" s="67"/>
      <c r="G9556" s="68"/>
      <c r="K9556" s="68"/>
    </row>
    <row r="9557" spans="2:11" ht="12.75">
      <c r="B9557" s="4"/>
      <c r="D9557" s="67"/>
      <c r="G9557" s="68"/>
      <c r="K9557" s="68"/>
    </row>
    <row r="9558" spans="2:11" ht="12.75">
      <c r="B9558" s="4"/>
      <c r="D9558" s="67"/>
      <c r="G9558" s="68"/>
      <c r="K9558" s="68"/>
    </row>
    <row r="9559" spans="2:11" ht="12.75">
      <c r="B9559" s="4"/>
      <c r="D9559" s="67"/>
      <c r="G9559" s="68"/>
      <c r="K9559" s="68"/>
    </row>
    <row r="9560" spans="2:11" ht="12.75">
      <c r="B9560" s="4"/>
      <c r="D9560" s="67"/>
      <c r="G9560" s="68"/>
      <c r="K9560" s="68"/>
    </row>
    <row r="9561" spans="2:11" ht="12.75">
      <c r="B9561" s="4"/>
      <c r="D9561" s="67"/>
      <c r="G9561" s="68"/>
      <c r="K9561" s="68"/>
    </row>
    <row r="9562" spans="2:11" ht="12.75">
      <c r="B9562" s="4"/>
      <c r="D9562" s="67"/>
      <c r="G9562" s="68"/>
      <c r="K9562" s="68"/>
    </row>
    <row r="9563" spans="2:11" ht="12.75">
      <c r="B9563" s="4"/>
      <c r="D9563" s="67"/>
      <c r="G9563" s="68"/>
      <c r="K9563" s="68"/>
    </row>
    <row r="9564" spans="2:11" ht="12.75">
      <c r="B9564" s="4"/>
      <c r="D9564" s="67"/>
      <c r="G9564" s="68"/>
      <c r="K9564" s="68"/>
    </row>
    <row r="9565" spans="2:11" ht="12.75">
      <c r="B9565" s="4"/>
      <c r="D9565" s="67"/>
      <c r="G9565" s="68"/>
      <c r="K9565" s="68"/>
    </row>
    <row r="9566" spans="2:11" ht="12.75">
      <c r="B9566" s="4"/>
      <c r="D9566" s="67"/>
      <c r="G9566" s="68"/>
      <c r="K9566" s="68"/>
    </row>
    <row r="9567" spans="2:11" ht="12.75">
      <c r="B9567" s="4"/>
      <c r="D9567" s="67"/>
      <c r="G9567" s="68"/>
      <c r="K9567" s="68"/>
    </row>
    <row r="9568" spans="2:11" ht="12.75">
      <c r="B9568" s="4"/>
      <c r="D9568" s="67"/>
      <c r="G9568" s="68"/>
      <c r="K9568" s="68"/>
    </row>
    <row r="9569" spans="2:11" ht="12.75">
      <c r="B9569" s="4"/>
      <c r="D9569" s="67"/>
      <c r="G9569" s="68"/>
      <c r="K9569" s="68"/>
    </row>
    <row r="9570" spans="2:11" ht="12.75">
      <c r="B9570" s="4"/>
      <c r="D9570" s="67"/>
      <c r="G9570" s="68"/>
      <c r="K9570" s="68"/>
    </row>
    <row r="9571" spans="2:11" ht="12.75">
      <c r="B9571" s="4"/>
      <c r="D9571" s="67"/>
      <c r="G9571" s="68"/>
      <c r="K9571" s="68"/>
    </row>
    <row r="9572" spans="2:11" ht="12.75">
      <c r="B9572" s="4"/>
      <c r="D9572" s="67"/>
      <c r="G9572" s="68"/>
      <c r="K9572" s="68"/>
    </row>
    <row r="9573" spans="2:11" ht="12.75">
      <c r="B9573" s="4"/>
      <c r="D9573" s="67"/>
      <c r="G9573" s="68"/>
      <c r="K9573" s="68"/>
    </row>
    <row r="9574" spans="2:11" ht="12.75">
      <c r="B9574" s="4"/>
      <c r="D9574" s="67"/>
      <c r="G9574" s="68"/>
      <c r="K9574" s="68"/>
    </row>
    <row r="9575" spans="2:11" ht="12.75">
      <c r="B9575" s="4"/>
      <c r="D9575" s="67"/>
      <c r="G9575" s="68"/>
      <c r="K9575" s="68"/>
    </row>
    <row r="9576" spans="2:11" ht="12.75">
      <c r="B9576" s="4"/>
      <c r="D9576" s="67"/>
      <c r="G9576" s="68"/>
      <c r="K9576" s="68"/>
    </row>
    <row r="9577" spans="2:11" ht="12.75">
      <c r="B9577" s="4"/>
      <c r="D9577" s="67"/>
      <c r="G9577" s="68"/>
      <c r="K9577" s="68"/>
    </row>
    <row r="9578" spans="2:11" ht="12.75">
      <c r="B9578" s="4"/>
      <c r="D9578" s="67"/>
      <c r="G9578" s="68"/>
      <c r="K9578" s="68"/>
    </row>
    <row r="9579" spans="2:11" ht="12.75">
      <c r="B9579" s="4"/>
      <c r="D9579" s="67"/>
      <c r="G9579" s="68"/>
      <c r="K9579" s="68"/>
    </row>
    <row r="9580" spans="2:11" ht="12.75">
      <c r="B9580" s="4"/>
      <c r="D9580" s="67"/>
      <c r="G9580" s="68"/>
      <c r="K9580" s="68"/>
    </row>
    <row r="9581" spans="2:11" ht="12.75">
      <c r="B9581" s="4"/>
      <c r="D9581" s="67"/>
      <c r="G9581" s="68"/>
      <c r="K9581" s="68"/>
    </row>
    <row r="9582" spans="2:11" ht="12.75">
      <c r="B9582" s="4"/>
      <c r="D9582" s="67"/>
      <c r="G9582" s="68"/>
      <c r="K9582" s="68"/>
    </row>
    <row r="9583" spans="2:11" ht="12.75">
      <c r="B9583" s="4"/>
      <c r="D9583" s="67"/>
      <c r="G9583" s="68"/>
      <c r="K9583" s="68"/>
    </row>
    <row r="9584" spans="2:11" ht="12.75">
      <c r="B9584" s="4"/>
      <c r="D9584" s="67"/>
      <c r="G9584" s="68"/>
      <c r="K9584" s="68"/>
    </row>
    <row r="9585" spans="2:11" ht="12.75">
      <c r="B9585" s="4"/>
      <c r="D9585" s="67"/>
      <c r="G9585" s="68"/>
      <c r="K9585" s="68"/>
    </row>
    <row r="9586" spans="2:11" ht="12.75">
      <c r="B9586" s="4"/>
      <c r="D9586" s="67"/>
      <c r="G9586" s="68"/>
      <c r="K9586" s="68"/>
    </row>
    <row r="9587" spans="2:11" ht="12.75">
      <c r="B9587" s="4"/>
      <c r="D9587" s="67"/>
      <c r="G9587" s="68"/>
      <c r="K9587" s="68"/>
    </row>
    <row r="9588" spans="2:11" ht="12.75">
      <c r="B9588" s="4"/>
      <c r="D9588" s="67"/>
      <c r="G9588" s="68"/>
      <c r="K9588" s="68"/>
    </row>
    <row r="9589" spans="2:11" ht="12.75">
      <c r="B9589" s="4"/>
      <c r="D9589" s="67"/>
      <c r="G9589" s="68"/>
      <c r="K9589" s="68"/>
    </row>
    <row r="9590" spans="2:11" ht="12.75">
      <c r="B9590" s="4"/>
      <c r="D9590" s="67"/>
      <c r="G9590" s="68"/>
      <c r="K9590" s="68"/>
    </row>
    <row r="9591" spans="2:11" ht="12.75">
      <c r="B9591" s="4"/>
      <c r="D9591" s="67"/>
      <c r="G9591" s="68"/>
      <c r="K9591" s="68"/>
    </row>
    <row r="9592" spans="2:11" ht="12.75">
      <c r="B9592" s="4"/>
      <c r="D9592" s="67"/>
      <c r="G9592" s="68"/>
      <c r="K9592" s="68"/>
    </row>
    <row r="9593" spans="2:11" ht="12.75">
      <c r="B9593" s="4"/>
      <c r="D9593" s="67"/>
      <c r="G9593" s="68"/>
      <c r="K9593" s="68"/>
    </row>
    <row r="9594" spans="2:11" ht="12.75">
      <c r="B9594" s="4"/>
      <c r="D9594" s="67"/>
      <c r="G9594" s="68"/>
      <c r="K9594" s="68"/>
    </row>
    <row r="9595" spans="2:11" ht="12.75">
      <c r="B9595" s="4"/>
      <c r="D9595" s="67"/>
      <c r="G9595" s="68"/>
      <c r="K9595" s="68"/>
    </row>
    <row r="9596" spans="2:11" ht="12.75">
      <c r="B9596" s="4"/>
      <c r="D9596" s="67"/>
      <c r="G9596" s="68"/>
      <c r="K9596" s="68"/>
    </row>
    <row r="9597" spans="2:11" ht="12.75">
      <c r="B9597" s="4"/>
      <c r="D9597" s="67"/>
      <c r="G9597" s="68"/>
      <c r="K9597" s="68"/>
    </row>
    <row r="9598" spans="2:11" ht="12.75">
      <c r="B9598" s="4"/>
      <c r="D9598" s="67"/>
      <c r="G9598" s="68"/>
      <c r="K9598" s="68"/>
    </row>
    <row r="9599" spans="2:11" ht="12.75">
      <c r="B9599" s="4"/>
      <c r="D9599" s="67"/>
      <c r="G9599" s="68"/>
      <c r="K9599" s="68"/>
    </row>
    <row r="9600" spans="2:11" ht="12.75">
      <c r="B9600" s="4"/>
      <c r="D9600" s="67"/>
      <c r="G9600" s="68"/>
      <c r="K9600" s="68"/>
    </row>
    <row r="9601" spans="2:11" ht="12.75">
      <c r="B9601" s="4"/>
      <c r="D9601" s="67"/>
      <c r="G9601" s="68"/>
      <c r="K9601" s="68"/>
    </row>
    <row r="9602" spans="2:11" ht="12.75">
      <c r="B9602" s="4"/>
      <c r="D9602" s="67"/>
      <c r="G9602" s="68"/>
      <c r="K9602" s="68"/>
    </row>
    <row r="9603" spans="2:11" ht="12.75">
      <c r="B9603" s="4"/>
      <c r="D9603" s="67"/>
      <c r="G9603" s="68"/>
      <c r="K9603" s="68"/>
    </row>
    <row r="9604" spans="2:11" ht="12.75">
      <c r="B9604" s="4"/>
      <c r="D9604" s="67"/>
      <c r="G9604" s="68"/>
      <c r="K9604" s="68"/>
    </row>
    <row r="9605" spans="2:11" ht="12.75">
      <c r="B9605" s="4"/>
      <c r="D9605" s="67"/>
      <c r="G9605" s="68"/>
      <c r="K9605" s="68"/>
    </row>
    <row r="9606" spans="2:11" ht="12.75">
      <c r="B9606" s="4"/>
      <c r="D9606" s="67"/>
      <c r="G9606" s="68"/>
      <c r="K9606" s="68"/>
    </row>
    <row r="9607" spans="2:11" ht="12.75">
      <c r="B9607" s="4"/>
      <c r="D9607" s="67"/>
      <c r="G9607" s="68"/>
      <c r="K9607" s="68"/>
    </row>
    <row r="9608" spans="2:11" ht="12.75">
      <c r="B9608" s="4"/>
      <c r="D9608" s="67"/>
      <c r="G9608" s="68"/>
      <c r="K9608" s="68"/>
    </row>
    <row r="9609" spans="2:11" ht="12.75">
      <c r="B9609" s="4"/>
      <c r="D9609" s="67"/>
      <c r="G9609" s="68"/>
      <c r="K9609" s="68"/>
    </row>
    <row r="9610" spans="2:11" ht="12.75">
      <c r="B9610" s="4"/>
      <c r="D9610" s="67"/>
      <c r="G9610" s="68"/>
      <c r="K9610" s="68"/>
    </row>
    <row r="9611" spans="2:11" ht="12.75">
      <c r="B9611" s="4"/>
      <c r="D9611" s="67"/>
      <c r="G9611" s="68"/>
      <c r="K9611" s="68"/>
    </row>
    <row r="9612" spans="2:11" ht="12.75">
      <c r="B9612" s="4"/>
      <c r="D9612" s="67"/>
      <c r="G9612" s="68"/>
      <c r="K9612" s="68"/>
    </row>
    <row r="9613" spans="2:11" ht="12.75">
      <c r="B9613" s="4"/>
      <c r="D9613" s="67"/>
      <c r="G9613" s="68"/>
      <c r="K9613" s="68"/>
    </row>
    <row r="9614" spans="2:11" ht="12.75">
      <c r="B9614" s="4"/>
      <c r="D9614" s="67"/>
      <c r="G9614" s="68"/>
      <c r="K9614" s="68"/>
    </row>
    <row r="9615" spans="2:11" ht="12.75">
      <c r="B9615" s="4"/>
      <c r="D9615" s="67"/>
      <c r="G9615" s="68"/>
      <c r="K9615" s="68"/>
    </row>
    <row r="9616" spans="2:11" ht="12.75">
      <c r="B9616" s="4"/>
      <c r="D9616" s="67"/>
      <c r="G9616" s="68"/>
      <c r="K9616" s="68"/>
    </row>
    <row r="9617" spans="2:11" ht="12.75">
      <c r="B9617" s="4"/>
      <c r="D9617" s="67"/>
      <c r="G9617" s="68"/>
      <c r="K9617" s="68"/>
    </row>
    <row r="9618" spans="2:11" ht="12.75">
      <c r="B9618" s="4"/>
      <c r="D9618" s="67"/>
      <c r="G9618" s="68"/>
      <c r="K9618" s="68"/>
    </row>
    <row r="9619" spans="2:11" ht="12.75">
      <c r="B9619" s="4"/>
      <c r="D9619" s="67"/>
      <c r="G9619" s="68"/>
      <c r="K9619" s="68"/>
    </row>
    <row r="9620" spans="2:11" ht="12.75">
      <c r="B9620" s="4"/>
      <c r="D9620" s="67"/>
      <c r="G9620" s="68"/>
      <c r="K9620" s="68"/>
    </row>
    <row r="9621" spans="2:11" ht="12.75">
      <c r="B9621" s="4"/>
      <c r="D9621" s="67"/>
      <c r="G9621" s="68"/>
      <c r="K9621" s="68"/>
    </row>
    <row r="9622" spans="2:11" ht="12.75">
      <c r="B9622" s="4"/>
      <c r="D9622" s="67"/>
      <c r="G9622" s="68"/>
      <c r="K9622" s="68"/>
    </row>
    <row r="9623" spans="2:11" ht="12.75">
      <c r="B9623" s="4"/>
      <c r="D9623" s="67"/>
      <c r="G9623" s="68"/>
      <c r="K9623" s="68"/>
    </row>
    <row r="9624" spans="2:11" ht="12.75">
      <c r="B9624" s="4"/>
      <c r="D9624" s="67"/>
      <c r="G9624" s="68"/>
      <c r="K9624" s="68"/>
    </row>
    <row r="9625" spans="2:11" ht="12.75">
      <c r="B9625" s="4"/>
      <c r="D9625" s="67"/>
      <c r="G9625" s="68"/>
      <c r="K9625" s="68"/>
    </row>
    <row r="9626" spans="2:11" ht="12.75">
      <c r="B9626" s="4"/>
      <c r="D9626" s="67"/>
      <c r="G9626" s="68"/>
      <c r="K9626" s="68"/>
    </row>
    <row r="9627" spans="2:11" ht="12.75">
      <c r="B9627" s="4"/>
      <c r="D9627" s="67"/>
      <c r="G9627" s="68"/>
      <c r="K9627" s="68"/>
    </row>
    <row r="9628" spans="2:11" ht="12.75">
      <c r="B9628" s="4"/>
      <c r="D9628" s="67"/>
      <c r="G9628" s="68"/>
      <c r="K9628" s="68"/>
    </row>
    <row r="9629" spans="2:11" ht="12.75">
      <c r="B9629" s="4"/>
      <c r="D9629" s="67"/>
      <c r="G9629" s="68"/>
      <c r="K9629" s="68"/>
    </row>
    <row r="9630" spans="2:11" ht="12.75">
      <c r="B9630" s="4"/>
      <c r="D9630" s="67"/>
      <c r="G9630" s="68"/>
      <c r="K9630" s="68"/>
    </row>
    <row r="9631" spans="2:11" ht="12.75">
      <c r="B9631" s="4"/>
      <c r="D9631" s="67"/>
      <c r="G9631" s="68"/>
      <c r="K9631" s="68"/>
    </row>
    <row r="9632" spans="2:11" ht="12.75">
      <c r="B9632" s="4"/>
      <c r="D9632" s="67"/>
      <c r="G9632" s="68"/>
      <c r="K9632" s="68"/>
    </row>
    <row r="9633" spans="2:11" ht="12.75">
      <c r="B9633" s="4"/>
      <c r="D9633" s="67"/>
      <c r="G9633" s="68"/>
      <c r="K9633" s="68"/>
    </row>
    <row r="9634" spans="2:11" ht="12.75">
      <c r="B9634" s="4"/>
      <c r="D9634" s="67"/>
      <c r="G9634" s="68"/>
      <c r="K9634" s="68"/>
    </row>
    <row r="9635" spans="2:11" ht="12.75">
      <c r="B9635" s="4"/>
      <c r="D9635" s="67"/>
      <c r="G9635" s="68"/>
      <c r="K9635" s="68"/>
    </row>
    <row r="9636" spans="2:11" ht="12.75">
      <c r="B9636" s="4"/>
      <c r="D9636" s="67"/>
      <c r="G9636" s="68"/>
      <c r="K9636" s="68"/>
    </row>
    <row r="9637" spans="2:11" ht="12.75">
      <c r="B9637" s="4"/>
      <c r="D9637" s="67"/>
      <c r="G9637" s="68"/>
      <c r="K9637" s="68"/>
    </row>
    <row r="9638" spans="2:11" ht="12.75">
      <c r="B9638" s="4"/>
      <c r="D9638" s="67"/>
      <c r="G9638" s="68"/>
      <c r="K9638" s="68"/>
    </row>
    <row r="9639" spans="2:11" ht="12.75">
      <c r="B9639" s="4"/>
      <c r="D9639" s="67"/>
      <c r="G9639" s="68"/>
      <c r="K9639" s="68"/>
    </row>
    <row r="9640" spans="2:11" ht="12.75">
      <c r="B9640" s="4"/>
      <c r="D9640" s="67"/>
      <c r="G9640" s="68"/>
      <c r="K9640" s="68"/>
    </row>
    <row r="9641" spans="2:11" ht="12.75">
      <c r="B9641" s="4"/>
      <c r="D9641" s="67"/>
      <c r="G9641" s="68"/>
      <c r="K9641" s="68"/>
    </row>
    <row r="9642" spans="2:11" ht="12.75">
      <c r="B9642" s="4"/>
      <c r="D9642" s="67"/>
      <c r="G9642" s="68"/>
      <c r="K9642" s="68"/>
    </row>
    <row r="9643" spans="2:11" ht="12.75">
      <c r="B9643" s="4"/>
      <c r="D9643" s="67"/>
      <c r="G9643" s="68"/>
      <c r="K9643" s="68"/>
    </row>
    <row r="9644" spans="2:11" ht="12.75">
      <c r="B9644" s="4"/>
      <c r="D9644" s="67"/>
      <c r="G9644" s="68"/>
      <c r="K9644" s="68"/>
    </row>
    <row r="9645" spans="2:11" ht="12.75">
      <c r="B9645" s="4"/>
      <c r="D9645" s="67"/>
      <c r="G9645" s="68"/>
      <c r="K9645" s="68"/>
    </row>
    <row r="9646" spans="2:11" ht="12.75">
      <c r="B9646" s="4"/>
      <c r="D9646" s="67"/>
      <c r="G9646" s="68"/>
      <c r="K9646" s="68"/>
    </row>
    <row r="9647" spans="2:11" ht="12.75">
      <c r="B9647" s="4"/>
      <c r="D9647" s="67"/>
      <c r="G9647" s="68"/>
      <c r="K9647" s="68"/>
    </row>
    <row r="9648" spans="2:11" ht="12.75">
      <c r="B9648" s="4"/>
      <c r="D9648" s="67"/>
      <c r="G9648" s="68"/>
      <c r="K9648" s="68"/>
    </row>
    <row r="9649" spans="2:11" ht="12.75">
      <c r="B9649" s="4"/>
      <c r="D9649" s="67"/>
      <c r="G9649" s="68"/>
      <c r="K9649" s="68"/>
    </row>
    <row r="9650" spans="2:11" ht="12.75">
      <c r="B9650" s="4"/>
      <c r="D9650" s="67"/>
      <c r="G9650" s="68"/>
      <c r="K9650" s="68"/>
    </row>
    <row r="9651" spans="2:11" ht="12.75">
      <c r="B9651" s="4"/>
      <c r="D9651" s="67"/>
      <c r="G9651" s="68"/>
      <c r="K9651" s="68"/>
    </row>
    <row r="9652" spans="2:11" ht="12.75">
      <c r="B9652" s="4"/>
      <c r="D9652" s="67"/>
      <c r="G9652" s="68"/>
      <c r="K9652" s="68"/>
    </row>
    <row r="9653" spans="2:11" ht="12.75">
      <c r="B9653" s="4"/>
      <c r="D9653" s="67"/>
      <c r="G9653" s="68"/>
      <c r="K9653" s="68"/>
    </row>
    <row r="9654" spans="2:11" ht="12.75">
      <c r="B9654" s="4"/>
      <c r="D9654" s="67"/>
      <c r="G9654" s="68"/>
      <c r="K9654" s="68"/>
    </row>
    <row r="9655" spans="2:11" ht="12.75">
      <c r="B9655" s="4"/>
      <c r="D9655" s="67"/>
      <c r="G9655" s="68"/>
      <c r="K9655" s="68"/>
    </row>
    <row r="9656" spans="2:11" ht="12.75">
      <c r="B9656" s="4"/>
      <c r="D9656" s="67"/>
      <c r="G9656" s="68"/>
      <c r="K9656" s="68"/>
    </row>
    <row r="9657" spans="2:11" ht="12.75">
      <c r="B9657" s="4"/>
      <c r="D9657" s="67"/>
      <c r="G9657" s="68"/>
      <c r="K9657" s="68"/>
    </row>
    <row r="9658" spans="2:11" ht="12.75">
      <c r="B9658" s="4"/>
      <c r="D9658" s="67"/>
      <c r="G9658" s="68"/>
      <c r="K9658" s="68"/>
    </row>
    <row r="9659" spans="2:11" ht="12.75">
      <c r="B9659" s="4"/>
      <c r="D9659" s="67"/>
      <c r="G9659" s="68"/>
      <c r="K9659" s="68"/>
    </row>
    <row r="9660" spans="2:11" ht="12.75">
      <c r="B9660" s="4"/>
      <c r="D9660" s="67"/>
      <c r="G9660" s="68"/>
      <c r="K9660" s="68"/>
    </row>
    <row r="9661" spans="2:11" ht="12.75">
      <c r="B9661" s="4"/>
      <c r="D9661" s="67"/>
      <c r="G9661" s="68"/>
      <c r="K9661" s="68"/>
    </row>
    <row r="9662" spans="2:11" ht="12.75">
      <c r="B9662" s="4"/>
      <c r="D9662" s="67"/>
      <c r="G9662" s="68"/>
      <c r="K9662" s="68"/>
    </row>
    <row r="9663" spans="2:11" ht="12.75">
      <c r="B9663" s="4"/>
      <c r="D9663" s="67"/>
      <c r="G9663" s="68"/>
      <c r="K9663" s="68"/>
    </row>
    <row r="9664" spans="2:11" ht="12.75">
      <c r="B9664" s="4"/>
      <c r="D9664" s="67"/>
      <c r="G9664" s="68"/>
      <c r="K9664" s="68"/>
    </row>
    <row r="9665" spans="2:11" ht="12.75">
      <c r="B9665" s="4"/>
      <c r="D9665" s="67"/>
      <c r="G9665" s="68"/>
      <c r="K9665" s="68"/>
    </row>
    <row r="9666" spans="2:11" ht="12.75">
      <c r="B9666" s="4"/>
      <c r="D9666" s="67"/>
      <c r="G9666" s="68"/>
      <c r="K9666" s="68"/>
    </row>
    <row r="9667" spans="2:11" ht="12.75">
      <c r="B9667" s="4"/>
      <c r="D9667" s="67"/>
      <c r="G9667" s="68"/>
      <c r="K9667" s="68"/>
    </row>
    <row r="9668" spans="2:11" ht="12.75">
      <c r="B9668" s="4"/>
      <c r="D9668" s="67"/>
      <c r="G9668" s="68"/>
      <c r="K9668" s="68"/>
    </row>
    <row r="9669" spans="2:11" ht="12.75">
      <c r="B9669" s="4"/>
      <c r="D9669" s="67"/>
      <c r="G9669" s="68"/>
      <c r="K9669" s="68"/>
    </row>
    <row r="9670" spans="2:11" ht="12.75">
      <c r="B9670" s="4"/>
      <c r="D9670" s="67"/>
      <c r="G9670" s="68"/>
      <c r="K9670" s="68"/>
    </row>
    <row r="9671" spans="2:11" ht="12.75">
      <c r="B9671" s="4"/>
      <c r="D9671" s="67"/>
      <c r="G9671" s="68"/>
      <c r="K9671" s="68"/>
    </row>
    <row r="9672" spans="2:11" ht="12.75">
      <c r="B9672" s="4"/>
      <c r="D9672" s="67"/>
      <c r="G9672" s="68"/>
      <c r="K9672" s="68"/>
    </row>
    <row r="9673" spans="2:11" ht="12.75">
      <c r="B9673" s="4"/>
      <c r="D9673" s="67"/>
      <c r="G9673" s="68"/>
      <c r="K9673" s="68"/>
    </row>
    <row r="9674" spans="2:11" ht="12.75">
      <c r="B9674" s="4"/>
      <c r="D9674" s="67"/>
      <c r="G9674" s="68"/>
      <c r="K9674" s="68"/>
    </row>
    <row r="9675" spans="2:11" ht="12.75">
      <c r="B9675" s="4"/>
      <c r="D9675" s="67"/>
      <c r="G9675" s="68"/>
      <c r="K9675" s="68"/>
    </row>
    <row r="9676" spans="2:11" ht="12.75">
      <c r="B9676" s="4"/>
      <c r="D9676" s="67"/>
      <c r="G9676" s="68"/>
      <c r="K9676" s="68"/>
    </row>
    <row r="9677" spans="2:11" ht="12.75">
      <c r="B9677" s="4"/>
      <c r="D9677" s="67"/>
      <c r="G9677" s="68"/>
      <c r="K9677" s="68"/>
    </row>
    <row r="9678" spans="2:11" ht="12.75">
      <c r="B9678" s="4"/>
      <c r="D9678" s="67"/>
      <c r="G9678" s="68"/>
      <c r="K9678" s="68"/>
    </row>
    <row r="9679" spans="2:11" ht="12.75">
      <c r="B9679" s="4"/>
      <c r="D9679" s="67"/>
      <c r="G9679" s="68"/>
      <c r="K9679" s="68"/>
    </row>
    <row r="9680" spans="2:11" ht="12.75">
      <c r="B9680" s="4"/>
      <c r="D9680" s="67"/>
      <c r="G9680" s="68"/>
      <c r="K9680" s="68"/>
    </row>
    <row r="9681" spans="2:11" ht="12.75">
      <c r="B9681" s="4"/>
      <c r="D9681" s="67"/>
      <c r="G9681" s="68"/>
      <c r="K9681" s="68"/>
    </row>
    <row r="9682" spans="2:11" ht="12.75">
      <c r="B9682" s="4"/>
      <c r="D9682" s="67"/>
      <c r="G9682" s="68"/>
      <c r="K9682" s="68"/>
    </row>
    <row r="9683" spans="2:11" ht="12.75">
      <c r="B9683" s="4"/>
      <c r="D9683" s="67"/>
      <c r="G9683" s="68"/>
      <c r="K9683" s="68"/>
    </row>
    <row r="9684" spans="2:11" ht="12.75">
      <c r="B9684" s="4"/>
      <c r="D9684" s="67"/>
      <c r="G9684" s="68"/>
      <c r="K9684" s="68"/>
    </row>
    <row r="9685" spans="2:11" ht="12.75">
      <c r="B9685" s="4"/>
      <c r="D9685" s="67"/>
      <c r="G9685" s="68"/>
      <c r="K9685" s="68"/>
    </row>
    <row r="9686" spans="2:11" ht="12.75">
      <c r="B9686" s="4"/>
      <c r="D9686" s="67"/>
      <c r="G9686" s="68"/>
      <c r="K9686" s="68"/>
    </row>
    <row r="9687" spans="2:11" ht="12.75">
      <c r="B9687" s="4"/>
      <c r="D9687" s="67"/>
      <c r="G9687" s="68"/>
      <c r="K9687" s="68"/>
    </row>
    <row r="9688" spans="2:11" ht="12.75">
      <c r="B9688" s="4"/>
      <c r="D9688" s="67"/>
      <c r="G9688" s="68"/>
      <c r="K9688" s="68"/>
    </row>
    <row r="9689" spans="2:11" ht="12.75">
      <c r="B9689" s="4"/>
      <c r="D9689" s="67"/>
      <c r="G9689" s="68"/>
      <c r="K9689" s="68"/>
    </row>
    <row r="9690" spans="2:11" ht="12.75">
      <c r="B9690" s="4"/>
      <c r="D9690" s="67"/>
      <c r="G9690" s="68"/>
      <c r="K9690" s="68"/>
    </row>
    <row r="9691" spans="2:11" ht="12.75">
      <c r="B9691" s="4"/>
      <c r="D9691" s="67"/>
      <c r="G9691" s="68"/>
      <c r="K9691" s="68"/>
    </row>
    <row r="9692" spans="2:11" ht="12.75">
      <c r="B9692" s="4"/>
      <c r="D9692" s="67"/>
      <c r="G9692" s="68"/>
      <c r="K9692" s="68"/>
    </row>
    <row r="9693" spans="2:11" ht="12.75">
      <c r="B9693" s="4"/>
      <c r="D9693" s="67"/>
      <c r="G9693" s="68"/>
      <c r="K9693" s="68"/>
    </row>
    <row r="9694" spans="2:11" ht="12.75">
      <c r="B9694" s="4"/>
      <c r="D9694" s="67"/>
      <c r="G9694" s="68"/>
      <c r="K9694" s="68"/>
    </row>
    <row r="9695" spans="2:11" ht="12.75">
      <c r="B9695" s="4"/>
      <c r="D9695" s="67"/>
      <c r="G9695" s="68"/>
      <c r="K9695" s="68"/>
    </row>
    <row r="9696" spans="2:11" ht="12.75">
      <c r="B9696" s="4"/>
      <c r="D9696" s="67"/>
      <c r="G9696" s="68"/>
      <c r="K9696" s="68"/>
    </row>
    <row r="9697" spans="2:11" ht="12.75">
      <c r="B9697" s="4"/>
      <c r="D9697" s="67"/>
      <c r="G9697" s="68"/>
      <c r="K9697" s="68"/>
    </row>
    <row r="9698" spans="2:11" ht="12.75">
      <c r="B9698" s="4"/>
      <c r="D9698" s="67"/>
      <c r="G9698" s="68"/>
      <c r="K9698" s="68"/>
    </row>
    <row r="9699" spans="2:11" ht="12.75">
      <c r="B9699" s="4"/>
      <c r="D9699" s="67"/>
      <c r="G9699" s="68"/>
      <c r="K9699" s="68"/>
    </row>
    <row r="9700" spans="2:11" ht="12.75">
      <c r="B9700" s="4"/>
      <c r="D9700" s="67"/>
      <c r="G9700" s="68"/>
      <c r="K9700" s="68"/>
    </row>
    <row r="9701" spans="2:11" ht="12.75">
      <c r="B9701" s="4"/>
      <c r="D9701" s="67"/>
      <c r="G9701" s="68"/>
      <c r="K9701" s="68"/>
    </row>
    <row r="9702" spans="2:11" ht="12.75">
      <c r="B9702" s="4"/>
      <c r="D9702" s="67"/>
      <c r="G9702" s="68"/>
      <c r="K9702" s="68"/>
    </row>
    <row r="9703" spans="2:11" ht="12.75">
      <c r="B9703" s="4"/>
      <c r="D9703" s="67"/>
      <c r="G9703" s="68"/>
      <c r="K9703" s="68"/>
    </row>
    <row r="9704" spans="2:11" ht="12.75">
      <c r="B9704" s="4"/>
      <c r="D9704" s="67"/>
      <c r="G9704" s="68"/>
      <c r="K9704" s="68"/>
    </row>
    <row r="9705" spans="2:11" ht="12.75">
      <c r="B9705" s="4"/>
      <c r="D9705" s="67"/>
      <c r="G9705" s="68"/>
      <c r="K9705" s="68"/>
    </row>
    <row r="9706" spans="2:11" ht="12.75">
      <c r="B9706" s="4"/>
      <c r="D9706" s="67"/>
      <c r="G9706" s="68"/>
      <c r="K9706" s="68"/>
    </row>
    <row r="9707" spans="2:11" ht="12.75">
      <c r="B9707" s="4"/>
      <c r="D9707" s="67"/>
      <c r="G9707" s="68"/>
      <c r="K9707" s="68"/>
    </row>
    <row r="9708" spans="2:11" ht="12.75">
      <c r="B9708" s="4"/>
      <c r="D9708" s="67"/>
      <c r="G9708" s="68"/>
      <c r="K9708" s="68"/>
    </row>
    <row r="9709" spans="2:11" ht="12.75">
      <c r="B9709" s="4"/>
      <c r="D9709" s="67"/>
      <c r="G9709" s="68"/>
      <c r="K9709" s="68"/>
    </row>
    <row r="9710" spans="2:11" ht="12.75">
      <c r="B9710" s="4"/>
      <c r="D9710" s="67"/>
      <c r="G9710" s="68"/>
      <c r="K9710" s="68"/>
    </row>
    <row r="9711" spans="2:11" ht="12.75">
      <c r="B9711" s="4"/>
      <c r="D9711" s="67"/>
      <c r="G9711" s="68"/>
      <c r="K9711" s="68"/>
    </row>
    <row r="9712" spans="2:11" ht="12.75">
      <c r="B9712" s="4"/>
      <c r="D9712" s="67"/>
      <c r="G9712" s="68"/>
      <c r="K9712" s="68"/>
    </row>
    <row r="9713" spans="2:11" ht="12.75">
      <c r="B9713" s="4"/>
      <c r="D9713" s="67"/>
      <c r="G9713" s="68"/>
      <c r="K9713" s="68"/>
    </row>
    <row r="9714" spans="2:11" ht="12.75">
      <c r="B9714" s="4"/>
      <c r="D9714" s="67"/>
      <c r="G9714" s="68"/>
      <c r="K9714" s="68"/>
    </row>
    <row r="9715" spans="2:11" ht="12.75">
      <c r="B9715" s="4"/>
      <c r="D9715" s="67"/>
      <c r="G9715" s="68"/>
      <c r="K9715" s="68"/>
    </row>
    <row r="9716" spans="2:11" ht="12.75">
      <c r="B9716" s="4"/>
      <c r="D9716" s="67"/>
      <c r="G9716" s="68"/>
      <c r="K9716" s="68"/>
    </row>
    <row r="9717" spans="2:11" ht="12.75">
      <c r="B9717" s="4"/>
      <c r="D9717" s="67"/>
      <c r="G9717" s="68"/>
      <c r="K9717" s="68"/>
    </row>
    <row r="9718" spans="2:11" ht="12.75">
      <c r="B9718" s="4"/>
      <c r="D9718" s="67"/>
      <c r="G9718" s="68"/>
      <c r="K9718" s="68"/>
    </row>
    <row r="9719" spans="2:11" ht="12.75">
      <c r="B9719" s="4"/>
      <c r="D9719" s="67"/>
      <c r="G9719" s="68"/>
      <c r="K9719" s="68"/>
    </row>
    <row r="9720" spans="2:11" ht="12.75">
      <c r="B9720" s="4"/>
      <c r="D9720" s="67"/>
      <c r="G9720" s="68"/>
      <c r="K9720" s="68"/>
    </row>
    <row r="9721" spans="2:11" ht="12.75">
      <c r="B9721" s="4"/>
      <c r="D9721" s="67"/>
      <c r="G9721" s="68"/>
      <c r="K9721" s="68"/>
    </row>
    <row r="9722" spans="2:11" ht="12.75">
      <c r="B9722" s="4"/>
      <c r="D9722" s="67"/>
      <c r="G9722" s="68"/>
      <c r="K9722" s="68"/>
    </row>
    <row r="9723" spans="2:11" ht="12.75">
      <c r="B9723" s="4"/>
      <c r="D9723" s="67"/>
      <c r="G9723" s="68"/>
      <c r="K9723" s="68"/>
    </row>
    <row r="9724" spans="2:11" ht="12.75">
      <c r="B9724" s="4"/>
      <c r="D9724" s="67"/>
      <c r="G9724" s="68"/>
      <c r="K9724" s="68"/>
    </row>
    <row r="9725" spans="2:11" ht="12.75">
      <c r="B9725" s="4"/>
      <c r="D9725" s="67"/>
      <c r="G9725" s="68"/>
      <c r="K9725" s="68"/>
    </row>
    <row r="9726" spans="2:11" ht="12.75">
      <c r="B9726" s="4"/>
      <c r="D9726" s="67"/>
      <c r="G9726" s="68"/>
      <c r="K9726" s="68"/>
    </row>
    <row r="9727" spans="2:11" ht="12.75">
      <c r="B9727" s="4"/>
      <c r="D9727" s="67"/>
      <c r="G9727" s="68"/>
      <c r="K9727" s="68"/>
    </row>
    <row r="9728" spans="2:11" ht="12.75">
      <c r="B9728" s="4"/>
      <c r="D9728" s="67"/>
      <c r="G9728" s="68"/>
      <c r="K9728" s="68"/>
    </row>
    <row r="9729" spans="2:11" ht="12.75">
      <c r="B9729" s="4"/>
      <c r="D9729" s="67"/>
      <c r="G9729" s="68"/>
      <c r="K9729" s="68"/>
    </row>
    <row r="9730" spans="2:11" ht="12.75">
      <c r="B9730" s="4"/>
      <c r="D9730" s="67"/>
      <c r="G9730" s="68"/>
      <c r="K9730" s="68"/>
    </row>
    <row r="9731" spans="2:11" ht="12.75">
      <c r="B9731" s="4"/>
      <c r="D9731" s="67"/>
      <c r="G9731" s="68"/>
      <c r="K9731" s="68"/>
    </row>
    <row r="9732" spans="2:11" ht="12.75">
      <c r="B9732" s="4"/>
      <c r="D9732" s="67"/>
      <c r="G9732" s="68"/>
      <c r="K9732" s="68"/>
    </row>
    <row r="9733" spans="2:11" ht="12.75">
      <c r="B9733" s="4"/>
      <c r="D9733" s="67"/>
      <c r="G9733" s="68"/>
      <c r="K9733" s="68"/>
    </row>
    <row r="9734" spans="2:11" ht="12.75">
      <c r="B9734" s="4"/>
      <c r="D9734" s="67"/>
      <c r="G9734" s="68"/>
      <c r="K9734" s="68"/>
    </row>
    <row r="9735" spans="2:11" ht="12.75">
      <c r="B9735" s="4"/>
      <c r="D9735" s="67"/>
      <c r="G9735" s="68"/>
      <c r="K9735" s="68"/>
    </row>
    <row r="9736" spans="2:11" ht="12.75">
      <c r="B9736" s="4"/>
      <c r="D9736" s="67"/>
      <c r="G9736" s="68"/>
      <c r="K9736" s="68"/>
    </row>
    <row r="9737" spans="2:11" ht="12.75">
      <c r="B9737" s="4"/>
      <c r="D9737" s="67"/>
      <c r="G9737" s="68"/>
      <c r="K9737" s="68"/>
    </row>
    <row r="9738" spans="2:11" ht="12.75">
      <c r="B9738" s="4"/>
      <c r="D9738" s="67"/>
      <c r="G9738" s="68"/>
      <c r="K9738" s="68"/>
    </row>
    <row r="9739" spans="2:11" ht="12.75">
      <c r="B9739" s="4"/>
      <c r="D9739" s="67"/>
      <c r="G9739" s="68"/>
      <c r="K9739" s="68"/>
    </row>
    <row r="9740" spans="2:11" ht="12.75">
      <c r="B9740" s="4"/>
      <c r="D9740" s="67"/>
      <c r="G9740" s="68"/>
      <c r="K9740" s="68"/>
    </row>
    <row r="9741" spans="2:11" ht="12.75">
      <c r="B9741" s="4"/>
      <c r="D9741" s="67"/>
      <c r="G9741" s="68"/>
      <c r="K9741" s="68"/>
    </row>
    <row r="9742" spans="2:11" ht="12.75">
      <c r="B9742" s="4"/>
      <c r="D9742" s="67"/>
      <c r="G9742" s="68"/>
      <c r="K9742" s="68"/>
    </row>
    <row r="9743" spans="2:11" ht="12.75">
      <c r="B9743" s="4"/>
      <c r="D9743" s="67"/>
      <c r="G9743" s="68"/>
      <c r="K9743" s="68"/>
    </row>
    <row r="9744" spans="2:11" ht="12.75">
      <c r="B9744" s="4"/>
      <c r="D9744" s="67"/>
      <c r="G9744" s="68"/>
      <c r="K9744" s="68"/>
    </row>
    <row r="9745" spans="2:11" ht="12.75">
      <c r="B9745" s="4"/>
      <c r="D9745" s="67"/>
      <c r="G9745" s="68"/>
      <c r="K9745" s="68"/>
    </row>
    <row r="9746" spans="2:11" ht="12.75">
      <c r="B9746" s="4"/>
      <c r="D9746" s="67"/>
      <c r="G9746" s="68"/>
      <c r="K9746" s="68"/>
    </row>
    <row r="9747" spans="2:11" ht="12.75">
      <c r="B9747" s="4"/>
      <c r="D9747" s="67"/>
      <c r="G9747" s="68"/>
      <c r="K9747" s="68"/>
    </row>
    <row r="9748" spans="2:11" ht="12.75">
      <c r="B9748" s="4"/>
      <c r="D9748" s="67"/>
      <c r="G9748" s="68"/>
      <c r="K9748" s="68"/>
    </row>
    <row r="9749" spans="2:11" ht="12.75">
      <c r="B9749" s="4"/>
      <c r="D9749" s="67"/>
      <c r="G9749" s="68"/>
      <c r="K9749" s="68"/>
    </row>
    <row r="9750" spans="2:11" ht="12.75">
      <c r="B9750" s="4"/>
      <c r="D9750" s="67"/>
      <c r="G9750" s="68"/>
      <c r="K9750" s="68"/>
    </row>
    <row r="9751" spans="2:11" ht="12.75">
      <c r="B9751" s="4"/>
      <c r="D9751" s="67"/>
      <c r="G9751" s="68"/>
      <c r="K9751" s="68"/>
    </row>
    <row r="9752" spans="2:11" ht="12.75">
      <c r="B9752" s="4"/>
      <c r="D9752" s="67"/>
      <c r="G9752" s="68"/>
      <c r="K9752" s="68"/>
    </row>
    <row r="9753" spans="2:11" ht="12.75">
      <c r="B9753" s="4"/>
      <c r="D9753" s="67"/>
      <c r="G9753" s="68"/>
      <c r="K9753" s="68"/>
    </row>
    <row r="9754" spans="2:11" ht="12.75">
      <c r="B9754" s="4"/>
      <c r="D9754" s="67"/>
      <c r="G9754" s="68"/>
      <c r="K9754" s="68"/>
    </row>
    <row r="9755" spans="2:11" ht="12.75">
      <c r="B9755" s="4"/>
      <c r="D9755" s="67"/>
      <c r="G9755" s="68"/>
      <c r="K9755" s="68"/>
    </row>
    <row r="9756" spans="2:11" ht="12.75">
      <c r="B9756" s="4"/>
      <c r="D9756" s="67"/>
      <c r="G9756" s="68"/>
      <c r="K9756" s="68"/>
    </row>
    <row r="9757" spans="2:11" ht="12.75">
      <c r="B9757" s="4"/>
      <c r="D9757" s="67"/>
      <c r="G9757" s="68"/>
      <c r="K9757" s="68"/>
    </row>
    <row r="9758" spans="2:11" ht="12.75">
      <c r="B9758" s="4"/>
      <c r="D9758" s="67"/>
      <c r="G9758" s="68"/>
      <c r="K9758" s="68"/>
    </row>
    <row r="9759" spans="2:11" ht="12.75">
      <c r="B9759" s="4"/>
      <c r="D9759" s="67"/>
      <c r="G9759" s="68"/>
      <c r="K9759" s="68"/>
    </row>
    <row r="9760" spans="2:11" ht="12.75">
      <c r="B9760" s="4"/>
      <c r="D9760" s="67"/>
      <c r="G9760" s="68"/>
      <c r="K9760" s="68"/>
    </row>
    <row r="9761" spans="2:11" ht="12.75">
      <c r="B9761" s="4"/>
      <c r="D9761" s="67"/>
      <c r="G9761" s="68"/>
      <c r="K9761" s="68"/>
    </row>
    <row r="9762" spans="2:11" ht="12.75">
      <c r="B9762" s="4"/>
      <c r="D9762" s="67"/>
      <c r="G9762" s="68"/>
      <c r="K9762" s="68"/>
    </row>
    <row r="9763" spans="2:11" ht="12.75">
      <c r="B9763" s="4"/>
      <c r="D9763" s="67"/>
      <c r="G9763" s="68"/>
      <c r="K9763" s="68"/>
    </row>
    <row r="9764" spans="2:11" ht="12.75">
      <c r="B9764" s="4"/>
      <c r="D9764" s="67"/>
      <c r="G9764" s="68"/>
      <c r="K9764" s="68"/>
    </row>
    <row r="9765" spans="2:11" ht="12.75">
      <c r="B9765" s="4"/>
      <c r="D9765" s="67"/>
      <c r="G9765" s="68"/>
      <c r="K9765" s="68"/>
    </row>
    <row r="9766" spans="2:11" ht="12.75">
      <c r="B9766" s="4"/>
      <c r="D9766" s="67"/>
      <c r="G9766" s="68"/>
      <c r="K9766" s="68"/>
    </row>
    <row r="9767" spans="2:11" ht="12.75">
      <c r="B9767" s="4"/>
      <c r="D9767" s="67"/>
      <c r="G9767" s="68"/>
      <c r="K9767" s="68"/>
    </row>
    <row r="9768" spans="2:11" ht="12.75">
      <c r="B9768" s="4"/>
      <c r="D9768" s="67"/>
      <c r="G9768" s="68"/>
      <c r="K9768" s="68"/>
    </row>
    <row r="9769" spans="2:11" ht="12.75">
      <c r="B9769" s="4"/>
      <c r="D9769" s="67"/>
      <c r="G9769" s="68"/>
      <c r="K9769" s="68"/>
    </row>
    <row r="9770" spans="2:11" ht="12.75">
      <c r="B9770" s="4"/>
      <c r="D9770" s="67"/>
      <c r="G9770" s="68"/>
      <c r="K9770" s="68"/>
    </row>
    <row r="9771" spans="2:11" ht="12.75">
      <c r="B9771" s="4"/>
      <c r="D9771" s="67"/>
      <c r="G9771" s="68"/>
      <c r="K9771" s="68"/>
    </row>
    <row r="9772" spans="2:11" ht="12.75">
      <c r="B9772" s="4"/>
      <c r="D9772" s="67"/>
      <c r="G9772" s="68"/>
      <c r="K9772" s="68"/>
    </row>
    <row r="9773" spans="2:11" ht="12.75">
      <c r="B9773" s="4"/>
      <c r="D9773" s="67"/>
      <c r="G9773" s="68"/>
      <c r="K9773" s="68"/>
    </row>
    <row r="9774" spans="2:11" ht="12.75">
      <c r="B9774" s="4"/>
      <c r="D9774" s="67"/>
      <c r="G9774" s="68"/>
      <c r="K9774" s="68"/>
    </row>
    <row r="9775" spans="2:11" ht="12.75">
      <c r="B9775" s="4"/>
      <c r="D9775" s="67"/>
      <c r="G9775" s="68"/>
      <c r="K9775" s="68"/>
    </row>
    <row r="9776" spans="2:11" ht="12.75">
      <c r="B9776" s="4"/>
      <c r="D9776" s="67"/>
      <c r="G9776" s="68"/>
      <c r="K9776" s="68"/>
    </row>
    <row r="9777" spans="2:11" ht="12.75">
      <c r="B9777" s="4"/>
      <c r="D9777" s="67"/>
      <c r="G9777" s="68"/>
      <c r="K9777" s="68"/>
    </row>
    <row r="9778" spans="2:11" ht="12.75">
      <c r="B9778" s="4"/>
      <c r="D9778" s="67"/>
      <c r="G9778" s="68"/>
      <c r="K9778" s="68"/>
    </row>
    <row r="9779" spans="2:11" ht="12.75">
      <c r="B9779" s="4"/>
      <c r="D9779" s="67"/>
      <c r="G9779" s="68"/>
      <c r="K9779" s="68"/>
    </row>
    <row r="9780" spans="2:11" ht="12.75">
      <c r="B9780" s="4"/>
      <c r="D9780" s="67"/>
      <c r="G9780" s="68"/>
      <c r="K9780" s="68"/>
    </row>
    <row r="9781" spans="2:11" ht="12.75">
      <c r="B9781" s="4"/>
      <c r="D9781" s="67"/>
      <c r="G9781" s="68"/>
      <c r="K9781" s="68"/>
    </row>
    <row r="9782" spans="2:11" ht="12.75">
      <c r="B9782" s="4"/>
      <c r="D9782" s="67"/>
      <c r="G9782" s="68"/>
      <c r="K9782" s="68"/>
    </row>
    <row r="9783" spans="2:11" ht="12.75">
      <c r="B9783" s="4"/>
      <c r="D9783" s="67"/>
      <c r="G9783" s="68"/>
      <c r="K9783" s="68"/>
    </row>
    <row r="9784" spans="2:11" ht="12.75">
      <c r="B9784" s="4"/>
      <c r="D9784" s="67"/>
      <c r="G9784" s="68"/>
      <c r="K9784" s="68"/>
    </row>
    <row r="9785" spans="2:11" ht="12.75">
      <c r="B9785" s="4"/>
      <c r="D9785" s="67"/>
      <c r="G9785" s="68"/>
      <c r="K9785" s="68"/>
    </row>
    <row r="9786" spans="2:11" ht="12.75">
      <c r="B9786" s="4"/>
      <c r="D9786" s="67"/>
      <c r="G9786" s="68"/>
      <c r="K9786" s="68"/>
    </row>
    <row r="9787" spans="2:11" ht="12.75">
      <c r="B9787" s="4"/>
      <c r="D9787" s="67"/>
      <c r="G9787" s="68"/>
      <c r="K9787" s="68"/>
    </row>
    <row r="9788" spans="2:11" ht="12.75">
      <c r="B9788" s="4"/>
      <c r="D9788" s="67"/>
      <c r="G9788" s="68"/>
      <c r="K9788" s="68"/>
    </row>
    <row r="9789" spans="2:11" ht="12.75">
      <c r="B9789" s="4"/>
      <c r="D9789" s="67"/>
      <c r="G9789" s="68"/>
      <c r="K9789" s="68"/>
    </row>
    <row r="9790" spans="2:11" ht="12.75">
      <c r="B9790" s="4"/>
      <c r="D9790" s="67"/>
      <c r="G9790" s="68"/>
      <c r="K9790" s="68"/>
    </row>
    <row r="9791" spans="2:11" ht="12.75">
      <c r="B9791" s="4"/>
      <c r="D9791" s="67"/>
      <c r="G9791" s="68"/>
      <c r="K9791" s="68"/>
    </row>
    <row r="9792" spans="2:11" ht="12.75">
      <c r="B9792" s="4"/>
      <c r="D9792" s="67"/>
      <c r="G9792" s="68"/>
      <c r="K9792" s="68"/>
    </row>
    <row r="9793" spans="2:11" ht="12.75">
      <c r="B9793" s="4"/>
      <c r="D9793" s="67"/>
      <c r="G9793" s="68"/>
      <c r="K9793" s="68"/>
    </row>
    <row r="9794" spans="2:11" ht="12.75">
      <c r="B9794" s="4"/>
      <c r="D9794" s="67"/>
      <c r="G9794" s="68"/>
      <c r="K9794" s="68"/>
    </row>
    <row r="9795" spans="2:11" ht="12.75">
      <c r="B9795" s="4"/>
      <c r="D9795" s="67"/>
      <c r="G9795" s="68"/>
      <c r="K9795" s="68"/>
    </row>
    <row r="9796" spans="2:11" ht="12.75">
      <c r="B9796" s="4"/>
      <c r="D9796" s="67"/>
      <c r="G9796" s="68"/>
      <c r="K9796" s="68"/>
    </row>
    <row r="9797" spans="2:11" ht="12.75">
      <c r="B9797" s="4"/>
      <c r="D9797" s="67"/>
      <c r="G9797" s="68"/>
      <c r="K9797" s="68"/>
    </row>
    <row r="9798" spans="2:11" ht="12.75">
      <c r="B9798" s="4"/>
      <c r="D9798" s="67"/>
      <c r="G9798" s="68"/>
      <c r="K9798" s="68"/>
    </row>
    <row r="9799" spans="2:11" ht="12.75">
      <c r="B9799" s="4"/>
      <c r="D9799" s="67"/>
      <c r="G9799" s="68"/>
      <c r="K9799" s="68"/>
    </row>
    <row r="9800" spans="2:11" ht="12.75">
      <c r="B9800" s="4"/>
      <c r="D9800" s="67"/>
      <c r="G9800" s="68"/>
      <c r="K9800" s="68"/>
    </row>
    <row r="9801" spans="2:11" ht="12.75">
      <c r="B9801" s="4"/>
      <c r="D9801" s="67"/>
      <c r="G9801" s="68"/>
      <c r="K9801" s="68"/>
    </row>
    <row r="9802" spans="2:11" ht="12.75">
      <c r="B9802" s="4"/>
      <c r="D9802" s="67"/>
      <c r="G9802" s="68"/>
      <c r="K9802" s="68"/>
    </row>
    <row r="9803" spans="2:11" ht="12.75">
      <c r="B9803" s="4"/>
      <c r="D9803" s="67"/>
      <c r="G9803" s="68"/>
      <c r="K9803" s="68"/>
    </row>
    <row r="9804" spans="2:11" ht="12.75">
      <c r="B9804" s="4"/>
      <c r="D9804" s="67"/>
      <c r="G9804" s="68"/>
      <c r="K9804" s="68"/>
    </row>
    <row r="9805" spans="2:11" ht="12.75">
      <c r="B9805" s="4"/>
      <c r="D9805" s="67"/>
      <c r="G9805" s="68"/>
      <c r="K9805" s="68"/>
    </row>
    <row r="9806" spans="2:11" ht="12.75">
      <c r="B9806" s="4"/>
      <c r="D9806" s="67"/>
      <c r="G9806" s="68"/>
      <c r="K9806" s="68"/>
    </row>
    <row r="9807" spans="2:11" ht="12.75">
      <c r="B9807" s="4"/>
      <c r="D9807" s="67"/>
      <c r="G9807" s="68"/>
      <c r="K9807" s="68"/>
    </row>
    <row r="9808" spans="2:11" ht="12.75">
      <c r="B9808" s="4"/>
      <c r="D9808" s="67"/>
      <c r="G9808" s="68"/>
      <c r="K9808" s="68"/>
    </row>
    <row r="9809" spans="2:11" ht="12.75">
      <c r="B9809" s="4"/>
      <c r="D9809" s="67"/>
      <c r="G9809" s="68"/>
      <c r="K9809" s="68"/>
    </row>
    <row r="9810" spans="2:11" ht="12.75">
      <c r="B9810" s="4"/>
      <c r="D9810" s="67"/>
      <c r="G9810" s="68"/>
      <c r="K9810" s="68"/>
    </row>
    <row r="9811" spans="2:11" ht="12.75">
      <c r="B9811" s="4"/>
      <c r="D9811" s="67"/>
      <c r="G9811" s="68"/>
      <c r="K9811" s="68"/>
    </row>
    <row r="9812" spans="2:11" ht="12.75">
      <c r="B9812" s="4"/>
      <c r="D9812" s="67"/>
      <c r="G9812" s="68"/>
      <c r="K9812" s="68"/>
    </row>
    <row r="9813" spans="2:11" ht="12.75">
      <c r="B9813" s="4"/>
      <c r="D9813" s="67"/>
      <c r="G9813" s="68"/>
      <c r="K9813" s="68"/>
    </row>
    <row r="9814" spans="2:11" ht="12.75">
      <c r="B9814" s="4"/>
      <c r="D9814" s="67"/>
      <c r="G9814" s="68"/>
      <c r="K9814" s="68"/>
    </row>
    <row r="9815" spans="2:11" ht="12.75">
      <c r="B9815" s="4"/>
      <c r="D9815" s="67"/>
      <c r="G9815" s="68"/>
      <c r="K9815" s="68"/>
    </row>
    <row r="9816" spans="2:11" ht="12.75">
      <c r="B9816" s="4"/>
      <c r="D9816" s="67"/>
      <c r="G9816" s="68"/>
      <c r="K9816" s="68"/>
    </row>
    <row r="9817" spans="2:11" ht="12.75">
      <c r="B9817" s="4"/>
      <c r="D9817" s="67"/>
      <c r="G9817" s="68"/>
      <c r="K9817" s="68"/>
    </row>
    <row r="9818" spans="2:11" ht="12.75">
      <c r="B9818" s="4"/>
      <c r="D9818" s="67"/>
      <c r="G9818" s="68"/>
      <c r="K9818" s="68"/>
    </row>
    <row r="9819" spans="2:11" ht="12.75">
      <c r="B9819" s="4"/>
      <c r="D9819" s="67"/>
      <c r="G9819" s="68"/>
      <c r="K9819" s="68"/>
    </row>
    <row r="9820" spans="2:11" ht="12.75">
      <c r="B9820" s="4"/>
      <c r="D9820" s="67"/>
      <c r="G9820" s="68"/>
      <c r="K9820" s="68"/>
    </row>
    <row r="9821" spans="2:11" ht="12.75">
      <c r="B9821" s="4"/>
      <c r="D9821" s="67"/>
      <c r="G9821" s="68"/>
      <c r="K9821" s="68"/>
    </row>
    <row r="9822" spans="2:11" ht="12.75">
      <c r="B9822" s="4"/>
      <c r="D9822" s="67"/>
      <c r="G9822" s="68"/>
      <c r="K9822" s="68"/>
    </row>
    <row r="9823" spans="2:11" ht="12.75">
      <c r="B9823" s="4"/>
      <c r="D9823" s="67"/>
      <c r="G9823" s="68"/>
      <c r="K9823" s="68"/>
    </row>
    <row r="9824" spans="2:11" ht="12.75">
      <c r="B9824" s="4"/>
      <c r="D9824" s="67"/>
      <c r="G9824" s="68"/>
      <c r="K9824" s="68"/>
    </row>
    <row r="9825" spans="2:11" ht="12.75">
      <c r="B9825" s="4"/>
      <c r="D9825" s="67"/>
      <c r="G9825" s="68"/>
      <c r="K9825" s="68"/>
    </row>
    <row r="9826" spans="2:11" ht="12.75">
      <c r="B9826" s="4"/>
      <c r="D9826" s="67"/>
      <c r="G9826" s="68"/>
      <c r="K9826" s="68"/>
    </row>
    <row r="9827" spans="2:11" ht="12.75">
      <c r="B9827" s="4"/>
      <c r="D9827" s="67"/>
      <c r="G9827" s="68"/>
      <c r="K9827" s="68"/>
    </row>
    <row r="9828" spans="2:11" ht="12.75">
      <c r="B9828" s="4"/>
      <c r="D9828" s="67"/>
      <c r="G9828" s="68"/>
      <c r="K9828" s="68"/>
    </row>
    <row r="9829" spans="2:11" ht="12.75">
      <c r="B9829" s="4"/>
      <c r="D9829" s="67"/>
      <c r="G9829" s="68"/>
      <c r="K9829" s="68"/>
    </row>
    <row r="9830" spans="2:11" ht="12.75">
      <c r="B9830" s="4"/>
      <c r="D9830" s="67"/>
      <c r="G9830" s="68"/>
      <c r="K9830" s="68"/>
    </row>
    <row r="9831" spans="2:11" ht="12.75">
      <c r="B9831" s="4"/>
      <c r="D9831" s="67"/>
      <c r="G9831" s="68"/>
      <c r="K9831" s="68"/>
    </row>
    <row r="9832" spans="2:11" ht="12.75">
      <c r="B9832" s="4"/>
      <c r="D9832" s="67"/>
      <c r="G9832" s="68"/>
      <c r="K9832" s="68"/>
    </row>
    <row r="9833" spans="2:11" ht="12.75">
      <c r="B9833" s="4"/>
      <c r="D9833" s="67"/>
      <c r="G9833" s="68"/>
      <c r="K9833" s="68"/>
    </row>
    <row r="9834" spans="2:11" ht="12.75">
      <c r="B9834" s="4"/>
      <c r="D9834" s="67"/>
      <c r="G9834" s="68"/>
      <c r="K9834" s="68"/>
    </row>
    <row r="9835" spans="2:11" ht="12.75">
      <c r="B9835" s="4"/>
      <c r="D9835" s="67"/>
      <c r="G9835" s="68"/>
      <c r="K9835" s="68"/>
    </row>
    <row r="9836" spans="2:11" ht="12.75">
      <c r="B9836" s="4"/>
      <c r="D9836" s="67"/>
      <c r="G9836" s="68"/>
      <c r="K9836" s="68"/>
    </row>
    <row r="9837" spans="2:11" ht="12.75">
      <c r="B9837" s="4"/>
      <c r="D9837" s="67"/>
      <c r="G9837" s="68"/>
      <c r="K9837" s="68"/>
    </row>
    <row r="9838" spans="2:11" ht="12.75">
      <c r="B9838" s="4"/>
      <c r="D9838" s="67"/>
      <c r="G9838" s="68"/>
      <c r="K9838" s="68"/>
    </row>
    <row r="9839" spans="2:11" ht="12.75">
      <c r="B9839" s="4"/>
      <c r="D9839" s="67"/>
      <c r="G9839" s="68"/>
      <c r="K9839" s="68"/>
    </row>
    <row r="9840" spans="2:11" ht="12.75">
      <c r="B9840" s="4"/>
      <c r="D9840" s="67"/>
      <c r="G9840" s="68"/>
      <c r="K9840" s="68"/>
    </row>
    <row r="9841" spans="2:11" ht="12.75">
      <c r="B9841" s="4"/>
      <c r="D9841" s="67"/>
      <c r="G9841" s="68"/>
      <c r="K9841" s="68"/>
    </row>
    <row r="9842" spans="2:11" ht="12.75">
      <c r="B9842" s="4"/>
      <c r="D9842" s="67"/>
      <c r="G9842" s="68"/>
      <c r="K9842" s="68"/>
    </row>
    <row r="9843" spans="2:11" ht="12.75">
      <c r="B9843" s="4"/>
      <c r="D9843" s="67"/>
      <c r="G9843" s="68"/>
      <c r="K9843" s="68"/>
    </row>
    <row r="9844" spans="2:11" ht="12.75">
      <c r="B9844" s="4"/>
      <c r="D9844" s="67"/>
      <c r="G9844" s="68"/>
      <c r="K9844" s="68"/>
    </row>
    <row r="9845" spans="2:11" ht="12.75">
      <c r="B9845" s="4"/>
      <c r="D9845" s="67"/>
      <c r="G9845" s="68"/>
      <c r="K9845" s="68"/>
    </row>
    <row r="9846" spans="2:11" ht="12.75">
      <c r="B9846" s="4"/>
      <c r="D9846" s="67"/>
      <c r="G9846" s="68"/>
      <c r="K9846" s="68"/>
    </row>
    <row r="9847" spans="2:11" ht="12.75">
      <c r="B9847" s="4"/>
      <c r="D9847" s="67"/>
      <c r="G9847" s="68"/>
      <c r="K9847" s="68"/>
    </row>
    <row r="9848" spans="2:11" ht="12.75">
      <c r="B9848" s="4"/>
      <c r="D9848" s="67"/>
      <c r="G9848" s="68"/>
      <c r="K9848" s="68"/>
    </row>
    <row r="9849" spans="2:11" ht="12.75">
      <c r="B9849" s="4"/>
      <c r="D9849" s="67"/>
      <c r="G9849" s="68"/>
      <c r="K9849" s="68"/>
    </row>
    <row r="9850" spans="2:11" ht="12.75">
      <c r="B9850" s="4"/>
      <c r="D9850" s="67"/>
      <c r="G9850" s="68"/>
      <c r="K9850" s="68"/>
    </row>
    <row r="9851" spans="2:11" ht="12.75">
      <c r="B9851" s="4"/>
      <c r="D9851" s="67"/>
      <c r="G9851" s="68"/>
      <c r="K9851" s="68"/>
    </row>
    <row r="9852" spans="2:11" ht="12.75">
      <c r="B9852" s="4"/>
      <c r="D9852" s="67"/>
      <c r="G9852" s="68"/>
      <c r="K9852" s="68"/>
    </row>
    <row r="9853" spans="2:11" ht="12.75">
      <c r="B9853" s="4"/>
      <c r="D9853" s="67"/>
      <c r="G9853" s="68"/>
      <c r="K9853" s="68"/>
    </row>
    <row r="9854" spans="2:11" ht="12.75">
      <c r="B9854" s="4"/>
      <c r="D9854" s="67"/>
      <c r="G9854" s="68"/>
      <c r="K9854" s="68"/>
    </row>
    <row r="9855" spans="2:11" ht="12.75">
      <c r="B9855" s="4"/>
      <c r="D9855" s="67"/>
      <c r="G9855" s="68"/>
      <c r="K9855" s="68"/>
    </row>
    <row r="9856" spans="2:11" ht="12.75">
      <c r="B9856" s="4"/>
      <c r="D9856" s="67"/>
      <c r="G9856" s="68"/>
      <c r="K9856" s="68"/>
    </row>
    <row r="9857" spans="2:11" ht="12.75">
      <c r="B9857" s="4"/>
      <c r="D9857" s="67"/>
      <c r="G9857" s="68"/>
      <c r="K9857" s="68"/>
    </row>
    <row r="9858" spans="2:11" ht="12.75">
      <c r="B9858" s="4"/>
      <c r="D9858" s="67"/>
      <c r="G9858" s="68"/>
      <c r="K9858" s="68"/>
    </row>
    <row r="9859" spans="2:11" ht="12.75">
      <c r="B9859" s="4"/>
      <c r="D9859" s="67"/>
      <c r="G9859" s="68"/>
      <c r="K9859" s="68"/>
    </row>
    <row r="9860" spans="2:11" ht="12.75">
      <c r="B9860" s="4"/>
      <c r="D9860" s="67"/>
      <c r="G9860" s="68"/>
      <c r="K9860" s="68"/>
    </row>
    <row r="9861" spans="2:11" ht="12.75">
      <c r="B9861" s="4"/>
      <c r="D9861" s="67"/>
      <c r="G9861" s="68"/>
      <c r="K9861" s="68"/>
    </row>
    <row r="9862" spans="2:11" ht="12.75">
      <c r="B9862" s="4"/>
      <c r="D9862" s="67"/>
      <c r="G9862" s="68"/>
      <c r="K9862" s="68"/>
    </row>
    <row r="9863" spans="2:11" ht="12.75">
      <c r="B9863" s="4"/>
      <c r="D9863" s="67"/>
      <c r="G9863" s="68"/>
      <c r="K9863" s="68"/>
    </row>
    <row r="9864" spans="2:11" ht="12.75">
      <c r="B9864" s="4"/>
      <c r="D9864" s="67"/>
      <c r="G9864" s="68"/>
      <c r="K9864" s="68"/>
    </row>
    <row r="9865" spans="2:11" ht="12.75">
      <c r="B9865" s="4"/>
      <c r="D9865" s="67"/>
      <c r="G9865" s="68"/>
      <c r="K9865" s="68"/>
    </row>
    <row r="9866" spans="2:11" ht="12.75">
      <c r="B9866" s="4"/>
      <c r="D9866" s="67"/>
      <c r="G9866" s="68"/>
      <c r="K9866" s="68"/>
    </row>
    <row r="9867" spans="2:11" ht="12.75">
      <c r="B9867" s="4"/>
      <c r="D9867" s="67"/>
      <c r="G9867" s="68"/>
      <c r="K9867" s="68"/>
    </row>
    <row r="9868" spans="2:11" ht="12.75">
      <c r="B9868" s="4"/>
      <c r="D9868" s="67"/>
      <c r="G9868" s="68"/>
      <c r="K9868" s="68"/>
    </row>
    <row r="9869" spans="2:11" ht="12.75">
      <c r="B9869" s="4"/>
      <c r="D9869" s="67"/>
      <c r="G9869" s="68"/>
      <c r="K9869" s="68"/>
    </row>
    <row r="9870" spans="2:11" ht="12.75">
      <c r="B9870" s="4"/>
      <c r="D9870" s="67"/>
      <c r="G9870" s="68"/>
      <c r="K9870" s="68"/>
    </row>
    <row r="9871" spans="2:11" ht="12.75">
      <c r="B9871" s="4"/>
      <c r="D9871" s="67"/>
      <c r="G9871" s="68"/>
      <c r="K9871" s="68"/>
    </row>
    <row r="9872" spans="2:11" ht="12.75">
      <c r="B9872" s="4"/>
      <c r="D9872" s="67"/>
      <c r="G9872" s="68"/>
      <c r="K9872" s="68"/>
    </row>
    <row r="9873" spans="2:11" ht="12.75">
      <c r="B9873" s="4"/>
      <c r="D9873" s="67"/>
      <c r="G9873" s="68"/>
      <c r="K9873" s="68"/>
    </row>
    <row r="9874" spans="2:11" ht="12.75">
      <c r="B9874" s="4"/>
      <c r="D9874" s="67"/>
      <c r="G9874" s="68"/>
      <c r="K9874" s="68"/>
    </row>
    <row r="9875" spans="2:11" ht="12.75">
      <c r="B9875" s="4"/>
      <c r="D9875" s="67"/>
      <c r="G9875" s="68"/>
      <c r="K9875" s="68"/>
    </row>
    <row r="9876" spans="2:11" ht="12.75">
      <c r="B9876" s="4"/>
      <c r="D9876" s="67"/>
      <c r="G9876" s="68"/>
      <c r="K9876" s="68"/>
    </row>
    <row r="9877" spans="2:11" ht="12.75">
      <c r="B9877" s="4"/>
      <c r="D9877" s="67"/>
      <c r="G9877" s="68"/>
      <c r="K9877" s="68"/>
    </row>
    <row r="9878" spans="2:11" ht="12.75">
      <c r="B9878" s="4"/>
      <c r="D9878" s="67"/>
      <c r="G9878" s="68"/>
      <c r="K9878" s="68"/>
    </row>
    <row r="9879" spans="2:11" ht="12.75">
      <c r="B9879" s="4"/>
      <c r="D9879" s="67"/>
      <c r="G9879" s="68"/>
      <c r="K9879" s="68"/>
    </row>
    <row r="9880" spans="2:11" ht="12.75">
      <c r="B9880" s="4"/>
      <c r="D9880" s="67"/>
      <c r="G9880" s="68"/>
      <c r="K9880" s="68"/>
    </row>
    <row r="9881" spans="2:11" ht="12.75">
      <c r="B9881" s="4"/>
      <c r="D9881" s="67"/>
      <c r="G9881" s="68"/>
      <c r="K9881" s="68"/>
    </row>
    <row r="9882" spans="2:11" ht="12.75">
      <c r="B9882" s="4"/>
      <c r="D9882" s="67"/>
      <c r="G9882" s="68"/>
      <c r="K9882" s="68"/>
    </row>
    <row r="9883" spans="2:11" ht="12.75">
      <c r="B9883" s="4"/>
      <c r="D9883" s="67"/>
      <c r="G9883" s="68"/>
      <c r="K9883" s="68"/>
    </row>
    <row r="9884" spans="2:11" ht="12.75">
      <c r="B9884" s="4"/>
      <c r="D9884" s="67"/>
      <c r="G9884" s="68"/>
      <c r="K9884" s="68"/>
    </row>
    <row r="9885" spans="2:11" ht="12.75">
      <c r="B9885" s="4"/>
      <c r="D9885" s="67"/>
      <c r="G9885" s="68"/>
      <c r="K9885" s="68"/>
    </row>
    <row r="9886" spans="2:11" ht="12.75">
      <c r="B9886" s="4"/>
      <c r="D9886" s="67"/>
      <c r="G9886" s="68"/>
      <c r="K9886" s="68"/>
    </row>
    <row r="9887" spans="2:11" ht="12.75">
      <c r="B9887" s="4"/>
      <c r="D9887" s="67"/>
      <c r="G9887" s="68"/>
      <c r="K9887" s="68"/>
    </row>
    <row r="9888" spans="2:11" ht="12.75">
      <c r="B9888" s="4"/>
      <c r="D9888" s="67"/>
      <c r="G9888" s="68"/>
      <c r="K9888" s="68"/>
    </row>
    <row r="9889" spans="2:11" ht="12.75">
      <c r="B9889" s="4"/>
      <c r="D9889" s="67"/>
      <c r="G9889" s="68"/>
      <c r="K9889" s="68"/>
    </row>
    <row r="9890" spans="2:11" ht="12.75">
      <c r="B9890" s="4"/>
      <c r="D9890" s="67"/>
      <c r="G9890" s="68"/>
      <c r="K9890" s="68"/>
    </row>
    <row r="9891" spans="2:11" ht="12.75">
      <c r="B9891" s="4"/>
      <c r="D9891" s="67"/>
      <c r="G9891" s="68"/>
      <c r="K9891" s="68"/>
    </row>
    <row r="9892" spans="2:11" ht="12.75">
      <c r="B9892" s="4"/>
      <c r="D9892" s="67"/>
      <c r="G9892" s="68"/>
      <c r="K9892" s="68"/>
    </row>
    <row r="9893" spans="2:11" ht="12.75">
      <c r="B9893" s="4"/>
      <c r="D9893" s="67"/>
      <c r="G9893" s="68"/>
      <c r="K9893" s="68"/>
    </row>
    <row r="9894" spans="2:11" ht="12.75">
      <c r="B9894" s="4"/>
      <c r="D9894" s="67"/>
      <c r="G9894" s="68"/>
      <c r="K9894" s="68"/>
    </row>
    <row r="9895" spans="2:11" ht="12.75">
      <c r="B9895" s="4"/>
      <c r="D9895" s="67"/>
      <c r="G9895" s="68"/>
      <c r="K9895" s="68"/>
    </row>
    <row r="9896" spans="2:11" ht="12.75">
      <c r="B9896" s="4"/>
      <c r="D9896" s="67"/>
      <c r="G9896" s="68"/>
      <c r="K9896" s="68"/>
    </row>
    <row r="9897" spans="2:11" ht="12.75">
      <c r="B9897" s="4"/>
      <c r="D9897" s="67"/>
      <c r="G9897" s="68"/>
      <c r="K9897" s="68"/>
    </row>
    <row r="9898" spans="2:11" ht="12.75">
      <c r="B9898" s="4"/>
      <c r="D9898" s="67"/>
      <c r="G9898" s="68"/>
      <c r="K9898" s="68"/>
    </row>
    <row r="9899" spans="2:11" ht="12.75">
      <c r="B9899" s="4"/>
      <c r="D9899" s="67"/>
      <c r="G9899" s="68"/>
      <c r="K9899" s="68"/>
    </row>
    <row r="9900" spans="2:11" ht="12.75">
      <c r="B9900" s="4"/>
      <c r="D9900" s="67"/>
      <c r="G9900" s="68"/>
      <c r="K9900" s="68"/>
    </row>
    <row r="9901" spans="2:11" ht="12.75">
      <c r="B9901" s="4"/>
      <c r="D9901" s="67"/>
      <c r="G9901" s="68"/>
      <c r="K9901" s="68"/>
    </row>
    <row r="9902" spans="2:11" ht="12.75">
      <c r="B9902" s="4"/>
      <c r="D9902" s="67"/>
      <c r="G9902" s="68"/>
      <c r="K9902" s="68"/>
    </row>
    <row r="9903" spans="2:11" ht="12.75">
      <c r="B9903" s="4"/>
      <c r="D9903" s="67"/>
      <c r="G9903" s="68"/>
      <c r="K9903" s="68"/>
    </row>
    <row r="9904" spans="2:11" ht="12.75">
      <c r="B9904" s="4"/>
      <c r="D9904" s="67"/>
      <c r="G9904" s="68"/>
      <c r="K9904" s="68"/>
    </row>
    <row r="9905" spans="2:11" ht="12.75">
      <c r="B9905" s="4"/>
      <c r="D9905" s="67"/>
      <c r="G9905" s="68"/>
      <c r="K9905" s="68"/>
    </row>
    <row r="9906" spans="2:11" ht="12.75">
      <c r="B9906" s="4"/>
      <c r="D9906" s="67"/>
      <c r="G9906" s="68"/>
      <c r="K9906" s="68"/>
    </row>
    <row r="9907" spans="2:11" ht="12.75">
      <c r="B9907" s="4"/>
      <c r="D9907" s="67"/>
      <c r="G9907" s="68"/>
      <c r="K9907" s="68"/>
    </row>
    <row r="9908" spans="2:11" ht="12.75">
      <c r="B9908" s="4"/>
      <c r="D9908" s="67"/>
      <c r="G9908" s="68"/>
      <c r="K9908" s="68"/>
    </row>
    <row r="9909" spans="2:11" ht="12.75">
      <c r="B9909" s="4"/>
      <c r="D9909" s="67"/>
      <c r="G9909" s="68"/>
      <c r="K9909" s="68"/>
    </row>
    <row r="9910" spans="2:11" ht="12.75">
      <c r="B9910" s="4"/>
      <c r="D9910" s="67"/>
      <c r="G9910" s="68"/>
      <c r="K9910" s="68"/>
    </row>
    <row r="9911" spans="2:11" ht="12.75">
      <c r="B9911" s="4"/>
      <c r="D9911" s="67"/>
      <c r="G9911" s="68"/>
      <c r="K9911" s="68"/>
    </row>
    <row r="9912" spans="2:11" ht="12.75">
      <c r="B9912" s="4"/>
      <c r="D9912" s="67"/>
      <c r="G9912" s="68"/>
      <c r="K9912" s="68"/>
    </row>
    <row r="9913" spans="2:11" ht="12.75">
      <c r="B9913" s="4"/>
      <c r="D9913" s="67"/>
      <c r="G9913" s="68"/>
      <c r="K9913" s="68"/>
    </row>
    <row r="9914" spans="2:11" ht="12.75">
      <c r="B9914" s="4"/>
      <c r="D9914" s="67"/>
      <c r="G9914" s="68"/>
      <c r="K9914" s="68"/>
    </row>
    <row r="9915" spans="2:11" ht="12.75">
      <c r="B9915" s="4"/>
      <c r="D9915" s="67"/>
      <c r="G9915" s="68"/>
      <c r="K9915" s="68"/>
    </row>
    <row r="9916" spans="2:11" ht="12.75">
      <c r="B9916" s="4"/>
      <c r="D9916" s="67"/>
      <c r="G9916" s="68"/>
      <c r="K9916" s="68"/>
    </row>
    <row r="9917" spans="2:11" ht="12.75">
      <c r="B9917" s="4"/>
      <c r="D9917" s="67"/>
      <c r="G9917" s="68"/>
      <c r="K9917" s="68"/>
    </row>
    <row r="9918" spans="2:11" ht="12.75">
      <c r="B9918" s="4"/>
      <c r="D9918" s="67"/>
      <c r="G9918" s="68"/>
      <c r="K9918" s="68"/>
    </row>
    <row r="9919" spans="2:11" ht="12.75">
      <c r="B9919" s="4"/>
      <c r="D9919" s="67"/>
      <c r="G9919" s="68"/>
      <c r="K9919" s="68"/>
    </row>
    <row r="9920" spans="2:11" ht="12.75">
      <c r="B9920" s="4"/>
      <c r="D9920" s="67"/>
      <c r="G9920" s="68"/>
      <c r="K9920" s="68"/>
    </row>
    <row r="9921" spans="2:11" ht="12.75">
      <c r="B9921" s="4"/>
      <c r="D9921" s="67"/>
      <c r="G9921" s="68"/>
      <c r="K9921" s="68"/>
    </row>
    <row r="9922" spans="2:11" ht="12.75">
      <c r="B9922" s="4"/>
      <c r="D9922" s="67"/>
      <c r="G9922" s="68"/>
      <c r="K9922" s="68"/>
    </row>
    <row r="9923" spans="2:11" ht="12.75">
      <c r="B9923" s="4"/>
      <c r="D9923" s="67"/>
      <c r="G9923" s="68"/>
      <c r="K9923" s="68"/>
    </row>
    <row r="9924" spans="2:11" ht="12.75">
      <c r="B9924" s="4"/>
      <c r="D9924" s="67"/>
      <c r="G9924" s="68"/>
      <c r="K9924" s="68"/>
    </row>
    <row r="9925" spans="2:11" ht="12.75">
      <c r="B9925" s="4"/>
      <c r="D9925" s="67"/>
      <c r="G9925" s="68"/>
      <c r="K9925" s="68"/>
    </row>
    <row r="9926" spans="2:11" ht="12.75">
      <c r="B9926" s="4"/>
      <c r="D9926" s="67"/>
      <c r="G9926" s="68"/>
      <c r="K9926" s="68"/>
    </row>
    <row r="9927" spans="2:11" ht="12.75">
      <c r="B9927" s="4"/>
      <c r="D9927" s="67"/>
      <c r="G9927" s="68"/>
      <c r="K9927" s="68"/>
    </row>
    <row r="9928" spans="2:11" ht="12.75">
      <c r="B9928" s="4"/>
      <c r="D9928" s="67"/>
      <c r="G9928" s="68"/>
      <c r="K9928" s="68"/>
    </row>
    <row r="9929" spans="2:11" ht="12.75">
      <c r="B9929" s="4"/>
      <c r="D9929" s="67"/>
      <c r="G9929" s="68"/>
      <c r="K9929" s="68"/>
    </row>
    <row r="9930" spans="2:11" ht="12.75">
      <c r="B9930" s="4"/>
      <c r="D9930" s="67"/>
      <c r="G9930" s="68"/>
      <c r="K9930" s="68"/>
    </row>
    <row r="9931" spans="2:11" ht="12.75">
      <c r="B9931" s="4"/>
      <c r="D9931" s="67"/>
      <c r="G9931" s="68"/>
      <c r="K9931" s="68"/>
    </row>
    <row r="9932" spans="2:11" ht="12.75">
      <c r="B9932" s="4"/>
      <c r="D9932" s="67"/>
      <c r="G9932" s="68"/>
      <c r="K9932" s="68"/>
    </row>
    <row r="9933" spans="2:11" ht="12.75">
      <c r="B9933" s="4"/>
      <c r="D9933" s="67"/>
      <c r="G9933" s="68"/>
      <c r="K9933" s="68"/>
    </row>
    <row r="9934" spans="2:11" ht="12.75">
      <c r="B9934" s="4"/>
      <c r="D9934" s="67"/>
      <c r="G9934" s="68"/>
      <c r="K9934" s="68"/>
    </row>
    <row r="9935" spans="2:11" ht="12.75">
      <c r="B9935" s="4"/>
      <c r="D9935" s="67"/>
      <c r="G9935" s="68"/>
      <c r="K9935" s="68"/>
    </row>
    <row r="9936" spans="2:11" ht="12.75">
      <c r="B9936" s="4"/>
      <c r="D9936" s="67"/>
      <c r="G9936" s="68"/>
      <c r="K9936" s="68"/>
    </row>
    <row r="9937" spans="2:11" ht="12.75">
      <c r="B9937" s="4"/>
      <c r="D9937" s="67"/>
      <c r="G9937" s="68"/>
      <c r="K9937" s="68"/>
    </row>
    <row r="9938" spans="2:11" ht="12.75">
      <c r="B9938" s="4"/>
      <c r="D9938" s="67"/>
      <c r="G9938" s="68"/>
      <c r="K9938" s="68"/>
    </row>
    <row r="9939" spans="2:11" ht="12.75">
      <c r="B9939" s="4"/>
      <c r="D9939" s="67"/>
      <c r="G9939" s="68"/>
      <c r="K9939" s="68"/>
    </row>
    <row r="9940" spans="2:11" ht="12.75">
      <c r="B9940" s="4"/>
      <c r="D9940" s="67"/>
      <c r="G9940" s="68"/>
      <c r="K9940" s="68"/>
    </row>
    <row r="9941" spans="2:11" ht="12.75">
      <c r="B9941" s="4"/>
      <c r="D9941" s="67"/>
      <c r="G9941" s="68"/>
      <c r="K9941" s="68"/>
    </row>
    <row r="9942" spans="2:11" ht="12.75">
      <c r="B9942" s="4"/>
      <c r="D9942" s="67"/>
      <c r="G9942" s="68"/>
      <c r="K9942" s="68"/>
    </row>
    <row r="9943" spans="2:11" ht="12.75">
      <c r="B9943" s="4"/>
      <c r="D9943" s="67"/>
      <c r="G9943" s="68"/>
      <c r="K9943" s="68"/>
    </row>
    <row r="9944" spans="2:11" ht="12.75">
      <c r="B9944" s="4"/>
      <c r="D9944" s="67"/>
      <c r="G9944" s="68"/>
      <c r="K9944" s="68"/>
    </row>
    <row r="9945" spans="2:11" ht="12.75">
      <c r="B9945" s="4"/>
      <c r="D9945" s="67"/>
      <c r="G9945" s="68"/>
      <c r="K9945" s="68"/>
    </row>
    <row r="9946" spans="2:11" ht="12.75">
      <c r="B9946" s="4"/>
      <c r="D9946" s="67"/>
      <c r="G9946" s="68"/>
      <c r="K9946" s="68"/>
    </row>
    <row r="9947" spans="2:11" ht="12.75">
      <c r="B9947" s="4"/>
      <c r="D9947" s="67"/>
      <c r="G9947" s="68"/>
      <c r="K9947" s="68"/>
    </row>
    <row r="9948" spans="2:11" ht="12.75">
      <c r="B9948" s="4"/>
      <c r="D9948" s="67"/>
      <c r="G9948" s="68"/>
      <c r="K9948" s="68"/>
    </row>
    <row r="9949" spans="2:11" ht="12.75">
      <c r="B9949" s="4"/>
      <c r="D9949" s="67"/>
      <c r="G9949" s="68"/>
      <c r="K9949" s="68"/>
    </row>
    <row r="9950" spans="2:11" ht="12.75">
      <c r="B9950" s="4"/>
      <c r="D9950" s="67"/>
      <c r="G9950" s="68"/>
      <c r="K9950" s="68"/>
    </row>
    <row r="9951" spans="2:11" ht="12.75">
      <c r="B9951" s="4"/>
      <c r="D9951" s="67"/>
      <c r="G9951" s="68"/>
      <c r="K9951" s="68"/>
    </row>
    <row r="9952" spans="2:11" ht="12.75">
      <c r="B9952" s="4"/>
      <c r="D9952" s="67"/>
      <c r="G9952" s="68"/>
      <c r="K9952" s="68"/>
    </row>
    <row r="9953" spans="2:11" ht="12.75">
      <c r="B9953" s="4"/>
      <c r="D9953" s="67"/>
      <c r="G9953" s="68"/>
      <c r="K9953" s="68"/>
    </row>
    <row r="9954" spans="2:11" ht="12.75">
      <c r="B9954" s="4"/>
      <c r="D9954" s="67"/>
      <c r="G9954" s="68"/>
      <c r="K9954" s="68"/>
    </row>
    <row r="9955" spans="2:11" ht="12.75">
      <c r="B9955" s="4"/>
      <c r="D9955" s="67"/>
      <c r="G9955" s="68"/>
      <c r="K9955" s="68"/>
    </row>
    <row r="9956" spans="2:11" ht="12.75">
      <c r="B9956" s="4"/>
      <c r="D9956" s="67"/>
      <c r="G9956" s="68"/>
      <c r="K9956" s="68"/>
    </row>
    <row r="9957" spans="2:11" ht="12.75">
      <c r="B9957" s="4"/>
      <c r="D9957" s="67"/>
      <c r="G9957" s="68"/>
      <c r="K9957" s="68"/>
    </row>
    <row r="9958" spans="2:11" ht="12.75">
      <c r="B9958" s="4"/>
      <c r="D9958" s="67"/>
      <c r="G9958" s="68"/>
      <c r="K9958" s="68"/>
    </row>
    <row r="9959" spans="2:11" ht="12.75">
      <c r="B9959" s="4"/>
      <c r="D9959" s="67"/>
      <c r="G9959" s="68"/>
      <c r="K9959" s="68"/>
    </row>
    <row r="9960" spans="2:11" ht="12.75">
      <c r="B9960" s="4"/>
      <c r="D9960" s="67"/>
      <c r="G9960" s="68"/>
      <c r="K9960" s="68"/>
    </row>
    <row r="9961" spans="2:11" ht="12.75">
      <c r="B9961" s="4"/>
      <c r="D9961" s="67"/>
      <c r="G9961" s="68"/>
      <c r="K9961" s="68"/>
    </row>
    <row r="9962" spans="2:11" ht="12.75">
      <c r="B9962" s="4"/>
      <c r="D9962" s="67"/>
      <c r="G9962" s="68"/>
      <c r="K9962" s="68"/>
    </row>
    <row r="9963" spans="2:11" ht="12.75">
      <c r="B9963" s="4"/>
      <c r="D9963" s="67"/>
      <c r="G9963" s="68"/>
      <c r="K9963" s="68"/>
    </row>
    <row r="9964" spans="2:11" ht="12.75">
      <c r="B9964" s="4"/>
      <c r="D9964" s="67"/>
      <c r="G9964" s="68"/>
      <c r="K9964" s="68"/>
    </row>
    <row r="9965" spans="2:11" ht="12.75">
      <c r="B9965" s="4"/>
      <c r="D9965" s="67"/>
      <c r="G9965" s="68"/>
      <c r="K9965" s="68"/>
    </row>
    <row r="9966" spans="2:11" ht="12.75">
      <c r="B9966" s="4"/>
      <c r="D9966" s="67"/>
      <c r="G9966" s="68"/>
      <c r="K9966" s="68"/>
    </row>
    <row r="9967" spans="2:11" ht="12.75">
      <c r="B9967" s="4"/>
      <c r="D9967" s="67"/>
      <c r="G9967" s="68"/>
      <c r="K9967" s="68"/>
    </row>
    <row r="9968" spans="2:11" ht="12.75">
      <c r="B9968" s="4"/>
      <c r="D9968" s="67"/>
      <c r="G9968" s="68"/>
      <c r="K9968" s="68"/>
    </row>
    <row r="9969" spans="2:11" ht="12.75">
      <c r="B9969" s="4"/>
      <c r="D9969" s="67"/>
      <c r="G9969" s="68"/>
      <c r="K9969" s="68"/>
    </row>
    <row r="9970" spans="2:11" ht="12.75">
      <c r="B9970" s="4"/>
      <c r="D9970" s="67"/>
      <c r="G9970" s="68"/>
      <c r="K9970" s="68"/>
    </row>
    <row r="9971" spans="2:11" ht="12.75">
      <c r="B9971" s="4"/>
      <c r="D9971" s="67"/>
      <c r="G9971" s="68"/>
      <c r="K9971" s="68"/>
    </row>
    <row r="9972" spans="2:11" ht="12.75">
      <c r="B9972" s="4"/>
      <c r="D9972" s="67"/>
      <c r="G9972" s="68"/>
      <c r="K9972" s="68"/>
    </row>
    <row r="9973" spans="2:11" ht="12.75">
      <c r="B9973" s="4"/>
      <c r="D9973" s="67"/>
      <c r="G9973" s="68"/>
      <c r="K9973" s="68"/>
    </row>
    <row r="9974" spans="2:11" ht="12.75">
      <c r="B9974" s="4"/>
      <c r="D9974" s="67"/>
      <c r="G9974" s="68"/>
      <c r="K9974" s="68"/>
    </row>
    <row r="9975" spans="2:11" ht="12.75">
      <c r="B9975" s="4"/>
      <c r="D9975" s="67"/>
      <c r="G9975" s="68"/>
      <c r="K9975" s="68"/>
    </row>
    <row r="9976" spans="2:11" ht="12.75">
      <c r="B9976" s="4"/>
      <c r="D9976" s="67"/>
      <c r="G9976" s="68"/>
      <c r="K9976" s="68"/>
    </row>
    <row r="9977" spans="2:11" ht="12.75">
      <c r="B9977" s="4"/>
      <c r="D9977" s="67"/>
      <c r="G9977" s="68"/>
      <c r="K9977" s="68"/>
    </row>
    <row r="9978" spans="2:11" ht="12.75">
      <c r="B9978" s="4"/>
      <c r="D9978" s="67"/>
      <c r="G9978" s="68"/>
      <c r="K9978" s="68"/>
    </row>
    <row r="9979" spans="2:11" ht="12.75">
      <c r="B9979" s="4"/>
      <c r="D9979" s="67"/>
      <c r="G9979" s="68"/>
      <c r="K9979" s="68"/>
    </row>
    <row r="9980" spans="2:11" ht="12.75">
      <c r="B9980" s="4"/>
      <c r="D9980" s="67"/>
      <c r="G9980" s="68"/>
      <c r="K9980" s="68"/>
    </row>
    <row r="9981" spans="2:11" ht="12.75">
      <c r="B9981" s="4"/>
      <c r="D9981" s="67"/>
      <c r="G9981" s="68"/>
      <c r="K9981" s="68"/>
    </row>
    <row r="9982" spans="2:11" ht="12.75">
      <c r="B9982" s="4"/>
      <c r="D9982" s="67"/>
      <c r="G9982" s="68"/>
      <c r="K9982" s="68"/>
    </row>
    <row r="9983" spans="2:11" ht="12.75">
      <c r="B9983" s="4"/>
      <c r="D9983" s="67"/>
      <c r="G9983" s="68"/>
      <c r="K9983" s="68"/>
    </row>
    <row r="9984" spans="2:11" ht="12.75">
      <c r="B9984" s="4"/>
      <c r="D9984" s="67"/>
      <c r="G9984" s="68"/>
      <c r="K9984" s="68"/>
    </row>
    <row r="9985" spans="2:11" ht="12.75">
      <c r="B9985" s="4"/>
      <c r="D9985" s="67"/>
      <c r="G9985" s="68"/>
      <c r="K9985" s="68"/>
    </row>
    <row r="9986" spans="2:11" ht="12.75">
      <c r="B9986" s="4"/>
      <c r="D9986" s="67"/>
      <c r="G9986" s="68"/>
      <c r="K9986" s="68"/>
    </row>
    <row r="9987" spans="2:11" ht="12.75">
      <c r="B9987" s="4"/>
      <c r="D9987" s="67"/>
      <c r="G9987" s="68"/>
      <c r="K9987" s="68"/>
    </row>
    <row r="9988" spans="2:11" ht="12.75">
      <c r="B9988" s="4"/>
      <c r="D9988" s="67"/>
      <c r="G9988" s="68"/>
      <c r="K9988" s="68"/>
    </row>
    <row r="9989" spans="2:11" ht="12.75">
      <c r="B9989" s="4"/>
      <c r="D9989" s="67"/>
      <c r="G9989" s="68"/>
      <c r="K9989" s="68"/>
    </row>
    <row r="9990" spans="2:11" ht="12.75">
      <c r="B9990" s="4"/>
      <c r="D9990" s="67"/>
      <c r="G9990" s="68"/>
      <c r="K9990" s="68"/>
    </row>
    <row r="9991" spans="2:11" ht="12.75">
      <c r="B9991" s="4"/>
      <c r="D9991" s="67"/>
      <c r="G9991" s="68"/>
      <c r="K9991" s="68"/>
    </row>
    <row r="9992" spans="2:11" ht="12.75">
      <c r="B9992" s="4"/>
      <c r="D9992" s="67"/>
      <c r="G9992" s="68"/>
      <c r="K9992" s="68"/>
    </row>
    <row r="9993" spans="2:11" ht="12.75">
      <c r="B9993" s="4"/>
      <c r="D9993" s="67"/>
      <c r="G9993" s="68"/>
      <c r="K9993" s="68"/>
    </row>
    <row r="9994" spans="2:11" ht="12.75">
      <c r="B9994" s="4"/>
      <c r="D9994" s="67"/>
      <c r="G9994" s="68"/>
      <c r="K9994" s="68"/>
    </row>
    <row r="9995" spans="2:11" ht="12.75">
      <c r="B9995" s="4"/>
      <c r="D9995" s="67"/>
      <c r="G9995" s="68"/>
      <c r="K9995" s="68"/>
    </row>
    <row r="9996" spans="2:11" ht="12.75">
      <c r="B9996" s="4"/>
      <c r="D9996" s="67"/>
      <c r="G9996" s="68"/>
      <c r="K9996" s="68"/>
    </row>
    <row r="9997" spans="2:11" ht="12.75">
      <c r="B9997" s="4"/>
      <c r="D9997" s="67"/>
      <c r="G9997" s="68"/>
      <c r="K9997" s="68"/>
    </row>
    <row r="9998" spans="2:11" ht="12.75">
      <c r="B9998" s="4"/>
      <c r="D9998" s="67"/>
      <c r="G9998" s="68"/>
      <c r="K9998" s="68"/>
    </row>
    <row r="9999" spans="2:11" ht="12.75">
      <c r="B9999" s="4"/>
      <c r="D9999" s="67"/>
      <c r="G9999" s="68"/>
      <c r="K9999" s="68"/>
    </row>
    <row r="10000" spans="2:11" ht="12.75">
      <c r="B10000" s="4"/>
      <c r="D10000" s="67"/>
      <c r="G10000" s="68"/>
      <c r="K10000" s="68"/>
    </row>
    <row r="10001" spans="2:11" ht="12.75">
      <c r="B10001" s="4"/>
      <c r="D10001" s="67"/>
      <c r="G10001" s="68"/>
      <c r="K10001" s="68"/>
    </row>
    <row r="10002" spans="2:11" ht="12.75">
      <c r="B10002" s="4"/>
      <c r="D10002" s="67"/>
      <c r="G10002" s="68"/>
      <c r="K10002" s="68"/>
    </row>
    <row r="10003" spans="2:11" ht="12.75">
      <c r="B10003" s="4"/>
      <c r="D10003" s="67"/>
      <c r="G10003" s="68"/>
      <c r="K10003" s="68"/>
    </row>
    <row r="10004" spans="2:11" ht="12.75">
      <c r="B10004" s="4"/>
      <c r="D10004" s="67"/>
      <c r="G10004" s="68"/>
      <c r="K10004" s="68"/>
    </row>
    <row r="10005" spans="2:11" ht="12.75">
      <c r="B10005" s="4"/>
      <c r="D10005" s="67"/>
      <c r="G10005" s="68"/>
      <c r="K10005" s="68"/>
    </row>
    <row r="10006" spans="2:11" ht="12.75">
      <c r="B10006" s="4"/>
      <c r="D10006" s="67"/>
      <c r="G10006" s="68"/>
      <c r="K10006" s="68"/>
    </row>
    <row r="10007" spans="2:11" ht="12.75">
      <c r="B10007" s="4"/>
      <c r="D10007" s="67"/>
      <c r="G10007" s="68"/>
      <c r="K10007" s="68"/>
    </row>
    <row r="10008" spans="2:11" ht="12.75">
      <c r="B10008" s="4"/>
      <c r="D10008" s="67"/>
      <c r="G10008" s="68"/>
      <c r="K10008" s="68"/>
    </row>
    <row r="10009" spans="2:11" ht="12.75">
      <c r="B10009" s="4"/>
      <c r="D10009" s="67"/>
      <c r="G10009" s="68"/>
      <c r="K10009" s="68"/>
    </row>
    <row r="10010" spans="2:11" ht="12.75">
      <c r="B10010" s="4"/>
      <c r="D10010" s="67"/>
      <c r="G10010" s="68"/>
      <c r="K10010" s="68"/>
    </row>
    <row r="10011" spans="2:11" ht="12.75">
      <c r="B10011" s="4"/>
      <c r="D10011" s="67"/>
      <c r="G10011" s="68"/>
      <c r="K10011" s="68"/>
    </row>
    <row r="10012" spans="2:11" ht="12.75">
      <c r="B10012" s="4"/>
      <c r="D10012" s="67"/>
      <c r="G10012" s="68"/>
      <c r="K10012" s="68"/>
    </row>
    <row r="10013" spans="2:11" ht="12.75">
      <c r="B10013" s="4"/>
      <c r="D10013" s="67"/>
      <c r="G10013" s="68"/>
      <c r="K10013" s="68"/>
    </row>
    <row r="10014" spans="2:11" ht="12.75">
      <c r="B10014" s="4"/>
      <c r="D10014" s="67"/>
      <c r="G10014" s="68"/>
      <c r="K10014" s="68"/>
    </row>
    <row r="10015" spans="2:11" ht="12.75">
      <c r="B10015" s="4"/>
      <c r="D10015" s="67"/>
      <c r="G10015" s="68"/>
      <c r="K10015" s="68"/>
    </row>
    <row r="10016" spans="2:11" ht="12.75">
      <c r="B10016" s="4"/>
      <c r="D10016" s="67"/>
      <c r="G10016" s="68"/>
      <c r="K10016" s="68"/>
    </row>
    <row r="10017" spans="2:11" ht="12.75">
      <c r="B10017" s="4"/>
      <c r="D10017" s="67"/>
      <c r="G10017" s="68"/>
      <c r="K10017" s="68"/>
    </row>
    <row r="10018" spans="2:11" ht="12.75">
      <c r="B10018" s="4"/>
      <c r="D10018" s="67"/>
      <c r="G10018" s="68"/>
      <c r="K10018" s="68"/>
    </row>
    <row r="10019" spans="2:11" ht="12.75">
      <c r="B10019" s="4"/>
      <c r="D10019" s="67"/>
      <c r="G10019" s="68"/>
      <c r="K10019" s="68"/>
    </row>
    <row r="10020" spans="2:11" ht="12.75">
      <c r="B10020" s="4"/>
      <c r="D10020" s="67"/>
      <c r="G10020" s="68"/>
      <c r="K10020" s="68"/>
    </row>
    <row r="10021" spans="2:11" ht="12.75">
      <c r="B10021" s="4"/>
      <c r="D10021" s="67"/>
      <c r="G10021" s="68"/>
      <c r="K10021" s="68"/>
    </row>
    <row r="10022" spans="2:11" ht="12.75">
      <c r="B10022" s="4"/>
      <c r="D10022" s="67"/>
      <c r="G10022" s="68"/>
      <c r="K10022" s="68"/>
    </row>
    <row r="10023" spans="2:11" ht="12.75">
      <c r="B10023" s="4"/>
      <c r="D10023" s="67"/>
      <c r="G10023" s="68"/>
      <c r="K10023" s="68"/>
    </row>
    <row r="10024" spans="2:11" ht="12.75">
      <c r="B10024" s="4"/>
      <c r="D10024" s="67"/>
      <c r="G10024" s="68"/>
      <c r="K10024" s="68"/>
    </row>
    <row r="10025" spans="2:11" ht="12.75">
      <c r="B10025" s="4"/>
      <c r="D10025" s="67"/>
      <c r="G10025" s="68"/>
      <c r="K10025" s="68"/>
    </row>
    <row r="10026" spans="2:11" ht="12.75">
      <c r="B10026" s="4"/>
      <c r="D10026" s="67"/>
      <c r="G10026" s="68"/>
      <c r="K10026" s="68"/>
    </row>
    <row r="10027" spans="2:11" ht="12.75">
      <c r="B10027" s="4"/>
      <c r="D10027" s="67"/>
      <c r="G10027" s="68"/>
      <c r="K10027" s="68"/>
    </row>
    <row r="10028" spans="2:11" ht="12.75">
      <c r="B10028" s="4"/>
      <c r="D10028" s="67"/>
      <c r="G10028" s="68"/>
      <c r="K10028" s="68"/>
    </row>
    <row r="10029" spans="2:11" ht="12.75">
      <c r="B10029" s="4"/>
      <c r="D10029" s="67"/>
      <c r="G10029" s="68"/>
      <c r="K10029" s="68"/>
    </row>
    <row r="10030" spans="2:11" ht="12.75">
      <c r="B10030" s="4"/>
      <c r="D10030" s="67"/>
      <c r="G10030" s="68"/>
      <c r="K10030" s="68"/>
    </row>
    <row r="10031" spans="2:11" ht="12.75">
      <c r="B10031" s="4"/>
      <c r="D10031" s="67"/>
      <c r="G10031" s="68"/>
      <c r="K10031" s="68"/>
    </row>
    <row r="10032" spans="2:11" ht="12.75">
      <c r="B10032" s="4"/>
      <c r="D10032" s="67"/>
      <c r="G10032" s="68"/>
      <c r="K10032" s="68"/>
    </row>
    <row r="10033" spans="2:11" ht="12.75">
      <c r="B10033" s="4"/>
      <c r="D10033" s="67"/>
      <c r="G10033" s="68"/>
      <c r="K10033" s="68"/>
    </row>
    <row r="10034" spans="2:11" ht="12.75">
      <c r="B10034" s="4"/>
      <c r="D10034" s="67"/>
      <c r="G10034" s="68"/>
      <c r="K10034" s="68"/>
    </row>
    <row r="10035" spans="2:11" ht="12.75">
      <c r="B10035" s="4"/>
      <c r="D10035" s="67"/>
      <c r="G10035" s="68"/>
      <c r="K10035" s="68"/>
    </row>
    <row r="10036" spans="2:11" ht="12.75">
      <c r="B10036" s="4"/>
      <c r="D10036" s="67"/>
      <c r="G10036" s="68"/>
      <c r="K10036" s="68"/>
    </row>
    <row r="10037" spans="2:11" ht="12.75">
      <c r="B10037" s="4"/>
      <c r="D10037" s="67"/>
      <c r="G10037" s="68"/>
      <c r="K10037" s="68"/>
    </row>
    <row r="10038" spans="2:11" ht="12.75">
      <c r="B10038" s="4"/>
      <c r="D10038" s="67"/>
      <c r="G10038" s="68"/>
      <c r="K10038" s="68"/>
    </row>
    <row r="10039" spans="2:11" ht="12.75">
      <c r="B10039" s="4"/>
      <c r="D10039" s="67"/>
      <c r="G10039" s="68"/>
      <c r="K10039" s="68"/>
    </row>
    <row r="10040" spans="2:11" ht="12.75">
      <c r="B10040" s="4"/>
      <c r="D10040" s="67"/>
      <c r="G10040" s="68"/>
      <c r="K10040" s="68"/>
    </row>
    <row r="10041" spans="2:11" ht="12.75">
      <c r="B10041" s="4"/>
      <c r="D10041" s="67"/>
      <c r="G10041" s="68"/>
      <c r="K10041" s="68"/>
    </row>
    <row r="10042" spans="2:11" ht="12.75">
      <c r="B10042" s="4"/>
      <c r="D10042" s="67"/>
      <c r="G10042" s="68"/>
      <c r="K10042" s="68"/>
    </row>
    <row r="10043" spans="2:11" ht="12.75">
      <c r="B10043" s="4"/>
      <c r="D10043" s="67"/>
      <c r="G10043" s="68"/>
      <c r="K10043" s="68"/>
    </row>
    <row r="10044" spans="2:11" ht="12.75">
      <c r="B10044" s="4"/>
      <c r="D10044" s="67"/>
      <c r="G10044" s="68"/>
      <c r="K10044" s="68"/>
    </row>
    <row r="10045" spans="2:11" ht="12.75">
      <c r="B10045" s="4"/>
      <c r="D10045" s="67"/>
      <c r="G10045" s="68"/>
      <c r="K10045" s="68"/>
    </row>
    <row r="10046" spans="2:11" ht="12.75">
      <c r="B10046" s="4"/>
      <c r="D10046" s="67"/>
      <c r="G10046" s="68"/>
      <c r="K10046" s="68"/>
    </row>
    <row r="10047" spans="2:11" ht="12.75">
      <c r="B10047" s="4"/>
      <c r="D10047" s="67"/>
      <c r="G10047" s="68"/>
      <c r="K10047" s="68"/>
    </row>
    <row r="10048" spans="2:11" ht="12.75">
      <c r="B10048" s="4"/>
      <c r="D10048" s="67"/>
      <c r="G10048" s="68"/>
      <c r="K10048" s="68"/>
    </row>
    <row r="10049" spans="2:11" ht="12.75">
      <c r="B10049" s="4"/>
      <c r="D10049" s="67"/>
      <c r="G10049" s="68"/>
      <c r="K10049" s="68"/>
    </row>
    <row r="10050" spans="2:11" ht="12.75">
      <c r="B10050" s="4"/>
      <c r="D10050" s="67"/>
      <c r="G10050" s="68"/>
      <c r="K10050" s="68"/>
    </row>
    <row r="10051" spans="2:11" ht="12.75">
      <c r="B10051" s="4"/>
      <c r="D10051" s="67"/>
      <c r="G10051" s="68"/>
      <c r="K10051" s="68"/>
    </row>
    <row r="10052" spans="2:11" ht="12.75">
      <c r="B10052" s="4"/>
      <c r="D10052" s="67"/>
      <c r="G10052" s="68"/>
      <c r="K10052" s="68"/>
    </row>
    <row r="10053" spans="2:11" ht="12.75">
      <c r="B10053" s="4"/>
      <c r="D10053" s="67"/>
      <c r="G10053" s="68"/>
      <c r="K10053" s="68"/>
    </row>
    <row r="10054" spans="2:11" ht="12.75">
      <c r="B10054" s="4"/>
      <c r="D10054" s="67"/>
      <c r="G10054" s="68"/>
      <c r="K10054" s="68"/>
    </row>
    <row r="10055" spans="2:11" ht="12.75">
      <c r="B10055" s="4"/>
      <c r="D10055" s="67"/>
      <c r="G10055" s="68"/>
      <c r="K10055" s="68"/>
    </row>
    <row r="10056" spans="2:11" ht="12.75">
      <c r="B10056" s="4"/>
      <c r="D10056" s="67"/>
      <c r="G10056" s="68"/>
      <c r="K10056" s="68"/>
    </row>
    <row r="10057" spans="2:11" ht="12.75">
      <c r="B10057" s="4"/>
      <c r="D10057" s="67"/>
      <c r="G10057" s="68"/>
      <c r="K10057" s="68"/>
    </row>
    <row r="10058" spans="2:11" ht="12.75">
      <c r="B10058" s="4"/>
      <c r="D10058" s="67"/>
      <c r="G10058" s="68"/>
      <c r="K10058" s="68"/>
    </row>
    <row r="10059" spans="2:11" ht="12.75">
      <c r="B10059" s="4"/>
      <c r="D10059" s="67"/>
      <c r="G10059" s="68"/>
      <c r="K10059" s="68"/>
    </row>
    <row r="10060" spans="2:11" ht="12.75">
      <c r="B10060" s="4"/>
      <c r="D10060" s="67"/>
      <c r="G10060" s="68"/>
      <c r="K10060" s="68"/>
    </row>
    <row r="10061" spans="2:11" ht="12.75">
      <c r="B10061" s="4"/>
      <c r="D10061" s="67"/>
      <c r="G10061" s="68"/>
      <c r="K10061" s="68"/>
    </row>
    <row r="10062" spans="2:11" ht="12.75">
      <c r="B10062" s="4"/>
      <c r="D10062" s="67"/>
      <c r="G10062" s="68"/>
      <c r="K10062" s="68"/>
    </row>
    <row r="10063" spans="2:11" ht="12.75">
      <c r="B10063" s="4"/>
      <c r="D10063" s="67"/>
      <c r="G10063" s="68"/>
      <c r="K10063" s="68"/>
    </row>
    <row r="10064" spans="2:11" ht="12.75">
      <c r="B10064" s="4"/>
      <c r="D10064" s="67"/>
      <c r="G10064" s="68"/>
      <c r="K10064" s="68"/>
    </row>
    <row r="10065" spans="2:11" ht="12.75">
      <c r="B10065" s="4"/>
      <c r="D10065" s="67"/>
      <c r="G10065" s="68"/>
      <c r="K10065" s="68"/>
    </row>
    <row r="10066" spans="2:11" ht="12.75">
      <c r="B10066" s="4"/>
      <c r="D10066" s="67"/>
      <c r="G10066" s="68"/>
      <c r="K10066" s="68"/>
    </row>
    <row r="10067" spans="2:11" ht="12.75">
      <c r="B10067" s="4"/>
      <c r="D10067" s="67"/>
      <c r="G10067" s="68"/>
      <c r="K10067" s="68"/>
    </row>
    <row r="10068" spans="2:11" ht="12.75">
      <c r="B10068" s="4"/>
      <c r="D10068" s="67"/>
      <c r="G10068" s="68"/>
      <c r="K10068" s="68"/>
    </row>
    <row r="10069" spans="2:11" ht="12.75">
      <c r="B10069" s="4"/>
      <c r="D10069" s="67"/>
      <c r="G10069" s="68"/>
      <c r="K10069" s="68"/>
    </row>
    <row r="10070" spans="2:11" ht="12.75">
      <c r="B10070" s="4"/>
      <c r="D10070" s="67"/>
      <c r="G10070" s="68"/>
      <c r="K10070" s="68"/>
    </row>
    <row r="10071" spans="2:11" ht="12.75">
      <c r="B10071" s="4"/>
      <c r="D10071" s="67"/>
      <c r="G10071" s="68"/>
      <c r="K10071" s="68"/>
    </row>
    <row r="10072" spans="2:11" ht="12.75">
      <c r="B10072" s="4"/>
      <c r="D10072" s="67"/>
      <c r="G10072" s="68"/>
      <c r="K10072" s="68"/>
    </row>
    <row r="10073" spans="2:11" ht="12.75">
      <c r="B10073" s="4"/>
      <c r="D10073" s="67"/>
      <c r="G10073" s="68"/>
      <c r="K10073" s="68"/>
    </row>
    <row r="10074" spans="2:11" ht="12.75">
      <c r="B10074" s="4"/>
      <c r="D10074" s="67"/>
      <c r="G10074" s="68"/>
      <c r="K10074" s="68"/>
    </row>
    <row r="10075" spans="2:11" ht="12.75">
      <c r="B10075" s="4"/>
      <c r="D10075" s="67"/>
      <c r="G10075" s="68"/>
      <c r="K10075" s="68"/>
    </row>
    <row r="10076" spans="2:11" ht="12.75">
      <c r="B10076" s="4"/>
      <c r="D10076" s="67"/>
      <c r="G10076" s="68"/>
      <c r="K10076" s="68"/>
    </row>
    <row r="10077" spans="2:11" ht="12.75">
      <c r="B10077" s="4"/>
      <c r="D10077" s="67"/>
      <c r="G10077" s="68"/>
      <c r="K10077" s="68"/>
    </row>
    <row r="10078" spans="2:11" ht="12.75">
      <c r="B10078" s="4"/>
      <c r="D10078" s="67"/>
      <c r="G10078" s="68"/>
      <c r="K10078" s="68"/>
    </row>
    <row r="10079" spans="2:11" ht="12.75">
      <c r="B10079" s="4"/>
      <c r="D10079" s="67"/>
      <c r="G10079" s="68"/>
      <c r="K10079" s="68"/>
    </row>
    <row r="10080" spans="2:11" ht="12.75">
      <c r="B10080" s="4"/>
      <c r="D10080" s="67"/>
      <c r="G10080" s="68"/>
      <c r="K10080" s="68"/>
    </row>
    <row r="10081" spans="2:11" ht="12.75">
      <c r="B10081" s="4"/>
      <c r="D10081" s="67"/>
      <c r="G10081" s="68"/>
      <c r="K10081" s="68"/>
    </row>
    <row r="10082" spans="2:11" ht="12.75">
      <c r="B10082" s="4"/>
      <c r="D10082" s="67"/>
      <c r="G10082" s="68"/>
      <c r="K10082" s="68"/>
    </row>
    <row r="10083" spans="2:11" ht="12.75">
      <c r="B10083" s="4"/>
      <c r="D10083" s="67"/>
      <c r="G10083" s="68"/>
      <c r="K10083" s="68"/>
    </row>
    <row r="10084" spans="2:11" ht="12.75">
      <c r="B10084" s="4"/>
      <c r="D10084" s="67"/>
      <c r="G10084" s="68"/>
      <c r="K10084" s="68"/>
    </row>
    <row r="10085" spans="2:11" ht="12.75">
      <c r="B10085" s="4"/>
      <c r="D10085" s="67"/>
      <c r="G10085" s="68"/>
      <c r="K10085" s="68"/>
    </row>
    <row r="10086" spans="2:11" ht="12.75">
      <c r="B10086" s="4"/>
      <c r="D10086" s="67"/>
      <c r="G10086" s="68"/>
      <c r="K10086" s="68"/>
    </row>
    <row r="10087" spans="2:11" ht="12.75">
      <c r="B10087" s="4"/>
      <c r="D10087" s="67"/>
      <c r="G10087" s="68"/>
      <c r="K10087" s="68"/>
    </row>
    <row r="10088" spans="2:11" ht="12.75">
      <c r="B10088" s="4"/>
      <c r="D10088" s="67"/>
      <c r="G10088" s="68"/>
      <c r="K10088" s="68"/>
    </row>
    <row r="10089" spans="2:11" ht="12.75">
      <c r="B10089" s="4"/>
      <c r="D10089" s="67"/>
      <c r="G10089" s="68"/>
      <c r="K10089" s="68"/>
    </row>
    <row r="10090" spans="2:11" ht="12.75">
      <c r="B10090" s="4"/>
      <c r="D10090" s="67"/>
      <c r="G10090" s="68"/>
      <c r="K10090" s="68"/>
    </row>
    <row r="10091" spans="2:11" ht="12.75">
      <c r="B10091" s="4"/>
      <c r="D10091" s="67"/>
      <c r="G10091" s="68"/>
      <c r="K10091" s="68"/>
    </row>
    <row r="10092" spans="2:11" ht="12.75">
      <c r="B10092" s="4"/>
      <c r="D10092" s="67"/>
      <c r="G10092" s="68"/>
      <c r="K10092" s="68"/>
    </row>
    <row r="10093" spans="2:11" ht="12.75">
      <c r="B10093" s="4"/>
      <c r="D10093" s="67"/>
      <c r="G10093" s="68"/>
      <c r="K10093" s="68"/>
    </row>
    <row r="10094" spans="2:11" ht="12.75">
      <c r="B10094" s="4"/>
      <c r="D10094" s="67"/>
      <c r="G10094" s="68"/>
      <c r="K10094" s="68"/>
    </row>
    <row r="10095" spans="2:11" ht="12.75">
      <c r="B10095" s="4"/>
      <c r="D10095" s="67"/>
      <c r="G10095" s="68"/>
      <c r="K10095" s="68"/>
    </row>
    <row r="10096" spans="2:11" ht="12.75">
      <c r="B10096" s="4"/>
      <c r="D10096" s="67"/>
      <c r="G10096" s="68"/>
      <c r="K10096" s="68"/>
    </row>
    <row r="10097" spans="2:11" ht="12.75">
      <c r="B10097" s="4"/>
      <c r="D10097" s="67"/>
      <c r="G10097" s="68"/>
      <c r="K10097" s="68"/>
    </row>
    <row r="10098" spans="2:11" ht="12.75">
      <c r="B10098" s="4"/>
      <c r="D10098" s="67"/>
      <c r="G10098" s="68"/>
      <c r="K10098" s="68"/>
    </row>
    <row r="10099" spans="2:11" ht="12.75">
      <c r="B10099" s="4"/>
      <c r="D10099" s="67"/>
      <c r="G10099" s="68"/>
      <c r="K10099" s="68"/>
    </row>
    <row r="10100" spans="2:11" ht="12.75">
      <c r="B10100" s="4"/>
      <c r="D10100" s="67"/>
      <c r="G10100" s="68"/>
      <c r="K10100" s="68"/>
    </row>
    <row r="10101" spans="2:11" ht="12.75">
      <c r="B10101" s="4"/>
      <c r="D10101" s="67"/>
      <c r="G10101" s="68"/>
      <c r="K10101" s="68"/>
    </row>
    <row r="10102" spans="2:11" ht="12.75">
      <c r="B10102" s="4"/>
      <c r="D10102" s="67"/>
      <c r="G10102" s="68"/>
      <c r="K10102" s="68"/>
    </row>
    <row r="10103" spans="2:11" ht="12.75">
      <c r="B10103" s="4"/>
      <c r="D10103" s="67"/>
      <c r="G10103" s="68"/>
      <c r="K10103" s="68"/>
    </row>
    <row r="10104" spans="2:11" ht="12.75">
      <c r="B10104" s="4"/>
      <c r="D10104" s="67"/>
      <c r="G10104" s="68"/>
      <c r="K10104" s="68"/>
    </row>
    <row r="10105" spans="2:11" ht="12.75">
      <c r="B10105" s="4"/>
      <c r="D10105" s="67"/>
      <c r="G10105" s="68"/>
      <c r="K10105" s="68"/>
    </row>
    <row r="10106" spans="2:11" ht="12.75">
      <c r="B10106" s="4"/>
      <c r="D10106" s="67"/>
      <c r="G10106" s="68"/>
      <c r="K10106" s="68"/>
    </row>
    <row r="10107" spans="2:11" ht="12.75">
      <c r="B10107" s="4"/>
      <c r="D10107" s="67"/>
      <c r="G10107" s="68"/>
      <c r="K10107" s="68"/>
    </row>
    <row r="10108" spans="2:11" ht="12.75">
      <c r="B10108" s="4"/>
      <c r="D10108" s="67"/>
      <c r="G10108" s="68"/>
      <c r="K10108" s="68"/>
    </row>
    <row r="10109" spans="2:11" ht="12.75">
      <c r="B10109" s="4"/>
      <c r="D10109" s="67"/>
      <c r="G10109" s="68"/>
      <c r="K10109" s="68"/>
    </row>
    <row r="10110" spans="2:11" ht="12.75">
      <c r="B10110" s="4"/>
      <c r="D10110" s="67"/>
      <c r="G10110" s="68"/>
      <c r="K10110" s="68"/>
    </row>
    <row r="10111" spans="2:11" ht="12.75">
      <c r="B10111" s="4"/>
      <c r="D10111" s="67"/>
      <c r="G10111" s="68"/>
      <c r="K10111" s="68"/>
    </row>
    <row r="10112" spans="2:11" ht="12.75">
      <c r="B10112" s="4"/>
      <c r="D10112" s="67"/>
      <c r="G10112" s="68"/>
      <c r="K10112" s="68"/>
    </row>
    <row r="10113" spans="2:11" ht="12.75">
      <c r="B10113" s="4"/>
      <c r="D10113" s="67"/>
      <c r="G10113" s="68"/>
      <c r="K10113" s="68"/>
    </row>
    <row r="10114" spans="2:11" ht="12.75">
      <c r="B10114" s="4"/>
      <c r="D10114" s="67"/>
      <c r="G10114" s="68"/>
      <c r="K10114" s="68"/>
    </row>
    <row r="10115" spans="2:11" ht="12.75">
      <c r="B10115" s="4"/>
      <c r="D10115" s="67"/>
      <c r="G10115" s="68"/>
      <c r="K10115" s="68"/>
    </row>
    <row r="10116" spans="2:11" ht="12.75">
      <c r="B10116" s="4"/>
      <c r="D10116" s="67"/>
      <c r="G10116" s="68"/>
      <c r="K10116" s="68"/>
    </row>
    <row r="10117" spans="2:11" ht="12.75">
      <c r="B10117" s="4"/>
      <c r="D10117" s="67"/>
      <c r="G10117" s="68"/>
      <c r="K10117" s="68"/>
    </row>
    <row r="10118" spans="2:11" ht="12.75">
      <c r="B10118" s="4"/>
      <c r="D10118" s="67"/>
      <c r="G10118" s="68"/>
      <c r="K10118" s="68"/>
    </row>
    <row r="10119" spans="2:11" ht="12.75">
      <c r="B10119" s="4"/>
      <c r="D10119" s="67"/>
      <c r="G10119" s="68"/>
      <c r="K10119" s="68"/>
    </row>
    <row r="10120" spans="2:11" ht="12.75">
      <c r="B10120" s="4"/>
      <c r="D10120" s="67"/>
      <c r="G10120" s="68"/>
      <c r="K10120" s="68"/>
    </row>
    <row r="10121" spans="2:11" ht="12.75">
      <c r="B10121" s="4"/>
      <c r="D10121" s="67"/>
      <c r="G10121" s="68"/>
      <c r="K10121" s="68"/>
    </row>
    <row r="10122" spans="2:11" ht="12.75">
      <c r="B10122" s="4"/>
      <c r="D10122" s="67"/>
      <c r="G10122" s="68"/>
      <c r="K10122" s="68"/>
    </row>
    <row r="10123" spans="2:11" ht="12.75">
      <c r="B10123" s="4"/>
      <c r="D10123" s="67"/>
      <c r="G10123" s="68"/>
      <c r="K10123" s="68"/>
    </row>
    <row r="10124" spans="2:11" ht="12.75">
      <c r="B10124" s="4"/>
      <c r="D10124" s="67"/>
      <c r="G10124" s="68"/>
      <c r="K10124" s="68"/>
    </row>
    <row r="10125" spans="2:11" ht="12.75">
      <c r="B10125" s="4"/>
      <c r="D10125" s="67"/>
      <c r="G10125" s="68"/>
      <c r="K10125" s="68"/>
    </row>
    <row r="10126" spans="2:11" ht="12.75">
      <c r="B10126" s="4"/>
      <c r="D10126" s="67"/>
      <c r="G10126" s="68"/>
      <c r="K10126" s="68"/>
    </row>
    <row r="10127" spans="2:11" ht="12.75">
      <c r="B10127" s="4"/>
      <c r="D10127" s="67"/>
      <c r="G10127" s="68"/>
      <c r="K10127" s="68"/>
    </row>
    <row r="10128" spans="2:11" ht="12.75">
      <c r="B10128" s="4"/>
      <c r="D10128" s="67"/>
      <c r="G10128" s="68"/>
      <c r="K10128" s="68"/>
    </row>
    <row r="10129" spans="2:11" ht="12.75">
      <c r="B10129" s="4"/>
      <c r="D10129" s="67"/>
      <c r="G10129" s="68"/>
      <c r="K10129" s="68"/>
    </row>
    <row r="10130" spans="2:11" ht="12.75">
      <c r="B10130" s="4"/>
      <c r="D10130" s="67"/>
      <c r="G10130" s="68"/>
      <c r="K10130" s="68"/>
    </row>
    <row r="10131" spans="2:11" ht="12.75">
      <c r="B10131" s="4"/>
      <c r="D10131" s="67"/>
      <c r="G10131" s="68"/>
      <c r="K10131" s="68"/>
    </row>
    <row r="10132" spans="2:11" ht="12.75">
      <c r="B10132" s="4"/>
      <c r="D10132" s="67"/>
      <c r="G10132" s="68"/>
      <c r="K10132" s="68"/>
    </row>
    <row r="10133" spans="2:11" ht="12.75">
      <c r="B10133" s="4"/>
      <c r="D10133" s="67"/>
      <c r="G10133" s="68"/>
      <c r="K10133" s="68"/>
    </row>
    <row r="10134" spans="2:11" ht="12.75">
      <c r="B10134" s="4"/>
      <c r="D10134" s="67"/>
      <c r="G10134" s="68"/>
      <c r="K10134" s="68"/>
    </row>
    <row r="10135" spans="2:11" ht="12.75">
      <c r="B10135" s="4"/>
      <c r="D10135" s="67"/>
      <c r="G10135" s="68"/>
      <c r="K10135" s="68"/>
    </row>
    <row r="10136" spans="2:11" ht="12.75">
      <c r="B10136" s="4"/>
      <c r="D10136" s="67"/>
      <c r="G10136" s="68"/>
      <c r="K10136" s="68"/>
    </row>
    <row r="10137" spans="2:11" ht="12.75">
      <c r="B10137" s="4"/>
      <c r="D10137" s="67"/>
      <c r="G10137" s="68"/>
      <c r="K10137" s="68"/>
    </row>
    <row r="10138" spans="2:11" ht="12.75">
      <c r="B10138" s="4"/>
      <c r="D10138" s="67"/>
      <c r="G10138" s="68"/>
      <c r="K10138" s="68"/>
    </row>
    <row r="10139" spans="2:11" ht="12.75">
      <c r="B10139" s="4"/>
      <c r="D10139" s="67"/>
      <c r="G10139" s="68"/>
      <c r="K10139" s="68"/>
    </row>
    <row r="10140" spans="2:11" ht="12.75">
      <c r="B10140" s="4"/>
      <c r="D10140" s="67"/>
      <c r="G10140" s="68"/>
      <c r="K10140" s="68"/>
    </row>
    <row r="10141" spans="2:11" ht="12.75">
      <c r="B10141" s="4"/>
      <c r="D10141" s="67"/>
      <c r="G10141" s="68"/>
      <c r="K10141" s="68"/>
    </row>
    <row r="10142" spans="2:11" ht="12.75">
      <c r="B10142" s="4"/>
      <c r="D10142" s="67"/>
      <c r="G10142" s="68"/>
      <c r="K10142" s="68"/>
    </row>
    <row r="10143" spans="2:11" ht="12.75">
      <c r="B10143" s="4"/>
      <c r="D10143" s="67"/>
      <c r="G10143" s="68"/>
      <c r="K10143" s="68"/>
    </row>
    <row r="10144" spans="2:11" ht="12.75">
      <c r="B10144" s="4"/>
      <c r="D10144" s="67"/>
      <c r="G10144" s="68"/>
      <c r="K10144" s="68"/>
    </row>
    <row r="10145" spans="2:11" ht="12.75">
      <c r="B10145" s="4"/>
      <c r="D10145" s="67"/>
      <c r="G10145" s="68"/>
      <c r="K10145" s="68"/>
    </row>
    <row r="10146" spans="2:11" ht="12.75">
      <c r="B10146" s="4"/>
      <c r="D10146" s="67"/>
      <c r="G10146" s="68"/>
      <c r="K10146" s="68"/>
    </row>
    <row r="10147" spans="2:11" ht="12.75">
      <c r="B10147" s="4"/>
      <c r="D10147" s="67"/>
      <c r="G10147" s="68"/>
      <c r="K10147" s="68"/>
    </row>
    <row r="10148" spans="2:11" ht="12.75">
      <c r="B10148" s="4"/>
      <c r="D10148" s="67"/>
      <c r="G10148" s="68"/>
      <c r="K10148" s="68"/>
    </row>
    <row r="10149" spans="2:11" ht="12.75">
      <c r="B10149" s="4"/>
      <c r="D10149" s="67"/>
      <c r="G10149" s="68"/>
      <c r="K10149" s="68"/>
    </row>
    <row r="10150" spans="2:11" ht="12.75">
      <c r="B10150" s="4"/>
      <c r="D10150" s="67"/>
      <c r="G10150" s="68"/>
      <c r="K10150" s="68"/>
    </row>
    <row r="10151" spans="2:11" ht="12.75">
      <c r="B10151" s="4"/>
      <c r="D10151" s="67"/>
      <c r="G10151" s="68"/>
      <c r="K10151" s="68"/>
    </row>
    <row r="10152" spans="2:11" ht="12.75">
      <c r="B10152" s="4"/>
      <c r="D10152" s="67"/>
      <c r="G10152" s="68"/>
      <c r="K10152" s="68"/>
    </row>
    <row r="10153" spans="2:11" ht="12.75">
      <c r="B10153" s="4"/>
      <c r="D10153" s="67"/>
      <c r="G10153" s="68"/>
      <c r="K10153" s="68"/>
    </row>
    <row r="10154" spans="2:11" ht="12.75">
      <c r="B10154" s="4"/>
      <c r="D10154" s="67"/>
      <c r="G10154" s="68"/>
      <c r="K10154" s="68"/>
    </row>
    <row r="10155" spans="2:11" ht="12.75">
      <c r="B10155" s="4"/>
      <c r="D10155" s="67"/>
      <c r="G10155" s="68"/>
      <c r="K10155" s="68"/>
    </row>
    <row r="10156" spans="2:11" ht="12.75">
      <c r="B10156" s="4"/>
      <c r="D10156" s="67"/>
      <c r="G10156" s="68"/>
      <c r="K10156" s="68"/>
    </row>
    <row r="10157" spans="2:11" ht="12.75">
      <c r="B10157" s="4"/>
      <c r="D10157" s="67"/>
      <c r="G10157" s="68"/>
      <c r="K10157" s="68"/>
    </row>
    <row r="10158" spans="2:11" ht="12.75">
      <c r="B10158" s="4"/>
      <c r="D10158" s="67"/>
      <c r="G10158" s="68"/>
      <c r="K10158" s="68"/>
    </row>
    <row r="10159" spans="2:11" ht="12.75">
      <c r="B10159" s="4"/>
      <c r="D10159" s="67"/>
      <c r="G10159" s="68"/>
      <c r="K10159" s="68"/>
    </row>
    <row r="10160" spans="2:11" ht="12.75">
      <c r="B10160" s="4"/>
      <c r="D10160" s="67"/>
      <c r="G10160" s="68"/>
      <c r="K10160" s="68"/>
    </row>
    <row r="10161" spans="2:11" ht="12.75">
      <c r="B10161" s="4"/>
      <c r="D10161" s="67"/>
      <c r="G10161" s="68"/>
      <c r="K10161" s="68"/>
    </row>
    <row r="10162" spans="2:11" ht="12.75">
      <c r="B10162" s="4"/>
      <c r="D10162" s="67"/>
      <c r="G10162" s="68"/>
      <c r="K10162" s="68"/>
    </row>
    <row r="10163" spans="2:11" ht="12.75">
      <c r="B10163" s="4"/>
      <c r="D10163" s="67"/>
      <c r="G10163" s="68"/>
      <c r="K10163" s="68"/>
    </row>
    <row r="10164" spans="2:11" ht="12.75">
      <c r="B10164" s="4"/>
      <c r="D10164" s="67"/>
      <c r="G10164" s="68"/>
      <c r="K10164" s="68"/>
    </row>
    <row r="10165" spans="2:11" ht="12.75">
      <c r="B10165" s="4"/>
      <c r="D10165" s="67"/>
      <c r="G10165" s="68"/>
      <c r="K10165" s="68"/>
    </row>
    <row r="10166" spans="2:11" ht="12.75">
      <c r="B10166" s="4"/>
      <c r="D10166" s="67"/>
      <c r="G10166" s="68"/>
      <c r="K10166" s="68"/>
    </row>
    <row r="10167" spans="2:11" ht="12.75">
      <c r="B10167" s="4"/>
      <c r="D10167" s="67"/>
      <c r="G10167" s="68"/>
      <c r="K10167" s="68"/>
    </row>
    <row r="10168" spans="2:11" ht="12.75">
      <c r="B10168" s="4"/>
      <c r="D10168" s="67"/>
      <c r="G10168" s="68"/>
      <c r="K10168" s="68"/>
    </row>
    <row r="10169" spans="2:11" ht="12.75">
      <c r="B10169" s="4"/>
      <c r="D10169" s="67"/>
      <c r="G10169" s="68"/>
      <c r="K10169" s="68"/>
    </row>
    <row r="10170" spans="2:11" ht="12.75">
      <c r="B10170" s="4"/>
      <c r="D10170" s="67"/>
      <c r="G10170" s="68"/>
      <c r="K10170" s="68"/>
    </row>
    <row r="10171" spans="2:11" ht="12.75">
      <c r="B10171" s="4"/>
      <c r="D10171" s="67"/>
      <c r="G10171" s="68"/>
      <c r="K10171" s="68"/>
    </row>
    <row r="10172" spans="2:11" ht="12.75">
      <c r="B10172" s="4"/>
      <c r="D10172" s="67"/>
      <c r="G10172" s="68"/>
      <c r="K10172" s="68"/>
    </row>
    <row r="10173" spans="2:11" ht="12.75">
      <c r="B10173" s="4"/>
      <c r="D10173" s="67"/>
      <c r="G10173" s="68"/>
      <c r="K10173" s="68"/>
    </row>
    <row r="10174" spans="2:11" ht="12.75">
      <c r="B10174" s="4"/>
      <c r="D10174" s="67"/>
      <c r="G10174" s="68"/>
      <c r="K10174" s="68"/>
    </row>
    <row r="10175" spans="2:11" ht="12.75">
      <c r="B10175" s="4"/>
      <c r="D10175" s="67"/>
      <c r="G10175" s="68"/>
      <c r="K10175" s="68"/>
    </row>
    <row r="10176" spans="2:11" ht="12.75">
      <c r="B10176" s="4"/>
      <c r="D10176" s="67"/>
      <c r="G10176" s="68"/>
      <c r="K10176" s="68"/>
    </row>
    <row r="10177" spans="2:11" ht="12.75">
      <c r="B10177" s="4"/>
      <c r="D10177" s="67"/>
      <c r="G10177" s="68"/>
      <c r="K10177" s="68"/>
    </row>
    <row r="10178" spans="2:11" ht="12.75">
      <c r="B10178" s="4"/>
      <c r="D10178" s="67"/>
      <c r="G10178" s="68"/>
      <c r="K10178" s="68"/>
    </row>
    <row r="10179" spans="2:11" ht="12.75">
      <c r="B10179" s="4"/>
      <c r="D10179" s="67"/>
      <c r="G10179" s="68"/>
      <c r="K10179" s="68"/>
    </row>
    <row r="10180" spans="2:11" ht="12.75">
      <c r="B10180" s="4"/>
      <c r="D10180" s="67"/>
      <c r="G10180" s="68"/>
      <c r="K10180" s="68"/>
    </row>
    <row r="10181" spans="2:11" ht="12.75">
      <c r="B10181" s="4"/>
      <c r="D10181" s="67"/>
      <c r="G10181" s="68"/>
      <c r="K10181" s="68"/>
    </row>
    <row r="10182" spans="2:11" ht="12.75">
      <c r="B10182" s="4"/>
      <c r="D10182" s="67"/>
      <c r="G10182" s="68"/>
      <c r="K10182" s="68"/>
    </row>
    <row r="10183" spans="2:11" ht="12.75">
      <c r="B10183" s="4"/>
      <c r="D10183" s="67"/>
      <c r="G10183" s="68"/>
      <c r="K10183" s="68"/>
    </row>
    <row r="10184" spans="2:11" ht="12.75">
      <c r="B10184" s="4"/>
      <c r="D10184" s="67"/>
      <c r="G10184" s="68"/>
      <c r="K10184" s="68"/>
    </row>
    <row r="10185" spans="2:11" ht="12.75">
      <c r="B10185" s="4"/>
      <c r="D10185" s="67"/>
      <c r="G10185" s="68"/>
      <c r="K10185" s="68"/>
    </row>
    <row r="10186" spans="2:11" ht="12.75">
      <c r="B10186" s="4"/>
      <c r="D10186" s="67"/>
      <c r="G10186" s="68"/>
      <c r="K10186" s="68"/>
    </row>
    <row r="10187" spans="2:11" ht="12.75">
      <c r="B10187" s="4"/>
      <c r="D10187" s="67"/>
      <c r="G10187" s="68"/>
      <c r="K10187" s="68"/>
    </row>
    <row r="10188" spans="2:11" ht="12.75">
      <c r="B10188" s="4"/>
      <c r="D10188" s="67"/>
      <c r="G10188" s="68"/>
      <c r="K10188" s="68"/>
    </row>
    <row r="10189" spans="2:11" ht="12.75">
      <c r="B10189" s="4"/>
      <c r="D10189" s="67"/>
      <c r="G10189" s="68"/>
      <c r="K10189" s="68"/>
    </row>
    <row r="10190" spans="2:11" ht="12.75">
      <c r="B10190" s="4"/>
      <c r="D10190" s="67"/>
      <c r="G10190" s="68"/>
      <c r="K10190" s="68"/>
    </row>
    <row r="10191" spans="2:11" ht="12.75">
      <c r="B10191" s="4"/>
      <c r="D10191" s="67"/>
      <c r="G10191" s="68"/>
      <c r="K10191" s="68"/>
    </row>
    <row r="10192" spans="2:11" ht="12.75">
      <c r="B10192" s="4"/>
      <c r="D10192" s="67"/>
      <c r="G10192" s="68"/>
      <c r="K10192" s="68"/>
    </row>
    <row r="10193" spans="2:11" ht="12.75">
      <c r="B10193" s="4"/>
      <c r="D10193" s="67"/>
      <c r="G10193" s="68"/>
      <c r="K10193" s="68"/>
    </row>
    <row r="10194" spans="2:11" ht="12.75">
      <c r="B10194" s="4"/>
      <c r="D10194" s="67"/>
      <c r="G10194" s="68"/>
      <c r="K10194" s="68"/>
    </row>
    <row r="10195" spans="2:11" ht="12.75">
      <c r="B10195" s="4"/>
      <c r="D10195" s="67"/>
      <c r="G10195" s="68"/>
      <c r="K10195" s="68"/>
    </row>
    <row r="10196" spans="2:11" ht="12.75">
      <c r="B10196" s="4"/>
      <c r="D10196" s="67"/>
      <c r="G10196" s="68"/>
      <c r="K10196" s="68"/>
    </row>
    <row r="10197" spans="2:11" ht="12.75">
      <c r="B10197" s="4"/>
      <c r="D10197" s="67"/>
      <c r="G10197" s="68"/>
      <c r="K10197" s="68"/>
    </row>
    <row r="10198" spans="2:11" ht="12.75">
      <c r="B10198" s="4"/>
      <c r="D10198" s="67"/>
      <c r="G10198" s="68"/>
      <c r="K10198" s="68"/>
    </row>
    <row r="10199" spans="2:11" ht="12.75">
      <c r="B10199" s="4"/>
      <c r="D10199" s="67"/>
      <c r="G10199" s="68"/>
      <c r="K10199" s="68"/>
    </row>
    <row r="10200" spans="2:11" ht="12.75">
      <c r="B10200" s="4"/>
      <c r="D10200" s="67"/>
      <c r="G10200" s="68"/>
      <c r="K10200" s="68"/>
    </row>
    <row r="10201" spans="2:11" ht="12.75">
      <c r="B10201" s="4"/>
      <c r="D10201" s="67"/>
      <c r="G10201" s="68"/>
      <c r="K10201" s="68"/>
    </row>
    <row r="10202" spans="2:11" ht="12.75">
      <c r="B10202" s="4"/>
      <c r="D10202" s="67"/>
      <c r="G10202" s="68"/>
      <c r="K10202" s="68"/>
    </row>
    <row r="10203" spans="2:11" ht="12.75">
      <c r="B10203" s="4"/>
      <c r="D10203" s="67"/>
      <c r="G10203" s="68"/>
      <c r="K10203" s="68"/>
    </row>
    <row r="10204" spans="2:11" ht="12.75">
      <c r="B10204" s="4"/>
      <c r="D10204" s="67"/>
      <c r="G10204" s="68"/>
      <c r="K10204" s="68"/>
    </row>
    <row r="10205" spans="2:11" ht="12.75">
      <c r="B10205" s="4"/>
      <c r="D10205" s="67"/>
      <c r="G10205" s="68"/>
      <c r="K10205" s="68"/>
    </row>
    <row r="10206" spans="2:11" ht="12.75">
      <c r="B10206" s="4"/>
      <c r="D10206" s="67"/>
      <c r="G10206" s="68"/>
      <c r="K10206" s="68"/>
    </row>
    <row r="10207" spans="2:11" ht="12.75">
      <c r="B10207" s="4"/>
      <c r="D10207" s="67"/>
      <c r="G10207" s="68"/>
      <c r="K10207" s="68"/>
    </row>
    <row r="10208" spans="2:11" ht="12.75">
      <c r="B10208" s="4"/>
      <c r="D10208" s="67"/>
      <c r="G10208" s="68"/>
      <c r="K10208" s="68"/>
    </row>
    <row r="10209" spans="2:11" ht="12.75">
      <c r="B10209" s="4"/>
      <c r="D10209" s="67"/>
      <c r="G10209" s="68"/>
      <c r="K10209" s="68"/>
    </row>
    <row r="10210" spans="2:11" ht="12.75">
      <c r="B10210" s="4"/>
      <c r="D10210" s="67"/>
      <c r="G10210" s="68"/>
      <c r="K10210" s="68"/>
    </row>
    <row r="10211" spans="2:11" ht="12.75">
      <c r="B10211" s="4"/>
      <c r="D10211" s="67"/>
      <c r="G10211" s="68"/>
      <c r="K10211" s="68"/>
    </row>
    <row r="10212" spans="2:11" ht="12.75">
      <c r="B10212" s="4"/>
      <c r="D10212" s="67"/>
      <c r="G10212" s="68"/>
      <c r="K10212" s="68"/>
    </row>
    <row r="10213" spans="2:11" ht="12.75">
      <c r="B10213" s="4"/>
      <c r="D10213" s="67"/>
      <c r="G10213" s="68"/>
      <c r="K10213" s="68"/>
    </row>
    <row r="10214" spans="2:11" ht="12.75">
      <c r="B10214" s="4"/>
      <c r="D10214" s="67"/>
      <c r="G10214" s="68"/>
      <c r="K10214" s="68"/>
    </row>
    <row r="10215" spans="2:11" ht="12.75">
      <c r="B10215" s="4"/>
      <c r="D10215" s="67"/>
      <c r="G10215" s="68"/>
      <c r="K10215" s="68"/>
    </row>
    <row r="10216" spans="2:11" ht="12.75">
      <c r="B10216" s="4"/>
      <c r="D10216" s="67"/>
      <c r="G10216" s="68"/>
      <c r="K10216" s="68"/>
    </row>
    <row r="10217" spans="2:11" ht="12.75">
      <c r="B10217" s="4"/>
      <c r="D10217" s="67"/>
      <c r="G10217" s="68"/>
      <c r="K10217" s="68"/>
    </row>
    <row r="10218" spans="2:11" ht="12.75">
      <c r="B10218" s="4"/>
      <c r="D10218" s="67"/>
      <c r="G10218" s="68"/>
      <c r="K10218" s="68"/>
    </row>
    <row r="10219" spans="2:11" ht="12.75">
      <c r="B10219" s="4"/>
      <c r="D10219" s="67"/>
      <c r="G10219" s="68"/>
      <c r="K10219" s="68"/>
    </row>
    <row r="10220" spans="2:11" ht="12.75">
      <c r="B10220" s="4"/>
      <c r="D10220" s="67"/>
      <c r="G10220" s="68"/>
      <c r="K10220" s="68"/>
    </row>
    <row r="10221" spans="2:11" ht="12.75">
      <c r="B10221" s="4"/>
      <c r="D10221" s="67"/>
      <c r="G10221" s="68"/>
      <c r="K10221" s="68"/>
    </row>
    <row r="10222" spans="2:11" ht="12.75">
      <c r="B10222" s="4"/>
      <c r="D10222" s="67"/>
      <c r="G10222" s="68"/>
      <c r="K10222" s="68"/>
    </row>
    <row r="10223" spans="2:11" ht="12.75">
      <c r="B10223" s="4"/>
      <c r="D10223" s="67"/>
      <c r="G10223" s="68"/>
      <c r="K10223" s="68"/>
    </row>
    <row r="10224" spans="2:11" ht="12.75">
      <c r="B10224" s="4"/>
      <c r="D10224" s="67"/>
      <c r="G10224" s="68"/>
      <c r="K10224" s="68"/>
    </row>
    <row r="10225" spans="2:11" ht="12.75">
      <c r="B10225" s="4"/>
      <c r="D10225" s="67"/>
      <c r="G10225" s="68"/>
      <c r="K10225" s="68"/>
    </row>
    <row r="10226" spans="2:11" ht="12.75">
      <c r="B10226" s="4"/>
      <c r="D10226" s="67"/>
      <c r="G10226" s="68"/>
      <c r="K10226" s="68"/>
    </row>
    <row r="10227" spans="2:11" ht="12.75">
      <c r="B10227" s="4"/>
      <c r="D10227" s="67"/>
      <c r="G10227" s="68"/>
      <c r="K10227" s="68"/>
    </row>
    <row r="10228" spans="2:11" ht="12.75">
      <c r="B10228" s="4"/>
      <c r="D10228" s="67"/>
      <c r="G10228" s="68"/>
      <c r="K10228" s="68"/>
    </row>
    <row r="10229" spans="2:11" ht="12.75">
      <c r="B10229" s="4"/>
      <c r="D10229" s="67"/>
      <c r="G10229" s="68"/>
      <c r="K10229" s="68"/>
    </row>
    <row r="10230" spans="2:11" ht="12.75">
      <c r="B10230" s="4"/>
      <c r="D10230" s="67"/>
      <c r="G10230" s="68"/>
      <c r="K10230" s="68"/>
    </row>
    <row r="10231" spans="2:11" ht="12.75">
      <c r="B10231" s="4"/>
      <c r="D10231" s="67"/>
      <c r="G10231" s="68"/>
      <c r="K10231" s="68"/>
    </row>
    <row r="10232" spans="2:11" ht="12.75">
      <c r="B10232" s="4"/>
      <c r="D10232" s="67"/>
      <c r="G10232" s="68"/>
      <c r="K10232" s="68"/>
    </row>
    <row r="10233" spans="2:11" ht="12.75">
      <c r="B10233" s="4"/>
      <c r="D10233" s="67"/>
      <c r="G10233" s="68"/>
      <c r="K10233" s="68"/>
    </row>
    <row r="10234" spans="2:11" ht="12.75">
      <c r="B10234" s="4"/>
      <c r="D10234" s="67"/>
      <c r="G10234" s="68"/>
      <c r="K10234" s="68"/>
    </row>
    <row r="10235" spans="2:11" ht="12.75">
      <c r="B10235" s="4"/>
      <c r="D10235" s="67"/>
      <c r="G10235" s="68"/>
      <c r="K10235" s="68"/>
    </row>
    <row r="10236" spans="2:11" ht="12.75">
      <c r="B10236" s="4"/>
      <c r="D10236" s="67"/>
      <c r="G10236" s="68"/>
      <c r="K10236" s="68"/>
    </row>
    <row r="10237" spans="2:11" ht="12.75">
      <c r="B10237" s="4"/>
      <c r="D10237" s="67"/>
      <c r="G10237" s="68"/>
      <c r="K10237" s="68"/>
    </row>
    <row r="10238" spans="2:11" ht="12.75">
      <c r="B10238" s="4"/>
      <c r="D10238" s="67"/>
      <c r="G10238" s="68"/>
      <c r="K10238" s="68"/>
    </row>
    <row r="10239" spans="2:11" ht="12.75">
      <c r="B10239" s="4"/>
      <c r="D10239" s="67"/>
      <c r="G10239" s="68"/>
      <c r="K10239" s="68"/>
    </row>
    <row r="10240" spans="2:11" ht="12.75">
      <c r="B10240" s="4"/>
      <c r="D10240" s="67"/>
      <c r="G10240" s="68"/>
      <c r="K10240" s="68"/>
    </row>
    <row r="10241" spans="2:11" ht="12.75">
      <c r="B10241" s="4"/>
      <c r="D10241" s="67"/>
      <c r="G10241" s="68"/>
      <c r="K10241" s="68"/>
    </row>
    <row r="10242" spans="2:11" ht="12.75">
      <c r="B10242" s="4"/>
      <c r="D10242" s="67"/>
      <c r="G10242" s="68"/>
      <c r="K10242" s="68"/>
    </row>
    <row r="10243" spans="2:11" ht="12.75">
      <c r="B10243" s="4"/>
      <c r="D10243" s="67"/>
      <c r="G10243" s="68"/>
      <c r="K10243" s="68"/>
    </row>
    <row r="10244" spans="2:11" ht="12.75">
      <c r="B10244" s="4"/>
      <c r="D10244" s="67"/>
      <c r="G10244" s="68"/>
      <c r="K10244" s="68"/>
    </row>
    <row r="10245" spans="2:11" ht="12.75">
      <c r="B10245" s="4"/>
      <c r="D10245" s="67"/>
      <c r="G10245" s="68"/>
      <c r="K10245" s="68"/>
    </row>
    <row r="10246" spans="2:11" ht="12.75">
      <c r="B10246" s="4"/>
      <c r="D10246" s="67"/>
      <c r="G10246" s="68"/>
      <c r="K10246" s="68"/>
    </row>
    <row r="10247" spans="2:11" ht="12.75">
      <c r="B10247" s="4"/>
      <c r="D10247" s="67"/>
      <c r="G10247" s="68"/>
      <c r="K10247" s="68"/>
    </row>
    <row r="10248" spans="2:11" ht="12.75">
      <c r="B10248" s="4"/>
      <c r="D10248" s="67"/>
      <c r="G10248" s="68"/>
      <c r="K10248" s="68"/>
    </row>
    <row r="10249" spans="2:11" ht="12.75">
      <c r="B10249" s="4"/>
      <c r="D10249" s="67"/>
      <c r="G10249" s="68"/>
      <c r="K10249" s="68"/>
    </row>
    <row r="10250" spans="2:11" ht="12.75">
      <c r="B10250" s="4"/>
      <c r="D10250" s="67"/>
      <c r="G10250" s="68"/>
      <c r="K10250" s="68"/>
    </row>
    <row r="10251" spans="2:11" ht="12.75">
      <c r="B10251" s="4"/>
      <c r="D10251" s="67"/>
      <c r="G10251" s="68"/>
      <c r="K10251" s="68"/>
    </row>
    <row r="10252" spans="2:11" ht="12.75">
      <c r="B10252" s="4"/>
      <c r="D10252" s="67"/>
      <c r="G10252" s="68"/>
      <c r="K10252" s="68"/>
    </row>
    <row r="10253" spans="2:11" ht="12.75">
      <c r="B10253" s="4"/>
      <c r="D10253" s="67"/>
      <c r="G10253" s="68"/>
      <c r="K10253" s="68"/>
    </row>
    <row r="10254" spans="2:11" ht="12.75">
      <c r="B10254" s="4"/>
      <c r="D10254" s="67"/>
      <c r="G10254" s="68"/>
      <c r="K10254" s="68"/>
    </row>
    <row r="10255" spans="2:11" ht="12.75">
      <c r="B10255" s="4"/>
      <c r="D10255" s="67"/>
      <c r="G10255" s="68"/>
      <c r="K10255" s="68"/>
    </row>
    <row r="10256" spans="2:11" ht="12.75">
      <c r="B10256" s="4"/>
      <c r="D10256" s="67"/>
      <c r="G10256" s="68"/>
      <c r="K10256" s="68"/>
    </row>
    <row r="10257" spans="2:11" ht="12.75">
      <c r="B10257" s="4"/>
      <c r="D10257" s="67"/>
      <c r="G10257" s="68"/>
      <c r="K10257" s="68"/>
    </row>
    <row r="10258" spans="2:11" ht="12.75">
      <c r="B10258" s="4"/>
      <c r="D10258" s="67"/>
      <c r="G10258" s="68"/>
      <c r="K10258" s="68"/>
    </row>
    <row r="10259" spans="2:11" ht="12.75">
      <c r="B10259" s="4"/>
      <c r="D10259" s="67"/>
      <c r="G10259" s="68"/>
      <c r="K10259" s="68"/>
    </row>
    <row r="10260" spans="2:11" ht="12.75">
      <c r="B10260" s="4"/>
      <c r="D10260" s="67"/>
      <c r="G10260" s="68"/>
      <c r="K10260" s="68"/>
    </row>
    <row r="10261" spans="2:11" ht="12.75">
      <c r="B10261" s="4"/>
      <c r="D10261" s="67"/>
      <c r="G10261" s="68"/>
      <c r="K10261" s="68"/>
    </row>
    <row r="10262" spans="2:11" ht="12.75">
      <c r="B10262" s="4"/>
      <c r="D10262" s="67"/>
      <c r="G10262" s="68"/>
      <c r="K10262" s="68"/>
    </row>
    <row r="10263" spans="2:11" ht="12.75">
      <c r="B10263" s="4"/>
      <c r="D10263" s="67"/>
      <c r="G10263" s="68"/>
      <c r="K10263" s="68"/>
    </row>
    <row r="10264" spans="2:11" ht="12.75">
      <c r="B10264" s="4"/>
      <c r="D10264" s="67"/>
      <c r="G10264" s="68"/>
      <c r="K10264" s="68"/>
    </row>
    <row r="10265" spans="2:11" ht="12.75">
      <c r="B10265" s="4"/>
      <c r="D10265" s="67"/>
      <c r="G10265" s="68"/>
      <c r="K10265" s="68"/>
    </row>
    <row r="10266" spans="2:11" ht="12.75">
      <c r="B10266" s="4"/>
      <c r="D10266" s="67"/>
      <c r="G10266" s="68"/>
      <c r="K10266" s="68"/>
    </row>
    <row r="10267" spans="2:11" ht="12.75">
      <c r="B10267" s="4"/>
      <c r="D10267" s="67"/>
      <c r="G10267" s="68"/>
      <c r="K10267" s="68"/>
    </row>
    <row r="10268" spans="2:11" ht="12.75">
      <c r="B10268" s="4"/>
      <c r="D10268" s="67"/>
      <c r="G10268" s="68"/>
      <c r="K10268" s="68"/>
    </row>
    <row r="10269" spans="2:11" ht="12.75">
      <c r="B10269" s="4"/>
      <c r="D10269" s="67"/>
      <c r="G10269" s="68"/>
      <c r="K10269" s="68"/>
    </row>
    <row r="10270" spans="2:11" ht="12.75">
      <c r="B10270" s="4"/>
      <c r="D10270" s="67"/>
      <c r="G10270" s="68"/>
      <c r="K10270" s="68"/>
    </row>
    <row r="10271" spans="2:11" ht="12.75">
      <c r="B10271" s="4"/>
      <c r="D10271" s="67"/>
      <c r="G10271" s="68"/>
      <c r="K10271" s="68"/>
    </row>
    <row r="10272" spans="2:11" ht="12.75">
      <c r="B10272" s="4"/>
      <c r="D10272" s="67"/>
      <c r="G10272" s="68"/>
      <c r="K10272" s="68"/>
    </row>
    <row r="10273" spans="2:11" ht="12.75">
      <c r="B10273" s="4"/>
      <c r="D10273" s="67"/>
      <c r="G10273" s="68"/>
      <c r="K10273" s="68"/>
    </row>
    <row r="10274" spans="2:11" ht="12.75">
      <c r="B10274" s="4"/>
      <c r="D10274" s="67"/>
      <c r="G10274" s="68"/>
      <c r="K10274" s="68"/>
    </row>
    <row r="10275" spans="2:11" ht="12.75">
      <c r="B10275" s="4"/>
      <c r="D10275" s="67"/>
      <c r="G10275" s="68"/>
      <c r="K10275" s="68"/>
    </row>
    <row r="10276" spans="2:11" ht="12.75">
      <c r="B10276" s="4"/>
      <c r="D10276" s="67"/>
      <c r="G10276" s="68"/>
      <c r="K10276" s="68"/>
    </row>
    <row r="10277" spans="2:11" ht="12.75">
      <c r="B10277" s="4"/>
      <c r="D10277" s="67"/>
      <c r="G10277" s="68"/>
      <c r="K10277" s="68"/>
    </row>
    <row r="10278" spans="2:11" ht="12.75">
      <c r="B10278" s="4"/>
      <c r="D10278" s="67"/>
      <c r="G10278" s="68"/>
      <c r="K10278" s="68"/>
    </row>
    <row r="10279" spans="2:11" ht="12.75">
      <c r="B10279" s="4"/>
      <c r="D10279" s="67"/>
      <c r="G10279" s="68"/>
      <c r="K10279" s="68"/>
    </row>
    <row r="10280" spans="2:11" ht="12.75">
      <c r="B10280" s="4"/>
      <c r="D10280" s="67"/>
      <c r="G10280" s="68"/>
      <c r="K10280" s="68"/>
    </row>
    <row r="10281" spans="2:11" ht="12.75">
      <c r="B10281" s="4"/>
      <c r="D10281" s="67"/>
      <c r="G10281" s="68"/>
      <c r="K10281" s="68"/>
    </row>
    <row r="10282" spans="2:11" ht="12.75">
      <c r="B10282" s="4"/>
      <c r="D10282" s="67"/>
      <c r="G10282" s="68"/>
      <c r="K10282" s="68"/>
    </row>
    <row r="10283" spans="2:11" ht="12.75">
      <c r="B10283" s="4"/>
      <c r="D10283" s="67"/>
      <c r="G10283" s="68"/>
      <c r="K10283" s="68"/>
    </row>
    <row r="10284" spans="2:11" ht="12.75">
      <c r="B10284" s="4"/>
      <c r="D10284" s="67"/>
      <c r="G10284" s="68"/>
      <c r="K10284" s="68"/>
    </row>
    <row r="10285" spans="2:11" ht="12.75">
      <c r="B10285" s="4"/>
      <c r="D10285" s="67"/>
      <c r="G10285" s="68"/>
      <c r="K10285" s="68"/>
    </row>
    <row r="10286" spans="2:11" ht="12.75">
      <c r="B10286" s="4"/>
      <c r="D10286" s="67"/>
      <c r="G10286" s="68"/>
      <c r="K10286" s="68"/>
    </row>
    <row r="10287" spans="2:11" ht="12.75">
      <c r="B10287" s="4"/>
      <c r="D10287" s="67"/>
      <c r="G10287" s="68"/>
      <c r="K10287" s="68"/>
    </row>
    <row r="10288" spans="2:11" ht="12.75">
      <c r="B10288" s="4"/>
      <c r="D10288" s="67"/>
      <c r="G10288" s="68"/>
      <c r="K10288" s="68"/>
    </row>
    <row r="10289" spans="2:11" ht="12.75">
      <c r="B10289" s="4"/>
      <c r="D10289" s="67"/>
      <c r="G10289" s="68"/>
      <c r="K10289" s="68"/>
    </row>
    <row r="10290" spans="2:11" ht="12.75">
      <c r="B10290" s="4"/>
      <c r="D10290" s="67"/>
      <c r="G10290" s="68"/>
      <c r="K10290" s="68"/>
    </row>
    <row r="10291" spans="2:11" ht="12.75">
      <c r="B10291" s="4"/>
      <c r="D10291" s="67"/>
      <c r="G10291" s="68"/>
      <c r="K10291" s="68"/>
    </row>
    <row r="10292" spans="2:11" ht="12.75">
      <c r="B10292" s="4"/>
      <c r="D10292" s="67"/>
      <c r="G10292" s="68"/>
      <c r="K10292" s="68"/>
    </row>
    <row r="10293" spans="2:11" ht="12.75">
      <c r="B10293" s="4"/>
      <c r="D10293" s="67"/>
      <c r="G10293" s="68"/>
      <c r="K10293" s="68"/>
    </row>
    <row r="10294" spans="2:11" ht="12.75">
      <c r="B10294" s="4"/>
      <c r="D10294" s="67"/>
      <c r="G10294" s="68"/>
      <c r="K10294" s="68"/>
    </row>
    <row r="10295" spans="2:11" ht="12.75">
      <c r="B10295" s="4"/>
      <c r="D10295" s="67"/>
      <c r="G10295" s="68"/>
      <c r="K10295" s="68"/>
    </row>
    <row r="10296" spans="2:11" ht="12.75">
      <c r="B10296" s="4"/>
      <c r="D10296" s="67"/>
      <c r="G10296" s="68"/>
      <c r="K10296" s="68"/>
    </row>
    <row r="10297" spans="2:11" ht="12.75">
      <c r="B10297" s="4"/>
      <c r="D10297" s="67"/>
      <c r="G10297" s="68"/>
      <c r="K10297" s="68"/>
    </row>
    <row r="10298" spans="2:11" ht="12.75">
      <c r="B10298" s="4"/>
      <c r="D10298" s="67"/>
      <c r="G10298" s="68"/>
      <c r="K10298" s="68"/>
    </row>
    <row r="10299" spans="2:11" ht="12.75">
      <c r="B10299" s="4"/>
      <c r="D10299" s="67"/>
      <c r="G10299" s="68"/>
      <c r="K10299" s="68"/>
    </row>
    <row r="10300" spans="2:11" ht="12.75">
      <c r="B10300" s="4"/>
      <c r="D10300" s="67"/>
      <c r="G10300" s="68"/>
      <c r="K10300" s="68"/>
    </row>
    <row r="10301" spans="2:11" ht="12.75">
      <c r="B10301" s="4"/>
      <c r="D10301" s="67"/>
      <c r="G10301" s="68"/>
      <c r="K10301" s="68"/>
    </row>
    <row r="10302" spans="2:11" ht="12.75">
      <c r="B10302" s="4"/>
      <c r="D10302" s="67"/>
      <c r="G10302" s="68"/>
      <c r="K10302" s="68"/>
    </row>
    <row r="10303" spans="2:11" ht="12.75">
      <c r="B10303" s="4"/>
      <c r="D10303" s="67"/>
      <c r="G10303" s="68"/>
      <c r="K10303" s="68"/>
    </row>
    <row r="10304" spans="2:11" ht="12.75">
      <c r="B10304" s="4"/>
      <c r="D10304" s="67"/>
      <c r="G10304" s="68"/>
      <c r="K10304" s="68"/>
    </row>
    <row r="10305" spans="2:11" ht="12.75">
      <c r="B10305" s="4"/>
      <c r="D10305" s="67"/>
      <c r="G10305" s="68"/>
      <c r="K10305" s="68"/>
    </row>
    <row r="10306" spans="2:11" ht="12.75">
      <c r="B10306" s="4"/>
      <c r="D10306" s="67"/>
      <c r="G10306" s="68"/>
      <c r="K10306" s="68"/>
    </row>
    <row r="10307" spans="2:11" ht="12.75">
      <c r="B10307" s="4"/>
      <c r="D10307" s="67"/>
      <c r="G10307" s="68"/>
      <c r="K10307" s="68"/>
    </row>
    <row r="10308" spans="2:11" ht="12.75">
      <c r="B10308" s="4"/>
      <c r="D10308" s="67"/>
      <c r="G10308" s="68"/>
      <c r="K10308" s="68"/>
    </row>
    <row r="10309" spans="2:11" ht="12.75">
      <c r="B10309" s="4"/>
      <c r="D10309" s="67"/>
      <c r="G10309" s="68"/>
      <c r="K10309" s="68"/>
    </row>
    <row r="10310" spans="2:11" ht="12.75">
      <c r="B10310" s="4"/>
      <c r="D10310" s="67"/>
      <c r="G10310" s="68"/>
      <c r="K10310" s="68"/>
    </row>
    <row r="10311" spans="2:11" ht="12.75">
      <c r="B10311" s="4"/>
      <c r="D10311" s="67"/>
      <c r="G10311" s="68"/>
      <c r="K10311" s="68"/>
    </row>
    <row r="10312" spans="2:11" ht="12.75">
      <c r="B10312" s="4"/>
      <c r="D10312" s="67"/>
      <c r="G10312" s="68"/>
      <c r="K10312" s="68"/>
    </row>
    <row r="10313" spans="2:11" ht="12.75">
      <c r="B10313" s="4"/>
      <c r="D10313" s="67"/>
      <c r="G10313" s="68"/>
      <c r="K10313" s="68"/>
    </row>
    <row r="10314" spans="2:11" ht="12.75">
      <c r="B10314" s="4"/>
      <c r="D10314" s="67"/>
      <c r="G10314" s="68"/>
      <c r="K10314" s="68"/>
    </row>
    <row r="10315" spans="2:11" ht="12.75">
      <c r="B10315" s="4"/>
      <c r="D10315" s="67"/>
      <c r="G10315" s="68"/>
      <c r="K10315" s="68"/>
    </row>
    <row r="10316" spans="2:11" ht="12.75">
      <c r="B10316" s="4"/>
      <c r="D10316" s="67"/>
      <c r="G10316" s="68"/>
      <c r="K10316" s="68"/>
    </row>
    <row r="10317" spans="2:11" ht="12.75">
      <c r="B10317" s="4"/>
      <c r="D10317" s="67"/>
      <c r="G10317" s="68"/>
      <c r="K10317" s="68"/>
    </row>
    <row r="10318" spans="2:11" ht="12.75">
      <c r="B10318" s="4"/>
      <c r="D10318" s="67"/>
      <c r="G10318" s="68"/>
      <c r="K10318" s="68"/>
    </row>
    <row r="10319" spans="2:11" ht="12.75">
      <c r="B10319" s="4"/>
      <c r="D10319" s="67"/>
      <c r="G10319" s="68"/>
      <c r="K10319" s="68"/>
    </row>
    <row r="10320" spans="2:11" ht="12.75">
      <c r="B10320" s="4"/>
      <c r="D10320" s="67"/>
      <c r="G10320" s="68"/>
      <c r="K10320" s="68"/>
    </row>
    <row r="10321" spans="2:11" ht="12.75">
      <c r="B10321" s="4"/>
      <c r="D10321" s="67"/>
      <c r="G10321" s="68"/>
      <c r="K10321" s="68"/>
    </row>
    <row r="10322" spans="2:11" ht="12.75">
      <c r="B10322" s="4"/>
      <c r="D10322" s="67"/>
      <c r="G10322" s="68"/>
      <c r="K10322" s="68"/>
    </row>
    <row r="10323" spans="2:11" ht="12.75">
      <c r="B10323" s="4"/>
      <c r="D10323" s="67"/>
      <c r="G10323" s="68"/>
      <c r="K10323" s="68"/>
    </row>
    <row r="10324" spans="2:11" ht="12.75">
      <c r="B10324" s="4"/>
      <c r="D10324" s="67"/>
      <c r="G10324" s="68"/>
      <c r="K10324" s="68"/>
    </row>
    <row r="10325" spans="2:11" ht="12.75">
      <c r="B10325" s="4"/>
      <c r="D10325" s="67"/>
      <c r="G10325" s="68"/>
      <c r="K10325" s="68"/>
    </row>
    <row r="10326" spans="2:11" ht="12.75">
      <c r="B10326" s="4"/>
      <c r="D10326" s="67"/>
      <c r="G10326" s="68"/>
      <c r="K10326" s="68"/>
    </row>
    <row r="10327" spans="2:11" ht="12.75">
      <c r="B10327" s="4"/>
      <c r="D10327" s="67"/>
      <c r="G10327" s="68"/>
      <c r="K10327" s="68"/>
    </row>
    <row r="10328" spans="2:11" ht="12.75">
      <c r="B10328" s="4"/>
      <c r="D10328" s="67"/>
      <c r="G10328" s="68"/>
      <c r="K10328" s="68"/>
    </row>
    <row r="10329" spans="2:11" ht="12.75">
      <c r="B10329" s="4"/>
      <c r="D10329" s="67"/>
      <c r="G10329" s="68"/>
      <c r="K10329" s="68"/>
    </row>
    <row r="10330" spans="2:11" ht="12.75">
      <c r="B10330" s="4"/>
      <c r="D10330" s="67"/>
      <c r="G10330" s="68"/>
      <c r="K10330" s="68"/>
    </row>
    <row r="10331" spans="2:11" ht="12.75">
      <c r="B10331" s="4"/>
      <c r="D10331" s="67"/>
      <c r="G10331" s="68"/>
      <c r="K10331" s="68"/>
    </row>
    <row r="10332" spans="2:11" ht="12.75">
      <c r="B10332" s="4"/>
      <c r="D10332" s="67"/>
      <c r="G10332" s="68"/>
      <c r="K10332" s="68"/>
    </row>
    <row r="10333" spans="2:11" ht="12.75">
      <c r="B10333" s="4"/>
      <c r="D10333" s="67"/>
      <c r="G10333" s="68"/>
      <c r="K10333" s="68"/>
    </row>
    <row r="10334" spans="2:11" ht="12.75">
      <c r="B10334" s="4"/>
      <c r="D10334" s="67"/>
      <c r="G10334" s="68"/>
      <c r="K10334" s="68"/>
    </row>
    <row r="10335" spans="2:11" ht="12.75">
      <c r="B10335" s="4"/>
      <c r="D10335" s="67"/>
      <c r="G10335" s="68"/>
      <c r="K10335" s="68"/>
    </row>
    <row r="10336" spans="2:11" ht="12.75">
      <c r="B10336" s="4"/>
      <c r="D10336" s="67"/>
      <c r="G10336" s="68"/>
      <c r="K10336" s="68"/>
    </row>
    <row r="10337" spans="2:11" ht="12.75">
      <c r="B10337" s="4"/>
      <c r="D10337" s="67"/>
      <c r="G10337" s="68"/>
      <c r="K10337" s="68"/>
    </row>
    <row r="10338" spans="2:11" ht="12.75">
      <c r="B10338" s="4"/>
      <c r="D10338" s="67"/>
      <c r="G10338" s="68"/>
      <c r="K10338" s="68"/>
    </row>
    <row r="10339" spans="2:11" ht="12.75">
      <c r="B10339" s="4"/>
      <c r="D10339" s="67"/>
      <c r="G10339" s="68"/>
      <c r="K10339" s="68"/>
    </row>
    <row r="10340" spans="2:11" ht="12.75">
      <c r="B10340" s="4"/>
      <c r="D10340" s="67"/>
      <c r="G10340" s="68"/>
      <c r="K10340" s="68"/>
    </row>
    <row r="10341" spans="2:11" ht="12.75">
      <c r="B10341" s="4"/>
      <c r="D10341" s="67"/>
      <c r="G10341" s="68"/>
      <c r="K10341" s="68"/>
    </row>
    <row r="10342" spans="2:11" ht="12.75">
      <c r="B10342" s="4"/>
      <c r="D10342" s="67"/>
      <c r="G10342" s="68"/>
      <c r="K10342" s="68"/>
    </row>
    <row r="10343" spans="2:11" ht="12.75">
      <c r="B10343" s="4"/>
      <c r="D10343" s="67"/>
      <c r="G10343" s="68"/>
      <c r="K10343" s="68"/>
    </row>
    <row r="10344" spans="2:11" ht="12.75">
      <c r="B10344" s="4"/>
      <c r="D10344" s="67"/>
      <c r="G10344" s="68"/>
      <c r="K10344" s="68"/>
    </row>
    <row r="10345" spans="2:11" ht="12.75">
      <c r="B10345" s="4"/>
      <c r="D10345" s="67"/>
      <c r="G10345" s="68"/>
      <c r="K10345" s="68"/>
    </row>
    <row r="10346" spans="2:11" ht="12.75">
      <c r="B10346" s="4"/>
      <c r="D10346" s="67"/>
      <c r="G10346" s="68"/>
      <c r="K10346" s="68"/>
    </row>
    <row r="10347" spans="2:11" ht="12.75">
      <c r="B10347" s="4"/>
      <c r="D10347" s="67"/>
      <c r="G10347" s="68"/>
      <c r="K10347" s="68"/>
    </row>
    <row r="10348" spans="2:11" ht="12.75">
      <c r="B10348" s="4"/>
      <c r="D10348" s="67"/>
      <c r="G10348" s="68"/>
      <c r="K10348" s="68"/>
    </row>
    <row r="10349" spans="2:11" ht="12.75">
      <c r="B10349" s="4"/>
      <c r="D10349" s="67"/>
      <c r="G10349" s="68"/>
      <c r="K10349" s="68"/>
    </row>
    <row r="10350" spans="2:11" ht="12.75">
      <c r="B10350" s="4"/>
      <c r="D10350" s="67"/>
      <c r="G10350" s="68"/>
      <c r="K10350" s="68"/>
    </row>
    <row r="10351" spans="2:11" ht="12.75">
      <c r="B10351" s="4"/>
      <c r="D10351" s="67"/>
      <c r="G10351" s="68"/>
      <c r="K10351" s="68"/>
    </row>
    <row r="10352" spans="2:11" ht="12.75">
      <c r="B10352" s="4"/>
      <c r="D10352" s="67"/>
      <c r="G10352" s="68"/>
      <c r="K10352" s="68"/>
    </row>
    <row r="10353" spans="2:11" ht="12.75">
      <c r="B10353" s="4"/>
      <c r="D10353" s="67"/>
      <c r="G10353" s="68"/>
      <c r="K10353" s="68"/>
    </row>
    <row r="10354" spans="2:11" ht="12.75">
      <c r="B10354" s="4"/>
      <c r="D10354" s="67"/>
      <c r="G10354" s="68"/>
      <c r="K10354" s="68"/>
    </row>
    <row r="10355" spans="2:11" ht="12.75">
      <c r="B10355" s="4"/>
      <c r="D10355" s="67"/>
      <c r="G10355" s="68"/>
      <c r="K10355" s="68"/>
    </row>
    <row r="10356" spans="2:11" ht="12.75">
      <c r="B10356" s="4"/>
      <c r="D10356" s="67"/>
      <c r="G10356" s="68"/>
      <c r="K10356" s="68"/>
    </row>
    <row r="10357" spans="2:11" ht="12.75">
      <c r="B10357" s="4"/>
      <c r="D10357" s="67"/>
      <c r="G10357" s="68"/>
      <c r="K10357" s="68"/>
    </row>
    <row r="10358" spans="2:11" ht="12.75">
      <c r="B10358" s="4"/>
      <c r="D10358" s="67"/>
      <c r="G10358" s="68"/>
      <c r="K10358" s="68"/>
    </row>
    <row r="10359" spans="2:11" ht="12.75">
      <c r="B10359" s="4"/>
      <c r="D10359" s="67"/>
      <c r="G10359" s="68"/>
      <c r="K10359" s="68"/>
    </row>
    <row r="10360" spans="2:11" ht="12.75">
      <c r="B10360" s="4"/>
      <c r="D10360" s="67"/>
      <c r="G10360" s="68"/>
      <c r="K10360" s="68"/>
    </row>
    <row r="10361" spans="2:11" ht="12.75">
      <c r="B10361" s="4"/>
      <c r="D10361" s="67"/>
      <c r="G10361" s="68"/>
      <c r="K10361" s="68"/>
    </row>
    <row r="10362" spans="2:11" ht="12.75">
      <c r="B10362" s="4"/>
      <c r="D10362" s="67"/>
      <c r="G10362" s="68"/>
      <c r="K10362" s="68"/>
    </row>
    <row r="10363" spans="2:11" ht="12.75">
      <c r="B10363" s="4"/>
      <c r="D10363" s="67"/>
      <c r="G10363" s="68"/>
      <c r="K10363" s="68"/>
    </row>
    <row r="10364" spans="2:11" ht="12.75">
      <c r="B10364" s="4"/>
      <c r="D10364" s="67"/>
      <c r="G10364" s="68"/>
      <c r="K10364" s="68"/>
    </row>
    <row r="10365" spans="2:11" ht="12.75">
      <c r="B10365" s="4"/>
      <c r="D10365" s="67"/>
      <c r="G10365" s="68"/>
      <c r="K10365" s="68"/>
    </row>
    <row r="10366" spans="2:11" ht="12.75">
      <c r="B10366" s="4"/>
      <c r="D10366" s="67"/>
      <c r="G10366" s="68"/>
      <c r="K10366" s="68"/>
    </row>
    <row r="10367" spans="2:11" ht="12.75">
      <c r="B10367" s="4"/>
      <c r="D10367" s="67"/>
      <c r="G10367" s="68"/>
      <c r="K10367" s="68"/>
    </row>
    <row r="10368" spans="2:11" ht="12.75">
      <c r="B10368" s="4"/>
      <c r="D10368" s="67"/>
      <c r="G10368" s="68"/>
      <c r="K10368" s="68"/>
    </row>
    <row r="10369" spans="2:11" ht="12.75">
      <c r="B10369" s="4"/>
      <c r="D10369" s="67"/>
      <c r="G10369" s="68"/>
      <c r="K10369" s="68"/>
    </row>
    <row r="10370" spans="2:11" ht="12.75">
      <c r="B10370" s="4"/>
      <c r="D10370" s="67"/>
      <c r="G10370" s="68"/>
      <c r="K10370" s="68"/>
    </row>
    <row r="10371" spans="2:11" ht="12.75">
      <c r="B10371" s="4"/>
      <c r="D10371" s="67"/>
      <c r="G10371" s="68"/>
      <c r="K10371" s="68"/>
    </row>
    <row r="10372" spans="2:11" ht="12.75">
      <c r="B10372" s="4"/>
      <c r="D10372" s="67"/>
      <c r="G10372" s="68"/>
      <c r="K10372" s="68"/>
    </row>
    <row r="10373" spans="2:11" ht="12.75">
      <c r="B10373" s="4"/>
      <c r="D10373" s="67"/>
      <c r="G10373" s="68"/>
      <c r="K10373" s="68"/>
    </row>
    <row r="10374" spans="2:11" ht="12.75">
      <c r="B10374" s="4"/>
      <c r="D10374" s="67"/>
      <c r="G10374" s="68"/>
      <c r="K10374" s="68"/>
    </row>
    <row r="10375" spans="2:11" ht="12.75">
      <c r="B10375" s="4"/>
      <c r="D10375" s="67"/>
      <c r="G10375" s="68"/>
      <c r="K10375" s="68"/>
    </row>
    <row r="10376" spans="2:11" ht="12.75">
      <c r="B10376" s="4"/>
      <c r="D10376" s="67"/>
      <c r="G10376" s="68"/>
      <c r="K10376" s="68"/>
    </row>
    <row r="10377" spans="2:11" ht="12.75">
      <c r="B10377" s="4"/>
      <c r="D10377" s="67"/>
      <c r="G10377" s="68"/>
      <c r="K10377" s="68"/>
    </row>
    <row r="10378" spans="2:11" ht="12.75">
      <c r="B10378" s="4"/>
      <c r="D10378" s="67"/>
      <c r="G10378" s="68"/>
      <c r="K10378" s="68"/>
    </row>
    <row r="10379" spans="2:11" ht="12.75">
      <c r="B10379" s="4"/>
      <c r="D10379" s="67"/>
      <c r="G10379" s="68"/>
      <c r="K10379" s="68"/>
    </row>
    <row r="10380" spans="2:11" ht="12.75">
      <c r="B10380" s="4"/>
      <c r="D10380" s="67"/>
      <c r="G10380" s="68"/>
      <c r="K10380" s="68"/>
    </row>
    <row r="10381" spans="2:11" ht="12.75">
      <c r="B10381" s="4"/>
      <c r="D10381" s="67"/>
      <c r="G10381" s="68"/>
      <c r="K10381" s="68"/>
    </row>
    <row r="10382" spans="2:11" ht="12.75">
      <c r="B10382" s="4"/>
      <c r="D10382" s="67"/>
      <c r="G10382" s="68"/>
      <c r="K10382" s="68"/>
    </row>
    <row r="10383" spans="2:11" ht="12.75">
      <c r="B10383" s="4"/>
      <c r="D10383" s="67"/>
      <c r="G10383" s="68"/>
      <c r="K10383" s="68"/>
    </row>
    <row r="10384" spans="2:11" ht="12.75">
      <c r="B10384" s="4"/>
      <c r="D10384" s="67"/>
      <c r="G10384" s="68"/>
      <c r="K10384" s="68"/>
    </row>
    <row r="10385" spans="2:11" ht="12.75">
      <c r="B10385" s="4"/>
      <c r="D10385" s="67"/>
      <c r="G10385" s="68"/>
      <c r="K10385" s="68"/>
    </row>
    <row r="10386" spans="2:11" ht="12.75">
      <c r="B10386" s="4"/>
      <c r="D10386" s="67"/>
      <c r="G10386" s="68"/>
      <c r="K10386" s="68"/>
    </row>
    <row r="10387" spans="2:11" ht="12.75">
      <c r="B10387" s="4"/>
      <c r="D10387" s="67"/>
      <c r="G10387" s="68"/>
      <c r="K10387" s="68"/>
    </row>
    <row r="10388" spans="2:11" ht="12.75">
      <c r="B10388" s="4"/>
      <c r="D10388" s="67"/>
      <c r="G10388" s="68"/>
      <c r="K10388" s="68"/>
    </row>
    <row r="10389" spans="2:11" ht="12.75">
      <c r="B10389" s="4"/>
      <c r="D10389" s="67"/>
      <c r="G10389" s="68"/>
      <c r="K10389" s="68"/>
    </row>
    <row r="10390" spans="2:11" ht="12.75">
      <c r="B10390" s="4"/>
      <c r="D10390" s="67"/>
      <c r="G10390" s="68"/>
      <c r="K10390" s="68"/>
    </row>
    <row r="10391" spans="2:11" ht="12.75">
      <c r="B10391" s="4"/>
      <c r="D10391" s="67"/>
      <c r="G10391" s="68"/>
      <c r="K10391" s="68"/>
    </row>
    <row r="10392" spans="2:11" ht="12.75">
      <c r="B10392" s="4"/>
      <c r="D10392" s="67"/>
      <c r="G10392" s="68"/>
      <c r="K10392" s="68"/>
    </row>
    <row r="10393" spans="2:11" ht="12.75">
      <c r="B10393" s="4"/>
      <c r="D10393" s="67"/>
      <c r="G10393" s="68"/>
      <c r="K10393" s="68"/>
    </row>
    <row r="10394" spans="2:11" ht="12.75">
      <c r="B10394" s="4"/>
      <c r="D10394" s="67"/>
      <c r="G10394" s="68"/>
      <c r="K10394" s="68"/>
    </row>
    <row r="10395" spans="2:11" ht="12.75">
      <c r="B10395" s="4"/>
      <c r="D10395" s="67"/>
      <c r="G10395" s="68"/>
      <c r="K10395" s="68"/>
    </row>
    <row r="10396" spans="2:11" ht="12.75">
      <c r="B10396" s="4"/>
      <c r="D10396" s="67"/>
      <c r="G10396" s="68"/>
      <c r="K10396" s="68"/>
    </row>
    <row r="10397" spans="2:11" ht="12.75">
      <c r="B10397" s="4"/>
      <c r="D10397" s="67"/>
      <c r="G10397" s="68"/>
      <c r="K10397" s="68"/>
    </row>
    <row r="10398" spans="2:11" ht="12.75">
      <c r="B10398" s="4"/>
      <c r="D10398" s="67"/>
      <c r="G10398" s="68"/>
      <c r="K10398" s="68"/>
    </row>
    <row r="10399" spans="2:11" ht="12.75">
      <c r="B10399" s="4"/>
      <c r="D10399" s="67"/>
      <c r="G10399" s="68"/>
      <c r="K10399" s="68"/>
    </row>
    <row r="10400" spans="2:11" ht="12.75">
      <c r="B10400" s="4"/>
      <c r="D10400" s="67"/>
      <c r="G10400" s="68"/>
      <c r="K10400" s="68"/>
    </row>
    <row r="10401" spans="2:11" ht="12.75">
      <c r="B10401" s="4"/>
      <c r="D10401" s="67"/>
      <c r="G10401" s="68"/>
      <c r="K10401" s="68"/>
    </row>
    <row r="10402" spans="2:11" ht="12.75">
      <c r="B10402" s="4"/>
      <c r="D10402" s="67"/>
      <c r="G10402" s="68"/>
      <c r="K10402" s="68"/>
    </row>
    <row r="10403" spans="2:11" ht="12.75">
      <c r="B10403" s="4"/>
      <c r="D10403" s="67"/>
      <c r="G10403" s="68"/>
      <c r="K10403" s="68"/>
    </row>
    <row r="10404" spans="2:11" ht="12.75">
      <c r="B10404" s="4"/>
      <c r="D10404" s="67"/>
      <c r="G10404" s="68"/>
      <c r="K10404" s="68"/>
    </row>
    <row r="10405" spans="2:11" ht="12.75">
      <c r="B10405" s="4"/>
      <c r="D10405" s="67"/>
      <c r="G10405" s="68"/>
      <c r="K10405" s="68"/>
    </row>
    <row r="10406" spans="2:11" ht="12.75">
      <c r="B10406" s="4"/>
      <c r="D10406" s="67"/>
      <c r="G10406" s="68"/>
      <c r="K10406" s="68"/>
    </row>
    <row r="10407" spans="2:11" ht="12.75">
      <c r="B10407" s="4"/>
      <c r="D10407" s="67"/>
      <c r="G10407" s="68"/>
      <c r="K10407" s="68"/>
    </row>
    <row r="10408" spans="2:11" ht="12.75">
      <c r="B10408" s="4"/>
      <c r="D10408" s="67"/>
      <c r="G10408" s="68"/>
      <c r="K10408" s="68"/>
    </row>
    <row r="10409" spans="2:11" ht="12.75">
      <c r="B10409" s="4"/>
      <c r="D10409" s="67"/>
      <c r="G10409" s="68"/>
      <c r="K10409" s="68"/>
    </row>
    <row r="10410" spans="2:11" ht="12.75">
      <c r="B10410" s="4"/>
      <c r="D10410" s="67"/>
      <c r="G10410" s="68"/>
      <c r="K10410" s="68"/>
    </row>
    <row r="10411" spans="2:11" ht="12.75">
      <c r="B10411" s="4"/>
      <c r="D10411" s="67"/>
      <c r="G10411" s="68"/>
      <c r="K10411" s="68"/>
    </row>
    <row r="10412" spans="2:11" ht="12.75">
      <c r="B10412" s="4"/>
      <c r="D10412" s="67"/>
      <c r="G10412" s="68"/>
      <c r="K10412" s="68"/>
    </row>
    <row r="10413" spans="2:11" ht="12.75">
      <c r="B10413" s="4"/>
      <c r="D10413" s="67"/>
      <c r="G10413" s="68"/>
      <c r="K10413" s="68"/>
    </row>
    <row r="10414" spans="2:11" ht="12.75">
      <c r="B10414" s="4"/>
      <c r="D10414" s="67"/>
      <c r="G10414" s="68"/>
      <c r="K10414" s="68"/>
    </row>
    <row r="10415" spans="2:11" ht="12.75">
      <c r="B10415" s="4"/>
      <c r="D10415" s="67"/>
      <c r="G10415" s="68"/>
      <c r="K10415" s="68"/>
    </row>
    <row r="10416" spans="2:11" ht="12.75">
      <c r="B10416" s="4"/>
      <c r="D10416" s="67"/>
      <c r="G10416" s="68"/>
      <c r="K10416" s="68"/>
    </row>
    <row r="10417" spans="2:11" ht="12.75">
      <c r="B10417" s="4"/>
      <c r="D10417" s="67"/>
      <c r="G10417" s="68"/>
      <c r="K10417" s="68"/>
    </row>
    <row r="10418" spans="2:11" ht="12.75">
      <c r="B10418" s="4"/>
      <c r="D10418" s="67"/>
      <c r="G10418" s="68"/>
      <c r="K10418" s="68"/>
    </row>
    <row r="10419" spans="2:11" ht="12.75">
      <c r="B10419" s="4"/>
      <c r="D10419" s="67"/>
      <c r="G10419" s="68"/>
      <c r="K10419" s="68"/>
    </row>
    <row r="10420" spans="2:11" ht="12.75">
      <c r="B10420" s="4"/>
      <c r="D10420" s="67"/>
      <c r="G10420" s="68"/>
      <c r="K10420" s="68"/>
    </row>
    <row r="10421" spans="2:11" ht="12.75">
      <c r="B10421" s="4"/>
      <c r="D10421" s="67"/>
      <c r="G10421" s="68"/>
      <c r="K10421" s="68"/>
    </row>
    <row r="10422" spans="2:11" ht="12.75">
      <c r="B10422" s="4"/>
      <c r="D10422" s="67"/>
      <c r="G10422" s="68"/>
      <c r="K10422" s="68"/>
    </row>
    <row r="10423" spans="2:11" ht="12.75">
      <c r="B10423" s="4"/>
      <c r="D10423" s="67"/>
      <c r="G10423" s="68"/>
      <c r="K10423" s="68"/>
    </row>
    <row r="10424" spans="2:11" ht="12.75">
      <c r="B10424" s="4"/>
      <c r="D10424" s="67"/>
      <c r="G10424" s="68"/>
      <c r="K10424" s="68"/>
    </row>
    <row r="10425" spans="2:11" ht="12.75">
      <c r="B10425" s="4"/>
      <c r="D10425" s="67"/>
      <c r="G10425" s="68"/>
      <c r="K10425" s="68"/>
    </row>
    <row r="10426" spans="2:11" ht="12.75">
      <c r="B10426" s="4"/>
      <c r="D10426" s="67"/>
      <c r="G10426" s="68"/>
      <c r="K10426" s="68"/>
    </row>
    <row r="10427" spans="2:11" ht="12.75">
      <c r="B10427" s="4"/>
      <c r="D10427" s="67"/>
      <c r="G10427" s="68"/>
      <c r="K10427" s="68"/>
    </row>
    <row r="10428" spans="2:11" ht="12.75">
      <c r="B10428" s="4"/>
      <c r="D10428" s="67"/>
      <c r="G10428" s="68"/>
      <c r="K10428" s="68"/>
    </row>
    <row r="10429" spans="2:11" ht="12.75">
      <c r="B10429" s="4"/>
      <c r="D10429" s="67"/>
      <c r="G10429" s="68"/>
      <c r="K10429" s="68"/>
    </row>
    <row r="10430" spans="2:11" ht="12.75">
      <c r="B10430" s="4"/>
      <c r="D10430" s="67"/>
      <c r="G10430" s="68"/>
      <c r="K10430" s="68"/>
    </row>
    <row r="10431" spans="2:11" ht="12.75">
      <c r="B10431" s="4"/>
      <c r="D10431" s="67"/>
      <c r="G10431" s="68"/>
      <c r="K10431" s="68"/>
    </row>
    <row r="10432" spans="2:11" ht="12.75">
      <c r="B10432" s="4"/>
      <c r="D10432" s="67"/>
      <c r="G10432" s="68"/>
      <c r="K10432" s="68"/>
    </row>
    <row r="10433" spans="2:11" ht="12.75">
      <c r="B10433" s="4"/>
      <c r="D10433" s="67"/>
      <c r="G10433" s="68"/>
      <c r="K10433" s="68"/>
    </row>
    <row r="10434" spans="2:11" ht="12.75">
      <c r="B10434" s="4"/>
      <c r="D10434" s="67"/>
      <c r="G10434" s="68"/>
      <c r="K10434" s="68"/>
    </row>
    <row r="10435" spans="2:11" ht="12.75">
      <c r="B10435" s="4"/>
      <c r="D10435" s="67"/>
      <c r="G10435" s="68"/>
      <c r="K10435" s="68"/>
    </row>
    <row r="10436" spans="2:11" ht="12.75">
      <c r="B10436" s="4"/>
      <c r="D10436" s="67"/>
      <c r="G10436" s="68"/>
      <c r="K10436" s="68"/>
    </row>
    <row r="10437" spans="2:11" ht="12.75">
      <c r="B10437" s="4"/>
      <c r="D10437" s="67"/>
      <c r="G10437" s="68"/>
      <c r="K10437" s="68"/>
    </row>
    <row r="10438" spans="2:11" ht="12.75">
      <c r="B10438" s="4"/>
      <c r="D10438" s="67"/>
      <c r="G10438" s="68"/>
      <c r="K10438" s="68"/>
    </row>
    <row r="10439" spans="2:11" ht="12.75">
      <c r="B10439" s="4"/>
      <c r="D10439" s="67"/>
      <c r="G10439" s="68"/>
      <c r="K10439" s="68"/>
    </row>
    <row r="10440" spans="2:11" ht="12.75">
      <c r="B10440" s="4"/>
      <c r="D10440" s="67"/>
      <c r="G10440" s="68"/>
      <c r="K10440" s="68"/>
    </row>
    <row r="10441" spans="2:11" ht="12.75">
      <c r="B10441" s="4"/>
      <c r="D10441" s="67"/>
      <c r="G10441" s="68"/>
      <c r="K10441" s="68"/>
    </row>
    <row r="10442" spans="2:11" ht="12.75">
      <c r="B10442" s="4"/>
      <c r="D10442" s="67"/>
      <c r="G10442" s="68"/>
      <c r="K10442" s="68"/>
    </row>
    <row r="10443" spans="2:11" ht="12.75">
      <c r="B10443" s="4"/>
      <c r="D10443" s="67"/>
      <c r="G10443" s="68"/>
      <c r="K10443" s="68"/>
    </row>
    <row r="10444" spans="2:11" ht="12.75">
      <c r="B10444" s="4"/>
      <c r="D10444" s="67"/>
      <c r="G10444" s="68"/>
      <c r="K10444" s="68"/>
    </row>
    <row r="10445" spans="2:11" ht="12.75">
      <c r="B10445" s="4"/>
      <c r="D10445" s="67"/>
      <c r="G10445" s="68"/>
      <c r="K10445" s="68"/>
    </row>
    <row r="10446" spans="2:11" ht="12.75">
      <c r="B10446" s="4"/>
      <c r="D10446" s="67"/>
      <c r="G10446" s="68"/>
      <c r="K10446" s="68"/>
    </row>
    <row r="10447" spans="2:11" ht="12.75">
      <c r="B10447" s="4"/>
      <c r="D10447" s="67"/>
      <c r="G10447" s="68"/>
      <c r="K10447" s="68"/>
    </row>
    <row r="10448" spans="2:11" ht="12.75">
      <c r="B10448" s="4"/>
      <c r="D10448" s="67"/>
      <c r="G10448" s="68"/>
      <c r="K10448" s="68"/>
    </row>
    <row r="10449" spans="2:11" ht="12.75">
      <c r="B10449" s="4"/>
      <c r="D10449" s="67"/>
      <c r="G10449" s="68"/>
      <c r="K10449" s="68"/>
    </row>
    <row r="10450" spans="2:11" ht="12.75">
      <c r="B10450" s="4"/>
      <c r="D10450" s="67"/>
      <c r="G10450" s="68"/>
      <c r="K10450" s="68"/>
    </row>
    <row r="10451" spans="2:11" ht="12.75">
      <c r="B10451" s="4"/>
      <c r="D10451" s="67"/>
      <c r="G10451" s="68"/>
      <c r="K10451" s="68"/>
    </row>
    <row r="10452" spans="2:11" ht="12.75">
      <c r="B10452" s="4"/>
      <c r="D10452" s="67"/>
      <c r="G10452" s="68"/>
      <c r="K10452" s="68"/>
    </row>
    <row r="10453" spans="2:11" ht="12.75">
      <c r="B10453" s="4"/>
      <c r="D10453" s="67"/>
      <c r="G10453" s="68"/>
      <c r="K10453" s="68"/>
    </row>
    <row r="10454" spans="2:11" ht="12.75">
      <c r="B10454" s="4"/>
      <c r="D10454" s="67"/>
      <c r="G10454" s="68"/>
      <c r="K10454" s="68"/>
    </row>
    <row r="10455" spans="2:11" ht="12.75">
      <c r="B10455" s="4"/>
      <c r="D10455" s="67"/>
      <c r="G10455" s="68"/>
      <c r="K10455" s="68"/>
    </row>
    <row r="10456" spans="2:11" ht="12.75">
      <c r="B10456" s="4"/>
      <c r="D10456" s="67"/>
      <c r="G10456" s="68"/>
      <c r="K10456" s="68"/>
    </row>
    <row r="10457" spans="2:11" ht="12.75">
      <c r="B10457" s="4"/>
      <c r="D10457" s="67"/>
      <c r="G10457" s="68"/>
      <c r="K10457" s="68"/>
    </row>
    <row r="10458" spans="2:11" ht="12.75">
      <c r="B10458" s="4"/>
      <c r="D10458" s="67"/>
      <c r="G10458" s="68"/>
      <c r="K10458" s="68"/>
    </row>
    <row r="10459" spans="2:11" ht="12.75">
      <c r="B10459" s="4"/>
      <c r="D10459" s="67"/>
      <c r="G10459" s="68"/>
      <c r="K10459" s="68"/>
    </row>
    <row r="10460" spans="2:11" ht="12.75">
      <c r="B10460" s="4"/>
      <c r="D10460" s="67"/>
      <c r="G10460" s="68"/>
      <c r="K10460" s="68"/>
    </row>
    <row r="10461" spans="2:11" ht="12.75">
      <c r="B10461" s="4"/>
      <c r="D10461" s="67"/>
      <c r="G10461" s="68"/>
      <c r="K10461" s="68"/>
    </row>
    <row r="10462" spans="2:11" ht="12.75">
      <c r="B10462" s="4"/>
      <c r="D10462" s="67"/>
      <c r="G10462" s="68"/>
      <c r="K10462" s="68"/>
    </row>
    <row r="10463" spans="2:11" ht="12.75">
      <c r="B10463" s="4"/>
      <c r="D10463" s="67"/>
      <c r="G10463" s="68"/>
      <c r="K10463" s="68"/>
    </row>
    <row r="10464" spans="2:11" ht="12.75">
      <c r="B10464" s="4"/>
      <c r="D10464" s="67"/>
      <c r="G10464" s="68"/>
      <c r="K10464" s="68"/>
    </row>
    <row r="10465" spans="2:11" ht="12.75">
      <c r="B10465" s="4"/>
      <c r="D10465" s="67"/>
      <c r="G10465" s="68"/>
      <c r="K10465" s="68"/>
    </row>
    <row r="10466" spans="2:11" ht="12.75">
      <c r="B10466" s="4"/>
      <c r="D10466" s="67"/>
      <c r="G10466" s="68"/>
      <c r="K10466" s="68"/>
    </row>
    <row r="10467" spans="2:11" ht="12.75">
      <c r="B10467" s="4"/>
      <c r="D10467" s="67"/>
      <c r="G10467" s="68"/>
      <c r="K10467" s="68"/>
    </row>
    <row r="10468" spans="2:11" ht="12.75">
      <c r="B10468" s="4"/>
      <c r="D10468" s="67"/>
      <c r="G10468" s="68"/>
      <c r="K10468" s="68"/>
    </row>
    <row r="10469" spans="2:11" ht="12.75">
      <c r="B10469" s="4"/>
      <c r="D10469" s="67"/>
      <c r="G10469" s="68"/>
      <c r="K10469" s="68"/>
    </row>
    <row r="10470" spans="2:11" ht="12.75">
      <c r="B10470" s="4"/>
      <c r="D10470" s="67"/>
      <c r="G10470" s="68"/>
      <c r="K10470" s="68"/>
    </row>
    <row r="10471" spans="2:11" ht="12.75">
      <c r="B10471" s="4"/>
      <c r="D10471" s="67"/>
      <c r="G10471" s="68"/>
      <c r="K10471" s="68"/>
    </row>
    <row r="10472" spans="2:11" ht="12.75">
      <c r="B10472" s="4"/>
      <c r="D10472" s="67"/>
      <c r="G10472" s="68"/>
      <c r="K10472" s="68"/>
    </row>
    <row r="10473" spans="2:11" ht="12.75">
      <c r="B10473" s="4"/>
      <c r="D10473" s="67"/>
      <c r="G10473" s="68"/>
      <c r="K10473" s="68"/>
    </row>
    <row r="10474" spans="2:11" ht="12.75">
      <c r="B10474" s="4"/>
      <c r="D10474" s="67"/>
      <c r="G10474" s="68"/>
      <c r="K10474" s="68"/>
    </row>
    <row r="10475" spans="2:11" ht="12.75">
      <c r="B10475" s="4"/>
      <c r="D10475" s="67"/>
      <c r="G10475" s="68"/>
      <c r="K10475" s="68"/>
    </row>
    <row r="10476" spans="2:11" ht="12.75">
      <c r="B10476" s="4"/>
      <c r="D10476" s="67"/>
      <c r="G10476" s="68"/>
      <c r="K10476" s="68"/>
    </row>
    <row r="10477" spans="2:11" ht="12.75">
      <c r="B10477" s="4"/>
      <c r="D10477" s="67"/>
      <c r="G10477" s="68"/>
      <c r="K10477" s="68"/>
    </row>
    <row r="10478" spans="2:11" ht="12.75">
      <c r="B10478" s="4"/>
      <c r="D10478" s="67"/>
      <c r="G10478" s="68"/>
      <c r="K10478" s="68"/>
    </row>
    <row r="10479" spans="2:11" ht="12.75">
      <c r="B10479" s="4"/>
      <c r="D10479" s="67"/>
      <c r="G10479" s="68"/>
      <c r="K10479" s="68"/>
    </row>
    <row r="10480" spans="2:11" ht="12.75">
      <c r="B10480" s="4"/>
      <c r="D10480" s="67"/>
      <c r="G10480" s="68"/>
      <c r="K10480" s="68"/>
    </row>
    <row r="10481" spans="2:11" ht="12.75">
      <c r="B10481" s="4"/>
      <c r="D10481" s="67"/>
      <c r="G10481" s="68"/>
      <c r="K10481" s="68"/>
    </row>
    <row r="10482" spans="2:11" ht="12.75">
      <c r="B10482" s="4"/>
      <c r="D10482" s="67"/>
      <c r="G10482" s="68"/>
      <c r="K10482" s="68"/>
    </row>
    <row r="10483" spans="2:11" ht="12.75">
      <c r="B10483" s="4"/>
      <c r="D10483" s="67"/>
      <c r="G10483" s="68"/>
      <c r="K10483" s="68"/>
    </row>
    <row r="10484" spans="2:11" ht="12.75">
      <c r="B10484" s="4"/>
      <c r="D10484" s="67"/>
      <c r="G10484" s="68"/>
      <c r="K10484" s="68"/>
    </row>
    <row r="10485" spans="2:11" ht="12.75">
      <c r="B10485" s="4"/>
      <c r="D10485" s="67"/>
      <c r="G10485" s="68"/>
      <c r="K10485" s="68"/>
    </row>
    <row r="10486" spans="2:11" ht="12.75">
      <c r="B10486" s="4"/>
      <c r="D10486" s="67"/>
      <c r="G10486" s="68"/>
      <c r="K10486" s="68"/>
    </row>
    <row r="10487" spans="2:11" ht="12.75">
      <c r="B10487" s="4"/>
      <c r="D10487" s="67"/>
      <c r="G10487" s="68"/>
      <c r="K10487" s="68"/>
    </row>
    <row r="10488" spans="2:11" ht="12.75">
      <c r="B10488" s="4"/>
      <c r="D10488" s="67"/>
      <c r="G10488" s="68"/>
      <c r="K10488" s="68"/>
    </row>
    <row r="10489" spans="2:11" ht="12.75">
      <c r="B10489" s="4"/>
      <c r="D10489" s="67"/>
      <c r="G10489" s="68"/>
      <c r="K10489" s="68"/>
    </row>
    <row r="10490" spans="2:11" ht="12.75">
      <c r="B10490" s="4"/>
      <c r="D10490" s="67"/>
      <c r="G10490" s="68"/>
      <c r="K10490" s="68"/>
    </row>
    <row r="10491" spans="2:11" ht="12.75">
      <c r="B10491" s="4"/>
      <c r="D10491" s="67"/>
      <c r="G10491" s="68"/>
      <c r="K10491" s="68"/>
    </row>
    <row r="10492" spans="2:11" ht="12.75">
      <c r="B10492" s="4"/>
      <c r="D10492" s="67"/>
      <c r="G10492" s="68"/>
      <c r="K10492" s="68"/>
    </row>
    <row r="10493" spans="2:11" ht="12.75">
      <c r="B10493" s="4"/>
      <c r="D10493" s="67"/>
      <c r="G10493" s="68"/>
      <c r="K10493" s="68"/>
    </row>
    <row r="10494" spans="2:11" ht="12.75">
      <c r="B10494" s="4"/>
      <c r="D10494" s="67"/>
      <c r="G10494" s="68"/>
      <c r="K10494" s="68"/>
    </row>
    <row r="10495" spans="2:11" ht="12.75">
      <c r="B10495" s="4"/>
      <c r="D10495" s="67"/>
      <c r="G10495" s="68"/>
      <c r="K10495" s="68"/>
    </row>
    <row r="10496" spans="2:11" ht="12.75">
      <c r="B10496" s="4"/>
      <c r="D10496" s="67"/>
      <c r="G10496" s="68"/>
      <c r="K10496" s="68"/>
    </row>
    <row r="10497" spans="2:11" ht="12.75">
      <c r="B10497" s="4"/>
      <c r="D10497" s="67"/>
      <c r="G10497" s="68"/>
      <c r="K10497" s="68"/>
    </row>
    <row r="10498" spans="2:11" ht="12.75">
      <c r="B10498" s="4"/>
      <c r="D10498" s="67"/>
      <c r="G10498" s="68"/>
      <c r="K10498" s="68"/>
    </row>
    <row r="10499" spans="2:11" ht="12.75">
      <c r="B10499" s="4"/>
      <c r="D10499" s="67"/>
      <c r="G10499" s="68"/>
      <c r="K10499" s="68"/>
    </row>
    <row r="10500" spans="2:11" ht="12.75">
      <c r="B10500" s="4"/>
      <c r="D10500" s="67"/>
      <c r="G10500" s="68"/>
      <c r="K10500" s="68"/>
    </row>
    <row r="10501" spans="2:11" ht="12.75">
      <c r="B10501" s="4"/>
      <c r="D10501" s="67"/>
      <c r="G10501" s="68"/>
      <c r="K10501" s="68"/>
    </row>
    <row r="10502" spans="2:11" ht="12.75">
      <c r="B10502" s="4"/>
      <c r="D10502" s="67"/>
      <c r="G10502" s="68"/>
      <c r="K10502" s="68"/>
    </row>
    <row r="10503" spans="2:11" ht="12.75">
      <c r="B10503" s="4"/>
      <c r="D10503" s="67"/>
      <c r="G10503" s="68"/>
      <c r="K10503" s="68"/>
    </row>
    <row r="10504" spans="2:11" ht="12.75">
      <c r="B10504" s="4"/>
      <c r="D10504" s="67"/>
      <c r="G10504" s="68"/>
      <c r="K10504" s="68"/>
    </row>
    <row r="10505" spans="2:11" ht="12.75">
      <c r="B10505" s="4"/>
      <c r="D10505" s="67"/>
      <c r="G10505" s="68"/>
      <c r="K10505" s="68"/>
    </row>
    <row r="10506" spans="2:11" ht="12.75">
      <c r="B10506" s="4"/>
      <c r="D10506" s="67"/>
      <c r="G10506" s="68"/>
      <c r="K10506" s="68"/>
    </row>
    <row r="10507" spans="2:11" ht="12.75">
      <c r="B10507" s="4"/>
      <c r="D10507" s="67"/>
      <c r="G10507" s="68"/>
      <c r="K10507" s="68"/>
    </row>
    <row r="10508" spans="2:11" ht="12.75">
      <c r="B10508" s="4"/>
      <c r="D10508" s="67"/>
      <c r="G10508" s="68"/>
      <c r="K10508" s="68"/>
    </row>
    <row r="10509" spans="2:11" ht="12.75">
      <c r="B10509" s="4"/>
      <c r="D10509" s="67"/>
      <c r="G10509" s="68"/>
      <c r="K10509" s="68"/>
    </row>
    <row r="10510" spans="2:11" ht="12.75">
      <c r="B10510" s="4"/>
      <c r="D10510" s="67"/>
      <c r="G10510" s="68"/>
      <c r="K10510" s="68"/>
    </row>
    <row r="10511" spans="2:11" ht="12.75">
      <c r="B10511" s="4"/>
      <c r="D10511" s="67"/>
      <c r="G10511" s="68"/>
      <c r="K10511" s="68"/>
    </row>
    <row r="10512" spans="2:11" ht="12.75">
      <c r="B10512" s="4"/>
      <c r="D10512" s="67"/>
      <c r="G10512" s="68"/>
      <c r="K10512" s="68"/>
    </row>
    <row r="10513" spans="2:11" ht="12.75">
      <c r="B10513" s="4"/>
      <c r="D10513" s="67"/>
      <c r="G10513" s="68"/>
      <c r="K10513" s="68"/>
    </row>
    <row r="10514" spans="2:11" ht="12.75">
      <c r="B10514" s="4"/>
      <c r="D10514" s="67"/>
      <c r="G10514" s="68"/>
      <c r="K10514" s="68"/>
    </row>
    <row r="10515" spans="2:11" ht="12.75">
      <c r="B10515" s="4"/>
      <c r="D10515" s="67"/>
      <c r="G10515" s="68"/>
      <c r="K10515" s="68"/>
    </row>
    <row r="10516" spans="2:11" ht="12.75">
      <c r="B10516" s="4"/>
      <c r="D10516" s="67"/>
      <c r="G10516" s="68"/>
      <c r="K10516" s="68"/>
    </row>
    <row r="10517" spans="2:11" ht="12.75">
      <c r="B10517" s="4"/>
      <c r="D10517" s="67"/>
      <c r="G10517" s="68"/>
      <c r="K10517" s="68"/>
    </row>
    <row r="10518" spans="2:11" ht="12.75">
      <c r="B10518" s="4"/>
      <c r="D10518" s="67"/>
      <c r="G10518" s="68"/>
      <c r="K10518" s="68"/>
    </row>
    <row r="10519" spans="2:11" ht="12.75">
      <c r="B10519" s="4"/>
      <c r="D10519" s="67"/>
      <c r="G10519" s="68"/>
      <c r="K10519" s="68"/>
    </row>
    <row r="10520" spans="2:11" ht="12.75">
      <c r="B10520" s="4"/>
      <c r="D10520" s="67"/>
      <c r="G10520" s="68"/>
      <c r="K10520" s="68"/>
    </row>
    <row r="10521" spans="2:11" ht="12.75">
      <c r="B10521" s="4"/>
      <c r="D10521" s="67"/>
      <c r="G10521" s="68"/>
      <c r="K10521" s="68"/>
    </row>
    <row r="10522" spans="2:11" ht="12.75">
      <c r="B10522" s="4"/>
      <c r="D10522" s="67"/>
      <c r="G10522" s="68"/>
      <c r="K10522" s="68"/>
    </row>
    <row r="10523" spans="2:11" ht="12.75">
      <c r="B10523" s="4"/>
      <c r="D10523" s="67"/>
      <c r="G10523" s="68"/>
      <c r="K10523" s="68"/>
    </row>
    <row r="10524" spans="2:11" ht="12.75">
      <c r="B10524" s="4"/>
      <c r="D10524" s="67"/>
      <c r="G10524" s="68"/>
      <c r="K10524" s="68"/>
    </row>
    <row r="10525" spans="2:11" ht="12.75">
      <c r="B10525" s="4"/>
      <c r="D10525" s="67"/>
      <c r="G10525" s="68"/>
      <c r="K10525" s="68"/>
    </row>
    <row r="10526" spans="2:11" ht="12.75">
      <c r="B10526" s="4"/>
      <c r="D10526" s="67"/>
      <c r="G10526" s="68"/>
      <c r="K10526" s="68"/>
    </row>
    <row r="10527" spans="2:11" ht="12.75">
      <c r="B10527" s="4"/>
      <c r="D10527" s="67"/>
      <c r="G10527" s="68"/>
      <c r="K10527" s="68"/>
    </row>
    <row r="10528" spans="2:11" ht="12.75">
      <c r="B10528" s="4"/>
      <c r="D10528" s="67"/>
      <c r="G10528" s="68"/>
      <c r="K10528" s="68"/>
    </row>
    <row r="10529" spans="2:11" ht="12.75">
      <c r="B10529" s="4"/>
      <c r="D10529" s="67"/>
      <c r="G10529" s="68"/>
      <c r="K10529" s="68"/>
    </row>
    <row r="10530" spans="2:11" ht="12.75">
      <c r="B10530" s="4"/>
      <c r="D10530" s="67"/>
      <c r="G10530" s="68"/>
      <c r="K10530" s="68"/>
    </row>
    <row r="10531" spans="2:11" ht="12.75">
      <c r="B10531" s="4"/>
      <c r="D10531" s="67"/>
      <c r="G10531" s="68"/>
      <c r="K10531" s="68"/>
    </row>
    <row r="10532" spans="2:11" ht="12.75">
      <c r="B10532" s="4"/>
      <c r="D10532" s="67"/>
      <c r="G10532" s="68"/>
      <c r="K10532" s="68"/>
    </row>
    <row r="10533" spans="2:11" ht="12.75">
      <c r="B10533" s="4"/>
      <c r="D10533" s="67"/>
      <c r="G10533" s="68"/>
      <c r="K10533" s="68"/>
    </row>
    <row r="10534" spans="2:11" ht="12.75">
      <c r="B10534" s="4"/>
      <c r="D10534" s="67"/>
      <c r="G10534" s="68"/>
      <c r="K10534" s="68"/>
    </row>
    <row r="10535" spans="2:11" ht="12.75">
      <c r="B10535" s="4"/>
      <c r="D10535" s="67"/>
      <c r="G10535" s="68"/>
      <c r="K10535" s="68"/>
    </row>
    <row r="10536" spans="2:11" ht="12.75">
      <c r="B10536" s="4"/>
      <c r="D10536" s="67"/>
      <c r="G10536" s="68"/>
      <c r="K10536" s="68"/>
    </row>
    <row r="10537" spans="2:11" ht="12.75">
      <c r="B10537" s="4"/>
      <c r="D10537" s="67"/>
      <c r="G10537" s="68"/>
      <c r="K10537" s="68"/>
    </row>
    <row r="10538" spans="2:11" ht="12.75">
      <c r="B10538" s="4"/>
      <c r="D10538" s="67"/>
      <c r="G10538" s="68"/>
      <c r="K10538" s="68"/>
    </row>
    <row r="10539" spans="2:11" ht="12.75">
      <c r="B10539" s="4"/>
      <c r="D10539" s="67"/>
      <c r="G10539" s="68"/>
      <c r="K10539" s="68"/>
    </row>
    <row r="10540" spans="2:11" ht="12.75">
      <c r="B10540" s="4"/>
      <c r="D10540" s="67"/>
      <c r="G10540" s="68"/>
      <c r="K10540" s="68"/>
    </row>
    <row r="10541" spans="2:11" ht="12.75">
      <c r="B10541" s="4"/>
      <c r="D10541" s="67"/>
      <c r="G10541" s="68"/>
      <c r="K10541" s="68"/>
    </row>
    <row r="10542" spans="2:11" ht="12.75">
      <c r="B10542" s="4"/>
      <c r="D10542" s="67"/>
      <c r="G10542" s="68"/>
      <c r="K10542" s="68"/>
    </row>
    <row r="10543" spans="2:11" ht="12.75">
      <c r="B10543" s="4"/>
      <c r="D10543" s="67"/>
      <c r="G10543" s="68"/>
      <c r="K10543" s="68"/>
    </row>
    <row r="10544" spans="2:11" ht="12.75">
      <c r="B10544" s="4"/>
      <c r="D10544" s="67"/>
      <c r="G10544" s="68"/>
      <c r="K10544" s="68"/>
    </row>
    <row r="10545" spans="2:11" ht="12.75">
      <c r="B10545" s="4"/>
      <c r="D10545" s="67"/>
      <c r="G10545" s="68"/>
      <c r="K10545" s="68"/>
    </row>
    <row r="10546" spans="2:11" ht="12.75">
      <c r="B10546" s="4"/>
      <c r="D10546" s="67"/>
      <c r="G10546" s="68"/>
      <c r="K10546" s="68"/>
    </row>
    <row r="10547" spans="2:11" ht="12.75">
      <c r="B10547" s="4"/>
      <c r="D10547" s="67"/>
      <c r="G10547" s="68"/>
      <c r="K10547" s="68"/>
    </row>
    <row r="10548" spans="2:11" ht="12.75">
      <c r="B10548" s="4"/>
      <c r="D10548" s="67"/>
      <c r="G10548" s="68"/>
      <c r="K10548" s="68"/>
    </row>
    <row r="10549" spans="2:11" ht="12.75">
      <c r="B10549" s="4"/>
      <c r="D10549" s="67"/>
      <c r="G10549" s="68"/>
      <c r="K10549" s="68"/>
    </row>
    <row r="10550" spans="2:11" ht="12.75">
      <c r="B10550" s="4"/>
      <c r="D10550" s="67"/>
      <c r="G10550" s="68"/>
      <c r="K10550" s="68"/>
    </row>
    <row r="10551" spans="2:11" ht="12.75">
      <c r="B10551" s="4"/>
      <c r="D10551" s="67"/>
      <c r="G10551" s="68"/>
      <c r="K10551" s="68"/>
    </row>
    <row r="10552" spans="2:11" ht="12.75">
      <c r="B10552" s="4"/>
      <c r="D10552" s="67"/>
      <c r="G10552" s="68"/>
      <c r="K10552" s="68"/>
    </row>
    <row r="10553" spans="2:11" ht="12.75">
      <c r="B10553" s="4"/>
      <c r="D10553" s="67"/>
      <c r="G10553" s="68"/>
      <c r="K10553" s="68"/>
    </row>
    <row r="10554" spans="2:11" ht="12.75">
      <c r="B10554" s="4"/>
      <c r="D10554" s="67"/>
      <c r="G10554" s="68"/>
      <c r="K10554" s="68"/>
    </row>
    <row r="10555" spans="2:11" ht="12.75">
      <c r="B10555" s="4"/>
      <c r="D10555" s="67"/>
      <c r="G10555" s="68"/>
      <c r="K10555" s="68"/>
    </row>
    <row r="10556" spans="2:11" ht="12.75">
      <c r="B10556" s="4"/>
      <c r="D10556" s="67"/>
      <c r="G10556" s="68"/>
      <c r="K10556" s="68"/>
    </row>
    <row r="10557" spans="2:11" ht="12.75">
      <c r="B10557" s="4"/>
      <c r="D10557" s="67"/>
      <c r="G10557" s="68"/>
      <c r="K10557" s="68"/>
    </row>
    <row r="10558" spans="2:11" ht="12.75">
      <c r="B10558" s="4"/>
      <c r="D10558" s="67"/>
      <c r="G10558" s="68"/>
      <c r="K10558" s="68"/>
    </row>
    <row r="10559" spans="2:11" ht="12.75">
      <c r="B10559" s="4"/>
      <c r="D10559" s="67"/>
      <c r="G10559" s="68"/>
      <c r="K10559" s="68"/>
    </row>
    <row r="10560" spans="2:11" ht="12.75">
      <c r="B10560" s="4"/>
      <c r="D10560" s="67"/>
      <c r="G10560" s="68"/>
      <c r="K10560" s="68"/>
    </row>
    <row r="10561" spans="2:11" ht="12.75">
      <c r="B10561" s="4"/>
      <c r="D10561" s="67"/>
      <c r="G10561" s="68"/>
      <c r="K10561" s="68"/>
    </row>
    <row r="10562" spans="2:11" ht="12.75">
      <c r="B10562" s="4"/>
      <c r="D10562" s="67"/>
      <c r="G10562" s="68"/>
      <c r="K10562" s="68"/>
    </row>
    <row r="10563" spans="2:11" ht="12.75">
      <c r="B10563" s="4"/>
      <c r="D10563" s="67"/>
      <c r="G10563" s="68"/>
      <c r="K10563" s="68"/>
    </row>
    <row r="10564" spans="2:11" ht="12.75">
      <c r="B10564" s="4"/>
      <c r="D10564" s="67"/>
      <c r="G10564" s="68"/>
      <c r="K10564" s="68"/>
    </row>
    <row r="10565" spans="2:11" ht="12.75">
      <c r="B10565" s="4"/>
      <c r="D10565" s="67"/>
      <c r="G10565" s="68"/>
      <c r="K10565" s="68"/>
    </row>
    <row r="10566" spans="2:11" ht="12.75">
      <c r="B10566" s="4"/>
      <c r="D10566" s="67"/>
      <c r="G10566" s="68"/>
      <c r="K10566" s="68"/>
    </row>
    <row r="10567" spans="2:11" ht="12.75">
      <c r="B10567" s="4"/>
      <c r="D10567" s="67"/>
      <c r="G10567" s="68"/>
      <c r="K10567" s="68"/>
    </row>
    <row r="10568" spans="2:11" ht="12.75">
      <c r="B10568" s="4"/>
      <c r="D10568" s="67"/>
      <c r="G10568" s="68"/>
      <c r="K10568" s="68"/>
    </row>
    <row r="10569" spans="2:11" ht="12.75">
      <c r="B10569" s="4"/>
      <c r="D10569" s="67"/>
      <c r="G10569" s="68"/>
      <c r="K10569" s="68"/>
    </row>
    <row r="10570" spans="2:11" ht="12.75">
      <c r="B10570" s="4"/>
      <c r="D10570" s="67"/>
      <c r="G10570" s="68"/>
      <c r="K10570" s="68"/>
    </row>
    <row r="10571" spans="2:11" ht="12.75">
      <c r="B10571" s="4"/>
      <c r="D10571" s="67"/>
      <c r="G10571" s="68"/>
      <c r="K10571" s="68"/>
    </row>
    <row r="10572" spans="2:11" ht="12.75">
      <c r="B10572" s="4"/>
      <c r="D10572" s="67"/>
      <c r="G10572" s="68"/>
      <c r="K10572" s="68"/>
    </row>
    <row r="10573" spans="2:11" ht="12.75">
      <c r="B10573" s="4"/>
      <c r="D10573" s="67"/>
      <c r="G10573" s="68"/>
      <c r="K10573" s="68"/>
    </row>
    <row r="10574" spans="2:11" ht="12.75">
      <c r="B10574" s="4"/>
      <c r="D10574" s="67"/>
      <c r="G10574" s="68"/>
      <c r="K10574" s="68"/>
    </row>
    <row r="10575" spans="2:11" ht="12.75">
      <c r="B10575" s="4"/>
      <c r="D10575" s="67"/>
      <c r="G10575" s="68"/>
      <c r="K10575" s="68"/>
    </row>
    <row r="10576" spans="2:11" ht="12.75">
      <c r="B10576" s="4"/>
      <c r="D10576" s="67"/>
      <c r="G10576" s="68"/>
      <c r="K10576" s="68"/>
    </row>
    <row r="10577" spans="2:11" ht="12.75">
      <c r="B10577" s="4"/>
      <c r="D10577" s="67"/>
      <c r="G10577" s="68"/>
      <c r="K10577" s="68"/>
    </row>
    <row r="10578" spans="2:11" ht="12.75">
      <c r="B10578" s="4"/>
      <c r="D10578" s="67"/>
      <c r="G10578" s="68"/>
      <c r="K10578" s="68"/>
    </row>
    <row r="10579" spans="2:11" ht="12.75">
      <c r="B10579" s="4"/>
      <c r="D10579" s="67"/>
      <c r="G10579" s="68"/>
      <c r="K10579" s="68"/>
    </row>
    <row r="10580" spans="2:11" ht="12.75">
      <c r="B10580" s="4"/>
      <c r="D10580" s="67"/>
      <c r="G10580" s="68"/>
      <c r="K10580" s="68"/>
    </row>
    <row r="10581" spans="2:11" ht="12.75">
      <c r="B10581" s="4"/>
      <c r="D10581" s="67"/>
      <c r="G10581" s="68"/>
      <c r="K10581" s="68"/>
    </row>
    <row r="10582" spans="2:11" ht="12.75">
      <c r="B10582" s="4"/>
      <c r="D10582" s="67"/>
      <c r="G10582" s="68"/>
      <c r="K10582" s="68"/>
    </row>
    <row r="10583" spans="2:11" ht="12.75">
      <c r="B10583" s="4"/>
      <c r="D10583" s="67"/>
      <c r="G10583" s="68"/>
      <c r="K10583" s="68"/>
    </row>
    <row r="10584" spans="2:11" ht="12.75">
      <c r="B10584" s="4"/>
      <c r="D10584" s="67"/>
      <c r="G10584" s="68"/>
      <c r="K10584" s="68"/>
    </row>
    <row r="10585" spans="2:11" ht="12.75">
      <c r="B10585" s="4"/>
      <c r="D10585" s="67"/>
      <c r="G10585" s="68"/>
      <c r="K10585" s="68"/>
    </row>
    <row r="10586" spans="2:11" ht="12.75">
      <c r="B10586" s="4"/>
      <c r="D10586" s="67"/>
      <c r="G10586" s="68"/>
      <c r="K10586" s="68"/>
    </row>
    <row r="10587" spans="2:11" ht="12.75">
      <c r="B10587" s="4"/>
      <c r="D10587" s="67"/>
      <c r="G10587" s="68"/>
      <c r="K10587" s="68"/>
    </row>
    <row r="10588" spans="2:11" ht="12.75">
      <c r="B10588" s="4"/>
      <c r="D10588" s="67"/>
      <c r="G10588" s="68"/>
      <c r="K10588" s="68"/>
    </row>
    <row r="10589" spans="2:11" ht="12.75">
      <c r="B10589" s="4"/>
      <c r="D10589" s="67"/>
      <c r="G10589" s="68"/>
      <c r="K10589" s="68"/>
    </row>
    <row r="10590" spans="2:11" ht="12.75">
      <c r="B10590" s="4"/>
      <c r="D10590" s="67"/>
      <c r="G10590" s="68"/>
      <c r="K10590" s="68"/>
    </row>
    <row r="10591" spans="2:11" ht="12.75">
      <c r="B10591" s="4"/>
      <c r="D10591" s="67"/>
      <c r="G10591" s="68"/>
      <c r="K10591" s="68"/>
    </row>
    <row r="10592" spans="2:11" ht="12.75">
      <c r="B10592" s="4"/>
      <c r="D10592" s="67"/>
      <c r="G10592" s="68"/>
      <c r="K10592" s="68"/>
    </row>
    <row r="10593" spans="2:11" ht="12.75">
      <c r="B10593" s="4"/>
      <c r="D10593" s="67"/>
      <c r="G10593" s="68"/>
      <c r="K10593" s="68"/>
    </row>
    <row r="10594" spans="2:11" ht="12.75">
      <c r="B10594" s="4"/>
      <c r="D10594" s="67"/>
      <c r="G10594" s="68"/>
      <c r="K10594" s="68"/>
    </row>
    <row r="10595" spans="2:11" ht="12.75">
      <c r="B10595" s="4"/>
      <c r="D10595" s="67"/>
      <c r="G10595" s="68"/>
      <c r="K10595" s="68"/>
    </row>
    <row r="10596" spans="2:11" ht="12.75">
      <c r="B10596" s="4"/>
      <c r="D10596" s="67"/>
      <c r="G10596" s="68"/>
      <c r="K10596" s="68"/>
    </row>
    <row r="10597" spans="2:11" ht="12.75">
      <c r="B10597" s="4"/>
      <c r="D10597" s="67"/>
      <c r="G10597" s="68"/>
      <c r="K10597" s="68"/>
    </row>
    <row r="10598" spans="2:11" ht="12.75">
      <c r="B10598" s="4"/>
      <c r="D10598" s="67"/>
      <c r="G10598" s="68"/>
      <c r="K10598" s="68"/>
    </row>
    <row r="10599" spans="2:11" ht="12.75">
      <c r="B10599" s="4"/>
      <c r="D10599" s="67"/>
      <c r="G10599" s="68"/>
      <c r="K10599" s="68"/>
    </row>
    <row r="10600" spans="2:11" ht="12.75">
      <c r="B10600" s="4"/>
      <c r="D10600" s="67"/>
      <c r="G10600" s="68"/>
      <c r="K10600" s="68"/>
    </row>
    <row r="10601" spans="2:11" ht="12.75">
      <c r="B10601" s="4"/>
      <c r="D10601" s="67"/>
      <c r="G10601" s="68"/>
      <c r="K10601" s="68"/>
    </row>
    <row r="10602" spans="2:11" ht="12.75">
      <c r="B10602" s="4"/>
      <c r="D10602" s="67"/>
      <c r="G10602" s="68"/>
      <c r="K10602" s="68"/>
    </row>
    <row r="10603" spans="2:11" ht="12.75">
      <c r="B10603" s="4"/>
      <c r="D10603" s="67"/>
      <c r="G10603" s="68"/>
      <c r="K10603" s="68"/>
    </row>
    <row r="10604" spans="2:11" ht="12.75">
      <c r="B10604" s="4"/>
      <c r="D10604" s="67"/>
      <c r="G10604" s="68"/>
      <c r="K10604" s="68"/>
    </row>
    <row r="10605" spans="2:11" ht="12.75">
      <c r="B10605" s="4"/>
      <c r="D10605" s="67"/>
      <c r="G10605" s="68"/>
      <c r="K10605" s="68"/>
    </row>
    <row r="10606" spans="2:11" ht="12.75">
      <c r="B10606" s="4"/>
      <c r="D10606" s="67"/>
      <c r="G10606" s="68"/>
      <c r="K10606" s="68"/>
    </row>
    <row r="10607" spans="2:11" ht="12.75">
      <c r="B10607" s="4"/>
      <c r="D10607" s="67"/>
      <c r="G10607" s="68"/>
      <c r="K10607" s="68"/>
    </row>
    <row r="10608" spans="2:11" ht="12.75">
      <c r="B10608" s="4"/>
      <c r="D10608" s="67"/>
      <c r="G10608" s="68"/>
      <c r="K10608" s="68"/>
    </row>
    <row r="10609" spans="2:11" ht="12.75">
      <c r="B10609" s="4"/>
      <c r="D10609" s="67"/>
      <c r="G10609" s="68"/>
      <c r="K10609" s="68"/>
    </row>
    <row r="10610" spans="2:11" ht="12.75">
      <c r="B10610" s="4"/>
      <c r="D10610" s="67"/>
      <c r="G10610" s="68"/>
      <c r="K10610" s="68"/>
    </row>
    <row r="10611" spans="2:11" ht="12.75">
      <c r="B10611" s="4"/>
      <c r="D10611" s="67"/>
      <c r="G10611" s="68"/>
      <c r="K10611" s="68"/>
    </row>
    <row r="10612" spans="2:11" ht="12.75">
      <c r="B10612" s="4"/>
      <c r="D10612" s="67"/>
      <c r="G10612" s="68"/>
      <c r="K10612" s="68"/>
    </row>
    <row r="10613" spans="2:11" ht="12.75">
      <c r="B10613" s="4"/>
      <c r="D10613" s="67"/>
      <c r="G10613" s="68"/>
      <c r="K10613" s="68"/>
    </row>
    <row r="10614" spans="2:11" ht="12.75">
      <c r="B10614" s="4"/>
      <c r="D10614" s="67"/>
      <c r="G10614" s="68"/>
      <c r="K10614" s="68"/>
    </row>
    <row r="10615" spans="2:11" ht="12.75">
      <c r="B10615" s="4"/>
      <c r="D10615" s="67"/>
      <c r="G10615" s="68"/>
      <c r="K10615" s="68"/>
    </row>
    <row r="10616" spans="2:11" ht="12.75">
      <c r="B10616" s="4"/>
      <c r="D10616" s="67"/>
      <c r="G10616" s="68"/>
      <c r="K10616" s="68"/>
    </row>
    <row r="10617" spans="2:11" ht="12.75">
      <c r="B10617" s="4"/>
      <c r="D10617" s="67"/>
      <c r="G10617" s="68"/>
      <c r="K10617" s="68"/>
    </row>
    <row r="10618" spans="2:11" ht="12.75">
      <c r="B10618" s="4"/>
      <c r="D10618" s="67"/>
      <c r="G10618" s="68"/>
      <c r="K10618" s="68"/>
    </row>
    <row r="10619" spans="2:11" ht="12.75">
      <c r="B10619" s="4"/>
      <c r="D10619" s="67"/>
      <c r="G10619" s="68"/>
      <c r="K10619" s="68"/>
    </row>
    <row r="10620" spans="2:11" ht="12.75">
      <c r="B10620" s="4"/>
      <c r="D10620" s="67"/>
      <c r="G10620" s="68"/>
      <c r="K10620" s="68"/>
    </row>
    <row r="10621" spans="2:11" ht="12.75">
      <c r="B10621" s="4"/>
      <c r="D10621" s="67"/>
      <c r="G10621" s="68"/>
      <c r="K10621" s="68"/>
    </row>
    <row r="10622" spans="2:11" ht="12.75">
      <c r="B10622" s="4"/>
      <c r="D10622" s="67"/>
      <c r="G10622" s="68"/>
      <c r="K10622" s="68"/>
    </row>
    <row r="10623" spans="2:11" ht="12.75">
      <c r="B10623" s="4"/>
      <c r="D10623" s="67"/>
      <c r="G10623" s="68"/>
      <c r="K10623" s="68"/>
    </row>
    <row r="10624" spans="2:11" ht="12.75">
      <c r="B10624" s="4"/>
      <c r="D10624" s="67"/>
      <c r="G10624" s="68"/>
      <c r="K10624" s="68"/>
    </row>
    <row r="10625" spans="2:11" ht="12.75">
      <c r="B10625" s="4"/>
      <c r="D10625" s="67"/>
      <c r="G10625" s="68"/>
      <c r="K10625" s="68"/>
    </row>
    <row r="10626" spans="2:11" ht="12.75">
      <c r="B10626" s="4"/>
      <c r="D10626" s="67"/>
      <c r="G10626" s="68"/>
      <c r="K10626" s="68"/>
    </row>
    <row r="10627" spans="2:11" ht="12.75">
      <c r="B10627" s="4"/>
      <c r="D10627" s="67"/>
      <c r="G10627" s="68"/>
      <c r="K10627" s="68"/>
    </row>
    <row r="10628" spans="2:11" ht="12.75">
      <c r="B10628" s="4"/>
      <c r="D10628" s="67"/>
      <c r="G10628" s="68"/>
      <c r="K10628" s="68"/>
    </row>
    <row r="10629" spans="2:11" ht="12.75">
      <c r="B10629" s="4"/>
      <c r="D10629" s="67"/>
      <c r="G10629" s="68"/>
      <c r="K10629" s="68"/>
    </row>
    <row r="10630" spans="2:11" ht="12.75">
      <c r="B10630" s="4"/>
      <c r="D10630" s="67"/>
      <c r="G10630" s="68"/>
      <c r="K10630" s="68"/>
    </row>
    <row r="10631" spans="2:11" ht="12.75">
      <c r="B10631" s="4"/>
      <c r="D10631" s="67"/>
      <c r="G10631" s="68"/>
      <c r="K10631" s="68"/>
    </row>
    <row r="10632" spans="2:11" ht="12.75">
      <c r="B10632" s="4"/>
      <c r="D10632" s="67"/>
      <c r="G10632" s="68"/>
      <c r="K10632" s="68"/>
    </row>
    <row r="10633" spans="2:11" ht="12.75">
      <c r="B10633" s="4"/>
      <c r="D10633" s="67"/>
      <c r="G10633" s="68"/>
      <c r="K10633" s="68"/>
    </row>
    <row r="10634" spans="2:11" ht="12.75">
      <c r="B10634" s="4"/>
      <c r="D10634" s="67"/>
      <c r="G10634" s="68"/>
      <c r="K10634" s="68"/>
    </row>
    <row r="10635" spans="2:11" ht="12.75">
      <c r="B10635" s="4"/>
      <c r="D10635" s="67"/>
      <c r="G10635" s="68"/>
      <c r="K10635" s="68"/>
    </row>
    <row r="10636" spans="2:11" ht="12.75">
      <c r="B10636" s="4"/>
      <c r="D10636" s="67"/>
      <c r="G10636" s="68"/>
      <c r="K10636" s="68"/>
    </row>
    <row r="10637" spans="2:11" ht="12.75">
      <c r="B10637" s="4"/>
      <c r="D10637" s="67"/>
      <c r="G10637" s="68"/>
      <c r="K10637" s="68"/>
    </row>
    <row r="10638" spans="2:11" ht="12.75">
      <c r="B10638" s="4"/>
      <c r="D10638" s="67"/>
      <c r="G10638" s="68"/>
      <c r="K10638" s="68"/>
    </row>
    <row r="10639" spans="2:11" ht="12.75">
      <c r="B10639" s="4"/>
      <c r="D10639" s="67"/>
      <c r="G10639" s="68"/>
      <c r="K10639" s="68"/>
    </row>
    <row r="10640" spans="2:11" ht="12.75">
      <c r="B10640" s="4"/>
      <c r="D10640" s="67"/>
      <c r="G10640" s="68"/>
      <c r="K10640" s="68"/>
    </row>
    <row r="10641" spans="2:11" ht="12.75">
      <c r="B10641" s="4"/>
      <c r="D10641" s="67"/>
      <c r="G10641" s="68"/>
      <c r="K10641" s="68"/>
    </row>
    <row r="10642" spans="2:11" ht="12.75">
      <c r="B10642" s="4"/>
      <c r="D10642" s="67"/>
      <c r="G10642" s="68"/>
      <c r="K10642" s="68"/>
    </row>
    <row r="10643" spans="2:11" ht="12.75">
      <c r="B10643" s="4"/>
      <c r="D10643" s="67"/>
      <c r="G10643" s="68"/>
      <c r="K10643" s="68"/>
    </row>
    <row r="10644" spans="2:11" ht="12.75">
      <c r="B10644" s="4"/>
      <c r="D10644" s="67"/>
      <c r="G10644" s="68"/>
      <c r="K10644" s="68"/>
    </row>
    <row r="10645" spans="2:11" ht="12.75">
      <c r="B10645" s="4"/>
      <c r="D10645" s="67"/>
      <c r="G10645" s="68"/>
      <c r="K10645" s="68"/>
    </row>
    <row r="10646" spans="2:11" ht="12.75">
      <c r="B10646" s="4"/>
      <c r="D10646" s="67"/>
      <c r="G10646" s="68"/>
      <c r="K10646" s="68"/>
    </row>
    <row r="10647" spans="2:11" ht="12.75">
      <c r="B10647" s="4"/>
      <c r="D10647" s="67"/>
      <c r="G10647" s="68"/>
      <c r="K10647" s="68"/>
    </row>
    <row r="10648" spans="2:11" ht="12.75">
      <c r="B10648" s="4"/>
      <c r="D10648" s="67"/>
      <c r="G10648" s="68"/>
      <c r="K10648" s="68"/>
    </row>
    <row r="10649" spans="2:11" ht="12.75">
      <c r="B10649" s="4"/>
      <c r="D10649" s="67"/>
      <c r="G10649" s="68"/>
      <c r="K10649" s="68"/>
    </row>
    <row r="10650" spans="2:11" ht="12.75">
      <c r="B10650" s="4"/>
      <c r="D10650" s="67"/>
      <c r="G10650" s="68"/>
      <c r="K10650" s="68"/>
    </row>
    <row r="10651" spans="2:11" ht="12.75">
      <c r="B10651" s="4"/>
      <c r="D10651" s="67"/>
      <c r="G10651" s="68"/>
      <c r="K10651" s="68"/>
    </row>
    <row r="10652" spans="2:11" ht="12.75">
      <c r="B10652" s="4"/>
      <c r="D10652" s="67"/>
      <c r="G10652" s="68"/>
      <c r="K10652" s="68"/>
    </row>
    <row r="10653" spans="2:11" ht="12.75">
      <c r="B10653" s="4"/>
      <c r="D10653" s="67"/>
      <c r="G10653" s="68"/>
      <c r="K10653" s="68"/>
    </row>
    <row r="10654" spans="2:11" ht="12.75">
      <c r="B10654" s="4"/>
      <c r="D10654" s="67"/>
      <c r="G10654" s="68"/>
      <c r="K10654" s="68"/>
    </row>
    <row r="10655" spans="2:11" ht="12.75">
      <c r="B10655" s="4"/>
      <c r="D10655" s="67"/>
      <c r="G10655" s="68"/>
      <c r="K10655" s="68"/>
    </row>
    <row r="10656" spans="2:11" ht="12.75">
      <c r="B10656" s="4"/>
      <c r="D10656" s="67"/>
      <c r="G10656" s="68"/>
      <c r="K10656" s="68"/>
    </row>
    <row r="10657" spans="2:11" ht="12.75">
      <c r="B10657" s="4"/>
      <c r="D10657" s="67"/>
      <c r="G10657" s="68"/>
      <c r="K10657" s="68"/>
    </row>
    <row r="10658" spans="2:11" ht="12.75">
      <c r="B10658" s="4"/>
      <c r="D10658" s="67"/>
      <c r="G10658" s="68"/>
      <c r="K10658" s="68"/>
    </row>
    <row r="10659" spans="2:11" ht="12.75">
      <c r="B10659" s="4"/>
      <c r="D10659" s="67"/>
      <c r="G10659" s="68"/>
      <c r="K10659" s="68"/>
    </row>
    <row r="10660" spans="2:11" ht="12.75">
      <c r="B10660" s="4"/>
      <c r="D10660" s="67"/>
      <c r="G10660" s="68"/>
      <c r="K10660" s="68"/>
    </row>
    <row r="10661" spans="2:11" ht="12.75">
      <c r="B10661" s="4"/>
      <c r="D10661" s="67"/>
      <c r="G10661" s="68"/>
      <c r="K10661" s="68"/>
    </row>
    <row r="10662" spans="2:11" ht="12.75">
      <c r="B10662" s="4"/>
      <c r="D10662" s="67"/>
      <c r="G10662" s="68"/>
      <c r="K10662" s="68"/>
    </row>
    <row r="10663" spans="2:11" ht="12.75">
      <c r="B10663" s="4"/>
      <c r="D10663" s="67"/>
      <c r="G10663" s="68"/>
      <c r="K10663" s="68"/>
    </row>
    <row r="10664" spans="2:11" ht="12.75">
      <c r="B10664" s="4"/>
      <c r="D10664" s="67"/>
      <c r="G10664" s="68"/>
      <c r="K10664" s="68"/>
    </row>
    <row r="10665" spans="2:11" ht="12.75">
      <c r="B10665" s="4"/>
      <c r="D10665" s="67"/>
      <c r="G10665" s="68"/>
      <c r="K10665" s="68"/>
    </row>
    <row r="10666" spans="2:11" ht="12.75">
      <c r="B10666" s="4"/>
      <c r="D10666" s="67"/>
      <c r="G10666" s="68"/>
      <c r="K10666" s="68"/>
    </row>
    <row r="10667" spans="2:11" ht="12.75">
      <c r="B10667" s="4"/>
      <c r="D10667" s="67"/>
      <c r="G10667" s="68"/>
      <c r="K10667" s="68"/>
    </row>
    <row r="10668" spans="2:11" ht="12.75">
      <c r="B10668" s="4"/>
      <c r="D10668" s="67"/>
      <c r="G10668" s="68"/>
      <c r="K10668" s="68"/>
    </row>
    <row r="10669" spans="2:11" ht="12.75">
      <c r="B10669" s="4"/>
      <c r="D10669" s="67"/>
      <c r="G10669" s="68"/>
      <c r="K10669" s="68"/>
    </row>
    <row r="10670" spans="2:11" ht="12.75">
      <c r="B10670" s="4"/>
      <c r="D10670" s="67"/>
      <c r="G10670" s="68"/>
      <c r="K10670" s="68"/>
    </row>
    <row r="10671" spans="2:11" ht="12.75">
      <c r="B10671" s="4"/>
      <c r="D10671" s="67"/>
      <c r="G10671" s="68"/>
      <c r="K10671" s="68"/>
    </row>
    <row r="10672" spans="2:11" ht="12.75">
      <c r="B10672" s="4"/>
      <c r="D10672" s="67"/>
      <c r="G10672" s="68"/>
      <c r="K10672" s="68"/>
    </row>
    <row r="10673" spans="2:11" ht="12.75">
      <c r="B10673" s="4"/>
      <c r="D10673" s="67"/>
      <c r="G10673" s="68"/>
      <c r="K10673" s="68"/>
    </row>
    <row r="10674" spans="2:11" ht="12.75">
      <c r="B10674" s="4"/>
      <c r="D10674" s="67"/>
      <c r="G10674" s="68"/>
      <c r="K10674" s="68"/>
    </row>
    <row r="10675" spans="2:11" ht="12.75">
      <c r="B10675" s="4"/>
      <c r="D10675" s="67"/>
      <c r="G10675" s="68"/>
      <c r="K10675" s="68"/>
    </row>
    <row r="10676" spans="2:11" ht="12.75">
      <c r="B10676" s="4"/>
      <c r="D10676" s="67"/>
      <c r="G10676" s="68"/>
      <c r="K10676" s="68"/>
    </row>
    <row r="10677" spans="2:11" ht="12.75">
      <c r="B10677" s="4"/>
      <c r="D10677" s="67"/>
      <c r="G10677" s="68"/>
      <c r="K10677" s="68"/>
    </row>
    <row r="10678" spans="2:11" ht="12.75">
      <c r="B10678" s="4"/>
      <c r="D10678" s="67"/>
      <c r="G10678" s="68"/>
      <c r="K10678" s="68"/>
    </row>
    <row r="10679" spans="2:11" ht="12.75">
      <c r="B10679" s="4"/>
      <c r="D10679" s="67"/>
      <c r="G10679" s="68"/>
      <c r="K10679" s="68"/>
    </row>
    <row r="10680" spans="2:11" ht="12.75">
      <c r="B10680" s="4"/>
      <c r="D10680" s="67"/>
      <c r="G10680" s="68"/>
      <c r="K10680" s="68"/>
    </row>
    <row r="10681" spans="2:11" ht="12.75">
      <c r="B10681" s="4"/>
      <c r="D10681" s="67"/>
      <c r="G10681" s="68"/>
      <c r="K10681" s="68"/>
    </row>
    <row r="10682" spans="2:11" ht="12.75">
      <c r="B10682" s="4"/>
      <c r="D10682" s="67"/>
      <c r="G10682" s="68"/>
      <c r="K10682" s="68"/>
    </row>
    <row r="10683" spans="2:11" ht="12.75">
      <c r="B10683" s="4"/>
      <c r="D10683" s="67"/>
      <c r="G10683" s="68"/>
      <c r="K10683" s="68"/>
    </row>
    <row r="10684" spans="2:11" ht="12.75">
      <c r="B10684" s="4"/>
      <c r="D10684" s="67"/>
      <c r="G10684" s="68"/>
      <c r="K10684" s="68"/>
    </row>
    <row r="10685" spans="2:11" ht="12.75">
      <c r="B10685" s="4"/>
      <c r="D10685" s="67"/>
      <c r="G10685" s="68"/>
      <c r="K10685" s="68"/>
    </row>
    <row r="10686" spans="2:11" ht="12.75">
      <c r="B10686" s="4"/>
      <c r="D10686" s="67"/>
      <c r="G10686" s="68"/>
      <c r="K10686" s="68"/>
    </row>
    <row r="10687" spans="2:11" ht="12.75">
      <c r="B10687" s="4"/>
      <c r="D10687" s="67"/>
      <c r="G10687" s="68"/>
      <c r="K10687" s="68"/>
    </row>
    <row r="10688" spans="2:11" ht="12.75">
      <c r="B10688" s="4"/>
      <c r="D10688" s="67"/>
      <c r="G10688" s="68"/>
      <c r="K10688" s="68"/>
    </row>
    <row r="10689" spans="2:11" ht="12.75">
      <c r="B10689" s="4"/>
      <c r="D10689" s="67"/>
      <c r="G10689" s="68"/>
      <c r="K10689" s="68"/>
    </row>
    <row r="10690" spans="2:11" ht="12.75">
      <c r="B10690" s="4"/>
      <c r="D10690" s="67"/>
      <c r="G10690" s="68"/>
      <c r="K10690" s="68"/>
    </row>
    <row r="10691" spans="2:11" ht="12.75">
      <c r="B10691" s="4"/>
      <c r="D10691" s="67"/>
      <c r="G10691" s="68"/>
      <c r="K10691" s="68"/>
    </row>
    <row r="10692" spans="2:11" ht="12.75">
      <c r="B10692" s="4"/>
      <c r="D10692" s="67"/>
      <c r="G10692" s="68"/>
      <c r="K10692" s="68"/>
    </row>
    <row r="10693" spans="2:11" ht="12.75">
      <c r="B10693" s="4"/>
      <c r="D10693" s="67"/>
      <c r="G10693" s="68"/>
      <c r="K10693" s="68"/>
    </row>
    <row r="10694" spans="2:11" ht="12.75">
      <c r="B10694" s="4"/>
      <c r="D10694" s="67"/>
      <c r="G10694" s="68"/>
      <c r="K10694" s="68"/>
    </row>
    <row r="10695" spans="2:11" ht="12.75">
      <c r="B10695" s="4"/>
      <c r="D10695" s="67"/>
      <c r="G10695" s="68"/>
      <c r="K10695" s="68"/>
    </row>
    <row r="10696" spans="2:11" ht="12.75">
      <c r="B10696" s="4"/>
      <c r="D10696" s="67"/>
      <c r="G10696" s="68"/>
      <c r="K10696" s="68"/>
    </row>
    <row r="10697" spans="2:11" ht="12.75">
      <c r="B10697" s="4"/>
      <c r="D10697" s="67"/>
      <c r="G10697" s="68"/>
      <c r="K10697" s="68"/>
    </row>
    <row r="10698" spans="2:11" ht="12.75">
      <c r="B10698" s="4"/>
      <c r="D10698" s="67"/>
      <c r="G10698" s="68"/>
      <c r="K10698" s="68"/>
    </row>
    <row r="10699" spans="2:11" ht="12.75">
      <c r="B10699" s="4"/>
      <c r="D10699" s="67"/>
      <c r="G10699" s="68"/>
      <c r="K10699" s="68"/>
    </row>
    <row r="10700" spans="2:11" ht="12.75">
      <c r="B10700" s="4"/>
      <c r="D10700" s="67"/>
      <c r="G10700" s="68"/>
      <c r="K10700" s="68"/>
    </row>
    <row r="10701" spans="2:11" ht="12.75">
      <c r="B10701" s="4"/>
      <c r="D10701" s="67"/>
      <c r="G10701" s="68"/>
      <c r="K10701" s="68"/>
    </row>
    <row r="10702" spans="2:11" ht="12.75">
      <c r="B10702" s="4"/>
      <c r="D10702" s="67"/>
      <c r="G10702" s="68"/>
      <c r="K10702" s="68"/>
    </row>
    <row r="10703" spans="2:11" ht="12.75">
      <c r="B10703" s="4"/>
      <c r="D10703" s="67"/>
      <c r="G10703" s="68"/>
      <c r="K10703" s="68"/>
    </row>
    <row r="10704" spans="2:11" ht="12.75">
      <c r="B10704" s="4"/>
      <c r="D10704" s="67"/>
      <c r="G10704" s="68"/>
      <c r="K10704" s="68"/>
    </row>
    <row r="10705" spans="2:11" ht="12.75">
      <c r="B10705" s="4"/>
      <c r="D10705" s="67"/>
      <c r="G10705" s="68"/>
      <c r="K10705" s="68"/>
    </row>
    <row r="10706" spans="2:11" ht="12.75">
      <c r="B10706" s="4"/>
      <c r="D10706" s="67"/>
      <c r="G10706" s="68"/>
      <c r="K10706" s="68"/>
    </row>
    <row r="10707" spans="2:11" ht="12.75">
      <c r="B10707" s="4"/>
      <c r="D10707" s="67"/>
      <c r="G10707" s="68"/>
      <c r="K10707" s="68"/>
    </row>
    <row r="10708" spans="2:11" ht="12.75">
      <c r="B10708" s="4"/>
      <c r="D10708" s="67"/>
      <c r="G10708" s="68"/>
      <c r="K10708" s="68"/>
    </row>
    <row r="10709" spans="2:11" ht="12.75">
      <c r="B10709" s="4"/>
      <c r="D10709" s="67"/>
      <c r="G10709" s="68"/>
      <c r="K10709" s="68"/>
    </row>
    <row r="10710" spans="2:11" ht="12.75">
      <c r="B10710" s="4"/>
      <c r="D10710" s="67"/>
      <c r="G10710" s="68"/>
      <c r="K10710" s="68"/>
    </row>
    <row r="10711" spans="2:11" ht="12.75">
      <c r="B10711" s="4"/>
      <c r="D10711" s="67"/>
      <c r="G10711" s="68"/>
      <c r="K10711" s="68"/>
    </row>
    <row r="10712" spans="2:11" ht="12.75">
      <c r="B10712" s="4"/>
      <c r="D10712" s="67"/>
      <c r="G10712" s="68"/>
      <c r="K10712" s="68"/>
    </row>
    <row r="10713" spans="2:11" ht="12.75">
      <c r="B10713" s="4"/>
      <c r="D10713" s="67"/>
      <c r="G10713" s="68"/>
      <c r="K10713" s="68"/>
    </row>
    <row r="10714" spans="2:11" ht="12.75">
      <c r="B10714" s="4"/>
      <c r="D10714" s="67"/>
      <c r="G10714" s="68"/>
      <c r="K10714" s="68"/>
    </row>
    <row r="10715" spans="2:11" ht="12.75">
      <c r="B10715" s="4"/>
      <c r="D10715" s="67"/>
      <c r="G10715" s="68"/>
      <c r="K10715" s="68"/>
    </row>
    <row r="10716" spans="2:11" ht="12.75">
      <c r="B10716" s="4"/>
      <c r="D10716" s="67"/>
      <c r="G10716" s="68"/>
      <c r="K10716" s="68"/>
    </row>
    <row r="10717" spans="2:11" ht="12.75">
      <c r="B10717" s="4"/>
      <c r="D10717" s="67"/>
      <c r="G10717" s="68"/>
      <c r="K10717" s="68"/>
    </row>
    <row r="10718" spans="2:11" ht="12.75">
      <c r="B10718" s="4"/>
      <c r="D10718" s="67"/>
      <c r="G10718" s="68"/>
      <c r="K10718" s="68"/>
    </row>
    <row r="10719" spans="2:11" ht="12.75">
      <c r="B10719" s="4"/>
      <c r="D10719" s="67"/>
      <c r="G10719" s="68"/>
      <c r="K10719" s="68"/>
    </row>
    <row r="10720" spans="2:11" ht="12.75">
      <c r="B10720" s="4"/>
      <c r="D10720" s="67"/>
      <c r="G10720" s="68"/>
      <c r="K10720" s="68"/>
    </row>
    <row r="10721" spans="2:11" ht="12.75">
      <c r="B10721" s="4"/>
      <c r="D10721" s="67"/>
      <c r="G10721" s="68"/>
      <c r="K10721" s="68"/>
    </row>
    <row r="10722" spans="2:11" ht="12.75">
      <c r="B10722" s="4"/>
      <c r="D10722" s="67"/>
      <c r="G10722" s="68"/>
      <c r="K10722" s="68"/>
    </row>
    <row r="10723" spans="2:11" ht="12.75">
      <c r="B10723" s="4"/>
      <c r="D10723" s="67"/>
      <c r="G10723" s="68"/>
      <c r="K10723" s="68"/>
    </row>
    <row r="10724" spans="2:11" ht="12.75">
      <c r="B10724" s="4"/>
      <c r="D10724" s="67"/>
      <c r="G10724" s="68"/>
      <c r="K10724" s="68"/>
    </row>
    <row r="10725" spans="2:11" ht="12.75">
      <c r="B10725" s="4"/>
      <c r="D10725" s="67"/>
      <c r="G10725" s="68"/>
      <c r="K10725" s="68"/>
    </row>
    <row r="10726" spans="2:11" ht="12.75">
      <c r="B10726" s="4"/>
      <c r="D10726" s="67"/>
      <c r="G10726" s="68"/>
      <c r="K10726" s="68"/>
    </row>
    <row r="10727" spans="2:11" ht="12.75">
      <c r="B10727" s="4"/>
      <c r="D10727" s="67"/>
      <c r="G10727" s="68"/>
      <c r="K10727" s="68"/>
    </row>
    <row r="10728" spans="2:11" ht="12.75">
      <c r="B10728" s="4"/>
      <c r="D10728" s="67"/>
      <c r="G10728" s="68"/>
      <c r="K10728" s="68"/>
    </row>
    <row r="10729" spans="2:11" ht="12.75">
      <c r="B10729" s="4"/>
      <c r="D10729" s="67"/>
      <c r="G10729" s="68"/>
      <c r="K10729" s="68"/>
    </row>
    <row r="10730" spans="2:11" ht="12.75">
      <c r="B10730" s="4"/>
      <c r="D10730" s="67"/>
      <c r="G10730" s="68"/>
      <c r="K10730" s="68"/>
    </row>
    <row r="10731" spans="2:11" ht="12.75">
      <c r="B10731" s="4"/>
      <c r="D10731" s="67"/>
      <c r="G10731" s="68"/>
      <c r="K10731" s="68"/>
    </row>
    <row r="10732" spans="2:11" ht="12.75">
      <c r="B10732" s="4"/>
      <c r="D10732" s="67"/>
      <c r="G10732" s="68"/>
      <c r="K10732" s="68"/>
    </row>
    <row r="10733" spans="2:11" ht="12.75">
      <c r="B10733" s="4"/>
      <c r="D10733" s="67"/>
      <c r="G10733" s="68"/>
      <c r="K10733" s="68"/>
    </row>
    <row r="10734" spans="2:11" ht="12.75">
      <c r="B10734" s="4"/>
      <c r="D10734" s="67"/>
      <c r="G10734" s="68"/>
      <c r="K10734" s="68"/>
    </row>
    <row r="10735" spans="2:11" ht="12.75">
      <c r="B10735" s="4"/>
      <c r="D10735" s="67"/>
      <c r="G10735" s="68"/>
      <c r="K10735" s="68"/>
    </row>
    <row r="10736" spans="2:11" ht="12.75">
      <c r="B10736" s="4"/>
      <c r="D10736" s="67"/>
      <c r="G10736" s="68"/>
      <c r="K10736" s="68"/>
    </row>
    <row r="10737" spans="2:11" ht="12.75">
      <c r="B10737" s="4"/>
      <c r="D10737" s="67"/>
      <c r="G10737" s="68"/>
      <c r="K10737" s="68"/>
    </row>
    <row r="10738" spans="2:11" ht="12.75">
      <c r="B10738" s="4"/>
      <c r="D10738" s="67"/>
      <c r="G10738" s="68"/>
      <c r="K10738" s="68"/>
    </row>
    <row r="10739" spans="2:11" ht="12.75">
      <c r="B10739" s="4"/>
      <c r="D10739" s="67"/>
      <c r="G10739" s="68"/>
      <c r="K10739" s="68"/>
    </row>
    <row r="10740" spans="2:11" ht="12.75">
      <c r="B10740" s="4"/>
      <c r="D10740" s="67"/>
      <c r="G10740" s="68"/>
      <c r="K10740" s="68"/>
    </row>
    <row r="10741" spans="2:11" ht="12.75">
      <c r="B10741" s="4"/>
      <c r="D10741" s="67"/>
      <c r="G10741" s="68"/>
      <c r="K10741" s="68"/>
    </row>
    <row r="10742" spans="2:11" ht="12.75">
      <c r="B10742" s="4"/>
      <c r="D10742" s="67"/>
      <c r="G10742" s="68"/>
      <c r="K10742" s="68"/>
    </row>
    <row r="10743" spans="2:11" ht="12.75">
      <c r="B10743" s="4"/>
      <c r="D10743" s="67"/>
      <c r="G10743" s="68"/>
      <c r="K10743" s="68"/>
    </row>
    <row r="10744" spans="2:11" ht="12.75">
      <c r="B10744" s="4"/>
      <c r="D10744" s="67"/>
      <c r="G10744" s="68"/>
      <c r="K10744" s="68"/>
    </row>
    <row r="10745" spans="2:11" ht="12.75">
      <c r="B10745" s="4"/>
      <c r="D10745" s="67"/>
      <c r="G10745" s="68"/>
      <c r="K10745" s="68"/>
    </row>
    <row r="10746" spans="2:11" ht="12.75">
      <c r="B10746" s="4"/>
      <c r="D10746" s="67"/>
      <c r="G10746" s="68"/>
      <c r="K10746" s="68"/>
    </row>
    <row r="10747" spans="2:11" ht="12.75">
      <c r="B10747" s="4"/>
      <c r="D10747" s="67"/>
      <c r="G10747" s="68"/>
      <c r="K10747" s="68"/>
    </row>
    <row r="10748" spans="2:11" ht="12.75">
      <c r="B10748" s="4"/>
      <c r="D10748" s="67"/>
      <c r="G10748" s="68"/>
      <c r="K10748" s="68"/>
    </row>
    <row r="10749" spans="2:11" ht="12.75">
      <c r="B10749" s="4"/>
      <c r="D10749" s="67"/>
      <c r="G10749" s="68"/>
      <c r="K10749" s="68"/>
    </row>
    <row r="10750" spans="2:11" ht="12.75">
      <c r="B10750" s="4"/>
      <c r="D10750" s="67"/>
      <c r="G10750" s="68"/>
      <c r="K10750" s="68"/>
    </row>
    <row r="10751" spans="2:11" ht="12.75">
      <c r="B10751" s="4"/>
      <c r="D10751" s="67"/>
      <c r="G10751" s="68"/>
      <c r="K10751" s="68"/>
    </row>
    <row r="10752" spans="2:11" ht="12.75">
      <c r="B10752" s="4"/>
      <c r="D10752" s="67"/>
      <c r="G10752" s="68"/>
      <c r="K10752" s="68"/>
    </row>
    <row r="10753" spans="2:11" ht="12.75">
      <c r="B10753" s="4"/>
      <c r="D10753" s="67"/>
      <c r="G10753" s="68"/>
      <c r="K10753" s="68"/>
    </row>
    <row r="10754" spans="2:11" ht="12.75">
      <c r="B10754" s="4"/>
      <c r="D10754" s="67"/>
      <c r="G10754" s="68"/>
      <c r="K10754" s="68"/>
    </row>
    <row r="10755" spans="2:11" ht="12.75">
      <c r="B10755" s="4"/>
      <c r="D10755" s="67"/>
      <c r="G10755" s="68"/>
      <c r="K10755" s="68"/>
    </row>
    <row r="10756" spans="2:11" ht="12.75">
      <c r="B10756" s="4"/>
      <c r="D10756" s="67"/>
      <c r="G10756" s="68"/>
      <c r="K10756" s="68"/>
    </row>
    <row r="10757" spans="2:11" ht="12.75">
      <c r="B10757" s="4"/>
      <c r="D10757" s="67"/>
      <c r="G10757" s="68"/>
      <c r="K10757" s="68"/>
    </row>
    <row r="10758" spans="2:11" ht="12.75">
      <c r="B10758" s="4"/>
      <c r="D10758" s="67"/>
      <c r="G10758" s="68"/>
      <c r="K10758" s="68"/>
    </row>
    <row r="10759" spans="2:11" ht="12.75">
      <c r="B10759" s="4"/>
      <c r="D10759" s="67"/>
      <c r="G10759" s="68"/>
      <c r="K10759" s="68"/>
    </row>
    <row r="10760" spans="2:11" ht="12.75">
      <c r="B10760" s="4"/>
      <c r="D10760" s="67"/>
      <c r="G10760" s="68"/>
      <c r="K10760" s="68"/>
    </row>
    <row r="10761" spans="2:11" ht="12.75">
      <c r="B10761" s="4"/>
      <c r="D10761" s="67"/>
      <c r="G10761" s="68"/>
      <c r="K10761" s="68"/>
    </row>
    <row r="10762" spans="2:11" ht="12.75">
      <c r="B10762" s="4"/>
      <c r="D10762" s="67"/>
      <c r="G10762" s="68"/>
      <c r="K10762" s="68"/>
    </row>
    <row r="10763" spans="2:11" ht="12.75">
      <c r="B10763" s="4"/>
      <c r="D10763" s="67"/>
      <c r="G10763" s="68"/>
      <c r="K10763" s="68"/>
    </row>
    <row r="10764" spans="2:11" ht="12.75">
      <c r="B10764" s="4"/>
      <c r="D10764" s="67"/>
      <c r="G10764" s="68"/>
      <c r="K10764" s="68"/>
    </row>
    <row r="10765" spans="2:11" ht="12.75">
      <c r="B10765" s="4"/>
      <c r="D10765" s="67"/>
      <c r="G10765" s="68"/>
      <c r="K10765" s="68"/>
    </row>
    <row r="10766" spans="2:11" ht="12.75">
      <c r="B10766" s="4"/>
      <c r="D10766" s="67"/>
      <c r="G10766" s="68"/>
      <c r="K10766" s="68"/>
    </row>
    <row r="10767" spans="2:11" ht="12.75">
      <c r="B10767" s="4"/>
      <c r="D10767" s="67"/>
      <c r="G10767" s="68"/>
      <c r="K10767" s="68"/>
    </row>
    <row r="10768" spans="2:11" ht="12.75">
      <c r="B10768" s="4"/>
      <c r="D10768" s="67"/>
      <c r="G10768" s="68"/>
      <c r="K10768" s="68"/>
    </row>
    <row r="10769" spans="2:11" ht="12.75">
      <c r="B10769" s="4"/>
      <c r="D10769" s="67"/>
      <c r="G10769" s="68"/>
      <c r="K10769" s="68"/>
    </row>
    <row r="10770" spans="2:11" ht="12.75">
      <c r="B10770" s="4"/>
      <c r="D10770" s="67"/>
      <c r="G10770" s="68"/>
      <c r="K10770" s="68"/>
    </row>
    <row r="10771" spans="2:11" ht="12.75">
      <c r="B10771" s="4"/>
      <c r="D10771" s="67"/>
      <c r="G10771" s="68"/>
      <c r="K10771" s="68"/>
    </row>
    <row r="10772" spans="2:11" ht="12.75">
      <c r="B10772" s="4"/>
      <c r="D10772" s="67"/>
      <c r="G10772" s="68"/>
      <c r="K10772" s="68"/>
    </row>
    <row r="10773" spans="2:11" ht="12.75">
      <c r="B10773" s="4"/>
      <c r="D10773" s="67"/>
      <c r="G10773" s="68"/>
      <c r="K10773" s="68"/>
    </row>
    <row r="10774" spans="2:11" ht="12.75">
      <c r="B10774" s="4"/>
      <c r="D10774" s="67"/>
      <c r="G10774" s="68"/>
      <c r="K10774" s="68"/>
    </row>
    <row r="10775" spans="2:11" ht="12.75">
      <c r="B10775" s="4"/>
      <c r="D10775" s="67"/>
      <c r="G10775" s="68"/>
      <c r="K10775" s="68"/>
    </row>
    <row r="10776" spans="2:11" ht="12.75">
      <c r="B10776" s="4"/>
      <c r="D10776" s="67"/>
      <c r="G10776" s="68"/>
      <c r="K10776" s="68"/>
    </row>
    <row r="10777" spans="2:11" ht="12.75">
      <c r="B10777" s="4"/>
      <c r="D10777" s="67"/>
      <c r="G10777" s="68"/>
      <c r="K10777" s="68"/>
    </row>
    <row r="10778" spans="2:11" ht="12.75">
      <c r="B10778" s="4"/>
      <c r="D10778" s="67"/>
      <c r="G10778" s="68"/>
      <c r="K10778" s="68"/>
    </row>
    <row r="10779" spans="2:11" ht="12.75">
      <c r="B10779" s="4"/>
      <c r="D10779" s="67"/>
      <c r="G10779" s="68"/>
      <c r="K10779" s="68"/>
    </row>
    <row r="10780" spans="2:11" ht="12.75">
      <c r="B10780" s="4"/>
      <c r="D10780" s="67"/>
      <c r="G10780" s="68"/>
      <c r="K10780" s="68"/>
    </row>
    <row r="10781" spans="2:11" ht="12.75">
      <c r="B10781" s="4"/>
      <c r="D10781" s="67"/>
      <c r="G10781" s="68"/>
      <c r="K10781" s="68"/>
    </row>
    <row r="10782" spans="2:11" ht="12.75">
      <c r="B10782" s="4"/>
      <c r="D10782" s="67"/>
      <c r="G10782" s="68"/>
      <c r="K10782" s="68"/>
    </row>
    <row r="10783" spans="2:11" ht="12.75">
      <c r="B10783" s="4"/>
      <c r="D10783" s="67"/>
      <c r="G10783" s="68"/>
      <c r="K10783" s="68"/>
    </row>
    <row r="10784" spans="2:11" ht="12.75">
      <c r="B10784" s="4"/>
      <c r="D10784" s="67"/>
      <c r="G10784" s="68"/>
      <c r="K10784" s="68"/>
    </row>
    <row r="10785" spans="2:11" ht="12.75">
      <c r="B10785" s="4"/>
      <c r="D10785" s="67"/>
      <c r="G10785" s="68"/>
      <c r="K10785" s="68"/>
    </row>
    <row r="10786" spans="2:11" ht="12.75">
      <c r="B10786" s="4"/>
      <c r="D10786" s="67"/>
      <c r="G10786" s="68"/>
      <c r="K10786" s="68"/>
    </row>
    <row r="10787" spans="2:11" ht="12.75">
      <c r="B10787" s="4"/>
      <c r="D10787" s="67"/>
      <c r="G10787" s="68"/>
      <c r="K10787" s="68"/>
    </row>
    <row r="10788" spans="2:11" ht="12.75">
      <c r="B10788" s="4"/>
      <c r="D10788" s="67"/>
      <c r="G10788" s="68"/>
      <c r="K10788" s="68"/>
    </row>
    <row r="10789" spans="2:11" ht="12.75">
      <c r="B10789" s="4"/>
      <c r="D10789" s="67"/>
      <c r="G10789" s="68"/>
      <c r="K10789" s="68"/>
    </row>
    <row r="10790" spans="2:11" ht="12.75">
      <c r="B10790" s="4"/>
      <c r="D10790" s="67"/>
      <c r="G10790" s="68"/>
      <c r="K10790" s="68"/>
    </row>
    <row r="10791" spans="2:11" ht="12.75">
      <c r="B10791" s="4"/>
      <c r="D10791" s="67"/>
      <c r="G10791" s="68"/>
      <c r="K10791" s="68"/>
    </row>
    <row r="10792" spans="2:11" ht="12.75">
      <c r="B10792" s="4"/>
      <c r="D10792" s="67"/>
      <c r="G10792" s="68"/>
      <c r="K10792" s="68"/>
    </row>
    <row r="10793" spans="2:11" ht="12.75">
      <c r="B10793" s="4"/>
      <c r="D10793" s="67"/>
      <c r="G10793" s="68"/>
      <c r="K10793" s="68"/>
    </row>
    <row r="10794" spans="2:11" ht="12.75">
      <c r="B10794" s="4"/>
      <c r="D10794" s="67"/>
      <c r="G10794" s="68"/>
      <c r="K10794" s="68"/>
    </row>
    <row r="10795" spans="2:11" ht="12.75">
      <c r="B10795" s="4"/>
      <c r="D10795" s="67"/>
      <c r="G10795" s="68"/>
      <c r="K10795" s="68"/>
    </row>
    <row r="10796" spans="2:11" ht="12.75">
      <c r="B10796" s="4"/>
      <c r="D10796" s="67"/>
      <c r="G10796" s="68"/>
      <c r="K10796" s="68"/>
    </row>
    <row r="10797" spans="2:11" ht="12.75">
      <c r="B10797" s="4"/>
      <c r="D10797" s="67"/>
      <c r="G10797" s="68"/>
      <c r="K10797" s="68"/>
    </row>
    <row r="10798" spans="2:11" ht="12.75">
      <c r="B10798" s="4"/>
      <c r="D10798" s="67"/>
      <c r="G10798" s="68"/>
      <c r="K10798" s="68"/>
    </row>
    <row r="10799" spans="2:11" ht="12.75">
      <c r="B10799" s="4"/>
      <c r="D10799" s="67"/>
      <c r="G10799" s="68"/>
      <c r="K10799" s="68"/>
    </row>
    <row r="10800" spans="2:11" ht="12.75">
      <c r="B10800" s="4"/>
      <c r="D10800" s="67"/>
      <c r="G10800" s="68"/>
      <c r="K10800" s="68"/>
    </row>
    <row r="10801" spans="2:11" ht="12.75">
      <c r="B10801" s="4"/>
      <c r="D10801" s="67"/>
      <c r="G10801" s="68"/>
      <c r="K10801" s="68"/>
    </row>
    <row r="10802" spans="2:11" ht="12.75">
      <c r="B10802" s="4"/>
      <c r="D10802" s="67"/>
      <c r="G10802" s="68"/>
      <c r="K10802" s="68"/>
    </row>
    <row r="10803" spans="2:11" ht="12.75">
      <c r="B10803" s="4"/>
      <c r="D10803" s="67"/>
      <c r="G10803" s="68"/>
      <c r="K10803" s="68"/>
    </row>
    <row r="10804" spans="2:11" ht="12.75">
      <c r="B10804" s="4"/>
      <c r="D10804" s="67"/>
      <c r="G10804" s="68"/>
      <c r="K10804" s="68"/>
    </row>
    <row r="10805" spans="2:11" ht="12.75">
      <c r="B10805" s="4"/>
      <c r="D10805" s="67"/>
      <c r="G10805" s="68"/>
      <c r="K10805" s="68"/>
    </row>
    <row r="10806" spans="2:11" ht="12.75">
      <c r="B10806" s="4"/>
      <c r="D10806" s="67"/>
      <c r="G10806" s="68"/>
      <c r="K10806" s="68"/>
    </row>
    <row r="10807" spans="2:11" ht="12.75">
      <c r="B10807" s="4"/>
      <c r="D10807" s="67"/>
      <c r="G10807" s="68"/>
      <c r="K10807" s="68"/>
    </row>
    <row r="10808" spans="2:11" ht="12.75">
      <c r="B10808" s="4"/>
      <c r="D10808" s="67"/>
      <c r="G10808" s="68"/>
      <c r="K10808" s="68"/>
    </row>
    <row r="10809" spans="2:11" ht="12.75">
      <c r="B10809" s="4"/>
      <c r="D10809" s="67"/>
      <c r="G10809" s="68"/>
      <c r="K10809" s="68"/>
    </row>
    <row r="10810" spans="2:11" ht="12.75">
      <c r="B10810" s="4"/>
      <c r="D10810" s="67"/>
      <c r="G10810" s="68"/>
      <c r="K10810" s="68"/>
    </row>
    <row r="10811" spans="2:11" ht="12.75">
      <c r="B10811" s="4"/>
      <c r="D10811" s="67"/>
      <c r="G10811" s="68"/>
      <c r="K10811" s="68"/>
    </row>
    <row r="10812" spans="2:11" ht="12.75">
      <c r="B10812" s="4"/>
      <c r="D10812" s="67"/>
      <c r="G10812" s="68"/>
      <c r="K10812" s="68"/>
    </row>
    <row r="10813" spans="2:11" ht="12.75">
      <c r="B10813" s="4"/>
      <c r="D10813" s="67"/>
      <c r="G10813" s="68"/>
      <c r="K10813" s="68"/>
    </row>
    <row r="10814" spans="2:11" ht="12.75">
      <c r="B10814" s="4"/>
      <c r="D10814" s="67"/>
      <c r="G10814" s="68"/>
      <c r="K10814" s="68"/>
    </row>
    <row r="10815" spans="2:11" ht="12.75">
      <c r="B10815" s="4"/>
      <c r="D10815" s="67"/>
      <c r="G10815" s="68"/>
      <c r="K10815" s="68"/>
    </row>
    <row r="10816" spans="2:11" ht="12.75">
      <c r="B10816" s="4"/>
      <c r="D10816" s="67"/>
      <c r="G10816" s="68"/>
      <c r="K10816" s="68"/>
    </row>
    <row r="10817" spans="2:11" ht="12.75">
      <c r="B10817" s="4"/>
      <c r="D10817" s="67"/>
      <c r="G10817" s="68"/>
      <c r="K10817" s="68"/>
    </row>
    <row r="10818" spans="2:11" ht="12.75">
      <c r="B10818" s="4"/>
      <c r="D10818" s="67"/>
      <c r="G10818" s="68"/>
      <c r="K10818" s="68"/>
    </row>
    <row r="10819" spans="2:11" ht="12.75">
      <c r="B10819" s="4"/>
      <c r="D10819" s="67"/>
      <c r="G10819" s="68"/>
      <c r="K10819" s="68"/>
    </row>
    <row r="10820" spans="2:11" ht="12.75">
      <c r="B10820" s="4"/>
      <c r="D10820" s="67"/>
      <c r="G10820" s="68"/>
      <c r="K10820" s="68"/>
    </row>
    <row r="10821" spans="2:11" ht="12.75">
      <c r="B10821" s="4"/>
      <c r="D10821" s="67"/>
      <c r="G10821" s="68"/>
      <c r="K10821" s="68"/>
    </row>
    <row r="10822" spans="2:11" ht="12.75">
      <c r="B10822" s="4"/>
      <c r="D10822" s="67"/>
      <c r="G10822" s="68"/>
      <c r="K10822" s="68"/>
    </row>
    <row r="10823" spans="2:11" ht="12.75">
      <c r="B10823" s="4"/>
      <c r="D10823" s="67"/>
      <c r="G10823" s="68"/>
      <c r="K10823" s="68"/>
    </row>
    <row r="10824" spans="2:11" ht="12.75">
      <c r="B10824" s="4"/>
      <c r="D10824" s="67"/>
      <c r="G10824" s="68"/>
      <c r="K10824" s="68"/>
    </row>
    <row r="10825" spans="2:11" ht="12.75">
      <c r="B10825" s="4"/>
      <c r="D10825" s="67"/>
      <c r="G10825" s="68"/>
      <c r="K10825" s="68"/>
    </row>
    <row r="10826" spans="2:11" ht="12.75">
      <c r="B10826" s="4"/>
      <c r="D10826" s="67"/>
      <c r="G10826" s="68"/>
      <c r="K10826" s="68"/>
    </row>
    <row r="10827" spans="2:11" ht="12.75">
      <c r="B10827" s="4"/>
      <c r="D10827" s="67"/>
      <c r="G10827" s="68"/>
      <c r="K10827" s="68"/>
    </row>
    <row r="10828" spans="2:11" ht="12.75">
      <c r="B10828" s="4"/>
      <c r="D10828" s="67"/>
      <c r="G10828" s="68"/>
      <c r="K10828" s="68"/>
    </row>
    <row r="10829" spans="2:11" ht="12.75">
      <c r="B10829" s="4"/>
      <c r="D10829" s="67"/>
      <c r="G10829" s="68"/>
      <c r="K10829" s="68"/>
    </row>
    <row r="10830" spans="2:11" ht="12.75">
      <c r="B10830" s="4"/>
      <c r="D10830" s="67"/>
      <c r="G10830" s="68"/>
      <c r="K10830" s="68"/>
    </row>
    <row r="10831" spans="2:11" ht="12.75">
      <c r="B10831" s="4"/>
      <c r="D10831" s="67"/>
      <c r="G10831" s="68"/>
      <c r="K10831" s="68"/>
    </row>
    <row r="10832" spans="2:11" ht="12.75">
      <c r="B10832" s="4"/>
      <c r="D10832" s="67"/>
      <c r="G10832" s="68"/>
      <c r="K10832" s="68"/>
    </row>
    <row r="10833" spans="2:11" ht="12.75">
      <c r="B10833" s="4"/>
      <c r="D10833" s="67"/>
      <c r="G10833" s="68"/>
      <c r="K10833" s="68"/>
    </row>
    <row r="10834" spans="2:11" ht="12.75">
      <c r="B10834" s="4"/>
      <c r="D10834" s="67"/>
      <c r="G10834" s="68"/>
      <c r="K10834" s="68"/>
    </row>
    <row r="10835" spans="2:11" ht="12.75">
      <c r="B10835" s="4"/>
      <c r="D10835" s="67"/>
      <c r="G10835" s="68"/>
      <c r="K10835" s="68"/>
    </row>
    <row r="10836" spans="2:11" ht="12.75">
      <c r="B10836" s="4"/>
      <c r="D10836" s="67"/>
      <c r="G10836" s="68"/>
      <c r="K10836" s="68"/>
    </row>
    <row r="10837" spans="2:11" ht="12.75">
      <c r="B10837" s="4"/>
      <c r="D10837" s="67"/>
      <c r="G10837" s="68"/>
      <c r="K10837" s="68"/>
    </row>
    <row r="10838" spans="2:11" ht="12.75">
      <c r="B10838" s="4"/>
      <c r="D10838" s="67"/>
      <c r="G10838" s="68"/>
      <c r="K10838" s="68"/>
    </row>
    <row r="10839" spans="2:11" ht="12.75">
      <c r="B10839" s="4"/>
      <c r="D10839" s="67"/>
      <c r="G10839" s="68"/>
      <c r="K10839" s="68"/>
    </row>
    <row r="10840" spans="2:11" ht="12.75">
      <c r="B10840" s="4"/>
      <c r="D10840" s="67"/>
      <c r="G10840" s="68"/>
      <c r="K10840" s="68"/>
    </row>
    <row r="10841" spans="2:11" ht="12.75">
      <c r="B10841" s="4"/>
      <c r="D10841" s="67"/>
      <c r="G10841" s="68"/>
      <c r="K10841" s="68"/>
    </row>
    <row r="10842" spans="2:11" ht="12.75">
      <c r="B10842" s="4"/>
      <c r="D10842" s="67"/>
      <c r="G10842" s="68"/>
      <c r="K10842" s="68"/>
    </row>
    <row r="10843" spans="2:11" ht="12.75">
      <c r="B10843" s="4"/>
      <c r="D10843" s="67"/>
      <c r="G10843" s="68"/>
      <c r="K10843" s="68"/>
    </row>
    <row r="10844" spans="2:11" ht="12.75">
      <c r="B10844" s="4"/>
      <c r="D10844" s="67"/>
      <c r="G10844" s="68"/>
      <c r="K10844" s="68"/>
    </row>
    <row r="10845" spans="2:11" ht="12.75">
      <c r="B10845" s="4"/>
      <c r="D10845" s="67"/>
      <c r="G10845" s="68"/>
      <c r="K10845" s="68"/>
    </row>
    <row r="10846" spans="2:11" ht="12.75">
      <c r="B10846" s="4"/>
      <c r="D10846" s="67"/>
      <c r="G10846" s="68"/>
      <c r="K10846" s="68"/>
    </row>
    <row r="10847" spans="2:11" ht="12.75">
      <c r="B10847" s="4"/>
      <c r="D10847" s="67"/>
      <c r="G10847" s="68"/>
      <c r="K10847" s="68"/>
    </row>
    <row r="10848" spans="2:11" ht="12.75">
      <c r="B10848" s="4"/>
      <c r="D10848" s="67"/>
      <c r="G10848" s="68"/>
      <c r="K10848" s="68"/>
    </row>
    <row r="10849" spans="2:11" ht="12.75">
      <c r="B10849" s="4"/>
      <c r="D10849" s="67"/>
      <c r="G10849" s="68"/>
      <c r="K10849" s="68"/>
    </row>
    <row r="10850" spans="2:11" ht="12.75">
      <c r="B10850" s="4"/>
      <c r="D10850" s="67"/>
      <c r="G10850" s="68"/>
      <c r="K10850" s="68"/>
    </row>
    <row r="10851" spans="2:11" ht="12.75">
      <c r="B10851" s="4"/>
      <c r="D10851" s="67"/>
      <c r="G10851" s="68"/>
      <c r="K10851" s="68"/>
    </row>
    <row r="10852" spans="2:11" ht="12.75">
      <c r="B10852" s="4"/>
      <c r="D10852" s="67"/>
      <c r="G10852" s="68"/>
      <c r="K10852" s="68"/>
    </row>
    <row r="10853" spans="2:11" ht="12.75">
      <c r="B10853" s="4"/>
      <c r="D10853" s="67"/>
      <c r="G10853" s="68"/>
      <c r="K10853" s="68"/>
    </row>
    <row r="10854" spans="2:11" ht="12.75">
      <c r="B10854" s="4"/>
      <c r="D10854" s="67"/>
      <c r="G10854" s="68"/>
      <c r="K10854" s="68"/>
    </row>
    <row r="10855" spans="2:11" ht="12.75">
      <c r="B10855" s="4"/>
      <c r="D10855" s="67"/>
      <c r="G10855" s="68"/>
      <c r="K10855" s="68"/>
    </row>
    <row r="10856" spans="2:11" ht="12.75">
      <c r="B10856" s="4"/>
      <c r="D10856" s="67"/>
      <c r="G10856" s="68"/>
      <c r="K10856" s="68"/>
    </row>
    <row r="10857" spans="2:11" ht="12.75">
      <c r="B10857" s="4"/>
      <c r="D10857" s="67"/>
      <c r="G10857" s="68"/>
      <c r="K10857" s="68"/>
    </row>
    <row r="10858" spans="2:11" ht="12.75">
      <c r="B10858" s="4"/>
      <c r="D10858" s="67"/>
      <c r="G10858" s="68"/>
      <c r="K10858" s="68"/>
    </row>
    <row r="10859" spans="2:11" ht="12.75">
      <c r="B10859" s="4"/>
      <c r="D10859" s="67"/>
      <c r="G10859" s="68"/>
      <c r="K10859" s="68"/>
    </row>
    <row r="10860" spans="2:11" ht="12.75">
      <c r="B10860" s="4"/>
      <c r="D10860" s="67"/>
      <c r="G10860" s="68"/>
      <c r="K10860" s="68"/>
    </row>
    <row r="10861" spans="2:11" ht="12.75">
      <c r="B10861" s="4"/>
      <c r="D10861" s="67"/>
      <c r="G10861" s="68"/>
      <c r="K10861" s="68"/>
    </row>
    <row r="10862" spans="2:11" ht="12.75">
      <c r="B10862" s="4"/>
      <c r="D10862" s="67"/>
      <c r="G10862" s="68"/>
      <c r="K10862" s="68"/>
    </row>
    <row r="10863" spans="2:11" ht="12.75">
      <c r="B10863" s="4"/>
      <c r="D10863" s="67"/>
      <c r="G10863" s="68"/>
      <c r="K10863" s="68"/>
    </row>
    <row r="10864" spans="2:11" ht="12.75">
      <c r="B10864" s="4"/>
      <c r="D10864" s="67"/>
      <c r="G10864" s="68"/>
      <c r="K10864" s="68"/>
    </row>
    <row r="10865" spans="2:11" ht="12.75">
      <c r="B10865" s="4"/>
      <c r="D10865" s="67"/>
      <c r="G10865" s="68"/>
      <c r="K10865" s="68"/>
    </row>
    <row r="10866" spans="2:11" ht="12.75">
      <c r="B10866" s="4"/>
      <c r="D10866" s="67"/>
      <c r="G10866" s="68"/>
      <c r="K10866" s="68"/>
    </row>
    <row r="10867" spans="2:11" ht="12.75">
      <c r="B10867" s="4"/>
      <c r="D10867" s="67"/>
      <c r="G10867" s="68"/>
      <c r="K10867" s="68"/>
    </row>
    <row r="10868" spans="2:11" ht="12.75">
      <c r="B10868" s="4"/>
      <c r="D10868" s="67"/>
      <c r="G10868" s="68"/>
      <c r="K10868" s="68"/>
    </row>
    <row r="10869" spans="2:11" ht="12.75">
      <c r="B10869" s="4"/>
      <c r="D10869" s="67"/>
      <c r="G10869" s="68"/>
      <c r="K10869" s="68"/>
    </row>
    <row r="10870" spans="2:11" ht="12.75">
      <c r="B10870" s="4"/>
      <c r="D10870" s="67"/>
      <c r="G10870" s="68"/>
      <c r="K10870" s="68"/>
    </row>
    <row r="10871" spans="2:11" ht="12.75">
      <c r="B10871" s="4"/>
      <c r="D10871" s="67"/>
      <c r="G10871" s="68"/>
      <c r="K10871" s="68"/>
    </row>
    <row r="10872" spans="2:11" ht="12.75">
      <c r="B10872" s="4"/>
      <c r="D10872" s="67"/>
      <c r="G10872" s="68"/>
      <c r="K10872" s="68"/>
    </row>
    <row r="10873" spans="2:11" ht="12.75">
      <c r="B10873" s="4"/>
      <c r="D10873" s="67"/>
      <c r="G10873" s="68"/>
      <c r="K10873" s="68"/>
    </row>
    <row r="10874" spans="2:11" ht="12.75">
      <c r="B10874" s="4"/>
      <c r="D10874" s="67"/>
      <c r="G10874" s="68"/>
      <c r="K10874" s="68"/>
    </row>
    <row r="10875" spans="2:11" ht="12.75">
      <c r="B10875" s="4"/>
      <c r="D10875" s="67"/>
      <c r="G10875" s="68"/>
      <c r="K10875" s="68"/>
    </row>
    <row r="10876" spans="2:11" ht="12.75">
      <c r="B10876" s="4"/>
      <c r="D10876" s="67"/>
      <c r="G10876" s="68"/>
      <c r="K10876" s="68"/>
    </row>
    <row r="10877" spans="2:11" ht="12.75">
      <c r="B10877" s="4"/>
      <c r="D10877" s="67"/>
      <c r="G10877" s="68"/>
      <c r="K10877" s="68"/>
    </row>
    <row r="10878" spans="2:11" ht="12.75">
      <c r="B10878" s="4"/>
      <c r="D10878" s="67"/>
      <c r="G10878" s="68"/>
      <c r="K10878" s="68"/>
    </row>
    <row r="10879" spans="2:11" ht="12.75">
      <c r="B10879" s="4"/>
      <c r="D10879" s="67"/>
      <c r="G10879" s="68"/>
      <c r="K10879" s="68"/>
    </row>
    <row r="10880" spans="2:11" ht="12.75">
      <c r="B10880" s="4"/>
      <c r="D10880" s="67"/>
      <c r="G10880" s="68"/>
      <c r="K10880" s="68"/>
    </row>
    <row r="10881" spans="2:11" ht="12.75">
      <c r="B10881" s="4"/>
      <c r="D10881" s="67"/>
      <c r="G10881" s="68"/>
      <c r="K10881" s="68"/>
    </row>
    <row r="10882" spans="2:11" ht="12.75">
      <c r="B10882" s="4"/>
      <c r="D10882" s="67"/>
      <c r="G10882" s="68"/>
      <c r="K10882" s="68"/>
    </row>
    <row r="10883" spans="2:11" ht="12.75">
      <c r="B10883" s="4"/>
      <c r="D10883" s="67"/>
      <c r="G10883" s="68"/>
      <c r="K10883" s="68"/>
    </row>
    <row r="10884" spans="2:11" ht="12.75">
      <c r="B10884" s="4"/>
      <c r="D10884" s="67"/>
      <c r="G10884" s="68"/>
      <c r="K10884" s="68"/>
    </row>
    <row r="10885" spans="2:11" ht="12.75">
      <c r="B10885" s="4"/>
      <c r="D10885" s="67"/>
      <c r="G10885" s="68"/>
      <c r="K10885" s="68"/>
    </row>
    <row r="10886" spans="2:11" ht="12.75">
      <c r="B10886" s="4"/>
      <c r="D10886" s="67"/>
      <c r="G10886" s="68"/>
      <c r="K10886" s="68"/>
    </row>
    <row r="10887" spans="2:11" ht="12.75">
      <c r="B10887" s="4"/>
      <c r="D10887" s="67"/>
      <c r="G10887" s="68"/>
      <c r="K10887" s="68"/>
    </row>
    <row r="10888" spans="2:11" ht="12.75">
      <c r="B10888" s="4"/>
      <c r="D10888" s="67"/>
      <c r="G10888" s="68"/>
      <c r="K10888" s="68"/>
    </row>
    <row r="10889" spans="2:11" ht="12.75">
      <c r="B10889" s="4"/>
      <c r="D10889" s="67"/>
      <c r="G10889" s="68"/>
      <c r="K10889" s="68"/>
    </row>
    <row r="10890" spans="2:11" ht="12.75">
      <c r="B10890" s="4"/>
      <c r="D10890" s="67"/>
      <c r="G10890" s="68"/>
      <c r="K10890" s="68"/>
    </row>
    <row r="10891" spans="2:11" ht="12.75">
      <c r="B10891" s="4"/>
      <c r="D10891" s="67"/>
      <c r="G10891" s="68"/>
      <c r="K10891" s="68"/>
    </row>
    <row r="10892" spans="2:11" ht="12.75">
      <c r="B10892" s="4"/>
      <c r="D10892" s="67"/>
      <c r="G10892" s="68"/>
      <c r="K10892" s="68"/>
    </row>
    <row r="10893" spans="2:11" ht="12.75">
      <c r="B10893" s="4"/>
      <c r="D10893" s="67"/>
      <c r="G10893" s="68"/>
      <c r="K10893" s="68"/>
    </row>
    <row r="10894" spans="2:11" ht="12.75">
      <c r="B10894" s="4"/>
      <c r="D10894" s="67"/>
      <c r="G10894" s="68"/>
      <c r="K10894" s="68"/>
    </row>
    <row r="10895" spans="2:11" ht="12.75">
      <c r="B10895" s="4"/>
      <c r="D10895" s="67"/>
      <c r="G10895" s="68"/>
      <c r="K10895" s="68"/>
    </row>
    <row r="10896" spans="2:11" ht="12.75">
      <c r="B10896" s="4"/>
      <c r="D10896" s="67"/>
      <c r="G10896" s="68"/>
      <c r="K10896" s="68"/>
    </row>
    <row r="10897" spans="2:11" ht="12.75">
      <c r="B10897" s="4"/>
      <c r="D10897" s="67"/>
      <c r="G10897" s="68"/>
      <c r="K10897" s="68"/>
    </row>
    <row r="10898" spans="2:11" ht="12.75">
      <c r="B10898" s="4"/>
      <c r="D10898" s="67"/>
      <c r="G10898" s="68"/>
      <c r="K10898" s="68"/>
    </row>
    <row r="10899" spans="2:11" ht="12.75">
      <c r="B10899" s="4"/>
      <c r="D10899" s="67"/>
      <c r="G10899" s="68"/>
      <c r="K10899" s="68"/>
    </row>
    <row r="10900" spans="2:11" ht="12.75">
      <c r="B10900" s="4"/>
      <c r="D10900" s="67"/>
      <c r="G10900" s="68"/>
      <c r="K10900" s="68"/>
    </row>
    <row r="10901" spans="2:11" ht="12.75">
      <c r="B10901" s="4"/>
      <c r="D10901" s="67"/>
      <c r="G10901" s="68"/>
      <c r="K10901" s="68"/>
    </row>
    <row r="10902" spans="2:11" ht="12.75">
      <c r="B10902" s="4"/>
      <c r="D10902" s="67"/>
      <c r="G10902" s="68"/>
      <c r="K10902" s="68"/>
    </row>
    <row r="10903" spans="2:11" ht="12.75">
      <c r="B10903" s="4"/>
      <c r="D10903" s="67"/>
      <c r="G10903" s="68"/>
      <c r="K10903" s="68"/>
    </row>
    <row r="10904" spans="2:11" ht="12.75">
      <c r="B10904" s="4"/>
      <c r="D10904" s="67"/>
      <c r="G10904" s="68"/>
      <c r="K10904" s="68"/>
    </row>
    <row r="10905" spans="2:11" ht="12.75">
      <c r="B10905" s="4"/>
      <c r="D10905" s="67"/>
      <c r="G10905" s="68"/>
      <c r="K10905" s="68"/>
    </row>
    <row r="10906" spans="2:11" ht="12.75">
      <c r="B10906" s="4"/>
      <c r="D10906" s="67"/>
      <c r="G10906" s="68"/>
      <c r="K10906" s="68"/>
    </row>
    <row r="10907" spans="2:11" ht="12.75">
      <c r="B10907" s="4"/>
      <c r="D10907" s="67"/>
      <c r="G10907" s="68"/>
      <c r="K10907" s="68"/>
    </row>
    <row r="10908" spans="2:11" ht="12.75">
      <c r="B10908" s="4"/>
      <c r="D10908" s="67"/>
      <c r="G10908" s="68"/>
      <c r="K10908" s="68"/>
    </row>
    <row r="10909" spans="2:11" ht="12.75">
      <c r="B10909" s="4"/>
      <c r="D10909" s="67"/>
      <c r="G10909" s="68"/>
      <c r="K10909" s="68"/>
    </row>
    <row r="10910" spans="2:11" ht="12.75">
      <c r="B10910" s="4"/>
      <c r="D10910" s="67"/>
      <c r="G10910" s="68"/>
      <c r="K10910" s="68"/>
    </row>
    <row r="10911" spans="2:11" ht="12.75">
      <c r="B10911" s="4"/>
      <c r="D10911" s="67"/>
      <c r="G10911" s="68"/>
      <c r="K10911" s="68"/>
    </row>
    <row r="10912" spans="2:11" ht="12.75">
      <c r="B10912" s="4"/>
      <c r="D10912" s="67"/>
      <c r="G10912" s="68"/>
      <c r="K10912" s="68"/>
    </row>
    <row r="10913" spans="2:11" ht="12.75">
      <c r="B10913" s="4"/>
      <c r="D10913" s="67"/>
      <c r="G10913" s="68"/>
      <c r="K10913" s="68"/>
    </row>
    <row r="10914" spans="2:11" ht="12.75">
      <c r="B10914" s="4"/>
      <c r="D10914" s="67"/>
      <c r="G10914" s="68"/>
      <c r="K10914" s="68"/>
    </row>
    <row r="10915" spans="2:11" ht="12.75">
      <c r="B10915" s="4"/>
      <c r="D10915" s="67"/>
      <c r="G10915" s="68"/>
      <c r="K10915" s="68"/>
    </row>
    <row r="10916" spans="2:11" ht="12.75">
      <c r="B10916" s="4"/>
      <c r="D10916" s="67"/>
      <c r="G10916" s="68"/>
      <c r="K10916" s="68"/>
    </row>
    <row r="10917" spans="2:11" ht="12.75">
      <c r="B10917" s="4"/>
      <c r="D10917" s="67"/>
      <c r="G10917" s="68"/>
      <c r="K10917" s="68"/>
    </row>
    <row r="10918" spans="2:11" ht="12.75">
      <c r="B10918" s="4"/>
      <c r="D10918" s="67"/>
      <c r="G10918" s="68"/>
      <c r="K10918" s="68"/>
    </row>
    <row r="10919" spans="2:11" ht="12.75">
      <c r="B10919" s="4"/>
      <c r="D10919" s="67"/>
      <c r="G10919" s="68"/>
      <c r="K10919" s="68"/>
    </row>
    <row r="10920" spans="2:11" ht="12.75">
      <c r="B10920" s="4"/>
      <c r="D10920" s="67"/>
      <c r="G10920" s="68"/>
      <c r="K10920" s="68"/>
    </row>
    <row r="10921" spans="2:11" ht="12.75">
      <c r="B10921" s="4"/>
      <c r="D10921" s="67"/>
      <c r="G10921" s="68"/>
      <c r="K10921" s="68"/>
    </row>
    <row r="10922" spans="2:11" ht="12.75">
      <c r="B10922" s="4"/>
      <c r="D10922" s="67"/>
      <c r="G10922" s="68"/>
      <c r="K10922" s="68"/>
    </row>
    <row r="10923" spans="2:11" ht="12.75">
      <c r="B10923" s="4"/>
      <c r="D10923" s="67"/>
      <c r="G10923" s="68"/>
      <c r="K10923" s="68"/>
    </row>
    <row r="10924" spans="2:11" ht="12.75">
      <c r="B10924" s="4"/>
      <c r="D10924" s="67"/>
      <c r="G10924" s="68"/>
      <c r="K10924" s="68"/>
    </row>
    <row r="10925" spans="2:11" ht="12.75">
      <c r="B10925" s="4"/>
      <c r="D10925" s="67"/>
      <c r="G10925" s="68"/>
      <c r="K10925" s="68"/>
    </row>
    <row r="10926" spans="2:11" ht="12.75">
      <c r="B10926" s="4"/>
      <c r="D10926" s="67"/>
      <c r="G10926" s="68"/>
      <c r="K10926" s="68"/>
    </row>
    <row r="10927" spans="2:11" ht="12.75">
      <c r="B10927" s="4"/>
      <c r="D10927" s="67"/>
      <c r="G10927" s="68"/>
      <c r="K10927" s="68"/>
    </row>
    <row r="10928" spans="2:11" ht="12.75">
      <c r="B10928" s="4"/>
      <c r="D10928" s="67"/>
      <c r="G10928" s="68"/>
      <c r="K10928" s="68"/>
    </row>
    <row r="10929" spans="2:11" ht="12.75">
      <c r="B10929" s="4"/>
      <c r="D10929" s="67"/>
      <c r="G10929" s="68"/>
      <c r="K10929" s="68"/>
    </row>
    <row r="10930" spans="2:11" ht="12.75">
      <c r="B10930" s="4"/>
      <c r="D10930" s="67"/>
      <c r="G10930" s="68"/>
      <c r="K10930" s="68"/>
    </row>
    <row r="10931" spans="2:11" ht="12.75">
      <c r="B10931" s="4"/>
      <c r="D10931" s="67"/>
      <c r="G10931" s="68"/>
      <c r="K10931" s="68"/>
    </row>
    <row r="10932" spans="2:11" ht="12.75">
      <c r="B10932" s="4"/>
      <c r="D10932" s="67"/>
      <c r="G10932" s="68"/>
      <c r="K10932" s="68"/>
    </row>
    <row r="10933" spans="2:11" ht="12.75">
      <c r="B10933" s="4"/>
      <c r="D10933" s="67"/>
      <c r="G10933" s="68"/>
      <c r="K10933" s="68"/>
    </row>
    <row r="10934" spans="2:11" ht="12.75">
      <c r="B10934" s="4"/>
      <c r="D10934" s="67"/>
      <c r="G10934" s="68"/>
      <c r="K10934" s="68"/>
    </row>
    <row r="10935" spans="2:11" ht="12.75">
      <c r="B10935" s="4"/>
      <c r="D10935" s="67"/>
      <c r="G10935" s="68"/>
      <c r="K10935" s="68"/>
    </row>
    <row r="10936" spans="2:11" ht="12.75">
      <c r="B10936" s="4"/>
      <c r="D10936" s="67"/>
      <c r="G10936" s="68"/>
      <c r="K10936" s="68"/>
    </row>
    <row r="10937" spans="2:11" ht="12.75">
      <c r="B10937" s="4"/>
      <c r="D10937" s="67"/>
      <c r="G10937" s="68"/>
      <c r="K10937" s="68"/>
    </row>
    <row r="10938" spans="2:11" ht="12.75">
      <c r="B10938" s="4"/>
      <c r="D10938" s="67"/>
      <c r="G10938" s="68"/>
      <c r="K10938" s="68"/>
    </row>
    <row r="10939" spans="2:11" ht="12.75">
      <c r="B10939" s="4"/>
      <c r="D10939" s="67"/>
      <c r="G10939" s="68"/>
      <c r="K10939" s="68"/>
    </row>
    <row r="10940" spans="2:11" ht="12.75">
      <c r="B10940" s="4"/>
      <c r="D10940" s="67"/>
      <c r="G10940" s="68"/>
      <c r="K10940" s="68"/>
    </row>
    <row r="10941" spans="2:11" ht="12.75">
      <c r="B10941" s="4"/>
      <c r="D10941" s="67"/>
      <c r="G10941" s="68"/>
      <c r="K10941" s="68"/>
    </row>
    <row r="10942" spans="2:11" ht="12.75">
      <c r="B10942" s="4"/>
      <c r="D10942" s="67"/>
      <c r="G10942" s="68"/>
      <c r="K10942" s="68"/>
    </row>
    <row r="10943" spans="2:11" ht="12.75">
      <c r="B10943" s="4"/>
      <c r="D10943" s="67"/>
      <c r="G10943" s="68"/>
      <c r="K10943" s="68"/>
    </row>
    <row r="10944" spans="2:11" ht="12.75">
      <c r="B10944" s="4"/>
      <c r="D10944" s="67"/>
      <c r="G10944" s="68"/>
      <c r="K10944" s="68"/>
    </row>
    <row r="10945" spans="2:11" ht="12.75">
      <c r="B10945" s="4"/>
      <c r="D10945" s="67"/>
      <c r="G10945" s="68"/>
      <c r="K10945" s="68"/>
    </row>
    <row r="10946" spans="2:11" ht="12.75">
      <c r="B10946" s="4"/>
      <c r="D10946" s="67"/>
      <c r="G10946" s="68"/>
      <c r="K10946" s="68"/>
    </row>
    <row r="10947" spans="2:11" ht="12.75">
      <c r="B10947" s="4"/>
      <c r="D10947" s="67"/>
      <c r="G10947" s="68"/>
      <c r="K10947" s="68"/>
    </row>
    <row r="10948" spans="2:11" ht="12.75">
      <c r="B10948" s="4"/>
      <c r="D10948" s="67"/>
      <c r="G10948" s="68"/>
      <c r="K10948" s="68"/>
    </row>
    <row r="10949" spans="2:11" ht="12.75">
      <c r="B10949" s="4"/>
      <c r="D10949" s="67"/>
      <c r="G10949" s="68"/>
      <c r="K10949" s="68"/>
    </row>
    <row r="10950" spans="2:11" ht="12.75">
      <c r="B10950" s="4"/>
      <c r="D10950" s="67"/>
      <c r="G10950" s="68"/>
      <c r="K10950" s="68"/>
    </row>
    <row r="10951" spans="2:11" ht="12.75">
      <c r="B10951" s="4"/>
      <c r="D10951" s="67"/>
      <c r="G10951" s="68"/>
      <c r="K10951" s="68"/>
    </row>
    <row r="10952" spans="2:11" ht="12.75">
      <c r="B10952" s="4"/>
      <c r="D10952" s="67"/>
      <c r="G10952" s="68"/>
      <c r="K10952" s="68"/>
    </row>
    <row r="10953" spans="2:11" ht="12.75">
      <c r="B10953" s="4"/>
      <c r="D10953" s="67"/>
      <c r="G10953" s="68"/>
      <c r="K10953" s="68"/>
    </row>
    <row r="10954" spans="2:11" ht="12.75">
      <c r="B10954" s="4"/>
      <c r="D10954" s="67"/>
      <c r="G10954" s="68"/>
      <c r="K10954" s="68"/>
    </row>
    <row r="10955" spans="2:11" ht="12.75">
      <c r="B10955" s="4"/>
      <c r="D10955" s="67"/>
      <c r="G10955" s="68"/>
      <c r="K10955" s="68"/>
    </row>
    <row r="10956" spans="2:11" ht="12.75">
      <c r="B10956" s="4"/>
      <c r="D10956" s="67"/>
      <c r="G10956" s="68"/>
      <c r="K10956" s="68"/>
    </row>
    <row r="10957" spans="2:11" ht="12.75">
      <c r="B10957" s="4"/>
      <c r="D10957" s="67"/>
      <c r="G10957" s="68"/>
      <c r="K10957" s="68"/>
    </row>
    <row r="10958" spans="2:11" ht="12.75">
      <c r="B10958" s="4"/>
      <c r="D10958" s="67"/>
      <c r="G10958" s="68"/>
      <c r="K10958" s="68"/>
    </row>
    <row r="10959" spans="2:11" ht="12.75">
      <c r="B10959" s="4"/>
      <c r="D10959" s="67"/>
      <c r="G10959" s="68"/>
      <c r="K10959" s="68"/>
    </row>
    <row r="10960" spans="2:11" ht="12.75">
      <c r="B10960" s="4"/>
      <c r="D10960" s="67"/>
      <c r="G10960" s="68"/>
      <c r="K10960" s="68"/>
    </row>
    <row r="10961" spans="2:11" ht="12.75">
      <c r="B10961" s="4"/>
      <c r="D10961" s="67"/>
      <c r="G10961" s="68"/>
      <c r="K10961" s="68"/>
    </row>
    <row r="10962" spans="2:11" ht="12.75">
      <c r="B10962" s="4"/>
      <c r="D10962" s="67"/>
      <c r="G10962" s="68"/>
      <c r="K10962" s="68"/>
    </row>
    <row r="10963" spans="2:11" ht="12.75">
      <c r="B10963" s="4"/>
      <c r="D10963" s="67"/>
      <c r="G10963" s="68"/>
      <c r="K10963" s="68"/>
    </row>
    <row r="10964" spans="2:11" ht="12.75">
      <c r="B10964" s="4"/>
      <c r="D10964" s="67"/>
      <c r="G10964" s="68"/>
      <c r="K10964" s="68"/>
    </row>
    <row r="10965" spans="2:11" ht="12.75">
      <c r="B10965" s="4"/>
      <c r="D10965" s="67"/>
      <c r="G10965" s="68"/>
      <c r="K10965" s="68"/>
    </row>
    <row r="10966" spans="2:11" ht="12.75">
      <c r="B10966" s="4"/>
      <c r="D10966" s="67"/>
      <c r="G10966" s="68"/>
      <c r="K10966" s="68"/>
    </row>
    <row r="10967" spans="2:11" ht="12.75">
      <c r="B10967" s="4"/>
      <c r="D10967" s="67"/>
      <c r="G10967" s="68"/>
      <c r="K10967" s="68"/>
    </row>
    <row r="10968" spans="2:11" ht="12.75">
      <c r="B10968" s="4"/>
      <c r="D10968" s="67"/>
      <c r="G10968" s="68"/>
      <c r="K10968" s="68"/>
    </row>
    <row r="10969" spans="2:11" ht="12.75">
      <c r="B10969" s="4"/>
      <c r="D10969" s="67"/>
      <c r="G10969" s="68"/>
      <c r="K10969" s="68"/>
    </row>
    <row r="10970" spans="2:11" ht="12.75">
      <c r="B10970" s="4"/>
      <c r="D10970" s="67"/>
      <c r="G10970" s="68"/>
      <c r="K10970" s="68"/>
    </row>
    <row r="10971" spans="2:11" ht="12.75">
      <c r="B10971" s="4"/>
      <c r="D10971" s="67"/>
      <c r="G10971" s="68"/>
      <c r="K10971" s="68"/>
    </row>
    <row r="10972" spans="2:11" ht="12.75">
      <c r="B10972" s="4"/>
      <c r="D10972" s="67"/>
      <c r="G10972" s="68"/>
      <c r="K10972" s="68"/>
    </row>
    <row r="10973" spans="2:11" ht="12.75">
      <c r="B10973" s="4"/>
      <c r="D10973" s="67"/>
      <c r="G10973" s="68"/>
      <c r="K10973" s="68"/>
    </row>
    <row r="10974" spans="2:11" ht="12.75">
      <c r="B10974" s="4"/>
      <c r="D10974" s="67"/>
      <c r="G10974" s="68"/>
      <c r="K10974" s="68"/>
    </row>
    <row r="10975" spans="2:11" ht="12.75">
      <c r="B10975" s="4"/>
      <c r="D10975" s="67"/>
      <c r="G10975" s="68"/>
      <c r="K10975" s="68"/>
    </row>
    <row r="10976" spans="2:11" ht="12.75">
      <c r="B10976" s="4"/>
      <c r="D10976" s="67"/>
      <c r="G10976" s="68"/>
      <c r="K10976" s="68"/>
    </row>
    <row r="10977" spans="2:11" ht="12.75">
      <c r="B10977" s="4"/>
      <c r="D10977" s="67"/>
      <c r="G10977" s="68"/>
      <c r="K10977" s="68"/>
    </row>
    <row r="10978" spans="2:11" ht="12.75">
      <c r="B10978" s="4"/>
      <c r="D10978" s="67"/>
      <c r="G10978" s="68"/>
      <c r="K10978" s="68"/>
    </row>
    <row r="10979" spans="2:11" ht="12.75">
      <c r="B10979" s="4"/>
      <c r="D10979" s="67"/>
      <c r="G10979" s="68"/>
      <c r="K10979" s="68"/>
    </row>
    <row r="10980" spans="2:11" ht="12.75">
      <c r="B10980" s="4"/>
      <c r="D10980" s="67"/>
      <c r="G10980" s="68"/>
      <c r="K10980" s="68"/>
    </row>
    <row r="10981" spans="2:11" ht="12.75">
      <c r="B10981" s="4"/>
      <c r="D10981" s="67"/>
      <c r="G10981" s="68"/>
      <c r="K10981" s="68"/>
    </row>
    <row r="10982" spans="2:11" ht="12.75">
      <c r="B10982" s="4"/>
      <c r="D10982" s="67"/>
      <c r="G10982" s="68"/>
      <c r="K10982" s="68"/>
    </row>
    <row r="10983" spans="2:11" ht="12.75">
      <c r="B10983" s="4"/>
      <c r="D10983" s="67"/>
      <c r="G10983" s="68"/>
      <c r="K10983" s="68"/>
    </row>
    <row r="10984" spans="2:11" ht="12.75">
      <c r="B10984" s="4"/>
      <c r="D10984" s="67"/>
      <c r="G10984" s="68"/>
      <c r="K10984" s="68"/>
    </row>
    <row r="10985" spans="2:11" ht="12.75">
      <c r="B10985" s="4"/>
      <c r="D10985" s="67"/>
      <c r="G10985" s="68"/>
      <c r="K10985" s="68"/>
    </row>
    <row r="10986" spans="2:11" ht="12.75">
      <c r="B10986" s="4"/>
      <c r="D10986" s="67"/>
      <c r="G10986" s="68"/>
      <c r="K10986" s="68"/>
    </row>
    <row r="10987" spans="2:11" ht="12.75">
      <c r="B10987" s="4"/>
      <c r="D10987" s="67"/>
      <c r="G10987" s="68"/>
      <c r="K10987" s="68"/>
    </row>
    <row r="10988" spans="2:11" ht="12.75">
      <c r="B10988" s="4"/>
      <c r="D10988" s="67"/>
      <c r="G10988" s="68"/>
      <c r="K10988" s="68"/>
    </row>
    <row r="10989" spans="2:11" ht="12.75">
      <c r="B10989" s="4"/>
      <c r="D10989" s="67"/>
      <c r="G10989" s="68"/>
      <c r="K10989" s="68"/>
    </row>
    <row r="10990" spans="2:11" ht="12.75">
      <c r="B10990" s="4"/>
      <c r="D10990" s="67"/>
      <c r="G10990" s="68"/>
      <c r="K10990" s="68"/>
    </row>
    <row r="10991" spans="2:11" ht="12.75">
      <c r="B10991" s="4"/>
      <c r="D10991" s="67"/>
      <c r="G10991" s="68"/>
      <c r="K10991" s="68"/>
    </row>
    <row r="10992" spans="2:11" ht="12.75">
      <c r="B10992" s="4"/>
      <c r="D10992" s="67"/>
      <c r="G10992" s="68"/>
      <c r="K10992" s="68"/>
    </row>
    <row r="10993" spans="2:11" ht="12.75">
      <c r="B10993" s="4"/>
      <c r="D10993" s="67"/>
      <c r="G10993" s="68"/>
      <c r="K10993" s="68"/>
    </row>
    <row r="10994" spans="2:11" ht="12.75">
      <c r="B10994" s="4"/>
      <c r="D10994" s="67"/>
      <c r="G10994" s="68"/>
      <c r="K10994" s="68"/>
    </row>
    <row r="10995" spans="2:11" ht="12.75">
      <c r="B10995" s="4"/>
      <c r="D10995" s="67"/>
      <c r="G10995" s="68"/>
      <c r="K10995" s="68"/>
    </row>
    <row r="10996" spans="2:11" ht="12.75">
      <c r="B10996" s="4"/>
      <c r="D10996" s="67"/>
      <c r="G10996" s="68"/>
      <c r="K10996" s="68"/>
    </row>
    <row r="10997" spans="2:11" ht="12.75">
      <c r="B10997" s="4"/>
      <c r="D10997" s="67"/>
      <c r="G10997" s="68"/>
      <c r="K10997" s="68"/>
    </row>
    <row r="10998" spans="2:11" ht="12.75">
      <c r="B10998" s="4"/>
      <c r="D10998" s="67"/>
      <c r="G10998" s="68"/>
      <c r="K10998" s="68"/>
    </row>
    <row r="10999" spans="2:11" ht="12.75">
      <c r="B10999" s="4"/>
      <c r="D10999" s="67"/>
      <c r="G10999" s="68"/>
      <c r="K10999" s="68"/>
    </row>
    <row r="11000" spans="2:11" ht="12.75">
      <c r="B11000" s="4"/>
      <c r="D11000" s="67"/>
      <c r="G11000" s="68"/>
      <c r="K11000" s="68"/>
    </row>
    <row r="11001" spans="2:11" ht="12.75">
      <c r="B11001" s="4"/>
      <c r="D11001" s="67"/>
      <c r="G11001" s="68"/>
      <c r="K11001" s="68"/>
    </row>
    <row r="11002" spans="2:11" ht="12.75">
      <c r="B11002" s="4"/>
      <c r="D11002" s="67"/>
      <c r="G11002" s="68"/>
      <c r="K11002" s="68"/>
    </row>
    <row r="11003" spans="2:11" ht="12.75">
      <c r="B11003" s="4"/>
      <c r="D11003" s="67"/>
      <c r="G11003" s="68"/>
      <c r="K11003" s="68"/>
    </row>
    <row r="11004" spans="2:11" ht="12.75">
      <c r="B11004" s="4"/>
      <c r="D11004" s="67"/>
      <c r="G11004" s="68"/>
      <c r="K11004" s="68"/>
    </row>
    <row r="11005" spans="2:11" ht="12.75">
      <c r="B11005" s="4"/>
      <c r="D11005" s="67"/>
      <c r="G11005" s="68"/>
      <c r="K11005" s="68"/>
    </row>
    <row r="11006" spans="2:11" ht="12.75">
      <c r="B11006" s="4"/>
      <c r="D11006" s="67"/>
      <c r="G11006" s="68"/>
      <c r="K11006" s="68"/>
    </row>
    <row r="11007" spans="2:11" ht="12.75">
      <c r="B11007" s="4"/>
      <c r="D11007" s="67"/>
      <c r="G11007" s="68"/>
      <c r="K11007" s="68"/>
    </row>
    <row r="11008" spans="2:11" ht="12.75">
      <c r="B11008" s="4"/>
      <c r="D11008" s="67"/>
      <c r="G11008" s="68"/>
      <c r="K11008" s="68"/>
    </row>
    <row r="11009" spans="2:11" ht="12.75">
      <c r="B11009" s="4"/>
      <c r="D11009" s="67"/>
      <c r="G11009" s="68"/>
      <c r="K11009" s="68"/>
    </row>
    <row r="11010" spans="2:11" ht="12.75">
      <c r="B11010" s="4"/>
      <c r="D11010" s="67"/>
      <c r="G11010" s="68"/>
      <c r="K11010" s="68"/>
    </row>
    <row r="11011" spans="2:11" ht="12.75">
      <c r="B11011" s="4"/>
      <c r="D11011" s="67"/>
      <c r="G11011" s="68"/>
      <c r="K11011" s="68"/>
    </row>
    <row r="11012" spans="2:11" ht="12.75">
      <c r="B11012" s="4"/>
      <c r="D11012" s="67"/>
      <c r="G11012" s="68"/>
      <c r="K11012" s="68"/>
    </row>
    <row r="11013" spans="2:11" ht="12.75">
      <c r="B11013" s="4"/>
      <c r="D11013" s="67"/>
      <c r="G11013" s="68"/>
      <c r="K11013" s="68"/>
    </row>
    <row r="11014" spans="2:11" ht="12.75">
      <c r="B11014" s="4"/>
      <c r="D11014" s="67"/>
      <c r="G11014" s="68"/>
      <c r="K11014" s="68"/>
    </row>
    <row r="11015" spans="2:11" ht="12.75">
      <c r="B11015" s="4"/>
      <c r="D11015" s="67"/>
      <c r="G11015" s="68"/>
      <c r="K11015" s="68"/>
    </row>
    <row r="11016" spans="2:11" ht="12.75">
      <c r="B11016" s="4"/>
      <c r="D11016" s="67"/>
      <c r="G11016" s="68"/>
      <c r="K11016" s="68"/>
    </row>
    <row r="11017" spans="2:11" ht="12.75">
      <c r="B11017" s="4"/>
      <c r="D11017" s="67"/>
      <c r="G11017" s="68"/>
      <c r="K11017" s="68"/>
    </row>
    <row r="11018" spans="2:11" ht="12.75">
      <c r="B11018" s="4"/>
      <c r="D11018" s="67"/>
      <c r="G11018" s="68"/>
      <c r="K11018" s="68"/>
    </row>
    <row r="11019" spans="2:11" ht="12.75">
      <c r="B11019" s="4"/>
      <c r="D11019" s="67"/>
      <c r="G11019" s="68"/>
      <c r="K11019" s="68"/>
    </row>
    <row r="11020" spans="2:11" ht="12.75">
      <c r="B11020" s="4"/>
      <c r="D11020" s="67"/>
      <c r="G11020" s="68"/>
      <c r="K11020" s="68"/>
    </row>
    <row r="11021" spans="2:11" ht="12.75">
      <c r="B11021" s="4"/>
      <c r="D11021" s="67"/>
      <c r="G11021" s="68"/>
      <c r="K11021" s="68"/>
    </row>
    <row r="11022" spans="2:11" ht="12.75">
      <c r="B11022" s="4"/>
      <c r="D11022" s="67"/>
      <c r="G11022" s="68"/>
      <c r="K11022" s="68"/>
    </row>
    <row r="11023" spans="2:11" ht="12.75">
      <c r="B11023" s="4"/>
      <c r="D11023" s="67"/>
      <c r="G11023" s="68"/>
      <c r="K11023" s="68"/>
    </row>
    <row r="11024" spans="2:11" ht="12.75">
      <c r="B11024" s="4"/>
      <c r="D11024" s="67"/>
      <c r="G11024" s="68"/>
      <c r="K11024" s="68"/>
    </row>
    <row r="11025" spans="2:11" ht="12.75">
      <c r="B11025" s="4"/>
      <c r="D11025" s="67"/>
      <c r="G11025" s="68"/>
      <c r="K11025" s="68"/>
    </row>
    <row r="11026" spans="2:11" ht="12.75">
      <c r="B11026" s="4"/>
      <c r="D11026" s="67"/>
      <c r="G11026" s="68"/>
      <c r="K11026" s="68"/>
    </row>
    <row r="11027" spans="2:11" ht="12.75">
      <c r="B11027" s="4"/>
      <c r="D11027" s="67"/>
      <c r="G11027" s="68"/>
      <c r="K11027" s="68"/>
    </row>
    <row r="11028" spans="2:11" ht="12.75">
      <c r="B11028" s="4"/>
      <c r="D11028" s="67"/>
      <c r="G11028" s="68"/>
      <c r="K11028" s="68"/>
    </row>
    <row r="11029" spans="2:11" ht="12.75">
      <c r="B11029" s="4"/>
      <c r="D11029" s="67"/>
      <c r="G11029" s="68"/>
      <c r="K11029" s="68"/>
    </row>
    <row r="11030" spans="2:11" ht="12.75">
      <c r="B11030" s="4"/>
      <c r="D11030" s="67"/>
      <c r="G11030" s="68"/>
      <c r="K11030" s="68"/>
    </row>
    <row r="11031" spans="2:11" ht="12.75">
      <c r="B11031" s="4"/>
      <c r="D11031" s="67"/>
      <c r="G11031" s="68"/>
      <c r="K11031" s="68"/>
    </row>
    <row r="11032" spans="2:11" ht="12.75">
      <c r="B11032" s="4"/>
      <c r="D11032" s="67"/>
      <c r="G11032" s="68"/>
      <c r="K11032" s="68"/>
    </row>
    <row r="11033" spans="2:11" ht="12.75">
      <c r="B11033" s="4"/>
      <c r="D11033" s="67"/>
      <c r="G11033" s="68"/>
      <c r="K11033" s="68"/>
    </row>
    <row r="11034" spans="2:11" ht="12.75">
      <c r="B11034" s="4"/>
      <c r="D11034" s="67"/>
      <c r="G11034" s="68"/>
      <c r="K11034" s="68"/>
    </row>
    <row r="11035" spans="2:11" ht="12.75">
      <c r="B11035" s="4"/>
      <c r="D11035" s="67"/>
      <c r="G11035" s="68"/>
      <c r="K11035" s="68"/>
    </row>
    <row r="11036" spans="2:11" ht="12.75">
      <c r="B11036" s="4"/>
      <c r="D11036" s="67"/>
      <c r="G11036" s="68"/>
      <c r="K11036" s="68"/>
    </row>
    <row r="11037" spans="2:11" ht="12.75">
      <c r="B11037" s="4"/>
      <c r="D11037" s="67"/>
      <c r="G11037" s="68"/>
      <c r="K11037" s="68"/>
    </row>
    <row r="11038" spans="2:11" ht="12.75">
      <c r="B11038" s="4"/>
      <c r="D11038" s="67"/>
      <c r="G11038" s="68"/>
      <c r="K11038" s="68"/>
    </row>
    <row r="11039" spans="2:11" ht="12.75">
      <c r="B11039" s="4"/>
      <c r="D11039" s="67"/>
      <c r="G11039" s="68"/>
      <c r="K11039" s="68"/>
    </row>
    <row r="11040" spans="2:11" ht="12.75">
      <c r="B11040" s="4"/>
      <c r="D11040" s="67"/>
      <c r="G11040" s="68"/>
      <c r="K11040" s="68"/>
    </row>
    <row r="11041" spans="2:11" ht="12.75">
      <c r="B11041" s="4"/>
      <c r="D11041" s="67"/>
      <c r="G11041" s="68"/>
      <c r="K11041" s="68"/>
    </row>
    <row r="11042" spans="2:11" ht="12.75">
      <c r="B11042" s="4"/>
      <c r="D11042" s="67"/>
      <c r="G11042" s="68"/>
      <c r="K11042" s="68"/>
    </row>
    <row r="11043" spans="2:11" ht="12.75">
      <c r="B11043" s="4"/>
      <c r="D11043" s="67"/>
      <c r="G11043" s="68"/>
      <c r="K11043" s="68"/>
    </row>
    <row r="11044" spans="2:11" ht="12.75">
      <c r="B11044" s="4"/>
      <c r="D11044" s="67"/>
      <c r="G11044" s="68"/>
      <c r="K11044" s="68"/>
    </row>
    <row r="11045" spans="2:11" ht="12.75">
      <c r="B11045" s="4"/>
      <c r="D11045" s="67"/>
      <c r="G11045" s="68"/>
      <c r="K11045" s="68"/>
    </row>
    <row r="11046" spans="2:11" ht="12.75">
      <c r="B11046" s="4"/>
      <c r="D11046" s="67"/>
      <c r="G11046" s="68"/>
      <c r="K11046" s="68"/>
    </row>
    <row r="11047" spans="2:11" ht="12.75">
      <c r="B11047" s="4"/>
      <c r="D11047" s="67"/>
      <c r="G11047" s="68"/>
      <c r="K11047" s="68"/>
    </row>
    <row r="11048" spans="2:11" ht="12.75">
      <c r="B11048" s="4"/>
      <c r="D11048" s="67"/>
      <c r="G11048" s="68"/>
      <c r="K11048" s="68"/>
    </row>
    <row r="11049" spans="2:11" ht="12.75">
      <c r="B11049" s="4"/>
      <c r="D11049" s="67"/>
      <c r="G11049" s="68"/>
      <c r="K11049" s="68"/>
    </row>
    <row r="11050" spans="2:11" ht="12.75">
      <c r="B11050" s="4"/>
      <c r="D11050" s="67"/>
      <c r="G11050" s="68"/>
      <c r="K11050" s="68"/>
    </row>
    <row r="11051" spans="2:11" ht="12.75">
      <c r="B11051" s="4"/>
      <c r="D11051" s="67"/>
      <c r="G11051" s="68"/>
      <c r="K11051" s="68"/>
    </row>
    <row r="11052" spans="2:11" ht="12.75">
      <c r="B11052" s="4"/>
      <c r="D11052" s="67"/>
      <c r="G11052" s="68"/>
      <c r="K11052" s="68"/>
    </row>
    <row r="11053" spans="2:11" ht="12.75">
      <c r="B11053" s="4"/>
      <c r="D11053" s="67"/>
      <c r="G11053" s="68"/>
      <c r="K11053" s="68"/>
    </row>
    <row r="11054" spans="2:11" ht="12.75">
      <c r="B11054" s="4"/>
      <c r="D11054" s="67"/>
      <c r="G11054" s="68"/>
      <c r="K11054" s="68"/>
    </row>
    <row r="11055" spans="2:11" ht="12.75">
      <c r="B11055" s="4"/>
      <c r="D11055" s="67"/>
      <c r="G11055" s="68"/>
      <c r="K11055" s="68"/>
    </row>
    <row r="11056" spans="2:11" ht="12.75">
      <c r="B11056" s="4"/>
      <c r="D11056" s="67"/>
      <c r="G11056" s="68"/>
      <c r="K11056" s="68"/>
    </row>
    <row r="11057" spans="2:11" ht="12.75">
      <c r="B11057" s="4"/>
      <c r="D11057" s="67"/>
      <c r="G11057" s="68"/>
      <c r="K11057" s="68"/>
    </row>
    <row r="11058" spans="2:11" ht="12.75">
      <c r="B11058" s="4"/>
      <c r="D11058" s="67"/>
      <c r="G11058" s="68"/>
      <c r="K11058" s="68"/>
    </row>
    <row r="11059" spans="2:11" ht="12.75">
      <c r="B11059" s="4"/>
      <c r="D11059" s="67"/>
      <c r="G11059" s="68"/>
      <c r="K11059" s="68"/>
    </row>
    <row r="11060" spans="2:11" ht="12.75">
      <c r="B11060" s="4"/>
      <c r="D11060" s="67"/>
      <c r="G11060" s="68"/>
      <c r="K11060" s="68"/>
    </row>
    <row r="11061" spans="2:11" ht="12.75">
      <c r="B11061" s="4"/>
      <c r="D11061" s="67"/>
      <c r="G11061" s="68"/>
      <c r="K11061" s="68"/>
    </row>
    <row r="11062" spans="2:11" ht="12.75">
      <c r="B11062" s="4"/>
      <c r="D11062" s="67"/>
      <c r="G11062" s="68"/>
      <c r="K11062" s="68"/>
    </row>
    <row r="11063" spans="2:11" ht="12.75">
      <c r="B11063" s="4"/>
      <c r="D11063" s="67"/>
      <c r="G11063" s="68"/>
      <c r="K11063" s="68"/>
    </row>
    <row r="11064" spans="2:11" ht="12.75">
      <c r="B11064" s="4"/>
      <c r="D11064" s="67"/>
      <c r="G11064" s="68"/>
      <c r="K11064" s="68"/>
    </row>
    <row r="11065" spans="2:11" ht="12.75">
      <c r="B11065" s="4"/>
      <c r="D11065" s="67"/>
      <c r="G11065" s="68"/>
      <c r="K11065" s="68"/>
    </row>
    <row r="11066" spans="2:11" ht="12.75">
      <c r="B11066" s="4"/>
      <c r="D11066" s="67"/>
      <c r="G11066" s="68"/>
      <c r="K11066" s="68"/>
    </row>
    <row r="11067" spans="2:11" ht="12.75">
      <c r="B11067" s="4"/>
      <c r="D11067" s="67"/>
      <c r="G11067" s="68"/>
      <c r="K11067" s="68"/>
    </row>
    <row r="11068" spans="2:11" ht="12.75">
      <c r="B11068" s="4"/>
      <c r="D11068" s="67"/>
      <c r="G11068" s="68"/>
      <c r="K11068" s="68"/>
    </row>
    <row r="11069" spans="2:11" ht="12.75">
      <c r="B11069" s="4"/>
      <c r="D11069" s="67"/>
      <c r="G11069" s="68"/>
      <c r="K11069" s="68"/>
    </row>
    <row r="11070" spans="2:11" ht="12.75">
      <c r="B11070" s="4"/>
      <c r="D11070" s="67"/>
      <c r="G11070" s="68"/>
      <c r="K11070" s="68"/>
    </row>
    <row r="11071" spans="2:11" ht="12.75">
      <c r="B11071" s="4"/>
      <c r="D11071" s="67"/>
      <c r="G11071" s="68"/>
      <c r="K11071" s="68"/>
    </row>
    <row r="11072" spans="2:11" ht="12.75">
      <c r="B11072" s="4"/>
      <c r="D11072" s="67"/>
      <c r="G11072" s="68"/>
      <c r="K11072" s="68"/>
    </row>
    <row r="11073" spans="2:11" ht="12.75">
      <c r="B11073" s="4"/>
      <c r="D11073" s="67"/>
      <c r="G11073" s="68"/>
      <c r="K11073" s="68"/>
    </row>
    <row r="11074" spans="2:11" ht="12.75">
      <c r="B11074" s="4"/>
      <c r="D11074" s="67"/>
      <c r="G11074" s="68"/>
      <c r="K11074" s="68"/>
    </row>
    <row r="11075" spans="2:11" ht="12.75">
      <c r="B11075" s="4"/>
      <c r="D11075" s="67"/>
      <c r="G11075" s="68"/>
      <c r="K11075" s="68"/>
    </row>
    <row r="11076" spans="2:11" ht="12.75">
      <c r="B11076" s="4"/>
      <c r="D11076" s="67"/>
      <c r="G11076" s="68"/>
      <c r="K11076" s="68"/>
    </row>
    <row r="11077" spans="2:11" ht="12.75">
      <c r="B11077" s="4"/>
      <c r="D11077" s="67"/>
      <c r="G11077" s="68"/>
      <c r="K11077" s="68"/>
    </row>
    <row r="11078" spans="2:11" ht="12.75">
      <c r="B11078" s="4"/>
      <c r="D11078" s="67"/>
      <c r="G11078" s="68"/>
      <c r="K11078" s="68"/>
    </row>
    <row r="11079" spans="2:11" ht="12.75">
      <c r="B11079" s="4"/>
      <c r="D11079" s="67"/>
      <c r="G11079" s="68"/>
      <c r="K11079" s="68"/>
    </row>
    <row r="11080" spans="2:11" ht="12.75">
      <c r="B11080" s="4"/>
      <c r="D11080" s="67"/>
      <c r="G11080" s="68"/>
      <c r="K11080" s="68"/>
    </row>
    <row r="11081" spans="2:11" ht="12.75">
      <c r="B11081" s="4"/>
      <c r="D11081" s="67"/>
      <c r="G11081" s="68"/>
      <c r="K11081" s="68"/>
    </row>
    <row r="11082" spans="2:11" ht="12.75">
      <c r="B11082" s="4"/>
      <c r="D11082" s="67"/>
      <c r="G11082" s="68"/>
      <c r="K11082" s="68"/>
    </row>
    <row r="11083" spans="2:11" ht="12.75">
      <c r="B11083" s="4"/>
      <c r="D11083" s="67"/>
      <c r="G11083" s="68"/>
      <c r="K11083" s="68"/>
    </row>
    <row r="11084" spans="2:11" ht="12.75">
      <c r="B11084" s="4"/>
      <c r="D11084" s="67"/>
      <c r="G11084" s="68"/>
      <c r="K11084" s="68"/>
    </row>
    <row r="11085" spans="2:11" ht="12.75">
      <c r="B11085" s="4"/>
      <c r="D11085" s="67"/>
      <c r="G11085" s="68"/>
      <c r="K11085" s="68"/>
    </row>
    <row r="11086" spans="2:11" ht="12.75">
      <c r="B11086" s="4"/>
      <c r="D11086" s="67"/>
      <c r="G11086" s="68"/>
      <c r="K11086" s="68"/>
    </row>
    <row r="11087" spans="2:11" ht="12.75">
      <c r="B11087" s="4"/>
      <c r="D11087" s="67"/>
      <c r="G11087" s="68"/>
      <c r="K11087" s="68"/>
    </row>
    <row r="11088" spans="2:11" ht="12.75">
      <c r="B11088" s="4"/>
      <c r="D11088" s="67"/>
      <c r="G11088" s="68"/>
      <c r="K11088" s="68"/>
    </row>
    <row r="11089" spans="2:11" ht="12.75">
      <c r="B11089" s="4"/>
      <c r="D11089" s="67"/>
      <c r="G11089" s="68"/>
      <c r="K11089" s="68"/>
    </row>
    <row r="11090" spans="2:11" ht="12.75">
      <c r="B11090" s="4"/>
      <c r="D11090" s="67"/>
      <c r="G11090" s="68"/>
      <c r="K11090" s="68"/>
    </row>
    <row r="11091" spans="2:11" ht="12.75">
      <c r="B11091" s="4"/>
      <c r="D11091" s="67"/>
      <c r="G11091" s="68"/>
      <c r="K11091" s="68"/>
    </row>
    <row r="11092" spans="2:11" ht="12.75">
      <c r="B11092" s="4"/>
      <c r="D11092" s="67"/>
      <c r="G11092" s="68"/>
      <c r="K11092" s="68"/>
    </row>
    <row r="11093" spans="2:11" ht="12.75">
      <c r="B11093" s="4"/>
      <c r="D11093" s="67"/>
      <c r="G11093" s="68"/>
      <c r="K11093" s="68"/>
    </row>
    <row r="11094" spans="2:11" ht="12.75">
      <c r="B11094" s="4"/>
      <c r="D11094" s="67"/>
      <c r="G11094" s="68"/>
      <c r="K11094" s="68"/>
    </row>
    <row r="11095" spans="2:11" ht="12.75">
      <c r="B11095" s="4"/>
      <c r="D11095" s="67"/>
      <c r="G11095" s="68"/>
      <c r="K11095" s="68"/>
    </row>
    <row r="11096" spans="2:11" ht="12.75">
      <c r="B11096" s="4"/>
      <c r="D11096" s="67"/>
      <c r="G11096" s="68"/>
      <c r="K11096" s="68"/>
    </row>
    <row r="11097" spans="2:11" ht="12.75">
      <c r="B11097" s="4"/>
      <c r="D11097" s="67"/>
      <c r="G11097" s="68"/>
      <c r="K11097" s="68"/>
    </row>
    <row r="11098" spans="2:11" ht="12.75">
      <c r="B11098" s="4"/>
      <c r="D11098" s="67"/>
      <c r="G11098" s="68"/>
      <c r="K11098" s="68"/>
    </row>
    <row r="11099" spans="2:11" ht="12.75">
      <c r="B11099" s="4"/>
      <c r="D11099" s="67"/>
      <c r="G11099" s="68"/>
      <c r="K11099" s="68"/>
    </row>
    <row r="11100" spans="2:11" ht="12.75">
      <c r="B11100" s="4"/>
      <c r="D11100" s="67"/>
      <c r="G11100" s="68"/>
      <c r="K11100" s="68"/>
    </row>
    <row r="11101" spans="2:11" ht="12.75">
      <c r="B11101" s="4"/>
      <c r="D11101" s="67"/>
      <c r="G11101" s="68"/>
      <c r="K11101" s="68"/>
    </row>
    <row r="11102" spans="2:11" ht="12.75">
      <c r="B11102" s="4"/>
      <c r="D11102" s="67"/>
      <c r="G11102" s="68"/>
      <c r="K11102" s="68"/>
    </row>
    <row r="11103" spans="2:11" ht="12.75">
      <c r="B11103" s="4"/>
      <c r="D11103" s="67"/>
      <c r="G11103" s="68"/>
      <c r="K11103" s="68"/>
    </row>
    <row r="11104" spans="2:11" ht="12.75">
      <c r="B11104" s="4"/>
      <c r="D11104" s="67"/>
      <c r="G11104" s="68"/>
      <c r="K11104" s="68"/>
    </row>
    <row r="11105" spans="2:11" ht="12.75">
      <c r="B11105" s="4"/>
      <c r="D11105" s="67"/>
      <c r="G11105" s="68"/>
      <c r="K11105" s="68"/>
    </row>
    <row r="11106" spans="2:11" ht="12.75">
      <c r="B11106" s="4"/>
      <c r="D11106" s="67"/>
      <c r="G11106" s="68"/>
      <c r="K11106" s="68"/>
    </row>
    <row r="11107" spans="2:11" ht="12.75">
      <c r="B11107" s="4"/>
      <c r="D11107" s="67"/>
      <c r="G11107" s="68"/>
      <c r="K11107" s="68"/>
    </row>
    <row r="11108" spans="2:11" ht="12.75">
      <c r="B11108" s="4"/>
      <c r="D11108" s="67"/>
      <c r="G11108" s="68"/>
      <c r="K11108" s="68"/>
    </row>
    <row r="11109" spans="2:11" ht="12.75">
      <c r="B11109" s="4"/>
      <c r="D11109" s="67"/>
      <c r="G11109" s="68"/>
      <c r="K11109" s="68"/>
    </row>
    <row r="11110" spans="2:11" ht="12.75">
      <c r="B11110" s="4"/>
      <c r="D11110" s="67"/>
      <c r="G11110" s="68"/>
      <c r="K11110" s="68"/>
    </row>
    <row r="11111" spans="2:11" ht="12.75">
      <c r="B11111" s="4"/>
      <c r="D11111" s="67"/>
      <c r="G11111" s="68"/>
      <c r="K11111" s="68"/>
    </row>
    <row r="11112" spans="2:11" ht="12.75">
      <c r="B11112" s="4"/>
      <c r="D11112" s="67"/>
      <c r="G11112" s="68"/>
      <c r="K11112" s="68"/>
    </row>
    <row r="11113" spans="2:11" ht="12.75">
      <c r="B11113" s="4"/>
      <c r="D11113" s="67"/>
      <c r="G11113" s="68"/>
      <c r="K11113" s="68"/>
    </row>
    <row r="11114" spans="2:11" ht="12.75">
      <c r="B11114" s="4"/>
      <c r="D11114" s="67"/>
      <c r="G11114" s="68"/>
      <c r="K11114" s="68"/>
    </row>
    <row r="11115" spans="2:11" ht="12.75">
      <c r="B11115" s="4"/>
      <c r="D11115" s="67"/>
      <c r="G11115" s="68"/>
      <c r="K11115" s="68"/>
    </row>
    <row r="11116" spans="2:11" ht="12.75">
      <c r="B11116" s="4"/>
      <c r="D11116" s="67"/>
      <c r="G11116" s="68"/>
      <c r="K11116" s="68"/>
    </row>
    <row r="11117" spans="2:11" ht="12.75">
      <c r="B11117" s="4"/>
      <c r="D11117" s="67"/>
      <c r="G11117" s="68"/>
      <c r="K11117" s="68"/>
    </row>
    <row r="11118" spans="2:11" ht="12.75">
      <c r="B11118" s="4"/>
      <c r="D11118" s="67"/>
      <c r="G11118" s="68"/>
      <c r="K11118" s="68"/>
    </row>
    <row r="11119" spans="2:11" ht="12.75">
      <c r="B11119" s="4"/>
      <c r="D11119" s="67"/>
      <c r="G11119" s="68"/>
      <c r="K11119" s="68"/>
    </row>
    <row r="11120" spans="2:11" ht="12.75">
      <c r="B11120" s="4"/>
      <c r="D11120" s="67"/>
      <c r="G11120" s="68"/>
      <c r="K11120" s="68"/>
    </row>
    <row r="11121" spans="2:11" ht="12.75">
      <c r="B11121" s="4"/>
      <c r="D11121" s="67"/>
      <c r="G11121" s="68"/>
      <c r="K11121" s="68"/>
    </row>
    <row r="11122" spans="2:11" ht="12.75">
      <c r="B11122" s="4"/>
      <c r="D11122" s="67"/>
      <c r="G11122" s="68"/>
      <c r="K11122" s="68"/>
    </row>
    <row r="11123" spans="2:11" ht="12.75">
      <c r="B11123" s="4"/>
      <c r="D11123" s="67"/>
      <c r="G11123" s="68"/>
      <c r="K11123" s="68"/>
    </row>
    <row r="11124" spans="2:11" ht="12.75">
      <c r="B11124" s="4"/>
      <c r="D11124" s="67"/>
      <c r="G11124" s="68"/>
      <c r="K11124" s="68"/>
    </row>
    <row r="11125" spans="2:11" ht="12.75">
      <c r="B11125" s="4"/>
      <c r="D11125" s="67"/>
      <c r="G11125" s="68"/>
      <c r="K11125" s="68"/>
    </row>
    <row r="11126" spans="2:11" ht="12.75">
      <c r="B11126" s="4"/>
      <c r="D11126" s="67"/>
      <c r="G11126" s="68"/>
      <c r="K11126" s="68"/>
    </row>
    <row r="11127" spans="2:11" ht="12.75">
      <c r="B11127" s="4"/>
      <c r="D11127" s="67"/>
      <c r="G11127" s="68"/>
      <c r="K11127" s="68"/>
    </row>
    <row r="11128" spans="2:11" ht="12.75">
      <c r="B11128" s="4"/>
      <c r="D11128" s="67"/>
      <c r="G11128" s="68"/>
      <c r="K11128" s="68"/>
    </row>
    <row r="11129" spans="2:11" ht="12.75">
      <c r="B11129" s="4"/>
      <c r="D11129" s="67"/>
      <c r="G11129" s="68"/>
      <c r="K11129" s="68"/>
    </row>
    <row r="11130" spans="2:11" ht="12.75">
      <c r="B11130" s="4"/>
      <c r="D11130" s="67"/>
      <c r="G11130" s="68"/>
      <c r="K11130" s="68"/>
    </row>
    <row r="11131" spans="2:11" ht="12.75">
      <c r="B11131" s="4"/>
      <c r="D11131" s="67"/>
      <c r="G11131" s="68"/>
      <c r="K11131" s="68"/>
    </row>
    <row r="11132" spans="2:11" ht="12.75">
      <c r="B11132" s="4"/>
      <c r="D11132" s="67"/>
      <c r="G11132" s="68"/>
      <c r="K11132" s="68"/>
    </row>
    <row r="11133" spans="2:11" ht="12.75">
      <c r="B11133" s="4"/>
      <c r="D11133" s="67"/>
      <c r="G11133" s="68"/>
      <c r="K11133" s="68"/>
    </row>
    <row r="11134" spans="2:11" ht="12.75">
      <c r="B11134" s="4"/>
      <c r="D11134" s="67"/>
      <c r="G11134" s="68"/>
      <c r="K11134" s="68"/>
    </row>
    <row r="11135" spans="2:11" ht="12.75">
      <c r="B11135" s="4"/>
      <c r="D11135" s="67"/>
      <c r="G11135" s="68"/>
      <c r="K11135" s="68"/>
    </row>
    <row r="11136" spans="2:11" ht="12.75">
      <c r="B11136" s="4"/>
      <c r="D11136" s="67"/>
      <c r="G11136" s="68"/>
      <c r="K11136" s="68"/>
    </row>
    <row r="11137" spans="2:11" ht="12.75">
      <c r="B11137" s="4"/>
      <c r="D11137" s="67"/>
      <c r="G11137" s="68"/>
      <c r="K11137" s="68"/>
    </row>
    <row r="11138" spans="2:11" ht="12.75">
      <c r="B11138" s="4"/>
      <c r="D11138" s="67"/>
      <c r="G11138" s="68"/>
      <c r="K11138" s="68"/>
    </row>
    <row r="11139" spans="2:11" ht="12.75">
      <c r="B11139" s="4"/>
      <c r="D11139" s="67"/>
      <c r="G11139" s="68"/>
      <c r="K11139" s="68"/>
    </row>
    <row r="11140" spans="2:11" ht="12.75">
      <c r="B11140" s="4"/>
      <c r="D11140" s="67"/>
      <c r="G11140" s="68"/>
      <c r="K11140" s="68"/>
    </row>
    <row r="11141" spans="2:11" ht="12.75">
      <c r="B11141" s="4"/>
      <c r="D11141" s="67"/>
      <c r="G11141" s="68"/>
      <c r="K11141" s="68"/>
    </row>
    <row r="11142" spans="2:11" ht="12.75">
      <c r="B11142" s="4"/>
      <c r="D11142" s="67"/>
      <c r="G11142" s="68"/>
      <c r="K11142" s="68"/>
    </row>
    <row r="11143" spans="2:11" ht="12.75">
      <c r="B11143" s="4"/>
      <c r="D11143" s="67"/>
      <c r="G11143" s="68"/>
      <c r="K11143" s="68"/>
    </row>
    <row r="11144" spans="2:11" ht="12.75">
      <c r="B11144" s="4"/>
      <c r="D11144" s="67"/>
      <c r="G11144" s="68"/>
      <c r="K11144" s="68"/>
    </row>
    <row r="11145" spans="2:11" ht="12.75">
      <c r="B11145" s="4"/>
      <c r="D11145" s="67"/>
      <c r="G11145" s="68"/>
      <c r="K11145" s="68"/>
    </row>
    <row r="11146" spans="2:11" ht="12.75">
      <c r="B11146" s="4"/>
      <c r="D11146" s="67"/>
      <c r="G11146" s="68"/>
      <c r="K11146" s="68"/>
    </row>
    <row r="11147" spans="2:11" ht="12.75">
      <c r="B11147" s="4"/>
      <c r="D11147" s="67"/>
      <c r="G11147" s="68"/>
      <c r="K11147" s="68"/>
    </row>
    <row r="11148" spans="2:11" ht="12.75">
      <c r="B11148" s="4"/>
      <c r="D11148" s="67"/>
      <c r="G11148" s="68"/>
      <c r="K11148" s="68"/>
    </row>
    <row r="11149" spans="2:11" ht="12.75">
      <c r="B11149" s="4"/>
      <c r="D11149" s="67"/>
      <c r="G11149" s="68"/>
      <c r="K11149" s="68"/>
    </row>
    <row r="11150" spans="2:11" ht="12.75">
      <c r="B11150" s="4"/>
      <c r="D11150" s="67"/>
      <c r="G11150" s="68"/>
      <c r="K11150" s="68"/>
    </row>
    <row r="11151" spans="2:11" ht="12.75">
      <c r="B11151" s="4"/>
      <c r="D11151" s="67"/>
      <c r="G11151" s="68"/>
      <c r="K11151" s="68"/>
    </row>
    <row r="11152" spans="2:11" ht="12.75">
      <c r="B11152" s="4"/>
      <c r="D11152" s="67"/>
      <c r="G11152" s="68"/>
      <c r="K11152" s="68"/>
    </row>
    <row r="11153" spans="2:11" ht="12.75">
      <c r="B11153" s="4"/>
      <c r="D11153" s="67"/>
      <c r="G11153" s="68"/>
      <c r="K11153" s="68"/>
    </row>
    <row r="11154" spans="2:11" ht="12.75">
      <c r="B11154" s="4"/>
      <c r="D11154" s="67"/>
      <c r="G11154" s="68"/>
      <c r="K11154" s="68"/>
    </row>
    <row r="11155" spans="2:11" ht="12.75">
      <c r="B11155" s="4"/>
      <c r="D11155" s="67"/>
      <c r="G11155" s="68"/>
      <c r="K11155" s="68"/>
    </row>
    <row r="11156" spans="2:11" ht="12.75">
      <c r="B11156" s="4"/>
      <c r="D11156" s="67"/>
      <c r="G11156" s="68"/>
      <c r="K11156" s="68"/>
    </row>
    <row r="11157" spans="2:11" ht="12.75">
      <c r="B11157" s="4"/>
      <c r="D11157" s="67"/>
      <c r="G11157" s="68"/>
      <c r="K11157" s="68"/>
    </row>
    <row r="11158" spans="2:11" ht="12.75">
      <c r="B11158" s="4"/>
      <c r="D11158" s="67"/>
      <c r="G11158" s="68"/>
      <c r="K11158" s="68"/>
    </row>
    <row r="11159" spans="2:11" ht="12.75">
      <c r="B11159" s="4"/>
      <c r="D11159" s="67"/>
      <c r="G11159" s="68"/>
      <c r="K11159" s="68"/>
    </row>
    <row r="11160" spans="2:11" ht="12.75">
      <c r="B11160" s="4"/>
      <c r="D11160" s="67"/>
      <c r="G11160" s="68"/>
      <c r="K11160" s="68"/>
    </row>
    <row r="11161" spans="2:11" ht="12.75">
      <c r="B11161" s="4"/>
      <c r="D11161" s="67"/>
      <c r="G11161" s="68"/>
      <c r="K11161" s="68"/>
    </row>
    <row r="11162" spans="2:11" ht="12.75">
      <c r="B11162" s="4"/>
      <c r="D11162" s="67"/>
      <c r="G11162" s="68"/>
      <c r="K11162" s="68"/>
    </row>
    <row r="11163" spans="2:11" ht="12.75">
      <c r="B11163" s="4"/>
      <c r="D11163" s="67"/>
      <c r="G11163" s="68"/>
      <c r="K11163" s="68"/>
    </row>
    <row r="11164" spans="2:11" ht="12.75">
      <c r="B11164" s="4"/>
      <c r="D11164" s="67"/>
      <c r="G11164" s="68"/>
      <c r="K11164" s="68"/>
    </row>
    <row r="11165" spans="2:11" ht="12.75">
      <c r="B11165" s="4"/>
      <c r="D11165" s="67"/>
      <c r="G11165" s="68"/>
      <c r="K11165" s="68"/>
    </row>
    <row r="11166" spans="2:11" ht="12.75">
      <c r="B11166" s="4"/>
      <c r="D11166" s="67"/>
      <c r="G11166" s="68"/>
      <c r="K11166" s="68"/>
    </row>
    <row r="11167" spans="2:11" ht="12.75">
      <c r="B11167" s="4"/>
      <c r="D11167" s="67"/>
      <c r="G11167" s="68"/>
      <c r="K11167" s="68"/>
    </row>
    <row r="11168" spans="2:11" ht="12.75">
      <c r="B11168" s="4"/>
      <c r="D11168" s="67"/>
      <c r="G11168" s="68"/>
      <c r="K11168" s="68"/>
    </row>
    <row r="11169" spans="2:11" ht="12.75">
      <c r="B11169" s="4"/>
      <c r="D11169" s="67"/>
      <c r="G11169" s="68"/>
      <c r="K11169" s="68"/>
    </row>
    <row r="11170" spans="2:11" ht="12.75">
      <c r="B11170" s="4"/>
      <c r="D11170" s="67"/>
      <c r="G11170" s="68"/>
      <c r="K11170" s="68"/>
    </row>
    <row r="11171" spans="2:11" ht="12.75">
      <c r="B11171" s="4"/>
      <c r="D11171" s="67"/>
      <c r="G11171" s="68"/>
      <c r="K11171" s="68"/>
    </row>
    <row r="11172" spans="2:11" ht="12.75">
      <c r="B11172" s="4"/>
      <c r="D11172" s="67"/>
      <c r="G11172" s="68"/>
      <c r="K11172" s="68"/>
    </row>
    <row r="11173" spans="2:11" ht="12.75">
      <c r="B11173" s="4"/>
      <c r="D11173" s="67"/>
      <c r="G11173" s="68"/>
      <c r="K11173" s="68"/>
    </row>
    <row r="11174" spans="2:11" ht="12.75">
      <c r="B11174" s="4"/>
      <c r="D11174" s="67"/>
      <c r="G11174" s="68"/>
      <c r="K11174" s="68"/>
    </row>
    <row r="11175" spans="2:11" ht="12.75">
      <c r="B11175" s="4"/>
      <c r="D11175" s="67"/>
      <c r="G11175" s="68"/>
      <c r="K11175" s="68"/>
    </row>
    <row r="11176" spans="2:11" ht="12.75">
      <c r="B11176" s="4"/>
      <c r="D11176" s="67"/>
      <c r="G11176" s="68"/>
      <c r="K11176" s="68"/>
    </row>
    <row r="11177" spans="2:11" ht="12.75">
      <c r="B11177" s="4"/>
      <c r="D11177" s="67"/>
      <c r="G11177" s="68"/>
      <c r="K11177" s="68"/>
    </row>
    <row r="11178" spans="2:11" ht="12.75">
      <c r="B11178" s="4"/>
      <c r="D11178" s="67"/>
      <c r="G11178" s="68"/>
      <c r="K11178" s="68"/>
    </row>
    <row r="11179" spans="2:11" ht="12.75">
      <c r="B11179" s="4"/>
      <c r="D11179" s="67"/>
      <c r="G11179" s="68"/>
      <c r="K11179" s="68"/>
    </row>
    <row r="11180" spans="2:11" ht="12.75">
      <c r="B11180" s="4"/>
      <c r="D11180" s="67"/>
      <c r="G11180" s="68"/>
      <c r="K11180" s="68"/>
    </row>
    <row r="11181" spans="2:11" ht="12.75">
      <c r="B11181" s="4"/>
      <c r="D11181" s="67"/>
      <c r="G11181" s="68"/>
      <c r="K11181" s="68"/>
    </row>
    <row r="11182" spans="2:11" ht="12.75">
      <c r="B11182" s="4"/>
      <c r="D11182" s="67"/>
      <c r="G11182" s="68"/>
      <c r="K11182" s="68"/>
    </row>
    <row r="11183" spans="2:11" ht="12.75">
      <c r="B11183" s="4"/>
      <c r="D11183" s="67"/>
      <c r="G11183" s="68"/>
      <c r="K11183" s="68"/>
    </row>
    <row r="11184" spans="2:11" ht="12.75">
      <c r="B11184" s="4"/>
      <c r="D11184" s="67"/>
      <c r="G11184" s="68"/>
      <c r="K11184" s="68"/>
    </row>
    <row r="11185" spans="2:11" ht="12.75">
      <c r="B11185" s="4"/>
      <c r="D11185" s="67"/>
      <c r="G11185" s="68"/>
      <c r="K11185" s="68"/>
    </row>
    <row r="11186" spans="2:11" ht="12.75">
      <c r="B11186" s="4"/>
      <c r="D11186" s="67"/>
      <c r="G11186" s="68"/>
      <c r="K11186" s="68"/>
    </row>
    <row r="11187" spans="2:11" ht="12.75">
      <c r="B11187" s="4"/>
      <c r="D11187" s="67"/>
      <c r="G11187" s="68"/>
      <c r="K11187" s="68"/>
    </row>
    <row r="11188" spans="2:11" ht="12.75">
      <c r="B11188" s="4"/>
      <c r="D11188" s="67"/>
      <c r="G11188" s="68"/>
      <c r="K11188" s="68"/>
    </row>
    <row r="11189" spans="2:11" ht="12.75">
      <c r="B11189" s="4"/>
      <c r="D11189" s="67"/>
      <c r="G11189" s="68"/>
      <c r="K11189" s="68"/>
    </row>
    <row r="11190" spans="2:11" ht="12.75">
      <c r="B11190" s="4"/>
      <c r="D11190" s="67"/>
      <c r="G11190" s="68"/>
      <c r="K11190" s="68"/>
    </row>
    <row r="11191" spans="2:11" ht="12.75">
      <c r="B11191" s="4"/>
      <c r="D11191" s="67"/>
      <c r="G11191" s="68"/>
      <c r="K11191" s="68"/>
    </row>
    <row r="11192" spans="2:11" ht="12.75">
      <c r="B11192" s="4"/>
      <c r="D11192" s="67"/>
      <c r="G11192" s="68"/>
      <c r="K11192" s="68"/>
    </row>
    <row r="11193" spans="2:11" ht="12.75">
      <c r="B11193" s="4"/>
      <c r="D11193" s="67"/>
      <c r="G11193" s="68"/>
      <c r="K11193" s="68"/>
    </row>
    <row r="11194" spans="2:11" ht="12.75">
      <c r="B11194" s="4"/>
      <c r="D11194" s="67"/>
      <c r="G11194" s="68"/>
      <c r="K11194" s="68"/>
    </row>
    <row r="11195" spans="2:11" ht="12.75">
      <c r="B11195" s="4"/>
      <c r="D11195" s="67"/>
      <c r="G11195" s="68"/>
      <c r="K11195" s="68"/>
    </row>
    <row r="11196" spans="2:11" ht="12.75">
      <c r="B11196" s="4"/>
      <c r="D11196" s="67"/>
      <c r="G11196" s="68"/>
      <c r="K11196" s="68"/>
    </row>
    <row r="11197" spans="2:11" ht="12.75">
      <c r="B11197" s="4"/>
      <c r="D11197" s="67"/>
      <c r="G11197" s="68"/>
      <c r="K11197" s="68"/>
    </row>
    <row r="11198" spans="2:11" ht="12.75">
      <c r="B11198" s="4"/>
      <c r="D11198" s="67"/>
      <c r="G11198" s="68"/>
      <c r="K11198" s="68"/>
    </row>
    <row r="11199" spans="2:11" ht="12.75">
      <c r="B11199" s="4"/>
      <c r="D11199" s="67"/>
      <c r="G11199" s="68"/>
      <c r="K11199" s="68"/>
    </row>
    <row r="11200" spans="2:11" ht="12.75">
      <c r="B11200" s="4"/>
      <c r="D11200" s="67"/>
      <c r="G11200" s="68"/>
      <c r="K11200" s="68"/>
    </row>
    <row r="11201" spans="2:11" ht="12.75">
      <c r="B11201" s="4"/>
      <c r="D11201" s="67"/>
      <c r="G11201" s="68"/>
      <c r="K11201" s="68"/>
    </row>
    <row r="11202" spans="2:11" ht="12.75">
      <c r="B11202" s="4"/>
      <c r="D11202" s="67"/>
      <c r="G11202" s="68"/>
      <c r="K11202" s="68"/>
    </row>
    <row r="11203" spans="2:11" ht="12.75">
      <c r="B11203" s="4"/>
      <c r="D11203" s="67"/>
      <c r="G11203" s="68"/>
      <c r="K11203" s="68"/>
    </row>
    <row r="11204" spans="2:11" ht="12.75">
      <c r="B11204" s="4"/>
      <c r="D11204" s="67"/>
      <c r="G11204" s="68"/>
      <c r="K11204" s="68"/>
    </row>
    <row r="11205" spans="2:11" ht="12.75">
      <c r="B11205" s="4"/>
      <c r="D11205" s="67"/>
      <c r="G11205" s="68"/>
      <c r="K11205" s="68"/>
    </row>
    <row r="11206" spans="2:11" ht="12.75">
      <c r="B11206" s="4"/>
      <c r="D11206" s="67"/>
      <c r="G11206" s="68"/>
      <c r="K11206" s="68"/>
    </row>
    <row r="11207" spans="2:11" ht="12.75">
      <c r="B11207" s="4"/>
      <c r="D11207" s="67"/>
      <c r="G11207" s="68"/>
      <c r="K11207" s="68"/>
    </row>
    <row r="11208" spans="2:11" ht="12.75">
      <c r="B11208" s="4"/>
      <c r="D11208" s="67"/>
      <c r="G11208" s="68"/>
      <c r="K11208" s="68"/>
    </row>
    <row r="11209" spans="2:11" ht="12.75">
      <c r="B11209" s="4"/>
      <c r="D11209" s="67"/>
      <c r="G11209" s="68"/>
      <c r="K11209" s="68"/>
    </row>
    <row r="11210" spans="2:11" ht="12.75">
      <c r="B11210" s="4"/>
      <c r="D11210" s="67"/>
      <c r="G11210" s="68"/>
      <c r="K11210" s="68"/>
    </row>
    <row r="11211" spans="2:11" ht="12.75">
      <c r="B11211" s="4"/>
      <c r="D11211" s="67"/>
      <c r="G11211" s="68"/>
      <c r="K11211" s="68"/>
    </row>
    <row r="11212" spans="2:11" ht="12.75">
      <c r="B11212" s="4"/>
      <c r="D11212" s="67"/>
      <c r="G11212" s="68"/>
      <c r="K11212" s="68"/>
    </row>
    <row r="11213" spans="2:11" ht="12.75">
      <c r="B11213" s="4"/>
      <c r="D11213" s="67"/>
      <c r="G11213" s="68"/>
      <c r="K11213" s="68"/>
    </row>
    <row r="11214" spans="2:11" ht="12.75">
      <c r="B11214" s="4"/>
      <c r="D11214" s="67"/>
      <c r="G11214" s="68"/>
      <c r="K11214" s="68"/>
    </row>
    <row r="11215" spans="2:11" ht="12.75">
      <c r="B11215" s="4"/>
      <c r="D11215" s="67"/>
      <c r="G11215" s="68"/>
      <c r="K11215" s="68"/>
    </row>
    <row r="11216" spans="2:11" ht="12.75">
      <c r="B11216" s="4"/>
      <c r="D11216" s="67"/>
      <c r="G11216" s="68"/>
      <c r="K11216" s="68"/>
    </row>
    <row r="11217" spans="2:11" ht="12.75">
      <c r="B11217" s="4"/>
      <c r="D11217" s="67"/>
      <c r="G11217" s="68"/>
      <c r="K11217" s="68"/>
    </row>
    <row r="11218" spans="2:11" ht="12.75">
      <c r="B11218" s="4"/>
      <c r="D11218" s="67"/>
      <c r="G11218" s="68"/>
      <c r="K11218" s="68"/>
    </row>
    <row r="11219" spans="2:11" ht="12.75">
      <c r="B11219" s="4"/>
      <c r="D11219" s="67"/>
      <c r="G11219" s="68"/>
      <c r="K11219" s="68"/>
    </row>
    <row r="11220" spans="2:11" ht="12.75">
      <c r="B11220" s="4"/>
      <c r="D11220" s="67"/>
      <c r="G11220" s="68"/>
      <c r="K11220" s="68"/>
    </row>
    <row r="11221" spans="2:11" ht="12.75">
      <c r="B11221" s="4"/>
      <c r="D11221" s="67"/>
      <c r="G11221" s="68"/>
      <c r="K11221" s="68"/>
    </row>
    <row r="11222" spans="2:11" ht="12.75">
      <c r="B11222" s="4"/>
      <c r="D11222" s="67"/>
      <c r="G11222" s="68"/>
      <c r="K11222" s="68"/>
    </row>
    <row r="11223" spans="2:11" ht="12.75">
      <c r="B11223" s="4"/>
      <c r="D11223" s="67"/>
      <c r="G11223" s="68"/>
      <c r="K11223" s="68"/>
    </row>
    <row r="11224" spans="2:11" ht="12.75">
      <c r="B11224" s="4"/>
      <c r="D11224" s="67"/>
      <c r="G11224" s="68"/>
      <c r="K11224" s="68"/>
    </row>
    <row r="11225" spans="2:11" ht="12.75">
      <c r="B11225" s="4"/>
      <c r="D11225" s="67"/>
      <c r="G11225" s="68"/>
      <c r="K11225" s="68"/>
    </row>
    <row r="11226" spans="2:11" ht="12.75">
      <c r="B11226" s="4"/>
      <c r="D11226" s="67"/>
      <c r="G11226" s="68"/>
      <c r="K11226" s="68"/>
    </row>
    <row r="11227" spans="2:11" ht="12.75">
      <c r="B11227" s="4"/>
      <c r="D11227" s="67"/>
      <c r="G11227" s="68"/>
      <c r="K11227" s="68"/>
    </row>
    <row r="11228" spans="2:11" ht="12.75">
      <c r="B11228" s="4"/>
      <c r="D11228" s="67"/>
      <c r="G11228" s="68"/>
      <c r="K11228" s="68"/>
    </row>
    <row r="11229" spans="2:11" ht="12.75">
      <c r="B11229" s="4"/>
      <c r="D11229" s="67"/>
      <c r="G11229" s="68"/>
      <c r="K11229" s="68"/>
    </row>
    <row r="11230" spans="2:11" ht="12.75">
      <c r="B11230" s="4"/>
      <c r="D11230" s="67"/>
      <c r="G11230" s="68"/>
      <c r="K11230" s="68"/>
    </row>
    <row r="11231" spans="2:11" ht="12.75">
      <c r="B11231" s="4"/>
      <c r="D11231" s="67"/>
      <c r="G11231" s="68"/>
      <c r="K11231" s="68"/>
    </row>
    <row r="11232" spans="2:11" ht="12.75">
      <c r="B11232" s="4"/>
      <c r="D11232" s="67"/>
      <c r="G11232" s="68"/>
      <c r="K11232" s="68"/>
    </row>
    <row r="11233" spans="2:11" ht="12.75">
      <c r="B11233" s="4"/>
      <c r="D11233" s="67"/>
      <c r="G11233" s="68"/>
      <c r="K11233" s="68"/>
    </row>
    <row r="11234" spans="2:11" ht="12.75">
      <c r="B11234" s="4"/>
      <c r="D11234" s="67"/>
      <c r="G11234" s="68"/>
      <c r="K11234" s="68"/>
    </row>
    <row r="11235" spans="2:11" ht="12.75">
      <c r="B11235" s="4"/>
      <c r="D11235" s="67"/>
      <c r="G11235" s="68"/>
      <c r="K11235" s="68"/>
    </row>
    <row r="11236" spans="2:11" ht="12.75">
      <c r="B11236" s="4"/>
      <c r="D11236" s="67"/>
      <c r="G11236" s="68"/>
      <c r="K11236" s="68"/>
    </row>
    <row r="11237" spans="2:11" ht="12.75">
      <c r="B11237" s="4"/>
      <c r="D11237" s="67"/>
      <c r="G11237" s="68"/>
      <c r="K11237" s="68"/>
    </row>
    <row r="11238" spans="2:11" ht="12.75">
      <c r="B11238" s="4"/>
      <c r="D11238" s="67"/>
      <c r="G11238" s="68"/>
      <c r="K11238" s="68"/>
    </row>
    <row r="11239" spans="2:11" ht="12.75">
      <c r="B11239" s="4"/>
      <c r="D11239" s="67"/>
      <c r="G11239" s="68"/>
      <c r="K11239" s="68"/>
    </row>
    <row r="11240" spans="2:11" ht="12.75">
      <c r="B11240" s="4"/>
      <c r="D11240" s="67"/>
      <c r="G11240" s="68"/>
      <c r="K11240" s="68"/>
    </row>
    <row r="11241" spans="2:11" ht="12.75">
      <c r="B11241" s="4"/>
      <c r="D11241" s="67"/>
      <c r="G11241" s="68"/>
      <c r="K11241" s="68"/>
    </row>
    <row r="11242" spans="2:11" ht="12.75">
      <c r="B11242" s="4"/>
      <c r="D11242" s="67"/>
      <c r="G11242" s="68"/>
      <c r="K11242" s="68"/>
    </row>
    <row r="11243" spans="2:11" ht="12.75">
      <c r="B11243" s="4"/>
      <c r="D11243" s="67"/>
      <c r="G11243" s="68"/>
      <c r="K11243" s="68"/>
    </row>
    <row r="11244" spans="2:11" ht="12.75">
      <c r="B11244" s="4"/>
      <c r="D11244" s="67"/>
      <c r="G11244" s="68"/>
      <c r="K11244" s="68"/>
    </row>
    <row r="11245" spans="2:11" ht="12.75">
      <c r="B11245" s="4"/>
      <c r="D11245" s="67"/>
      <c r="G11245" s="68"/>
      <c r="K11245" s="68"/>
    </row>
    <row r="11246" spans="2:11" ht="12.75">
      <c r="B11246" s="4"/>
      <c r="D11246" s="67"/>
      <c r="G11246" s="68"/>
      <c r="K11246" s="68"/>
    </row>
    <row r="11247" spans="2:11" ht="12.75">
      <c r="B11247" s="4"/>
      <c r="D11247" s="67"/>
      <c r="G11247" s="68"/>
      <c r="K11247" s="68"/>
    </row>
    <row r="11248" spans="2:11" ht="12.75">
      <c r="B11248" s="4"/>
      <c r="D11248" s="67"/>
      <c r="G11248" s="68"/>
      <c r="K11248" s="68"/>
    </row>
    <row r="11249" spans="2:11" ht="12.75">
      <c r="B11249" s="4"/>
      <c r="D11249" s="67"/>
      <c r="G11249" s="68"/>
      <c r="K11249" s="68"/>
    </row>
    <row r="11250" spans="2:11" ht="12.75">
      <c r="B11250" s="4"/>
      <c r="D11250" s="67"/>
      <c r="G11250" s="68"/>
      <c r="K11250" s="68"/>
    </row>
    <row r="11251" spans="2:11" ht="12.75">
      <c r="B11251" s="4"/>
      <c r="D11251" s="67"/>
      <c r="G11251" s="68"/>
      <c r="K11251" s="68"/>
    </row>
    <row r="11252" spans="2:11" ht="12.75">
      <c r="B11252" s="4"/>
      <c r="D11252" s="67"/>
      <c r="G11252" s="68"/>
      <c r="K11252" s="68"/>
    </row>
    <row r="11253" spans="2:11" ht="12.75">
      <c r="B11253" s="4"/>
      <c r="D11253" s="67"/>
      <c r="G11253" s="68"/>
      <c r="K11253" s="68"/>
    </row>
    <row r="11254" spans="2:11" ht="12.75">
      <c r="B11254" s="4"/>
      <c r="D11254" s="67"/>
      <c r="G11254" s="68"/>
      <c r="K11254" s="68"/>
    </row>
    <row r="11255" spans="2:11" ht="12.75">
      <c r="B11255" s="4"/>
      <c r="D11255" s="67"/>
      <c r="G11255" s="68"/>
      <c r="K11255" s="68"/>
    </row>
    <row r="11256" spans="2:11" ht="12.75">
      <c r="B11256" s="4"/>
      <c r="D11256" s="67"/>
      <c r="G11256" s="68"/>
      <c r="K11256" s="68"/>
    </row>
    <row r="11257" spans="2:11" ht="12.75">
      <c r="B11257" s="4"/>
      <c r="D11257" s="67"/>
      <c r="G11257" s="68"/>
      <c r="K11257" s="68"/>
    </row>
    <row r="11258" spans="2:11" ht="12.75">
      <c r="B11258" s="4"/>
      <c r="D11258" s="67"/>
      <c r="G11258" s="68"/>
      <c r="K11258" s="68"/>
    </row>
    <row r="11259" spans="2:11" ht="12.75">
      <c r="B11259" s="4"/>
      <c r="D11259" s="67"/>
      <c r="G11259" s="68"/>
      <c r="K11259" s="68"/>
    </row>
    <row r="11260" spans="2:11" ht="12.75">
      <c r="B11260" s="4"/>
      <c r="D11260" s="67"/>
      <c r="G11260" s="68"/>
      <c r="K11260" s="68"/>
    </row>
    <row r="11261" spans="2:11" ht="12.75">
      <c r="B11261" s="4"/>
      <c r="D11261" s="67"/>
      <c r="G11261" s="68"/>
      <c r="K11261" s="68"/>
    </row>
    <row r="11262" spans="2:11" ht="12.75">
      <c r="B11262" s="4"/>
      <c r="D11262" s="67"/>
      <c r="G11262" s="68"/>
      <c r="K11262" s="68"/>
    </row>
    <row r="11263" spans="2:11" ht="12.75">
      <c r="B11263" s="4"/>
      <c r="D11263" s="67"/>
      <c r="G11263" s="68"/>
      <c r="K11263" s="68"/>
    </row>
    <row r="11264" spans="2:11" ht="12.75">
      <c r="B11264" s="4"/>
      <c r="D11264" s="67"/>
      <c r="G11264" s="68"/>
      <c r="K11264" s="68"/>
    </row>
    <row r="11265" spans="2:11" ht="12.75">
      <c r="B11265" s="4"/>
      <c r="D11265" s="67"/>
      <c r="G11265" s="68"/>
      <c r="K11265" s="68"/>
    </row>
    <row r="11266" spans="2:11" ht="12.75">
      <c r="B11266" s="4"/>
      <c r="D11266" s="67"/>
      <c r="G11266" s="68"/>
      <c r="K11266" s="68"/>
    </row>
    <row r="11267" spans="2:11" ht="12.75">
      <c r="B11267" s="4"/>
      <c r="D11267" s="67"/>
      <c r="G11267" s="68"/>
      <c r="K11267" s="68"/>
    </row>
    <row r="11268" spans="2:11" ht="12.75">
      <c r="B11268" s="4"/>
      <c r="D11268" s="67"/>
      <c r="G11268" s="68"/>
      <c r="K11268" s="68"/>
    </row>
    <row r="11269" spans="2:11" ht="12.75">
      <c r="B11269" s="4"/>
      <c r="D11269" s="67"/>
      <c r="G11269" s="68"/>
      <c r="K11269" s="68"/>
    </row>
    <row r="11270" spans="2:11" ht="12.75">
      <c r="B11270" s="4"/>
      <c r="D11270" s="67"/>
      <c r="G11270" s="68"/>
      <c r="K11270" s="68"/>
    </row>
    <row r="11271" spans="2:11" ht="12.75">
      <c r="B11271" s="4"/>
      <c r="D11271" s="67"/>
      <c r="G11271" s="68"/>
      <c r="K11271" s="68"/>
    </row>
    <row r="11272" spans="2:11" ht="12.75">
      <c r="B11272" s="4"/>
      <c r="D11272" s="67"/>
      <c r="G11272" s="68"/>
      <c r="K11272" s="68"/>
    </row>
    <row r="11273" spans="2:11" ht="12.75">
      <c r="B11273" s="4"/>
      <c r="D11273" s="67"/>
      <c r="G11273" s="68"/>
      <c r="K11273" s="68"/>
    </row>
    <row r="11274" spans="2:11" ht="12.75">
      <c r="B11274" s="4"/>
      <c r="D11274" s="67"/>
      <c r="G11274" s="68"/>
      <c r="K11274" s="68"/>
    </row>
    <row r="11275" spans="2:11" ht="12.75">
      <c r="B11275" s="4"/>
      <c r="D11275" s="67"/>
      <c r="G11275" s="68"/>
      <c r="K11275" s="68"/>
    </row>
    <row r="11276" spans="2:11" ht="12.75">
      <c r="B11276" s="4"/>
      <c r="D11276" s="67"/>
      <c r="G11276" s="68"/>
      <c r="K11276" s="68"/>
    </row>
    <row r="11277" spans="2:11" ht="12.75">
      <c r="B11277" s="4"/>
      <c r="D11277" s="67"/>
      <c r="G11277" s="68"/>
      <c r="K11277" s="68"/>
    </row>
    <row r="11278" spans="2:11" ht="12.75">
      <c r="B11278" s="4"/>
      <c r="D11278" s="67"/>
      <c r="G11278" s="68"/>
      <c r="K11278" s="68"/>
    </row>
    <row r="11279" spans="2:11" ht="12.75">
      <c r="B11279" s="4"/>
      <c r="D11279" s="67"/>
      <c r="G11279" s="68"/>
      <c r="K11279" s="68"/>
    </row>
    <row r="11280" spans="2:11" ht="12.75">
      <c r="B11280" s="4"/>
      <c r="D11280" s="67"/>
      <c r="G11280" s="68"/>
      <c r="K11280" s="68"/>
    </row>
    <row r="11281" spans="2:11" ht="12.75">
      <c r="B11281" s="4"/>
      <c r="D11281" s="67"/>
      <c r="G11281" s="68"/>
      <c r="K11281" s="68"/>
    </row>
    <row r="11282" spans="2:11" ht="12.75">
      <c r="B11282" s="4"/>
      <c r="D11282" s="67"/>
      <c r="G11282" s="68"/>
      <c r="K11282" s="68"/>
    </row>
    <row r="11283" spans="2:11" ht="12.75">
      <c r="B11283" s="4"/>
      <c r="D11283" s="67"/>
      <c r="G11283" s="68"/>
      <c r="K11283" s="68"/>
    </row>
    <row r="11284" spans="2:11" ht="12.75">
      <c r="B11284" s="4"/>
      <c r="D11284" s="67"/>
      <c r="G11284" s="68"/>
      <c r="K11284" s="68"/>
    </row>
    <row r="11285" spans="2:11" ht="12.75">
      <c r="B11285" s="4"/>
      <c r="D11285" s="67"/>
      <c r="G11285" s="68"/>
      <c r="K11285" s="68"/>
    </row>
    <row r="11286" spans="2:11" ht="12.75">
      <c r="B11286" s="4"/>
      <c r="D11286" s="67"/>
      <c r="G11286" s="68"/>
      <c r="K11286" s="68"/>
    </row>
    <row r="11287" spans="2:11" ht="12.75">
      <c r="B11287" s="4"/>
      <c r="D11287" s="67"/>
      <c r="G11287" s="68"/>
      <c r="K11287" s="68"/>
    </row>
    <row r="11288" spans="2:11" ht="12.75">
      <c r="B11288" s="4"/>
      <c r="D11288" s="67"/>
      <c r="G11288" s="68"/>
      <c r="K11288" s="68"/>
    </row>
    <row r="11289" spans="2:11" ht="12.75">
      <c r="B11289" s="4"/>
      <c r="D11289" s="67"/>
      <c r="G11289" s="68"/>
      <c r="K11289" s="68"/>
    </row>
    <row r="11290" spans="2:11" ht="12.75">
      <c r="B11290" s="4"/>
      <c r="D11290" s="67"/>
      <c r="G11290" s="68"/>
      <c r="K11290" s="68"/>
    </row>
    <row r="11291" spans="2:11" ht="12.75">
      <c r="B11291" s="4"/>
      <c r="D11291" s="67"/>
      <c r="G11291" s="68"/>
      <c r="K11291" s="68"/>
    </row>
    <row r="11292" spans="2:11" ht="12.75">
      <c r="B11292" s="4"/>
      <c r="D11292" s="67"/>
      <c r="G11292" s="68"/>
      <c r="K11292" s="68"/>
    </row>
    <row r="11293" spans="2:11" ht="12.75">
      <c r="B11293" s="4"/>
      <c r="D11293" s="67"/>
      <c r="G11293" s="68"/>
      <c r="K11293" s="68"/>
    </row>
    <row r="11294" spans="2:11" ht="12.75">
      <c r="B11294" s="4"/>
      <c r="D11294" s="67"/>
      <c r="G11294" s="68"/>
      <c r="K11294" s="68"/>
    </row>
    <row r="11295" spans="2:11" ht="12.75">
      <c r="B11295" s="4"/>
      <c r="D11295" s="67"/>
      <c r="G11295" s="68"/>
      <c r="K11295" s="68"/>
    </row>
    <row r="11296" spans="2:11" ht="12.75">
      <c r="B11296" s="4"/>
      <c r="D11296" s="67"/>
      <c r="G11296" s="68"/>
      <c r="K11296" s="68"/>
    </row>
    <row r="11297" spans="2:11" ht="12.75">
      <c r="B11297" s="4"/>
      <c r="D11297" s="67"/>
      <c r="G11297" s="68"/>
      <c r="K11297" s="68"/>
    </row>
    <row r="11298" spans="2:11" ht="12.75">
      <c r="B11298" s="4"/>
      <c r="D11298" s="67"/>
      <c r="G11298" s="68"/>
      <c r="K11298" s="68"/>
    </row>
    <row r="11299" spans="2:11" ht="12.75">
      <c r="B11299" s="4"/>
      <c r="D11299" s="67"/>
      <c r="G11299" s="68"/>
      <c r="K11299" s="68"/>
    </row>
    <row r="11300" spans="2:11" ht="12.75">
      <c r="B11300" s="4"/>
      <c r="D11300" s="67"/>
      <c r="G11300" s="68"/>
      <c r="K11300" s="68"/>
    </row>
    <row r="11301" spans="2:11" ht="12.75">
      <c r="B11301" s="4"/>
      <c r="D11301" s="67"/>
      <c r="G11301" s="68"/>
      <c r="K11301" s="68"/>
    </row>
    <row r="11302" spans="2:11" ht="12.75">
      <c r="B11302" s="4"/>
      <c r="D11302" s="67"/>
      <c r="G11302" s="68"/>
      <c r="K11302" s="68"/>
    </row>
    <row r="11303" spans="2:11" ht="12.75">
      <c r="B11303" s="4"/>
      <c r="D11303" s="67"/>
      <c r="G11303" s="68"/>
      <c r="K11303" s="68"/>
    </row>
    <row r="11304" spans="2:11" ht="12.75">
      <c r="B11304" s="4"/>
      <c r="D11304" s="67"/>
      <c r="G11304" s="68"/>
      <c r="K11304" s="68"/>
    </row>
    <row r="11305" spans="2:11" ht="12.75">
      <c r="B11305" s="4"/>
      <c r="D11305" s="67"/>
      <c r="G11305" s="68"/>
      <c r="K11305" s="68"/>
    </row>
    <row r="11306" spans="2:11" ht="12.75">
      <c r="B11306" s="4"/>
      <c r="D11306" s="67"/>
      <c r="G11306" s="68"/>
      <c r="K11306" s="68"/>
    </row>
    <row r="11307" spans="2:11" ht="12.75">
      <c r="B11307" s="4"/>
      <c r="D11307" s="67"/>
      <c r="G11307" s="68"/>
      <c r="K11307" s="68"/>
    </row>
    <row r="11308" spans="2:11" ht="12.75">
      <c r="B11308" s="4"/>
      <c r="D11308" s="67"/>
      <c r="G11308" s="68"/>
      <c r="K11308" s="68"/>
    </row>
    <row r="11309" spans="2:11" ht="12.75">
      <c r="B11309" s="4"/>
      <c r="D11309" s="67"/>
      <c r="G11309" s="68"/>
      <c r="K11309" s="68"/>
    </row>
    <row r="11310" spans="2:11" ht="12.75">
      <c r="B11310" s="4"/>
      <c r="D11310" s="67"/>
      <c r="G11310" s="68"/>
      <c r="K11310" s="68"/>
    </row>
    <row r="11311" spans="2:11" ht="12.75">
      <c r="B11311" s="4"/>
      <c r="D11311" s="67"/>
      <c r="G11311" s="68"/>
      <c r="K11311" s="68"/>
    </row>
    <row r="11312" spans="2:11" ht="12.75">
      <c r="B11312" s="4"/>
      <c r="D11312" s="67"/>
      <c r="G11312" s="68"/>
      <c r="K11312" s="68"/>
    </row>
    <row r="11313" spans="2:11" ht="12.75">
      <c r="B11313" s="4"/>
      <c r="D11313" s="67"/>
      <c r="G11313" s="68"/>
      <c r="K11313" s="68"/>
    </row>
    <row r="11314" spans="2:11" ht="12.75">
      <c r="B11314" s="4"/>
      <c r="D11314" s="67"/>
      <c r="G11314" s="68"/>
      <c r="K11314" s="68"/>
    </row>
    <row r="11315" spans="2:11" ht="12.75">
      <c r="B11315" s="4"/>
      <c r="D11315" s="67"/>
      <c r="G11315" s="68"/>
      <c r="K11315" s="68"/>
    </row>
    <row r="11316" spans="2:11" ht="12.75">
      <c r="B11316" s="4"/>
      <c r="D11316" s="67"/>
      <c r="G11316" s="68"/>
      <c r="K11316" s="68"/>
    </row>
    <row r="11317" spans="2:11" ht="12.75">
      <c r="B11317" s="4"/>
      <c r="D11317" s="67"/>
      <c r="G11317" s="68"/>
      <c r="K11317" s="68"/>
    </row>
    <row r="11318" spans="2:11" ht="12.75">
      <c r="B11318" s="4"/>
      <c r="D11318" s="67"/>
      <c r="G11318" s="68"/>
      <c r="K11318" s="68"/>
    </row>
    <row r="11319" spans="2:11" ht="12.75">
      <c r="B11319" s="4"/>
      <c r="D11319" s="67"/>
      <c r="G11319" s="68"/>
      <c r="K11319" s="68"/>
    </row>
    <row r="11320" spans="2:11" ht="12.75">
      <c r="B11320" s="4"/>
      <c r="D11320" s="67"/>
      <c r="G11320" s="68"/>
      <c r="K11320" s="68"/>
    </row>
    <row r="11321" spans="2:11" ht="12.75">
      <c r="B11321" s="4"/>
      <c r="D11321" s="67"/>
      <c r="G11321" s="68"/>
      <c r="K11321" s="68"/>
    </row>
    <row r="11322" spans="2:11" ht="12.75">
      <c r="B11322" s="4"/>
      <c r="D11322" s="67"/>
      <c r="G11322" s="68"/>
      <c r="K11322" s="68"/>
    </row>
    <row r="11323" spans="2:11" ht="12.75">
      <c r="B11323" s="4"/>
      <c r="D11323" s="67"/>
      <c r="G11323" s="68"/>
      <c r="K11323" s="68"/>
    </row>
    <row r="11324" spans="2:11" ht="12.75">
      <c r="B11324" s="4"/>
      <c r="D11324" s="67"/>
      <c r="G11324" s="68"/>
      <c r="K11324" s="68"/>
    </row>
    <row r="11325" spans="2:11" ht="12.75">
      <c r="B11325" s="4"/>
      <c r="D11325" s="67"/>
      <c r="G11325" s="68"/>
      <c r="K11325" s="68"/>
    </row>
    <row r="11326" spans="2:11" ht="12.75">
      <c r="B11326" s="4"/>
      <c r="D11326" s="67"/>
      <c r="G11326" s="68"/>
      <c r="K11326" s="68"/>
    </row>
    <row r="11327" spans="2:11" ht="12.75">
      <c r="B11327" s="4"/>
      <c r="D11327" s="67"/>
      <c r="G11327" s="68"/>
      <c r="K11327" s="68"/>
    </row>
    <row r="11328" spans="2:11" ht="12.75">
      <c r="B11328" s="4"/>
      <c r="D11328" s="67"/>
      <c r="G11328" s="68"/>
      <c r="K11328" s="68"/>
    </row>
    <row r="11329" spans="2:11" ht="12.75">
      <c r="B11329" s="4"/>
      <c r="D11329" s="67"/>
      <c r="G11329" s="68"/>
      <c r="K11329" s="68"/>
    </row>
    <row r="11330" spans="2:11" ht="12.75">
      <c r="B11330" s="4"/>
      <c r="D11330" s="67"/>
      <c r="G11330" s="68"/>
      <c r="K11330" s="68"/>
    </row>
    <row r="11331" spans="2:11" ht="12.75">
      <c r="B11331" s="4"/>
      <c r="D11331" s="67"/>
      <c r="G11331" s="68"/>
      <c r="K11331" s="68"/>
    </row>
    <row r="11332" spans="2:11" ht="12.75">
      <c r="B11332" s="4"/>
      <c r="D11332" s="67"/>
      <c r="G11332" s="68"/>
      <c r="K11332" s="68"/>
    </row>
    <row r="11333" spans="2:11" ht="12.75">
      <c r="B11333" s="4"/>
      <c r="D11333" s="67"/>
      <c r="G11333" s="68"/>
      <c r="K11333" s="68"/>
    </row>
    <row r="11334" spans="2:11" ht="12.75">
      <c r="B11334" s="4"/>
      <c r="D11334" s="67"/>
      <c r="G11334" s="68"/>
      <c r="K11334" s="68"/>
    </row>
    <row r="11335" spans="2:11" ht="12.75">
      <c r="B11335" s="4"/>
      <c r="D11335" s="67"/>
      <c r="G11335" s="68"/>
      <c r="K11335" s="68"/>
    </row>
    <row r="11336" spans="2:11" ht="12.75">
      <c r="B11336" s="4"/>
      <c r="D11336" s="67"/>
      <c r="G11336" s="68"/>
      <c r="K11336" s="68"/>
    </row>
    <row r="11337" spans="2:11" ht="12.75">
      <c r="B11337" s="4"/>
      <c r="D11337" s="67"/>
      <c r="G11337" s="68"/>
      <c r="K11337" s="68"/>
    </row>
    <row r="11338" spans="2:11" ht="12.75">
      <c r="B11338" s="4"/>
      <c r="D11338" s="67"/>
      <c r="G11338" s="68"/>
      <c r="K11338" s="68"/>
    </row>
    <row r="11339" spans="2:11" ht="12.75">
      <c r="B11339" s="4"/>
      <c r="D11339" s="67"/>
      <c r="G11339" s="68"/>
      <c r="K11339" s="68"/>
    </row>
    <row r="11340" spans="2:11" ht="12.75">
      <c r="B11340" s="4"/>
      <c r="D11340" s="67"/>
      <c r="G11340" s="68"/>
      <c r="K11340" s="68"/>
    </row>
    <row r="11341" spans="2:11" ht="12.75">
      <c r="B11341" s="4"/>
      <c r="D11341" s="67"/>
      <c r="G11341" s="68"/>
      <c r="K11341" s="68"/>
    </row>
    <row r="11342" spans="2:11" ht="12.75">
      <c r="B11342" s="4"/>
      <c r="D11342" s="67"/>
      <c r="G11342" s="68"/>
      <c r="K11342" s="68"/>
    </row>
    <row r="11343" spans="2:11" ht="12.75">
      <c r="B11343" s="4"/>
      <c r="D11343" s="67"/>
      <c r="G11343" s="68"/>
      <c r="K11343" s="68"/>
    </row>
    <row r="11344" spans="2:11" ht="12.75">
      <c r="B11344" s="4"/>
      <c r="D11344" s="67"/>
      <c r="G11344" s="68"/>
      <c r="K11344" s="68"/>
    </row>
    <row r="11345" spans="2:11" ht="12.75">
      <c r="B11345" s="4"/>
      <c r="D11345" s="67"/>
      <c r="G11345" s="68"/>
      <c r="K11345" s="68"/>
    </row>
    <row r="11346" spans="2:11" ht="12.75">
      <c r="B11346" s="4"/>
      <c r="D11346" s="67"/>
      <c r="G11346" s="68"/>
      <c r="K11346" s="68"/>
    </row>
    <row r="11347" spans="2:11" ht="12.75">
      <c r="B11347" s="4"/>
      <c r="D11347" s="67"/>
      <c r="G11347" s="68"/>
      <c r="K11347" s="68"/>
    </row>
    <row r="11348" spans="2:11" ht="12.75">
      <c r="B11348" s="4"/>
      <c r="D11348" s="67"/>
      <c r="G11348" s="68"/>
      <c r="K11348" s="68"/>
    </row>
    <row r="11349" spans="2:11" ht="12.75">
      <c r="B11349" s="4"/>
      <c r="D11349" s="67"/>
      <c r="G11349" s="68"/>
      <c r="K11349" s="68"/>
    </row>
    <row r="11350" spans="2:11" ht="12.75">
      <c r="B11350" s="4"/>
      <c r="D11350" s="67"/>
      <c r="G11350" s="68"/>
      <c r="K11350" s="68"/>
    </row>
    <row r="11351" spans="2:11" ht="12.75">
      <c r="B11351" s="4"/>
      <c r="D11351" s="67"/>
      <c r="G11351" s="68"/>
      <c r="K11351" s="68"/>
    </row>
    <row r="11352" spans="2:11" ht="12.75">
      <c r="B11352" s="4"/>
      <c r="D11352" s="67"/>
      <c r="G11352" s="68"/>
      <c r="K11352" s="68"/>
    </row>
    <row r="11353" spans="2:11" ht="12.75">
      <c r="B11353" s="4"/>
      <c r="D11353" s="67"/>
      <c r="G11353" s="68"/>
      <c r="K11353" s="68"/>
    </row>
    <row r="11354" spans="2:11" ht="12.75">
      <c r="B11354" s="4"/>
      <c r="D11354" s="67"/>
      <c r="G11354" s="68"/>
      <c r="K11354" s="68"/>
    </row>
    <row r="11355" spans="2:11" ht="12.75">
      <c r="B11355" s="4"/>
      <c r="D11355" s="67"/>
      <c r="G11355" s="68"/>
      <c r="K11355" s="68"/>
    </row>
    <row r="11356" spans="2:11" ht="12.75">
      <c r="B11356" s="4"/>
      <c r="D11356" s="67"/>
      <c r="G11356" s="68"/>
      <c r="K11356" s="68"/>
    </row>
    <row r="11357" spans="2:11" ht="12.75">
      <c r="B11357" s="4"/>
      <c r="D11357" s="67"/>
      <c r="G11357" s="68"/>
      <c r="K11357" s="68"/>
    </row>
    <row r="11358" spans="2:11" ht="12.75">
      <c r="B11358" s="4"/>
      <c r="D11358" s="67"/>
      <c r="G11358" s="68"/>
      <c r="K11358" s="68"/>
    </row>
    <row r="11359" spans="2:11" ht="12.75">
      <c r="B11359" s="4"/>
      <c r="D11359" s="67"/>
      <c r="G11359" s="68"/>
      <c r="K11359" s="68"/>
    </row>
    <row r="11360" spans="2:11" ht="12.75">
      <c r="B11360" s="4"/>
      <c r="D11360" s="67"/>
      <c r="G11360" s="68"/>
      <c r="K11360" s="68"/>
    </row>
    <row r="11361" spans="2:11" ht="12.75">
      <c r="B11361" s="4"/>
      <c r="D11361" s="67"/>
      <c r="G11361" s="68"/>
      <c r="K11361" s="68"/>
    </row>
    <row r="11362" spans="2:11" ht="12.75">
      <c r="B11362" s="4"/>
      <c r="D11362" s="67"/>
      <c r="G11362" s="68"/>
      <c r="K11362" s="68"/>
    </row>
    <row r="11363" spans="2:11" ht="12.75">
      <c r="B11363" s="4"/>
      <c r="D11363" s="67"/>
      <c r="G11363" s="68"/>
      <c r="K11363" s="68"/>
    </row>
    <row r="11364" spans="2:11" ht="12.75">
      <c r="B11364" s="4"/>
      <c r="D11364" s="67"/>
      <c r="G11364" s="68"/>
      <c r="K11364" s="68"/>
    </row>
    <row r="11365" spans="2:11" ht="12.75">
      <c r="B11365" s="4"/>
      <c r="D11365" s="67"/>
      <c r="G11365" s="68"/>
      <c r="K11365" s="68"/>
    </row>
    <row r="11366" spans="2:11" ht="12.75">
      <c r="B11366" s="4"/>
      <c r="D11366" s="67"/>
      <c r="G11366" s="68"/>
      <c r="K11366" s="68"/>
    </row>
    <row r="11367" spans="2:11" ht="12.75">
      <c r="B11367" s="4"/>
      <c r="D11367" s="67"/>
      <c r="G11367" s="68"/>
      <c r="K11367" s="68"/>
    </row>
    <row r="11368" spans="2:11" ht="12.75">
      <c r="B11368" s="4"/>
      <c r="D11368" s="67"/>
      <c r="G11368" s="68"/>
      <c r="K11368" s="68"/>
    </row>
    <row r="11369" spans="2:11" ht="12.75">
      <c r="B11369" s="4"/>
      <c r="D11369" s="67"/>
      <c r="G11369" s="68"/>
      <c r="K11369" s="68"/>
    </row>
    <row r="11370" spans="2:11" ht="12.75">
      <c r="B11370" s="4"/>
      <c r="D11370" s="67"/>
      <c r="G11370" s="68"/>
      <c r="K11370" s="68"/>
    </row>
    <row r="11371" spans="2:11" ht="12.75">
      <c r="B11371" s="4"/>
      <c r="D11371" s="67"/>
      <c r="G11371" s="68"/>
      <c r="K11371" s="68"/>
    </row>
    <row r="11372" spans="2:11" ht="12.75">
      <c r="B11372" s="4"/>
      <c r="D11372" s="67"/>
      <c r="G11372" s="68"/>
      <c r="K11372" s="68"/>
    </row>
    <row r="11373" spans="2:11" ht="12.75">
      <c r="B11373" s="4"/>
      <c r="D11373" s="67"/>
      <c r="G11373" s="68"/>
      <c r="K11373" s="68"/>
    </row>
    <row r="11374" spans="2:11" ht="12.75">
      <c r="B11374" s="4"/>
      <c r="D11374" s="67"/>
      <c r="G11374" s="68"/>
      <c r="K11374" s="68"/>
    </row>
    <row r="11375" spans="2:11" ht="12.75">
      <c r="B11375" s="4"/>
      <c r="D11375" s="67"/>
      <c r="G11375" s="68"/>
      <c r="K11375" s="68"/>
    </row>
    <row r="11376" spans="2:11" ht="12.75">
      <c r="B11376" s="4"/>
      <c r="D11376" s="67"/>
      <c r="G11376" s="68"/>
      <c r="K11376" s="68"/>
    </row>
    <row r="11377" spans="2:11" ht="12.75">
      <c r="B11377" s="4"/>
      <c r="D11377" s="67"/>
      <c r="G11377" s="68"/>
      <c r="K11377" s="68"/>
    </row>
    <row r="11378" spans="2:11" ht="12.75">
      <c r="B11378" s="4"/>
      <c r="D11378" s="67"/>
      <c r="G11378" s="68"/>
      <c r="K11378" s="68"/>
    </row>
    <row r="11379" spans="2:11" ht="12.75">
      <c r="B11379" s="4"/>
      <c r="D11379" s="67"/>
      <c r="G11379" s="68"/>
      <c r="K11379" s="68"/>
    </row>
    <row r="11380" spans="2:11" ht="12.75">
      <c r="B11380" s="4"/>
      <c r="D11380" s="67"/>
      <c r="G11380" s="68"/>
      <c r="K11380" s="68"/>
    </row>
    <row r="11381" spans="2:11" ht="12.75">
      <c r="B11381" s="4"/>
      <c r="D11381" s="67"/>
      <c r="G11381" s="68"/>
      <c r="K11381" s="68"/>
    </row>
    <row r="11382" spans="2:11" ht="12.75">
      <c r="B11382" s="4"/>
      <c r="D11382" s="67"/>
      <c r="G11382" s="68"/>
      <c r="K11382" s="68"/>
    </row>
    <row r="11383" spans="2:11" ht="12.75">
      <c r="B11383" s="4"/>
      <c r="D11383" s="67"/>
      <c r="G11383" s="68"/>
      <c r="K11383" s="68"/>
    </row>
    <row r="11384" spans="2:11" ht="12.75">
      <c r="B11384" s="4"/>
      <c r="D11384" s="67"/>
      <c r="G11384" s="68"/>
      <c r="K11384" s="68"/>
    </row>
    <row r="11385" spans="2:11" ht="12.75">
      <c r="B11385" s="4"/>
      <c r="D11385" s="67"/>
      <c r="G11385" s="68"/>
      <c r="K11385" s="68"/>
    </row>
    <row r="11386" spans="2:11" ht="12.75">
      <c r="B11386" s="4"/>
      <c r="D11386" s="67"/>
      <c r="G11386" s="68"/>
      <c r="K11386" s="68"/>
    </row>
    <row r="11387" spans="2:11" ht="12.75">
      <c r="B11387" s="4"/>
      <c r="D11387" s="67"/>
      <c r="G11387" s="68"/>
      <c r="K11387" s="68"/>
    </row>
    <row r="11388" spans="2:11" ht="12.75">
      <c r="B11388" s="4"/>
      <c r="D11388" s="67"/>
      <c r="G11388" s="68"/>
      <c r="K11388" s="68"/>
    </row>
    <row r="11389" spans="2:11" ht="12.75">
      <c r="B11389" s="4"/>
      <c r="D11389" s="67"/>
      <c r="G11389" s="68"/>
      <c r="K11389" s="68"/>
    </row>
    <row r="11390" spans="2:11" ht="12.75">
      <c r="B11390" s="4"/>
      <c r="D11390" s="67"/>
      <c r="G11390" s="68"/>
      <c r="K11390" s="68"/>
    </row>
    <row r="11391" spans="2:11" ht="12.75">
      <c r="B11391" s="4"/>
      <c r="D11391" s="67"/>
      <c r="G11391" s="68"/>
      <c r="K11391" s="68"/>
    </row>
    <row r="11392" spans="2:11" ht="12.75">
      <c r="B11392" s="4"/>
      <c r="D11392" s="67"/>
      <c r="G11392" s="68"/>
      <c r="K11392" s="68"/>
    </row>
    <row r="11393" spans="2:11" ht="12.75">
      <c r="B11393" s="4"/>
      <c r="D11393" s="67"/>
      <c r="G11393" s="68"/>
      <c r="K11393" s="68"/>
    </row>
    <row r="11394" spans="2:11" ht="12.75">
      <c r="B11394" s="4"/>
      <c r="D11394" s="67"/>
      <c r="G11394" s="68"/>
      <c r="K11394" s="68"/>
    </row>
    <row r="11395" spans="2:11" ht="12.75">
      <c r="B11395" s="4"/>
      <c r="D11395" s="67"/>
      <c r="G11395" s="68"/>
      <c r="K11395" s="68"/>
    </row>
    <row r="11396" spans="2:11" ht="12.75">
      <c r="B11396" s="4"/>
      <c r="D11396" s="67"/>
      <c r="G11396" s="68"/>
      <c r="K11396" s="68"/>
    </row>
    <row r="11397" spans="2:11" ht="12.75">
      <c r="B11397" s="4"/>
      <c r="D11397" s="67"/>
      <c r="G11397" s="68"/>
      <c r="K11397" s="68"/>
    </row>
    <row r="11398" spans="2:11" ht="12.75">
      <c r="B11398" s="4"/>
      <c r="D11398" s="67"/>
      <c r="G11398" s="68"/>
      <c r="K11398" s="68"/>
    </row>
    <row r="11399" spans="2:11" ht="12.75">
      <c r="B11399" s="4"/>
      <c r="D11399" s="67"/>
      <c r="G11399" s="68"/>
      <c r="K11399" s="68"/>
    </row>
    <row r="11400" spans="2:11" ht="12.75">
      <c r="B11400" s="4"/>
      <c r="D11400" s="67"/>
      <c r="G11400" s="68"/>
      <c r="K11400" s="68"/>
    </row>
    <row r="11401" spans="2:11" ht="12.75">
      <c r="B11401" s="4"/>
      <c r="D11401" s="67"/>
      <c r="G11401" s="68"/>
      <c r="K11401" s="68"/>
    </row>
    <row r="11402" spans="2:11" ht="12.75">
      <c r="B11402" s="4"/>
      <c r="D11402" s="67"/>
      <c r="G11402" s="68"/>
      <c r="K11402" s="68"/>
    </row>
    <row r="11403" spans="2:11" ht="12.75">
      <c r="B11403" s="4"/>
      <c r="D11403" s="67"/>
      <c r="G11403" s="68"/>
      <c r="K11403" s="68"/>
    </row>
    <row r="11404" spans="2:11" ht="12.75">
      <c r="B11404" s="4"/>
      <c r="D11404" s="67"/>
      <c r="G11404" s="68"/>
      <c r="K11404" s="68"/>
    </row>
    <row r="11405" spans="2:11" ht="12.75">
      <c r="B11405" s="4"/>
      <c r="D11405" s="67"/>
      <c r="G11405" s="68"/>
      <c r="K11405" s="68"/>
    </row>
    <row r="11406" spans="2:11" ht="12.75">
      <c r="B11406" s="4"/>
      <c r="D11406" s="67"/>
      <c r="G11406" s="68"/>
      <c r="K11406" s="68"/>
    </row>
    <row r="11407" spans="2:11" ht="12.75">
      <c r="B11407" s="4"/>
      <c r="D11407" s="67"/>
      <c r="G11407" s="68"/>
      <c r="K11407" s="68"/>
    </row>
    <row r="11408" spans="2:11" ht="12.75">
      <c r="B11408" s="4"/>
      <c r="D11408" s="67"/>
      <c r="G11408" s="68"/>
      <c r="K11408" s="68"/>
    </row>
    <row r="11409" spans="2:11" ht="12.75">
      <c r="B11409" s="4"/>
      <c r="D11409" s="67"/>
      <c r="G11409" s="68"/>
      <c r="K11409" s="68"/>
    </row>
    <row r="11410" spans="2:11" ht="12.75">
      <c r="B11410" s="4"/>
      <c r="D11410" s="67"/>
      <c r="G11410" s="68"/>
      <c r="K11410" s="68"/>
    </row>
    <row r="11411" spans="2:11" ht="12.75">
      <c r="B11411" s="4"/>
      <c r="D11411" s="67"/>
      <c r="G11411" s="68"/>
      <c r="K11411" s="68"/>
    </row>
    <row r="11412" spans="2:11" ht="12.75">
      <c r="B11412" s="4"/>
      <c r="D11412" s="67"/>
      <c r="G11412" s="68"/>
      <c r="K11412" s="68"/>
    </row>
    <row r="11413" spans="2:11" ht="12.75">
      <c r="B11413" s="4"/>
      <c r="D11413" s="67"/>
      <c r="G11413" s="68"/>
      <c r="K11413" s="68"/>
    </row>
    <row r="11414" spans="2:11" ht="12.75">
      <c r="B11414" s="4"/>
      <c r="D11414" s="67"/>
      <c r="G11414" s="68"/>
      <c r="K11414" s="68"/>
    </row>
    <row r="11415" spans="2:11" ht="12.75">
      <c r="B11415" s="4"/>
      <c r="D11415" s="67"/>
      <c r="G11415" s="68"/>
      <c r="K11415" s="68"/>
    </row>
    <row r="11416" spans="2:11" ht="12.75">
      <c r="B11416" s="4"/>
      <c r="D11416" s="67"/>
      <c r="G11416" s="68"/>
      <c r="K11416" s="68"/>
    </row>
    <row r="11417" spans="2:11" ht="12.75">
      <c r="B11417" s="4"/>
      <c r="D11417" s="67"/>
      <c r="G11417" s="68"/>
      <c r="K11417" s="68"/>
    </row>
    <row r="11418" spans="2:11" ht="12.75">
      <c r="B11418" s="4"/>
      <c r="D11418" s="67"/>
      <c r="G11418" s="68"/>
      <c r="K11418" s="68"/>
    </row>
    <row r="11419" spans="2:11" ht="12.75">
      <c r="B11419" s="4"/>
      <c r="D11419" s="67"/>
      <c r="G11419" s="68"/>
      <c r="K11419" s="68"/>
    </row>
    <row r="11420" spans="2:11" ht="12.75">
      <c r="B11420" s="4"/>
      <c r="D11420" s="67"/>
      <c r="G11420" s="68"/>
      <c r="K11420" s="68"/>
    </row>
    <row r="11421" spans="2:11" ht="12.75">
      <c r="B11421" s="4"/>
      <c r="D11421" s="67"/>
      <c r="G11421" s="68"/>
      <c r="K11421" s="68"/>
    </row>
    <row r="11422" spans="2:11" ht="12.75">
      <c r="B11422" s="4"/>
      <c r="D11422" s="67"/>
      <c r="G11422" s="68"/>
      <c r="K11422" s="68"/>
    </row>
    <row r="11423" spans="2:11" ht="12.75">
      <c r="B11423" s="4"/>
      <c r="D11423" s="67"/>
      <c r="G11423" s="68"/>
      <c r="K11423" s="68"/>
    </row>
    <row r="11424" spans="2:11" ht="12.75">
      <c r="B11424" s="4"/>
      <c r="D11424" s="67"/>
      <c r="G11424" s="68"/>
      <c r="K11424" s="68"/>
    </row>
    <row r="11425" spans="2:11" ht="12.75">
      <c r="B11425" s="4"/>
      <c r="D11425" s="67"/>
      <c r="G11425" s="68"/>
      <c r="K11425" s="68"/>
    </row>
    <row r="11426" spans="2:11" ht="12.75">
      <c r="B11426" s="4"/>
      <c r="D11426" s="67"/>
      <c r="G11426" s="68"/>
      <c r="K11426" s="68"/>
    </row>
    <row r="11427" spans="2:11" ht="12.75">
      <c r="B11427" s="4"/>
      <c r="D11427" s="67"/>
      <c r="G11427" s="68"/>
      <c r="K11427" s="68"/>
    </row>
    <row r="11428" spans="2:11" ht="12.75">
      <c r="B11428" s="4"/>
      <c r="D11428" s="67"/>
      <c r="G11428" s="68"/>
      <c r="K11428" s="68"/>
    </row>
    <row r="11429" spans="2:11" ht="12.75">
      <c r="B11429" s="4"/>
      <c r="D11429" s="67"/>
      <c r="G11429" s="68"/>
      <c r="K11429" s="68"/>
    </row>
    <row r="11430" spans="2:11" ht="12.75">
      <c r="B11430" s="4"/>
      <c r="D11430" s="67"/>
      <c r="G11430" s="68"/>
      <c r="K11430" s="68"/>
    </row>
    <row r="11431" spans="2:11" ht="12.75">
      <c r="B11431" s="4"/>
      <c r="D11431" s="67"/>
      <c r="G11431" s="68"/>
      <c r="K11431" s="68"/>
    </row>
    <row r="11432" spans="2:11" ht="12.75">
      <c r="B11432" s="4"/>
      <c r="D11432" s="67"/>
      <c r="G11432" s="68"/>
      <c r="K11432" s="68"/>
    </row>
    <row r="11433" spans="2:11" ht="12.75">
      <c r="B11433" s="4"/>
      <c r="D11433" s="67"/>
      <c r="G11433" s="68"/>
      <c r="K11433" s="68"/>
    </row>
    <row r="11434" spans="2:11" ht="12.75">
      <c r="B11434" s="4"/>
      <c r="D11434" s="67"/>
      <c r="G11434" s="68"/>
      <c r="K11434" s="68"/>
    </row>
    <row r="11435" spans="2:11" ht="12.75">
      <c r="B11435" s="4"/>
      <c r="D11435" s="67"/>
      <c r="G11435" s="68"/>
      <c r="K11435" s="68"/>
    </row>
    <row r="11436" spans="2:11" ht="12.75">
      <c r="B11436" s="4"/>
      <c r="D11436" s="67"/>
      <c r="G11436" s="68"/>
      <c r="K11436" s="68"/>
    </row>
    <row r="11437" spans="2:11" ht="12.75">
      <c r="B11437" s="4"/>
      <c r="D11437" s="67"/>
      <c r="G11437" s="68"/>
      <c r="K11437" s="68"/>
    </row>
    <row r="11438" spans="2:11" ht="12.75">
      <c r="B11438" s="4"/>
      <c r="D11438" s="67"/>
      <c r="G11438" s="68"/>
      <c r="K11438" s="68"/>
    </row>
    <row r="11439" spans="2:11" ht="12.75">
      <c r="B11439" s="4"/>
      <c r="D11439" s="67"/>
      <c r="G11439" s="68"/>
      <c r="K11439" s="68"/>
    </row>
    <row r="11440" spans="2:11" ht="12.75">
      <c r="B11440" s="4"/>
      <c r="D11440" s="67"/>
      <c r="G11440" s="68"/>
      <c r="K11440" s="68"/>
    </row>
    <row r="11441" spans="2:11" ht="12.75">
      <c r="B11441" s="4"/>
      <c r="D11441" s="67"/>
      <c r="G11441" s="68"/>
      <c r="K11441" s="68"/>
    </row>
    <row r="11442" spans="2:11" ht="12.75">
      <c r="B11442" s="4"/>
      <c r="D11442" s="67"/>
      <c r="G11442" s="68"/>
      <c r="K11442" s="68"/>
    </row>
    <row r="11443" spans="2:11" ht="12.75">
      <c r="B11443" s="4"/>
      <c r="D11443" s="67"/>
      <c r="G11443" s="68"/>
      <c r="K11443" s="68"/>
    </row>
    <row r="11444" spans="2:11" ht="12.75">
      <c r="B11444" s="4"/>
      <c r="D11444" s="67"/>
      <c r="G11444" s="68"/>
      <c r="K11444" s="68"/>
    </row>
    <row r="11445" spans="2:11" ht="12.75">
      <c r="B11445" s="4"/>
      <c r="D11445" s="67"/>
      <c r="G11445" s="68"/>
      <c r="K11445" s="68"/>
    </row>
    <row r="11446" spans="2:11" ht="12.75">
      <c r="B11446" s="4"/>
      <c r="D11446" s="67"/>
      <c r="G11446" s="68"/>
      <c r="K11446" s="68"/>
    </row>
    <row r="11447" spans="2:11" ht="12.75">
      <c r="B11447" s="4"/>
      <c r="D11447" s="67"/>
      <c r="G11447" s="68"/>
      <c r="K11447" s="68"/>
    </row>
    <row r="11448" spans="2:11" ht="12.75">
      <c r="B11448" s="4"/>
      <c r="D11448" s="67"/>
      <c r="G11448" s="68"/>
      <c r="K11448" s="68"/>
    </row>
    <row r="11449" spans="2:11" ht="12.75">
      <c r="B11449" s="4"/>
      <c r="D11449" s="67"/>
      <c r="G11449" s="68"/>
      <c r="K11449" s="68"/>
    </row>
    <row r="11450" spans="2:11" ht="12.75">
      <c r="B11450" s="4"/>
      <c r="D11450" s="67"/>
      <c r="G11450" s="68"/>
      <c r="K11450" s="68"/>
    </row>
    <row r="11451" spans="2:11" ht="12.75">
      <c r="B11451" s="4"/>
      <c r="D11451" s="67"/>
      <c r="G11451" s="68"/>
      <c r="K11451" s="68"/>
    </row>
    <row r="11452" spans="2:11" ht="12.75">
      <c r="B11452" s="4"/>
      <c r="D11452" s="67"/>
      <c r="G11452" s="68"/>
      <c r="K11452" s="68"/>
    </row>
    <row r="11453" spans="2:11" ht="12.75">
      <c r="B11453" s="4"/>
      <c r="D11453" s="67"/>
      <c r="G11453" s="68"/>
      <c r="K11453" s="68"/>
    </row>
    <row r="11454" spans="2:11" ht="12.75">
      <c r="B11454" s="4"/>
      <c r="D11454" s="67"/>
      <c r="G11454" s="68"/>
      <c r="K11454" s="68"/>
    </row>
    <row r="11455" spans="2:11" ht="12.75">
      <c r="B11455" s="4"/>
      <c r="D11455" s="67"/>
      <c r="G11455" s="68"/>
      <c r="K11455" s="68"/>
    </row>
    <row r="11456" spans="2:11" ht="12.75">
      <c r="B11456" s="4"/>
      <c r="D11456" s="67"/>
      <c r="G11456" s="68"/>
      <c r="K11456" s="68"/>
    </row>
    <row r="11457" spans="2:11" ht="12.75">
      <c r="B11457" s="4"/>
      <c r="D11457" s="67"/>
      <c r="G11457" s="68"/>
      <c r="K11457" s="68"/>
    </row>
    <row r="11458" spans="2:11" ht="12.75">
      <c r="B11458" s="4"/>
      <c r="D11458" s="67"/>
      <c r="G11458" s="68"/>
      <c r="K11458" s="68"/>
    </row>
    <row r="11459" spans="2:11" ht="12.75">
      <c r="B11459" s="4"/>
      <c r="D11459" s="67"/>
      <c r="G11459" s="68"/>
      <c r="K11459" s="68"/>
    </row>
    <row r="11460" spans="2:11" ht="12.75">
      <c r="B11460" s="4"/>
      <c r="D11460" s="67"/>
      <c r="G11460" s="68"/>
      <c r="K11460" s="68"/>
    </row>
    <row r="11461" spans="2:11" ht="12.75">
      <c r="B11461" s="4"/>
      <c r="D11461" s="67"/>
      <c r="G11461" s="68"/>
      <c r="K11461" s="68"/>
    </row>
    <row r="11462" spans="2:11" ht="12.75">
      <c r="B11462" s="4"/>
      <c r="D11462" s="67"/>
      <c r="G11462" s="68"/>
      <c r="K11462" s="68"/>
    </row>
    <row r="11463" spans="2:11" ht="12.75">
      <c r="B11463" s="4"/>
      <c r="D11463" s="67"/>
      <c r="G11463" s="68"/>
      <c r="K11463" s="68"/>
    </row>
    <row r="11464" spans="2:11" ht="12.75">
      <c r="B11464" s="4"/>
      <c r="D11464" s="67"/>
      <c r="G11464" s="68"/>
      <c r="K11464" s="68"/>
    </row>
    <row r="11465" spans="2:11" ht="12.75">
      <c r="B11465" s="4"/>
      <c r="D11465" s="67"/>
      <c r="G11465" s="68"/>
      <c r="K11465" s="68"/>
    </row>
    <row r="11466" spans="2:11" ht="12.75">
      <c r="B11466" s="4"/>
      <c r="D11466" s="67"/>
      <c r="G11466" s="68"/>
      <c r="K11466" s="68"/>
    </row>
    <row r="11467" spans="2:11" ht="12.75">
      <c r="B11467" s="4"/>
      <c r="D11467" s="67"/>
      <c r="G11467" s="68"/>
      <c r="K11467" s="68"/>
    </row>
    <row r="11468" spans="2:11" ht="12.75">
      <c r="B11468" s="4"/>
      <c r="D11468" s="67"/>
      <c r="G11468" s="68"/>
      <c r="K11468" s="68"/>
    </row>
    <row r="11469" spans="2:11" ht="12.75">
      <c r="B11469" s="4"/>
      <c r="D11469" s="67"/>
      <c r="G11469" s="68"/>
      <c r="K11469" s="68"/>
    </row>
    <row r="11470" spans="2:11" ht="12.75">
      <c r="B11470" s="4"/>
      <c r="D11470" s="67"/>
      <c r="G11470" s="68"/>
      <c r="K11470" s="68"/>
    </row>
    <row r="11471" spans="2:11" ht="12.75">
      <c r="B11471" s="4"/>
      <c r="D11471" s="67"/>
      <c r="G11471" s="68"/>
      <c r="K11471" s="68"/>
    </row>
    <row r="11472" spans="2:11" ht="12.75">
      <c r="B11472" s="4"/>
      <c r="D11472" s="67"/>
      <c r="G11472" s="68"/>
      <c r="K11472" s="68"/>
    </row>
    <row r="11473" spans="2:11" ht="12.75">
      <c r="B11473" s="4"/>
      <c r="D11473" s="67"/>
      <c r="G11473" s="68"/>
      <c r="K11473" s="68"/>
    </row>
    <row r="11474" spans="2:11" ht="12.75">
      <c r="B11474" s="4"/>
      <c r="D11474" s="67"/>
      <c r="G11474" s="68"/>
      <c r="K11474" s="68"/>
    </row>
    <row r="11475" spans="2:11" ht="12.75">
      <c r="B11475" s="4"/>
      <c r="D11475" s="67"/>
      <c r="G11475" s="68"/>
      <c r="K11475" s="68"/>
    </row>
    <row r="11476" spans="2:11" ht="12.75">
      <c r="B11476" s="4"/>
      <c r="D11476" s="67"/>
      <c r="G11476" s="68"/>
      <c r="K11476" s="68"/>
    </row>
    <row r="11477" spans="2:11" ht="12.75">
      <c r="B11477" s="4"/>
      <c r="D11477" s="67"/>
      <c r="G11477" s="68"/>
      <c r="K11477" s="68"/>
    </row>
    <row r="11478" spans="2:11" ht="12.75">
      <c r="B11478" s="4"/>
      <c r="D11478" s="67"/>
      <c r="G11478" s="68"/>
      <c r="K11478" s="68"/>
    </row>
    <row r="11479" spans="2:11" ht="12.75">
      <c r="B11479" s="4"/>
      <c r="D11479" s="67"/>
      <c r="G11479" s="68"/>
      <c r="K11479" s="68"/>
    </row>
    <row r="11480" spans="2:11" ht="12.75">
      <c r="B11480" s="4"/>
      <c r="D11480" s="67"/>
      <c r="G11480" s="68"/>
      <c r="K11480" s="68"/>
    </row>
    <row r="11481" spans="2:11" ht="12.75">
      <c r="B11481" s="4"/>
      <c r="D11481" s="67"/>
      <c r="G11481" s="68"/>
      <c r="K11481" s="68"/>
    </row>
    <row r="11482" spans="2:11" ht="12.75">
      <c r="B11482" s="4"/>
      <c r="D11482" s="67"/>
      <c r="G11482" s="68"/>
      <c r="K11482" s="68"/>
    </row>
    <row r="11483" spans="2:11" ht="12.75">
      <c r="B11483" s="4"/>
      <c r="D11483" s="67"/>
      <c r="G11483" s="68"/>
      <c r="K11483" s="68"/>
    </row>
    <row r="11484" spans="2:11" ht="12.75">
      <c r="B11484" s="4"/>
      <c r="D11484" s="67"/>
      <c r="G11484" s="68"/>
      <c r="K11484" s="68"/>
    </row>
    <row r="11485" spans="2:11" ht="12.75">
      <c r="B11485" s="4"/>
      <c r="D11485" s="67"/>
      <c r="G11485" s="68"/>
      <c r="K11485" s="68"/>
    </row>
    <row r="11486" spans="2:11" ht="12.75">
      <c r="B11486" s="4"/>
      <c r="D11486" s="67"/>
      <c r="G11486" s="68"/>
      <c r="K11486" s="68"/>
    </row>
    <row r="11487" spans="2:11" ht="12.75">
      <c r="B11487" s="4"/>
      <c r="D11487" s="67"/>
      <c r="G11487" s="68"/>
      <c r="K11487" s="68"/>
    </row>
    <row r="11488" spans="2:11" ht="12.75">
      <c r="B11488" s="4"/>
      <c r="D11488" s="67"/>
      <c r="G11488" s="68"/>
      <c r="K11488" s="68"/>
    </row>
    <row r="11489" spans="2:11" ht="12.75">
      <c r="B11489" s="4"/>
      <c r="D11489" s="67"/>
      <c r="G11489" s="68"/>
      <c r="K11489" s="68"/>
    </row>
    <row r="11490" spans="2:11" ht="12.75">
      <c r="B11490" s="4"/>
      <c r="D11490" s="67"/>
      <c r="G11490" s="68"/>
      <c r="K11490" s="68"/>
    </row>
    <row r="11491" spans="2:11" ht="12.75">
      <c r="B11491" s="4"/>
      <c r="D11491" s="67"/>
      <c r="G11491" s="68"/>
      <c r="K11491" s="68"/>
    </row>
    <row r="11492" spans="2:11" ht="12.75">
      <c r="B11492" s="4"/>
      <c r="D11492" s="67"/>
      <c r="G11492" s="68"/>
      <c r="K11492" s="68"/>
    </row>
    <row r="11493" spans="2:11" ht="12.75">
      <c r="B11493" s="4"/>
      <c r="D11493" s="67"/>
      <c r="G11493" s="68"/>
      <c r="K11493" s="68"/>
    </row>
    <row r="11494" spans="2:11" ht="12.75">
      <c r="B11494" s="4"/>
      <c r="D11494" s="67"/>
      <c r="G11494" s="68"/>
      <c r="K11494" s="68"/>
    </row>
    <row r="11495" spans="2:11" ht="12.75">
      <c r="B11495" s="4"/>
      <c r="D11495" s="67"/>
      <c r="G11495" s="68"/>
      <c r="K11495" s="68"/>
    </row>
    <row r="11496" spans="2:11" ht="12.75">
      <c r="B11496" s="4"/>
      <c r="D11496" s="67"/>
      <c r="G11496" s="68"/>
      <c r="K11496" s="68"/>
    </row>
    <row r="11497" spans="2:11" ht="12.75">
      <c r="B11497" s="4"/>
      <c r="D11497" s="67"/>
      <c r="G11497" s="68"/>
      <c r="K11497" s="68"/>
    </row>
    <row r="11498" spans="2:11" ht="12.75">
      <c r="B11498" s="4"/>
      <c r="D11498" s="67"/>
      <c r="G11498" s="68"/>
      <c r="K11498" s="68"/>
    </row>
    <row r="11499" spans="2:11" ht="12.75">
      <c r="B11499" s="4"/>
      <c r="D11499" s="67"/>
      <c r="G11499" s="68"/>
      <c r="K11499" s="68"/>
    </row>
    <row r="11500" spans="2:11" ht="12.75">
      <c r="B11500" s="4"/>
      <c r="D11500" s="67"/>
      <c r="G11500" s="68"/>
      <c r="K11500" s="68"/>
    </row>
    <row r="11501" spans="2:11" ht="12.75">
      <c r="B11501" s="4"/>
      <c r="D11501" s="67"/>
      <c r="G11501" s="68"/>
      <c r="K11501" s="68"/>
    </row>
    <row r="11502" spans="2:11" ht="12.75">
      <c r="B11502" s="4"/>
      <c r="D11502" s="67"/>
      <c r="G11502" s="68"/>
      <c r="K11502" s="68"/>
    </row>
    <row r="11503" spans="2:11" ht="12.75">
      <c r="B11503" s="4"/>
      <c r="D11503" s="67"/>
      <c r="G11503" s="68"/>
      <c r="K11503" s="68"/>
    </row>
    <row r="11504" spans="2:11" ht="12.75">
      <c r="B11504" s="4"/>
      <c r="D11504" s="67"/>
      <c r="G11504" s="68"/>
      <c r="K11504" s="68"/>
    </row>
    <row r="11505" spans="2:11" ht="12.75">
      <c r="B11505" s="4"/>
      <c r="D11505" s="67"/>
      <c r="G11505" s="68"/>
      <c r="K11505" s="68"/>
    </row>
    <row r="11506" spans="2:11" ht="12.75">
      <c r="B11506" s="4"/>
      <c r="D11506" s="67"/>
      <c r="G11506" s="68"/>
      <c r="K11506" s="68"/>
    </row>
    <row r="11507" spans="2:11" ht="12.75">
      <c r="B11507" s="4"/>
      <c r="D11507" s="67"/>
      <c r="G11507" s="68"/>
      <c r="K11507" s="68"/>
    </row>
    <row r="11508" spans="2:11" ht="12.75">
      <c r="B11508" s="4"/>
      <c r="D11508" s="67"/>
      <c r="G11508" s="68"/>
      <c r="K11508" s="68"/>
    </row>
    <row r="11509" spans="2:11" ht="12.75">
      <c r="B11509" s="4"/>
      <c r="D11509" s="67"/>
      <c r="G11509" s="68"/>
      <c r="K11509" s="68"/>
    </row>
    <row r="11510" spans="2:11" ht="12.75">
      <c r="B11510" s="4"/>
      <c r="D11510" s="67"/>
      <c r="G11510" s="68"/>
      <c r="K11510" s="68"/>
    </row>
    <row r="11511" spans="2:11" ht="12.75">
      <c r="B11511" s="4"/>
      <c r="D11511" s="67"/>
      <c r="G11511" s="68"/>
      <c r="K11511" s="68"/>
    </row>
    <row r="11512" spans="2:11" ht="12.75">
      <c r="B11512" s="4"/>
      <c r="D11512" s="67"/>
      <c r="G11512" s="68"/>
      <c r="K11512" s="68"/>
    </row>
    <row r="11513" spans="2:11" ht="12.75">
      <c r="B11513" s="4"/>
      <c r="D11513" s="67"/>
      <c r="G11513" s="68"/>
      <c r="K11513" s="68"/>
    </row>
    <row r="11514" spans="2:11" ht="12.75">
      <c r="B11514" s="4"/>
      <c r="D11514" s="67"/>
      <c r="G11514" s="68"/>
      <c r="K11514" s="68"/>
    </row>
    <row r="11515" spans="2:11" ht="12.75">
      <c r="B11515" s="4"/>
      <c r="D11515" s="67"/>
      <c r="G11515" s="68"/>
      <c r="K11515" s="68"/>
    </row>
    <row r="11516" spans="2:11" ht="12.75">
      <c r="B11516" s="4"/>
      <c r="D11516" s="67"/>
      <c r="G11516" s="68"/>
      <c r="K11516" s="68"/>
    </row>
    <row r="11517" spans="2:11" ht="12.75">
      <c r="B11517" s="4"/>
      <c r="D11517" s="67"/>
      <c r="G11517" s="68"/>
      <c r="K11517" s="68"/>
    </row>
    <row r="11518" spans="2:11" ht="12.75">
      <c r="B11518" s="4"/>
      <c r="D11518" s="67"/>
      <c r="G11518" s="68"/>
      <c r="K11518" s="68"/>
    </row>
    <row r="11519" spans="2:11" ht="12.75">
      <c r="B11519" s="4"/>
      <c r="D11519" s="67"/>
      <c r="G11519" s="68"/>
      <c r="K11519" s="68"/>
    </row>
    <row r="11520" spans="2:11" ht="12.75">
      <c r="B11520" s="4"/>
      <c r="D11520" s="67"/>
      <c r="G11520" s="68"/>
      <c r="K11520" s="68"/>
    </row>
    <row r="11521" spans="2:11" ht="12.75">
      <c r="B11521" s="4"/>
      <c r="D11521" s="67"/>
      <c r="G11521" s="68"/>
      <c r="K11521" s="68"/>
    </row>
    <row r="11522" spans="2:11" ht="12.75">
      <c r="B11522" s="4"/>
      <c r="D11522" s="67"/>
      <c r="G11522" s="68"/>
      <c r="K11522" s="68"/>
    </row>
    <row r="11523" spans="2:11" ht="12.75">
      <c r="B11523" s="4"/>
      <c r="D11523" s="67"/>
      <c r="G11523" s="68"/>
      <c r="K11523" s="68"/>
    </row>
    <row r="11524" spans="2:11" ht="12.75">
      <c r="B11524" s="4"/>
      <c r="D11524" s="67"/>
      <c r="G11524" s="68"/>
      <c r="K11524" s="68"/>
    </row>
    <row r="11525" spans="2:11" ht="12.75">
      <c r="B11525" s="4"/>
      <c r="D11525" s="67"/>
      <c r="G11525" s="68"/>
      <c r="K11525" s="68"/>
    </row>
    <row r="11526" spans="2:11" ht="12.75">
      <c r="B11526" s="4"/>
      <c r="D11526" s="67"/>
      <c r="G11526" s="68"/>
      <c r="K11526" s="68"/>
    </row>
    <row r="11527" spans="2:11" ht="12.75">
      <c r="B11527" s="4"/>
      <c r="D11527" s="67"/>
      <c r="G11527" s="68"/>
      <c r="K11527" s="68"/>
    </row>
    <row r="11528" spans="2:11" ht="12.75">
      <c r="B11528" s="4"/>
      <c r="D11528" s="67"/>
      <c r="G11528" s="68"/>
      <c r="K11528" s="68"/>
    </row>
    <row r="11529" spans="2:11" ht="12.75">
      <c r="B11529" s="4"/>
      <c r="D11529" s="67"/>
      <c r="G11529" s="68"/>
      <c r="K11529" s="68"/>
    </row>
    <row r="11530" spans="2:11" ht="12.75">
      <c r="B11530" s="4"/>
      <c r="D11530" s="67"/>
      <c r="G11530" s="68"/>
      <c r="K11530" s="68"/>
    </row>
    <row r="11531" spans="2:11" ht="12.75">
      <c r="B11531" s="4"/>
      <c r="D11531" s="67"/>
      <c r="G11531" s="68"/>
      <c r="K11531" s="68"/>
    </row>
    <row r="11532" spans="2:11" ht="12.75">
      <c r="B11532" s="4"/>
      <c r="D11532" s="67"/>
      <c r="G11532" s="68"/>
      <c r="K11532" s="68"/>
    </row>
    <row r="11533" spans="2:11" ht="12.75">
      <c r="B11533" s="4"/>
      <c r="D11533" s="67"/>
      <c r="G11533" s="68"/>
      <c r="K11533" s="68"/>
    </row>
    <row r="11534" spans="2:11" ht="12.75">
      <c r="B11534" s="4"/>
      <c r="D11534" s="67"/>
      <c r="G11534" s="68"/>
      <c r="K11534" s="68"/>
    </row>
    <row r="11535" spans="2:11" ht="12.75">
      <c r="B11535" s="4"/>
      <c r="D11535" s="67"/>
      <c r="G11535" s="68"/>
      <c r="K11535" s="68"/>
    </row>
    <row r="11536" spans="2:11" ht="12.75">
      <c r="B11536" s="4"/>
      <c r="D11536" s="67"/>
      <c r="G11536" s="68"/>
      <c r="K11536" s="68"/>
    </row>
    <row r="11537" spans="2:11" ht="12.75">
      <c r="B11537" s="4"/>
      <c r="D11537" s="67"/>
      <c r="G11537" s="68"/>
      <c r="K11537" s="68"/>
    </row>
    <row r="11538" spans="2:11" ht="12.75">
      <c r="B11538" s="4"/>
      <c r="D11538" s="67"/>
      <c r="G11538" s="68"/>
      <c r="K11538" s="68"/>
    </row>
    <row r="11539" spans="2:11" ht="12.75">
      <c r="B11539" s="4"/>
      <c r="D11539" s="67"/>
      <c r="G11539" s="68"/>
      <c r="K11539" s="68"/>
    </row>
    <row r="11540" spans="2:11" ht="12.75">
      <c r="B11540" s="4"/>
      <c r="D11540" s="67"/>
      <c r="G11540" s="68"/>
      <c r="K11540" s="68"/>
    </row>
    <row r="11541" spans="2:11" ht="12.75">
      <c r="B11541" s="4"/>
      <c r="D11541" s="67"/>
      <c r="G11541" s="68"/>
      <c r="K11541" s="68"/>
    </row>
    <row r="11542" spans="2:11" ht="12.75">
      <c r="B11542" s="4"/>
      <c r="D11542" s="67"/>
      <c r="G11542" s="68"/>
      <c r="K11542" s="68"/>
    </row>
    <row r="11543" spans="2:11" ht="12.75">
      <c r="B11543" s="4"/>
      <c r="D11543" s="67"/>
      <c r="G11543" s="68"/>
      <c r="K11543" s="68"/>
    </row>
    <row r="11544" spans="2:11" ht="12.75">
      <c r="B11544" s="4"/>
      <c r="D11544" s="67"/>
      <c r="G11544" s="68"/>
      <c r="K11544" s="68"/>
    </row>
    <row r="11545" spans="2:11" ht="12.75">
      <c r="B11545" s="4"/>
      <c r="D11545" s="67"/>
      <c r="G11545" s="68"/>
      <c r="K11545" s="68"/>
    </row>
    <row r="11546" spans="2:11" ht="12.75">
      <c r="B11546" s="4"/>
      <c r="D11546" s="67"/>
      <c r="G11546" s="68"/>
      <c r="K11546" s="68"/>
    </row>
    <row r="11547" spans="2:11" ht="12.75">
      <c r="B11547" s="4"/>
      <c r="D11547" s="67"/>
      <c r="G11547" s="68"/>
      <c r="K11547" s="68"/>
    </row>
    <row r="11548" spans="2:11" ht="12.75">
      <c r="B11548" s="4"/>
      <c r="D11548" s="67"/>
      <c r="G11548" s="68"/>
      <c r="K11548" s="68"/>
    </row>
    <row r="11549" spans="2:11" ht="12.75">
      <c r="B11549" s="4"/>
      <c r="D11549" s="67"/>
      <c r="G11549" s="68"/>
      <c r="K11549" s="68"/>
    </row>
    <row r="11550" spans="2:11" ht="12.75">
      <c r="B11550" s="4"/>
      <c r="D11550" s="67"/>
      <c r="G11550" s="68"/>
      <c r="K11550" s="68"/>
    </row>
    <row r="11551" spans="2:11" ht="12.75">
      <c r="B11551" s="4"/>
      <c r="D11551" s="67"/>
      <c r="G11551" s="68"/>
      <c r="K11551" s="68"/>
    </row>
    <row r="11552" spans="2:11" ht="12.75">
      <c r="B11552" s="4"/>
      <c r="D11552" s="67"/>
      <c r="G11552" s="68"/>
      <c r="K11552" s="68"/>
    </row>
    <row r="11553" spans="2:11" ht="12.75">
      <c r="B11553" s="4"/>
      <c r="D11553" s="67"/>
      <c r="G11553" s="68"/>
      <c r="K11553" s="68"/>
    </row>
    <row r="11554" spans="2:11" ht="12.75">
      <c r="B11554" s="4"/>
      <c r="D11554" s="67"/>
      <c r="G11554" s="68"/>
      <c r="K11554" s="68"/>
    </row>
    <row r="11555" spans="2:11" ht="12.75">
      <c r="B11555" s="4"/>
      <c r="D11555" s="67"/>
      <c r="G11555" s="68"/>
      <c r="K11555" s="68"/>
    </row>
    <row r="11556" spans="2:11" ht="12.75">
      <c r="B11556" s="4"/>
      <c r="D11556" s="67"/>
      <c r="G11556" s="68"/>
      <c r="K11556" s="68"/>
    </row>
    <row r="11557" spans="2:11" ht="12.75">
      <c r="B11557" s="4"/>
      <c r="D11557" s="67"/>
      <c r="G11557" s="68"/>
      <c r="K11557" s="68"/>
    </row>
    <row r="11558" spans="2:11" ht="12.75">
      <c r="B11558" s="4"/>
      <c r="D11558" s="67"/>
      <c r="G11558" s="68"/>
      <c r="K11558" s="68"/>
    </row>
    <row r="11559" spans="2:11" ht="12.75">
      <c r="B11559" s="4"/>
      <c r="D11559" s="67"/>
      <c r="G11559" s="68"/>
      <c r="K11559" s="68"/>
    </row>
    <row r="11560" spans="2:11" ht="12.75">
      <c r="B11560" s="4"/>
      <c r="D11560" s="67"/>
      <c r="G11560" s="68"/>
      <c r="K11560" s="68"/>
    </row>
    <row r="11561" spans="2:11" ht="12.75">
      <c r="B11561" s="4"/>
      <c r="D11561" s="67"/>
      <c r="G11561" s="68"/>
      <c r="K11561" s="68"/>
    </row>
    <row r="11562" spans="2:11" ht="12.75">
      <c r="B11562" s="4"/>
      <c r="D11562" s="67"/>
      <c r="G11562" s="68"/>
      <c r="K11562" s="68"/>
    </row>
    <row r="11563" spans="2:11" ht="12.75">
      <c r="B11563" s="4"/>
      <c r="D11563" s="67"/>
      <c r="G11563" s="68"/>
      <c r="K11563" s="68"/>
    </row>
    <row r="11564" spans="2:11" ht="12.75">
      <c r="B11564" s="4"/>
      <c r="D11564" s="67"/>
      <c r="G11564" s="68"/>
      <c r="K11564" s="68"/>
    </row>
    <row r="11565" spans="2:11" ht="12.75">
      <c r="B11565" s="4"/>
      <c r="D11565" s="67"/>
      <c r="G11565" s="68"/>
      <c r="K11565" s="68"/>
    </row>
    <row r="11566" spans="2:11" ht="12.75">
      <c r="B11566" s="4"/>
      <c r="D11566" s="67"/>
      <c r="G11566" s="68"/>
      <c r="K11566" s="68"/>
    </row>
    <row r="11567" spans="2:11" ht="12.75">
      <c r="B11567" s="4"/>
      <c r="D11567" s="67"/>
      <c r="G11567" s="68"/>
      <c r="K11567" s="68"/>
    </row>
    <row r="11568" spans="2:11" ht="12.75">
      <c r="B11568" s="4"/>
      <c r="D11568" s="67"/>
      <c r="G11568" s="68"/>
      <c r="K11568" s="68"/>
    </row>
    <row r="11569" spans="2:11" ht="12.75">
      <c r="B11569" s="4"/>
      <c r="D11569" s="67"/>
      <c r="G11569" s="68"/>
      <c r="K11569" s="68"/>
    </row>
    <row r="11570" spans="2:11" ht="12.75">
      <c r="B11570" s="4"/>
      <c r="D11570" s="67"/>
      <c r="G11570" s="68"/>
      <c r="K11570" s="68"/>
    </row>
    <row r="11571" spans="2:11" ht="12.75">
      <c r="B11571" s="4"/>
      <c r="D11571" s="67"/>
      <c r="G11571" s="68"/>
      <c r="K11571" s="68"/>
    </row>
    <row r="11572" spans="2:11" ht="12.75">
      <c r="B11572" s="4"/>
      <c r="D11572" s="67"/>
      <c r="G11572" s="68"/>
      <c r="K11572" s="68"/>
    </row>
    <row r="11573" spans="2:11" ht="12.75">
      <c r="B11573" s="4"/>
      <c r="D11573" s="67"/>
      <c r="G11573" s="68"/>
      <c r="K11573" s="68"/>
    </row>
    <row r="11574" spans="2:11" ht="12.75">
      <c r="B11574" s="4"/>
      <c r="D11574" s="67"/>
      <c r="G11574" s="68"/>
      <c r="K11574" s="68"/>
    </row>
    <row r="11575" spans="2:11" ht="12.75">
      <c r="B11575" s="4"/>
      <c r="D11575" s="67"/>
      <c r="G11575" s="68"/>
      <c r="K11575" s="68"/>
    </row>
    <row r="11576" spans="2:11" ht="12.75">
      <c r="B11576" s="4"/>
      <c r="D11576" s="67"/>
      <c r="G11576" s="68"/>
      <c r="K11576" s="68"/>
    </row>
    <row r="11577" spans="2:11" ht="12.75">
      <c r="B11577" s="4"/>
      <c r="D11577" s="67"/>
      <c r="G11577" s="68"/>
      <c r="K11577" s="68"/>
    </row>
    <row r="11578" spans="2:11" ht="12.75">
      <c r="B11578" s="4"/>
      <c r="D11578" s="67"/>
      <c r="G11578" s="68"/>
      <c r="K11578" s="68"/>
    </row>
    <row r="11579" spans="2:11" ht="12.75">
      <c r="B11579" s="4"/>
      <c r="D11579" s="67"/>
      <c r="G11579" s="68"/>
      <c r="K11579" s="68"/>
    </row>
    <row r="11580" spans="2:11" ht="12.75">
      <c r="B11580" s="4"/>
      <c r="D11580" s="67"/>
      <c r="G11580" s="68"/>
      <c r="K11580" s="68"/>
    </row>
    <row r="11581" spans="2:11" ht="12.75">
      <c r="B11581" s="4"/>
      <c r="D11581" s="67"/>
      <c r="G11581" s="68"/>
      <c r="K11581" s="68"/>
    </row>
    <row r="11582" spans="2:11" ht="12.75">
      <c r="B11582" s="4"/>
      <c r="D11582" s="67"/>
      <c r="G11582" s="68"/>
      <c r="K11582" s="68"/>
    </row>
    <row r="11583" spans="2:11" ht="12.75">
      <c r="B11583" s="4"/>
      <c r="D11583" s="67"/>
      <c r="G11583" s="68"/>
      <c r="K11583" s="68"/>
    </row>
    <row r="11584" spans="2:11" ht="12.75">
      <c r="B11584" s="4"/>
      <c r="D11584" s="67"/>
      <c r="G11584" s="68"/>
      <c r="K11584" s="68"/>
    </row>
    <row r="11585" spans="2:11" ht="12.75">
      <c r="B11585" s="4"/>
      <c r="D11585" s="67"/>
      <c r="G11585" s="68"/>
      <c r="K11585" s="68"/>
    </row>
    <row r="11586" spans="2:11" ht="12.75">
      <c r="B11586" s="4"/>
      <c r="D11586" s="67"/>
      <c r="G11586" s="68"/>
      <c r="K11586" s="68"/>
    </row>
    <row r="11587" spans="2:11" ht="12.75">
      <c r="B11587" s="4"/>
      <c r="D11587" s="67"/>
      <c r="G11587" s="68"/>
      <c r="K11587" s="68"/>
    </row>
    <row r="11588" spans="2:11" ht="12.75">
      <c r="B11588" s="4"/>
      <c r="D11588" s="67"/>
      <c r="G11588" s="68"/>
      <c r="K11588" s="68"/>
    </row>
    <row r="11589" spans="2:11" ht="12.75">
      <c r="B11589" s="4"/>
      <c r="D11589" s="67"/>
      <c r="G11589" s="68"/>
      <c r="K11589" s="68"/>
    </row>
    <row r="11590" spans="2:11" ht="12.75">
      <c r="B11590" s="4"/>
      <c r="D11590" s="67"/>
      <c r="G11590" s="68"/>
      <c r="K11590" s="68"/>
    </row>
    <row r="11591" spans="2:11" ht="12.75">
      <c r="B11591" s="4"/>
      <c r="D11591" s="67"/>
      <c r="G11591" s="68"/>
      <c r="K11591" s="68"/>
    </row>
    <row r="11592" spans="2:11" ht="12.75">
      <c r="B11592" s="4"/>
      <c r="D11592" s="67"/>
      <c r="G11592" s="68"/>
      <c r="K11592" s="68"/>
    </row>
    <row r="11593" spans="2:11" ht="12.75">
      <c r="B11593" s="4"/>
      <c r="D11593" s="67"/>
      <c r="G11593" s="68"/>
      <c r="K11593" s="68"/>
    </row>
    <row r="11594" spans="2:11" ht="12.75">
      <c r="B11594" s="4"/>
      <c r="D11594" s="67"/>
      <c r="G11594" s="68"/>
      <c r="K11594" s="68"/>
    </row>
    <row r="11595" spans="2:11" ht="12.75">
      <c r="B11595" s="4"/>
      <c r="D11595" s="67"/>
      <c r="G11595" s="68"/>
      <c r="K11595" s="68"/>
    </row>
    <row r="11596" spans="2:11" ht="12.75">
      <c r="B11596" s="4"/>
      <c r="D11596" s="67"/>
      <c r="G11596" s="68"/>
      <c r="K11596" s="68"/>
    </row>
    <row r="11597" spans="2:11" ht="12.75">
      <c r="B11597" s="4"/>
      <c r="D11597" s="67"/>
      <c r="G11597" s="68"/>
      <c r="K11597" s="68"/>
    </row>
    <row r="11598" spans="2:11" ht="12.75">
      <c r="B11598" s="4"/>
      <c r="D11598" s="67"/>
      <c r="G11598" s="68"/>
      <c r="K11598" s="68"/>
    </row>
    <row r="11599" spans="2:11" ht="12.75">
      <c r="B11599" s="4"/>
      <c r="D11599" s="67"/>
      <c r="G11599" s="68"/>
      <c r="K11599" s="68"/>
    </row>
    <row r="11600" spans="2:11" ht="12.75">
      <c r="B11600" s="4"/>
      <c r="D11600" s="67"/>
      <c r="G11600" s="68"/>
      <c r="K11600" s="68"/>
    </row>
    <row r="11601" spans="2:11" ht="12.75">
      <c r="B11601" s="4"/>
      <c r="D11601" s="67"/>
      <c r="G11601" s="68"/>
      <c r="K11601" s="68"/>
    </row>
    <row r="11602" spans="2:11" ht="12.75">
      <c r="B11602" s="4"/>
      <c r="D11602" s="67"/>
      <c r="G11602" s="68"/>
      <c r="K11602" s="68"/>
    </row>
    <row r="11603" spans="2:11" ht="12.75">
      <c r="B11603" s="4"/>
      <c r="D11603" s="67"/>
      <c r="G11603" s="68"/>
      <c r="K11603" s="68"/>
    </row>
    <row r="11604" spans="2:11" ht="12.75">
      <c r="B11604" s="4"/>
      <c r="D11604" s="67"/>
      <c r="G11604" s="68"/>
      <c r="K11604" s="68"/>
    </row>
    <row r="11605" spans="2:11" ht="12.75">
      <c r="B11605" s="4"/>
      <c r="D11605" s="67"/>
      <c r="G11605" s="68"/>
      <c r="K11605" s="68"/>
    </row>
    <row r="11606" spans="2:11" ht="12.75">
      <c r="B11606" s="4"/>
      <c r="D11606" s="67"/>
      <c r="G11606" s="68"/>
      <c r="K11606" s="68"/>
    </row>
    <row r="11607" spans="2:11" ht="12.75">
      <c r="B11607" s="4"/>
      <c r="D11607" s="67"/>
      <c r="G11607" s="68"/>
      <c r="K11607" s="68"/>
    </row>
    <row r="11608" spans="2:11" ht="12.75">
      <c r="B11608" s="4"/>
      <c r="D11608" s="67"/>
      <c r="G11608" s="68"/>
      <c r="K11608" s="68"/>
    </row>
    <row r="11609" spans="2:11" ht="12.75">
      <c r="B11609" s="4"/>
      <c r="D11609" s="67"/>
      <c r="G11609" s="68"/>
      <c r="K11609" s="68"/>
    </row>
    <row r="11610" spans="2:11" ht="12.75">
      <c r="B11610" s="4"/>
      <c r="D11610" s="67"/>
      <c r="G11610" s="68"/>
      <c r="K11610" s="68"/>
    </row>
    <row r="11611" spans="2:11" ht="12.75">
      <c r="B11611" s="4"/>
      <c r="D11611" s="67"/>
      <c r="G11611" s="68"/>
      <c r="K11611" s="68"/>
    </row>
    <row r="11612" spans="2:11" ht="12.75">
      <c r="B11612" s="4"/>
      <c r="D11612" s="67"/>
      <c r="G11612" s="68"/>
      <c r="K11612" s="68"/>
    </row>
    <row r="11613" spans="2:11" ht="12.75">
      <c r="B11613" s="4"/>
      <c r="D11613" s="67"/>
      <c r="G11613" s="68"/>
      <c r="K11613" s="68"/>
    </row>
    <row r="11614" spans="2:11" ht="12.75">
      <c r="B11614" s="4"/>
      <c r="D11614" s="67"/>
      <c r="G11614" s="68"/>
      <c r="K11614" s="68"/>
    </row>
    <row r="11615" spans="2:11" ht="12.75">
      <c r="B11615" s="4"/>
      <c r="D11615" s="67"/>
      <c r="G11615" s="68"/>
      <c r="K11615" s="68"/>
    </row>
    <row r="11616" spans="2:11" ht="12.75">
      <c r="B11616" s="4"/>
      <c r="D11616" s="67"/>
      <c r="G11616" s="68"/>
      <c r="K11616" s="68"/>
    </row>
    <row r="11617" spans="2:11" ht="12.75">
      <c r="B11617" s="4"/>
      <c r="D11617" s="67"/>
      <c r="G11617" s="68"/>
      <c r="K11617" s="68"/>
    </row>
    <row r="11618" spans="2:11" ht="12.75">
      <c r="B11618" s="4"/>
      <c r="D11618" s="67"/>
      <c r="G11618" s="68"/>
      <c r="K11618" s="68"/>
    </row>
    <row r="11619" spans="2:11" ht="12.75">
      <c r="B11619" s="4"/>
      <c r="D11619" s="67"/>
      <c r="G11619" s="68"/>
      <c r="K11619" s="68"/>
    </row>
    <row r="11620" spans="2:11" ht="12.75">
      <c r="B11620" s="4"/>
      <c r="D11620" s="67"/>
      <c r="G11620" s="68"/>
      <c r="K11620" s="68"/>
    </row>
    <row r="11621" spans="2:11" ht="12.75">
      <c r="B11621" s="4"/>
      <c r="D11621" s="67"/>
      <c r="G11621" s="68"/>
      <c r="K11621" s="68"/>
    </row>
    <row r="11622" spans="2:11" ht="12.75">
      <c r="B11622" s="4"/>
      <c r="D11622" s="67"/>
      <c r="G11622" s="68"/>
      <c r="K11622" s="68"/>
    </row>
    <row r="11623" spans="2:11" ht="12.75">
      <c r="B11623" s="4"/>
      <c r="D11623" s="67"/>
      <c r="G11623" s="68"/>
      <c r="K11623" s="68"/>
    </row>
    <row r="11624" spans="2:11" ht="12.75">
      <c r="B11624" s="4"/>
      <c r="D11624" s="67"/>
      <c r="G11624" s="68"/>
      <c r="K11624" s="68"/>
    </row>
    <row r="11625" spans="2:11" ht="12.75">
      <c r="B11625" s="4"/>
      <c r="D11625" s="67"/>
      <c r="G11625" s="68"/>
      <c r="K11625" s="68"/>
    </row>
    <row r="11626" spans="2:11" ht="12.75">
      <c r="B11626" s="4"/>
      <c r="D11626" s="67"/>
      <c r="G11626" s="68"/>
      <c r="K11626" s="68"/>
    </row>
    <row r="11627" spans="2:11" ht="12.75">
      <c r="B11627" s="4"/>
      <c r="D11627" s="67"/>
      <c r="G11627" s="68"/>
      <c r="K11627" s="68"/>
    </row>
    <row r="11628" spans="2:11" ht="12.75">
      <c r="B11628" s="4"/>
      <c r="D11628" s="67"/>
      <c r="G11628" s="68"/>
      <c r="K11628" s="68"/>
    </row>
    <row r="11629" spans="2:11" ht="12.75">
      <c r="B11629" s="4"/>
      <c r="D11629" s="67"/>
      <c r="G11629" s="68"/>
      <c r="K11629" s="68"/>
    </row>
    <row r="11630" spans="2:11" ht="12.75">
      <c r="B11630" s="4"/>
      <c r="D11630" s="67"/>
      <c r="G11630" s="68"/>
      <c r="K11630" s="68"/>
    </row>
    <row r="11631" spans="2:11" ht="12.75">
      <c r="B11631" s="4"/>
      <c r="D11631" s="67"/>
      <c r="G11631" s="68"/>
      <c r="K11631" s="68"/>
    </row>
    <row r="11632" spans="2:11" ht="12.75">
      <c r="B11632" s="4"/>
      <c r="D11632" s="67"/>
      <c r="G11632" s="68"/>
      <c r="K11632" s="68"/>
    </row>
    <row r="11633" spans="2:11" ht="12.75">
      <c r="B11633" s="4"/>
      <c r="D11633" s="67"/>
      <c r="G11633" s="68"/>
      <c r="K11633" s="68"/>
    </row>
    <row r="11634" spans="2:11" ht="12.75">
      <c r="B11634" s="4"/>
      <c r="D11634" s="67"/>
      <c r="G11634" s="68"/>
      <c r="K11634" s="68"/>
    </row>
    <row r="11635" spans="2:11" ht="12.75">
      <c r="B11635" s="4"/>
      <c r="D11635" s="67"/>
      <c r="G11635" s="68"/>
      <c r="K11635" s="68"/>
    </row>
    <row r="11636" spans="2:11" ht="12.75">
      <c r="B11636" s="4"/>
      <c r="D11636" s="67"/>
      <c r="G11636" s="68"/>
      <c r="K11636" s="68"/>
    </row>
    <row r="11637" spans="2:11" ht="12.75">
      <c r="B11637" s="4"/>
      <c r="D11637" s="67"/>
      <c r="G11637" s="68"/>
      <c r="K11637" s="68"/>
    </row>
    <row r="11638" spans="2:11" ht="12.75">
      <c r="B11638" s="4"/>
      <c r="D11638" s="67"/>
      <c r="G11638" s="68"/>
      <c r="K11638" s="68"/>
    </row>
    <row r="11639" spans="2:11" ht="12.75">
      <c r="B11639" s="4"/>
      <c r="D11639" s="67"/>
      <c r="G11639" s="68"/>
      <c r="K11639" s="68"/>
    </row>
    <row r="11640" spans="2:11" ht="12.75">
      <c r="B11640" s="4"/>
      <c r="D11640" s="67"/>
      <c r="G11640" s="68"/>
      <c r="K11640" s="68"/>
    </row>
    <row r="11641" spans="2:11" ht="12.75">
      <c r="B11641" s="4"/>
      <c r="D11641" s="67"/>
      <c r="G11641" s="68"/>
      <c r="K11641" s="68"/>
    </row>
    <row r="11642" spans="2:11" ht="12.75">
      <c r="B11642" s="4"/>
      <c r="D11642" s="67"/>
      <c r="G11642" s="68"/>
      <c r="K11642" s="68"/>
    </row>
    <row r="11643" spans="2:11" ht="12.75">
      <c r="B11643" s="4"/>
      <c r="D11643" s="67"/>
      <c r="G11643" s="68"/>
      <c r="K11643" s="68"/>
    </row>
    <row r="11644" spans="2:11" ht="12.75">
      <c r="B11644" s="4"/>
      <c r="D11644" s="67"/>
      <c r="G11644" s="68"/>
      <c r="K11644" s="68"/>
    </row>
    <row r="11645" spans="2:11" ht="12.75">
      <c r="B11645" s="4"/>
      <c r="D11645" s="67"/>
      <c r="G11645" s="68"/>
      <c r="K11645" s="68"/>
    </row>
    <row r="11646" spans="2:11" ht="12.75">
      <c r="B11646" s="4"/>
      <c r="D11646" s="67"/>
      <c r="G11646" s="68"/>
      <c r="K11646" s="68"/>
    </row>
    <row r="11647" spans="2:11" ht="12.75">
      <c r="B11647" s="4"/>
      <c r="D11647" s="67"/>
      <c r="G11647" s="68"/>
      <c r="K11647" s="68"/>
    </row>
    <row r="11648" spans="2:11" ht="12.75">
      <c r="B11648" s="4"/>
      <c r="D11648" s="67"/>
      <c r="G11648" s="68"/>
      <c r="K11648" s="68"/>
    </row>
    <row r="11649" spans="2:11" ht="12.75">
      <c r="B11649" s="4"/>
      <c r="D11649" s="67"/>
      <c r="G11649" s="68"/>
      <c r="K11649" s="68"/>
    </row>
    <row r="11650" spans="2:11" ht="12.75">
      <c r="B11650" s="4"/>
      <c r="D11650" s="67"/>
      <c r="G11650" s="68"/>
      <c r="K11650" s="68"/>
    </row>
    <row r="11651" spans="2:11" ht="12.75">
      <c r="B11651" s="4"/>
      <c r="D11651" s="67"/>
      <c r="G11651" s="68"/>
      <c r="K11651" s="68"/>
    </row>
    <row r="11652" spans="2:11" ht="12.75">
      <c r="B11652" s="4"/>
      <c r="D11652" s="67"/>
      <c r="G11652" s="68"/>
      <c r="K11652" s="68"/>
    </row>
    <row r="11653" spans="2:11" ht="12.75">
      <c r="B11653" s="4"/>
      <c r="D11653" s="67"/>
      <c r="G11653" s="68"/>
      <c r="K11653" s="68"/>
    </row>
    <row r="11654" spans="2:11" ht="12.75">
      <c r="B11654" s="4"/>
      <c r="D11654" s="67"/>
      <c r="G11654" s="68"/>
      <c r="K11654" s="68"/>
    </row>
    <row r="11655" spans="2:11" ht="12.75">
      <c r="B11655" s="4"/>
      <c r="D11655" s="67"/>
      <c r="G11655" s="68"/>
      <c r="K11655" s="68"/>
    </row>
    <row r="11656" spans="2:11" ht="12.75">
      <c r="B11656" s="4"/>
      <c r="D11656" s="67"/>
      <c r="G11656" s="68"/>
      <c r="K11656" s="68"/>
    </row>
    <row r="11657" spans="2:11" ht="12.75">
      <c r="B11657" s="4"/>
      <c r="D11657" s="67"/>
      <c r="G11657" s="68"/>
      <c r="K11657" s="68"/>
    </row>
    <row r="11658" spans="2:11" ht="12.75">
      <c r="B11658" s="4"/>
      <c r="D11658" s="67"/>
      <c r="G11658" s="68"/>
      <c r="K11658" s="68"/>
    </row>
    <row r="11659" spans="2:11" ht="12.75">
      <c r="B11659" s="4"/>
      <c r="D11659" s="67"/>
      <c r="G11659" s="68"/>
      <c r="K11659" s="68"/>
    </row>
    <row r="11660" spans="2:11" ht="12.75">
      <c r="B11660" s="4"/>
      <c r="D11660" s="67"/>
      <c r="G11660" s="68"/>
      <c r="K11660" s="68"/>
    </row>
    <row r="11661" spans="2:11" ht="12.75">
      <c r="B11661" s="4"/>
      <c r="D11661" s="67"/>
      <c r="G11661" s="68"/>
      <c r="K11661" s="68"/>
    </row>
    <row r="11662" spans="2:11" ht="12.75">
      <c r="B11662" s="4"/>
      <c r="D11662" s="67"/>
      <c r="G11662" s="68"/>
      <c r="K11662" s="68"/>
    </row>
    <row r="11663" spans="2:11" ht="12.75">
      <c r="B11663" s="4"/>
      <c r="D11663" s="67"/>
      <c r="G11663" s="68"/>
      <c r="K11663" s="68"/>
    </row>
    <row r="11664" spans="2:11" ht="12.75">
      <c r="B11664" s="4"/>
      <c r="D11664" s="67"/>
      <c r="G11664" s="68"/>
      <c r="K11664" s="68"/>
    </row>
    <row r="11665" spans="2:11" ht="12.75">
      <c r="B11665" s="4"/>
      <c r="D11665" s="67"/>
      <c r="G11665" s="68"/>
      <c r="K11665" s="68"/>
    </row>
    <row r="11666" spans="2:11" ht="12.75">
      <c r="B11666" s="4"/>
      <c r="D11666" s="67"/>
      <c r="G11666" s="68"/>
      <c r="K11666" s="68"/>
    </row>
    <row r="11667" spans="2:11" ht="12.75">
      <c r="B11667" s="4"/>
      <c r="D11667" s="67"/>
      <c r="G11667" s="68"/>
      <c r="K11667" s="68"/>
    </row>
    <row r="11668" spans="2:11" ht="12.75">
      <c r="B11668" s="4"/>
      <c r="D11668" s="67"/>
      <c r="G11668" s="68"/>
      <c r="K11668" s="68"/>
    </row>
    <row r="11669" spans="2:11" ht="12.75">
      <c r="B11669" s="4"/>
      <c r="D11669" s="67"/>
      <c r="G11669" s="68"/>
      <c r="K11669" s="68"/>
    </row>
    <row r="11670" spans="2:11" ht="12.75">
      <c r="B11670" s="4"/>
      <c r="D11670" s="67"/>
      <c r="G11670" s="68"/>
      <c r="K11670" s="68"/>
    </row>
    <row r="11671" spans="2:11" ht="12.75">
      <c r="B11671" s="4"/>
      <c r="D11671" s="67"/>
      <c r="G11671" s="68"/>
      <c r="K11671" s="68"/>
    </row>
    <row r="11672" spans="2:11" ht="12.75">
      <c r="B11672" s="4"/>
      <c r="D11672" s="67"/>
      <c r="G11672" s="68"/>
      <c r="K11672" s="68"/>
    </row>
    <row r="11673" spans="2:11" ht="12.75">
      <c r="B11673" s="4"/>
      <c r="D11673" s="67"/>
      <c r="G11673" s="68"/>
      <c r="K11673" s="68"/>
    </row>
    <row r="11674" spans="2:11" ht="12.75">
      <c r="B11674" s="4"/>
      <c r="D11674" s="67"/>
      <c r="G11674" s="68"/>
      <c r="K11674" s="68"/>
    </row>
    <row r="11675" spans="2:11" ht="12.75">
      <c r="B11675" s="4"/>
      <c r="D11675" s="67"/>
      <c r="G11675" s="68"/>
      <c r="K11675" s="68"/>
    </row>
    <row r="11676" spans="2:11" ht="12.75">
      <c r="B11676" s="4"/>
      <c r="D11676" s="67"/>
      <c r="G11676" s="68"/>
      <c r="K11676" s="68"/>
    </row>
    <row r="11677" spans="2:11" ht="12.75">
      <c r="B11677" s="4"/>
      <c r="D11677" s="67"/>
      <c r="G11677" s="68"/>
      <c r="K11677" s="68"/>
    </row>
    <row r="11678" spans="2:11" ht="12.75">
      <c r="B11678" s="4"/>
      <c r="D11678" s="67"/>
      <c r="G11678" s="68"/>
      <c r="K11678" s="68"/>
    </row>
    <row r="11679" spans="2:11" ht="12.75">
      <c r="B11679" s="4"/>
      <c r="D11679" s="67"/>
      <c r="G11679" s="68"/>
      <c r="K11679" s="68"/>
    </row>
    <row r="11680" spans="2:11" ht="12.75">
      <c r="B11680" s="4"/>
      <c r="D11680" s="67"/>
      <c r="G11680" s="68"/>
      <c r="K11680" s="68"/>
    </row>
    <row r="11681" spans="2:11" ht="12.75">
      <c r="B11681" s="4"/>
      <c r="D11681" s="67"/>
      <c r="G11681" s="68"/>
      <c r="K11681" s="68"/>
    </row>
    <row r="11682" spans="2:11" ht="12.75">
      <c r="B11682" s="4"/>
      <c r="D11682" s="67"/>
      <c r="G11682" s="68"/>
      <c r="K11682" s="68"/>
    </row>
    <row r="11683" spans="2:11" ht="12.75">
      <c r="B11683" s="4"/>
      <c r="D11683" s="67"/>
      <c r="G11683" s="68"/>
      <c r="K11683" s="68"/>
    </row>
    <row r="11684" spans="2:11" ht="12.75">
      <c r="B11684" s="4"/>
      <c r="D11684" s="67"/>
      <c r="G11684" s="68"/>
      <c r="K11684" s="68"/>
    </row>
    <row r="11685" spans="2:11" ht="12.75">
      <c r="B11685" s="4"/>
      <c r="D11685" s="67"/>
      <c r="G11685" s="68"/>
      <c r="K11685" s="68"/>
    </row>
    <row r="11686" spans="2:11" ht="12.75">
      <c r="B11686" s="4"/>
      <c r="D11686" s="67"/>
      <c r="G11686" s="68"/>
      <c r="K11686" s="68"/>
    </row>
    <row r="11687" spans="2:11" ht="12.75">
      <c r="B11687" s="4"/>
      <c r="D11687" s="67"/>
      <c r="G11687" s="68"/>
      <c r="K11687" s="68"/>
    </row>
    <row r="11688" spans="2:11" ht="12.75">
      <c r="B11688" s="4"/>
      <c r="D11688" s="67"/>
      <c r="G11688" s="68"/>
      <c r="K11688" s="68"/>
    </row>
    <row r="11689" spans="2:11" ht="12.75">
      <c r="B11689" s="4"/>
      <c r="D11689" s="67"/>
      <c r="G11689" s="68"/>
      <c r="K11689" s="68"/>
    </row>
    <row r="11690" spans="2:11" ht="12.75">
      <c r="B11690" s="4"/>
      <c r="D11690" s="67"/>
      <c r="G11690" s="68"/>
      <c r="K11690" s="68"/>
    </row>
    <row r="11691" spans="2:11" ht="12.75">
      <c r="B11691" s="4"/>
      <c r="D11691" s="67"/>
      <c r="G11691" s="68"/>
      <c r="K11691" s="68"/>
    </row>
    <row r="11692" spans="2:11" ht="12.75">
      <c r="B11692" s="4"/>
      <c r="D11692" s="67"/>
      <c r="G11692" s="68"/>
      <c r="K11692" s="68"/>
    </row>
    <row r="11693" spans="2:11" ht="12.75">
      <c r="B11693" s="4"/>
      <c r="D11693" s="67"/>
      <c r="G11693" s="68"/>
      <c r="K11693" s="68"/>
    </row>
    <row r="11694" spans="2:11" ht="12.75">
      <c r="B11694" s="4"/>
      <c r="D11694" s="67"/>
      <c r="G11694" s="68"/>
      <c r="K11694" s="68"/>
    </row>
    <row r="11695" spans="2:11" ht="12.75">
      <c r="B11695" s="4"/>
      <c r="D11695" s="67"/>
      <c r="G11695" s="68"/>
      <c r="K11695" s="68"/>
    </row>
    <row r="11696" spans="2:11" ht="12.75">
      <c r="B11696" s="4"/>
      <c r="D11696" s="67"/>
      <c r="G11696" s="68"/>
      <c r="K11696" s="68"/>
    </row>
    <row r="11697" spans="2:11" ht="12.75">
      <c r="B11697" s="4"/>
      <c r="D11697" s="67"/>
      <c r="G11697" s="68"/>
      <c r="K11697" s="68"/>
    </row>
    <row r="11698" spans="2:11" ht="12.75">
      <c r="B11698" s="4"/>
      <c r="D11698" s="67"/>
      <c r="G11698" s="68"/>
      <c r="K11698" s="68"/>
    </row>
    <row r="11699" spans="2:11" ht="12.75">
      <c r="B11699" s="4"/>
      <c r="D11699" s="67"/>
      <c r="G11699" s="68"/>
      <c r="K11699" s="68"/>
    </row>
    <row r="11700" spans="2:11" ht="12.75">
      <c r="B11700" s="4"/>
      <c r="D11700" s="67"/>
      <c r="G11700" s="68"/>
      <c r="K11700" s="68"/>
    </row>
    <row r="11701" spans="2:11" ht="12.75">
      <c r="B11701" s="4"/>
      <c r="D11701" s="67"/>
      <c r="G11701" s="68"/>
      <c r="K11701" s="68"/>
    </row>
    <row r="11702" spans="2:11" ht="12.75">
      <c r="B11702" s="4"/>
      <c r="D11702" s="67"/>
      <c r="G11702" s="68"/>
      <c r="K11702" s="68"/>
    </row>
    <row r="11703" spans="2:11" ht="12.75">
      <c r="B11703" s="4"/>
      <c r="D11703" s="67"/>
      <c r="G11703" s="68"/>
      <c r="K11703" s="68"/>
    </row>
    <row r="11704" spans="2:11" ht="12.75">
      <c r="B11704" s="4"/>
      <c r="D11704" s="67"/>
      <c r="G11704" s="68"/>
      <c r="K11704" s="68"/>
    </row>
    <row r="11705" spans="2:11" ht="12.75">
      <c r="B11705" s="4"/>
      <c r="D11705" s="67"/>
      <c r="G11705" s="68"/>
      <c r="K11705" s="68"/>
    </row>
    <row r="11706" spans="2:11" ht="12.75">
      <c r="B11706" s="4"/>
      <c r="D11706" s="67"/>
      <c r="G11706" s="68"/>
      <c r="K11706" s="68"/>
    </row>
    <row r="11707" spans="2:11" ht="12.75">
      <c r="B11707" s="4"/>
      <c r="D11707" s="67"/>
      <c r="G11707" s="68"/>
      <c r="K11707" s="68"/>
    </row>
    <row r="11708" spans="2:11" ht="12.75">
      <c r="B11708" s="4"/>
      <c r="D11708" s="67"/>
      <c r="G11708" s="68"/>
      <c r="K11708" s="68"/>
    </row>
    <row r="11709" spans="2:11" ht="12.75">
      <c r="B11709" s="4"/>
      <c r="D11709" s="67"/>
      <c r="G11709" s="68"/>
      <c r="K11709" s="68"/>
    </row>
    <row r="11710" spans="2:11" ht="12.75">
      <c r="B11710" s="4"/>
      <c r="D11710" s="67"/>
      <c r="G11710" s="68"/>
      <c r="K11710" s="68"/>
    </row>
    <row r="11711" spans="2:11" ht="12.75">
      <c r="B11711" s="4"/>
      <c r="D11711" s="67"/>
      <c r="G11711" s="68"/>
      <c r="K11711" s="68"/>
    </row>
    <row r="11712" spans="2:11" ht="12.75">
      <c r="B11712" s="4"/>
      <c r="D11712" s="67"/>
      <c r="G11712" s="68"/>
      <c r="K11712" s="68"/>
    </row>
    <row r="11713" spans="2:11" ht="12.75">
      <c r="B11713" s="4"/>
      <c r="D11713" s="67"/>
      <c r="G11713" s="68"/>
      <c r="K11713" s="68"/>
    </row>
    <row r="11714" spans="2:11" ht="12.75">
      <c r="B11714" s="4"/>
      <c r="D11714" s="67"/>
      <c r="G11714" s="68"/>
      <c r="K11714" s="68"/>
    </row>
    <row r="11715" spans="2:11" ht="12.75">
      <c r="B11715" s="4"/>
      <c r="D11715" s="67"/>
      <c r="G11715" s="68"/>
      <c r="K11715" s="68"/>
    </row>
    <row r="11716" spans="2:11" ht="12.75">
      <c r="B11716" s="4"/>
      <c r="D11716" s="67"/>
      <c r="G11716" s="68"/>
      <c r="K11716" s="68"/>
    </row>
    <row r="11717" spans="2:11" ht="12.75">
      <c r="B11717" s="4"/>
      <c r="D11717" s="67"/>
      <c r="G11717" s="68"/>
      <c r="K11717" s="68"/>
    </row>
    <row r="11718" spans="2:11" ht="12.75">
      <c r="B11718" s="4"/>
      <c r="D11718" s="67"/>
      <c r="G11718" s="68"/>
      <c r="K11718" s="68"/>
    </row>
    <row r="11719" spans="2:11" ht="12.75">
      <c r="B11719" s="4"/>
      <c r="D11719" s="67"/>
      <c r="G11719" s="68"/>
      <c r="K11719" s="68"/>
    </row>
    <row r="11720" spans="2:11" ht="12.75">
      <c r="B11720" s="4"/>
      <c r="D11720" s="67"/>
      <c r="G11720" s="68"/>
      <c r="K11720" s="68"/>
    </row>
    <row r="11721" spans="2:11" ht="12.75">
      <c r="B11721" s="4"/>
      <c r="D11721" s="67"/>
      <c r="G11721" s="68"/>
      <c r="K11721" s="68"/>
    </row>
    <row r="11722" spans="2:11" ht="12.75">
      <c r="B11722" s="4"/>
      <c r="D11722" s="67"/>
      <c r="G11722" s="68"/>
      <c r="K11722" s="68"/>
    </row>
    <row r="11723" spans="2:11" ht="12.75">
      <c r="B11723" s="4"/>
      <c r="D11723" s="67"/>
      <c r="G11723" s="68"/>
      <c r="K11723" s="68"/>
    </row>
    <row r="11724" spans="2:11" ht="12.75">
      <c r="B11724" s="4"/>
      <c r="D11724" s="67"/>
      <c r="G11724" s="68"/>
      <c r="K11724" s="68"/>
    </row>
    <row r="11725" spans="2:11" ht="12.75">
      <c r="B11725" s="4"/>
      <c r="D11725" s="67"/>
      <c r="G11725" s="68"/>
      <c r="K11725" s="68"/>
    </row>
    <row r="11726" spans="2:11" ht="12.75">
      <c r="B11726" s="4"/>
      <c r="D11726" s="67"/>
      <c r="G11726" s="68"/>
      <c r="K11726" s="68"/>
    </row>
    <row r="11727" spans="2:11" ht="12.75">
      <c r="B11727" s="4"/>
      <c r="D11727" s="67"/>
      <c r="G11727" s="68"/>
      <c r="K11727" s="68"/>
    </row>
    <row r="11728" spans="2:11" ht="12.75">
      <c r="B11728" s="4"/>
      <c r="D11728" s="67"/>
      <c r="G11728" s="68"/>
      <c r="K11728" s="68"/>
    </row>
    <row r="11729" spans="2:11" ht="12.75">
      <c r="B11729" s="4"/>
      <c r="D11729" s="67"/>
      <c r="G11729" s="68"/>
      <c r="K11729" s="68"/>
    </row>
    <row r="11730" spans="2:11" ht="12.75">
      <c r="B11730" s="4"/>
      <c r="D11730" s="67"/>
      <c r="G11730" s="68"/>
      <c r="K11730" s="68"/>
    </row>
    <row r="11731" spans="2:11" ht="12.75">
      <c r="B11731" s="4"/>
      <c r="D11731" s="67"/>
      <c r="G11731" s="68"/>
      <c r="K11731" s="68"/>
    </row>
    <row r="11732" spans="2:11" ht="12.75">
      <c r="B11732" s="4"/>
      <c r="D11732" s="67"/>
      <c r="G11732" s="68"/>
      <c r="K11732" s="68"/>
    </row>
    <row r="11733" spans="2:11" ht="12.75">
      <c r="B11733" s="4"/>
      <c r="D11733" s="67"/>
      <c r="G11733" s="68"/>
      <c r="K11733" s="68"/>
    </row>
    <row r="11734" spans="2:11" ht="12.75">
      <c r="B11734" s="4"/>
      <c r="D11734" s="67"/>
      <c r="G11734" s="68"/>
      <c r="K11734" s="68"/>
    </row>
    <row r="11735" spans="2:11" ht="12.75">
      <c r="B11735" s="4"/>
      <c r="D11735" s="67"/>
      <c r="G11735" s="68"/>
      <c r="K11735" s="68"/>
    </row>
    <row r="11736" spans="2:11" ht="12.75">
      <c r="B11736" s="4"/>
      <c r="D11736" s="67"/>
      <c r="G11736" s="68"/>
      <c r="K11736" s="68"/>
    </row>
    <row r="11737" spans="2:11" ht="12.75">
      <c r="B11737" s="4"/>
      <c r="D11737" s="67"/>
      <c r="G11737" s="68"/>
      <c r="K11737" s="68"/>
    </row>
    <row r="11738" spans="2:11" ht="12.75">
      <c r="B11738" s="4"/>
      <c r="D11738" s="67"/>
      <c r="G11738" s="68"/>
      <c r="K11738" s="68"/>
    </row>
    <row r="11739" spans="2:11" ht="12.75">
      <c r="B11739" s="4"/>
      <c r="D11739" s="67"/>
      <c r="G11739" s="68"/>
      <c r="K11739" s="68"/>
    </row>
    <row r="11740" spans="2:11" ht="12.75">
      <c r="B11740" s="4"/>
      <c r="D11740" s="67"/>
      <c r="G11740" s="68"/>
      <c r="K11740" s="68"/>
    </row>
    <row r="11741" spans="2:11" ht="12.75">
      <c r="B11741" s="4"/>
      <c r="D11741" s="67"/>
      <c r="G11741" s="68"/>
      <c r="K11741" s="68"/>
    </row>
    <row r="11742" spans="2:11" ht="12.75">
      <c r="B11742" s="4"/>
      <c r="D11742" s="67"/>
      <c r="G11742" s="68"/>
      <c r="K11742" s="68"/>
    </row>
    <row r="11743" spans="2:11" ht="12.75">
      <c r="B11743" s="4"/>
      <c r="D11743" s="67"/>
      <c r="G11743" s="68"/>
      <c r="K11743" s="68"/>
    </row>
    <row r="11744" spans="2:11" ht="12.75">
      <c r="B11744" s="4"/>
      <c r="D11744" s="67"/>
      <c r="G11744" s="68"/>
      <c r="K11744" s="68"/>
    </row>
    <row r="11745" spans="2:11" ht="12.75">
      <c r="B11745" s="4"/>
      <c r="D11745" s="67"/>
      <c r="G11745" s="68"/>
      <c r="K11745" s="68"/>
    </row>
    <row r="11746" spans="2:11" ht="12.75">
      <c r="B11746" s="4"/>
      <c r="D11746" s="67"/>
      <c r="G11746" s="68"/>
      <c r="K11746" s="68"/>
    </row>
    <row r="11747" spans="2:11" ht="12.75">
      <c r="B11747" s="4"/>
      <c r="D11747" s="67"/>
      <c r="G11747" s="68"/>
      <c r="K11747" s="68"/>
    </row>
    <row r="11748" spans="2:11" ht="12.75">
      <c r="B11748" s="4"/>
      <c r="D11748" s="67"/>
      <c r="G11748" s="68"/>
      <c r="K11748" s="68"/>
    </row>
    <row r="11749" spans="2:11" ht="12.75">
      <c r="B11749" s="4"/>
      <c r="D11749" s="67"/>
      <c r="G11749" s="68"/>
      <c r="K11749" s="68"/>
    </row>
    <row r="11750" spans="2:11" ht="12.75">
      <c r="B11750" s="4"/>
      <c r="D11750" s="67"/>
      <c r="G11750" s="68"/>
      <c r="K11750" s="68"/>
    </row>
    <row r="11751" spans="2:11" ht="12.75">
      <c r="B11751" s="4"/>
      <c r="D11751" s="67"/>
      <c r="G11751" s="68"/>
      <c r="K11751" s="68"/>
    </row>
    <row r="11752" spans="2:11" ht="12.75">
      <c r="B11752" s="4"/>
      <c r="D11752" s="67"/>
      <c r="G11752" s="68"/>
      <c r="K11752" s="68"/>
    </row>
    <row r="11753" spans="2:11" ht="12.75">
      <c r="B11753" s="4"/>
      <c r="D11753" s="67"/>
      <c r="G11753" s="68"/>
      <c r="K11753" s="68"/>
    </row>
    <row r="11754" spans="2:11" ht="12.75">
      <c r="B11754" s="4"/>
      <c r="D11754" s="67"/>
      <c r="G11754" s="68"/>
      <c r="K11754" s="68"/>
    </row>
    <row r="11755" spans="2:11" ht="12.75">
      <c r="B11755" s="4"/>
      <c r="D11755" s="67"/>
      <c r="G11755" s="68"/>
      <c r="K11755" s="68"/>
    </row>
    <row r="11756" spans="2:11" ht="12.75">
      <c r="B11756" s="4"/>
      <c r="D11756" s="67"/>
      <c r="G11756" s="68"/>
      <c r="K11756" s="68"/>
    </row>
    <row r="11757" spans="2:11" ht="12.75">
      <c r="B11757" s="4"/>
      <c r="D11757" s="67"/>
      <c r="G11757" s="68"/>
      <c r="K11757" s="68"/>
    </row>
    <row r="11758" spans="2:11" ht="12.75">
      <c r="B11758" s="4"/>
      <c r="D11758" s="67"/>
      <c r="G11758" s="68"/>
      <c r="K11758" s="68"/>
    </row>
    <row r="11759" spans="2:11" ht="12.75">
      <c r="B11759" s="4"/>
      <c r="D11759" s="67"/>
      <c r="G11759" s="68"/>
      <c r="K11759" s="68"/>
    </row>
    <row r="11760" spans="2:11" ht="12.75">
      <c r="B11760" s="4"/>
      <c r="D11760" s="67"/>
      <c r="G11760" s="68"/>
      <c r="K11760" s="68"/>
    </row>
    <row r="11761" spans="2:11" ht="12.75">
      <c r="B11761" s="4"/>
      <c r="D11761" s="67"/>
      <c r="G11761" s="68"/>
      <c r="K11761" s="68"/>
    </row>
    <row r="11762" spans="2:11" ht="12.75">
      <c r="B11762" s="4"/>
      <c r="D11762" s="67"/>
      <c r="G11762" s="68"/>
      <c r="K11762" s="68"/>
    </row>
    <row r="11763" spans="2:11" ht="12.75">
      <c r="B11763" s="4"/>
      <c r="D11763" s="67"/>
      <c r="G11763" s="68"/>
      <c r="K11763" s="68"/>
    </row>
    <row r="11764" spans="2:11" ht="12.75">
      <c r="B11764" s="4"/>
      <c r="D11764" s="67"/>
      <c r="G11764" s="68"/>
      <c r="K11764" s="68"/>
    </row>
    <row r="11765" spans="2:11" ht="12.75">
      <c r="B11765" s="4"/>
      <c r="D11765" s="67"/>
      <c r="G11765" s="68"/>
      <c r="K11765" s="68"/>
    </row>
    <row r="11766" spans="2:11" ht="12.75">
      <c r="B11766" s="4"/>
      <c r="D11766" s="67"/>
      <c r="G11766" s="68"/>
      <c r="K11766" s="68"/>
    </row>
    <row r="11767" spans="2:11" ht="12.75">
      <c r="B11767" s="4"/>
      <c r="D11767" s="67"/>
      <c r="G11767" s="68"/>
      <c r="K11767" s="68"/>
    </row>
    <row r="11768" spans="2:11" ht="12.75">
      <c r="B11768" s="4"/>
      <c r="D11768" s="67"/>
      <c r="G11768" s="68"/>
      <c r="K11768" s="68"/>
    </row>
    <row r="11769" spans="2:11" ht="12.75">
      <c r="B11769" s="4"/>
      <c r="D11769" s="67"/>
      <c r="G11769" s="68"/>
      <c r="K11769" s="68"/>
    </row>
    <row r="11770" spans="2:11" ht="12.75">
      <c r="B11770" s="4"/>
      <c r="D11770" s="67"/>
      <c r="G11770" s="68"/>
      <c r="K11770" s="68"/>
    </row>
    <row r="11771" spans="2:11" ht="12.75">
      <c r="B11771" s="4"/>
      <c r="D11771" s="67"/>
      <c r="G11771" s="68"/>
      <c r="K11771" s="68"/>
    </row>
    <row r="11772" spans="2:11" ht="12.75">
      <c r="B11772" s="4"/>
      <c r="D11772" s="67"/>
      <c r="G11772" s="68"/>
      <c r="K11772" s="68"/>
    </row>
    <row r="11773" spans="2:11" ht="12.75">
      <c r="B11773" s="4"/>
      <c r="D11773" s="67"/>
      <c r="G11773" s="68"/>
      <c r="K11773" s="68"/>
    </row>
    <row r="11774" spans="2:11" ht="12.75">
      <c r="B11774" s="4"/>
      <c r="D11774" s="67"/>
      <c r="G11774" s="68"/>
      <c r="K11774" s="68"/>
    </row>
    <row r="11775" spans="2:11" ht="12.75">
      <c r="B11775" s="4"/>
      <c r="D11775" s="67"/>
      <c r="G11775" s="68"/>
      <c r="K11775" s="68"/>
    </row>
    <row r="11776" spans="2:11" ht="12.75">
      <c r="B11776" s="4"/>
      <c r="D11776" s="67"/>
      <c r="G11776" s="68"/>
      <c r="K11776" s="68"/>
    </row>
    <row r="11777" spans="2:11" ht="12.75">
      <c r="B11777" s="4"/>
      <c r="D11777" s="67"/>
      <c r="G11777" s="68"/>
      <c r="K11777" s="68"/>
    </row>
    <row r="11778" spans="2:11" ht="12.75">
      <c r="B11778" s="4"/>
      <c r="D11778" s="67"/>
      <c r="G11778" s="68"/>
      <c r="K11778" s="68"/>
    </row>
    <row r="11779" spans="2:11" ht="12.75">
      <c r="B11779" s="4"/>
      <c r="D11779" s="67"/>
      <c r="G11779" s="68"/>
      <c r="K11779" s="68"/>
    </row>
    <row r="11780" spans="2:11" ht="12.75">
      <c r="B11780" s="4"/>
      <c r="D11780" s="67"/>
      <c r="G11780" s="68"/>
      <c r="K11780" s="68"/>
    </row>
    <row r="11781" spans="2:11" ht="12.75">
      <c r="B11781" s="4"/>
      <c r="D11781" s="67"/>
      <c r="G11781" s="68"/>
      <c r="K11781" s="68"/>
    </row>
    <row r="11782" spans="2:11" ht="12.75">
      <c r="B11782" s="4"/>
      <c r="D11782" s="67"/>
      <c r="G11782" s="68"/>
      <c r="K11782" s="68"/>
    </row>
    <row r="11783" spans="2:11" ht="12.75">
      <c r="B11783" s="4"/>
      <c r="D11783" s="67"/>
      <c r="G11783" s="68"/>
      <c r="K11783" s="68"/>
    </row>
    <row r="11784" spans="2:11" ht="12.75">
      <c r="B11784" s="4"/>
      <c r="D11784" s="67"/>
      <c r="G11784" s="68"/>
      <c r="K11784" s="68"/>
    </row>
    <row r="11785" spans="2:11" ht="12.75">
      <c r="B11785" s="4"/>
      <c r="D11785" s="67"/>
      <c r="G11785" s="68"/>
      <c r="K11785" s="68"/>
    </row>
    <row r="11786" spans="2:11" ht="12.75">
      <c r="B11786" s="4"/>
      <c r="D11786" s="67"/>
      <c r="G11786" s="68"/>
      <c r="K11786" s="68"/>
    </row>
    <row r="11787" spans="2:11" ht="12.75">
      <c r="B11787" s="4"/>
      <c r="D11787" s="67"/>
      <c r="G11787" s="68"/>
      <c r="K11787" s="68"/>
    </row>
    <row r="11788" spans="2:11" ht="12.75">
      <c r="B11788" s="4"/>
      <c r="D11788" s="67"/>
      <c r="G11788" s="68"/>
      <c r="K11788" s="68"/>
    </row>
    <row r="11789" spans="2:11" ht="12.75">
      <c r="B11789" s="4"/>
      <c r="D11789" s="67"/>
      <c r="G11789" s="68"/>
      <c r="K11789" s="68"/>
    </row>
    <row r="11790" spans="2:11" ht="12.75">
      <c r="B11790" s="4"/>
      <c r="D11790" s="67"/>
      <c r="G11790" s="68"/>
      <c r="K11790" s="68"/>
    </row>
    <row r="11791" spans="2:11" ht="12.75">
      <c r="B11791" s="4"/>
      <c r="D11791" s="67"/>
      <c r="G11791" s="68"/>
      <c r="K11791" s="68"/>
    </row>
    <row r="11792" spans="2:11" ht="12.75">
      <c r="B11792" s="4"/>
      <c r="D11792" s="67"/>
      <c r="G11792" s="68"/>
      <c r="K11792" s="68"/>
    </row>
    <row r="11793" spans="2:11" ht="12.75">
      <c r="B11793" s="4"/>
      <c r="D11793" s="67"/>
      <c r="G11793" s="68"/>
      <c r="K11793" s="68"/>
    </row>
    <row r="11794" spans="2:11" ht="12.75">
      <c r="B11794" s="4"/>
      <c r="D11794" s="67"/>
      <c r="G11794" s="68"/>
      <c r="K11794" s="68"/>
    </row>
    <row r="11795" spans="2:11" ht="12.75">
      <c r="B11795" s="4"/>
      <c r="D11795" s="67"/>
      <c r="G11795" s="68"/>
      <c r="K11795" s="68"/>
    </row>
    <row r="11796" spans="2:11" ht="12.75">
      <c r="B11796" s="4"/>
      <c r="D11796" s="67"/>
      <c r="G11796" s="68"/>
      <c r="K11796" s="68"/>
    </row>
    <row r="11797" spans="2:11" ht="12.75">
      <c r="B11797" s="4"/>
      <c r="D11797" s="67"/>
      <c r="G11797" s="68"/>
      <c r="K11797" s="68"/>
    </row>
    <row r="11798" spans="2:11" ht="12.75">
      <c r="B11798" s="4"/>
      <c r="D11798" s="67"/>
      <c r="G11798" s="68"/>
      <c r="K11798" s="68"/>
    </row>
    <row r="11799" spans="2:11" ht="12.75">
      <c r="B11799" s="4"/>
      <c r="D11799" s="67"/>
      <c r="G11799" s="68"/>
      <c r="K11799" s="68"/>
    </row>
    <row r="11800" spans="2:11" ht="12.75">
      <c r="B11800" s="4"/>
      <c r="D11800" s="67"/>
      <c r="G11800" s="68"/>
      <c r="K11800" s="68"/>
    </row>
    <row r="11801" spans="2:11" ht="12.75">
      <c r="B11801" s="4"/>
      <c r="D11801" s="67"/>
      <c r="G11801" s="68"/>
      <c r="K11801" s="68"/>
    </row>
    <row r="11802" spans="2:11" ht="12.75">
      <c r="B11802" s="4"/>
      <c r="D11802" s="67"/>
      <c r="G11802" s="68"/>
      <c r="K11802" s="68"/>
    </row>
    <row r="11803" spans="2:11" ht="12.75">
      <c r="B11803" s="4"/>
      <c r="D11803" s="67"/>
      <c r="G11803" s="68"/>
      <c r="K11803" s="68"/>
    </row>
    <row r="11804" spans="2:11" ht="12.75">
      <c r="B11804" s="4"/>
      <c r="D11804" s="67"/>
      <c r="G11804" s="68"/>
      <c r="K11804" s="68"/>
    </row>
    <row r="11805" spans="2:11" ht="12.75">
      <c r="B11805" s="4"/>
      <c r="D11805" s="67"/>
      <c r="G11805" s="68"/>
      <c r="K11805" s="68"/>
    </row>
    <row r="11806" spans="2:11" ht="12.75">
      <c r="B11806" s="4"/>
      <c r="D11806" s="67"/>
      <c r="G11806" s="68"/>
      <c r="K11806" s="68"/>
    </row>
    <row r="11807" spans="2:11" ht="12.75">
      <c r="B11807" s="4"/>
      <c r="D11807" s="67"/>
      <c r="G11807" s="68"/>
      <c r="K11807" s="68"/>
    </row>
    <row r="11808" spans="2:11" ht="12.75">
      <c r="B11808" s="4"/>
      <c r="D11808" s="67"/>
      <c r="G11808" s="68"/>
      <c r="K11808" s="68"/>
    </row>
    <row r="11809" spans="2:11" ht="12.75">
      <c r="B11809" s="4"/>
      <c r="D11809" s="67"/>
      <c r="G11809" s="68"/>
      <c r="K11809" s="68"/>
    </row>
    <row r="11810" spans="2:11" ht="12.75">
      <c r="B11810" s="4"/>
      <c r="D11810" s="67"/>
      <c r="G11810" s="68"/>
      <c r="K11810" s="68"/>
    </row>
    <row r="11811" spans="2:11" ht="12.75">
      <c r="B11811" s="4"/>
      <c r="D11811" s="67"/>
      <c r="G11811" s="68"/>
      <c r="K11811" s="68"/>
    </row>
    <row r="11812" spans="2:11" ht="12.75">
      <c r="B11812" s="4"/>
      <c r="D11812" s="67"/>
      <c r="G11812" s="68"/>
      <c r="K11812" s="68"/>
    </row>
    <row r="11813" spans="2:11" ht="12.75">
      <c r="B11813" s="4"/>
      <c r="D11813" s="67"/>
      <c r="G11813" s="68"/>
      <c r="K11813" s="68"/>
    </row>
    <row r="11814" spans="2:11" ht="12.75">
      <c r="B11814" s="4"/>
      <c r="D11814" s="67"/>
      <c r="G11814" s="68"/>
      <c r="K11814" s="68"/>
    </row>
    <row r="11815" spans="2:11" ht="12.75">
      <c r="B11815" s="4"/>
      <c r="D11815" s="67"/>
      <c r="G11815" s="68"/>
      <c r="K11815" s="68"/>
    </row>
    <row r="11816" spans="2:11" ht="12.75">
      <c r="B11816" s="4"/>
      <c r="D11816" s="67"/>
      <c r="G11816" s="68"/>
      <c r="K11816" s="68"/>
    </row>
    <row r="11817" spans="2:11" ht="12.75">
      <c r="B11817" s="4"/>
      <c r="D11817" s="67"/>
      <c r="G11817" s="68"/>
      <c r="K11817" s="68"/>
    </row>
    <row r="11818" spans="2:11" ht="12.75">
      <c r="B11818" s="4"/>
      <c r="D11818" s="67"/>
      <c r="G11818" s="68"/>
      <c r="K11818" s="68"/>
    </row>
    <row r="11819" spans="2:11" ht="12.75">
      <c r="B11819" s="4"/>
      <c r="D11819" s="67"/>
      <c r="G11819" s="68"/>
      <c r="K11819" s="68"/>
    </row>
    <row r="11820" spans="2:11" ht="12.75">
      <c r="B11820" s="4"/>
      <c r="D11820" s="67"/>
      <c r="G11820" s="68"/>
      <c r="K11820" s="68"/>
    </row>
    <row r="11821" spans="2:11" ht="12.75">
      <c r="B11821" s="4"/>
      <c r="D11821" s="67"/>
      <c r="G11821" s="68"/>
      <c r="K11821" s="68"/>
    </row>
    <row r="11822" spans="2:11" ht="12.75">
      <c r="B11822" s="4"/>
      <c r="D11822" s="67"/>
      <c r="G11822" s="68"/>
      <c r="K11822" s="68"/>
    </row>
    <row r="11823" spans="2:11" ht="12.75">
      <c r="B11823" s="4"/>
      <c r="D11823" s="67"/>
      <c r="G11823" s="68"/>
      <c r="K11823" s="68"/>
    </row>
    <row r="11824" spans="2:11" ht="12.75">
      <c r="B11824" s="4"/>
      <c r="D11824" s="67"/>
      <c r="G11824" s="68"/>
      <c r="K11824" s="68"/>
    </row>
    <row r="11825" spans="2:11" ht="12.75">
      <c r="B11825" s="4"/>
      <c r="D11825" s="67"/>
      <c r="G11825" s="68"/>
      <c r="K11825" s="68"/>
    </row>
    <row r="11826" spans="2:11" ht="12.75">
      <c r="B11826" s="4"/>
      <c r="D11826" s="67"/>
      <c r="G11826" s="68"/>
      <c r="K11826" s="68"/>
    </row>
    <row r="11827" spans="2:11" ht="12.75">
      <c r="B11827" s="4"/>
      <c r="D11827" s="67"/>
      <c r="G11827" s="68"/>
      <c r="K11827" s="68"/>
    </row>
    <row r="11828" spans="2:11" ht="12.75">
      <c r="B11828" s="4"/>
      <c r="D11828" s="67"/>
      <c r="G11828" s="68"/>
      <c r="K11828" s="68"/>
    </row>
    <row r="11829" spans="2:11" ht="12.75">
      <c r="B11829" s="4"/>
      <c r="D11829" s="67"/>
      <c r="G11829" s="68"/>
      <c r="K11829" s="68"/>
    </row>
    <row r="11830" spans="2:11" ht="12.75">
      <c r="B11830" s="4"/>
      <c r="D11830" s="67"/>
      <c r="G11830" s="68"/>
      <c r="K11830" s="68"/>
    </row>
    <row r="11831" spans="2:11" ht="12.75">
      <c r="B11831" s="4"/>
      <c r="D11831" s="67"/>
      <c r="G11831" s="68"/>
      <c r="K11831" s="68"/>
    </row>
    <row r="11832" spans="2:11" ht="12.75">
      <c r="B11832" s="4"/>
      <c r="D11832" s="67"/>
      <c r="G11832" s="68"/>
      <c r="K11832" s="68"/>
    </row>
    <row r="11833" spans="2:11" ht="12.75">
      <c r="B11833" s="4"/>
      <c r="D11833" s="67"/>
      <c r="G11833" s="68"/>
      <c r="K11833" s="68"/>
    </row>
    <row r="11834" spans="2:11" ht="12.75">
      <c r="B11834" s="4"/>
      <c r="D11834" s="67"/>
      <c r="G11834" s="68"/>
      <c r="K11834" s="68"/>
    </row>
    <row r="11835" spans="2:11" ht="12.75">
      <c r="B11835" s="4"/>
      <c r="D11835" s="67"/>
      <c r="G11835" s="68"/>
      <c r="K11835" s="68"/>
    </row>
    <row r="11836" spans="2:11" ht="12.75">
      <c r="B11836" s="4"/>
      <c r="D11836" s="67"/>
      <c r="G11836" s="68"/>
      <c r="K11836" s="68"/>
    </row>
    <row r="11837" spans="2:11" ht="12.75">
      <c r="B11837" s="4"/>
      <c r="D11837" s="67"/>
      <c r="G11837" s="68"/>
      <c r="K11837" s="68"/>
    </row>
    <row r="11838" spans="2:11" ht="12.75">
      <c r="B11838" s="4"/>
      <c r="D11838" s="67"/>
      <c r="G11838" s="68"/>
      <c r="K11838" s="68"/>
    </row>
    <row r="11839" spans="2:11" ht="12.75">
      <c r="B11839" s="4"/>
      <c r="D11839" s="67"/>
      <c r="G11839" s="68"/>
      <c r="K11839" s="68"/>
    </row>
    <row r="11840" spans="2:11" ht="12.75">
      <c r="B11840" s="4"/>
      <c r="D11840" s="67"/>
      <c r="G11840" s="68"/>
      <c r="K11840" s="68"/>
    </row>
    <row r="11841" spans="2:11" ht="12.75">
      <c r="B11841" s="4"/>
      <c r="D11841" s="67"/>
      <c r="G11841" s="68"/>
      <c r="K11841" s="68"/>
    </row>
    <row r="11842" spans="2:11" ht="12.75">
      <c r="B11842" s="4"/>
      <c r="D11842" s="67"/>
      <c r="G11842" s="68"/>
      <c r="K11842" s="68"/>
    </row>
    <row r="11843" spans="2:11" ht="12.75">
      <c r="B11843" s="4"/>
      <c r="D11843" s="67"/>
      <c r="G11843" s="68"/>
      <c r="K11843" s="68"/>
    </row>
    <row r="11844" spans="2:11" ht="12.75">
      <c r="B11844" s="4"/>
      <c r="D11844" s="67"/>
      <c r="G11844" s="68"/>
      <c r="K11844" s="68"/>
    </row>
    <row r="11845" spans="2:11" ht="12.75">
      <c r="B11845" s="4"/>
      <c r="D11845" s="67"/>
      <c r="G11845" s="68"/>
      <c r="K11845" s="68"/>
    </row>
    <row r="11846" spans="2:11" ht="12.75">
      <c r="B11846" s="4"/>
      <c r="D11846" s="67"/>
      <c r="G11846" s="68"/>
      <c r="K11846" s="68"/>
    </row>
    <row r="11847" spans="2:11" ht="12.75">
      <c r="B11847" s="4"/>
      <c r="D11847" s="67"/>
      <c r="G11847" s="68"/>
      <c r="K11847" s="68"/>
    </row>
    <row r="11848" spans="2:11" ht="12.75">
      <c r="B11848" s="4"/>
      <c r="D11848" s="67"/>
      <c r="G11848" s="68"/>
      <c r="K11848" s="68"/>
    </row>
    <row r="11849" spans="2:11" ht="12.75">
      <c r="B11849" s="4"/>
      <c r="D11849" s="67"/>
      <c r="G11849" s="68"/>
      <c r="K11849" s="68"/>
    </row>
    <row r="11850" spans="2:11" ht="12.75">
      <c r="B11850" s="4"/>
      <c r="D11850" s="67"/>
      <c r="G11850" s="68"/>
      <c r="K11850" s="68"/>
    </row>
    <row r="11851" spans="2:11" ht="12.75">
      <c r="B11851" s="4"/>
      <c r="D11851" s="67"/>
      <c r="G11851" s="68"/>
      <c r="K11851" s="68"/>
    </row>
    <row r="11852" spans="2:11" ht="12.75">
      <c r="B11852" s="4"/>
      <c r="D11852" s="67"/>
      <c r="G11852" s="68"/>
      <c r="K11852" s="68"/>
    </row>
    <row r="11853" spans="2:11" ht="12.75">
      <c r="B11853" s="4"/>
      <c r="D11853" s="67"/>
      <c r="G11853" s="68"/>
      <c r="K11853" s="68"/>
    </row>
    <row r="11854" spans="2:11" ht="12.75">
      <c r="B11854" s="4"/>
      <c r="D11854" s="67"/>
      <c r="G11854" s="68"/>
      <c r="K11854" s="68"/>
    </row>
    <row r="11855" spans="2:11" ht="12.75">
      <c r="B11855" s="4"/>
      <c r="D11855" s="67"/>
      <c r="G11855" s="68"/>
      <c r="K11855" s="68"/>
    </row>
    <row r="11856" spans="2:11" ht="12.75">
      <c r="B11856" s="4"/>
      <c r="D11856" s="67"/>
      <c r="G11856" s="68"/>
      <c r="K11856" s="68"/>
    </row>
    <row r="11857" spans="2:11" ht="12.75">
      <c r="B11857" s="4"/>
      <c r="D11857" s="67"/>
      <c r="G11857" s="68"/>
      <c r="K11857" s="68"/>
    </row>
    <row r="11858" spans="2:11" ht="12.75">
      <c r="B11858" s="4"/>
      <c r="D11858" s="67"/>
      <c r="G11858" s="68"/>
      <c r="K11858" s="68"/>
    </row>
    <row r="11859" spans="2:11" ht="12.75">
      <c r="B11859" s="4"/>
      <c r="D11859" s="67"/>
      <c r="G11859" s="68"/>
      <c r="K11859" s="68"/>
    </row>
    <row r="11860" spans="2:11" ht="12.75">
      <c r="B11860" s="4"/>
      <c r="D11860" s="67"/>
      <c r="G11860" s="68"/>
      <c r="K11860" s="68"/>
    </row>
    <row r="11861" spans="2:11" ht="12.75">
      <c r="B11861" s="4"/>
      <c r="D11861" s="67"/>
      <c r="G11861" s="68"/>
      <c r="K11861" s="68"/>
    </row>
    <row r="11862" spans="2:11" ht="12.75">
      <c r="B11862" s="4"/>
      <c r="D11862" s="67"/>
      <c r="G11862" s="68"/>
      <c r="K11862" s="68"/>
    </row>
    <row r="11863" spans="2:11" ht="12.75">
      <c r="B11863" s="4"/>
      <c r="D11863" s="67"/>
      <c r="G11863" s="68"/>
      <c r="K11863" s="68"/>
    </row>
    <row r="11864" spans="2:11" ht="12.75">
      <c r="B11864" s="4"/>
      <c r="D11864" s="67"/>
      <c r="G11864" s="68"/>
      <c r="K11864" s="68"/>
    </row>
    <row r="11865" spans="2:11" ht="12.75">
      <c r="B11865" s="4"/>
      <c r="D11865" s="67"/>
      <c r="G11865" s="68"/>
      <c r="K11865" s="68"/>
    </row>
    <row r="11866" spans="2:11" ht="12.75">
      <c r="B11866" s="4"/>
      <c r="D11866" s="67"/>
      <c r="G11866" s="68"/>
      <c r="K11866" s="68"/>
    </row>
    <row r="11867" spans="2:11" ht="12.75">
      <c r="B11867" s="4"/>
      <c r="D11867" s="67"/>
      <c r="G11867" s="68"/>
      <c r="K11867" s="68"/>
    </row>
    <row r="11868" spans="2:11" ht="12.75">
      <c r="B11868" s="4"/>
      <c r="D11868" s="67"/>
      <c r="G11868" s="68"/>
      <c r="K11868" s="68"/>
    </row>
    <row r="11869" spans="2:11" ht="12.75">
      <c r="B11869" s="4"/>
      <c r="D11869" s="67"/>
      <c r="G11869" s="68"/>
      <c r="K11869" s="68"/>
    </row>
    <row r="11870" spans="2:11" ht="12.75">
      <c r="B11870" s="4"/>
      <c r="D11870" s="67"/>
      <c r="G11870" s="68"/>
      <c r="K11870" s="68"/>
    </row>
    <row r="11871" spans="2:11" ht="12.75">
      <c r="B11871" s="4"/>
      <c r="D11871" s="67"/>
      <c r="G11871" s="68"/>
      <c r="K11871" s="68"/>
    </row>
    <row r="11872" spans="2:11" ht="12.75">
      <c r="B11872" s="4"/>
      <c r="D11872" s="67"/>
      <c r="G11872" s="68"/>
      <c r="K11872" s="68"/>
    </row>
    <row r="11873" spans="2:11" ht="12.75">
      <c r="B11873" s="4"/>
      <c r="D11873" s="67"/>
      <c r="G11873" s="68"/>
      <c r="K11873" s="68"/>
    </row>
    <row r="11874" spans="2:11" ht="12.75">
      <c r="B11874" s="4"/>
      <c r="D11874" s="67"/>
      <c r="G11874" s="68"/>
      <c r="K11874" s="68"/>
    </row>
    <row r="11875" spans="2:11" ht="12.75">
      <c r="B11875" s="4"/>
      <c r="D11875" s="67"/>
      <c r="G11875" s="68"/>
      <c r="K11875" s="68"/>
    </row>
    <row r="11876" spans="2:11" ht="12.75">
      <c r="B11876" s="4"/>
      <c r="D11876" s="67"/>
      <c r="G11876" s="68"/>
      <c r="K11876" s="68"/>
    </row>
    <row r="11877" spans="2:11" ht="12.75">
      <c r="B11877" s="4"/>
      <c r="D11877" s="67"/>
      <c r="G11877" s="68"/>
      <c r="K11877" s="68"/>
    </row>
    <row r="11878" spans="2:11" ht="12.75">
      <c r="B11878" s="4"/>
      <c r="D11878" s="67"/>
      <c r="G11878" s="68"/>
      <c r="K11878" s="68"/>
    </row>
    <row r="11879" spans="2:11" ht="12.75">
      <c r="B11879" s="4"/>
      <c r="D11879" s="67"/>
      <c r="G11879" s="68"/>
      <c r="K11879" s="68"/>
    </row>
    <row r="11880" spans="2:11" ht="12.75">
      <c r="B11880" s="4"/>
      <c r="D11880" s="67"/>
      <c r="G11880" s="68"/>
      <c r="K11880" s="68"/>
    </row>
    <row r="11881" spans="2:11" ht="12.75">
      <c r="B11881" s="4"/>
      <c r="D11881" s="67"/>
      <c r="G11881" s="68"/>
      <c r="K11881" s="68"/>
    </row>
    <row r="11882" spans="2:11" ht="12.75">
      <c r="B11882" s="4"/>
      <c r="D11882" s="67"/>
      <c r="G11882" s="68"/>
      <c r="K11882" s="68"/>
    </row>
    <row r="11883" spans="2:11" ht="12.75">
      <c r="B11883" s="4"/>
      <c r="D11883" s="67"/>
      <c r="G11883" s="68"/>
      <c r="K11883" s="68"/>
    </row>
    <row r="11884" spans="2:11" ht="12.75">
      <c r="B11884" s="4"/>
      <c r="D11884" s="67"/>
      <c r="G11884" s="68"/>
      <c r="K11884" s="68"/>
    </row>
    <row r="11885" spans="2:11" ht="12.75">
      <c r="B11885" s="4"/>
      <c r="D11885" s="67"/>
      <c r="G11885" s="68"/>
      <c r="K11885" s="68"/>
    </row>
    <row r="11886" spans="2:11" ht="12.75">
      <c r="B11886" s="4"/>
      <c r="D11886" s="67"/>
      <c r="G11886" s="68"/>
      <c r="K11886" s="68"/>
    </row>
    <row r="11887" spans="2:11" ht="12.75">
      <c r="B11887" s="4"/>
      <c r="D11887" s="67"/>
      <c r="G11887" s="68"/>
      <c r="K11887" s="68"/>
    </row>
    <row r="11888" spans="2:11" ht="12.75">
      <c r="B11888" s="4"/>
      <c r="D11888" s="67"/>
      <c r="G11888" s="68"/>
      <c r="K11888" s="68"/>
    </row>
    <row r="11889" spans="2:11" ht="12.75">
      <c r="B11889" s="4"/>
      <c r="D11889" s="67"/>
      <c r="G11889" s="68"/>
      <c r="K11889" s="68"/>
    </row>
    <row r="11890" spans="2:11" ht="12.75">
      <c r="B11890" s="4"/>
      <c r="D11890" s="67"/>
      <c r="G11890" s="68"/>
      <c r="K11890" s="68"/>
    </row>
    <row r="11891" spans="2:11" ht="12.75">
      <c r="B11891" s="4"/>
      <c r="D11891" s="67"/>
      <c r="G11891" s="68"/>
      <c r="K11891" s="68"/>
    </row>
    <row r="11892" spans="2:11" ht="12.75">
      <c r="B11892" s="4"/>
      <c r="D11892" s="67"/>
      <c r="G11892" s="68"/>
      <c r="K11892" s="68"/>
    </row>
    <row r="11893" spans="2:11" ht="12.75">
      <c r="B11893" s="4"/>
      <c r="D11893" s="67"/>
      <c r="G11893" s="68"/>
      <c r="K11893" s="68"/>
    </row>
    <row r="11894" spans="2:11" ht="12.75">
      <c r="B11894" s="4"/>
      <c r="D11894" s="67"/>
      <c r="G11894" s="68"/>
      <c r="K11894" s="68"/>
    </row>
    <row r="11895" spans="2:11" ht="12.75">
      <c r="B11895" s="4"/>
      <c r="D11895" s="67"/>
      <c r="G11895" s="68"/>
      <c r="K11895" s="68"/>
    </row>
    <row r="11896" spans="2:11" ht="12.75">
      <c r="B11896" s="4"/>
      <c r="D11896" s="67"/>
      <c r="G11896" s="68"/>
      <c r="K11896" s="68"/>
    </row>
    <row r="11897" spans="2:11" ht="12.75">
      <c r="B11897" s="4"/>
      <c r="D11897" s="67"/>
      <c r="G11897" s="68"/>
      <c r="K11897" s="68"/>
    </row>
    <row r="11898" spans="2:11" ht="12.75">
      <c r="B11898" s="4"/>
      <c r="D11898" s="67"/>
      <c r="G11898" s="68"/>
      <c r="K11898" s="68"/>
    </row>
    <row r="11899" spans="2:11" ht="12.75">
      <c r="B11899" s="4"/>
      <c r="D11899" s="67"/>
      <c r="G11899" s="68"/>
      <c r="K11899" s="68"/>
    </row>
    <row r="11900" spans="2:11" ht="12.75">
      <c r="B11900" s="4"/>
      <c r="D11900" s="67"/>
      <c r="G11900" s="68"/>
      <c r="K11900" s="68"/>
    </row>
    <row r="11901" spans="2:11" ht="12.75">
      <c r="B11901" s="4"/>
      <c r="D11901" s="67"/>
      <c r="G11901" s="68"/>
      <c r="K11901" s="68"/>
    </row>
    <row r="11902" spans="2:11" ht="12.75">
      <c r="B11902" s="4"/>
      <c r="D11902" s="67"/>
      <c r="G11902" s="68"/>
      <c r="K11902" s="68"/>
    </row>
    <row r="11903" spans="2:11" ht="12.75">
      <c r="B11903" s="4"/>
      <c r="D11903" s="67"/>
      <c r="G11903" s="68"/>
      <c r="K11903" s="68"/>
    </row>
    <row r="11904" spans="2:11" ht="12.75">
      <c r="B11904" s="4"/>
      <c r="D11904" s="67"/>
      <c r="G11904" s="68"/>
      <c r="K11904" s="68"/>
    </row>
    <row r="11905" spans="2:11" ht="12.75">
      <c r="B11905" s="4"/>
      <c r="D11905" s="67"/>
      <c r="G11905" s="68"/>
      <c r="K11905" s="68"/>
    </row>
    <row r="11906" spans="2:11" ht="12.75">
      <c r="B11906" s="4"/>
      <c r="D11906" s="67"/>
      <c r="G11906" s="68"/>
      <c r="K11906" s="68"/>
    </row>
    <row r="11907" spans="2:11" ht="12.75">
      <c r="B11907" s="4"/>
      <c r="D11907" s="67"/>
      <c r="G11907" s="68"/>
      <c r="K11907" s="68"/>
    </row>
    <row r="11908" spans="2:11" ht="12.75">
      <c r="B11908" s="4"/>
      <c r="D11908" s="67"/>
      <c r="G11908" s="68"/>
      <c r="K11908" s="68"/>
    </row>
    <row r="11909" spans="2:11" ht="12.75">
      <c r="B11909" s="4"/>
      <c r="D11909" s="67"/>
      <c r="G11909" s="68"/>
      <c r="K11909" s="68"/>
    </row>
    <row r="11910" spans="2:11" ht="12.75">
      <c r="B11910" s="4"/>
      <c r="D11910" s="67"/>
      <c r="G11910" s="68"/>
      <c r="K11910" s="68"/>
    </row>
    <row r="11911" spans="2:11" ht="12.75">
      <c r="B11911" s="4"/>
      <c r="D11911" s="67"/>
      <c r="G11911" s="68"/>
      <c r="K11911" s="68"/>
    </row>
    <row r="11912" spans="2:11" ht="12.75">
      <c r="B11912" s="4"/>
      <c r="D11912" s="67"/>
      <c r="G11912" s="68"/>
      <c r="K11912" s="68"/>
    </row>
    <row r="11913" spans="2:11" ht="12.75">
      <c r="B11913" s="4"/>
      <c r="D11913" s="67"/>
      <c r="G11913" s="68"/>
      <c r="K11913" s="68"/>
    </row>
    <row r="11914" spans="2:11" ht="12.75">
      <c r="B11914" s="4"/>
      <c r="D11914" s="67"/>
      <c r="G11914" s="68"/>
      <c r="K11914" s="68"/>
    </row>
    <row r="11915" spans="2:11" ht="12.75">
      <c r="B11915" s="4"/>
      <c r="D11915" s="67"/>
      <c r="G11915" s="68"/>
      <c r="K11915" s="68"/>
    </row>
    <row r="11916" spans="2:11" ht="12.75">
      <c r="B11916" s="4"/>
      <c r="D11916" s="67"/>
      <c r="G11916" s="68"/>
      <c r="K11916" s="68"/>
    </row>
    <row r="11917" spans="2:11" ht="12.75">
      <c r="B11917" s="4"/>
      <c r="D11917" s="67"/>
      <c r="G11917" s="68"/>
      <c r="K11917" s="68"/>
    </row>
    <row r="11918" spans="2:11" ht="12.75">
      <c r="B11918" s="4"/>
      <c r="D11918" s="67"/>
      <c r="G11918" s="68"/>
      <c r="K11918" s="68"/>
    </row>
    <row r="11919" spans="2:11" ht="12.75">
      <c r="B11919" s="4"/>
      <c r="D11919" s="67"/>
      <c r="G11919" s="68"/>
      <c r="K11919" s="68"/>
    </row>
    <row r="11920" spans="2:11" ht="12.75">
      <c r="B11920" s="4"/>
      <c r="D11920" s="67"/>
      <c r="G11920" s="68"/>
      <c r="K11920" s="68"/>
    </row>
    <row r="11921" spans="2:11" ht="12.75">
      <c r="B11921" s="4"/>
      <c r="D11921" s="67"/>
      <c r="G11921" s="68"/>
      <c r="K11921" s="68"/>
    </row>
    <row r="11922" spans="2:11" ht="12.75">
      <c r="B11922" s="4"/>
      <c r="D11922" s="67"/>
      <c r="G11922" s="68"/>
      <c r="K11922" s="68"/>
    </row>
    <row r="11923" spans="2:11" ht="12.75">
      <c r="B11923" s="4"/>
      <c r="D11923" s="67"/>
      <c r="G11923" s="68"/>
      <c r="K11923" s="68"/>
    </row>
    <row r="11924" spans="2:11" ht="12.75">
      <c r="B11924" s="4"/>
      <c r="D11924" s="67"/>
      <c r="G11924" s="68"/>
      <c r="K11924" s="68"/>
    </row>
    <row r="11925" spans="2:11" ht="12.75">
      <c r="B11925" s="4"/>
      <c r="D11925" s="67"/>
      <c r="G11925" s="68"/>
      <c r="K11925" s="68"/>
    </row>
    <row r="11926" spans="2:11" ht="12.75">
      <c r="B11926" s="4"/>
      <c r="D11926" s="67"/>
      <c r="G11926" s="68"/>
      <c r="K11926" s="68"/>
    </row>
    <row r="11927" spans="2:11" ht="12.75">
      <c r="B11927" s="4"/>
      <c r="D11927" s="67"/>
      <c r="G11927" s="68"/>
      <c r="K11927" s="68"/>
    </row>
    <row r="11928" spans="2:11" ht="12.75">
      <c r="B11928" s="4"/>
      <c r="D11928" s="67"/>
      <c r="G11928" s="68"/>
      <c r="K11928" s="68"/>
    </row>
    <row r="11929" spans="2:11" ht="12.75">
      <c r="B11929" s="4"/>
      <c r="D11929" s="67"/>
      <c r="G11929" s="68"/>
      <c r="K11929" s="68"/>
    </row>
    <row r="11930" spans="2:11" ht="12.75">
      <c r="B11930" s="4"/>
      <c r="D11930" s="67"/>
      <c r="G11930" s="68"/>
      <c r="K11930" s="68"/>
    </row>
    <row r="11931" spans="2:11" ht="12.75">
      <c r="B11931" s="4"/>
      <c r="D11931" s="67"/>
      <c r="G11931" s="68"/>
      <c r="K11931" s="68"/>
    </row>
    <row r="11932" spans="2:11" ht="12.75">
      <c r="B11932" s="4"/>
      <c r="D11932" s="67"/>
      <c r="G11932" s="68"/>
      <c r="K11932" s="68"/>
    </row>
    <row r="11933" spans="2:11" ht="12.75">
      <c r="B11933" s="4"/>
      <c r="D11933" s="67"/>
      <c r="G11933" s="68"/>
      <c r="K11933" s="68"/>
    </row>
    <row r="11934" spans="2:11" ht="12.75">
      <c r="B11934" s="4"/>
      <c r="D11934" s="67"/>
      <c r="G11934" s="68"/>
      <c r="K11934" s="68"/>
    </row>
    <row r="11935" spans="2:11" ht="12.75">
      <c r="B11935" s="4"/>
      <c r="D11935" s="67"/>
      <c r="G11935" s="68"/>
      <c r="K11935" s="68"/>
    </row>
    <row r="11936" spans="2:11" ht="12.75">
      <c r="B11936" s="4"/>
      <c r="D11936" s="67"/>
      <c r="G11936" s="68"/>
      <c r="K11936" s="68"/>
    </row>
    <row r="11937" spans="2:11" ht="12.75">
      <c r="B11937" s="4"/>
      <c r="D11937" s="67"/>
      <c r="G11937" s="68"/>
      <c r="K11937" s="68"/>
    </row>
    <row r="11938" spans="2:11" ht="12.75">
      <c r="B11938" s="4"/>
      <c r="D11938" s="67"/>
      <c r="G11938" s="68"/>
      <c r="K11938" s="68"/>
    </row>
    <row r="11939" spans="2:11" ht="12.75">
      <c r="B11939" s="4"/>
      <c r="D11939" s="67"/>
      <c r="G11939" s="68"/>
      <c r="K11939" s="68"/>
    </row>
    <row r="11940" spans="2:11" ht="12.75">
      <c r="B11940" s="4"/>
      <c r="D11940" s="67"/>
      <c r="G11940" s="68"/>
      <c r="K11940" s="68"/>
    </row>
    <row r="11941" spans="2:11" ht="12.75">
      <c r="B11941" s="4"/>
      <c r="D11941" s="67"/>
      <c r="G11941" s="68"/>
      <c r="K11941" s="68"/>
    </row>
    <row r="11942" spans="2:11" ht="12.75">
      <c r="B11942" s="4"/>
      <c r="D11942" s="67"/>
      <c r="G11942" s="68"/>
      <c r="K11942" s="68"/>
    </row>
    <row r="11943" spans="2:11" ht="12.75">
      <c r="B11943" s="4"/>
      <c r="D11943" s="67"/>
      <c r="G11943" s="68"/>
      <c r="K11943" s="68"/>
    </row>
    <row r="11944" spans="2:11" ht="12.75">
      <c r="B11944" s="4"/>
      <c r="D11944" s="67"/>
      <c r="G11944" s="68"/>
      <c r="K11944" s="68"/>
    </row>
    <row r="11945" spans="2:11" ht="12.75">
      <c r="B11945" s="4"/>
      <c r="D11945" s="67"/>
      <c r="G11945" s="68"/>
      <c r="K11945" s="68"/>
    </row>
    <row r="11946" spans="2:11" ht="12.75">
      <c r="B11946" s="4"/>
      <c r="D11946" s="67"/>
      <c r="G11946" s="68"/>
      <c r="K11946" s="68"/>
    </row>
    <row r="11947" spans="2:11" ht="12.75">
      <c r="B11947" s="4"/>
      <c r="D11947" s="67"/>
      <c r="G11947" s="68"/>
      <c r="K11947" s="68"/>
    </row>
    <row r="11948" spans="2:11" ht="12.75">
      <c r="B11948" s="4"/>
      <c r="D11948" s="67"/>
      <c r="G11948" s="68"/>
      <c r="K11948" s="68"/>
    </row>
    <row r="11949" spans="2:11" ht="12.75">
      <c r="B11949" s="4"/>
      <c r="D11949" s="67"/>
      <c r="G11949" s="68"/>
      <c r="K11949" s="68"/>
    </row>
    <row r="11950" spans="2:11" ht="12.75">
      <c r="B11950" s="4"/>
      <c r="D11950" s="67"/>
      <c r="G11950" s="68"/>
      <c r="K11950" s="68"/>
    </row>
    <row r="11951" spans="2:11" ht="12.75">
      <c r="B11951" s="4"/>
      <c r="D11951" s="67"/>
      <c r="G11951" s="68"/>
      <c r="K11951" s="68"/>
    </row>
    <row r="11952" spans="2:11" ht="12.75">
      <c r="B11952" s="4"/>
      <c r="D11952" s="67"/>
      <c r="G11952" s="68"/>
      <c r="K11952" s="68"/>
    </row>
    <row r="11953" spans="2:11" ht="12.75">
      <c r="B11953" s="4"/>
      <c r="D11953" s="67"/>
      <c r="G11953" s="68"/>
      <c r="K11953" s="68"/>
    </row>
    <row r="11954" spans="2:11" ht="12.75">
      <c r="B11954" s="4"/>
      <c r="D11954" s="67"/>
      <c r="G11954" s="68"/>
      <c r="K11954" s="68"/>
    </row>
    <row r="11955" spans="2:11" ht="12.75">
      <c r="B11955" s="4"/>
      <c r="D11955" s="67"/>
      <c r="G11955" s="68"/>
      <c r="K11955" s="68"/>
    </row>
    <row r="11956" spans="2:11" ht="12.75">
      <c r="B11956" s="4"/>
      <c r="D11956" s="67"/>
      <c r="G11956" s="68"/>
      <c r="K11956" s="68"/>
    </row>
    <row r="11957" spans="2:11" ht="12.75">
      <c r="B11957" s="4"/>
      <c r="D11957" s="67"/>
      <c r="G11957" s="68"/>
      <c r="K11957" s="68"/>
    </row>
    <row r="11958" spans="2:11" ht="12.75">
      <c r="B11958" s="4"/>
      <c r="D11958" s="67"/>
      <c r="G11958" s="68"/>
      <c r="K11958" s="68"/>
    </row>
    <row r="11959" spans="2:11" ht="12.75">
      <c r="B11959" s="4"/>
      <c r="D11959" s="67"/>
      <c r="G11959" s="68"/>
      <c r="K11959" s="68"/>
    </row>
    <row r="11960" spans="2:11" ht="12.75">
      <c r="B11960" s="4"/>
      <c r="D11960" s="67"/>
      <c r="G11960" s="68"/>
      <c r="K11960" s="68"/>
    </row>
    <row r="11961" spans="2:11" ht="12.75">
      <c r="B11961" s="4"/>
      <c r="D11961" s="67"/>
      <c r="G11961" s="68"/>
      <c r="K11961" s="68"/>
    </row>
    <row r="11962" spans="2:11" ht="12.75">
      <c r="B11962" s="4"/>
      <c r="D11962" s="67"/>
      <c r="G11962" s="68"/>
      <c r="K11962" s="68"/>
    </row>
    <row r="11963" spans="2:11" ht="12.75">
      <c r="B11963" s="4"/>
      <c r="D11963" s="67"/>
      <c r="G11963" s="68"/>
      <c r="K11963" s="68"/>
    </row>
    <row r="11964" spans="2:11" ht="12.75">
      <c r="B11964" s="4"/>
      <c r="D11964" s="67"/>
      <c r="G11964" s="68"/>
      <c r="K11964" s="68"/>
    </row>
    <row r="11965" spans="2:11" ht="12.75">
      <c r="B11965" s="4"/>
      <c r="D11965" s="67"/>
      <c r="G11965" s="68"/>
      <c r="K11965" s="68"/>
    </row>
    <row r="11966" spans="2:11" ht="12.75">
      <c r="B11966" s="4"/>
      <c r="D11966" s="67"/>
      <c r="G11966" s="68"/>
      <c r="K11966" s="68"/>
    </row>
    <row r="11967" spans="2:11" ht="12.75">
      <c r="B11967" s="4"/>
      <c r="D11967" s="67"/>
      <c r="G11967" s="68"/>
      <c r="K11967" s="68"/>
    </row>
    <row r="11968" spans="2:11" ht="12.75">
      <c r="B11968" s="4"/>
      <c r="D11968" s="67"/>
      <c r="G11968" s="68"/>
      <c r="K11968" s="68"/>
    </row>
    <row r="11969" spans="2:11" ht="12.75">
      <c r="B11969" s="4"/>
      <c r="D11969" s="67"/>
      <c r="G11969" s="68"/>
      <c r="K11969" s="68"/>
    </row>
    <row r="11970" spans="2:11" ht="12.75">
      <c r="B11970" s="4"/>
      <c r="D11970" s="67"/>
      <c r="G11970" s="68"/>
      <c r="K11970" s="68"/>
    </row>
    <row r="11971" spans="2:11" ht="12.75">
      <c r="B11971" s="4"/>
      <c r="D11971" s="67"/>
      <c r="G11971" s="68"/>
      <c r="K11971" s="68"/>
    </row>
    <row r="11972" spans="2:11" ht="12.75">
      <c r="B11972" s="4"/>
      <c r="D11972" s="67"/>
      <c r="G11972" s="68"/>
      <c r="K11972" s="68"/>
    </row>
    <row r="11973" spans="2:11" ht="12.75">
      <c r="B11973" s="4"/>
      <c r="D11973" s="67"/>
      <c r="G11973" s="68"/>
      <c r="K11973" s="68"/>
    </row>
    <row r="11974" spans="2:11" ht="12.75">
      <c r="B11974" s="4"/>
      <c r="D11974" s="67"/>
      <c r="G11974" s="68"/>
      <c r="K11974" s="68"/>
    </row>
    <row r="11975" spans="2:11" ht="12.75">
      <c r="B11975" s="4"/>
      <c r="D11975" s="67"/>
      <c r="G11975" s="68"/>
      <c r="K11975" s="68"/>
    </row>
    <row r="11976" spans="2:11" ht="12.75">
      <c r="B11976" s="4"/>
      <c r="D11976" s="67"/>
      <c r="G11976" s="68"/>
      <c r="K11976" s="68"/>
    </row>
    <row r="11977" spans="2:11" ht="12.75">
      <c r="B11977" s="4"/>
      <c r="D11977" s="67"/>
      <c r="G11977" s="68"/>
      <c r="K11977" s="68"/>
    </row>
    <row r="11978" spans="2:11" ht="12.75">
      <c r="B11978" s="4"/>
      <c r="D11978" s="67"/>
      <c r="G11978" s="68"/>
      <c r="K11978" s="68"/>
    </row>
    <row r="11979" spans="2:11" ht="12.75">
      <c r="B11979" s="4"/>
      <c r="D11979" s="67"/>
      <c r="G11979" s="68"/>
      <c r="K11979" s="68"/>
    </row>
    <row r="11980" spans="2:11" ht="12.75">
      <c r="B11980" s="4"/>
      <c r="D11980" s="67"/>
      <c r="G11980" s="68"/>
      <c r="K11980" s="68"/>
    </row>
    <row r="11981" spans="2:11" ht="12.75">
      <c r="B11981" s="4"/>
      <c r="D11981" s="67"/>
      <c r="G11981" s="68"/>
      <c r="K11981" s="68"/>
    </row>
    <row r="11982" spans="2:11" ht="12.75">
      <c r="B11982" s="4"/>
      <c r="D11982" s="67"/>
      <c r="G11982" s="68"/>
      <c r="K11982" s="68"/>
    </row>
    <row r="11983" spans="2:11" ht="12.75">
      <c r="B11983" s="4"/>
      <c r="D11983" s="67"/>
      <c r="G11983" s="68"/>
      <c r="K11983" s="68"/>
    </row>
    <row r="11984" spans="2:11" ht="12.75">
      <c r="B11984" s="4"/>
      <c r="D11984" s="67"/>
      <c r="G11984" s="68"/>
      <c r="K11984" s="68"/>
    </row>
    <row r="11985" spans="2:11" ht="12.75">
      <c r="B11985" s="4"/>
      <c r="D11985" s="67"/>
      <c r="G11985" s="68"/>
      <c r="K11985" s="68"/>
    </row>
    <row r="11986" spans="2:11" ht="12.75">
      <c r="B11986" s="4"/>
      <c r="D11986" s="67"/>
      <c r="G11986" s="68"/>
      <c r="K11986" s="68"/>
    </row>
    <row r="11987" spans="2:11" ht="12.75">
      <c r="B11987" s="4"/>
      <c r="D11987" s="67"/>
      <c r="G11987" s="68"/>
      <c r="K11987" s="68"/>
    </row>
    <row r="11988" spans="2:11" ht="12.75">
      <c r="B11988" s="4"/>
      <c r="D11988" s="67"/>
      <c r="G11988" s="68"/>
      <c r="K11988" s="68"/>
    </row>
    <row r="11989" spans="2:11" ht="12.75">
      <c r="B11989" s="4"/>
      <c r="D11989" s="67"/>
      <c r="G11989" s="68"/>
      <c r="K11989" s="68"/>
    </row>
    <row r="11990" spans="2:11" ht="12.75">
      <c r="B11990" s="4"/>
      <c r="D11990" s="67"/>
      <c r="G11990" s="68"/>
      <c r="K11990" s="68"/>
    </row>
    <row r="11991" spans="2:11" ht="12.75">
      <c r="B11991" s="4"/>
      <c r="D11991" s="67"/>
      <c r="G11991" s="68"/>
      <c r="K11991" s="68"/>
    </row>
    <row r="11992" spans="2:11" ht="12.75">
      <c r="B11992" s="4"/>
      <c r="D11992" s="67"/>
      <c r="G11992" s="68"/>
      <c r="K11992" s="68"/>
    </row>
    <row r="11993" spans="2:11" ht="12.75">
      <c r="B11993" s="4"/>
      <c r="D11993" s="67"/>
      <c r="G11993" s="68"/>
      <c r="K11993" s="68"/>
    </row>
    <row r="11994" spans="2:11" ht="12.75">
      <c r="B11994" s="4"/>
      <c r="D11994" s="67"/>
      <c r="G11994" s="68"/>
      <c r="K11994" s="68"/>
    </row>
    <row r="11995" spans="2:11" ht="12.75">
      <c r="B11995" s="4"/>
      <c r="D11995" s="67"/>
      <c r="G11995" s="68"/>
      <c r="K11995" s="68"/>
    </row>
    <row r="11996" spans="2:11" ht="12.75">
      <c r="B11996" s="4"/>
      <c r="D11996" s="67"/>
      <c r="G11996" s="68"/>
      <c r="K11996" s="68"/>
    </row>
    <row r="11997" spans="2:11" ht="12.75">
      <c r="B11997" s="4"/>
      <c r="D11997" s="67"/>
      <c r="G11997" s="68"/>
      <c r="K11997" s="68"/>
    </row>
    <row r="11998" spans="2:11" ht="12.75">
      <c r="B11998" s="4"/>
      <c r="D11998" s="67"/>
      <c r="G11998" s="68"/>
      <c r="K11998" s="68"/>
    </row>
    <row r="11999" spans="2:11" ht="12.75">
      <c r="B11999" s="4"/>
      <c r="D11999" s="67"/>
      <c r="G11999" s="68"/>
      <c r="K11999" s="68"/>
    </row>
    <row r="12000" spans="2:11" ht="12.75">
      <c r="B12000" s="4"/>
      <c r="D12000" s="67"/>
      <c r="G12000" s="68"/>
      <c r="K12000" s="68"/>
    </row>
    <row r="12001" spans="2:11" ht="12.75">
      <c r="B12001" s="4"/>
      <c r="D12001" s="67"/>
      <c r="G12001" s="68"/>
      <c r="K12001" s="68"/>
    </row>
    <row r="12002" spans="2:11" ht="12.75">
      <c r="B12002" s="4"/>
      <c r="D12002" s="67"/>
      <c r="G12002" s="68"/>
      <c r="K12002" s="68"/>
    </row>
    <row r="12003" spans="2:11" ht="12.75">
      <c r="B12003" s="4"/>
      <c r="D12003" s="67"/>
      <c r="G12003" s="68"/>
      <c r="K12003" s="68"/>
    </row>
    <row r="12004" spans="2:11" ht="12.75">
      <c r="B12004" s="4"/>
      <c r="D12004" s="67"/>
      <c r="G12004" s="68"/>
      <c r="K12004" s="68"/>
    </row>
    <row r="12005" spans="2:11" ht="12.75">
      <c r="B12005" s="4"/>
      <c r="D12005" s="67"/>
      <c r="G12005" s="68"/>
      <c r="K12005" s="68"/>
    </row>
    <row r="12006" spans="2:11" ht="12.75">
      <c r="B12006" s="4"/>
      <c r="D12006" s="67"/>
      <c r="G12006" s="68"/>
      <c r="K12006" s="68"/>
    </row>
    <row r="12007" spans="2:11" ht="12.75">
      <c r="B12007" s="4"/>
      <c r="D12007" s="67"/>
      <c r="G12007" s="68"/>
      <c r="K12007" s="68"/>
    </row>
    <row r="12008" spans="2:11" ht="12.75">
      <c r="B12008" s="4"/>
      <c r="D12008" s="67"/>
      <c r="G12008" s="68"/>
      <c r="K12008" s="68"/>
    </row>
    <row r="12009" spans="2:11" ht="12.75">
      <c r="B12009" s="4"/>
      <c r="D12009" s="67"/>
      <c r="G12009" s="68"/>
      <c r="K12009" s="68"/>
    </row>
    <row r="12010" spans="2:11" ht="12.75">
      <c r="B12010" s="4"/>
      <c r="D12010" s="67"/>
      <c r="G12010" s="68"/>
      <c r="K12010" s="68"/>
    </row>
    <row r="12011" spans="2:11" ht="12.75">
      <c r="B12011" s="4"/>
      <c r="D12011" s="67"/>
      <c r="G12011" s="68"/>
      <c r="K12011" s="68"/>
    </row>
    <row r="12012" spans="2:11" ht="12.75">
      <c r="B12012" s="4"/>
      <c r="D12012" s="67"/>
      <c r="G12012" s="68"/>
      <c r="K12012" s="68"/>
    </row>
    <row r="12013" spans="2:11" ht="12.75">
      <c r="B12013" s="4"/>
      <c r="D12013" s="67"/>
      <c r="G12013" s="68"/>
      <c r="K12013" s="68"/>
    </row>
    <row r="12014" spans="2:11" ht="12.75">
      <c r="B12014" s="4"/>
      <c r="D12014" s="67"/>
      <c r="G12014" s="68"/>
      <c r="K12014" s="68"/>
    </row>
    <row r="12015" spans="2:11" ht="12.75">
      <c r="B12015" s="4"/>
      <c r="D12015" s="67"/>
      <c r="G12015" s="68"/>
      <c r="K12015" s="68"/>
    </row>
    <row r="12016" spans="2:11" ht="12.75">
      <c r="B12016" s="4"/>
      <c r="D12016" s="67"/>
      <c r="G12016" s="68"/>
      <c r="K12016" s="68"/>
    </row>
    <row r="12017" spans="2:11" ht="12.75">
      <c r="B12017" s="4"/>
      <c r="D12017" s="67"/>
      <c r="G12017" s="68"/>
      <c r="K12017" s="68"/>
    </row>
    <row r="12018" spans="2:11" ht="12.75">
      <c r="B12018" s="4"/>
      <c r="D12018" s="67"/>
      <c r="G12018" s="68"/>
      <c r="K12018" s="68"/>
    </row>
    <row r="12019" spans="2:11" ht="12.75">
      <c r="B12019" s="4"/>
      <c r="D12019" s="67"/>
      <c r="G12019" s="68"/>
      <c r="K12019" s="68"/>
    </row>
    <row r="12020" spans="2:11" ht="12.75">
      <c r="B12020" s="4"/>
      <c r="D12020" s="67"/>
      <c r="G12020" s="68"/>
      <c r="K12020" s="68"/>
    </row>
    <row r="12021" spans="2:11" ht="12.75">
      <c r="B12021" s="4"/>
      <c r="D12021" s="67"/>
      <c r="G12021" s="68"/>
      <c r="K12021" s="68"/>
    </row>
    <row r="12022" spans="2:11" ht="12.75">
      <c r="B12022" s="4"/>
      <c r="D12022" s="67"/>
      <c r="G12022" s="68"/>
      <c r="K12022" s="68"/>
    </row>
    <row r="12023" spans="2:11" ht="12.75">
      <c r="B12023" s="4"/>
      <c r="D12023" s="67"/>
      <c r="G12023" s="68"/>
      <c r="K12023" s="68"/>
    </row>
    <row r="12024" spans="2:11" ht="12.75">
      <c r="B12024" s="4"/>
      <c r="D12024" s="67"/>
      <c r="G12024" s="68"/>
      <c r="K12024" s="68"/>
    </row>
    <row r="12025" spans="2:11" ht="12.75">
      <c r="B12025" s="4"/>
      <c r="D12025" s="67"/>
      <c r="G12025" s="68"/>
      <c r="K12025" s="68"/>
    </row>
    <row r="12026" spans="2:11" ht="12.75">
      <c r="B12026" s="4"/>
      <c r="D12026" s="67"/>
      <c r="G12026" s="68"/>
      <c r="K12026" s="68"/>
    </row>
    <row r="12027" spans="2:11" ht="12.75">
      <c r="B12027" s="4"/>
      <c r="D12027" s="67"/>
      <c r="G12027" s="68"/>
      <c r="K12027" s="68"/>
    </row>
    <row r="12028" spans="2:11" ht="12.75">
      <c r="B12028" s="4"/>
      <c r="D12028" s="67"/>
      <c r="G12028" s="68"/>
      <c r="K12028" s="68"/>
    </row>
    <row r="12029" spans="2:11" ht="12.75">
      <c r="B12029" s="4"/>
      <c r="D12029" s="67"/>
      <c r="G12029" s="68"/>
      <c r="K12029" s="68"/>
    </row>
    <row r="12030" spans="2:11" ht="12.75">
      <c r="B12030" s="4"/>
      <c r="D12030" s="67"/>
      <c r="G12030" s="68"/>
      <c r="K12030" s="68"/>
    </row>
    <row r="12031" spans="2:11" ht="12.75">
      <c r="B12031" s="4"/>
      <c r="D12031" s="67"/>
      <c r="G12031" s="68"/>
      <c r="K12031" s="68"/>
    </row>
    <row r="12032" spans="2:11" ht="12.75">
      <c r="B12032" s="4"/>
      <c r="D12032" s="67"/>
      <c r="G12032" s="68"/>
      <c r="K12032" s="68"/>
    </row>
    <row r="12033" spans="2:11" ht="12.75">
      <c r="B12033" s="4"/>
      <c r="D12033" s="67"/>
      <c r="G12033" s="68"/>
      <c r="K12033" s="68"/>
    </row>
    <row r="12034" spans="2:11" ht="12.75">
      <c r="B12034" s="4"/>
      <c r="D12034" s="67"/>
      <c r="G12034" s="68"/>
      <c r="K12034" s="68"/>
    </row>
    <row r="12035" spans="2:11" ht="12.75">
      <c r="B12035" s="4"/>
      <c r="D12035" s="67"/>
      <c r="G12035" s="68"/>
      <c r="K12035" s="68"/>
    </row>
    <row r="12036" spans="2:11" ht="12.75">
      <c r="B12036" s="4"/>
      <c r="D12036" s="67"/>
      <c r="G12036" s="68"/>
      <c r="K12036" s="68"/>
    </row>
    <row r="12037" spans="2:11" ht="12.75">
      <c r="B12037" s="4"/>
      <c r="D12037" s="67"/>
      <c r="G12037" s="68"/>
      <c r="K12037" s="68"/>
    </row>
    <row r="12038" spans="2:11" ht="12.75">
      <c r="B12038" s="4"/>
      <c r="D12038" s="67"/>
      <c r="G12038" s="68"/>
      <c r="K12038" s="68"/>
    </row>
    <row r="12039" spans="2:11" ht="12.75">
      <c r="B12039" s="4"/>
      <c r="D12039" s="67"/>
      <c r="G12039" s="68"/>
      <c r="K12039" s="68"/>
    </row>
    <row r="12040" spans="2:11" ht="12.75">
      <c r="B12040" s="4"/>
      <c r="D12040" s="67"/>
      <c r="G12040" s="68"/>
      <c r="K12040" s="68"/>
    </row>
    <row r="12041" spans="2:11" ht="12.75">
      <c r="B12041" s="4"/>
      <c r="D12041" s="67"/>
      <c r="G12041" s="68"/>
      <c r="K12041" s="68"/>
    </row>
    <row r="12042" spans="2:11" ht="12.75">
      <c r="B12042" s="4"/>
      <c r="D12042" s="67"/>
      <c r="G12042" s="68"/>
      <c r="K12042" s="68"/>
    </row>
    <row r="12043" spans="2:11" ht="12.75">
      <c r="B12043" s="4"/>
      <c r="D12043" s="67"/>
      <c r="G12043" s="68"/>
      <c r="K12043" s="68"/>
    </row>
    <row r="12044" spans="2:11" ht="12.75">
      <c r="B12044" s="4"/>
      <c r="D12044" s="67"/>
      <c r="G12044" s="68"/>
      <c r="K12044" s="68"/>
    </row>
    <row r="12045" spans="2:11" ht="12.75">
      <c r="B12045" s="4"/>
      <c r="D12045" s="67"/>
      <c r="G12045" s="68"/>
      <c r="K12045" s="68"/>
    </row>
    <row r="12046" spans="2:11" ht="12.75">
      <c r="B12046" s="4"/>
      <c r="D12046" s="67"/>
      <c r="G12046" s="68"/>
      <c r="K12046" s="68"/>
    </row>
    <row r="12047" spans="2:11" ht="12.75">
      <c r="B12047" s="4"/>
      <c r="D12047" s="67"/>
      <c r="G12047" s="68"/>
      <c r="K12047" s="68"/>
    </row>
    <row r="12048" spans="2:11" ht="12.75">
      <c r="B12048" s="4"/>
      <c r="D12048" s="67"/>
      <c r="G12048" s="68"/>
      <c r="K12048" s="68"/>
    </row>
    <row r="12049" spans="2:11" ht="12.75">
      <c r="B12049" s="4"/>
      <c r="D12049" s="67"/>
      <c r="G12049" s="68"/>
      <c r="K12049" s="68"/>
    </row>
    <row r="12050" spans="2:11" ht="12.75">
      <c r="B12050" s="4"/>
      <c r="D12050" s="67"/>
      <c r="G12050" s="68"/>
      <c r="K12050" s="68"/>
    </row>
    <row r="12051" spans="2:11" ht="12.75">
      <c r="B12051" s="4"/>
      <c r="D12051" s="67"/>
      <c r="G12051" s="68"/>
      <c r="K12051" s="68"/>
    </row>
    <row r="12052" spans="2:11" ht="12.75">
      <c r="B12052" s="4"/>
      <c r="D12052" s="67"/>
      <c r="G12052" s="68"/>
      <c r="K12052" s="68"/>
    </row>
    <row r="12053" spans="2:11" ht="12.75">
      <c r="B12053" s="4"/>
      <c r="D12053" s="67"/>
      <c r="G12053" s="68"/>
      <c r="K12053" s="68"/>
    </row>
    <row r="12054" spans="2:11" ht="12.75">
      <c r="B12054" s="4"/>
      <c r="D12054" s="67"/>
      <c r="G12054" s="68"/>
      <c r="K12054" s="68"/>
    </row>
    <row r="12055" spans="2:11" ht="12.75">
      <c r="B12055" s="4"/>
      <c r="D12055" s="67"/>
      <c r="G12055" s="68"/>
      <c r="K12055" s="68"/>
    </row>
    <row r="12056" spans="2:11" ht="12.75">
      <c r="B12056" s="4"/>
      <c r="D12056" s="67"/>
      <c r="G12056" s="68"/>
      <c r="K12056" s="68"/>
    </row>
    <row r="12057" spans="2:11" ht="12.75">
      <c r="B12057" s="4"/>
      <c r="D12057" s="67"/>
      <c r="G12057" s="68"/>
      <c r="K12057" s="68"/>
    </row>
    <row r="12058" spans="2:11" ht="12.75">
      <c r="B12058" s="4"/>
      <c r="D12058" s="67"/>
      <c r="G12058" s="68"/>
      <c r="K12058" s="68"/>
    </row>
    <row r="12059" spans="2:11" ht="12.75">
      <c r="B12059" s="4"/>
      <c r="D12059" s="67"/>
      <c r="G12059" s="68"/>
      <c r="K12059" s="68"/>
    </row>
    <row r="12060" spans="2:11" ht="12.75">
      <c r="B12060" s="4"/>
      <c r="D12060" s="67"/>
      <c r="G12060" s="68"/>
      <c r="K12060" s="68"/>
    </row>
    <row r="12061" spans="2:11" ht="12.75">
      <c r="B12061" s="4"/>
      <c r="D12061" s="67"/>
      <c r="G12061" s="68"/>
      <c r="K12061" s="68"/>
    </row>
    <row r="12062" spans="2:11" ht="12.75">
      <c r="B12062" s="4"/>
      <c r="D12062" s="67"/>
      <c r="G12062" s="68"/>
      <c r="K12062" s="68"/>
    </row>
    <row r="12063" spans="2:11" ht="12.75">
      <c r="B12063" s="4"/>
      <c r="D12063" s="67"/>
      <c r="G12063" s="68"/>
      <c r="K12063" s="68"/>
    </row>
    <row r="12064" spans="2:11" ht="12.75">
      <c r="B12064" s="4"/>
      <c r="D12064" s="67"/>
      <c r="G12064" s="68"/>
      <c r="K12064" s="68"/>
    </row>
    <row r="12065" spans="2:11" ht="12.75">
      <c r="B12065" s="4"/>
      <c r="D12065" s="67"/>
      <c r="G12065" s="68"/>
      <c r="K12065" s="68"/>
    </row>
    <row r="12066" spans="2:11" ht="12.75">
      <c r="B12066" s="4"/>
      <c r="D12066" s="67"/>
      <c r="G12066" s="68"/>
      <c r="K12066" s="68"/>
    </row>
    <row r="12067" spans="2:11" ht="12.75">
      <c r="B12067" s="4"/>
      <c r="D12067" s="67"/>
      <c r="G12067" s="68"/>
      <c r="K12067" s="68"/>
    </row>
    <row r="12068" spans="2:11" ht="12.75">
      <c r="B12068" s="4"/>
      <c r="D12068" s="67"/>
      <c r="G12068" s="68"/>
      <c r="K12068" s="68"/>
    </row>
    <row r="12069" spans="2:11" ht="12.75">
      <c r="B12069" s="4"/>
      <c r="D12069" s="67"/>
      <c r="G12069" s="68"/>
      <c r="K12069" s="68"/>
    </row>
    <row r="12070" spans="2:11" ht="12.75">
      <c r="B12070" s="4"/>
      <c r="D12070" s="67"/>
      <c r="G12070" s="68"/>
      <c r="K12070" s="68"/>
    </row>
    <row r="12071" spans="2:11" ht="12.75">
      <c r="B12071" s="4"/>
      <c r="D12071" s="67"/>
      <c r="G12071" s="68"/>
      <c r="K12071" s="68"/>
    </row>
    <row r="12072" spans="2:11" ht="12.75">
      <c r="B12072" s="4"/>
      <c r="D12072" s="67"/>
      <c r="G12072" s="68"/>
      <c r="K12072" s="68"/>
    </row>
    <row r="12073" spans="2:11" ht="12.75">
      <c r="B12073" s="4"/>
      <c r="D12073" s="67"/>
      <c r="G12073" s="68"/>
      <c r="K12073" s="68"/>
    </row>
    <row r="12074" spans="2:11" ht="12.75">
      <c r="B12074" s="4"/>
      <c r="D12074" s="67"/>
      <c r="G12074" s="68"/>
      <c r="K12074" s="68"/>
    </row>
    <row r="12075" spans="2:11" ht="12.75">
      <c r="B12075" s="4"/>
      <c r="D12075" s="67"/>
      <c r="G12075" s="68"/>
      <c r="K12075" s="68"/>
    </row>
    <row r="12076" spans="2:11" ht="12.75">
      <c r="B12076" s="4"/>
      <c r="D12076" s="67"/>
      <c r="G12076" s="68"/>
      <c r="K12076" s="68"/>
    </row>
    <row r="12077" spans="2:11" ht="12.75">
      <c r="B12077" s="4"/>
      <c r="D12077" s="67"/>
      <c r="G12077" s="68"/>
      <c r="K12077" s="68"/>
    </row>
    <row r="12078" spans="2:11" ht="12.75">
      <c r="B12078" s="4"/>
      <c r="D12078" s="67"/>
      <c r="G12078" s="68"/>
      <c r="K12078" s="68"/>
    </row>
    <row r="12079" spans="2:11" ht="12.75">
      <c r="B12079" s="4"/>
      <c r="D12079" s="67"/>
      <c r="G12079" s="68"/>
      <c r="K12079" s="68"/>
    </row>
    <row r="12080" spans="2:11" ht="12.75">
      <c r="B12080" s="4"/>
      <c r="D12080" s="67"/>
      <c r="G12080" s="68"/>
      <c r="K12080" s="68"/>
    </row>
    <row r="12081" spans="2:11" ht="12.75">
      <c r="B12081" s="4"/>
      <c r="D12081" s="67"/>
      <c r="G12081" s="68"/>
      <c r="K12081" s="68"/>
    </row>
    <row r="12082" spans="2:11" ht="12.75">
      <c r="B12082" s="4"/>
      <c r="D12082" s="67"/>
      <c r="G12082" s="68"/>
      <c r="K12082" s="68"/>
    </row>
    <row r="12083" spans="2:11" ht="12.75">
      <c r="B12083" s="4"/>
      <c r="D12083" s="67"/>
      <c r="G12083" s="68"/>
      <c r="K12083" s="68"/>
    </row>
    <row r="12084" spans="2:11" ht="12.75">
      <c r="B12084" s="4"/>
      <c r="D12084" s="67"/>
      <c r="G12084" s="68"/>
      <c r="K12084" s="68"/>
    </row>
    <row r="12085" spans="2:11" ht="12.75">
      <c r="B12085" s="4"/>
      <c r="D12085" s="67"/>
      <c r="G12085" s="68"/>
      <c r="K12085" s="68"/>
    </row>
    <row r="12086" spans="2:11" ht="12.75">
      <c r="B12086" s="4"/>
      <c r="D12086" s="67"/>
      <c r="G12086" s="68"/>
      <c r="K12086" s="68"/>
    </row>
    <row r="12087" spans="2:11" ht="12.75">
      <c r="B12087" s="4"/>
      <c r="D12087" s="67"/>
      <c r="G12087" s="68"/>
      <c r="K12087" s="68"/>
    </row>
    <row r="12088" spans="2:11" ht="12.75">
      <c r="B12088" s="4"/>
      <c r="D12088" s="67"/>
      <c r="G12088" s="68"/>
      <c r="K12088" s="68"/>
    </row>
    <row r="12089" spans="2:11" ht="12.75">
      <c r="B12089" s="4"/>
      <c r="D12089" s="67"/>
      <c r="G12089" s="68"/>
      <c r="K12089" s="68"/>
    </row>
    <row r="12090" spans="2:11" ht="12.75">
      <c r="B12090" s="4"/>
      <c r="D12090" s="67"/>
      <c r="G12090" s="68"/>
      <c r="K12090" s="68"/>
    </row>
    <row r="12091" spans="2:11" ht="12.75">
      <c r="B12091" s="4"/>
      <c r="D12091" s="67"/>
      <c r="G12091" s="68"/>
      <c r="K12091" s="68"/>
    </row>
    <row r="12092" spans="2:11" ht="12.75">
      <c r="B12092" s="4"/>
      <c r="D12092" s="67"/>
      <c r="G12092" s="68"/>
      <c r="K12092" s="68"/>
    </row>
    <row r="12093" spans="2:11" ht="12.75">
      <c r="B12093" s="4"/>
      <c r="D12093" s="67"/>
      <c r="G12093" s="68"/>
      <c r="K12093" s="68"/>
    </row>
    <row r="12094" spans="2:11" ht="12.75">
      <c r="B12094" s="4"/>
      <c r="D12094" s="67"/>
      <c r="G12094" s="68"/>
      <c r="K12094" s="68"/>
    </row>
    <row r="12095" spans="2:11" ht="12.75">
      <c r="B12095" s="4"/>
      <c r="D12095" s="67"/>
      <c r="G12095" s="68"/>
      <c r="K12095" s="68"/>
    </row>
    <row r="12096" spans="2:11" ht="12.75">
      <c r="B12096" s="4"/>
      <c r="D12096" s="67"/>
      <c r="G12096" s="68"/>
      <c r="K12096" s="68"/>
    </row>
    <row r="12097" spans="2:11" ht="12.75">
      <c r="B12097" s="4"/>
      <c r="D12097" s="67"/>
      <c r="G12097" s="68"/>
      <c r="K12097" s="68"/>
    </row>
    <row r="12098" spans="2:11" ht="12.75">
      <c r="B12098" s="4"/>
      <c r="D12098" s="67"/>
      <c r="G12098" s="68"/>
      <c r="K12098" s="68"/>
    </row>
    <row r="12099" spans="2:11" ht="12.75">
      <c r="B12099" s="4"/>
      <c r="D12099" s="67"/>
      <c r="G12099" s="68"/>
      <c r="K12099" s="68"/>
    </row>
    <row r="12100" spans="2:11" ht="12.75">
      <c r="B12100" s="4"/>
      <c r="D12100" s="67"/>
      <c r="G12100" s="68"/>
      <c r="K12100" s="68"/>
    </row>
    <row r="12101" spans="2:11" ht="12.75">
      <c r="B12101" s="4"/>
      <c r="D12101" s="67"/>
      <c r="G12101" s="68"/>
      <c r="K12101" s="68"/>
    </row>
    <row r="12102" spans="2:11" ht="12.75">
      <c r="B12102" s="4"/>
      <c r="D12102" s="67"/>
      <c r="G12102" s="68"/>
      <c r="K12102" s="68"/>
    </row>
    <row r="12103" spans="2:11" ht="12.75">
      <c r="B12103" s="4"/>
      <c r="D12103" s="67"/>
      <c r="G12103" s="68"/>
      <c r="K12103" s="68"/>
    </row>
    <row r="12104" spans="2:11" ht="12.75">
      <c r="B12104" s="4"/>
      <c r="D12104" s="67"/>
      <c r="G12104" s="68"/>
      <c r="K12104" s="68"/>
    </row>
    <row r="12105" spans="2:11" ht="12.75">
      <c r="B12105" s="4"/>
      <c r="D12105" s="67"/>
      <c r="G12105" s="68"/>
      <c r="K12105" s="68"/>
    </row>
    <row r="12106" spans="2:11" ht="12.75">
      <c r="B12106" s="4"/>
      <c r="D12106" s="67"/>
      <c r="G12106" s="68"/>
      <c r="K12106" s="68"/>
    </row>
    <row r="12107" spans="2:11" ht="12.75">
      <c r="B12107" s="4"/>
      <c r="D12107" s="67"/>
      <c r="G12107" s="68"/>
      <c r="K12107" s="68"/>
    </row>
    <row r="12108" spans="2:11" ht="12.75">
      <c r="B12108" s="4"/>
      <c r="D12108" s="67"/>
      <c r="G12108" s="68"/>
      <c r="K12108" s="68"/>
    </row>
    <row r="12109" spans="2:11" ht="12.75">
      <c r="B12109" s="4"/>
      <c r="D12109" s="67"/>
      <c r="G12109" s="68"/>
      <c r="K12109" s="68"/>
    </row>
    <row r="12110" spans="2:11" ht="12.75">
      <c r="B12110" s="4"/>
      <c r="D12110" s="67"/>
      <c r="G12110" s="68"/>
      <c r="K12110" s="68"/>
    </row>
    <row r="12111" spans="2:11" ht="12.75">
      <c r="B12111" s="4"/>
      <c r="D12111" s="67"/>
      <c r="G12111" s="68"/>
      <c r="K12111" s="68"/>
    </row>
    <row r="12112" spans="2:11" ht="12.75">
      <c r="B12112" s="4"/>
      <c r="D12112" s="67"/>
      <c r="G12112" s="68"/>
      <c r="K12112" s="68"/>
    </row>
    <row r="12113" spans="2:11" ht="12.75">
      <c r="B12113" s="4"/>
      <c r="D12113" s="67"/>
      <c r="G12113" s="68"/>
      <c r="K12113" s="68"/>
    </row>
    <row r="12114" spans="2:11" ht="12.75">
      <c r="B12114" s="4"/>
      <c r="D12114" s="67"/>
      <c r="G12114" s="68"/>
      <c r="K12114" s="68"/>
    </row>
    <row r="12115" spans="2:11" ht="12.75">
      <c r="B12115" s="4"/>
      <c r="D12115" s="67"/>
      <c r="G12115" s="68"/>
      <c r="K12115" s="68"/>
    </row>
    <row r="12116" spans="2:11" ht="12.75">
      <c r="B12116" s="4"/>
      <c r="D12116" s="67"/>
      <c r="G12116" s="68"/>
      <c r="K12116" s="68"/>
    </row>
    <row r="12117" spans="2:11" ht="12.75">
      <c r="B12117" s="4"/>
      <c r="D12117" s="67"/>
      <c r="G12117" s="68"/>
      <c r="K12117" s="68"/>
    </row>
    <row r="12118" spans="2:11" ht="12.75">
      <c r="B12118" s="4"/>
      <c r="D12118" s="67"/>
      <c r="G12118" s="68"/>
      <c r="K12118" s="68"/>
    </row>
    <row r="12119" spans="2:11" ht="12.75">
      <c r="B12119" s="4"/>
      <c r="D12119" s="67"/>
      <c r="G12119" s="68"/>
      <c r="K12119" s="68"/>
    </row>
    <row r="12120" spans="2:11" ht="12.75">
      <c r="B12120" s="4"/>
      <c r="D12120" s="67"/>
      <c r="G12120" s="68"/>
      <c r="K12120" s="68"/>
    </row>
    <row r="12121" spans="2:11" ht="12.75">
      <c r="B12121" s="4"/>
      <c r="D12121" s="67"/>
      <c r="G12121" s="68"/>
      <c r="K12121" s="68"/>
    </row>
    <row r="12122" spans="2:11" ht="12.75">
      <c r="B12122" s="4"/>
      <c r="D12122" s="67"/>
      <c r="G12122" s="68"/>
      <c r="K12122" s="68"/>
    </row>
    <row r="12123" spans="2:11" ht="12.75">
      <c r="B12123" s="4"/>
      <c r="D12123" s="67"/>
      <c r="G12123" s="68"/>
      <c r="K12123" s="68"/>
    </row>
    <row r="12124" spans="2:11" ht="12.75">
      <c r="B12124" s="4"/>
      <c r="D12124" s="67"/>
      <c r="G12124" s="68"/>
      <c r="K12124" s="68"/>
    </row>
    <row r="12125" spans="2:11" ht="12.75">
      <c r="B12125" s="4"/>
      <c r="D12125" s="67"/>
      <c r="G12125" s="68"/>
      <c r="K12125" s="68"/>
    </row>
    <row r="12126" spans="2:11" ht="12.75">
      <c r="B12126" s="4"/>
      <c r="D12126" s="67"/>
      <c r="G12126" s="68"/>
      <c r="K12126" s="68"/>
    </row>
    <row r="12127" spans="2:11" ht="12.75">
      <c r="B12127" s="4"/>
      <c r="D12127" s="67"/>
      <c r="G12127" s="68"/>
      <c r="K12127" s="68"/>
    </row>
    <row r="12128" spans="2:11" ht="12.75">
      <c r="B12128" s="4"/>
      <c r="D12128" s="67"/>
      <c r="G12128" s="68"/>
      <c r="K12128" s="68"/>
    </row>
    <row r="12129" spans="2:11" ht="12.75">
      <c r="B12129" s="4"/>
      <c r="D12129" s="67"/>
      <c r="G12129" s="68"/>
      <c r="K12129" s="68"/>
    </row>
    <row r="12130" spans="2:11" ht="12.75">
      <c r="B12130" s="4"/>
      <c r="D12130" s="67"/>
      <c r="G12130" s="68"/>
      <c r="K12130" s="68"/>
    </row>
    <row r="12131" spans="2:11" ht="12.75">
      <c r="B12131" s="4"/>
      <c r="D12131" s="67"/>
      <c r="G12131" s="68"/>
      <c r="K12131" s="68"/>
    </row>
    <row r="12132" spans="2:11" ht="12.75">
      <c r="B12132" s="4"/>
      <c r="D12132" s="67"/>
      <c r="G12132" s="68"/>
      <c r="K12132" s="68"/>
    </row>
    <row r="12133" spans="2:11" ht="12.75">
      <c r="B12133" s="4"/>
      <c r="D12133" s="67"/>
      <c r="G12133" s="68"/>
      <c r="K12133" s="68"/>
    </row>
    <row r="12134" spans="2:11" ht="12.75">
      <c r="B12134" s="4"/>
      <c r="D12134" s="67"/>
      <c r="G12134" s="68"/>
      <c r="K12134" s="68"/>
    </row>
    <row r="12135" spans="2:11" ht="12.75">
      <c r="B12135" s="4"/>
      <c r="D12135" s="67"/>
      <c r="G12135" s="68"/>
      <c r="K12135" s="68"/>
    </row>
    <row r="12136" spans="2:11" ht="12.75">
      <c r="B12136" s="4"/>
      <c r="D12136" s="67"/>
      <c r="G12136" s="68"/>
      <c r="K12136" s="68"/>
    </row>
    <row r="12137" spans="2:11" ht="12.75">
      <c r="B12137" s="4"/>
      <c r="D12137" s="67"/>
      <c r="G12137" s="68"/>
      <c r="K12137" s="68"/>
    </row>
    <row r="12138" spans="2:11" ht="12.75">
      <c r="B12138" s="4"/>
      <c r="D12138" s="67"/>
      <c r="G12138" s="68"/>
      <c r="K12138" s="68"/>
    </row>
    <row r="12139" spans="2:11" ht="12.75">
      <c r="B12139" s="4"/>
      <c r="D12139" s="67"/>
      <c r="G12139" s="68"/>
      <c r="K12139" s="68"/>
    </row>
    <row r="12140" spans="2:11" ht="12.75">
      <c r="B12140" s="4"/>
      <c r="D12140" s="67"/>
      <c r="G12140" s="68"/>
      <c r="K12140" s="68"/>
    </row>
    <row r="12141" spans="2:11" ht="12.75">
      <c r="B12141" s="4"/>
      <c r="D12141" s="67"/>
      <c r="G12141" s="68"/>
      <c r="K12141" s="68"/>
    </row>
    <row r="12142" spans="2:11" ht="12.75">
      <c r="B12142" s="4"/>
      <c r="D12142" s="67"/>
      <c r="G12142" s="68"/>
      <c r="K12142" s="68"/>
    </row>
    <row r="12143" spans="2:11" ht="12.75">
      <c r="B12143" s="4"/>
      <c r="D12143" s="67"/>
      <c r="G12143" s="68"/>
      <c r="K12143" s="68"/>
    </row>
    <row r="12144" spans="2:11" ht="12.75">
      <c r="B12144" s="4"/>
      <c r="D12144" s="67"/>
      <c r="G12144" s="68"/>
      <c r="K12144" s="68"/>
    </row>
    <row r="12145" spans="2:11" ht="12.75">
      <c r="B12145" s="4"/>
      <c r="D12145" s="67"/>
      <c r="G12145" s="68"/>
      <c r="K12145" s="68"/>
    </row>
    <row r="12146" spans="2:11" ht="12.75">
      <c r="B12146" s="4"/>
      <c r="D12146" s="67"/>
      <c r="G12146" s="68"/>
      <c r="K12146" s="68"/>
    </row>
    <row r="12147" spans="2:11" ht="12.75">
      <c r="B12147" s="4"/>
      <c r="D12147" s="67"/>
      <c r="G12147" s="68"/>
      <c r="K12147" s="68"/>
    </row>
    <row r="12148" spans="2:11" ht="12.75">
      <c r="B12148" s="4"/>
      <c r="D12148" s="67"/>
      <c r="G12148" s="68"/>
      <c r="K12148" s="68"/>
    </row>
    <row r="12149" spans="2:11" ht="12.75">
      <c r="B12149" s="4"/>
      <c r="D12149" s="67"/>
      <c r="G12149" s="68"/>
      <c r="K12149" s="68"/>
    </row>
    <row r="12150" spans="2:11" ht="12.75">
      <c r="B12150" s="4"/>
      <c r="D12150" s="67"/>
      <c r="G12150" s="68"/>
      <c r="K12150" s="68"/>
    </row>
    <row r="12151" spans="2:11" ht="12.75">
      <c r="B12151" s="4"/>
      <c r="D12151" s="67"/>
      <c r="G12151" s="68"/>
      <c r="K12151" s="68"/>
    </row>
    <row r="12152" spans="2:11" ht="12.75">
      <c r="B12152" s="4"/>
      <c r="D12152" s="67"/>
      <c r="G12152" s="68"/>
      <c r="K12152" s="68"/>
    </row>
    <row r="12153" spans="2:11" ht="12.75">
      <c r="B12153" s="4"/>
      <c r="D12153" s="67"/>
      <c r="G12153" s="68"/>
      <c r="K12153" s="68"/>
    </row>
    <row r="12154" spans="2:11" ht="12.75">
      <c r="B12154" s="4"/>
      <c r="D12154" s="67"/>
      <c r="G12154" s="68"/>
      <c r="K12154" s="68"/>
    </row>
    <row r="12155" spans="2:11" ht="12.75">
      <c r="B12155" s="4"/>
      <c r="D12155" s="67"/>
      <c r="G12155" s="68"/>
      <c r="K12155" s="68"/>
    </row>
    <row r="12156" spans="2:11" ht="12.75">
      <c r="B12156" s="4"/>
      <c r="D12156" s="67"/>
      <c r="G12156" s="68"/>
      <c r="K12156" s="68"/>
    </row>
    <row r="12157" spans="2:11" ht="12.75">
      <c r="B12157" s="4"/>
      <c r="D12157" s="67"/>
      <c r="G12157" s="68"/>
      <c r="K12157" s="68"/>
    </row>
    <row r="12158" spans="2:11" ht="12.75">
      <c r="B12158" s="4"/>
      <c r="D12158" s="67"/>
      <c r="G12158" s="68"/>
      <c r="K12158" s="68"/>
    </row>
    <row r="12159" spans="2:11" ht="12.75">
      <c r="B12159" s="4"/>
      <c r="D12159" s="67"/>
      <c r="G12159" s="68"/>
      <c r="K12159" s="68"/>
    </row>
    <row r="12160" spans="2:11" ht="12.75">
      <c r="B12160" s="4"/>
      <c r="D12160" s="67"/>
      <c r="G12160" s="68"/>
      <c r="K12160" s="68"/>
    </row>
    <row r="12161" spans="2:11" ht="12.75">
      <c r="B12161" s="4"/>
      <c r="D12161" s="67"/>
      <c r="G12161" s="68"/>
      <c r="K12161" s="68"/>
    </row>
    <row r="12162" spans="2:11" ht="12.75">
      <c r="B12162" s="4"/>
      <c r="D12162" s="67"/>
      <c r="G12162" s="68"/>
      <c r="K12162" s="68"/>
    </row>
    <row r="12163" spans="2:11" ht="12.75">
      <c r="B12163" s="4"/>
      <c r="D12163" s="67"/>
      <c r="G12163" s="68"/>
      <c r="K12163" s="68"/>
    </row>
    <row r="12164" spans="2:11" ht="12.75">
      <c r="B12164" s="4"/>
      <c r="D12164" s="67"/>
      <c r="G12164" s="68"/>
      <c r="K12164" s="68"/>
    </row>
    <row r="12165" spans="2:11" ht="12.75">
      <c r="B12165" s="4"/>
      <c r="D12165" s="67"/>
      <c r="G12165" s="68"/>
      <c r="K12165" s="68"/>
    </row>
    <row r="12166" spans="2:11" ht="12.75">
      <c r="B12166" s="4"/>
      <c r="D12166" s="67"/>
      <c r="G12166" s="68"/>
      <c r="K12166" s="68"/>
    </row>
    <row r="12167" spans="2:11" ht="12.75">
      <c r="B12167" s="4"/>
      <c r="D12167" s="67"/>
      <c r="G12167" s="68"/>
      <c r="K12167" s="68"/>
    </row>
    <row r="12168" spans="2:11" ht="12.75">
      <c r="B12168" s="4"/>
      <c r="D12168" s="67"/>
      <c r="G12168" s="68"/>
      <c r="K12168" s="68"/>
    </row>
    <row r="12169" spans="2:11" ht="12.75">
      <c r="B12169" s="4"/>
      <c r="D12169" s="67"/>
      <c r="G12169" s="68"/>
      <c r="K12169" s="68"/>
    </row>
    <row r="12170" spans="2:11" ht="12.75">
      <c r="B12170" s="4"/>
      <c r="D12170" s="67"/>
      <c r="G12170" s="68"/>
      <c r="K12170" s="68"/>
    </row>
    <row r="12171" spans="2:11" ht="12.75">
      <c r="B12171" s="4"/>
      <c r="D12171" s="67"/>
      <c r="G12171" s="68"/>
      <c r="K12171" s="68"/>
    </row>
    <row r="12172" spans="2:11" ht="12.75">
      <c r="B12172" s="4"/>
      <c r="D12172" s="67"/>
      <c r="G12172" s="68"/>
      <c r="K12172" s="68"/>
    </row>
    <row r="12173" spans="2:11" ht="12.75">
      <c r="B12173" s="4"/>
      <c r="D12173" s="67"/>
      <c r="G12173" s="68"/>
      <c r="K12173" s="68"/>
    </row>
    <row r="12174" spans="2:11" ht="12.75">
      <c r="B12174" s="4"/>
      <c r="D12174" s="67"/>
      <c r="G12174" s="68"/>
      <c r="K12174" s="68"/>
    </row>
    <row r="12175" spans="2:11" ht="12.75">
      <c r="B12175" s="4"/>
      <c r="D12175" s="67"/>
      <c r="G12175" s="68"/>
      <c r="K12175" s="68"/>
    </row>
    <row r="12176" spans="2:11" ht="12.75">
      <c r="B12176" s="4"/>
      <c r="D12176" s="67"/>
      <c r="G12176" s="68"/>
      <c r="K12176" s="68"/>
    </row>
    <row r="12177" spans="2:11" ht="12.75">
      <c r="B12177" s="4"/>
      <c r="D12177" s="67"/>
      <c r="G12177" s="68"/>
      <c r="K12177" s="68"/>
    </row>
    <row r="12178" spans="2:11" ht="12.75">
      <c r="B12178" s="4"/>
      <c r="D12178" s="67"/>
      <c r="G12178" s="68"/>
      <c r="K12178" s="68"/>
    </row>
    <row r="12179" spans="2:11" ht="12.75">
      <c r="B12179" s="4"/>
      <c r="D12179" s="67"/>
      <c r="G12179" s="68"/>
      <c r="K12179" s="68"/>
    </row>
    <row r="12180" spans="2:11" ht="12.75">
      <c r="B12180" s="4"/>
      <c r="D12180" s="67"/>
      <c r="G12180" s="68"/>
      <c r="K12180" s="68"/>
    </row>
    <row r="12181" spans="2:11" ht="12.75">
      <c r="B12181" s="4"/>
      <c r="D12181" s="67"/>
      <c r="G12181" s="68"/>
      <c r="K12181" s="68"/>
    </row>
    <row r="12182" spans="2:11" ht="12.75">
      <c r="B12182" s="4"/>
      <c r="D12182" s="67"/>
      <c r="G12182" s="68"/>
      <c r="K12182" s="68"/>
    </row>
    <row r="12183" spans="2:11" ht="12.75">
      <c r="B12183" s="4"/>
      <c r="D12183" s="67"/>
      <c r="G12183" s="68"/>
      <c r="K12183" s="68"/>
    </row>
    <row r="12184" spans="2:11" ht="12.75">
      <c r="B12184" s="4"/>
      <c r="D12184" s="67"/>
      <c r="G12184" s="68"/>
      <c r="K12184" s="68"/>
    </row>
    <row r="12185" spans="2:11" ht="12.75">
      <c r="B12185" s="4"/>
      <c r="D12185" s="67"/>
      <c r="G12185" s="68"/>
      <c r="K12185" s="68"/>
    </row>
    <row r="12186" spans="2:11" ht="12.75">
      <c r="B12186" s="4"/>
      <c r="D12186" s="67"/>
      <c r="G12186" s="68"/>
      <c r="K12186" s="68"/>
    </row>
    <row r="12187" spans="2:11" ht="12.75">
      <c r="B12187" s="4"/>
      <c r="D12187" s="67"/>
      <c r="G12187" s="68"/>
      <c r="K12187" s="68"/>
    </row>
    <row r="12188" spans="2:11" ht="12.75">
      <c r="B12188" s="4"/>
      <c r="D12188" s="67"/>
      <c r="G12188" s="68"/>
      <c r="K12188" s="68"/>
    </row>
    <row r="12189" spans="2:11" ht="12.75">
      <c r="B12189" s="4"/>
      <c r="D12189" s="67"/>
      <c r="G12189" s="68"/>
      <c r="K12189" s="68"/>
    </row>
    <row r="12190" spans="2:11" ht="12.75">
      <c r="B12190" s="4"/>
      <c r="D12190" s="67"/>
      <c r="G12190" s="68"/>
      <c r="K12190" s="68"/>
    </row>
    <row r="12191" spans="2:11" ht="12.75">
      <c r="B12191" s="4"/>
      <c r="D12191" s="67"/>
      <c r="G12191" s="68"/>
      <c r="K12191" s="68"/>
    </row>
    <row r="12192" spans="2:11" ht="12.75">
      <c r="B12192" s="4"/>
      <c r="D12192" s="67"/>
      <c r="G12192" s="68"/>
      <c r="K12192" s="68"/>
    </row>
    <row r="12193" spans="2:11" ht="12.75">
      <c r="B12193" s="4"/>
      <c r="D12193" s="67"/>
      <c r="G12193" s="68"/>
      <c r="K12193" s="68"/>
    </row>
    <row r="12194" spans="2:11" ht="12.75">
      <c r="B12194" s="4"/>
      <c r="D12194" s="67"/>
      <c r="G12194" s="68"/>
      <c r="K12194" s="68"/>
    </row>
    <row r="12195" spans="2:11" ht="12.75">
      <c r="B12195" s="4"/>
      <c r="D12195" s="67"/>
      <c r="G12195" s="68"/>
      <c r="K12195" s="68"/>
    </row>
    <row r="12196" spans="2:11" ht="12.75">
      <c r="B12196" s="4"/>
      <c r="D12196" s="67"/>
      <c r="G12196" s="68"/>
      <c r="K12196" s="68"/>
    </row>
    <row r="12197" spans="2:11" ht="12.75">
      <c r="B12197" s="4"/>
      <c r="D12197" s="67"/>
      <c r="G12197" s="68"/>
      <c r="K12197" s="68"/>
    </row>
    <row r="12198" spans="2:11" ht="12.75">
      <c r="B12198" s="4"/>
      <c r="D12198" s="67"/>
      <c r="G12198" s="68"/>
      <c r="K12198" s="68"/>
    </row>
    <row r="12199" spans="2:11" ht="12.75">
      <c r="B12199" s="4"/>
      <c r="D12199" s="67"/>
      <c r="G12199" s="68"/>
      <c r="K12199" s="68"/>
    </row>
    <row r="12200" spans="2:11" ht="12.75">
      <c r="B12200" s="4"/>
      <c r="D12200" s="67"/>
      <c r="G12200" s="68"/>
      <c r="K12200" s="68"/>
    </row>
    <row r="12201" spans="2:11" ht="12.75">
      <c r="B12201" s="4"/>
      <c r="D12201" s="67"/>
      <c r="G12201" s="68"/>
      <c r="K12201" s="68"/>
    </row>
    <row r="12202" spans="2:11" ht="12.75">
      <c r="B12202" s="4"/>
      <c r="D12202" s="67"/>
      <c r="G12202" s="68"/>
      <c r="K12202" s="68"/>
    </row>
    <row r="12203" spans="2:11" ht="12.75">
      <c r="B12203" s="4"/>
      <c r="D12203" s="67"/>
      <c r="G12203" s="68"/>
      <c r="K12203" s="68"/>
    </row>
    <row r="12204" spans="2:11" ht="12.75">
      <c r="B12204" s="4"/>
      <c r="D12204" s="67"/>
      <c r="G12204" s="68"/>
      <c r="K12204" s="68"/>
    </row>
    <row r="12205" spans="2:11" ht="12.75">
      <c r="B12205" s="4"/>
      <c r="D12205" s="67"/>
      <c r="G12205" s="68"/>
      <c r="K12205" s="68"/>
    </row>
    <row r="12206" spans="2:11" ht="12.75">
      <c r="B12206" s="4"/>
      <c r="D12206" s="67"/>
      <c r="G12206" s="68"/>
      <c r="K12206" s="68"/>
    </row>
    <row r="12207" spans="2:11" ht="12.75">
      <c r="B12207" s="4"/>
      <c r="D12207" s="67"/>
      <c r="G12207" s="68"/>
      <c r="K12207" s="68"/>
    </row>
    <row r="12208" spans="2:11" ht="12.75">
      <c r="B12208" s="4"/>
      <c r="D12208" s="67"/>
      <c r="G12208" s="68"/>
      <c r="K12208" s="68"/>
    </row>
    <row r="12209" spans="2:11" ht="12.75">
      <c r="B12209" s="4"/>
      <c r="D12209" s="67"/>
      <c r="G12209" s="68"/>
      <c r="K12209" s="68"/>
    </row>
    <row r="12210" spans="2:11" ht="12.75">
      <c r="B12210" s="4"/>
      <c r="D12210" s="67"/>
      <c r="G12210" s="68"/>
      <c r="K12210" s="68"/>
    </row>
    <row r="12211" spans="2:11" ht="12.75">
      <c r="B12211" s="4"/>
      <c r="D12211" s="67"/>
      <c r="G12211" s="68"/>
      <c r="K12211" s="68"/>
    </row>
    <row r="12212" spans="2:11" ht="12.75">
      <c r="B12212" s="4"/>
      <c r="D12212" s="67"/>
      <c r="G12212" s="68"/>
      <c r="K12212" s="68"/>
    </row>
    <row r="12213" spans="2:11" ht="12.75">
      <c r="B12213" s="4"/>
      <c r="D12213" s="67"/>
      <c r="G12213" s="68"/>
      <c r="K12213" s="68"/>
    </row>
    <row r="12214" spans="2:11" ht="12.75">
      <c r="B12214" s="4"/>
      <c r="D12214" s="67"/>
      <c r="G12214" s="68"/>
      <c r="K12214" s="68"/>
    </row>
    <row r="12215" spans="2:11" ht="12.75">
      <c r="B12215" s="4"/>
      <c r="D12215" s="67"/>
      <c r="G12215" s="68"/>
      <c r="K12215" s="68"/>
    </row>
    <row r="12216" spans="2:11" ht="12.75">
      <c r="B12216" s="4"/>
      <c r="D12216" s="67"/>
      <c r="G12216" s="68"/>
      <c r="K12216" s="68"/>
    </row>
    <row r="12217" spans="2:11" ht="12.75">
      <c r="B12217" s="4"/>
      <c r="D12217" s="67"/>
      <c r="G12217" s="68"/>
      <c r="K12217" s="68"/>
    </row>
    <row r="12218" spans="2:11" ht="12.75">
      <c r="B12218" s="4"/>
      <c r="D12218" s="67"/>
      <c r="G12218" s="68"/>
      <c r="K12218" s="68"/>
    </row>
    <row r="12219" spans="2:11" ht="12.75">
      <c r="B12219" s="4"/>
      <c r="D12219" s="67"/>
      <c r="G12219" s="68"/>
      <c r="K12219" s="68"/>
    </row>
    <row r="12220" spans="2:11" ht="12.75">
      <c r="B12220" s="4"/>
      <c r="D12220" s="67"/>
      <c r="G12220" s="68"/>
      <c r="K12220" s="68"/>
    </row>
    <row r="12221" spans="2:11" ht="12.75">
      <c r="B12221" s="4"/>
      <c r="D12221" s="67"/>
      <c r="G12221" s="68"/>
      <c r="K12221" s="68"/>
    </row>
    <row r="12222" spans="2:11" ht="12.75">
      <c r="B12222" s="4"/>
      <c r="D12222" s="67"/>
      <c r="G12222" s="68"/>
      <c r="K12222" s="68"/>
    </row>
    <row r="12223" spans="2:11" ht="12.75">
      <c r="B12223" s="4"/>
      <c r="D12223" s="67"/>
      <c r="G12223" s="68"/>
      <c r="K12223" s="68"/>
    </row>
    <row r="12224" spans="2:11" ht="12.75">
      <c r="B12224" s="4"/>
      <c r="D12224" s="67"/>
      <c r="G12224" s="68"/>
      <c r="K12224" s="68"/>
    </row>
    <row r="12225" spans="2:11" ht="12.75">
      <c r="B12225" s="4"/>
      <c r="D12225" s="67"/>
      <c r="G12225" s="68"/>
      <c r="K12225" s="68"/>
    </row>
    <row r="12226" spans="2:11" ht="12.75">
      <c r="B12226" s="4"/>
      <c r="D12226" s="67"/>
      <c r="G12226" s="68"/>
      <c r="K12226" s="68"/>
    </row>
    <row r="12227" spans="2:11" ht="12.75">
      <c r="B12227" s="4"/>
      <c r="D12227" s="67"/>
      <c r="G12227" s="68"/>
      <c r="K12227" s="68"/>
    </row>
    <row r="12228" spans="2:11" ht="12.75">
      <c r="B12228" s="4"/>
      <c r="D12228" s="67"/>
      <c r="G12228" s="68"/>
      <c r="K12228" s="68"/>
    </row>
    <row r="12229" spans="2:11" ht="12.75">
      <c r="B12229" s="4"/>
      <c r="D12229" s="67"/>
      <c r="G12229" s="68"/>
      <c r="K12229" s="68"/>
    </row>
    <row r="12230" spans="2:11" ht="12.75">
      <c r="B12230" s="4"/>
      <c r="D12230" s="67"/>
      <c r="G12230" s="68"/>
      <c r="K12230" s="68"/>
    </row>
    <row r="12231" spans="2:11" ht="12.75">
      <c r="B12231" s="4"/>
      <c r="D12231" s="67"/>
      <c r="G12231" s="68"/>
      <c r="K12231" s="68"/>
    </row>
    <row r="12232" spans="2:11" ht="12.75">
      <c r="B12232" s="4"/>
      <c r="D12232" s="67"/>
      <c r="G12232" s="68"/>
      <c r="K12232" s="68"/>
    </row>
    <row r="12233" spans="2:11" ht="12.75">
      <c r="B12233" s="4"/>
      <c r="D12233" s="67"/>
      <c r="G12233" s="68"/>
      <c r="K12233" s="68"/>
    </row>
    <row r="12234" spans="2:11" ht="12.75">
      <c r="B12234" s="4"/>
      <c r="D12234" s="67"/>
      <c r="G12234" s="68"/>
      <c r="K12234" s="68"/>
    </row>
    <row r="12235" spans="2:11" ht="12.75">
      <c r="B12235" s="4"/>
      <c r="D12235" s="67"/>
      <c r="G12235" s="68"/>
      <c r="K12235" s="68"/>
    </row>
    <row r="12236" spans="2:11" ht="12.75">
      <c r="B12236" s="4"/>
      <c r="D12236" s="67"/>
      <c r="G12236" s="68"/>
      <c r="K12236" s="68"/>
    </row>
    <row r="12237" spans="2:11" ht="12.75">
      <c r="B12237" s="4"/>
      <c r="D12237" s="67"/>
      <c r="G12237" s="68"/>
      <c r="K12237" s="68"/>
    </row>
    <row r="12238" spans="2:11" ht="12.75">
      <c r="B12238" s="4"/>
      <c r="D12238" s="67"/>
      <c r="G12238" s="68"/>
      <c r="K12238" s="68"/>
    </row>
    <row r="12239" spans="2:11" ht="12.75">
      <c r="B12239" s="4"/>
      <c r="D12239" s="67"/>
      <c r="G12239" s="68"/>
      <c r="K12239" s="68"/>
    </row>
    <row r="12240" spans="2:11" ht="12.75">
      <c r="B12240" s="4"/>
      <c r="D12240" s="67"/>
      <c r="G12240" s="68"/>
      <c r="K12240" s="68"/>
    </row>
    <row r="12241" spans="2:11" ht="12.75">
      <c r="B12241" s="4"/>
      <c r="D12241" s="67"/>
      <c r="G12241" s="68"/>
      <c r="K12241" s="68"/>
    </row>
    <row r="12242" spans="2:11" ht="12.75">
      <c r="B12242" s="4"/>
      <c r="D12242" s="67"/>
      <c r="G12242" s="68"/>
      <c r="K12242" s="68"/>
    </row>
    <row r="12243" spans="2:11" ht="12.75">
      <c r="B12243" s="4"/>
      <c r="D12243" s="67"/>
      <c r="G12243" s="68"/>
      <c r="K12243" s="68"/>
    </row>
    <row r="12244" spans="2:11" ht="12.75">
      <c r="B12244" s="4"/>
      <c r="D12244" s="67"/>
      <c r="G12244" s="68"/>
      <c r="K12244" s="68"/>
    </row>
    <row r="12245" spans="2:11" ht="12.75">
      <c r="B12245" s="4"/>
      <c r="D12245" s="67"/>
      <c r="G12245" s="68"/>
      <c r="K12245" s="68"/>
    </row>
    <row r="12246" spans="2:11" ht="12.75">
      <c r="B12246" s="4"/>
      <c r="D12246" s="67"/>
      <c r="G12246" s="68"/>
      <c r="K12246" s="68"/>
    </row>
    <row r="12247" spans="2:11" ht="12.75">
      <c r="B12247" s="4"/>
      <c r="D12247" s="67"/>
      <c r="G12247" s="68"/>
      <c r="K12247" s="68"/>
    </row>
    <row r="12248" spans="2:11" ht="12.75">
      <c r="B12248" s="4"/>
      <c r="D12248" s="67"/>
      <c r="G12248" s="68"/>
      <c r="K12248" s="68"/>
    </row>
    <row r="12249" spans="2:11" ht="12.75">
      <c r="B12249" s="4"/>
      <c r="D12249" s="67"/>
      <c r="G12249" s="68"/>
      <c r="K12249" s="68"/>
    </row>
    <row r="12250" spans="2:11" ht="12.75">
      <c r="B12250" s="4"/>
      <c r="D12250" s="67"/>
      <c r="G12250" s="68"/>
      <c r="K12250" s="68"/>
    </row>
    <row r="12251" spans="2:11" ht="12.75">
      <c r="B12251" s="4"/>
      <c r="D12251" s="67"/>
      <c r="G12251" s="68"/>
      <c r="K12251" s="68"/>
    </row>
    <row r="12252" spans="2:11" ht="12.75">
      <c r="B12252" s="4"/>
      <c r="D12252" s="67"/>
      <c r="G12252" s="68"/>
      <c r="K12252" s="68"/>
    </row>
    <row r="12253" spans="2:11" ht="12.75">
      <c r="B12253" s="4"/>
      <c r="D12253" s="67"/>
      <c r="G12253" s="68"/>
      <c r="K12253" s="68"/>
    </row>
    <row r="12254" spans="2:11" ht="12.75">
      <c r="B12254" s="4"/>
      <c r="D12254" s="67"/>
      <c r="G12254" s="68"/>
      <c r="K12254" s="68"/>
    </row>
    <row r="12255" spans="2:11" ht="12.75">
      <c r="B12255" s="4"/>
      <c r="D12255" s="67"/>
      <c r="G12255" s="68"/>
      <c r="K12255" s="68"/>
    </row>
    <row r="12256" spans="2:11" ht="12.75">
      <c r="B12256" s="4"/>
      <c r="D12256" s="67"/>
      <c r="G12256" s="68"/>
      <c r="K12256" s="68"/>
    </row>
    <row r="12257" spans="2:11" ht="12.75">
      <c r="B12257" s="4"/>
      <c r="D12257" s="67"/>
      <c r="G12257" s="68"/>
      <c r="K12257" s="68"/>
    </row>
    <row r="12258" spans="2:11" ht="12.75">
      <c r="B12258" s="4"/>
      <c r="D12258" s="67"/>
      <c r="G12258" s="68"/>
      <c r="K12258" s="68"/>
    </row>
    <row r="12259" spans="2:11" ht="12.75">
      <c r="B12259" s="4"/>
      <c r="D12259" s="67"/>
      <c r="G12259" s="68"/>
      <c r="K12259" s="68"/>
    </row>
    <row r="12260" spans="2:11" ht="12.75">
      <c r="B12260" s="4"/>
      <c r="D12260" s="67"/>
      <c r="G12260" s="68"/>
      <c r="K12260" s="68"/>
    </row>
    <row r="12261" spans="2:11" ht="12.75">
      <c r="B12261" s="4"/>
      <c r="D12261" s="67"/>
      <c r="G12261" s="68"/>
      <c r="K12261" s="68"/>
    </row>
    <row r="12262" spans="2:11" ht="12.75">
      <c r="B12262" s="4"/>
      <c r="D12262" s="67"/>
      <c r="G12262" s="68"/>
      <c r="K12262" s="68"/>
    </row>
    <row r="12263" spans="2:11" ht="12.75">
      <c r="B12263" s="4"/>
      <c r="D12263" s="67"/>
      <c r="G12263" s="68"/>
      <c r="K12263" s="68"/>
    </row>
    <row r="12264" spans="2:11" ht="12.75">
      <c r="B12264" s="4"/>
      <c r="D12264" s="67"/>
      <c r="G12264" s="68"/>
      <c r="K12264" s="68"/>
    </row>
    <row r="12265" spans="2:11" ht="12.75">
      <c r="B12265" s="4"/>
      <c r="D12265" s="67"/>
      <c r="G12265" s="68"/>
      <c r="K12265" s="68"/>
    </row>
    <row r="12266" spans="2:11" ht="12.75">
      <c r="B12266" s="4"/>
      <c r="D12266" s="67"/>
      <c r="G12266" s="68"/>
      <c r="K12266" s="68"/>
    </row>
    <row r="12267" spans="2:11" ht="12.75">
      <c r="B12267" s="4"/>
      <c r="D12267" s="67"/>
      <c r="G12267" s="68"/>
      <c r="K12267" s="68"/>
    </row>
    <row r="12268" spans="2:11" ht="12.75">
      <c r="B12268" s="4"/>
      <c r="D12268" s="67"/>
      <c r="G12268" s="68"/>
      <c r="K12268" s="68"/>
    </row>
    <row r="12269" spans="2:11" ht="12.75">
      <c r="B12269" s="4"/>
      <c r="D12269" s="67"/>
      <c r="G12269" s="68"/>
      <c r="K12269" s="68"/>
    </row>
    <row r="12270" spans="2:11" ht="12.75">
      <c r="B12270" s="4"/>
      <c r="D12270" s="67"/>
      <c r="G12270" s="68"/>
      <c r="K12270" s="68"/>
    </row>
    <row r="12271" spans="2:11" ht="12.75">
      <c r="B12271" s="4"/>
      <c r="D12271" s="67"/>
      <c r="G12271" s="68"/>
      <c r="K12271" s="68"/>
    </row>
    <row r="12272" spans="2:11" ht="12.75">
      <c r="B12272" s="4"/>
      <c r="D12272" s="67"/>
      <c r="G12272" s="68"/>
      <c r="K12272" s="68"/>
    </row>
    <row r="12273" spans="2:11" ht="12.75">
      <c r="B12273" s="4"/>
      <c r="D12273" s="67"/>
      <c r="G12273" s="68"/>
      <c r="K12273" s="68"/>
    </row>
    <row r="12274" spans="2:11" ht="12.75">
      <c r="B12274" s="4"/>
      <c r="D12274" s="67"/>
      <c r="G12274" s="68"/>
      <c r="K12274" s="68"/>
    </row>
    <row r="12275" spans="2:11" ht="12.75">
      <c r="B12275" s="4"/>
      <c r="D12275" s="67"/>
      <c r="G12275" s="68"/>
      <c r="K12275" s="68"/>
    </row>
    <row r="12276" spans="2:11" ht="12.75">
      <c r="B12276" s="4"/>
      <c r="D12276" s="67"/>
      <c r="G12276" s="68"/>
      <c r="K12276" s="68"/>
    </row>
    <row r="12277" spans="2:11" ht="12.75">
      <c r="B12277" s="4"/>
      <c r="D12277" s="67"/>
      <c r="G12277" s="68"/>
      <c r="K12277" s="68"/>
    </row>
    <row r="12278" spans="2:11" ht="12.75">
      <c r="B12278" s="4"/>
      <c r="D12278" s="67"/>
      <c r="G12278" s="68"/>
      <c r="K12278" s="68"/>
    </row>
    <row r="12279" spans="2:11" ht="12.75">
      <c r="B12279" s="4"/>
      <c r="D12279" s="67"/>
      <c r="G12279" s="68"/>
      <c r="K12279" s="68"/>
    </row>
    <row r="12280" spans="2:11" ht="12.75">
      <c r="B12280" s="4"/>
      <c r="D12280" s="67"/>
      <c r="G12280" s="68"/>
      <c r="K12280" s="68"/>
    </row>
    <row r="12281" spans="2:11" ht="12.75">
      <c r="B12281" s="4"/>
      <c r="D12281" s="67"/>
      <c r="G12281" s="68"/>
      <c r="K12281" s="68"/>
    </row>
    <row r="12282" spans="2:11" ht="12.75">
      <c r="B12282" s="4"/>
      <c r="D12282" s="67"/>
      <c r="G12282" s="68"/>
      <c r="K12282" s="68"/>
    </row>
    <row r="12283" spans="2:11" ht="12.75">
      <c r="B12283" s="4"/>
      <c r="D12283" s="67"/>
      <c r="G12283" s="68"/>
      <c r="K12283" s="68"/>
    </row>
    <row r="12284" spans="2:11" ht="12.75">
      <c r="B12284" s="4"/>
      <c r="D12284" s="67"/>
      <c r="G12284" s="68"/>
      <c r="K12284" s="68"/>
    </row>
    <row r="12285" spans="2:11" ht="12.75">
      <c r="B12285" s="4"/>
      <c r="D12285" s="67"/>
      <c r="G12285" s="68"/>
      <c r="K12285" s="68"/>
    </row>
    <row r="12286" spans="2:11" ht="12.75">
      <c r="B12286" s="4"/>
      <c r="D12286" s="67"/>
      <c r="G12286" s="68"/>
      <c r="K12286" s="68"/>
    </row>
    <row r="12287" spans="2:11" ht="12.75">
      <c r="B12287" s="4"/>
      <c r="D12287" s="67"/>
      <c r="G12287" s="68"/>
      <c r="K12287" s="68"/>
    </row>
    <row r="12288" spans="2:11" ht="12.75">
      <c r="B12288" s="4"/>
      <c r="D12288" s="67"/>
      <c r="G12288" s="68"/>
      <c r="K12288" s="68"/>
    </row>
    <row r="12289" spans="2:11" ht="12.75">
      <c r="B12289" s="4"/>
      <c r="D12289" s="67"/>
      <c r="G12289" s="68"/>
      <c r="K12289" s="68"/>
    </row>
    <row r="12290" spans="2:11" ht="12.75">
      <c r="B12290" s="4"/>
      <c r="D12290" s="67"/>
      <c r="G12290" s="68"/>
      <c r="K12290" s="68"/>
    </row>
    <row r="12291" spans="2:11" ht="12.75">
      <c r="B12291" s="4"/>
      <c r="D12291" s="67"/>
      <c r="G12291" s="68"/>
      <c r="K12291" s="68"/>
    </row>
    <row r="12292" spans="2:11" ht="12.75">
      <c r="B12292" s="4"/>
      <c r="D12292" s="67"/>
      <c r="G12292" s="68"/>
      <c r="K12292" s="68"/>
    </row>
    <row r="12293" spans="2:11" ht="12.75">
      <c r="B12293" s="4"/>
      <c r="D12293" s="67"/>
      <c r="G12293" s="68"/>
      <c r="K12293" s="68"/>
    </row>
    <row r="12294" spans="2:11" ht="12.75">
      <c r="B12294" s="4"/>
      <c r="D12294" s="67"/>
      <c r="G12294" s="68"/>
      <c r="K12294" s="68"/>
    </row>
    <row r="12295" spans="2:11" ht="12.75">
      <c r="B12295" s="4"/>
      <c r="D12295" s="67"/>
      <c r="G12295" s="68"/>
      <c r="K12295" s="68"/>
    </row>
    <row r="12296" spans="2:11" ht="12.75">
      <c r="B12296" s="4"/>
      <c r="D12296" s="67"/>
      <c r="G12296" s="68"/>
      <c r="K12296" s="68"/>
    </row>
    <row r="12297" spans="2:11" ht="12.75">
      <c r="B12297" s="4"/>
      <c r="D12297" s="67"/>
      <c r="G12297" s="68"/>
      <c r="K12297" s="68"/>
    </row>
    <row r="12298" spans="2:11" ht="12.75">
      <c r="B12298" s="4"/>
      <c r="D12298" s="67"/>
      <c r="G12298" s="68"/>
      <c r="K12298" s="68"/>
    </row>
    <row r="12299" spans="2:11" ht="12.75">
      <c r="B12299" s="4"/>
      <c r="D12299" s="67"/>
      <c r="G12299" s="68"/>
      <c r="K12299" s="68"/>
    </row>
    <row r="12300" spans="2:11" ht="12.75">
      <c r="B12300" s="4"/>
      <c r="D12300" s="67"/>
      <c r="G12300" s="68"/>
      <c r="K12300" s="68"/>
    </row>
    <row r="12301" spans="2:11" ht="12.75">
      <c r="B12301" s="4"/>
      <c r="D12301" s="67"/>
      <c r="G12301" s="68"/>
      <c r="K12301" s="68"/>
    </row>
    <row r="12302" spans="2:11" ht="12.75">
      <c r="B12302" s="4"/>
      <c r="D12302" s="67"/>
      <c r="G12302" s="68"/>
      <c r="K12302" s="68"/>
    </row>
    <row r="12303" spans="2:11" ht="12.75">
      <c r="B12303" s="4"/>
      <c r="D12303" s="67"/>
      <c r="G12303" s="68"/>
      <c r="K12303" s="68"/>
    </row>
    <row r="12304" spans="2:11" ht="12.75">
      <c r="B12304" s="4"/>
      <c r="D12304" s="67"/>
      <c r="G12304" s="68"/>
      <c r="K12304" s="68"/>
    </row>
    <row r="12305" spans="2:11" ht="12.75">
      <c r="B12305" s="4"/>
      <c r="D12305" s="67"/>
      <c r="G12305" s="68"/>
      <c r="K12305" s="68"/>
    </row>
    <row r="12306" spans="2:11" ht="12.75">
      <c r="B12306" s="4"/>
      <c r="D12306" s="67"/>
      <c r="G12306" s="68"/>
      <c r="K12306" s="68"/>
    </row>
    <row r="12307" spans="2:11" ht="12.75">
      <c r="B12307" s="4"/>
      <c r="D12307" s="67"/>
      <c r="G12307" s="68"/>
      <c r="K12307" s="68"/>
    </row>
    <row r="12308" spans="2:11" ht="12.75">
      <c r="B12308" s="4"/>
      <c r="D12308" s="67"/>
      <c r="G12308" s="68"/>
      <c r="K12308" s="68"/>
    </row>
    <row r="12309" spans="2:11" ht="12.75">
      <c r="B12309" s="4"/>
      <c r="D12309" s="67"/>
      <c r="G12309" s="68"/>
      <c r="K12309" s="68"/>
    </row>
    <row r="12310" spans="2:11" ht="12.75">
      <c r="B12310" s="4"/>
      <c r="D12310" s="67"/>
      <c r="G12310" s="68"/>
      <c r="K12310" s="68"/>
    </row>
    <row r="12311" spans="2:11" ht="12.75">
      <c r="B12311" s="4"/>
      <c r="D12311" s="67"/>
      <c r="G12311" s="68"/>
      <c r="K12311" s="68"/>
    </row>
    <row r="12312" spans="2:11" ht="12.75">
      <c r="B12312" s="4"/>
      <c r="D12312" s="67"/>
      <c r="G12312" s="68"/>
      <c r="K12312" s="68"/>
    </row>
    <row r="12313" spans="2:11" ht="12.75">
      <c r="B12313" s="4"/>
      <c r="D12313" s="67"/>
      <c r="G12313" s="68"/>
      <c r="K12313" s="68"/>
    </row>
    <row r="12314" spans="2:11" ht="12.75">
      <c r="B12314" s="4"/>
      <c r="D12314" s="67"/>
      <c r="G12314" s="68"/>
      <c r="K12314" s="68"/>
    </row>
    <row r="12315" spans="2:11" ht="12.75">
      <c r="B12315" s="4"/>
      <c r="D12315" s="67"/>
      <c r="G12315" s="68"/>
      <c r="K12315" s="68"/>
    </row>
    <row r="12316" spans="2:11" ht="12.75">
      <c r="B12316" s="4"/>
      <c r="D12316" s="67"/>
      <c r="G12316" s="68"/>
      <c r="K12316" s="68"/>
    </row>
    <row r="12317" spans="2:11" ht="12.75">
      <c r="B12317" s="4"/>
      <c r="D12317" s="67"/>
      <c r="G12317" s="68"/>
      <c r="K12317" s="68"/>
    </row>
    <row r="12318" spans="2:11" ht="12.75">
      <c r="B12318" s="4"/>
      <c r="D12318" s="67"/>
      <c r="G12318" s="68"/>
      <c r="K12318" s="68"/>
    </row>
    <row r="12319" spans="2:11" ht="12.75">
      <c r="B12319" s="4"/>
      <c r="D12319" s="67"/>
      <c r="G12319" s="68"/>
      <c r="K12319" s="68"/>
    </row>
    <row r="12320" spans="2:11" ht="12.75">
      <c r="B12320" s="4"/>
      <c r="D12320" s="67"/>
      <c r="G12320" s="68"/>
      <c r="K12320" s="68"/>
    </row>
    <row r="12321" spans="2:11" ht="12.75">
      <c r="B12321" s="4"/>
      <c r="D12321" s="67"/>
      <c r="G12321" s="68"/>
      <c r="K12321" s="68"/>
    </row>
    <row r="12322" spans="2:11" ht="12.75">
      <c r="B12322" s="4"/>
      <c r="D12322" s="67"/>
      <c r="G12322" s="68"/>
      <c r="K12322" s="68"/>
    </row>
    <row r="12323" spans="2:11" ht="12.75">
      <c r="B12323" s="4"/>
      <c r="D12323" s="67"/>
      <c r="G12323" s="68"/>
      <c r="K12323" s="68"/>
    </row>
    <row r="12324" spans="2:11" ht="12.75">
      <c r="B12324" s="4"/>
      <c r="D12324" s="67"/>
      <c r="G12324" s="68"/>
      <c r="K12324" s="68"/>
    </row>
    <row r="12325" spans="2:11" ht="12.75">
      <c r="B12325" s="4"/>
      <c r="D12325" s="67"/>
      <c r="G12325" s="68"/>
      <c r="K12325" s="68"/>
    </row>
    <row r="12326" spans="2:11" ht="12.75">
      <c r="B12326" s="4"/>
      <c r="D12326" s="67"/>
      <c r="G12326" s="68"/>
      <c r="K12326" s="68"/>
    </row>
    <row r="12327" spans="2:11" ht="12.75">
      <c r="B12327" s="4"/>
      <c r="D12327" s="67"/>
      <c r="G12327" s="68"/>
      <c r="K12327" s="68"/>
    </row>
    <row r="12328" spans="2:11" ht="12.75">
      <c r="B12328" s="4"/>
      <c r="D12328" s="67"/>
      <c r="G12328" s="68"/>
      <c r="K12328" s="68"/>
    </row>
    <row r="12329" spans="2:11" ht="12.75">
      <c r="B12329" s="4"/>
      <c r="D12329" s="67"/>
      <c r="G12329" s="68"/>
      <c r="K12329" s="68"/>
    </row>
    <row r="12330" spans="2:11" ht="12.75">
      <c r="B12330" s="4"/>
      <c r="D12330" s="67"/>
      <c r="G12330" s="68"/>
      <c r="K12330" s="68"/>
    </row>
    <row r="12331" spans="2:11" ht="12.75">
      <c r="B12331" s="4"/>
      <c r="D12331" s="67"/>
      <c r="G12331" s="68"/>
      <c r="K12331" s="68"/>
    </row>
    <row r="12332" spans="2:11" ht="12.75">
      <c r="B12332" s="4"/>
      <c r="D12332" s="67"/>
      <c r="G12332" s="68"/>
      <c r="K12332" s="68"/>
    </row>
    <row r="12333" spans="2:11" ht="12.75">
      <c r="B12333" s="4"/>
      <c r="D12333" s="67"/>
      <c r="G12333" s="68"/>
      <c r="K12333" s="68"/>
    </row>
    <row r="12334" spans="2:11" ht="12.75">
      <c r="B12334" s="4"/>
      <c r="D12334" s="67"/>
      <c r="G12334" s="68"/>
      <c r="K12334" s="68"/>
    </row>
    <row r="12335" spans="2:11" ht="12.75">
      <c r="B12335" s="4"/>
      <c r="D12335" s="67"/>
      <c r="G12335" s="68"/>
      <c r="K12335" s="68"/>
    </row>
    <row r="12336" spans="2:11" ht="12.75">
      <c r="B12336" s="4"/>
      <c r="D12336" s="67"/>
      <c r="G12336" s="68"/>
      <c r="K12336" s="68"/>
    </row>
    <row r="12337" spans="2:11" ht="12.75">
      <c r="B12337" s="4"/>
      <c r="D12337" s="67"/>
      <c r="G12337" s="68"/>
      <c r="K12337" s="68"/>
    </row>
    <row r="12338" spans="2:11" ht="12.75">
      <c r="B12338" s="4"/>
      <c r="D12338" s="67"/>
      <c r="G12338" s="68"/>
      <c r="K12338" s="68"/>
    </row>
    <row r="12339" spans="2:11" ht="12.75">
      <c r="B12339" s="4"/>
      <c r="D12339" s="67"/>
      <c r="G12339" s="68"/>
      <c r="K12339" s="68"/>
    </row>
    <row r="12340" spans="2:11" ht="12.75">
      <c r="B12340" s="4"/>
      <c r="D12340" s="67"/>
      <c r="G12340" s="68"/>
      <c r="K12340" s="68"/>
    </row>
    <row r="12341" spans="2:11" ht="12.75">
      <c r="B12341" s="4"/>
      <c r="D12341" s="67"/>
      <c r="G12341" s="68"/>
      <c r="K12341" s="68"/>
    </row>
    <row r="12342" spans="2:11" ht="12.75">
      <c r="B12342" s="4"/>
      <c r="D12342" s="67"/>
      <c r="G12342" s="68"/>
      <c r="K12342" s="68"/>
    </row>
    <row r="12343" spans="2:11" ht="12.75">
      <c r="B12343" s="4"/>
      <c r="D12343" s="67"/>
      <c r="G12343" s="68"/>
      <c r="K12343" s="68"/>
    </row>
    <row r="12344" spans="2:11" ht="12.75">
      <c r="B12344" s="4"/>
      <c r="D12344" s="67"/>
      <c r="G12344" s="68"/>
      <c r="K12344" s="68"/>
    </row>
    <row r="12345" spans="2:11" ht="12.75">
      <c r="B12345" s="4"/>
      <c r="D12345" s="67"/>
      <c r="G12345" s="68"/>
      <c r="K12345" s="68"/>
    </row>
    <row r="12346" spans="2:11" ht="12.75">
      <c r="B12346" s="4"/>
      <c r="D12346" s="67"/>
      <c r="G12346" s="68"/>
      <c r="K12346" s="68"/>
    </row>
    <row r="12347" spans="2:11" ht="12.75">
      <c r="B12347" s="4"/>
      <c r="D12347" s="67"/>
      <c r="G12347" s="68"/>
      <c r="K12347" s="68"/>
    </row>
    <row r="12348" spans="2:11" ht="12.75">
      <c r="B12348" s="4"/>
      <c r="D12348" s="67"/>
      <c r="G12348" s="68"/>
      <c r="K12348" s="68"/>
    </row>
    <row r="12349" spans="2:11" ht="12.75">
      <c r="B12349" s="4"/>
      <c r="D12349" s="67"/>
      <c r="G12349" s="68"/>
      <c r="K12349" s="68"/>
    </row>
    <row r="12350" spans="2:11" ht="12.75">
      <c r="B12350" s="4"/>
      <c r="D12350" s="67"/>
      <c r="G12350" s="68"/>
      <c r="K12350" s="68"/>
    </row>
    <row r="12351" spans="2:11" ht="12.75">
      <c r="B12351" s="4"/>
      <c r="D12351" s="67"/>
      <c r="G12351" s="68"/>
      <c r="K12351" s="68"/>
    </row>
    <row r="12352" spans="2:11" ht="12.75">
      <c r="B12352" s="4"/>
      <c r="D12352" s="67"/>
      <c r="G12352" s="68"/>
      <c r="K12352" s="68"/>
    </row>
    <row r="12353" spans="2:11" ht="12.75">
      <c r="B12353" s="4"/>
      <c r="D12353" s="67"/>
      <c r="G12353" s="68"/>
      <c r="K12353" s="68"/>
    </row>
    <row r="12354" spans="2:11" ht="12.75">
      <c r="B12354" s="4"/>
      <c r="D12354" s="67"/>
      <c r="G12354" s="68"/>
      <c r="K12354" s="68"/>
    </row>
    <row r="12355" spans="2:11" ht="12.75">
      <c r="B12355" s="4"/>
      <c r="D12355" s="67"/>
      <c r="G12355" s="68"/>
      <c r="K12355" s="68"/>
    </row>
    <row r="12356" spans="2:11" ht="12.75">
      <c r="B12356" s="4"/>
      <c r="D12356" s="67"/>
      <c r="G12356" s="68"/>
      <c r="K12356" s="68"/>
    </row>
    <row r="12357" spans="2:11" ht="12.75">
      <c r="B12357" s="4"/>
      <c r="D12357" s="67"/>
      <c r="G12357" s="68"/>
      <c r="K12357" s="68"/>
    </row>
    <row r="12358" spans="2:11" ht="12.75">
      <c r="B12358" s="4"/>
      <c r="D12358" s="67"/>
      <c r="G12358" s="68"/>
      <c r="K12358" s="68"/>
    </row>
    <row r="12359" spans="2:11" ht="12.75">
      <c r="B12359" s="4"/>
      <c r="D12359" s="67"/>
      <c r="G12359" s="68"/>
      <c r="K12359" s="68"/>
    </row>
    <row r="12360" spans="2:11" ht="12.75">
      <c r="B12360" s="4"/>
      <c r="D12360" s="67"/>
      <c r="G12360" s="68"/>
      <c r="K12360" s="68"/>
    </row>
    <row r="12361" spans="2:11" ht="12.75">
      <c r="B12361" s="4"/>
      <c r="D12361" s="67"/>
      <c r="G12361" s="68"/>
      <c r="K12361" s="68"/>
    </row>
    <row r="12362" spans="2:11" ht="12.75">
      <c r="B12362" s="4"/>
      <c r="D12362" s="67"/>
      <c r="G12362" s="68"/>
      <c r="K12362" s="68"/>
    </row>
    <row r="12363" spans="2:11" ht="12.75">
      <c r="B12363" s="4"/>
      <c r="D12363" s="67"/>
      <c r="G12363" s="68"/>
      <c r="K12363" s="68"/>
    </row>
    <row r="12364" spans="2:11" ht="12.75">
      <c r="B12364" s="4"/>
      <c r="D12364" s="67"/>
      <c r="G12364" s="68"/>
      <c r="K12364" s="68"/>
    </row>
    <row r="12365" spans="2:11" ht="12.75">
      <c r="B12365" s="4"/>
      <c r="D12365" s="67"/>
      <c r="G12365" s="68"/>
      <c r="K12365" s="68"/>
    </row>
    <row r="12366" spans="2:11" ht="12.75">
      <c r="B12366" s="4"/>
      <c r="D12366" s="67"/>
      <c r="G12366" s="68"/>
      <c r="K12366" s="68"/>
    </row>
    <row r="12367" spans="2:11" ht="12.75">
      <c r="B12367" s="4"/>
      <c r="D12367" s="67"/>
      <c r="G12367" s="68"/>
      <c r="K12367" s="68"/>
    </row>
    <row r="12368" spans="2:11" ht="12.75">
      <c r="B12368" s="4"/>
      <c r="D12368" s="67"/>
      <c r="G12368" s="68"/>
      <c r="K12368" s="68"/>
    </row>
    <row r="12369" spans="2:11" ht="12.75">
      <c r="B12369" s="4"/>
      <c r="D12369" s="67"/>
      <c r="G12369" s="68"/>
      <c r="K12369" s="68"/>
    </row>
    <row r="12370" spans="2:11" ht="12.75">
      <c r="B12370" s="4"/>
      <c r="D12370" s="67"/>
      <c r="G12370" s="68"/>
      <c r="K12370" s="68"/>
    </row>
    <row r="12371" spans="2:11" ht="12.75">
      <c r="B12371" s="4"/>
      <c r="D12371" s="67"/>
      <c r="G12371" s="68"/>
      <c r="K12371" s="68"/>
    </row>
    <row r="12372" spans="2:11" ht="12.75">
      <c r="B12372" s="4"/>
      <c r="D12372" s="67"/>
      <c r="G12372" s="68"/>
      <c r="K12372" s="68"/>
    </row>
    <row r="12373" spans="2:11" ht="12.75">
      <c r="B12373" s="4"/>
      <c r="D12373" s="67"/>
      <c r="G12373" s="68"/>
      <c r="K12373" s="68"/>
    </row>
    <row r="12374" spans="2:11" ht="12.75">
      <c r="B12374" s="4"/>
      <c r="D12374" s="67"/>
      <c r="G12374" s="68"/>
      <c r="K12374" s="68"/>
    </row>
    <row r="12375" spans="2:11" ht="12.75">
      <c r="B12375" s="4"/>
      <c r="D12375" s="67"/>
      <c r="G12375" s="68"/>
      <c r="K12375" s="68"/>
    </row>
    <row r="12376" spans="2:11" ht="12.75">
      <c r="B12376" s="4"/>
      <c r="D12376" s="67"/>
      <c r="G12376" s="68"/>
      <c r="K12376" s="68"/>
    </row>
    <row r="12377" spans="2:11" ht="12.75">
      <c r="B12377" s="4"/>
      <c r="D12377" s="67"/>
      <c r="G12377" s="68"/>
      <c r="K12377" s="68"/>
    </row>
    <row r="12378" spans="2:11" ht="12.75">
      <c r="B12378" s="4"/>
      <c r="D12378" s="67"/>
      <c r="G12378" s="68"/>
      <c r="K12378" s="68"/>
    </row>
    <row r="12379" spans="2:11" ht="12.75">
      <c r="B12379" s="4"/>
      <c r="D12379" s="67"/>
      <c r="G12379" s="68"/>
      <c r="K12379" s="68"/>
    </row>
    <row r="12380" spans="2:11" ht="12.75">
      <c r="B12380" s="4"/>
      <c r="D12380" s="67"/>
      <c r="G12380" s="68"/>
      <c r="K12380" s="68"/>
    </row>
    <row r="12381" spans="2:11" ht="12.75">
      <c r="B12381" s="4"/>
      <c r="D12381" s="67"/>
      <c r="G12381" s="68"/>
      <c r="K12381" s="68"/>
    </row>
    <row r="12382" spans="2:11" ht="12.75">
      <c r="B12382" s="4"/>
      <c r="D12382" s="67"/>
      <c r="G12382" s="68"/>
      <c r="K12382" s="68"/>
    </row>
    <row r="12383" spans="2:11" ht="12.75">
      <c r="B12383" s="4"/>
      <c r="D12383" s="67"/>
      <c r="G12383" s="68"/>
      <c r="K12383" s="68"/>
    </row>
    <row r="12384" spans="2:11" ht="12.75">
      <c r="B12384" s="4"/>
      <c r="D12384" s="67"/>
      <c r="G12384" s="68"/>
      <c r="K12384" s="68"/>
    </row>
    <row r="12385" spans="2:11" ht="12.75">
      <c r="B12385" s="4"/>
      <c r="D12385" s="67"/>
      <c r="G12385" s="68"/>
      <c r="K12385" s="68"/>
    </row>
    <row r="12386" spans="2:11" ht="12.75">
      <c r="B12386" s="4"/>
      <c r="D12386" s="67"/>
      <c r="G12386" s="68"/>
      <c r="K12386" s="68"/>
    </row>
    <row r="12387" spans="2:11" ht="12.75">
      <c r="B12387" s="4"/>
      <c r="D12387" s="67"/>
      <c r="G12387" s="68"/>
      <c r="K12387" s="68"/>
    </row>
    <row r="12388" spans="2:11" ht="12.75">
      <c r="B12388" s="4"/>
      <c r="D12388" s="67"/>
      <c r="G12388" s="68"/>
      <c r="K12388" s="68"/>
    </row>
    <row r="12389" spans="2:11" ht="12.75">
      <c r="B12389" s="4"/>
      <c r="D12389" s="67"/>
      <c r="G12389" s="68"/>
      <c r="K12389" s="68"/>
    </row>
    <row r="12390" spans="2:11" ht="12.75">
      <c r="B12390" s="4"/>
      <c r="D12390" s="67"/>
      <c r="G12390" s="68"/>
      <c r="K12390" s="68"/>
    </row>
    <row r="12391" spans="2:11" ht="12.75">
      <c r="B12391" s="4"/>
      <c r="D12391" s="67"/>
      <c r="G12391" s="68"/>
      <c r="K12391" s="68"/>
    </row>
    <row r="12392" spans="2:11" ht="12.75">
      <c r="B12392" s="4"/>
      <c r="D12392" s="67"/>
      <c r="G12392" s="68"/>
      <c r="K12392" s="68"/>
    </row>
    <row r="12393" spans="2:11" ht="12.75">
      <c r="B12393" s="4"/>
      <c r="D12393" s="67"/>
      <c r="G12393" s="68"/>
      <c r="K12393" s="68"/>
    </row>
    <row r="12394" spans="2:11" ht="12.75">
      <c r="B12394" s="4"/>
      <c r="D12394" s="67"/>
      <c r="G12394" s="68"/>
      <c r="K12394" s="68"/>
    </row>
    <row r="12395" spans="2:11" ht="12.75">
      <c r="B12395" s="4"/>
      <c r="D12395" s="67"/>
      <c r="G12395" s="68"/>
      <c r="K12395" s="68"/>
    </row>
    <row r="12396" spans="2:11" ht="12.75">
      <c r="B12396" s="4"/>
      <c r="D12396" s="67"/>
      <c r="G12396" s="68"/>
      <c r="K12396" s="68"/>
    </row>
    <row r="12397" spans="2:11" ht="12.75">
      <c r="B12397" s="4"/>
      <c r="D12397" s="67"/>
      <c r="G12397" s="68"/>
      <c r="K12397" s="68"/>
    </row>
    <row r="12398" spans="2:11" ht="12.75">
      <c r="B12398" s="4"/>
      <c r="D12398" s="67"/>
      <c r="G12398" s="68"/>
      <c r="K12398" s="68"/>
    </row>
    <row r="12399" spans="2:11" ht="12.75">
      <c r="B12399" s="4"/>
      <c r="D12399" s="67"/>
      <c r="G12399" s="68"/>
      <c r="K12399" s="68"/>
    </row>
    <row r="12400" spans="2:11" ht="12.75">
      <c r="B12400" s="4"/>
      <c r="D12400" s="67"/>
      <c r="G12400" s="68"/>
      <c r="K12400" s="68"/>
    </row>
    <row r="12401" spans="2:11" ht="12.75">
      <c r="B12401" s="4"/>
      <c r="D12401" s="67"/>
      <c r="G12401" s="68"/>
      <c r="K12401" s="68"/>
    </row>
    <row r="12402" spans="2:11" ht="12.75">
      <c r="B12402" s="4"/>
      <c r="D12402" s="67"/>
      <c r="G12402" s="68"/>
      <c r="K12402" s="68"/>
    </row>
    <row r="12403" spans="2:11" ht="12.75">
      <c r="B12403" s="4"/>
      <c r="D12403" s="67"/>
      <c r="G12403" s="68"/>
      <c r="K12403" s="68"/>
    </row>
    <row r="12404" spans="2:11" ht="12.75">
      <c r="B12404" s="4"/>
      <c r="D12404" s="67"/>
      <c r="G12404" s="68"/>
      <c r="K12404" s="68"/>
    </row>
    <row r="12405" spans="2:11" ht="12.75">
      <c r="B12405" s="4"/>
      <c r="D12405" s="67"/>
      <c r="G12405" s="68"/>
      <c r="K12405" s="68"/>
    </row>
    <row r="12406" spans="2:11" ht="12.75">
      <c r="B12406" s="4"/>
      <c r="D12406" s="67"/>
      <c r="G12406" s="68"/>
      <c r="K12406" s="68"/>
    </row>
    <row r="12407" spans="2:11" ht="12.75">
      <c r="B12407" s="4"/>
      <c r="D12407" s="67"/>
      <c r="G12407" s="68"/>
      <c r="K12407" s="68"/>
    </row>
    <row r="12408" spans="2:11" ht="12.75">
      <c r="B12408" s="4"/>
      <c r="D12408" s="67"/>
      <c r="G12408" s="68"/>
      <c r="K12408" s="68"/>
    </row>
    <row r="12409" spans="2:11" ht="12.75">
      <c r="B12409" s="4"/>
      <c r="D12409" s="67"/>
      <c r="G12409" s="68"/>
      <c r="K12409" s="68"/>
    </row>
    <row r="12410" spans="2:11" ht="12.75">
      <c r="B12410" s="4"/>
      <c r="D12410" s="67"/>
      <c r="G12410" s="68"/>
      <c r="K12410" s="68"/>
    </row>
    <row r="12411" spans="2:11" ht="12.75">
      <c r="B12411" s="4"/>
      <c r="D12411" s="67"/>
      <c r="G12411" s="68"/>
      <c r="K12411" s="68"/>
    </row>
    <row r="12412" spans="2:11" ht="12.75">
      <c r="B12412" s="4"/>
      <c r="D12412" s="67"/>
      <c r="G12412" s="68"/>
      <c r="K12412" s="68"/>
    </row>
    <row r="12413" spans="2:11" ht="12.75">
      <c r="B12413" s="4"/>
      <c r="D12413" s="67"/>
      <c r="G12413" s="68"/>
      <c r="K12413" s="68"/>
    </row>
    <row r="12414" spans="2:11" ht="12.75">
      <c r="B12414" s="4"/>
      <c r="D12414" s="67"/>
      <c r="G12414" s="68"/>
      <c r="K12414" s="68"/>
    </row>
    <row r="12415" spans="2:11" ht="12.75">
      <c r="B12415" s="4"/>
      <c r="D12415" s="67"/>
      <c r="G12415" s="68"/>
      <c r="K12415" s="68"/>
    </row>
    <row r="12416" spans="2:11" ht="12.75">
      <c r="B12416" s="4"/>
      <c r="D12416" s="67"/>
      <c r="G12416" s="68"/>
      <c r="K12416" s="68"/>
    </row>
    <row r="12417" spans="2:11" ht="12.75">
      <c r="B12417" s="4"/>
      <c r="D12417" s="67"/>
      <c r="G12417" s="68"/>
      <c r="K12417" s="68"/>
    </row>
    <row r="12418" spans="2:11" ht="12.75">
      <c r="B12418" s="4"/>
      <c r="D12418" s="67"/>
      <c r="G12418" s="68"/>
      <c r="K12418" s="68"/>
    </row>
    <row r="12419" spans="2:11" ht="12.75">
      <c r="B12419" s="4"/>
      <c r="D12419" s="67"/>
      <c r="G12419" s="68"/>
      <c r="K12419" s="68"/>
    </row>
    <row r="12420" spans="2:11" ht="12.75">
      <c r="B12420" s="4"/>
      <c r="D12420" s="67"/>
      <c r="G12420" s="68"/>
      <c r="K12420" s="68"/>
    </row>
    <row r="12421" spans="2:11" ht="12.75">
      <c r="B12421" s="4"/>
      <c r="D12421" s="67"/>
      <c r="G12421" s="68"/>
      <c r="K12421" s="68"/>
    </row>
    <row r="12422" spans="2:11" ht="12.75">
      <c r="B12422" s="4"/>
      <c r="D12422" s="67"/>
      <c r="G12422" s="68"/>
      <c r="K12422" s="68"/>
    </row>
    <row r="12423" spans="2:11" ht="12.75">
      <c r="B12423" s="4"/>
      <c r="D12423" s="67"/>
      <c r="G12423" s="68"/>
      <c r="K12423" s="68"/>
    </row>
    <row r="12424" spans="2:11" ht="12.75">
      <c r="B12424" s="4"/>
      <c r="D12424" s="67"/>
      <c r="G12424" s="68"/>
      <c r="K12424" s="68"/>
    </row>
    <row r="12425" spans="2:11" ht="12.75">
      <c r="B12425" s="4"/>
      <c r="D12425" s="67"/>
      <c r="G12425" s="68"/>
      <c r="K12425" s="68"/>
    </row>
    <row r="12426" spans="2:11" ht="12.75">
      <c r="B12426" s="4"/>
      <c r="D12426" s="67"/>
      <c r="G12426" s="68"/>
      <c r="K12426" s="68"/>
    </row>
    <row r="12427" spans="2:11" ht="12.75">
      <c r="B12427" s="4"/>
      <c r="D12427" s="67"/>
      <c r="G12427" s="68"/>
      <c r="K12427" s="68"/>
    </row>
    <row r="12428" spans="2:11" ht="12.75">
      <c r="B12428" s="4"/>
      <c r="D12428" s="67"/>
      <c r="G12428" s="68"/>
      <c r="K12428" s="68"/>
    </row>
    <row r="12429" spans="2:11" ht="12.75">
      <c r="B12429" s="4"/>
      <c r="D12429" s="67"/>
      <c r="G12429" s="68"/>
      <c r="K12429" s="68"/>
    </row>
    <row r="12430" spans="2:11" ht="12.75">
      <c r="B12430" s="4"/>
      <c r="D12430" s="67"/>
      <c r="G12430" s="68"/>
      <c r="K12430" s="68"/>
    </row>
    <row r="12431" spans="2:11" ht="12.75">
      <c r="B12431" s="4"/>
      <c r="D12431" s="67"/>
      <c r="G12431" s="68"/>
      <c r="K12431" s="68"/>
    </row>
    <row r="12432" spans="2:11" ht="12.75">
      <c r="B12432" s="4"/>
      <c r="D12432" s="67"/>
      <c r="G12432" s="68"/>
      <c r="K12432" s="68"/>
    </row>
    <row r="12433" spans="2:11" ht="12.75">
      <c r="B12433" s="4"/>
      <c r="D12433" s="67"/>
      <c r="G12433" s="68"/>
      <c r="K12433" s="68"/>
    </row>
    <row r="12434" spans="2:11" ht="12.75">
      <c r="B12434" s="4"/>
      <c r="D12434" s="67"/>
      <c r="G12434" s="68"/>
      <c r="K12434" s="68"/>
    </row>
    <row r="12435" spans="2:11" ht="12.75">
      <c r="B12435" s="4"/>
      <c r="D12435" s="67"/>
      <c r="G12435" s="68"/>
      <c r="K12435" s="68"/>
    </row>
    <row r="12436" spans="2:11" ht="12.75">
      <c r="B12436" s="4"/>
      <c r="D12436" s="67"/>
      <c r="G12436" s="68"/>
      <c r="K12436" s="68"/>
    </row>
    <row r="12437" spans="2:11" ht="12.75">
      <c r="B12437" s="4"/>
      <c r="D12437" s="67"/>
      <c r="G12437" s="68"/>
      <c r="K12437" s="68"/>
    </row>
    <row r="12438" spans="2:11" ht="12.75">
      <c r="B12438" s="4"/>
      <c r="D12438" s="67"/>
      <c r="G12438" s="68"/>
      <c r="K12438" s="68"/>
    </row>
    <row r="12439" spans="2:11" ht="12.75">
      <c r="B12439" s="4"/>
      <c r="D12439" s="67"/>
      <c r="G12439" s="68"/>
      <c r="K12439" s="68"/>
    </row>
    <row r="12440" spans="2:11" ht="12.75">
      <c r="B12440" s="4"/>
      <c r="D12440" s="67"/>
      <c r="G12440" s="68"/>
      <c r="K12440" s="68"/>
    </row>
    <row r="12441" spans="2:11" ht="12.75">
      <c r="B12441" s="4"/>
      <c r="D12441" s="67"/>
      <c r="G12441" s="68"/>
      <c r="K12441" s="68"/>
    </row>
    <row r="12442" spans="2:11" ht="12.75">
      <c r="B12442" s="4"/>
      <c r="D12442" s="67"/>
      <c r="G12442" s="68"/>
      <c r="K12442" s="68"/>
    </row>
    <row r="12443" spans="2:11" ht="12.75">
      <c r="B12443" s="4"/>
      <c r="D12443" s="67"/>
      <c r="G12443" s="68"/>
      <c r="K12443" s="68"/>
    </row>
    <row r="12444" spans="2:11" ht="12.75">
      <c r="B12444" s="4"/>
      <c r="D12444" s="67"/>
      <c r="G12444" s="68"/>
      <c r="K12444" s="68"/>
    </row>
    <row r="12445" spans="2:11" ht="12.75">
      <c r="B12445" s="4"/>
      <c r="D12445" s="67"/>
      <c r="G12445" s="68"/>
      <c r="K12445" s="68"/>
    </row>
    <row r="12446" spans="2:11" ht="12.75">
      <c r="B12446" s="4"/>
      <c r="D12446" s="67"/>
      <c r="G12446" s="68"/>
      <c r="K12446" s="68"/>
    </row>
    <row r="12447" spans="2:11" ht="12.75">
      <c r="B12447" s="4"/>
      <c r="D12447" s="67"/>
      <c r="G12447" s="68"/>
      <c r="K12447" s="68"/>
    </row>
    <row r="12448" spans="2:11" ht="12.75">
      <c r="B12448" s="4"/>
      <c r="D12448" s="67"/>
      <c r="G12448" s="68"/>
      <c r="K12448" s="68"/>
    </row>
    <row r="12449" spans="2:11" ht="12.75">
      <c r="B12449" s="4"/>
      <c r="D12449" s="67"/>
      <c r="G12449" s="68"/>
      <c r="K12449" s="68"/>
    </row>
    <row r="12450" spans="2:11" ht="12.75">
      <c r="B12450" s="4"/>
      <c r="D12450" s="67"/>
      <c r="G12450" s="68"/>
      <c r="K12450" s="68"/>
    </row>
    <row r="12451" spans="2:11" ht="12.75">
      <c r="B12451" s="4"/>
      <c r="D12451" s="67"/>
      <c r="G12451" s="68"/>
      <c r="K12451" s="68"/>
    </row>
    <row r="12452" spans="2:11" ht="12.75">
      <c r="B12452" s="4"/>
      <c r="D12452" s="67"/>
      <c r="G12452" s="68"/>
      <c r="K12452" s="68"/>
    </row>
    <row r="12453" spans="2:11" ht="12.75">
      <c r="B12453" s="4"/>
      <c r="D12453" s="67"/>
      <c r="G12453" s="68"/>
      <c r="K12453" s="68"/>
    </row>
    <row r="12454" spans="2:11" ht="12.75">
      <c r="B12454" s="4"/>
      <c r="D12454" s="67"/>
      <c r="G12454" s="68"/>
      <c r="K12454" s="68"/>
    </row>
    <row r="12455" spans="2:11" ht="12.75">
      <c r="B12455" s="4"/>
      <c r="D12455" s="67"/>
      <c r="G12455" s="68"/>
      <c r="K12455" s="68"/>
    </row>
    <row r="12456" spans="2:11" ht="12.75">
      <c r="B12456" s="4"/>
      <c r="D12456" s="67"/>
      <c r="G12456" s="68"/>
      <c r="K12456" s="68"/>
    </row>
    <row r="12457" spans="2:11" ht="12.75">
      <c r="B12457" s="4"/>
      <c r="D12457" s="67"/>
      <c r="G12457" s="68"/>
      <c r="K12457" s="68"/>
    </row>
    <row r="12458" spans="2:11" ht="12.75">
      <c r="B12458" s="4"/>
      <c r="D12458" s="67"/>
      <c r="G12458" s="68"/>
      <c r="K12458" s="68"/>
    </row>
    <row r="12459" spans="2:11" ht="12.75">
      <c r="B12459" s="4"/>
      <c r="D12459" s="67"/>
      <c r="G12459" s="68"/>
      <c r="K12459" s="68"/>
    </row>
    <row r="12460" spans="2:11" ht="12.75">
      <c r="B12460" s="4"/>
      <c r="D12460" s="67"/>
      <c r="G12460" s="68"/>
      <c r="K12460" s="68"/>
    </row>
    <row r="12461" spans="2:11" ht="12.75">
      <c r="B12461" s="4"/>
      <c r="D12461" s="67"/>
      <c r="G12461" s="68"/>
      <c r="K12461" s="68"/>
    </row>
    <row r="12462" spans="2:11" ht="12.75">
      <c r="B12462" s="4"/>
      <c r="D12462" s="67"/>
      <c r="G12462" s="68"/>
      <c r="K12462" s="68"/>
    </row>
    <row r="12463" spans="2:11" ht="12.75">
      <c r="B12463" s="4"/>
      <c r="D12463" s="67"/>
      <c r="G12463" s="68"/>
      <c r="K12463" s="68"/>
    </row>
    <row r="12464" spans="2:11" ht="12.75">
      <c r="B12464" s="4"/>
      <c r="D12464" s="67"/>
      <c r="G12464" s="68"/>
      <c r="K12464" s="68"/>
    </row>
    <row r="12465" spans="2:11" ht="12.75">
      <c r="B12465" s="4"/>
      <c r="D12465" s="67"/>
      <c r="G12465" s="68"/>
      <c r="K12465" s="68"/>
    </row>
    <row r="12466" spans="2:11" ht="12.75">
      <c r="B12466" s="4"/>
      <c r="D12466" s="67"/>
      <c r="G12466" s="68"/>
      <c r="K12466" s="68"/>
    </row>
    <row r="12467" spans="2:11" ht="12.75">
      <c r="B12467" s="4"/>
      <c r="D12467" s="67"/>
      <c r="G12467" s="68"/>
      <c r="K12467" s="68"/>
    </row>
    <row r="12468" spans="2:11" ht="12.75">
      <c r="B12468" s="4"/>
      <c r="D12468" s="67"/>
      <c r="G12468" s="68"/>
      <c r="K12468" s="68"/>
    </row>
    <row r="12469" spans="2:11" ht="12.75">
      <c r="B12469" s="4"/>
      <c r="D12469" s="67"/>
      <c r="G12469" s="68"/>
      <c r="K12469" s="68"/>
    </row>
    <row r="12470" spans="2:11" ht="12.75">
      <c r="B12470" s="4"/>
      <c r="D12470" s="67"/>
      <c r="G12470" s="68"/>
      <c r="K12470" s="68"/>
    </row>
    <row r="12471" spans="2:11" ht="12.75">
      <c r="B12471" s="4"/>
      <c r="D12471" s="67"/>
      <c r="G12471" s="68"/>
      <c r="K12471" s="68"/>
    </row>
    <row r="12472" spans="2:11" ht="12.75">
      <c r="B12472" s="4"/>
      <c r="D12472" s="67"/>
      <c r="G12472" s="68"/>
      <c r="K12472" s="68"/>
    </row>
    <row r="12473" spans="2:11" ht="12.75">
      <c r="B12473" s="4"/>
      <c r="D12473" s="67"/>
      <c r="G12473" s="68"/>
      <c r="K12473" s="68"/>
    </row>
    <row r="12474" spans="2:11" ht="12.75">
      <c r="B12474" s="4"/>
      <c r="D12474" s="67"/>
      <c r="G12474" s="68"/>
      <c r="K12474" s="68"/>
    </row>
    <row r="12475" spans="2:11" ht="12.75">
      <c r="B12475" s="4"/>
      <c r="D12475" s="67"/>
      <c r="G12475" s="68"/>
      <c r="K12475" s="68"/>
    </row>
    <row r="12476" spans="2:11" ht="12.75">
      <c r="B12476" s="4"/>
      <c r="D12476" s="67"/>
      <c r="G12476" s="68"/>
      <c r="K12476" s="68"/>
    </row>
    <row r="12477" spans="2:11" ht="12.75">
      <c r="B12477" s="4"/>
      <c r="D12477" s="67"/>
      <c r="G12477" s="68"/>
      <c r="K12477" s="68"/>
    </row>
    <row r="12478" spans="2:11" ht="12.75">
      <c r="B12478" s="4"/>
      <c r="D12478" s="67"/>
      <c r="G12478" s="68"/>
      <c r="K12478" s="68"/>
    </row>
    <row r="12479" spans="2:11" ht="12.75">
      <c r="B12479" s="4"/>
      <c r="D12479" s="67"/>
      <c r="G12479" s="68"/>
      <c r="K12479" s="68"/>
    </row>
    <row r="12480" spans="2:11" ht="12.75">
      <c r="B12480" s="4"/>
      <c r="D12480" s="67"/>
      <c r="G12480" s="68"/>
      <c r="K12480" s="68"/>
    </row>
    <row r="12481" spans="2:11" ht="12.75">
      <c r="B12481" s="4"/>
      <c r="D12481" s="67"/>
      <c r="G12481" s="68"/>
      <c r="K12481" s="68"/>
    </row>
    <row r="12482" spans="2:11" ht="12.75">
      <c r="B12482" s="4"/>
      <c r="D12482" s="67"/>
      <c r="G12482" s="68"/>
      <c r="K12482" s="68"/>
    </row>
    <row r="12483" spans="2:11" ht="12.75">
      <c r="B12483" s="4"/>
      <c r="D12483" s="67"/>
      <c r="G12483" s="68"/>
      <c r="K12483" s="68"/>
    </row>
    <row r="12484" spans="2:11" ht="12.75">
      <c r="B12484" s="4"/>
      <c r="D12484" s="67"/>
      <c r="G12484" s="68"/>
      <c r="K12484" s="68"/>
    </row>
    <row r="12485" spans="2:11" ht="12.75">
      <c r="B12485" s="4"/>
      <c r="D12485" s="67"/>
      <c r="G12485" s="68"/>
      <c r="K12485" s="68"/>
    </row>
    <row r="12486" spans="2:11" ht="12.75">
      <c r="B12486" s="4"/>
      <c r="D12486" s="67"/>
      <c r="G12486" s="68"/>
      <c r="K12486" s="68"/>
    </row>
    <row r="12487" spans="2:11" ht="12.75">
      <c r="B12487" s="4"/>
      <c r="D12487" s="67"/>
      <c r="G12487" s="68"/>
      <c r="K12487" s="68"/>
    </row>
    <row r="12488" spans="2:11" ht="12.75">
      <c r="B12488" s="4"/>
      <c r="D12488" s="67"/>
      <c r="G12488" s="68"/>
      <c r="K12488" s="68"/>
    </row>
    <row r="12489" spans="2:11" ht="12.75">
      <c r="B12489" s="4"/>
      <c r="D12489" s="67"/>
      <c r="G12489" s="68"/>
      <c r="K12489" s="68"/>
    </row>
    <row r="12490" spans="2:11" ht="12.75">
      <c r="B12490" s="4"/>
      <c r="D12490" s="67"/>
      <c r="G12490" s="68"/>
      <c r="K12490" s="68"/>
    </row>
    <row r="12491" spans="2:11" ht="12.75">
      <c r="B12491" s="4"/>
      <c r="D12491" s="67"/>
      <c r="G12491" s="68"/>
      <c r="K12491" s="68"/>
    </row>
    <row r="12492" spans="2:11" ht="12.75">
      <c r="B12492" s="4"/>
      <c r="D12492" s="67"/>
      <c r="G12492" s="68"/>
      <c r="K12492" s="68"/>
    </row>
    <row r="12493" spans="2:11" ht="12.75">
      <c r="B12493" s="4"/>
      <c r="D12493" s="67"/>
      <c r="G12493" s="68"/>
      <c r="K12493" s="68"/>
    </row>
    <row r="12494" spans="2:11" ht="12.75">
      <c r="B12494" s="4"/>
      <c r="D12494" s="67"/>
      <c r="G12494" s="68"/>
      <c r="K12494" s="68"/>
    </row>
    <row r="12495" spans="2:11" ht="12.75">
      <c r="B12495" s="4"/>
      <c r="D12495" s="67"/>
      <c r="G12495" s="68"/>
      <c r="K12495" s="68"/>
    </row>
    <row r="12496" spans="2:11" ht="12.75">
      <c r="B12496" s="4"/>
      <c r="D12496" s="67"/>
      <c r="G12496" s="68"/>
      <c r="K12496" s="68"/>
    </row>
    <row r="12497" spans="2:11" ht="12.75">
      <c r="B12497" s="4"/>
      <c r="D12497" s="67"/>
      <c r="G12497" s="68"/>
      <c r="K12497" s="68"/>
    </row>
    <row r="12498" spans="2:11" ht="12.75">
      <c r="B12498" s="4"/>
      <c r="D12498" s="67"/>
      <c r="G12498" s="68"/>
      <c r="K12498" s="68"/>
    </row>
    <row r="12499" spans="2:11" ht="12.75">
      <c r="B12499" s="4"/>
      <c r="D12499" s="67"/>
      <c r="G12499" s="68"/>
      <c r="K12499" s="68"/>
    </row>
    <row r="12500" spans="2:11" ht="12.75">
      <c r="B12500" s="4"/>
      <c r="D12500" s="67"/>
      <c r="G12500" s="68"/>
      <c r="K12500" s="68"/>
    </row>
    <row r="12501" spans="2:11" ht="12.75">
      <c r="B12501" s="4"/>
      <c r="D12501" s="67"/>
      <c r="G12501" s="68"/>
      <c r="K12501" s="68"/>
    </row>
    <row r="12502" spans="2:11" ht="12.75">
      <c r="B12502" s="4"/>
      <c r="D12502" s="67"/>
      <c r="G12502" s="68"/>
      <c r="K12502" s="68"/>
    </row>
    <row r="12503" spans="2:11" ht="12.75">
      <c r="B12503" s="4"/>
      <c r="D12503" s="67"/>
      <c r="G12503" s="68"/>
      <c r="K12503" s="68"/>
    </row>
    <row r="12504" spans="2:11" ht="12.75">
      <c r="B12504" s="4"/>
      <c r="D12504" s="67"/>
      <c r="G12504" s="68"/>
      <c r="K12504" s="68"/>
    </row>
    <row r="12505" spans="2:11" ht="12.75">
      <c r="B12505" s="4"/>
      <c r="D12505" s="67"/>
      <c r="G12505" s="68"/>
      <c r="K12505" s="68"/>
    </row>
    <row r="12506" spans="2:11" ht="12.75">
      <c r="B12506" s="4"/>
      <c r="D12506" s="67"/>
      <c r="G12506" s="68"/>
      <c r="K12506" s="68"/>
    </row>
    <row r="12507" spans="2:11" ht="12.75">
      <c r="B12507" s="4"/>
      <c r="D12507" s="67"/>
      <c r="G12507" s="68"/>
      <c r="K12507" s="68"/>
    </row>
    <row r="12508" spans="2:11" ht="12.75">
      <c r="B12508" s="4"/>
      <c r="D12508" s="67"/>
      <c r="G12508" s="68"/>
      <c r="K12508" s="68"/>
    </row>
    <row r="12509" spans="2:11" ht="12.75">
      <c r="B12509" s="4"/>
      <c r="D12509" s="67"/>
      <c r="G12509" s="68"/>
      <c r="K12509" s="68"/>
    </row>
    <row r="12510" spans="2:11" ht="12.75">
      <c r="B12510" s="4"/>
      <c r="D12510" s="67"/>
      <c r="G12510" s="68"/>
      <c r="K12510" s="68"/>
    </row>
    <row r="12511" spans="2:11" ht="12.75">
      <c r="B12511" s="4"/>
      <c r="D12511" s="67"/>
      <c r="G12511" s="68"/>
      <c r="K12511" s="68"/>
    </row>
    <row r="12512" spans="2:11" ht="12.75">
      <c r="B12512" s="4"/>
      <c r="D12512" s="67"/>
      <c r="G12512" s="68"/>
      <c r="K12512" s="68"/>
    </row>
    <row r="12513" spans="2:11" ht="12.75">
      <c r="B12513" s="4"/>
      <c r="D12513" s="67"/>
      <c r="G12513" s="68"/>
      <c r="K12513" s="68"/>
    </row>
    <row r="12514" spans="2:11" ht="12.75">
      <c r="B12514" s="4"/>
      <c r="D12514" s="67"/>
      <c r="G12514" s="68"/>
      <c r="K12514" s="68"/>
    </row>
    <row r="12515" spans="2:11" ht="12.75">
      <c r="B12515" s="4"/>
      <c r="D12515" s="67"/>
      <c r="G12515" s="68"/>
      <c r="K12515" s="68"/>
    </row>
    <row r="12516" spans="2:11" ht="12.75">
      <c r="B12516" s="4"/>
      <c r="D12516" s="67"/>
      <c r="G12516" s="68"/>
      <c r="K12516" s="68"/>
    </row>
    <row r="12517" spans="2:11" ht="12.75">
      <c r="B12517" s="4"/>
      <c r="D12517" s="67"/>
      <c r="G12517" s="68"/>
      <c r="K12517" s="68"/>
    </row>
    <row r="12518" spans="2:11" ht="12.75">
      <c r="B12518" s="4"/>
      <c r="D12518" s="67"/>
      <c r="G12518" s="68"/>
      <c r="K12518" s="68"/>
    </row>
    <row r="12519" spans="2:11" ht="12.75">
      <c r="B12519" s="4"/>
      <c r="D12519" s="67"/>
      <c r="G12519" s="68"/>
      <c r="K12519" s="68"/>
    </row>
    <row r="12520" spans="2:11" ht="12.75">
      <c r="B12520" s="4"/>
      <c r="D12520" s="67"/>
      <c r="G12520" s="68"/>
      <c r="K12520" s="68"/>
    </row>
    <row r="12521" spans="2:11" ht="12.75">
      <c r="B12521" s="4"/>
      <c r="D12521" s="67"/>
      <c r="G12521" s="68"/>
      <c r="K12521" s="68"/>
    </row>
    <row r="12522" spans="2:11" ht="12.75">
      <c r="B12522" s="4"/>
      <c r="D12522" s="67"/>
      <c r="G12522" s="68"/>
      <c r="K12522" s="68"/>
    </row>
    <row r="12523" spans="2:11" ht="12.75">
      <c r="B12523" s="4"/>
      <c r="D12523" s="67"/>
      <c r="G12523" s="68"/>
      <c r="K12523" s="68"/>
    </row>
    <row r="12524" spans="2:11" ht="12.75">
      <c r="B12524" s="4"/>
      <c r="D12524" s="67"/>
      <c r="G12524" s="68"/>
      <c r="K12524" s="68"/>
    </row>
    <row r="12525" spans="2:11" ht="12.75">
      <c r="B12525" s="4"/>
      <c r="D12525" s="67"/>
      <c r="G12525" s="68"/>
      <c r="K12525" s="68"/>
    </row>
    <row r="12526" spans="2:11" ht="12.75">
      <c r="B12526" s="4"/>
      <c r="D12526" s="67"/>
      <c r="G12526" s="68"/>
      <c r="K12526" s="68"/>
    </row>
    <row r="12527" spans="2:11" ht="12.75">
      <c r="B12527" s="4"/>
      <c r="D12527" s="67"/>
      <c r="G12527" s="68"/>
      <c r="K12527" s="68"/>
    </row>
    <row r="12528" spans="2:11" ht="12.75">
      <c r="B12528" s="4"/>
      <c r="D12528" s="67"/>
      <c r="G12528" s="68"/>
      <c r="K12528" s="68"/>
    </row>
    <row r="12529" spans="2:11" ht="12.75">
      <c r="B12529" s="4"/>
      <c r="D12529" s="67"/>
      <c r="G12529" s="68"/>
      <c r="K12529" s="68"/>
    </row>
    <row r="12530" spans="2:11" ht="12.75">
      <c r="B12530" s="4"/>
      <c r="D12530" s="67"/>
      <c r="G12530" s="68"/>
      <c r="K12530" s="68"/>
    </row>
    <row r="12531" spans="2:11" ht="12.75">
      <c r="B12531" s="4"/>
      <c r="D12531" s="67"/>
      <c r="G12531" s="68"/>
      <c r="K12531" s="68"/>
    </row>
    <row r="12532" spans="2:11" ht="12.75">
      <c r="B12532" s="4"/>
      <c r="D12532" s="67"/>
      <c r="G12532" s="68"/>
      <c r="K12532" s="68"/>
    </row>
    <row r="12533" spans="2:11" ht="12.75">
      <c r="B12533" s="4"/>
      <c r="D12533" s="67"/>
      <c r="G12533" s="68"/>
      <c r="K12533" s="68"/>
    </row>
    <row r="12534" spans="2:11" ht="12.75">
      <c r="B12534" s="4"/>
      <c r="D12534" s="67"/>
      <c r="G12534" s="68"/>
      <c r="K12534" s="68"/>
    </row>
    <row r="12535" spans="2:11" ht="12.75">
      <c r="B12535" s="4"/>
      <c r="D12535" s="67"/>
      <c r="G12535" s="68"/>
      <c r="K12535" s="68"/>
    </row>
    <row r="12536" spans="2:11" ht="12.75">
      <c r="B12536" s="4"/>
      <c r="D12536" s="67"/>
      <c r="G12536" s="68"/>
      <c r="K12536" s="68"/>
    </row>
    <row r="12537" spans="2:11" ht="12.75">
      <c r="B12537" s="4"/>
      <c r="D12537" s="67"/>
      <c r="G12537" s="68"/>
      <c r="K12537" s="68"/>
    </row>
    <row r="12538" spans="2:11" ht="12.75">
      <c r="B12538" s="4"/>
      <c r="D12538" s="67"/>
      <c r="G12538" s="68"/>
      <c r="K12538" s="68"/>
    </row>
    <row r="12539" spans="2:11" ht="12.75">
      <c r="B12539" s="4"/>
      <c r="D12539" s="67"/>
      <c r="G12539" s="68"/>
      <c r="K12539" s="68"/>
    </row>
    <row r="12540" spans="2:11" ht="12.75">
      <c r="B12540" s="4"/>
      <c r="D12540" s="67"/>
      <c r="G12540" s="68"/>
      <c r="K12540" s="68"/>
    </row>
    <row r="12541" spans="2:11" ht="12.75">
      <c r="B12541" s="4"/>
      <c r="D12541" s="67"/>
      <c r="G12541" s="68"/>
      <c r="K12541" s="68"/>
    </row>
    <row r="12542" spans="2:11" ht="12.75">
      <c r="B12542" s="4"/>
      <c r="D12542" s="67"/>
      <c r="G12542" s="68"/>
      <c r="K12542" s="68"/>
    </row>
    <row r="12543" spans="2:11" ht="12.75">
      <c r="B12543" s="4"/>
      <c r="D12543" s="67"/>
      <c r="G12543" s="68"/>
      <c r="K12543" s="68"/>
    </row>
    <row r="12544" spans="2:11" ht="12.75">
      <c r="B12544" s="4"/>
      <c r="D12544" s="67"/>
      <c r="G12544" s="68"/>
      <c r="K12544" s="68"/>
    </row>
    <row r="12545" spans="2:11" ht="12.75">
      <c r="B12545" s="4"/>
      <c r="D12545" s="67"/>
      <c r="G12545" s="68"/>
      <c r="K12545" s="68"/>
    </row>
    <row r="12546" spans="2:11" ht="12.75">
      <c r="B12546" s="4"/>
      <c r="D12546" s="67"/>
      <c r="G12546" s="68"/>
      <c r="K12546" s="68"/>
    </row>
    <row r="12547" spans="2:11" ht="12.75">
      <c r="B12547" s="4"/>
      <c r="D12547" s="67"/>
      <c r="G12547" s="68"/>
      <c r="K12547" s="68"/>
    </row>
    <row r="12548" spans="2:11" ht="12.75">
      <c r="B12548" s="4"/>
      <c r="D12548" s="67"/>
      <c r="G12548" s="68"/>
      <c r="K12548" s="68"/>
    </row>
    <row r="12549" spans="2:11" ht="12.75">
      <c r="B12549" s="4"/>
      <c r="D12549" s="67"/>
      <c r="G12549" s="68"/>
      <c r="K12549" s="68"/>
    </row>
    <row r="12550" spans="2:11" ht="12.75">
      <c r="B12550" s="4"/>
      <c r="D12550" s="67"/>
      <c r="G12550" s="68"/>
      <c r="K12550" s="68"/>
    </row>
    <row r="12551" spans="2:11" ht="12.75">
      <c r="B12551" s="4"/>
      <c r="D12551" s="67"/>
      <c r="G12551" s="68"/>
      <c r="K12551" s="68"/>
    </row>
    <row r="12552" spans="2:11" ht="12.75">
      <c r="B12552" s="4"/>
      <c r="D12552" s="67"/>
      <c r="G12552" s="68"/>
      <c r="K12552" s="68"/>
    </row>
    <row r="12553" spans="2:11" ht="12.75">
      <c r="B12553" s="4"/>
      <c r="D12553" s="67"/>
      <c r="G12553" s="68"/>
      <c r="K12553" s="68"/>
    </row>
    <row r="12554" spans="2:11" ht="12.75">
      <c r="B12554" s="4"/>
      <c r="D12554" s="67"/>
      <c r="G12554" s="68"/>
      <c r="K12554" s="68"/>
    </row>
    <row r="12555" spans="2:11" ht="12.75">
      <c r="B12555" s="4"/>
      <c r="D12555" s="67"/>
      <c r="G12555" s="68"/>
      <c r="K12555" s="68"/>
    </row>
    <row r="12556" spans="2:11" ht="12.75">
      <c r="B12556" s="4"/>
      <c r="D12556" s="67"/>
      <c r="G12556" s="68"/>
      <c r="K12556" s="68"/>
    </row>
    <row r="12557" spans="2:11" ht="12.75">
      <c r="B12557" s="4"/>
      <c r="D12557" s="67"/>
      <c r="G12557" s="68"/>
      <c r="K12557" s="68"/>
    </row>
    <row r="12558" spans="2:11" ht="12.75">
      <c r="B12558" s="4"/>
      <c r="D12558" s="67"/>
      <c r="G12558" s="68"/>
      <c r="K12558" s="68"/>
    </row>
    <row r="12559" spans="2:11" ht="12.75">
      <c r="B12559" s="4"/>
      <c r="D12559" s="67"/>
      <c r="G12559" s="68"/>
      <c r="K12559" s="68"/>
    </row>
    <row r="12560" spans="2:11" ht="12.75">
      <c r="B12560" s="4"/>
      <c r="D12560" s="67"/>
      <c r="G12560" s="68"/>
      <c r="K12560" s="68"/>
    </row>
    <row r="12561" spans="2:11" ht="12.75">
      <c r="B12561" s="4"/>
      <c r="D12561" s="67"/>
      <c r="G12561" s="68"/>
      <c r="K12561" s="68"/>
    </row>
    <row r="12562" spans="2:11" ht="12.75">
      <c r="B12562" s="4"/>
      <c r="D12562" s="67"/>
      <c r="G12562" s="68"/>
      <c r="K12562" s="68"/>
    </row>
    <row r="12563" spans="2:11" ht="12.75">
      <c r="B12563" s="4"/>
      <c r="D12563" s="67"/>
      <c r="G12563" s="68"/>
      <c r="K12563" s="68"/>
    </row>
    <row r="12564" spans="2:11" ht="12.75">
      <c r="B12564" s="4"/>
      <c r="D12564" s="67"/>
      <c r="G12564" s="68"/>
      <c r="K12564" s="68"/>
    </row>
    <row r="12565" spans="2:11" ht="12.75">
      <c r="B12565" s="4"/>
      <c r="D12565" s="67"/>
      <c r="G12565" s="68"/>
      <c r="K12565" s="68"/>
    </row>
    <row r="12566" spans="2:11" ht="12.75">
      <c r="B12566" s="4"/>
      <c r="D12566" s="67"/>
      <c r="G12566" s="68"/>
      <c r="K12566" s="68"/>
    </row>
    <row r="12567" spans="2:11" ht="12.75">
      <c r="B12567" s="4"/>
      <c r="D12567" s="67"/>
      <c r="G12567" s="68"/>
      <c r="K12567" s="68"/>
    </row>
    <row r="12568" spans="2:11" ht="12.75">
      <c r="B12568" s="4"/>
      <c r="D12568" s="67"/>
      <c r="G12568" s="68"/>
      <c r="K12568" s="68"/>
    </row>
    <row r="12569" spans="2:11" ht="12.75">
      <c r="B12569" s="4"/>
      <c r="D12569" s="67"/>
      <c r="G12569" s="68"/>
      <c r="K12569" s="68"/>
    </row>
    <row r="12570" spans="2:11" ht="12.75">
      <c r="B12570" s="4"/>
      <c r="D12570" s="67"/>
      <c r="G12570" s="68"/>
      <c r="K12570" s="68"/>
    </row>
    <row r="12571" spans="2:11" ht="12.75">
      <c r="B12571" s="4"/>
      <c r="D12571" s="67"/>
      <c r="G12571" s="68"/>
      <c r="K12571" s="68"/>
    </row>
    <row r="12572" spans="2:11" ht="12.75">
      <c r="B12572" s="4"/>
      <c r="D12572" s="67"/>
      <c r="G12572" s="68"/>
      <c r="K12572" s="68"/>
    </row>
    <row r="12573" spans="2:11" ht="12.75">
      <c r="B12573" s="4"/>
      <c r="D12573" s="67"/>
      <c r="G12573" s="68"/>
      <c r="K12573" s="68"/>
    </row>
    <row r="12574" spans="2:11" ht="12.75">
      <c r="B12574" s="4"/>
      <c r="D12574" s="67"/>
      <c r="G12574" s="68"/>
      <c r="K12574" s="68"/>
    </row>
    <row r="12575" spans="2:11" ht="12.75">
      <c r="B12575" s="4"/>
      <c r="D12575" s="67"/>
      <c r="G12575" s="68"/>
      <c r="K12575" s="68"/>
    </row>
    <row r="12576" spans="2:11" ht="12.75">
      <c r="B12576" s="4"/>
      <c r="D12576" s="67"/>
      <c r="G12576" s="68"/>
      <c r="K12576" s="68"/>
    </row>
    <row r="12577" spans="2:11" ht="12.75">
      <c r="B12577" s="4"/>
      <c r="D12577" s="67"/>
      <c r="G12577" s="68"/>
      <c r="K12577" s="68"/>
    </row>
    <row r="12578" spans="2:11" ht="12.75">
      <c r="B12578" s="4"/>
      <c r="D12578" s="67"/>
      <c r="G12578" s="68"/>
      <c r="K12578" s="68"/>
    </row>
    <row r="12579" spans="2:11" ht="12.75">
      <c r="B12579" s="4"/>
      <c r="D12579" s="67"/>
      <c r="G12579" s="68"/>
      <c r="K12579" s="68"/>
    </row>
    <row r="12580" spans="2:11" ht="12.75">
      <c r="B12580" s="4"/>
      <c r="D12580" s="67"/>
      <c r="G12580" s="68"/>
      <c r="K12580" s="68"/>
    </row>
    <row r="12581" spans="2:11" ht="12.75">
      <c r="B12581" s="4"/>
      <c r="D12581" s="67"/>
      <c r="G12581" s="68"/>
      <c r="K12581" s="68"/>
    </row>
    <row r="12582" spans="2:11" ht="12.75">
      <c r="B12582" s="4"/>
      <c r="D12582" s="67"/>
      <c r="G12582" s="68"/>
      <c r="K12582" s="68"/>
    </row>
    <row r="12583" spans="2:11" ht="12.75">
      <c r="B12583" s="4"/>
      <c r="D12583" s="67"/>
      <c r="G12583" s="68"/>
      <c r="K12583" s="68"/>
    </row>
    <row r="12584" spans="2:11" ht="12.75">
      <c r="B12584" s="4"/>
      <c r="D12584" s="67"/>
      <c r="G12584" s="68"/>
      <c r="K12584" s="68"/>
    </row>
    <row r="12585" spans="2:11" ht="12.75">
      <c r="B12585" s="4"/>
      <c r="D12585" s="67"/>
      <c r="G12585" s="68"/>
      <c r="K12585" s="68"/>
    </row>
    <row r="12586" spans="2:11" ht="12.75">
      <c r="B12586" s="4"/>
      <c r="D12586" s="67"/>
      <c r="G12586" s="68"/>
      <c r="K12586" s="68"/>
    </row>
    <row r="12587" spans="2:11" ht="12.75">
      <c r="B12587" s="4"/>
      <c r="D12587" s="67"/>
      <c r="G12587" s="68"/>
      <c r="K12587" s="68"/>
    </row>
    <row r="12588" spans="2:11" ht="12.75">
      <c r="B12588" s="4"/>
      <c r="D12588" s="67"/>
      <c r="G12588" s="68"/>
      <c r="K12588" s="68"/>
    </row>
    <row r="12589" spans="2:11" ht="12.75">
      <c r="B12589" s="4"/>
      <c r="D12589" s="67"/>
      <c r="G12589" s="68"/>
      <c r="K12589" s="68"/>
    </row>
    <row r="12590" spans="2:11" ht="12.75">
      <c r="B12590" s="4"/>
      <c r="D12590" s="67"/>
      <c r="G12590" s="68"/>
      <c r="K12590" s="68"/>
    </row>
    <row r="12591" spans="2:11" ht="12.75">
      <c r="B12591" s="4"/>
      <c r="D12591" s="67"/>
      <c r="G12591" s="68"/>
      <c r="K12591" s="68"/>
    </row>
    <row r="12592" spans="2:11" ht="12.75">
      <c r="B12592" s="4"/>
      <c r="D12592" s="67"/>
      <c r="G12592" s="68"/>
      <c r="K12592" s="68"/>
    </row>
    <row r="12593" spans="2:11" ht="12.75">
      <c r="B12593" s="4"/>
      <c r="D12593" s="67"/>
      <c r="G12593" s="68"/>
      <c r="K12593" s="68"/>
    </row>
    <row r="12594" spans="2:11" ht="12.75">
      <c r="B12594" s="4"/>
      <c r="D12594" s="67"/>
      <c r="G12594" s="68"/>
      <c r="K12594" s="68"/>
    </row>
    <row r="12595" spans="2:11" ht="12.75">
      <c r="B12595" s="4"/>
      <c r="D12595" s="67"/>
      <c r="G12595" s="68"/>
      <c r="K12595" s="68"/>
    </row>
    <row r="12596" spans="2:11" ht="12.75">
      <c r="B12596" s="4"/>
      <c r="D12596" s="67"/>
      <c r="G12596" s="68"/>
      <c r="K12596" s="68"/>
    </row>
    <row r="12597" spans="2:11" ht="12.75">
      <c r="B12597" s="4"/>
      <c r="D12597" s="67"/>
      <c r="G12597" s="68"/>
      <c r="K12597" s="68"/>
    </row>
    <row r="12598" spans="2:11" ht="12.75">
      <c r="B12598" s="4"/>
      <c r="D12598" s="67"/>
      <c r="G12598" s="68"/>
      <c r="K12598" s="68"/>
    </row>
    <row r="12599" spans="2:11" ht="12.75">
      <c r="B12599" s="4"/>
      <c r="D12599" s="67"/>
      <c r="G12599" s="68"/>
      <c r="K12599" s="68"/>
    </row>
    <row r="12600" spans="2:11" ht="12.75">
      <c r="B12600" s="4"/>
      <c r="D12600" s="67"/>
      <c r="G12600" s="68"/>
      <c r="K12600" s="68"/>
    </row>
    <row r="12601" spans="2:11" ht="12.75">
      <c r="B12601" s="4"/>
      <c r="D12601" s="67"/>
      <c r="G12601" s="68"/>
      <c r="K12601" s="68"/>
    </row>
    <row r="12602" spans="2:11" ht="12.75">
      <c r="B12602" s="4"/>
      <c r="D12602" s="67"/>
      <c r="G12602" s="68"/>
      <c r="K12602" s="68"/>
    </row>
    <row r="12603" spans="2:11" ht="12.75">
      <c r="B12603" s="4"/>
      <c r="D12603" s="67"/>
      <c r="G12603" s="68"/>
      <c r="K12603" s="68"/>
    </row>
    <row r="12604" spans="2:11" ht="12.75">
      <c r="B12604" s="4"/>
      <c r="D12604" s="67"/>
      <c r="G12604" s="68"/>
      <c r="K12604" s="68"/>
    </row>
    <row r="12605" spans="2:11" ht="12.75">
      <c r="B12605" s="4"/>
      <c r="D12605" s="67"/>
      <c r="G12605" s="68"/>
      <c r="K12605" s="68"/>
    </row>
    <row r="12606" spans="2:11" ht="12.75">
      <c r="B12606" s="4"/>
      <c r="D12606" s="67"/>
      <c r="G12606" s="68"/>
      <c r="K12606" s="68"/>
    </row>
    <row r="12607" spans="2:11" ht="12.75">
      <c r="B12607" s="4"/>
      <c r="D12607" s="67"/>
      <c r="G12607" s="68"/>
      <c r="K12607" s="68"/>
    </row>
    <row r="12608" spans="2:11" ht="12.75">
      <c r="B12608" s="4"/>
      <c r="D12608" s="67"/>
      <c r="G12608" s="68"/>
      <c r="K12608" s="68"/>
    </row>
    <row r="12609" spans="2:11" ht="12.75">
      <c r="B12609" s="4"/>
      <c r="D12609" s="67"/>
      <c r="G12609" s="68"/>
      <c r="K12609" s="68"/>
    </row>
    <row r="12610" spans="2:11" ht="12.75">
      <c r="B12610" s="4"/>
      <c r="D12610" s="67"/>
      <c r="G12610" s="68"/>
      <c r="K12610" s="68"/>
    </row>
    <row r="12611" spans="2:11" ht="12.75">
      <c r="B12611" s="4"/>
      <c r="D12611" s="67"/>
      <c r="G12611" s="68"/>
      <c r="K12611" s="68"/>
    </row>
    <row r="12612" spans="2:11" ht="12.75">
      <c r="B12612" s="4"/>
      <c r="D12612" s="67"/>
      <c r="G12612" s="68"/>
      <c r="K12612" s="68"/>
    </row>
    <row r="12613" spans="2:11" ht="12.75">
      <c r="B12613" s="4"/>
      <c r="D12613" s="67"/>
      <c r="G12613" s="68"/>
      <c r="K12613" s="68"/>
    </row>
    <row r="12614" spans="2:11" ht="12.75">
      <c r="B12614" s="4"/>
      <c r="D12614" s="67"/>
      <c r="G12614" s="68"/>
      <c r="K12614" s="68"/>
    </row>
    <row r="12615" spans="2:11" ht="12.75">
      <c r="B12615" s="4"/>
      <c r="D12615" s="67"/>
      <c r="G12615" s="68"/>
      <c r="K12615" s="68"/>
    </row>
    <row r="12616" spans="2:11" ht="12.75">
      <c r="B12616" s="4"/>
      <c r="D12616" s="67"/>
      <c r="G12616" s="68"/>
      <c r="K12616" s="68"/>
    </row>
    <row r="12617" spans="2:11" ht="12.75">
      <c r="B12617" s="4"/>
      <c r="D12617" s="67"/>
      <c r="G12617" s="68"/>
      <c r="K12617" s="68"/>
    </row>
    <row r="12618" spans="2:11" ht="12.75">
      <c r="B12618" s="4"/>
      <c r="D12618" s="67"/>
      <c r="G12618" s="68"/>
      <c r="K12618" s="68"/>
    </row>
    <row r="12619" spans="2:11" ht="12.75">
      <c r="B12619" s="4"/>
      <c r="D12619" s="67"/>
      <c r="G12619" s="68"/>
      <c r="K12619" s="68"/>
    </row>
    <row r="12620" spans="2:11" ht="12.75">
      <c r="B12620" s="4"/>
      <c r="D12620" s="67"/>
      <c r="G12620" s="68"/>
      <c r="K12620" s="68"/>
    </row>
    <row r="12621" spans="2:11" ht="12.75">
      <c r="B12621" s="4"/>
      <c r="D12621" s="67"/>
      <c r="G12621" s="68"/>
      <c r="K12621" s="68"/>
    </row>
    <row r="12622" spans="2:11" ht="12.75">
      <c r="B12622" s="4"/>
      <c r="D12622" s="67"/>
      <c r="G12622" s="68"/>
      <c r="K12622" s="68"/>
    </row>
    <row r="12623" spans="2:11" ht="12.75">
      <c r="B12623" s="4"/>
      <c r="D12623" s="67"/>
      <c r="G12623" s="68"/>
      <c r="K12623" s="68"/>
    </row>
    <row r="12624" spans="2:11" ht="12.75">
      <c r="B12624" s="4"/>
      <c r="D12624" s="67"/>
      <c r="G12624" s="68"/>
      <c r="K12624" s="68"/>
    </row>
    <row r="12625" spans="2:11" ht="12.75">
      <c r="B12625" s="4"/>
      <c r="D12625" s="67"/>
      <c r="G12625" s="68"/>
      <c r="K12625" s="68"/>
    </row>
    <row r="12626" spans="2:11" ht="12.75">
      <c r="B12626" s="4"/>
      <c r="D12626" s="67"/>
      <c r="G12626" s="68"/>
      <c r="K12626" s="68"/>
    </row>
    <row r="12627" spans="2:11" ht="12.75">
      <c r="B12627" s="4"/>
      <c r="D12627" s="67"/>
      <c r="G12627" s="68"/>
      <c r="K12627" s="68"/>
    </row>
    <row r="12628" spans="2:11" ht="12.75">
      <c r="B12628" s="4"/>
      <c r="D12628" s="67"/>
      <c r="G12628" s="68"/>
      <c r="K12628" s="68"/>
    </row>
    <row r="12629" spans="2:11" ht="12.75">
      <c r="B12629" s="4"/>
      <c r="D12629" s="67"/>
      <c r="G12629" s="68"/>
      <c r="K12629" s="68"/>
    </row>
    <row r="12630" spans="2:11" ht="12.75">
      <c r="B12630" s="4"/>
      <c r="D12630" s="67"/>
      <c r="G12630" s="68"/>
      <c r="K12630" s="68"/>
    </row>
    <row r="12631" spans="2:11" ht="12.75">
      <c r="B12631" s="4"/>
      <c r="D12631" s="67"/>
      <c r="G12631" s="68"/>
      <c r="K12631" s="68"/>
    </row>
    <row r="12632" spans="2:11" ht="12.75">
      <c r="B12632" s="4"/>
      <c r="D12632" s="67"/>
      <c r="G12632" s="68"/>
      <c r="K12632" s="68"/>
    </row>
    <row r="12633" spans="2:11" ht="12.75">
      <c r="B12633" s="4"/>
      <c r="D12633" s="67"/>
      <c r="G12633" s="68"/>
      <c r="K12633" s="68"/>
    </row>
    <row r="12634" spans="2:11" ht="12.75">
      <c r="B12634" s="4"/>
      <c r="D12634" s="67"/>
      <c r="G12634" s="68"/>
      <c r="K12634" s="68"/>
    </row>
    <row r="12635" spans="2:11" ht="12.75">
      <c r="B12635" s="4"/>
      <c r="D12635" s="67"/>
      <c r="G12635" s="68"/>
      <c r="K12635" s="68"/>
    </row>
    <row r="12636" spans="2:11" ht="12.75">
      <c r="B12636" s="4"/>
      <c r="D12636" s="67"/>
      <c r="G12636" s="68"/>
      <c r="K12636" s="68"/>
    </row>
    <row r="12637" spans="2:11" ht="12.75">
      <c r="B12637" s="4"/>
      <c r="D12637" s="67"/>
      <c r="G12637" s="68"/>
      <c r="K12637" s="68"/>
    </row>
    <row r="12638" spans="2:11" ht="12.75">
      <c r="B12638" s="4"/>
      <c r="D12638" s="67"/>
      <c r="G12638" s="68"/>
      <c r="K12638" s="68"/>
    </row>
    <row r="12639" spans="2:11" ht="12.75">
      <c r="B12639" s="4"/>
      <c r="D12639" s="67"/>
      <c r="G12639" s="68"/>
      <c r="K12639" s="68"/>
    </row>
    <row r="12640" spans="2:11" ht="12.75">
      <c r="B12640" s="4"/>
      <c r="D12640" s="67"/>
      <c r="G12640" s="68"/>
      <c r="K12640" s="68"/>
    </row>
    <row r="12641" spans="2:11" ht="12.75">
      <c r="B12641" s="4"/>
      <c r="D12641" s="67"/>
      <c r="G12641" s="68"/>
      <c r="K12641" s="68"/>
    </row>
    <row r="12642" spans="2:11" ht="12.75">
      <c r="B12642" s="4"/>
      <c r="D12642" s="67"/>
      <c r="G12642" s="68"/>
      <c r="K12642" s="68"/>
    </row>
    <row r="12643" spans="2:11" ht="12.75">
      <c r="B12643" s="4"/>
      <c r="D12643" s="67"/>
      <c r="G12643" s="68"/>
      <c r="K12643" s="68"/>
    </row>
    <row r="12644" spans="2:11" ht="12.75">
      <c r="B12644" s="4"/>
      <c r="D12644" s="67"/>
      <c r="G12644" s="68"/>
      <c r="K12644" s="68"/>
    </row>
    <row r="12645" spans="2:11" ht="12.75">
      <c r="B12645" s="4"/>
      <c r="D12645" s="67"/>
      <c r="G12645" s="68"/>
      <c r="K12645" s="68"/>
    </row>
    <row r="12646" spans="2:11" ht="12.75">
      <c r="B12646" s="4"/>
      <c r="D12646" s="67"/>
      <c r="G12646" s="68"/>
      <c r="K12646" s="68"/>
    </row>
    <row r="12647" spans="2:11" ht="12.75">
      <c r="B12647" s="4"/>
      <c r="D12647" s="67"/>
      <c r="G12647" s="68"/>
      <c r="K12647" s="68"/>
    </row>
    <row r="12648" spans="2:11" ht="12.75">
      <c r="B12648" s="4"/>
      <c r="D12648" s="67"/>
      <c r="G12648" s="68"/>
      <c r="K12648" s="68"/>
    </row>
    <row r="12649" spans="2:11" ht="12.75">
      <c r="B12649" s="4"/>
      <c r="D12649" s="67"/>
      <c r="G12649" s="68"/>
      <c r="K12649" s="68"/>
    </row>
    <row r="12650" spans="2:11" ht="12.75">
      <c r="B12650" s="4"/>
      <c r="D12650" s="67"/>
      <c r="G12650" s="68"/>
      <c r="K12650" s="68"/>
    </row>
    <row r="12651" spans="2:11" ht="12.75">
      <c r="B12651" s="4"/>
      <c r="D12651" s="67"/>
      <c r="G12651" s="68"/>
      <c r="K12651" s="68"/>
    </row>
    <row r="12652" spans="2:11" ht="12.75">
      <c r="B12652" s="4"/>
      <c r="D12652" s="67"/>
      <c r="G12652" s="68"/>
      <c r="K12652" s="68"/>
    </row>
    <row r="12653" spans="2:11" ht="12.75">
      <c r="B12653" s="4"/>
      <c r="D12653" s="67"/>
      <c r="G12653" s="68"/>
      <c r="K12653" s="68"/>
    </row>
    <row r="12654" spans="2:11" ht="12.75">
      <c r="B12654" s="4"/>
      <c r="D12654" s="67"/>
      <c r="G12654" s="68"/>
      <c r="K12654" s="68"/>
    </row>
    <row r="12655" spans="2:11" ht="12.75">
      <c r="B12655" s="4"/>
      <c r="D12655" s="67"/>
      <c r="G12655" s="68"/>
      <c r="K12655" s="68"/>
    </row>
    <row r="12656" spans="2:11" ht="12.75">
      <c r="B12656" s="4"/>
      <c r="D12656" s="67"/>
      <c r="G12656" s="68"/>
      <c r="K12656" s="68"/>
    </row>
    <row r="12657" spans="2:11" ht="12.75">
      <c r="B12657" s="4"/>
      <c r="D12657" s="67"/>
      <c r="G12657" s="68"/>
      <c r="K12657" s="68"/>
    </row>
    <row r="12658" spans="2:11" ht="12.75">
      <c r="B12658" s="4"/>
      <c r="D12658" s="67"/>
      <c r="G12658" s="68"/>
      <c r="K12658" s="68"/>
    </row>
    <row r="12659" spans="2:11" ht="12.75">
      <c r="B12659" s="4"/>
      <c r="D12659" s="67"/>
      <c r="G12659" s="68"/>
      <c r="K12659" s="68"/>
    </row>
    <row r="12660" spans="2:11" ht="12.75">
      <c r="B12660" s="4"/>
      <c r="D12660" s="67"/>
      <c r="G12660" s="68"/>
      <c r="K12660" s="68"/>
    </row>
    <row r="12661" spans="2:11" ht="12.75">
      <c r="B12661" s="4"/>
      <c r="D12661" s="67"/>
      <c r="G12661" s="68"/>
      <c r="K12661" s="68"/>
    </row>
    <row r="12662" spans="2:11" ht="12.75">
      <c r="B12662" s="4"/>
      <c r="D12662" s="67"/>
      <c r="G12662" s="68"/>
      <c r="K12662" s="68"/>
    </row>
    <row r="12663" spans="2:11" ht="12.75">
      <c r="B12663" s="4"/>
      <c r="D12663" s="67"/>
      <c r="G12663" s="68"/>
      <c r="K12663" s="68"/>
    </row>
    <row r="12664" spans="2:11" ht="12.75">
      <c r="B12664" s="4"/>
      <c r="D12664" s="67"/>
      <c r="G12664" s="68"/>
      <c r="K12664" s="68"/>
    </row>
    <row r="12665" spans="2:11" ht="12.75">
      <c r="B12665" s="4"/>
      <c r="D12665" s="67"/>
      <c r="G12665" s="68"/>
      <c r="K12665" s="68"/>
    </row>
    <row r="12666" spans="2:11" ht="12.75">
      <c r="B12666" s="4"/>
      <c r="D12666" s="67"/>
      <c r="G12666" s="68"/>
      <c r="K12666" s="68"/>
    </row>
    <row r="12667" spans="2:11" ht="12.75">
      <c r="B12667" s="4"/>
      <c r="D12667" s="67"/>
      <c r="G12667" s="68"/>
      <c r="K12667" s="68"/>
    </row>
    <row r="12668" spans="2:11" ht="12.75">
      <c r="B12668" s="4"/>
      <c r="D12668" s="67"/>
      <c r="G12668" s="68"/>
      <c r="K12668" s="68"/>
    </row>
    <row r="12669" spans="2:11" ht="12.75">
      <c r="B12669" s="4"/>
      <c r="D12669" s="67"/>
      <c r="G12669" s="68"/>
      <c r="K12669" s="68"/>
    </row>
    <row r="12670" spans="2:11" ht="12.75">
      <c r="B12670" s="4"/>
      <c r="D12670" s="67"/>
      <c r="G12670" s="68"/>
      <c r="K12670" s="68"/>
    </row>
    <row r="12671" spans="2:11" ht="12.75">
      <c r="B12671" s="4"/>
      <c r="D12671" s="67"/>
      <c r="G12671" s="68"/>
      <c r="K12671" s="68"/>
    </row>
    <row r="12672" spans="2:11" ht="12.75">
      <c r="B12672" s="4"/>
      <c r="D12672" s="67"/>
      <c r="G12672" s="68"/>
      <c r="K12672" s="68"/>
    </row>
    <row r="12673" spans="2:11" ht="12.75">
      <c r="B12673" s="4"/>
      <c r="D12673" s="67"/>
      <c r="G12673" s="68"/>
      <c r="K12673" s="68"/>
    </row>
    <row r="12674" spans="2:11" ht="12.75">
      <c r="B12674" s="4"/>
      <c r="D12674" s="67"/>
      <c r="G12674" s="68"/>
      <c r="K12674" s="68"/>
    </row>
    <row r="12675" spans="2:11" ht="12.75">
      <c r="B12675" s="4"/>
      <c r="D12675" s="67"/>
      <c r="G12675" s="68"/>
      <c r="K12675" s="68"/>
    </row>
    <row r="12676" spans="2:11" ht="12.75">
      <c r="B12676" s="4"/>
      <c r="D12676" s="67"/>
      <c r="G12676" s="68"/>
      <c r="K12676" s="68"/>
    </row>
    <row r="12677" spans="2:11" ht="12.75">
      <c r="B12677" s="4"/>
      <c r="D12677" s="67"/>
      <c r="G12677" s="68"/>
      <c r="K12677" s="68"/>
    </row>
    <row r="12678" spans="2:11" ht="12.75">
      <c r="B12678" s="4"/>
      <c r="D12678" s="67"/>
      <c r="G12678" s="68"/>
      <c r="K12678" s="68"/>
    </row>
    <row r="12679" spans="2:11" ht="12.75">
      <c r="B12679" s="4"/>
      <c r="D12679" s="67"/>
      <c r="G12679" s="68"/>
      <c r="K12679" s="68"/>
    </row>
    <row r="12680" spans="2:11" ht="12.75">
      <c r="B12680" s="4"/>
      <c r="D12680" s="67"/>
      <c r="G12680" s="68"/>
      <c r="K12680" s="68"/>
    </row>
    <row r="12681" spans="2:11" ht="12.75">
      <c r="B12681" s="4"/>
      <c r="D12681" s="67"/>
      <c r="G12681" s="68"/>
      <c r="K12681" s="68"/>
    </row>
    <row r="12682" spans="2:11" ht="12.75">
      <c r="B12682" s="4"/>
      <c r="D12682" s="67"/>
      <c r="G12682" s="68"/>
      <c r="K12682" s="68"/>
    </row>
    <row r="12683" spans="2:11" ht="12.75">
      <c r="B12683" s="4"/>
      <c r="D12683" s="67"/>
      <c r="G12683" s="68"/>
      <c r="K12683" s="68"/>
    </row>
    <row r="12684" spans="2:11" ht="12.75">
      <c r="B12684" s="4"/>
      <c r="D12684" s="67"/>
      <c r="G12684" s="68"/>
      <c r="K12684" s="68"/>
    </row>
    <row r="12685" spans="2:11" ht="12.75">
      <c r="B12685" s="4"/>
      <c r="D12685" s="67"/>
      <c r="G12685" s="68"/>
      <c r="K12685" s="68"/>
    </row>
    <row r="12686" spans="2:11" ht="12.75">
      <c r="B12686" s="4"/>
      <c r="D12686" s="67"/>
      <c r="G12686" s="68"/>
      <c r="K12686" s="68"/>
    </row>
    <row r="12687" spans="2:11" ht="12.75">
      <c r="B12687" s="4"/>
      <c r="D12687" s="67"/>
      <c r="G12687" s="68"/>
      <c r="K12687" s="68"/>
    </row>
    <row r="12688" spans="2:11" ht="12.75">
      <c r="B12688" s="4"/>
      <c r="D12688" s="67"/>
      <c r="G12688" s="68"/>
      <c r="K12688" s="68"/>
    </row>
    <row r="12689" spans="2:11" ht="12.75">
      <c r="B12689" s="4"/>
      <c r="D12689" s="67"/>
      <c r="G12689" s="68"/>
      <c r="K12689" s="68"/>
    </row>
    <row r="12690" spans="2:11" ht="12.75">
      <c r="B12690" s="4"/>
      <c r="D12690" s="67"/>
      <c r="G12690" s="68"/>
      <c r="K12690" s="68"/>
    </row>
    <row r="12691" spans="2:11" ht="12.75">
      <c r="B12691" s="4"/>
      <c r="D12691" s="67"/>
      <c r="G12691" s="68"/>
      <c r="K12691" s="68"/>
    </row>
    <row r="12692" spans="2:11" ht="12.75">
      <c r="B12692" s="4"/>
      <c r="D12692" s="67"/>
      <c r="G12692" s="68"/>
      <c r="K12692" s="68"/>
    </row>
    <row r="12693" spans="2:11" ht="12.75">
      <c r="B12693" s="4"/>
      <c r="D12693" s="67"/>
      <c r="G12693" s="68"/>
      <c r="K12693" s="68"/>
    </row>
    <row r="12694" spans="2:11" ht="12.75">
      <c r="B12694" s="4"/>
      <c r="D12694" s="67"/>
      <c r="G12694" s="68"/>
      <c r="K12694" s="68"/>
    </row>
    <row r="12695" spans="2:11" ht="12.75">
      <c r="B12695" s="4"/>
      <c r="D12695" s="67"/>
      <c r="G12695" s="68"/>
      <c r="K12695" s="68"/>
    </row>
    <row r="12696" spans="2:11" ht="12.75">
      <c r="B12696" s="4"/>
      <c r="D12696" s="67"/>
      <c r="G12696" s="68"/>
      <c r="K12696" s="68"/>
    </row>
    <row r="12697" spans="2:11" ht="12.75">
      <c r="B12697" s="4"/>
      <c r="D12697" s="67"/>
      <c r="G12697" s="68"/>
      <c r="K12697" s="68"/>
    </row>
    <row r="12698" spans="2:11" ht="12.75">
      <c r="B12698" s="4"/>
      <c r="D12698" s="67"/>
      <c r="G12698" s="68"/>
      <c r="K12698" s="68"/>
    </row>
    <row r="12699" spans="2:11" ht="12.75">
      <c r="B12699" s="4"/>
      <c r="D12699" s="67"/>
      <c r="G12699" s="68"/>
      <c r="K12699" s="68"/>
    </row>
    <row r="12700" spans="2:11" ht="12.75">
      <c r="B12700" s="4"/>
      <c r="D12700" s="67"/>
      <c r="G12700" s="68"/>
      <c r="K12700" s="68"/>
    </row>
    <row r="12701" spans="2:11" ht="12.75">
      <c r="B12701" s="4"/>
      <c r="D12701" s="67"/>
      <c r="G12701" s="68"/>
      <c r="K12701" s="68"/>
    </row>
    <row r="12702" spans="2:11" ht="12.75">
      <c r="B12702" s="4"/>
      <c r="D12702" s="67"/>
      <c r="G12702" s="68"/>
      <c r="K12702" s="68"/>
    </row>
    <row r="12703" spans="2:11" ht="12.75">
      <c r="B12703" s="4"/>
      <c r="D12703" s="67"/>
      <c r="G12703" s="68"/>
      <c r="K12703" s="68"/>
    </row>
    <row r="12704" spans="2:11" ht="12.75">
      <c r="B12704" s="4"/>
      <c r="D12704" s="67"/>
      <c r="G12704" s="68"/>
      <c r="K12704" s="68"/>
    </row>
    <row r="12705" spans="2:11" ht="12.75">
      <c r="B12705" s="4"/>
      <c r="D12705" s="67"/>
      <c r="G12705" s="68"/>
      <c r="K12705" s="68"/>
    </row>
    <row r="12706" spans="2:11" ht="12.75">
      <c r="B12706" s="4"/>
      <c r="D12706" s="67"/>
      <c r="G12706" s="68"/>
      <c r="K12706" s="68"/>
    </row>
    <row r="12707" spans="2:11" ht="12.75">
      <c r="B12707" s="4"/>
      <c r="D12707" s="67"/>
      <c r="G12707" s="68"/>
      <c r="K12707" s="68"/>
    </row>
    <row r="12708" spans="2:11" ht="12.75">
      <c r="B12708" s="4"/>
      <c r="D12708" s="67"/>
      <c r="G12708" s="68"/>
      <c r="K12708" s="68"/>
    </row>
    <row r="12709" spans="2:11" ht="12.75">
      <c r="B12709" s="4"/>
      <c r="D12709" s="67"/>
      <c r="G12709" s="68"/>
      <c r="K12709" s="68"/>
    </row>
    <row r="12710" spans="2:11" ht="12.75">
      <c r="B12710" s="4"/>
      <c r="D12710" s="67"/>
      <c r="G12710" s="68"/>
      <c r="K12710" s="68"/>
    </row>
    <row r="12711" spans="2:11" ht="12.75">
      <c r="B12711" s="4"/>
      <c r="D12711" s="67"/>
      <c r="G12711" s="68"/>
      <c r="K12711" s="68"/>
    </row>
    <row r="12712" spans="2:11" ht="12.75">
      <c r="B12712" s="4"/>
      <c r="D12712" s="67"/>
      <c r="G12712" s="68"/>
      <c r="K12712" s="68"/>
    </row>
    <row r="12713" spans="2:11" ht="12.75">
      <c r="B12713" s="4"/>
      <c r="D12713" s="67"/>
      <c r="G12713" s="68"/>
      <c r="K12713" s="68"/>
    </row>
    <row r="12714" spans="2:11" ht="12.75">
      <c r="B12714" s="4"/>
      <c r="D12714" s="67"/>
      <c r="G12714" s="68"/>
      <c r="K12714" s="68"/>
    </row>
    <row r="12715" spans="2:11" ht="12.75">
      <c r="B12715" s="4"/>
      <c r="D12715" s="67"/>
      <c r="G12715" s="68"/>
      <c r="K12715" s="68"/>
    </row>
    <row r="12716" spans="2:11" ht="12.75">
      <c r="B12716" s="4"/>
      <c r="D12716" s="67"/>
      <c r="G12716" s="68"/>
      <c r="K12716" s="68"/>
    </row>
    <row r="12717" spans="2:11" ht="12.75">
      <c r="B12717" s="4"/>
      <c r="D12717" s="67"/>
      <c r="G12717" s="68"/>
      <c r="K12717" s="68"/>
    </row>
    <row r="12718" spans="2:11" ht="12.75">
      <c r="B12718" s="4"/>
      <c r="D12718" s="67"/>
      <c r="G12718" s="68"/>
      <c r="K12718" s="68"/>
    </row>
    <row r="12719" spans="2:11" ht="12.75">
      <c r="B12719" s="4"/>
      <c r="D12719" s="67"/>
      <c r="G12719" s="68"/>
      <c r="K12719" s="68"/>
    </row>
    <row r="12720" spans="2:11" ht="12.75">
      <c r="B12720" s="4"/>
      <c r="D12720" s="67"/>
      <c r="G12720" s="68"/>
      <c r="K12720" s="68"/>
    </row>
    <row r="12721" spans="2:11" ht="12.75">
      <c r="B12721" s="4"/>
      <c r="D12721" s="67"/>
      <c r="G12721" s="68"/>
      <c r="K12721" s="68"/>
    </row>
    <row r="12722" spans="2:11" ht="12.75">
      <c r="B12722" s="4"/>
      <c r="D12722" s="67"/>
      <c r="G12722" s="68"/>
      <c r="K12722" s="68"/>
    </row>
    <row r="12723" spans="2:11" ht="12.75">
      <c r="B12723" s="4"/>
      <c r="D12723" s="67"/>
      <c r="G12723" s="68"/>
      <c r="K12723" s="68"/>
    </row>
    <row r="12724" spans="2:11" ht="12.75">
      <c r="B12724" s="4"/>
      <c r="D12724" s="67"/>
      <c r="G12724" s="68"/>
      <c r="K12724" s="68"/>
    </row>
    <row r="12725" spans="2:11" ht="12.75">
      <c r="B12725" s="4"/>
      <c r="D12725" s="67"/>
      <c r="G12725" s="68"/>
      <c r="K12725" s="68"/>
    </row>
    <row r="12726" spans="2:11" ht="12.75">
      <c r="B12726" s="4"/>
      <c r="D12726" s="67"/>
      <c r="G12726" s="68"/>
      <c r="K12726" s="68"/>
    </row>
    <row r="12727" spans="2:11" ht="12.75">
      <c r="B12727" s="4"/>
      <c r="D12727" s="67"/>
      <c r="G12727" s="68"/>
      <c r="K12727" s="68"/>
    </row>
    <row r="12728" spans="2:11" ht="12.75">
      <c r="B12728" s="4"/>
      <c r="D12728" s="67"/>
      <c r="G12728" s="68"/>
      <c r="K12728" s="68"/>
    </row>
    <row r="12729" spans="2:11" ht="12.75">
      <c r="B12729" s="4"/>
      <c r="D12729" s="67"/>
      <c r="G12729" s="68"/>
      <c r="K12729" s="68"/>
    </row>
    <row r="12730" spans="2:11" ht="12.75">
      <c r="B12730" s="4"/>
      <c r="D12730" s="67"/>
      <c r="G12730" s="68"/>
      <c r="K12730" s="68"/>
    </row>
    <row r="12731" spans="2:11" ht="12.75">
      <c r="B12731" s="4"/>
      <c r="D12731" s="67"/>
      <c r="G12731" s="68"/>
      <c r="K12731" s="68"/>
    </row>
    <row r="12732" spans="2:11" ht="12.75">
      <c r="B12732" s="4"/>
      <c r="D12732" s="67"/>
      <c r="G12732" s="68"/>
      <c r="K12732" s="68"/>
    </row>
    <row r="12733" spans="2:11" ht="12.75">
      <c r="B12733" s="4"/>
      <c r="D12733" s="67"/>
      <c r="G12733" s="68"/>
      <c r="K12733" s="68"/>
    </row>
    <row r="12734" spans="2:11" ht="12.75">
      <c r="B12734" s="4"/>
      <c r="D12734" s="67"/>
      <c r="G12734" s="68"/>
      <c r="K12734" s="68"/>
    </row>
    <row r="12735" spans="2:11" ht="12.75">
      <c r="B12735" s="4"/>
      <c r="D12735" s="67"/>
      <c r="G12735" s="68"/>
      <c r="K12735" s="68"/>
    </row>
    <row r="12736" spans="2:11" ht="12.75">
      <c r="B12736" s="4"/>
      <c r="D12736" s="67"/>
      <c r="G12736" s="68"/>
      <c r="K12736" s="68"/>
    </row>
    <row r="12737" spans="2:11" ht="12.75">
      <c r="B12737" s="4"/>
      <c r="D12737" s="67"/>
      <c r="G12737" s="68"/>
      <c r="K12737" s="68"/>
    </row>
    <row r="12738" spans="2:11" ht="12.75">
      <c r="B12738" s="4"/>
      <c r="D12738" s="67"/>
      <c r="G12738" s="68"/>
      <c r="K12738" s="68"/>
    </row>
    <row r="12739" spans="2:11" ht="12.75">
      <c r="B12739" s="4"/>
      <c r="D12739" s="67"/>
      <c r="G12739" s="68"/>
      <c r="K12739" s="68"/>
    </row>
    <row r="12740" spans="2:11" ht="12.75">
      <c r="B12740" s="4"/>
      <c r="D12740" s="67"/>
      <c r="G12740" s="68"/>
      <c r="K12740" s="68"/>
    </row>
    <row r="12741" spans="2:11" ht="12.75">
      <c r="B12741" s="4"/>
      <c r="D12741" s="67"/>
      <c r="G12741" s="68"/>
      <c r="K12741" s="68"/>
    </row>
    <row r="12742" spans="2:11" ht="12.75">
      <c r="B12742" s="4"/>
      <c r="D12742" s="67"/>
      <c r="G12742" s="68"/>
      <c r="K12742" s="68"/>
    </row>
    <row r="12743" spans="2:11" ht="12.75">
      <c r="B12743" s="4"/>
      <c r="D12743" s="67"/>
      <c r="G12743" s="68"/>
      <c r="K12743" s="68"/>
    </row>
    <row r="12744" spans="2:11" ht="12.75">
      <c r="B12744" s="4"/>
      <c r="D12744" s="67"/>
      <c r="G12744" s="68"/>
      <c r="K12744" s="68"/>
    </row>
    <row r="12745" spans="2:11" ht="12.75">
      <c r="B12745" s="4"/>
      <c r="D12745" s="67"/>
      <c r="G12745" s="68"/>
      <c r="K12745" s="68"/>
    </row>
    <row r="12746" spans="2:11" ht="12.75">
      <c r="B12746" s="4"/>
      <c r="D12746" s="67"/>
      <c r="G12746" s="68"/>
      <c r="K12746" s="68"/>
    </row>
    <row r="12747" spans="2:11" ht="12.75">
      <c r="B12747" s="4"/>
      <c r="D12747" s="67"/>
      <c r="G12747" s="68"/>
      <c r="K12747" s="68"/>
    </row>
    <row r="12748" spans="2:11" ht="12.75">
      <c r="B12748" s="4"/>
      <c r="D12748" s="67"/>
      <c r="G12748" s="68"/>
      <c r="K12748" s="68"/>
    </row>
    <row r="12749" spans="2:11" ht="12.75">
      <c r="B12749" s="4"/>
      <c r="D12749" s="67"/>
      <c r="G12749" s="68"/>
      <c r="K12749" s="68"/>
    </row>
    <row r="12750" spans="2:11" ht="12.75">
      <c r="B12750" s="4"/>
      <c r="D12750" s="67"/>
      <c r="G12750" s="68"/>
      <c r="K12750" s="68"/>
    </row>
    <row r="12751" spans="2:11" ht="12.75">
      <c r="B12751" s="4"/>
      <c r="D12751" s="67"/>
      <c r="G12751" s="68"/>
      <c r="K12751" s="68"/>
    </row>
    <row r="12752" spans="2:11" ht="12.75">
      <c r="B12752" s="4"/>
      <c r="D12752" s="67"/>
      <c r="G12752" s="68"/>
      <c r="K12752" s="68"/>
    </row>
    <row r="12753" spans="2:11" ht="12.75">
      <c r="B12753" s="4"/>
      <c r="D12753" s="67"/>
      <c r="G12753" s="68"/>
      <c r="K12753" s="68"/>
    </row>
    <row r="12754" spans="2:11" ht="12.75">
      <c r="B12754" s="4"/>
      <c r="D12754" s="67"/>
      <c r="G12754" s="68"/>
      <c r="K12754" s="68"/>
    </row>
    <row r="12755" spans="2:11" ht="12.75">
      <c r="B12755" s="4"/>
      <c r="D12755" s="67"/>
      <c r="G12755" s="68"/>
      <c r="K12755" s="68"/>
    </row>
    <row r="12756" spans="2:11" ht="12.75">
      <c r="B12756" s="4"/>
      <c r="D12756" s="67"/>
      <c r="G12756" s="68"/>
      <c r="K12756" s="68"/>
    </row>
    <row r="12757" spans="2:11" ht="12.75">
      <c r="B12757" s="4"/>
      <c r="D12757" s="67"/>
      <c r="G12757" s="68"/>
      <c r="K12757" s="68"/>
    </row>
    <row r="12758" spans="2:11" ht="12.75">
      <c r="B12758" s="4"/>
      <c r="D12758" s="67"/>
      <c r="G12758" s="68"/>
      <c r="K12758" s="68"/>
    </row>
    <row r="12759" spans="2:11" ht="12.75">
      <c r="B12759" s="4"/>
      <c r="D12759" s="67"/>
      <c r="G12759" s="68"/>
      <c r="K12759" s="68"/>
    </row>
    <row r="12760" spans="2:11" ht="12.75">
      <c r="B12760" s="4"/>
      <c r="D12760" s="67"/>
      <c r="G12760" s="68"/>
      <c r="K12760" s="68"/>
    </row>
    <row r="12761" spans="2:11" ht="12.75">
      <c r="B12761" s="4"/>
      <c r="D12761" s="67"/>
      <c r="G12761" s="68"/>
      <c r="K12761" s="68"/>
    </row>
    <row r="12762" spans="2:11" ht="12.75">
      <c r="B12762" s="4"/>
      <c r="D12762" s="67"/>
      <c r="G12762" s="68"/>
      <c r="K12762" s="68"/>
    </row>
    <row r="12763" spans="2:11" ht="12.75">
      <c r="B12763" s="4"/>
      <c r="D12763" s="67"/>
      <c r="G12763" s="68"/>
      <c r="K12763" s="68"/>
    </row>
    <row r="12764" spans="2:11" ht="12.75">
      <c r="B12764" s="4"/>
      <c r="D12764" s="67"/>
      <c r="G12764" s="68"/>
      <c r="K12764" s="68"/>
    </row>
    <row r="12765" spans="2:11" ht="12.75">
      <c r="B12765" s="4"/>
      <c r="D12765" s="67"/>
      <c r="G12765" s="68"/>
      <c r="K12765" s="68"/>
    </row>
    <row r="12766" spans="2:11" ht="12.75">
      <c r="B12766" s="4"/>
      <c r="D12766" s="67"/>
      <c r="G12766" s="68"/>
      <c r="K12766" s="68"/>
    </row>
    <row r="12767" spans="2:11" ht="12.75">
      <c r="B12767" s="4"/>
      <c r="D12767" s="67"/>
      <c r="G12767" s="68"/>
      <c r="K12767" s="68"/>
    </row>
    <row r="12768" spans="2:11" ht="12.75">
      <c r="B12768" s="4"/>
      <c r="D12768" s="67"/>
      <c r="G12768" s="68"/>
      <c r="K12768" s="68"/>
    </row>
    <row r="12769" spans="2:11" ht="12.75">
      <c r="B12769" s="4"/>
      <c r="D12769" s="67"/>
      <c r="G12769" s="68"/>
      <c r="K12769" s="68"/>
    </row>
    <row r="12770" spans="2:11" ht="12.75">
      <c r="B12770" s="4"/>
      <c r="D12770" s="67"/>
      <c r="G12770" s="68"/>
      <c r="K12770" s="68"/>
    </row>
    <row r="12771" spans="2:11" ht="12.75">
      <c r="B12771" s="4"/>
      <c r="D12771" s="67"/>
      <c r="G12771" s="68"/>
      <c r="K12771" s="68"/>
    </row>
    <row r="12772" spans="2:11" ht="12.75">
      <c r="B12772" s="4"/>
      <c r="D12772" s="67"/>
      <c r="G12772" s="68"/>
      <c r="K12772" s="68"/>
    </row>
    <row r="12773" spans="2:11" ht="12.75">
      <c r="B12773" s="4"/>
      <c r="D12773" s="67"/>
      <c r="G12773" s="68"/>
      <c r="K12773" s="68"/>
    </row>
    <row r="12774" spans="2:11" ht="12.75">
      <c r="B12774" s="4"/>
      <c r="D12774" s="67"/>
      <c r="G12774" s="68"/>
      <c r="K12774" s="68"/>
    </row>
    <row r="12775" spans="2:11" ht="12.75">
      <c r="B12775" s="4"/>
      <c r="D12775" s="67"/>
      <c r="G12775" s="68"/>
      <c r="K12775" s="68"/>
    </row>
    <row r="12776" spans="2:11" ht="12.75">
      <c r="B12776" s="4"/>
      <c r="D12776" s="67"/>
      <c r="G12776" s="68"/>
      <c r="K12776" s="68"/>
    </row>
    <row r="12777" spans="2:11" ht="12.75">
      <c r="B12777" s="4"/>
      <c r="D12777" s="67"/>
      <c r="G12777" s="68"/>
      <c r="K12777" s="68"/>
    </row>
    <row r="12778" spans="2:11" ht="12.75">
      <c r="B12778" s="4"/>
      <c r="D12778" s="67"/>
      <c r="G12778" s="68"/>
      <c r="K12778" s="68"/>
    </row>
    <row r="12779" spans="2:11" ht="12.75">
      <c r="B12779" s="4"/>
      <c r="D12779" s="67"/>
      <c r="G12779" s="68"/>
      <c r="K12779" s="68"/>
    </row>
    <row r="12780" spans="2:11" ht="12.75">
      <c r="B12780" s="4"/>
      <c r="D12780" s="67"/>
      <c r="G12780" s="68"/>
      <c r="K12780" s="68"/>
    </row>
    <row r="12781" spans="2:11" ht="12.75">
      <c r="B12781" s="4"/>
      <c r="D12781" s="67"/>
      <c r="G12781" s="68"/>
      <c r="K12781" s="68"/>
    </row>
    <row r="12782" spans="2:11" ht="12.75">
      <c r="B12782" s="4"/>
      <c r="D12782" s="67"/>
      <c r="G12782" s="68"/>
      <c r="K12782" s="68"/>
    </row>
    <row r="12783" spans="2:11" ht="12.75">
      <c r="B12783" s="4"/>
      <c r="D12783" s="67"/>
      <c r="G12783" s="68"/>
      <c r="K12783" s="68"/>
    </row>
    <row r="12784" spans="2:11" ht="12.75">
      <c r="B12784" s="4"/>
      <c r="D12784" s="67"/>
      <c r="G12784" s="68"/>
      <c r="K12784" s="68"/>
    </row>
    <row r="12785" spans="2:11" ht="12.75">
      <c r="B12785" s="4"/>
      <c r="D12785" s="67"/>
      <c r="G12785" s="68"/>
      <c r="K12785" s="68"/>
    </row>
    <row r="12786" spans="2:11" ht="12.75">
      <c r="B12786" s="4"/>
      <c r="D12786" s="67"/>
      <c r="G12786" s="68"/>
      <c r="K12786" s="68"/>
    </row>
    <row r="12787" spans="2:11" ht="12.75">
      <c r="B12787" s="4"/>
      <c r="D12787" s="67"/>
      <c r="G12787" s="68"/>
      <c r="K12787" s="68"/>
    </row>
    <row r="12788" spans="2:11" ht="12.75">
      <c r="B12788" s="4"/>
      <c r="D12788" s="67"/>
      <c r="G12788" s="68"/>
      <c r="K12788" s="68"/>
    </row>
    <row r="12789" spans="2:11" ht="12.75">
      <c r="B12789" s="4"/>
      <c r="D12789" s="67"/>
      <c r="G12789" s="68"/>
      <c r="K12789" s="68"/>
    </row>
    <row r="12790" spans="2:11" ht="12.75">
      <c r="B12790" s="4"/>
      <c r="D12790" s="67"/>
      <c r="G12790" s="68"/>
      <c r="K12790" s="68"/>
    </row>
    <row r="12791" spans="2:11" ht="12.75">
      <c r="B12791" s="4"/>
      <c r="D12791" s="67"/>
      <c r="G12791" s="68"/>
      <c r="K12791" s="68"/>
    </row>
    <row r="12792" spans="2:11" ht="12.75">
      <c r="B12792" s="4"/>
      <c r="D12792" s="67"/>
      <c r="G12792" s="68"/>
      <c r="K12792" s="68"/>
    </row>
    <row r="12793" spans="2:11" ht="12.75">
      <c r="B12793" s="4"/>
      <c r="D12793" s="67"/>
      <c r="G12793" s="68"/>
      <c r="K12793" s="68"/>
    </row>
    <row r="12794" spans="2:11" ht="12.75">
      <c r="B12794" s="4"/>
      <c r="D12794" s="67"/>
      <c r="G12794" s="68"/>
      <c r="K12794" s="68"/>
    </row>
    <row r="12795" spans="2:11" ht="12.75">
      <c r="B12795" s="4"/>
      <c r="D12795" s="67"/>
      <c r="G12795" s="68"/>
      <c r="K12795" s="68"/>
    </row>
    <row r="12796" spans="2:11" ht="12.75">
      <c r="B12796" s="4"/>
      <c r="D12796" s="67"/>
      <c r="G12796" s="68"/>
      <c r="K12796" s="68"/>
    </row>
    <row r="12797" spans="2:11" ht="12.75">
      <c r="B12797" s="4"/>
      <c r="D12797" s="67"/>
      <c r="G12797" s="68"/>
      <c r="K12797" s="68"/>
    </row>
    <row r="12798" spans="2:11" ht="12.75">
      <c r="B12798" s="4"/>
      <c r="D12798" s="67"/>
      <c r="G12798" s="68"/>
      <c r="K12798" s="68"/>
    </row>
    <row r="12799" spans="2:11" ht="12.75">
      <c r="B12799" s="4"/>
      <c r="D12799" s="67"/>
      <c r="G12799" s="68"/>
      <c r="K12799" s="68"/>
    </row>
    <row r="12800" spans="2:11" ht="12.75">
      <c r="B12800" s="4"/>
      <c r="D12800" s="67"/>
      <c r="G12800" s="68"/>
      <c r="K12800" s="68"/>
    </row>
    <row r="12801" spans="2:11" ht="12.75">
      <c r="B12801" s="4"/>
      <c r="D12801" s="67"/>
      <c r="G12801" s="68"/>
      <c r="K12801" s="68"/>
    </row>
    <row r="12802" spans="2:11" ht="12.75">
      <c r="B12802" s="4"/>
      <c r="D12802" s="67"/>
      <c r="G12802" s="68"/>
      <c r="K12802" s="68"/>
    </row>
    <row r="12803" spans="2:11" ht="12.75">
      <c r="B12803" s="4"/>
      <c r="D12803" s="67"/>
      <c r="G12803" s="68"/>
      <c r="K12803" s="68"/>
    </row>
    <row r="12804" spans="2:11" ht="12.75">
      <c r="B12804" s="4"/>
      <c r="D12804" s="67"/>
      <c r="G12804" s="68"/>
      <c r="K12804" s="68"/>
    </row>
    <row r="12805" spans="2:11" ht="12.75">
      <c r="B12805" s="4"/>
      <c r="D12805" s="67"/>
      <c r="G12805" s="68"/>
      <c r="K12805" s="68"/>
    </row>
    <row r="12806" spans="2:11" ht="12.75">
      <c r="B12806" s="4"/>
      <c r="D12806" s="67"/>
      <c r="G12806" s="68"/>
      <c r="K12806" s="68"/>
    </row>
    <row r="12807" spans="2:11" ht="12.75">
      <c r="B12807" s="4"/>
      <c r="D12807" s="67"/>
      <c r="G12807" s="68"/>
      <c r="K12807" s="68"/>
    </row>
    <row r="12808" spans="2:11" ht="12.75">
      <c r="B12808" s="4"/>
      <c r="D12808" s="67"/>
      <c r="G12808" s="68"/>
      <c r="K12808" s="68"/>
    </row>
    <row r="12809" spans="2:11" ht="12.75">
      <c r="B12809" s="4"/>
      <c r="D12809" s="67"/>
      <c r="G12809" s="68"/>
      <c r="K12809" s="68"/>
    </row>
    <row r="12810" spans="2:11" ht="12.75">
      <c r="B12810" s="4"/>
      <c r="D12810" s="67"/>
      <c r="G12810" s="68"/>
      <c r="K12810" s="68"/>
    </row>
    <row r="12811" spans="2:11" ht="12.75">
      <c r="B12811" s="4"/>
      <c r="D12811" s="67"/>
      <c r="G12811" s="68"/>
      <c r="K12811" s="68"/>
    </row>
    <row r="12812" spans="2:11" ht="12.75">
      <c r="B12812" s="4"/>
      <c r="D12812" s="67"/>
      <c r="G12812" s="68"/>
      <c r="K12812" s="68"/>
    </row>
    <row r="12813" spans="2:11" ht="12.75">
      <c r="B12813" s="4"/>
      <c r="D12813" s="67"/>
      <c r="G12813" s="68"/>
      <c r="K12813" s="68"/>
    </row>
    <row r="12814" spans="2:11" ht="12.75">
      <c r="B12814" s="4"/>
      <c r="D12814" s="67"/>
      <c r="G12814" s="68"/>
      <c r="K12814" s="68"/>
    </row>
    <row r="12815" spans="2:11" ht="12.75">
      <c r="B12815" s="4"/>
      <c r="D12815" s="67"/>
      <c r="G12815" s="68"/>
      <c r="K12815" s="68"/>
    </row>
    <row r="12816" spans="2:11" ht="12.75">
      <c r="B12816" s="4"/>
      <c r="D12816" s="67"/>
      <c r="G12816" s="68"/>
      <c r="K12816" s="68"/>
    </row>
    <row r="12817" spans="2:11" ht="12.75">
      <c r="B12817" s="4"/>
      <c r="D12817" s="67"/>
      <c r="G12817" s="68"/>
      <c r="K12817" s="68"/>
    </row>
    <row r="12818" spans="2:11" ht="12.75">
      <c r="B12818" s="4"/>
      <c r="D12818" s="67"/>
      <c r="G12818" s="68"/>
      <c r="K12818" s="68"/>
    </row>
    <row r="12819" spans="2:11" ht="12.75">
      <c r="B12819" s="4"/>
      <c r="D12819" s="67"/>
      <c r="G12819" s="68"/>
      <c r="K12819" s="68"/>
    </row>
    <row r="12820" spans="2:11" ht="12.75">
      <c r="B12820" s="4"/>
      <c r="D12820" s="67"/>
      <c r="G12820" s="68"/>
      <c r="K12820" s="68"/>
    </row>
    <row r="12821" spans="2:11" ht="12.75">
      <c r="B12821" s="4"/>
      <c r="D12821" s="67"/>
      <c r="G12821" s="68"/>
      <c r="K12821" s="68"/>
    </row>
    <row r="12822" spans="2:11" ht="12.75">
      <c r="B12822" s="4"/>
      <c r="D12822" s="67"/>
      <c r="G12822" s="68"/>
      <c r="K12822" s="68"/>
    </row>
    <row r="12823" spans="2:11" ht="12.75">
      <c r="B12823" s="4"/>
      <c r="D12823" s="67"/>
      <c r="G12823" s="68"/>
      <c r="K12823" s="68"/>
    </row>
    <row r="12824" spans="2:11" ht="12.75">
      <c r="B12824" s="4"/>
      <c r="D12824" s="67"/>
      <c r="G12824" s="68"/>
      <c r="K12824" s="68"/>
    </row>
    <row r="12825" spans="2:11" ht="12.75">
      <c r="B12825" s="4"/>
      <c r="D12825" s="67"/>
      <c r="G12825" s="68"/>
      <c r="K12825" s="68"/>
    </row>
    <row r="12826" spans="2:11" ht="12.75">
      <c r="B12826" s="4"/>
      <c r="D12826" s="67"/>
      <c r="G12826" s="68"/>
      <c r="K12826" s="68"/>
    </row>
    <row r="12827" spans="2:11" ht="12.75">
      <c r="B12827" s="4"/>
      <c r="D12827" s="67"/>
      <c r="G12827" s="68"/>
      <c r="K12827" s="68"/>
    </row>
    <row r="12828" spans="2:11" ht="12.75">
      <c r="B12828" s="4"/>
      <c r="D12828" s="67"/>
      <c r="G12828" s="68"/>
      <c r="K12828" s="68"/>
    </row>
    <row r="12829" spans="2:11" ht="12.75">
      <c r="B12829" s="4"/>
      <c r="D12829" s="67"/>
      <c r="G12829" s="68"/>
      <c r="K12829" s="68"/>
    </row>
    <row r="12830" spans="2:11" ht="12.75">
      <c r="B12830" s="4"/>
      <c r="D12830" s="67"/>
      <c r="G12830" s="68"/>
      <c r="K12830" s="68"/>
    </row>
    <row r="12831" spans="2:11" ht="12.75">
      <c r="B12831" s="4"/>
      <c r="D12831" s="67"/>
      <c r="G12831" s="68"/>
      <c r="K12831" s="68"/>
    </row>
    <row r="12832" spans="2:11" ht="12.75">
      <c r="B12832" s="4"/>
      <c r="D12832" s="67"/>
      <c r="G12832" s="68"/>
      <c r="K12832" s="68"/>
    </row>
    <row r="12833" spans="2:11" ht="12.75">
      <c r="B12833" s="4"/>
      <c r="D12833" s="67"/>
      <c r="G12833" s="68"/>
      <c r="K12833" s="68"/>
    </row>
    <row r="12834" spans="2:11" ht="12.75">
      <c r="B12834" s="4"/>
      <c r="D12834" s="67"/>
      <c r="G12834" s="68"/>
      <c r="K12834" s="68"/>
    </row>
    <row r="12835" spans="2:11" ht="12.75">
      <c r="B12835" s="4"/>
      <c r="D12835" s="67"/>
      <c r="G12835" s="68"/>
      <c r="K12835" s="68"/>
    </row>
    <row r="12836" spans="2:11" ht="12.75">
      <c r="B12836" s="4"/>
      <c r="D12836" s="67"/>
      <c r="G12836" s="68"/>
      <c r="K12836" s="68"/>
    </row>
    <row r="12837" spans="2:11" ht="12.75">
      <c r="B12837" s="4"/>
      <c r="D12837" s="67"/>
      <c r="G12837" s="68"/>
      <c r="K12837" s="68"/>
    </row>
    <row r="12838" spans="2:11" ht="12.75">
      <c r="B12838" s="4"/>
      <c r="D12838" s="67"/>
      <c r="G12838" s="68"/>
      <c r="K12838" s="68"/>
    </row>
    <row r="12839" spans="2:11" ht="12.75">
      <c r="B12839" s="4"/>
      <c r="D12839" s="67"/>
      <c r="G12839" s="68"/>
      <c r="K12839" s="68"/>
    </row>
    <row r="12840" spans="2:11" ht="12.75">
      <c r="B12840" s="4"/>
      <c r="D12840" s="67"/>
      <c r="G12840" s="68"/>
      <c r="K12840" s="68"/>
    </row>
    <row r="12841" spans="2:11" ht="12.75">
      <c r="B12841" s="4"/>
      <c r="D12841" s="67"/>
      <c r="G12841" s="68"/>
      <c r="K12841" s="68"/>
    </row>
    <row r="12842" spans="2:11" ht="12.75">
      <c r="B12842" s="4"/>
      <c r="D12842" s="67"/>
      <c r="G12842" s="68"/>
      <c r="K12842" s="68"/>
    </row>
    <row r="12843" spans="2:11" ht="12.75">
      <c r="B12843" s="4"/>
      <c r="D12843" s="67"/>
      <c r="G12843" s="68"/>
      <c r="K12843" s="68"/>
    </row>
    <row r="12844" spans="2:11" ht="12.75">
      <c r="B12844" s="4"/>
      <c r="D12844" s="67"/>
      <c r="G12844" s="68"/>
      <c r="K12844" s="68"/>
    </row>
    <row r="12845" spans="2:11" ht="12.75">
      <c r="B12845" s="4"/>
      <c r="D12845" s="67"/>
      <c r="G12845" s="68"/>
      <c r="K12845" s="68"/>
    </row>
    <row r="12846" spans="2:11" ht="12.75">
      <c r="B12846" s="4"/>
      <c r="D12846" s="67"/>
      <c r="G12846" s="68"/>
      <c r="K12846" s="68"/>
    </row>
    <row r="12847" spans="2:11" ht="12.75">
      <c r="B12847" s="4"/>
      <c r="D12847" s="67"/>
      <c r="G12847" s="68"/>
      <c r="K12847" s="68"/>
    </row>
    <row r="12848" spans="2:11" ht="12.75">
      <c r="B12848" s="4"/>
      <c r="D12848" s="67"/>
      <c r="G12848" s="68"/>
      <c r="K12848" s="68"/>
    </row>
    <row r="12849" spans="2:11" ht="12.75">
      <c r="B12849" s="4"/>
      <c r="D12849" s="67"/>
      <c r="G12849" s="68"/>
      <c r="K12849" s="68"/>
    </row>
    <row r="12850" spans="2:11" ht="12.75">
      <c r="B12850" s="4"/>
      <c r="D12850" s="67"/>
      <c r="G12850" s="68"/>
      <c r="K12850" s="68"/>
    </row>
    <row r="12851" spans="2:11" ht="12.75">
      <c r="B12851" s="4"/>
      <c r="D12851" s="67"/>
      <c r="G12851" s="68"/>
      <c r="K12851" s="68"/>
    </row>
    <row r="12852" spans="2:11" ht="12.75">
      <c r="B12852" s="4"/>
      <c r="D12852" s="67"/>
      <c r="G12852" s="68"/>
      <c r="K12852" s="68"/>
    </row>
    <row r="12853" spans="2:11" ht="12.75">
      <c r="B12853" s="4"/>
      <c r="D12853" s="67"/>
      <c r="G12853" s="68"/>
      <c r="K12853" s="68"/>
    </row>
    <row r="12854" spans="2:11" ht="12.75">
      <c r="B12854" s="4"/>
      <c r="D12854" s="67"/>
      <c r="G12854" s="68"/>
      <c r="K12854" s="68"/>
    </row>
    <row r="12855" spans="2:11" ht="12.75">
      <c r="B12855" s="4"/>
      <c r="D12855" s="67"/>
      <c r="G12855" s="68"/>
      <c r="K12855" s="68"/>
    </row>
    <row r="12856" spans="2:11" ht="12.75">
      <c r="B12856" s="4"/>
      <c r="D12856" s="67"/>
      <c r="G12856" s="68"/>
      <c r="K12856" s="68"/>
    </row>
    <row r="12857" spans="2:11" ht="12.75">
      <c r="B12857" s="4"/>
      <c r="D12857" s="67"/>
      <c r="G12857" s="68"/>
      <c r="K12857" s="68"/>
    </row>
    <row r="12858" spans="2:11" ht="12.75">
      <c r="B12858" s="4"/>
      <c r="D12858" s="67"/>
      <c r="G12858" s="68"/>
      <c r="K12858" s="68"/>
    </row>
    <row r="12859" spans="2:11" ht="12.75">
      <c r="B12859" s="4"/>
      <c r="D12859" s="67"/>
      <c r="G12859" s="68"/>
      <c r="K12859" s="68"/>
    </row>
    <row r="12860" spans="2:11" ht="12.75">
      <c r="B12860" s="4"/>
      <c r="D12860" s="67"/>
      <c r="G12860" s="68"/>
      <c r="K12860" s="68"/>
    </row>
    <row r="12861" spans="2:11" ht="12.75">
      <c r="B12861" s="4"/>
      <c r="D12861" s="67"/>
      <c r="G12861" s="68"/>
      <c r="K12861" s="68"/>
    </row>
    <row r="12862" spans="2:11" ht="12.75">
      <c r="B12862" s="4"/>
      <c r="D12862" s="67"/>
      <c r="G12862" s="68"/>
      <c r="K12862" s="68"/>
    </row>
    <row r="12863" spans="2:11" ht="12.75">
      <c r="B12863" s="4"/>
      <c r="D12863" s="67"/>
      <c r="G12863" s="68"/>
      <c r="K12863" s="68"/>
    </row>
    <row r="12864" spans="2:11" ht="12.75">
      <c r="B12864" s="4"/>
      <c r="D12864" s="67"/>
      <c r="G12864" s="68"/>
      <c r="K12864" s="68"/>
    </row>
    <row r="12865" spans="2:11" ht="12.75">
      <c r="B12865" s="4"/>
      <c r="D12865" s="67"/>
      <c r="G12865" s="68"/>
      <c r="K12865" s="68"/>
    </row>
    <row r="12866" spans="2:11" ht="12.75">
      <c r="B12866" s="4"/>
      <c r="D12866" s="67"/>
      <c r="G12866" s="68"/>
      <c r="K12866" s="68"/>
    </row>
    <row r="12867" spans="2:11" ht="12.75">
      <c r="B12867" s="4"/>
      <c r="D12867" s="67"/>
      <c r="G12867" s="68"/>
      <c r="K12867" s="68"/>
    </row>
    <row r="12868" spans="2:11" ht="12.75">
      <c r="B12868" s="4"/>
      <c r="D12868" s="67"/>
      <c r="G12868" s="68"/>
      <c r="K12868" s="68"/>
    </row>
    <row r="12869" spans="2:11" ht="12.75">
      <c r="B12869" s="4"/>
      <c r="D12869" s="67"/>
      <c r="G12869" s="68"/>
      <c r="K12869" s="68"/>
    </row>
    <row r="12870" spans="2:11" ht="12.75">
      <c r="B12870" s="4"/>
      <c r="D12870" s="67"/>
      <c r="G12870" s="68"/>
      <c r="K12870" s="68"/>
    </row>
    <row r="12871" spans="2:11" ht="12.75">
      <c r="B12871" s="4"/>
      <c r="D12871" s="67"/>
      <c r="G12871" s="68"/>
      <c r="K12871" s="68"/>
    </row>
    <row r="12872" spans="2:11" ht="12.75">
      <c r="B12872" s="4"/>
      <c r="D12872" s="67"/>
      <c r="G12872" s="68"/>
      <c r="K12872" s="68"/>
    </row>
    <row r="12873" spans="2:11" ht="12.75">
      <c r="B12873" s="4"/>
      <c r="D12873" s="67"/>
      <c r="G12873" s="68"/>
      <c r="K12873" s="68"/>
    </row>
    <row r="12874" spans="2:11" ht="12.75">
      <c r="B12874" s="4"/>
      <c r="D12874" s="67"/>
      <c r="G12874" s="68"/>
      <c r="K12874" s="68"/>
    </row>
    <row r="12875" spans="2:11" ht="12.75">
      <c r="B12875" s="4"/>
      <c r="D12875" s="67"/>
      <c r="G12875" s="68"/>
      <c r="K12875" s="68"/>
    </row>
    <row r="12876" spans="2:11" ht="12.75">
      <c r="B12876" s="4"/>
      <c r="D12876" s="67"/>
      <c r="G12876" s="68"/>
      <c r="K12876" s="68"/>
    </row>
    <row r="12877" spans="2:11" ht="12.75">
      <c r="B12877" s="4"/>
      <c r="D12877" s="67"/>
      <c r="G12877" s="68"/>
      <c r="K12877" s="68"/>
    </row>
    <row r="12878" spans="2:11" ht="12.75">
      <c r="B12878" s="4"/>
      <c r="D12878" s="67"/>
      <c r="G12878" s="68"/>
      <c r="K12878" s="68"/>
    </row>
    <row r="12879" spans="2:11" ht="12.75">
      <c r="B12879" s="4"/>
      <c r="D12879" s="67"/>
      <c r="G12879" s="68"/>
      <c r="K12879" s="68"/>
    </row>
    <row r="12880" spans="2:11" ht="12.75">
      <c r="B12880" s="4"/>
      <c r="D12880" s="67"/>
      <c r="G12880" s="68"/>
      <c r="K12880" s="68"/>
    </row>
    <row r="12881" spans="2:11" ht="12.75">
      <c r="B12881" s="4"/>
      <c r="D12881" s="67"/>
      <c r="G12881" s="68"/>
      <c r="K12881" s="68"/>
    </row>
    <row r="12882" spans="2:11" ht="12.75">
      <c r="B12882" s="4"/>
      <c r="D12882" s="67"/>
      <c r="G12882" s="68"/>
      <c r="K12882" s="68"/>
    </row>
    <row r="12883" spans="2:11" ht="12.75">
      <c r="B12883" s="4"/>
      <c r="D12883" s="67"/>
      <c r="G12883" s="68"/>
      <c r="K12883" s="68"/>
    </row>
    <row r="12884" spans="2:11" ht="12.75">
      <c r="B12884" s="4"/>
      <c r="D12884" s="67"/>
      <c r="G12884" s="68"/>
      <c r="K12884" s="68"/>
    </row>
    <row r="12885" spans="2:11" ht="12.75">
      <c r="B12885" s="4"/>
      <c r="D12885" s="67"/>
      <c r="G12885" s="68"/>
      <c r="K12885" s="68"/>
    </row>
    <row r="12886" spans="2:11" ht="12.75">
      <c r="B12886" s="4"/>
      <c r="D12886" s="67"/>
      <c r="G12886" s="68"/>
      <c r="K12886" s="68"/>
    </row>
    <row r="12887" spans="2:11" ht="12.75">
      <c r="B12887" s="4"/>
      <c r="D12887" s="67"/>
      <c r="G12887" s="68"/>
      <c r="K12887" s="68"/>
    </row>
    <row r="12888" spans="2:11" ht="12.75">
      <c r="B12888" s="4"/>
      <c r="D12888" s="67"/>
      <c r="G12888" s="68"/>
      <c r="K12888" s="68"/>
    </row>
    <row r="12889" spans="2:11" ht="12.75">
      <c r="B12889" s="4"/>
      <c r="D12889" s="67"/>
      <c r="G12889" s="68"/>
      <c r="K12889" s="68"/>
    </row>
    <row r="12890" spans="2:11" ht="12.75">
      <c r="B12890" s="4"/>
      <c r="D12890" s="67"/>
      <c r="G12890" s="68"/>
      <c r="K12890" s="68"/>
    </row>
    <row r="12891" spans="2:11" ht="12.75">
      <c r="B12891" s="4"/>
      <c r="D12891" s="67"/>
      <c r="G12891" s="68"/>
      <c r="K12891" s="68"/>
    </row>
    <row r="12892" spans="2:11" ht="12.75">
      <c r="B12892" s="4"/>
      <c r="D12892" s="67"/>
      <c r="G12892" s="68"/>
      <c r="K12892" s="68"/>
    </row>
    <row r="12893" spans="2:11" ht="12.75">
      <c r="B12893" s="4"/>
      <c r="D12893" s="67"/>
      <c r="G12893" s="68"/>
      <c r="K12893" s="68"/>
    </row>
    <row r="12894" spans="2:11" ht="12.75">
      <c r="B12894" s="4"/>
      <c r="D12894" s="67"/>
      <c r="G12894" s="68"/>
      <c r="K12894" s="68"/>
    </row>
    <row r="12895" spans="2:11" ht="12.75">
      <c r="B12895" s="4"/>
      <c r="D12895" s="67"/>
      <c r="G12895" s="68"/>
      <c r="K12895" s="68"/>
    </row>
    <row r="12896" spans="2:11" ht="12.75">
      <c r="B12896" s="4"/>
      <c r="D12896" s="67"/>
      <c r="G12896" s="68"/>
      <c r="K12896" s="68"/>
    </row>
    <row r="12897" spans="2:11" ht="12.75">
      <c r="B12897" s="4"/>
      <c r="D12897" s="67"/>
      <c r="G12897" s="68"/>
      <c r="K12897" s="68"/>
    </row>
    <row r="12898" spans="2:11" ht="12.75">
      <c r="B12898" s="4"/>
      <c r="D12898" s="67"/>
      <c r="G12898" s="68"/>
      <c r="K12898" s="68"/>
    </row>
    <row r="12899" spans="2:11" ht="12.75">
      <c r="B12899" s="4"/>
      <c r="D12899" s="67"/>
      <c r="G12899" s="68"/>
      <c r="K12899" s="68"/>
    </row>
    <row r="12900" spans="2:11" ht="12.75">
      <c r="B12900" s="4"/>
      <c r="D12900" s="67"/>
      <c r="G12900" s="68"/>
      <c r="K12900" s="68"/>
    </row>
    <row r="12901" spans="2:11" ht="12.75">
      <c r="B12901" s="4"/>
      <c r="D12901" s="67"/>
      <c r="G12901" s="68"/>
      <c r="K12901" s="68"/>
    </row>
    <row r="12902" spans="2:11" ht="12.75">
      <c r="B12902" s="4"/>
      <c r="D12902" s="67"/>
      <c r="G12902" s="68"/>
      <c r="K12902" s="68"/>
    </row>
    <row r="12903" spans="2:11" ht="12.75">
      <c r="B12903" s="4"/>
      <c r="D12903" s="67"/>
      <c r="G12903" s="68"/>
      <c r="K12903" s="68"/>
    </row>
    <row r="12904" spans="2:11" ht="12.75">
      <c r="B12904" s="4"/>
      <c r="D12904" s="67"/>
      <c r="G12904" s="68"/>
      <c r="K12904" s="68"/>
    </row>
    <row r="12905" spans="2:11" ht="12.75">
      <c r="B12905" s="4"/>
      <c r="D12905" s="67"/>
      <c r="G12905" s="68"/>
      <c r="K12905" s="68"/>
    </row>
    <row r="12906" spans="2:11" ht="12.75">
      <c r="B12906" s="4"/>
      <c r="D12906" s="67"/>
      <c r="G12906" s="68"/>
      <c r="K12906" s="68"/>
    </row>
    <row r="12907" spans="2:11" ht="12.75">
      <c r="B12907" s="4"/>
      <c r="D12907" s="67"/>
      <c r="G12907" s="68"/>
      <c r="K12907" s="68"/>
    </row>
    <row r="12908" spans="2:11" ht="12.75">
      <c r="B12908" s="4"/>
      <c r="D12908" s="67"/>
      <c r="G12908" s="68"/>
      <c r="K12908" s="68"/>
    </row>
    <row r="12909" spans="2:11" ht="12.75">
      <c r="B12909" s="4"/>
      <c r="D12909" s="67"/>
      <c r="G12909" s="68"/>
      <c r="K12909" s="68"/>
    </row>
    <row r="12910" spans="2:11" ht="12.75">
      <c r="B12910" s="4"/>
      <c r="D12910" s="67"/>
      <c r="G12910" s="68"/>
      <c r="K12910" s="68"/>
    </row>
    <row r="12911" spans="2:11" ht="12.75">
      <c r="B12911" s="4"/>
      <c r="D12911" s="67"/>
      <c r="G12911" s="68"/>
      <c r="K12911" s="68"/>
    </row>
    <row r="12912" spans="2:11" ht="12.75">
      <c r="B12912" s="4"/>
      <c r="D12912" s="67"/>
      <c r="G12912" s="68"/>
      <c r="K12912" s="68"/>
    </row>
    <row r="12913" spans="2:11" ht="12.75">
      <c r="B12913" s="4"/>
      <c r="D12913" s="67"/>
      <c r="G12913" s="68"/>
      <c r="K12913" s="68"/>
    </row>
    <row r="12914" spans="2:11" ht="12.75">
      <c r="B12914" s="4"/>
      <c r="D12914" s="67"/>
      <c r="G12914" s="68"/>
      <c r="K12914" s="68"/>
    </row>
    <row r="12915" spans="2:11" ht="12.75">
      <c r="B12915" s="4"/>
      <c r="D12915" s="67"/>
      <c r="G12915" s="68"/>
      <c r="K12915" s="68"/>
    </row>
    <row r="12916" spans="2:11" ht="12.75">
      <c r="B12916" s="4"/>
      <c r="D12916" s="67"/>
      <c r="G12916" s="68"/>
      <c r="K12916" s="68"/>
    </row>
    <row r="12917" spans="2:11" ht="12.75">
      <c r="B12917" s="4"/>
      <c r="D12917" s="67"/>
      <c r="G12917" s="68"/>
      <c r="K12917" s="68"/>
    </row>
    <row r="12918" spans="2:11" ht="12.75">
      <c r="B12918" s="4"/>
      <c r="D12918" s="67"/>
      <c r="G12918" s="68"/>
      <c r="K12918" s="68"/>
    </row>
    <row r="12919" spans="2:11" ht="12.75">
      <c r="B12919" s="4"/>
      <c r="D12919" s="67"/>
      <c r="G12919" s="68"/>
      <c r="K12919" s="68"/>
    </row>
    <row r="12920" spans="2:11" ht="12.75">
      <c r="B12920" s="4"/>
      <c r="D12920" s="67"/>
      <c r="G12920" s="68"/>
      <c r="K12920" s="68"/>
    </row>
    <row r="12921" spans="2:11" ht="12.75">
      <c r="B12921" s="4"/>
      <c r="D12921" s="67"/>
      <c r="G12921" s="68"/>
      <c r="K12921" s="68"/>
    </row>
    <row r="12922" spans="2:11" ht="12.75">
      <c r="B12922" s="4"/>
      <c r="D12922" s="67"/>
      <c r="G12922" s="68"/>
      <c r="K12922" s="68"/>
    </row>
    <row r="12923" spans="2:11" ht="12.75">
      <c r="B12923" s="4"/>
      <c r="D12923" s="67"/>
      <c r="G12923" s="68"/>
      <c r="K12923" s="68"/>
    </row>
    <row r="12924" spans="2:11" ht="12.75">
      <c r="B12924" s="4"/>
      <c r="D12924" s="67"/>
      <c r="G12924" s="68"/>
      <c r="K12924" s="68"/>
    </row>
    <row r="12925" spans="2:11" ht="12.75">
      <c r="B12925" s="4"/>
      <c r="D12925" s="67"/>
      <c r="G12925" s="68"/>
      <c r="K12925" s="68"/>
    </row>
    <row r="12926" spans="2:11" ht="12.75">
      <c r="B12926" s="4"/>
      <c r="D12926" s="67"/>
      <c r="G12926" s="68"/>
      <c r="K12926" s="68"/>
    </row>
    <row r="12927" spans="2:11" ht="12.75">
      <c r="B12927" s="4"/>
      <c r="D12927" s="67"/>
      <c r="G12927" s="68"/>
      <c r="K12927" s="68"/>
    </row>
    <row r="12928" spans="2:11" ht="12.75">
      <c r="B12928" s="4"/>
      <c r="D12928" s="67"/>
      <c r="G12928" s="68"/>
      <c r="K12928" s="68"/>
    </row>
    <row r="12929" spans="2:11" ht="12.75">
      <c r="B12929" s="4"/>
      <c r="D12929" s="67"/>
      <c r="G12929" s="68"/>
      <c r="K12929" s="68"/>
    </row>
    <row r="12930" spans="2:11" ht="12.75">
      <c r="B12930" s="4"/>
      <c r="D12930" s="67"/>
      <c r="G12930" s="68"/>
      <c r="K12930" s="68"/>
    </row>
    <row r="12931" spans="2:11" ht="12.75">
      <c r="B12931" s="4"/>
      <c r="D12931" s="67"/>
      <c r="G12931" s="68"/>
      <c r="K12931" s="68"/>
    </row>
    <row r="12932" spans="2:11" ht="12.75">
      <c r="B12932" s="4"/>
      <c r="D12932" s="67"/>
      <c r="G12932" s="68"/>
      <c r="K12932" s="68"/>
    </row>
    <row r="12933" spans="2:11" ht="12.75">
      <c r="B12933" s="4"/>
      <c r="D12933" s="67"/>
      <c r="G12933" s="68"/>
      <c r="K12933" s="68"/>
    </row>
    <row r="12934" spans="2:11" ht="12.75">
      <c r="B12934" s="4"/>
      <c r="D12934" s="67"/>
      <c r="G12934" s="68"/>
      <c r="K12934" s="68"/>
    </row>
    <row r="12935" spans="2:11" ht="12.75">
      <c r="B12935" s="4"/>
      <c r="D12935" s="67"/>
      <c r="G12935" s="68"/>
      <c r="K12935" s="68"/>
    </row>
    <row r="12936" spans="2:11" ht="12.75">
      <c r="B12936" s="4"/>
      <c r="D12936" s="67"/>
      <c r="G12936" s="68"/>
      <c r="K12936" s="68"/>
    </row>
    <row r="12937" spans="2:11" ht="12.75">
      <c r="B12937" s="4"/>
      <c r="D12937" s="67"/>
      <c r="G12937" s="68"/>
      <c r="K12937" s="68"/>
    </row>
    <row r="12938" spans="2:11" ht="12.75">
      <c r="B12938" s="4"/>
      <c r="D12938" s="67"/>
      <c r="G12938" s="68"/>
      <c r="K12938" s="68"/>
    </row>
    <row r="12939" spans="2:11" ht="12.75">
      <c r="B12939" s="4"/>
      <c r="D12939" s="67"/>
      <c r="G12939" s="68"/>
      <c r="K12939" s="68"/>
    </row>
    <row r="12940" spans="2:11" ht="12.75">
      <c r="B12940" s="4"/>
      <c r="D12940" s="67"/>
      <c r="G12940" s="68"/>
      <c r="K12940" s="68"/>
    </row>
    <row r="12941" spans="2:11" ht="12.75">
      <c r="B12941" s="4"/>
      <c r="D12941" s="67"/>
      <c r="G12941" s="68"/>
      <c r="K12941" s="68"/>
    </row>
    <row r="12942" spans="2:11" ht="12.75">
      <c r="B12942" s="4"/>
      <c r="D12942" s="67"/>
      <c r="G12942" s="68"/>
      <c r="K12942" s="68"/>
    </row>
    <row r="12943" spans="2:11" ht="12.75">
      <c r="B12943" s="4"/>
      <c r="D12943" s="67"/>
      <c r="G12943" s="68"/>
      <c r="K12943" s="68"/>
    </row>
    <row r="12944" spans="2:11" ht="12.75">
      <c r="B12944" s="4"/>
      <c r="D12944" s="67"/>
      <c r="G12944" s="68"/>
      <c r="K12944" s="68"/>
    </row>
    <row r="12945" spans="2:11" ht="12.75">
      <c r="B12945" s="4"/>
      <c r="D12945" s="67"/>
      <c r="G12945" s="68"/>
      <c r="K12945" s="68"/>
    </row>
    <row r="12946" spans="2:11" ht="12.75">
      <c r="B12946" s="4"/>
      <c r="D12946" s="67"/>
      <c r="G12946" s="68"/>
      <c r="K12946" s="68"/>
    </row>
    <row r="12947" spans="2:11" ht="12.75">
      <c r="B12947" s="4"/>
      <c r="D12947" s="67"/>
      <c r="G12947" s="68"/>
      <c r="K12947" s="68"/>
    </row>
    <row r="12948" spans="2:11" ht="12.75">
      <c r="B12948" s="4"/>
      <c r="D12948" s="67"/>
      <c r="G12948" s="68"/>
      <c r="K12948" s="68"/>
    </row>
    <row r="12949" spans="2:11" ht="12.75">
      <c r="B12949" s="4"/>
      <c r="D12949" s="67"/>
      <c r="G12949" s="68"/>
      <c r="K12949" s="68"/>
    </row>
    <row r="12950" spans="2:11" ht="12.75">
      <c r="B12950" s="4"/>
      <c r="D12950" s="67"/>
      <c r="G12950" s="68"/>
      <c r="K12950" s="68"/>
    </row>
    <row r="12951" spans="2:11" ht="12.75">
      <c r="B12951" s="4"/>
      <c r="D12951" s="67"/>
      <c r="G12951" s="68"/>
      <c r="K12951" s="68"/>
    </row>
    <row r="12952" spans="2:11" ht="12.75">
      <c r="B12952" s="4"/>
      <c r="D12952" s="67"/>
      <c r="G12952" s="68"/>
      <c r="K12952" s="68"/>
    </row>
    <row r="12953" spans="2:11" ht="12.75">
      <c r="B12953" s="4"/>
      <c r="D12953" s="67"/>
      <c r="G12953" s="68"/>
      <c r="K12953" s="68"/>
    </row>
    <row r="12954" spans="2:11" ht="12.75">
      <c r="B12954" s="4"/>
      <c r="D12954" s="67"/>
      <c r="G12954" s="68"/>
      <c r="K12954" s="68"/>
    </row>
    <row r="12955" spans="2:11" ht="12.75">
      <c r="B12955" s="4"/>
      <c r="D12955" s="67"/>
      <c r="G12955" s="68"/>
      <c r="K12955" s="68"/>
    </row>
    <row r="12956" spans="2:11" ht="12.75">
      <c r="B12956" s="4"/>
      <c r="D12956" s="67"/>
      <c r="G12956" s="68"/>
      <c r="K12956" s="68"/>
    </row>
    <row r="12957" spans="2:11" ht="12.75">
      <c r="B12957" s="4"/>
      <c r="D12957" s="67"/>
      <c r="G12957" s="68"/>
      <c r="K12957" s="68"/>
    </row>
    <row r="12958" spans="2:11" ht="12.75">
      <c r="B12958" s="4"/>
      <c r="D12958" s="67"/>
      <c r="G12958" s="68"/>
      <c r="K12958" s="68"/>
    </row>
    <row r="12959" spans="2:11" ht="12.75">
      <c r="B12959" s="4"/>
      <c r="D12959" s="67"/>
      <c r="G12959" s="68"/>
      <c r="K12959" s="68"/>
    </row>
    <row r="12960" spans="2:11" ht="12.75">
      <c r="B12960" s="4"/>
      <c r="D12960" s="67"/>
      <c r="G12960" s="68"/>
      <c r="K12960" s="68"/>
    </row>
    <row r="12961" spans="2:11" ht="12.75">
      <c r="B12961" s="4"/>
      <c r="D12961" s="67"/>
      <c r="G12961" s="68"/>
      <c r="K12961" s="68"/>
    </row>
    <row r="12962" spans="2:11" ht="12.75">
      <c r="B12962" s="4"/>
      <c r="D12962" s="67"/>
      <c r="G12962" s="68"/>
      <c r="K12962" s="68"/>
    </row>
    <row r="12963" spans="2:11" ht="12.75">
      <c r="B12963" s="4"/>
      <c r="D12963" s="67"/>
      <c r="G12963" s="68"/>
      <c r="K12963" s="68"/>
    </row>
    <row r="12964" spans="2:11" ht="12.75">
      <c r="B12964" s="4"/>
      <c r="D12964" s="67"/>
      <c r="G12964" s="68"/>
      <c r="K12964" s="68"/>
    </row>
    <row r="12965" spans="2:11" ht="12.75">
      <c r="B12965" s="4"/>
      <c r="D12965" s="67"/>
      <c r="G12965" s="68"/>
      <c r="K12965" s="68"/>
    </row>
    <row r="12966" spans="2:11" ht="12.75">
      <c r="B12966" s="4"/>
      <c r="D12966" s="67"/>
      <c r="G12966" s="68"/>
      <c r="K12966" s="68"/>
    </row>
    <row r="12967" spans="2:11" ht="12.75">
      <c r="B12967" s="4"/>
      <c r="D12967" s="67"/>
      <c r="G12967" s="68"/>
      <c r="K12967" s="68"/>
    </row>
    <row r="12968" spans="2:11" ht="12.75">
      <c r="B12968" s="4"/>
      <c r="D12968" s="67"/>
      <c r="G12968" s="68"/>
      <c r="K12968" s="68"/>
    </row>
    <row r="12969" spans="2:11" ht="12.75">
      <c r="B12969" s="4"/>
      <c r="D12969" s="67"/>
      <c r="G12969" s="68"/>
      <c r="K12969" s="68"/>
    </row>
    <row r="12970" spans="2:11" ht="12.75">
      <c r="B12970" s="4"/>
      <c r="D12970" s="67"/>
      <c r="G12970" s="68"/>
      <c r="K12970" s="68"/>
    </row>
    <row r="12971" spans="2:11" ht="12.75">
      <c r="B12971" s="4"/>
      <c r="D12971" s="67"/>
      <c r="G12971" s="68"/>
      <c r="K12971" s="68"/>
    </row>
    <row r="12972" spans="2:11" ht="12.75">
      <c r="B12972" s="4"/>
      <c r="D12972" s="67"/>
      <c r="G12972" s="68"/>
      <c r="K12972" s="68"/>
    </row>
    <row r="12973" spans="2:11" ht="12.75">
      <c r="B12973" s="4"/>
      <c r="D12973" s="67"/>
      <c r="G12973" s="68"/>
      <c r="K12973" s="68"/>
    </row>
    <row r="12974" spans="2:11" ht="12.75">
      <c r="B12974" s="4"/>
      <c r="D12974" s="67"/>
      <c r="G12974" s="68"/>
      <c r="K12974" s="68"/>
    </row>
    <row r="12975" spans="2:11" ht="12.75">
      <c r="B12975" s="4"/>
      <c r="D12975" s="67"/>
      <c r="G12975" s="68"/>
      <c r="K12975" s="68"/>
    </row>
    <row r="12976" spans="2:11" ht="12.75">
      <c r="B12976" s="4"/>
      <c r="D12976" s="67"/>
      <c r="G12976" s="68"/>
      <c r="K12976" s="68"/>
    </row>
    <row r="12977" spans="2:11" ht="12.75">
      <c r="B12977" s="4"/>
      <c r="D12977" s="67"/>
      <c r="G12977" s="68"/>
      <c r="K12977" s="68"/>
    </row>
    <row r="12978" spans="2:11" ht="12.75">
      <c r="B12978" s="4"/>
      <c r="D12978" s="67"/>
      <c r="G12978" s="68"/>
      <c r="K12978" s="68"/>
    </row>
    <row r="12979" spans="2:11" ht="12.75">
      <c r="B12979" s="4"/>
      <c r="D12979" s="67"/>
      <c r="G12979" s="68"/>
      <c r="K12979" s="68"/>
    </row>
    <row r="12980" spans="2:11" ht="12.75">
      <c r="B12980" s="4"/>
      <c r="D12980" s="67"/>
      <c r="G12980" s="68"/>
      <c r="K12980" s="68"/>
    </row>
    <row r="12981" spans="2:11" ht="12.75">
      <c r="B12981" s="4"/>
      <c r="D12981" s="67"/>
      <c r="G12981" s="68"/>
      <c r="K12981" s="68"/>
    </row>
    <row r="12982" spans="2:11" ht="12.75">
      <c r="B12982" s="4"/>
      <c r="D12982" s="67"/>
      <c r="G12982" s="68"/>
      <c r="K12982" s="68"/>
    </row>
    <row r="12983" spans="2:11" ht="12.75">
      <c r="B12983" s="4"/>
      <c r="D12983" s="67"/>
      <c r="G12983" s="68"/>
      <c r="K12983" s="68"/>
    </row>
    <row r="12984" spans="2:11" ht="12.75">
      <c r="B12984" s="4"/>
      <c r="D12984" s="67"/>
      <c r="G12984" s="68"/>
      <c r="K12984" s="68"/>
    </row>
    <row r="12985" spans="2:11" ht="12.75">
      <c r="B12985" s="4"/>
      <c r="D12985" s="67"/>
      <c r="G12985" s="68"/>
      <c r="K12985" s="68"/>
    </row>
    <row r="12986" spans="2:11" ht="12.75">
      <c r="B12986" s="4"/>
      <c r="D12986" s="67"/>
      <c r="G12986" s="68"/>
      <c r="K12986" s="68"/>
    </row>
    <row r="12987" spans="2:11" ht="12.75">
      <c r="B12987" s="4"/>
      <c r="D12987" s="67"/>
      <c r="G12987" s="68"/>
      <c r="K12987" s="68"/>
    </row>
    <row r="12988" spans="2:11" ht="12.75">
      <c r="B12988" s="4"/>
      <c r="D12988" s="67"/>
      <c r="G12988" s="68"/>
      <c r="K12988" s="68"/>
    </row>
    <row r="12989" spans="2:11" ht="12.75">
      <c r="B12989" s="4"/>
      <c r="D12989" s="67"/>
      <c r="G12989" s="68"/>
      <c r="K12989" s="68"/>
    </row>
    <row r="12990" spans="2:11" ht="12.75">
      <c r="B12990" s="4"/>
      <c r="D12990" s="67"/>
      <c r="G12990" s="68"/>
      <c r="K12990" s="68"/>
    </row>
    <row r="12991" spans="2:11" ht="12.75">
      <c r="B12991" s="4"/>
      <c r="D12991" s="67"/>
      <c r="G12991" s="68"/>
      <c r="K12991" s="68"/>
    </row>
    <row r="12992" spans="2:11" ht="12.75">
      <c r="B12992" s="4"/>
      <c r="D12992" s="67"/>
      <c r="G12992" s="68"/>
      <c r="K12992" s="68"/>
    </row>
    <row r="12993" spans="2:11" ht="12.75">
      <c r="B12993" s="4"/>
      <c r="D12993" s="67"/>
      <c r="G12993" s="68"/>
      <c r="K12993" s="68"/>
    </row>
    <row r="12994" spans="2:11" ht="12.75">
      <c r="B12994" s="4"/>
      <c r="D12994" s="67"/>
      <c r="G12994" s="68"/>
      <c r="K12994" s="68"/>
    </row>
    <row r="12995" spans="2:11" ht="12.75">
      <c r="B12995" s="4"/>
      <c r="D12995" s="67"/>
      <c r="G12995" s="68"/>
      <c r="K12995" s="68"/>
    </row>
    <row r="12996" spans="2:11" ht="12.75">
      <c r="B12996" s="4"/>
      <c r="D12996" s="67"/>
      <c r="G12996" s="68"/>
      <c r="K12996" s="68"/>
    </row>
    <row r="12997" spans="2:11" ht="12.75">
      <c r="B12997" s="4"/>
      <c r="D12997" s="67"/>
      <c r="G12997" s="68"/>
      <c r="K12997" s="68"/>
    </row>
    <row r="12998" spans="2:11" ht="12.75">
      <c r="B12998" s="4"/>
      <c r="D12998" s="67"/>
      <c r="G12998" s="68"/>
      <c r="K12998" s="68"/>
    </row>
    <row r="12999" spans="2:11" ht="12.75">
      <c r="B12999" s="4"/>
      <c r="D12999" s="67"/>
      <c r="G12999" s="68"/>
      <c r="K12999" s="68"/>
    </row>
    <row r="13000" spans="2:11" ht="12.75">
      <c r="B13000" s="4"/>
      <c r="D13000" s="67"/>
      <c r="G13000" s="68"/>
      <c r="K13000" s="68"/>
    </row>
    <row r="13001" spans="2:11" ht="12.75">
      <c r="B13001" s="4"/>
      <c r="D13001" s="67"/>
      <c r="G13001" s="68"/>
      <c r="K13001" s="68"/>
    </row>
    <row r="13002" spans="2:11" ht="12.75">
      <c r="B13002" s="4"/>
      <c r="D13002" s="67"/>
      <c r="G13002" s="68"/>
      <c r="K13002" s="68"/>
    </row>
    <row r="13003" spans="2:11" ht="12.75">
      <c r="B13003" s="4"/>
      <c r="D13003" s="67"/>
      <c r="G13003" s="68"/>
      <c r="K13003" s="68"/>
    </row>
    <row r="13004" spans="2:11" ht="12.75">
      <c r="B13004" s="4"/>
      <c r="D13004" s="67"/>
      <c r="G13004" s="68"/>
      <c r="K13004" s="68"/>
    </row>
    <row r="13005" spans="2:11" ht="12.75">
      <c r="B13005" s="4"/>
      <c r="D13005" s="67"/>
      <c r="G13005" s="68"/>
      <c r="K13005" s="68"/>
    </row>
    <row r="13006" spans="2:11" ht="12.75">
      <c r="B13006" s="4"/>
      <c r="D13006" s="67"/>
      <c r="G13006" s="68"/>
      <c r="K13006" s="68"/>
    </row>
    <row r="13007" spans="2:11" ht="12.75">
      <c r="B13007" s="4"/>
      <c r="D13007" s="67"/>
      <c r="G13007" s="68"/>
      <c r="K13007" s="68"/>
    </row>
    <row r="13008" spans="2:11" ht="12.75">
      <c r="B13008" s="4"/>
      <c r="D13008" s="67"/>
      <c r="G13008" s="68"/>
      <c r="K13008" s="68"/>
    </row>
    <row r="13009" spans="2:11" ht="12.75">
      <c r="B13009" s="4"/>
      <c r="D13009" s="67"/>
      <c r="G13009" s="68"/>
      <c r="K13009" s="68"/>
    </row>
    <row r="13010" spans="2:11" ht="12.75">
      <c r="B13010" s="4"/>
      <c r="D13010" s="67"/>
      <c r="G13010" s="68"/>
      <c r="K13010" s="68"/>
    </row>
    <row r="13011" spans="2:11" ht="12.75">
      <c r="B13011" s="4"/>
      <c r="D13011" s="67"/>
      <c r="G13011" s="68"/>
      <c r="K13011" s="68"/>
    </row>
    <row r="13012" spans="2:11" ht="12.75">
      <c r="B13012" s="4"/>
      <c r="D13012" s="67"/>
      <c r="G13012" s="68"/>
      <c r="K13012" s="68"/>
    </row>
    <row r="13013" spans="2:11" ht="12.75">
      <c r="B13013" s="4"/>
      <c r="D13013" s="67"/>
      <c r="G13013" s="68"/>
      <c r="K13013" s="68"/>
    </row>
    <row r="13014" spans="2:11" ht="12.75">
      <c r="B13014" s="4"/>
      <c r="D13014" s="67"/>
      <c r="G13014" s="68"/>
      <c r="K13014" s="68"/>
    </row>
    <row r="13015" spans="2:11" ht="12.75">
      <c r="B13015" s="4"/>
      <c r="D13015" s="67"/>
      <c r="G13015" s="68"/>
      <c r="K13015" s="68"/>
    </row>
    <row r="13016" spans="2:11" ht="12.75">
      <c r="B13016" s="4"/>
      <c r="D13016" s="67"/>
      <c r="G13016" s="68"/>
      <c r="K13016" s="68"/>
    </row>
    <row r="13017" spans="2:11" ht="12.75">
      <c r="B13017" s="4"/>
      <c r="D13017" s="67"/>
      <c r="G13017" s="68"/>
      <c r="K13017" s="68"/>
    </row>
    <row r="13018" spans="2:11" ht="12.75">
      <c r="B13018" s="4"/>
      <c r="D13018" s="67"/>
      <c r="G13018" s="68"/>
      <c r="K13018" s="68"/>
    </row>
    <row r="13019" spans="2:11" ht="12.75">
      <c r="B13019" s="4"/>
      <c r="D13019" s="67"/>
      <c r="G13019" s="68"/>
      <c r="K13019" s="68"/>
    </row>
    <row r="13020" spans="2:11" ht="12.75">
      <c r="B13020" s="4"/>
      <c r="D13020" s="67"/>
      <c r="G13020" s="68"/>
      <c r="K13020" s="68"/>
    </row>
    <row r="13021" spans="2:11" ht="12.75">
      <c r="B13021" s="4"/>
      <c r="D13021" s="67"/>
      <c r="G13021" s="68"/>
      <c r="K13021" s="68"/>
    </row>
    <row r="13022" spans="2:11" ht="12.75">
      <c r="B13022" s="4"/>
      <c r="D13022" s="67"/>
      <c r="G13022" s="68"/>
      <c r="K13022" s="68"/>
    </row>
    <row r="13023" spans="2:11" ht="12.75">
      <c r="B13023" s="4"/>
      <c r="D13023" s="67"/>
      <c r="G13023" s="68"/>
      <c r="K13023" s="68"/>
    </row>
    <row r="13024" spans="2:11" ht="12.75">
      <c r="B13024" s="4"/>
      <c r="D13024" s="67"/>
      <c r="G13024" s="68"/>
      <c r="K13024" s="68"/>
    </row>
    <row r="13025" spans="2:11" ht="12.75">
      <c r="B13025" s="4"/>
      <c r="D13025" s="67"/>
      <c r="G13025" s="68"/>
      <c r="K13025" s="68"/>
    </row>
    <row r="13026" spans="2:11" ht="12.75">
      <c r="B13026" s="4"/>
      <c r="D13026" s="67"/>
      <c r="G13026" s="68"/>
      <c r="K13026" s="68"/>
    </row>
    <row r="13027" spans="2:11" ht="12.75">
      <c r="B13027" s="4"/>
      <c r="D13027" s="67"/>
      <c r="G13027" s="68"/>
      <c r="K13027" s="68"/>
    </row>
    <row r="13028" spans="2:11" ht="12.75">
      <c r="B13028" s="4"/>
      <c r="D13028" s="67"/>
      <c r="G13028" s="68"/>
      <c r="K13028" s="68"/>
    </row>
    <row r="13029" spans="2:11" ht="12.75">
      <c r="B13029" s="4"/>
      <c r="D13029" s="67"/>
      <c r="G13029" s="68"/>
      <c r="K13029" s="68"/>
    </row>
    <row r="13030" spans="2:11" ht="12.75">
      <c r="B13030" s="4"/>
      <c r="D13030" s="67"/>
      <c r="G13030" s="68"/>
      <c r="K13030" s="68"/>
    </row>
    <row r="13031" spans="2:11" ht="12.75">
      <c r="B13031" s="4"/>
      <c r="D13031" s="67"/>
      <c r="G13031" s="68"/>
      <c r="K13031" s="68"/>
    </row>
    <row r="13032" spans="2:11" ht="12.75">
      <c r="B13032" s="4"/>
      <c r="D13032" s="67"/>
      <c r="G13032" s="68"/>
      <c r="K13032" s="68"/>
    </row>
    <row r="13033" spans="2:11" ht="12.75">
      <c r="B13033" s="4"/>
      <c r="D13033" s="67"/>
      <c r="G13033" s="68"/>
      <c r="K13033" s="68"/>
    </row>
    <row r="13034" spans="2:11" ht="12.75">
      <c r="B13034" s="4"/>
      <c r="D13034" s="67"/>
      <c r="G13034" s="68"/>
      <c r="K13034" s="68"/>
    </row>
    <row r="13035" spans="2:11" ht="12.75">
      <c r="B13035" s="4"/>
      <c r="D13035" s="67"/>
      <c r="G13035" s="68"/>
      <c r="K13035" s="68"/>
    </row>
    <row r="13036" spans="2:11" ht="12.75">
      <c r="B13036" s="4"/>
      <c r="D13036" s="67"/>
      <c r="G13036" s="68"/>
      <c r="K13036" s="68"/>
    </row>
    <row r="13037" spans="2:11" ht="12.75">
      <c r="B13037" s="4"/>
      <c r="D13037" s="67"/>
      <c r="G13037" s="68"/>
      <c r="K13037" s="68"/>
    </row>
    <row r="13038" spans="2:11" ht="12.75">
      <c r="B13038" s="4"/>
      <c r="D13038" s="67"/>
      <c r="G13038" s="68"/>
      <c r="K13038" s="68"/>
    </row>
    <row r="13039" spans="2:11" ht="12.75">
      <c r="B13039" s="4"/>
      <c r="D13039" s="67"/>
      <c r="G13039" s="68"/>
      <c r="K13039" s="68"/>
    </row>
    <row r="13040" spans="2:11" ht="12.75">
      <c r="B13040" s="4"/>
      <c r="D13040" s="67"/>
      <c r="G13040" s="68"/>
      <c r="K13040" s="68"/>
    </row>
    <row r="13041" spans="2:11" ht="12.75">
      <c r="B13041" s="4"/>
      <c r="D13041" s="67"/>
      <c r="G13041" s="68"/>
      <c r="K13041" s="68"/>
    </row>
    <row r="13042" spans="2:11" ht="12.75">
      <c r="B13042" s="4"/>
      <c r="D13042" s="67"/>
      <c r="G13042" s="68"/>
      <c r="K13042" s="68"/>
    </row>
    <row r="13043" spans="2:11" ht="12.75">
      <c r="B13043" s="4"/>
      <c r="D13043" s="67"/>
      <c r="G13043" s="68"/>
      <c r="K13043" s="68"/>
    </row>
    <row r="13044" spans="2:11" ht="12.75">
      <c r="B13044" s="4"/>
      <c r="D13044" s="67"/>
      <c r="G13044" s="68"/>
      <c r="K13044" s="68"/>
    </row>
    <row r="13045" spans="2:11" ht="12.75">
      <c r="B13045" s="4"/>
      <c r="D13045" s="67"/>
      <c r="G13045" s="68"/>
      <c r="K13045" s="68"/>
    </row>
    <row r="13046" spans="2:11" ht="12.75">
      <c r="B13046" s="4"/>
      <c r="D13046" s="67"/>
      <c r="G13046" s="68"/>
      <c r="K13046" s="68"/>
    </row>
    <row r="13047" spans="2:11" ht="12.75">
      <c r="B13047" s="4"/>
      <c r="D13047" s="67"/>
      <c r="G13047" s="68"/>
      <c r="K13047" s="68"/>
    </row>
    <row r="13048" spans="2:11" ht="12.75">
      <c r="B13048" s="4"/>
      <c r="D13048" s="67"/>
      <c r="G13048" s="68"/>
      <c r="K13048" s="68"/>
    </row>
    <row r="13049" spans="2:11" ht="12.75">
      <c r="B13049" s="4"/>
      <c r="D13049" s="67"/>
      <c r="G13049" s="68"/>
      <c r="K13049" s="68"/>
    </row>
    <row r="13050" spans="2:11" ht="12.75">
      <c r="B13050" s="4"/>
      <c r="D13050" s="67"/>
      <c r="G13050" s="68"/>
      <c r="K13050" s="68"/>
    </row>
    <row r="13051" spans="2:11" ht="12.75">
      <c r="B13051" s="4"/>
      <c r="D13051" s="67"/>
      <c r="G13051" s="68"/>
      <c r="K13051" s="68"/>
    </row>
    <row r="13052" spans="2:11" ht="12.75">
      <c r="B13052" s="4"/>
      <c r="D13052" s="67"/>
      <c r="G13052" s="68"/>
      <c r="K13052" s="68"/>
    </row>
    <row r="13053" spans="2:11" ht="12.75">
      <c r="B13053" s="4"/>
      <c r="D13053" s="67"/>
      <c r="G13053" s="68"/>
      <c r="K13053" s="68"/>
    </row>
    <row r="13054" spans="2:11" ht="12.75">
      <c r="B13054" s="4"/>
      <c r="D13054" s="67"/>
      <c r="G13054" s="68"/>
      <c r="K13054" s="68"/>
    </row>
    <row r="13055" spans="2:11" ht="12.75">
      <c r="B13055" s="4"/>
      <c r="D13055" s="67"/>
      <c r="G13055" s="68"/>
      <c r="K13055" s="68"/>
    </row>
    <row r="13056" spans="2:11" ht="12.75">
      <c r="B13056" s="4"/>
      <c r="D13056" s="67"/>
      <c r="G13056" s="68"/>
      <c r="K13056" s="68"/>
    </row>
    <row r="13057" spans="2:11" ht="12.75">
      <c r="B13057" s="4"/>
      <c r="D13057" s="67"/>
      <c r="G13057" s="68"/>
      <c r="K13057" s="68"/>
    </row>
    <row r="13058" spans="2:11" ht="12.75">
      <c r="B13058" s="4"/>
      <c r="D13058" s="67"/>
      <c r="G13058" s="68"/>
      <c r="K13058" s="68"/>
    </row>
    <row r="13059" spans="2:11" ht="12.75">
      <c r="B13059" s="4"/>
      <c r="D13059" s="67"/>
      <c r="G13059" s="68"/>
      <c r="K13059" s="68"/>
    </row>
    <row r="13060" spans="2:11" ht="12.75">
      <c r="B13060" s="4"/>
      <c r="D13060" s="67"/>
      <c r="G13060" s="68"/>
      <c r="K13060" s="68"/>
    </row>
    <row r="13061" spans="2:11" ht="12.75">
      <c r="B13061" s="4"/>
      <c r="D13061" s="67"/>
      <c r="G13061" s="68"/>
      <c r="K13061" s="68"/>
    </row>
    <row r="13062" spans="2:11" ht="12.75">
      <c r="B13062" s="4"/>
      <c r="D13062" s="67"/>
      <c r="G13062" s="68"/>
      <c r="K13062" s="68"/>
    </row>
    <row r="13063" spans="2:11" ht="12.75">
      <c r="B13063" s="4"/>
      <c r="D13063" s="67"/>
      <c r="G13063" s="68"/>
      <c r="K13063" s="68"/>
    </row>
    <row r="13064" spans="2:11" ht="12.75">
      <c r="B13064" s="4"/>
      <c r="D13064" s="67"/>
      <c r="G13064" s="68"/>
      <c r="K13064" s="68"/>
    </row>
    <row r="13065" spans="2:11" ht="12.75">
      <c r="B13065" s="4"/>
      <c r="D13065" s="67"/>
      <c r="G13065" s="68"/>
      <c r="K13065" s="68"/>
    </row>
    <row r="13066" spans="2:11" ht="12.75">
      <c r="B13066" s="4"/>
      <c r="D13066" s="67"/>
      <c r="G13066" s="68"/>
      <c r="K13066" s="68"/>
    </row>
    <row r="13067" spans="2:11" ht="12.75">
      <c r="B13067" s="4"/>
      <c r="D13067" s="67"/>
      <c r="G13067" s="68"/>
      <c r="K13067" s="68"/>
    </row>
    <row r="13068" spans="2:11" ht="12.75">
      <c r="B13068" s="4"/>
      <c r="D13068" s="67"/>
      <c r="G13068" s="68"/>
      <c r="K13068" s="68"/>
    </row>
    <row r="13069" spans="2:11" ht="12.75">
      <c r="B13069" s="4"/>
      <c r="D13069" s="67"/>
      <c r="G13069" s="68"/>
      <c r="K13069" s="68"/>
    </row>
    <row r="13070" spans="2:11" ht="12.75">
      <c r="B13070" s="4"/>
      <c r="D13070" s="67"/>
      <c r="G13070" s="68"/>
      <c r="K13070" s="68"/>
    </row>
    <row r="13071" spans="2:11" ht="12.75">
      <c r="B13071" s="4"/>
      <c r="D13071" s="67"/>
      <c r="G13071" s="68"/>
      <c r="K13071" s="68"/>
    </row>
    <row r="13072" spans="2:11" ht="12.75">
      <c r="B13072" s="4"/>
      <c r="D13072" s="67"/>
      <c r="G13072" s="68"/>
      <c r="K13072" s="68"/>
    </row>
    <row r="13073" spans="2:11" ht="12.75">
      <c r="B13073" s="4"/>
      <c r="D13073" s="67"/>
      <c r="G13073" s="68"/>
      <c r="K13073" s="68"/>
    </row>
    <row r="13074" spans="2:11" ht="12.75">
      <c r="B13074" s="4"/>
      <c r="D13074" s="67"/>
      <c r="G13074" s="68"/>
      <c r="K13074" s="68"/>
    </row>
    <row r="13075" spans="2:11" ht="12.75">
      <c r="B13075" s="4"/>
      <c r="D13075" s="67"/>
      <c r="G13075" s="68"/>
      <c r="K13075" s="68"/>
    </row>
    <row r="13076" spans="2:11" ht="12.75">
      <c r="B13076" s="4"/>
      <c r="D13076" s="67"/>
      <c r="G13076" s="68"/>
      <c r="K13076" s="68"/>
    </row>
    <row r="13077" spans="2:11" ht="12.75">
      <c r="B13077" s="4"/>
      <c r="D13077" s="67"/>
      <c r="G13077" s="68"/>
      <c r="K13077" s="68"/>
    </row>
    <row r="13078" spans="2:11" ht="12.75">
      <c r="B13078" s="4"/>
      <c r="D13078" s="67"/>
      <c r="G13078" s="68"/>
      <c r="K13078" s="68"/>
    </row>
    <row r="13079" spans="2:11" ht="12.75">
      <c r="B13079" s="4"/>
      <c r="D13079" s="67"/>
      <c r="G13079" s="68"/>
      <c r="K13079" s="68"/>
    </row>
    <row r="13080" spans="2:11" ht="12.75">
      <c r="B13080" s="4"/>
      <c r="D13080" s="67"/>
      <c r="G13080" s="68"/>
      <c r="K13080" s="68"/>
    </row>
    <row r="13081" spans="2:11" ht="12.75">
      <c r="B13081" s="4"/>
      <c r="D13081" s="67"/>
      <c r="G13081" s="68"/>
      <c r="K13081" s="68"/>
    </row>
    <row r="13082" spans="2:11" ht="12.75">
      <c r="B13082" s="4"/>
      <c r="D13082" s="67"/>
      <c r="G13082" s="68"/>
      <c r="K13082" s="68"/>
    </row>
    <row r="13083" spans="2:11" ht="12.75">
      <c r="B13083" s="4"/>
      <c r="D13083" s="67"/>
      <c r="G13083" s="68"/>
      <c r="K13083" s="68"/>
    </row>
    <row r="13084" spans="2:11" ht="12.75">
      <c r="B13084" s="4"/>
      <c r="D13084" s="67"/>
      <c r="G13084" s="68"/>
      <c r="K13084" s="68"/>
    </row>
    <row r="13085" spans="2:11" ht="12.75">
      <c r="B13085" s="4"/>
      <c r="D13085" s="67"/>
      <c r="G13085" s="68"/>
      <c r="K13085" s="68"/>
    </row>
    <row r="13086" spans="2:11" ht="12.75">
      <c r="B13086" s="4"/>
      <c r="D13086" s="67"/>
      <c r="G13086" s="68"/>
      <c r="K13086" s="68"/>
    </row>
    <row r="13087" spans="2:11" ht="12.75">
      <c r="B13087" s="4"/>
      <c r="D13087" s="67"/>
      <c r="G13087" s="68"/>
      <c r="K13087" s="68"/>
    </row>
    <row r="13088" spans="2:11" ht="12.75">
      <c r="B13088" s="4"/>
      <c r="D13088" s="67"/>
      <c r="G13088" s="68"/>
      <c r="K13088" s="68"/>
    </row>
    <row r="13089" spans="2:11" ht="12.75">
      <c r="B13089" s="4"/>
      <c r="D13089" s="67"/>
      <c r="G13089" s="68"/>
      <c r="K13089" s="68"/>
    </row>
    <row r="13090" spans="2:11" ht="12.75">
      <c r="B13090" s="4"/>
      <c r="D13090" s="67"/>
      <c r="G13090" s="68"/>
      <c r="K13090" s="68"/>
    </row>
    <row r="13091" spans="2:11" ht="12.75">
      <c r="B13091" s="4"/>
      <c r="D13091" s="67"/>
      <c r="G13091" s="68"/>
      <c r="K13091" s="68"/>
    </row>
    <row r="13092" spans="2:11" ht="12.75">
      <c r="B13092" s="4"/>
      <c r="D13092" s="67"/>
      <c r="G13092" s="68"/>
      <c r="K13092" s="68"/>
    </row>
    <row r="13093" spans="2:11" ht="12.75">
      <c r="B13093" s="4"/>
      <c r="D13093" s="67"/>
      <c r="G13093" s="68"/>
      <c r="K13093" s="68"/>
    </row>
    <row r="13094" spans="2:11" ht="12.75">
      <c r="B13094" s="4"/>
      <c r="D13094" s="67"/>
      <c r="G13094" s="68"/>
      <c r="K13094" s="68"/>
    </row>
    <row r="13095" spans="2:11" ht="12.75">
      <c r="B13095" s="4"/>
      <c r="D13095" s="67"/>
      <c r="G13095" s="68"/>
      <c r="K13095" s="68"/>
    </row>
    <row r="13096" spans="2:11" ht="12.75">
      <c r="B13096" s="4"/>
      <c r="D13096" s="67"/>
      <c r="G13096" s="68"/>
      <c r="K13096" s="68"/>
    </row>
    <row r="13097" spans="2:11" ht="12.75">
      <c r="B13097" s="4"/>
      <c r="D13097" s="67"/>
      <c r="G13097" s="68"/>
      <c r="K13097" s="68"/>
    </row>
    <row r="13098" spans="2:11" ht="12.75">
      <c r="B13098" s="4"/>
      <c r="D13098" s="67"/>
      <c r="G13098" s="68"/>
      <c r="K13098" s="68"/>
    </row>
    <row r="13099" spans="2:11" ht="12.75">
      <c r="B13099" s="4"/>
      <c r="D13099" s="67"/>
      <c r="G13099" s="68"/>
      <c r="K13099" s="68"/>
    </row>
    <row r="13100" spans="2:11" ht="12.75">
      <c r="B13100" s="4"/>
      <c r="D13100" s="67"/>
      <c r="G13100" s="68"/>
      <c r="K13100" s="68"/>
    </row>
    <row r="13101" spans="2:11" ht="12.75">
      <c r="B13101" s="4"/>
      <c r="D13101" s="67"/>
      <c r="G13101" s="68"/>
      <c r="K13101" s="68"/>
    </row>
    <row r="13102" spans="2:11" ht="12.75">
      <c r="B13102" s="4"/>
      <c r="D13102" s="67"/>
      <c r="G13102" s="68"/>
      <c r="K13102" s="68"/>
    </row>
    <row r="13103" spans="2:11" ht="12.75">
      <c r="B13103" s="4"/>
      <c r="D13103" s="67"/>
      <c r="G13103" s="68"/>
      <c r="K13103" s="68"/>
    </row>
    <row r="13104" spans="2:11" ht="12.75">
      <c r="B13104" s="4"/>
      <c r="D13104" s="67"/>
      <c r="G13104" s="68"/>
      <c r="K13104" s="68"/>
    </row>
    <row r="13105" spans="2:11" ht="12.75">
      <c r="B13105" s="4"/>
      <c r="D13105" s="67"/>
      <c r="G13105" s="68"/>
      <c r="K13105" s="68"/>
    </row>
    <row r="13106" spans="2:11" ht="12.75">
      <c r="B13106" s="4"/>
      <c r="D13106" s="67"/>
      <c r="G13106" s="68"/>
      <c r="K13106" s="68"/>
    </row>
    <row r="13107" spans="2:11" ht="12.75">
      <c r="B13107" s="4"/>
      <c r="D13107" s="67"/>
      <c r="G13107" s="68"/>
      <c r="K13107" s="68"/>
    </row>
    <row r="13108" spans="2:11" ht="12.75">
      <c r="B13108" s="4"/>
      <c r="D13108" s="67"/>
      <c r="G13108" s="68"/>
      <c r="K13108" s="68"/>
    </row>
    <row r="13109" spans="2:11" ht="12.75">
      <c r="B13109" s="4"/>
      <c r="D13109" s="67"/>
      <c r="G13109" s="68"/>
      <c r="K13109" s="68"/>
    </row>
    <row r="13110" spans="2:11" ht="12.75">
      <c r="B13110" s="4"/>
      <c r="D13110" s="67"/>
      <c r="G13110" s="68"/>
      <c r="K13110" s="68"/>
    </row>
    <row r="13111" spans="2:11" ht="12.75">
      <c r="B13111" s="4"/>
      <c r="D13111" s="67"/>
      <c r="G13111" s="68"/>
      <c r="K13111" s="68"/>
    </row>
    <row r="13112" spans="2:11" ht="12.75">
      <c r="B13112" s="4"/>
      <c r="D13112" s="67"/>
      <c r="G13112" s="68"/>
      <c r="K13112" s="68"/>
    </row>
    <row r="13113" spans="2:11" ht="12.75">
      <c r="B13113" s="4"/>
      <c r="D13113" s="67"/>
      <c r="G13113" s="68"/>
      <c r="K13113" s="68"/>
    </row>
    <row r="13114" spans="2:11" ht="12.75">
      <c r="B13114" s="4"/>
      <c r="D13114" s="67"/>
      <c r="G13114" s="68"/>
      <c r="K13114" s="68"/>
    </row>
    <row r="13115" spans="2:11" ht="12.75">
      <c r="B13115" s="4"/>
      <c r="D13115" s="67"/>
      <c r="G13115" s="68"/>
      <c r="K13115" s="68"/>
    </row>
    <row r="13116" spans="2:11" ht="12.75">
      <c r="B13116" s="4"/>
      <c r="D13116" s="67"/>
      <c r="G13116" s="68"/>
      <c r="K13116" s="68"/>
    </row>
    <row r="13117" spans="2:11" ht="12.75">
      <c r="B13117" s="4"/>
      <c r="D13117" s="67"/>
      <c r="G13117" s="68"/>
      <c r="K13117" s="68"/>
    </row>
    <row r="13118" spans="2:11" ht="12.75">
      <c r="B13118" s="4"/>
      <c r="D13118" s="67"/>
      <c r="G13118" s="68"/>
      <c r="K13118" s="68"/>
    </row>
    <row r="13119" spans="2:11" ht="12.75">
      <c r="B13119" s="4"/>
      <c r="D13119" s="67"/>
      <c r="G13119" s="68"/>
      <c r="K13119" s="68"/>
    </row>
    <row r="13120" spans="2:11" ht="12.75">
      <c r="B13120" s="4"/>
      <c r="D13120" s="67"/>
      <c r="G13120" s="68"/>
      <c r="K13120" s="68"/>
    </row>
    <row r="13121" spans="2:11" ht="12.75">
      <c r="B13121" s="4"/>
      <c r="D13121" s="67"/>
      <c r="G13121" s="68"/>
      <c r="K13121" s="68"/>
    </row>
    <row r="13122" spans="2:11" ht="12.75">
      <c r="B13122" s="4"/>
      <c r="D13122" s="67"/>
      <c r="G13122" s="68"/>
      <c r="K13122" s="68"/>
    </row>
    <row r="13123" spans="2:11" ht="12.75">
      <c r="B13123" s="4"/>
      <c r="D13123" s="67"/>
      <c r="G13123" s="68"/>
      <c r="K13123" s="68"/>
    </row>
    <row r="13124" spans="2:11" ht="12.75">
      <c r="B13124" s="4"/>
      <c r="D13124" s="67"/>
      <c r="G13124" s="68"/>
      <c r="K13124" s="68"/>
    </row>
    <row r="13125" spans="2:11" ht="12.75">
      <c r="B13125" s="4"/>
      <c r="D13125" s="67"/>
      <c r="G13125" s="68"/>
      <c r="K13125" s="68"/>
    </row>
    <row r="13126" spans="2:11" ht="12.75">
      <c r="B13126" s="4"/>
      <c r="D13126" s="67"/>
      <c r="G13126" s="68"/>
      <c r="K13126" s="68"/>
    </row>
    <row r="13127" spans="2:11" ht="12.75">
      <c r="B13127" s="4"/>
      <c r="D13127" s="67"/>
      <c r="G13127" s="68"/>
      <c r="K13127" s="68"/>
    </row>
    <row r="13128" spans="2:11" ht="12.75">
      <c r="B13128" s="4"/>
      <c r="D13128" s="67"/>
      <c r="G13128" s="68"/>
      <c r="K13128" s="68"/>
    </row>
    <row r="13129" spans="2:11" ht="12.75">
      <c r="B13129" s="4"/>
      <c r="D13129" s="67"/>
      <c r="G13129" s="68"/>
      <c r="K13129" s="68"/>
    </row>
    <row r="13130" spans="2:11" ht="12.75">
      <c r="B13130" s="4"/>
      <c r="D13130" s="67"/>
      <c r="G13130" s="68"/>
      <c r="K13130" s="68"/>
    </row>
    <row r="13131" spans="2:11" ht="12.75">
      <c r="B13131" s="4"/>
      <c r="D13131" s="67"/>
      <c r="G13131" s="68"/>
      <c r="K13131" s="68"/>
    </row>
    <row r="13132" spans="2:11" ht="12.75">
      <c r="B13132" s="4"/>
      <c r="D13132" s="67"/>
      <c r="G13132" s="68"/>
      <c r="K13132" s="68"/>
    </row>
    <row r="13133" spans="2:11" ht="12.75">
      <c r="B13133" s="4"/>
      <c r="D13133" s="67"/>
      <c r="G13133" s="68"/>
      <c r="K13133" s="68"/>
    </row>
    <row r="13134" spans="2:11" ht="12.75">
      <c r="B13134" s="4"/>
      <c r="D13134" s="67"/>
      <c r="G13134" s="68"/>
      <c r="K13134" s="68"/>
    </row>
    <row r="13135" spans="2:11" ht="12.75">
      <c r="B13135" s="4"/>
      <c r="D13135" s="67"/>
      <c r="G13135" s="68"/>
      <c r="K13135" s="68"/>
    </row>
    <row r="13136" spans="2:11" ht="12.75">
      <c r="B13136" s="4"/>
      <c r="D13136" s="67"/>
      <c r="G13136" s="68"/>
      <c r="K13136" s="68"/>
    </row>
    <row r="13137" spans="2:11" ht="12.75">
      <c r="B13137" s="4"/>
      <c r="D13137" s="67"/>
      <c r="G13137" s="68"/>
      <c r="K13137" s="68"/>
    </row>
    <row r="13138" spans="2:11" ht="12.75">
      <c r="B13138" s="4"/>
      <c r="D13138" s="67"/>
      <c r="G13138" s="68"/>
      <c r="K13138" s="68"/>
    </row>
    <row r="13139" spans="2:11" ht="12.75">
      <c r="B13139" s="4"/>
      <c r="D13139" s="67"/>
      <c r="G13139" s="68"/>
      <c r="K13139" s="68"/>
    </row>
    <row r="13140" spans="2:11" ht="12.75">
      <c r="B13140" s="4"/>
      <c r="D13140" s="67"/>
      <c r="G13140" s="68"/>
      <c r="K13140" s="68"/>
    </row>
    <row r="13141" spans="2:11" ht="12.75">
      <c r="B13141" s="4"/>
      <c r="D13141" s="67"/>
      <c r="G13141" s="68"/>
      <c r="K13141" s="68"/>
    </row>
    <row r="13142" spans="2:11" ht="12.75">
      <c r="B13142" s="4"/>
      <c r="D13142" s="67"/>
      <c r="G13142" s="68"/>
      <c r="K13142" s="68"/>
    </row>
    <row r="13143" spans="2:11" ht="12.75">
      <c r="B13143" s="4"/>
      <c r="D13143" s="67"/>
      <c r="G13143" s="68"/>
      <c r="K13143" s="68"/>
    </row>
    <row r="13144" spans="2:11" ht="12.75">
      <c r="B13144" s="4"/>
      <c r="D13144" s="67"/>
      <c r="G13144" s="68"/>
      <c r="K13144" s="68"/>
    </row>
    <row r="13145" spans="2:11" ht="12.75">
      <c r="B13145" s="4"/>
      <c r="D13145" s="67"/>
      <c r="G13145" s="68"/>
      <c r="K13145" s="68"/>
    </row>
    <row r="13146" spans="2:11" ht="12.75">
      <c r="B13146" s="4"/>
      <c r="D13146" s="67"/>
      <c r="G13146" s="68"/>
      <c r="K13146" s="68"/>
    </row>
    <row r="13147" spans="2:11" ht="12.75">
      <c r="B13147" s="4"/>
      <c r="D13147" s="67"/>
      <c r="G13147" s="68"/>
      <c r="K13147" s="68"/>
    </row>
    <row r="13148" spans="2:11" ht="12.75">
      <c r="B13148" s="4"/>
      <c r="D13148" s="67"/>
      <c r="G13148" s="68"/>
      <c r="K13148" s="68"/>
    </row>
    <row r="13149" spans="2:11" ht="12.75">
      <c r="B13149" s="4"/>
      <c r="D13149" s="67"/>
      <c r="G13149" s="68"/>
      <c r="K13149" s="68"/>
    </row>
    <row r="13150" spans="2:11" ht="12.75">
      <c r="B13150" s="4"/>
      <c r="D13150" s="67"/>
      <c r="G13150" s="68"/>
      <c r="K13150" s="68"/>
    </row>
    <row r="13151" spans="2:11" ht="12.75">
      <c r="B13151" s="4"/>
      <c r="D13151" s="67"/>
      <c r="G13151" s="68"/>
      <c r="K13151" s="68"/>
    </row>
    <row r="13152" spans="2:11" ht="12.75">
      <c r="B13152" s="4"/>
      <c r="D13152" s="67"/>
      <c r="G13152" s="68"/>
      <c r="K13152" s="68"/>
    </row>
    <row r="13153" spans="2:11" ht="12.75">
      <c r="B13153" s="4"/>
      <c r="D13153" s="67"/>
      <c r="G13153" s="68"/>
      <c r="K13153" s="68"/>
    </row>
    <row r="13154" spans="2:11" ht="12.75">
      <c r="B13154" s="4"/>
      <c r="D13154" s="67"/>
      <c r="G13154" s="68"/>
      <c r="K13154" s="68"/>
    </row>
    <row r="13155" spans="2:11" ht="12.75">
      <c r="B13155" s="4"/>
      <c r="D13155" s="67"/>
      <c r="G13155" s="68"/>
      <c r="K13155" s="68"/>
    </row>
    <row r="13156" spans="2:11" ht="12.75">
      <c r="B13156" s="4"/>
      <c r="D13156" s="67"/>
      <c r="G13156" s="68"/>
      <c r="K13156" s="68"/>
    </row>
    <row r="13157" spans="2:11" ht="12.75">
      <c r="B13157" s="4"/>
      <c r="D13157" s="67"/>
      <c r="G13157" s="68"/>
      <c r="K13157" s="68"/>
    </row>
    <row r="13158" spans="2:11" ht="12.75">
      <c r="B13158" s="4"/>
      <c r="D13158" s="67"/>
      <c r="G13158" s="68"/>
      <c r="K13158" s="68"/>
    </row>
    <row r="13159" spans="2:11" ht="12.75">
      <c r="B13159" s="4"/>
      <c r="D13159" s="67"/>
      <c r="G13159" s="68"/>
      <c r="K13159" s="68"/>
    </row>
    <row r="13160" spans="2:11" ht="12.75">
      <c r="B13160" s="4"/>
      <c r="D13160" s="67"/>
      <c r="G13160" s="68"/>
      <c r="K13160" s="68"/>
    </row>
    <row r="13161" spans="2:11" ht="12.75">
      <c r="B13161" s="4"/>
      <c r="D13161" s="67"/>
      <c r="G13161" s="68"/>
      <c r="K13161" s="68"/>
    </row>
    <row r="13162" spans="2:11" ht="12.75">
      <c r="B13162" s="4"/>
      <c r="D13162" s="67"/>
      <c r="G13162" s="68"/>
      <c r="K13162" s="68"/>
    </row>
    <row r="13163" spans="2:11" ht="12.75">
      <c r="B13163" s="4"/>
      <c r="D13163" s="67"/>
      <c r="G13163" s="68"/>
      <c r="K13163" s="68"/>
    </row>
    <row r="13164" spans="2:11" ht="12.75">
      <c r="B13164" s="4"/>
      <c r="D13164" s="67"/>
      <c r="G13164" s="68"/>
      <c r="K13164" s="68"/>
    </row>
    <row r="13165" spans="2:11" ht="12.75">
      <c r="B13165" s="4"/>
      <c r="D13165" s="67"/>
      <c r="G13165" s="68"/>
      <c r="K13165" s="68"/>
    </row>
    <row r="13166" spans="2:11" ht="12.75">
      <c r="B13166" s="4"/>
      <c r="D13166" s="67"/>
      <c r="G13166" s="68"/>
      <c r="K13166" s="68"/>
    </row>
    <row r="13167" spans="2:11" ht="12.75">
      <c r="B13167" s="4"/>
      <c r="D13167" s="67"/>
      <c r="G13167" s="68"/>
      <c r="K13167" s="68"/>
    </row>
    <row r="13168" spans="2:11" ht="12.75">
      <c r="B13168" s="4"/>
      <c r="D13168" s="67"/>
      <c r="G13168" s="68"/>
      <c r="K13168" s="68"/>
    </row>
    <row r="13169" spans="2:11" ht="12.75">
      <c r="B13169" s="4"/>
      <c r="D13169" s="67"/>
      <c r="G13169" s="68"/>
      <c r="K13169" s="68"/>
    </row>
    <row r="13170" spans="2:11" ht="12.75">
      <c r="B13170" s="4"/>
      <c r="D13170" s="67"/>
      <c r="G13170" s="68"/>
      <c r="K13170" s="68"/>
    </row>
    <row r="13171" spans="2:11" ht="12.75">
      <c r="B13171" s="4"/>
      <c r="D13171" s="67"/>
      <c r="G13171" s="68"/>
      <c r="K13171" s="68"/>
    </row>
    <row r="13172" spans="2:11" ht="12.75">
      <c r="B13172" s="4"/>
      <c r="D13172" s="67"/>
      <c r="G13172" s="68"/>
      <c r="K13172" s="68"/>
    </row>
    <row r="13173" spans="2:11" ht="12.75">
      <c r="B13173" s="4"/>
      <c r="D13173" s="67"/>
      <c r="G13173" s="68"/>
      <c r="K13173" s="68"/>
    </row>
    <row r="13174" spans="2:11" ht="12.75">
      <c r="B13174" s="4"/>
      <c r="D13174" s="67"/>
      <c r="G13174" s="68"/>
      <c r="K13174" s="68"/>
    </row>
    <row r="13175" spans="2:11" ht="12.75">
      <c r="B13175" s="4"/>
      <c r="D13175" s="67"/>
      <c r="G13175" s="68"/>
      <c r="K13175" s="68"/>
    </row>
    <row r="13176" spans="2:11" ht="12.75">
      <c r="B13176" s="4"/>
      <c r="D13176" s="67"/>
      <c r="G13176" s="68"/>
      <c r="K13176" s="68"/>
    </row>
    <row r="13177" spans="2:11" ht="12.75">
      <c r="B13177" s="4"/>
      <c r="D13177" s="67"/>
      <c r="G13177" s="68"/>
      <c r="K13177" s="68"/>
    </row>
    <row r="13178" spans="2:11" ht="12.75">
      <c r="B13178" s="4"/>
      <c r="D13178" s="67"/>
      <c r="G13178" s="68"/>
      <c r="K13178" s="68"/>
    </row>
    <row r="13179" spans="2:11" ht="12.75">
      <c r="B13179" s="4"/>
      <c r="D13179" s="67"/>
      <c r="G13179" s="68"/>
      <c r="K13179" s="68"/>
    </row>
    <row r="13180" spans="2:11" ht="12.75">
      <c r="B13180" s="4"/>
      <c r="D13180" s="67"/>
      <c r="G13180" s="68"/>
      <c r="K13180" s="68"/>
    </row>
    <row r="13181" spans="2:11" ht="12.75">
      <c r="B13181" s="4"/>
      <c r="D13181" s="67"/>
      <c r="G13181" s="68"/>
      <c r="K13181" s="68"/>
    </row>
    <row r="13182" spans="2:11" ht="12.75">
      <c r="B13182" s="4"/>
      <c r="D13182" s="67"/>
      <c r="G13182" s="68"/>
      <c r="K13182" s="68"/>
    </row>
    <row r="13183" spans="2:11" ht="12.75">
      <c r="B13183" s="4"/>
      <c r="D13183" s="67"/>
      <c r="G13183" s="68"/>
      <c r="K13183" s="68"/>
    </row>
    <row r="13184" spans="2:11" ht="12.75">
      <c r="B13184" s="4"/>
      <c r="D13184" s="67"/>
      <c r="G13184" s="68"/>
      <c r="K13184" s="68"/>
    </row>
    <row r="13185" spans="2:11" ht="12.75">
      <c r="B13185" s="4"/>
      <c r="D13185" s="67"/>
      <c r="G13185" s="68"/>
      <c r="K13185" s="68"/>
    </row>
    <row r="13186" spans="2:11" ht="12.75">
      <c r="B13186" s="4"/>
      <c r="D13186" s="67"/>
      <c r="G13186" s="68"/>
      <c r="K13186" s="68"/>
    </row>
    <row r="13187" spans="2:11" ht="12.75">
      <c r="B13187" s="4"/>
      <c r="D13187" s="67"/>
      <c r="G13187" s="68"/>
      <c r="K13187" s="68"/>
    </row>
    <row r="13188" spans="2:11" ht="12.75">
      <c r="B13188" s="4"/>
      <c r="D13188" s="67"/>
      <c r="G13188" s="68"/>
      <c r="K13188" s="68"/>
    </row>
    <row r="13189" spans="2:11" ht="12.75">
      <c r="B13189" s="4"/>
      <c r="D13189" s="67"/>
      <c r="G13189" s="68"/>
      <c r="K13189" s="68"/>
    </row>
    <row r="13190" spans="2:11" ht="12.75">
      <c r="B13190" s="4"/>
      <c r="D13190" s="67"/>
      <c r="G13190" s="68"/>
      <c r="K13190" s="68"/>
    </row>
    <row r="13191" spans="2:11" ht="12.75">
      <c r="B13191" s="4"/>
      <c r="D13191" s="67"/>
      <c r="G13191" s="68"/>
      <c r="K13191" s="68"/>
    </row>
    <row r="13192" spans="2:11" ht="12.75">
      <c r="B13192" s="4"/>
      <c r="D13192" s="67"/>
      <c r="G13192" s="68"/>
      <c r="K13192" s="68"/>
    </row>
    <row r="13193" spans="2:11" ht="12.75">
      <c r="B13193" s="4"/>
      <c r="D13193" s="67"/>
      <c r="G13193" s="68"/>
      <c r="K13193" s="68"/>
    </row>
    <row r="13194" spans="2:11" ht="12.75">
      <c r="B13194" s="4"/>
      <c r="D13194" s="67"/>
      <c r="G13194" s="68"/>
      <c r="K13194" s="68"/>
    </row>
    <row r="13195" spans="2:11" ht="12.75">
      <c r="B13195" s="4"/>
      <c r="D13195" s="67"/>
      <c r="G13195" s="68"/>
      <c r="K13195" s="68"/>
    </row>
    <row r="13196" spans="2:11" ht="12.75">
      <c r="B13196" s="4"/>
      <c r="D13196" s="67"/>
      <c r="G13196" s="68"/>
      <c r="K13196" s="68"/>
    </row>
    <row r="13197" spans="2:11" ht="12.75">
      <c r="B13197" s="4"/>
      <c r="D13197" s="67"/>
      <c r="G13197" s="68"/>
      <c r="K13197" s="68"/>
    </row>
    <row r="13198" spans="2:11" ht="12.75">
      <c r="B13198" s="4"/>
      <c r="D13198" s="67"/>
      <c r="G13198" s="68"/>
      <c r="K13198" s="68"/>
    </row>
    <row r="13199" spans="2:11" ht="12.75">
      <c r="B13199" s="4"/>
      <c r="D13199" s="67"/>
      <c r="G13199" s="68"/>
      <c r="K13199" s="68"/>
    </row>
    <row r="13200" spans="2:11" ht="12.75">
      <c r="B13200" s="4"/>
      <c r="D13200" s="67"/>
      <c r="G13200" s="68"/>
      <c r="K13200" s="68"/>
    </row>
    <row r="13201" spans="2:11" ht="12.75">
      <c r="B13201" s="4"/>
      <c r="D13201" s="67"/>
      <c r="G13201" s="68"/>
      <c r="K13201" s="68"/>
    </row>
    <row r="13202" spans="2:11" ht="12.75">
      <c r="B13202" s="4"/>
      <c r="D13202" s="67"/>
      <c r="G13202" s="68"/>
      <c r="K13202" s="68"/>
    </row>
    <row r="13203" spans="2:11" ht="12.75">
      <c r="B13203" s="4"/>
      <c r="D13203" s="67"/>
      <c r="G13203" s="68"/>
      <c r="K13203" s="68"/>
    </row>
    <row r="13204" spans="2:11" ht="12.75">
      <c r="B13204" s="4"/>
      <c r="D13204" s="67"/>
      <c r="G13204" s="68"/>
      <c r="K13204" s="68"/>
    </row>
    <row r="13205" spans="2:11" ht="12.75">
      <c r="B13205" s="4"/>
      <c r="D13205" s="67"/>
      <c r="G13205" s="68"/>
      <c r="K13205" s="68"/>
    </row>
    <row r="13206" spans="2:11" ht="12.75">
      <c r="B13206" s="4"/>
      <c r="D13206" s="67"/>
      <c r="G13206" s="68"/>
      <c r="K13206" s="68"/>
    </row>
    <row r="13207" spans="2:11" ht="12.75">
      <c r="B13207" s="4"/>
      <c r="D13207" s="67"/>
      <c r="G13207" s="68"/>
      <c r="K13207" s="68"/>
    </row>
    <row r="13208" spans="2:11" ht="12.75">
      <c r="B13208" s="4"/>
      <c r="D13208" s="67"/>
      <c r="G13208" s="68"/>
      <c r="K13208" s="68"/>
    </row>
    <row r="13209" spans="2:11" ht="12.75">
      <c r="B13209" s="4"/>
      <c r="D13209" s="67"/>
      <c r="G13209" s="68"/>
      <c r="K13209" s="68"/>
    </row>
    <row r="13210" spans="2:11" ht="12.75">
      <c r="B13210" s="4"/>
      <c r="D13210" s="67"/>
      <c r="G13210" s="68"/>
      <c r="K13210" s="68"/>
    </row>
    <row r="13211" spans="2:11" ht="12.75">
      <c r="B13211" s="4"/>
      <c r="D13211" s="67"/>
      <c r="G13211" s="68"/>
      <c r="K13211" s="68"/>
    </row>
    <row r="13212" spans="2:11" ht="12.75">
      <c r="B13212" s="4"/>
      <c r="D13212" s="67"/>
      <c r="G13212" s="68"/>
      <c r="K13212" s="68"/>
    </row>
    <row r="13213" spans="2:11" ht="12.75">
      <c r="B13213" s="4"/>
      <c r="D13213" s="67"/>
      <c r="G13213" s="68"/>
      <c r="K13213" s="68"/>
    </row>
    <row r="13214" spans="2:11" ht="12.75">
      <c r="B13214" s="4"/>
      <c r="D13214" s="67"/>
      <c r="G13214" s="68"/>
      <c r="K13214" s="68"/>
    </row>
    <row r="13215" spans="2:11" ht="12.75">
      <c r="B13215" s="4"/>
      <c r="D13215" s="67"/>
      <c r="G13215" s="68"/>
      <c r="K13215" s="68"/>
    </row>
    <row r="13216" spans="2:11" ht="12.75">
      <c r="B13216" s="4"/>
      <c r="D13216" s="67"/>
      <c r="G13216" s="68"/>
      <c r="K13216" s="68"/>
    </row>
    <row r="13217" spans="2:11" ht="12.75">
      <c r="B13217" s="4"/>
      <c r="D13217" s="67"/>
      <c r="G13217" s="68"/>
      <c r="K13217" s="68"/>
    </row>
    <row r="13218" spans="2:11" ht="12.75">
      <c r="B13218" s="4"/>
      <c r="D13218" s="67"/>
      <c r="G13218" s="68"/>
      <c r="K13218" s="68"/>
    </row>
    <row r="13219" spans="2:11" ht="12.75">
      <c r="B13219" s="4"/>
      <c r="D13219" s="67"/>
      <c r="G13219" s="68"/>
      <c r="K13219" s="68"/>
    </row>
    <row r="13220" spans="2:11" ht="12.75">
      <c r="B13220" s="4"/>
      <c r="D13220" s="67"/>
      <c r="G13220" s="68"/>
      <c r="K13220" s="68"/>
    </row>
    <row r="13221" spans="2:11" ht="12.75">
      <c r="B13221" s="4"/>
      <c r="D13221" s="67"/>
      <c r="G13221" s="68"/>
      <c r="K13221" s="68"/>
    </row>
    <row r="13222" spans="2:11" ht="12.75">
      <c r="B13222" s="4"/>
      <c r="D13222" s="67"/>
      <c r="G13222" s="68"/>
      <c r="K13222" s="68"/>
    </row>
    <row r="13223" spans="2:11" ht="12.75">
      <c r="B13223" s="4"/>
      <c r="D13223" s="67"/>
      <c r="G13223" s="68"/>
      <c r="K13223" s="68"/>
    </row>
    <row r="13224" spans="2:11" ht="12.75">
      <c r="B13224" s="4"/>
      <c r="D13224" s="67"/>
      <c r="G13224" s="68"/>
      <c r="K13224" s="68"/>
    </row>
    <row r="13225" spans="2:11" ht="12.75">
      <c r="B13225" s="4"/>
      <c r="D13225" s="67"/>
      <c r="G13225" s="68"/>
      <c r="K13225" s="68"/>
    </row>
    <row r="13226" spans="2:11" ht="12.75">
      <c r="B13226" s="4"/>
      <c r="D13226" s="67"/>
      <c r="G13226" s="68"/>
      <c r="K13226" s="68"/>
    </row>
    <row r="13227" spans="2:11" ht="12.75">
      <c r="B13227" s="4"/>
      <c r="D13227" s="67"/>
      <c r="G13227" s="68"/>
      <c r="K13227" s="68"/>
    </row>
    <row r="13228" spans="2:11" ht="12.75">
      <c r="B13228" s="4"/>
      <c r="D13228" s="67"/>
      <c r="G13228" s="68"/>
      <c r="K13228" s="68"/>
    </row>
    <row r="13229" spans="2:11" ht="12.75">
      <c r="B13229" s="4"/>
      <c r="D13229" s="67"/>
      <c r="G13229" s="68"/>
      <c r="K13229" s="68"/>
    </row>
    <row r="13230" spans="2:11" ht="12.75">
      <c r="B13230" s="4"/>
      <c r="D13230" s="67"/>
      <c r="G13230" s="68"/>
      <c r="K13230" s="68"/>
    </row>
    <row r="13231" spans="2:11" ht="12.75">
      <c r="B13231" s="4"/>
      <c r="D13231" s="67"/>
      <c r="G13231" s="68"/>
      <c r="K13231" s="68"/>
    </row>
    <row r="13232" spans="2:11" ht="12.75">
      <c r="B13232" s="4"/>
      <c r="D13232" s="67"/>
      <c r="G13232" s="68"/>
      <c r="K13232" s="68"/>
    </row>
    <row r="13233" spans="2:11" ht="12.75">
      <c r="B13233" s="4"/>
      <c r="D13233" s="67"/>
      <c r="G13233" s="68"/>
      <c r="K13233" s="68"/>
    </row>
    <row r="13234" spans="2:11" ht="12.75">
      <c r="B13234" s="4"/>
      <c r="D13234" s="67"/>
      <c r="G13234" s="68"/>
      <c r="K13234" s="68"/>
    </row>
    <row r="13235" spans="2:11" ht="12.75">
      <c r="B13235" s="4"/>
      <c r="D13235" s="67"/>
      <c r="G13235" s="68"/>
      <c r="K13235" s="68"/>
    </row>
    <row r="13236" spans="2:11" ht="12.75">
      <c r="B13236" s="4"/>
      <c r="D13236" s="67"/>
      <c r="G13236" s="68"/>
      <c r="K13236" s="68"/>
    </row>
    <row r="13237" spans="2:11" ht="12.75">
      <c r="B13237" s="4"/>
      <c r="D13237" s="67"/>
      <c r="G13237" s="68"/>
      <c r="K13237" s="68"/>
    </row>
    <row r="13238" spans="2:11" ht="12.75">
      <c r="B13238" s="4"/>
      <c r="D13238" s="67"/>
      <c r="G13238" s="68"/>
      <c r="K13238" s="68"/>
    </row>
    <row r="13239" spans="2:11" ht="12.75">
      <c r="B13239" s="4"/>
      <c r="D13239" s="67"/>
      <c r="G13239" s="68"/>
      <c r="K13239" s="68"/>
    </row>
    <row r="13240" spans="2:11" ht="12.75">
      <c r="B13240" s="4"/>
      <c r="D13240" s="67"/>
      <c r="G13240" s="68"/>
      <c r="K13240" s="68"/>
    </row>
    <row r="13241" spans="2:11" ht="12.75">
      <c r="B13241" s="4"/>
      <c r="D13241" s="67"/>
      <c r="G13241" s="68"/>
      <c r="K13241" s="68"/>
    </row>
    <row r="13242" spans="2:11" ht="12.75">
      <c r="B13242" s="4"/>
      <c r="D13242" s="67"/>
      <c r="G13242" s="68"/>
      <c r="K13242" s="68"/>
    </row>
    <row r="13243" spans="2:11" ht="12.75">
      <c r="B13243" s="4"/>
      <c r="D13243" s="67"/>
      <c r="G13243" s="68"/>
      <c r="K13243" s="68"/>
    </row>
    <row r="13244" spans="2:11" ht="12.75">
      <c r="B13244" s="4"/>
      <c r="D13244" s="67"/>
      <c r="G13244" s="68"/>
      <c r="K13244" s="68"/>
    </row>
    <row r="13245" spans="2:11" ht="12.75">
      <c r="B13245" s="4"/>
      <c r="D13245" s="67"/>
      <c r="G13245" s="68"/>
      <c r="K13245" s="68"/>
    </row>
    <row r="13246" spans="2:11" ht="12.75">
      <c r="B13246" s="4"/>
      <c r="D13246" s="67"/>
      <c r="G13246" s="68"/>
      <c r="K13246" s="68"/>
    </row>
    <row r="13247" spans="2:11" ht="12.75">
      <c r="B13247" s="4"/>
      <c r="D13247" s="67"/>
      <c r="G13247" s="68"/>
      <c r="K13247" s="68"/>
    </row>
    <row r="13248" spans="2:11" ht="12.75">
      <c r="B13248" s="4"/>
      <c r="D13248" s="67"/>
      <c r="G13248" s="68"/>
      <c r="K13248" s="68"/>
    </row>
    <row r="13249" spans="2:11" ht="12.75">
      <c r="B13249" s="4"/>
      <c r="D13249" s="67"/>
      <c r="G13249" s="68"/>
      <c r="K13249" s="68"/>
    </row>
    <row r="13250" spans="2:11" ht="12.75">
      <c r="B13250" s="4"/>
      <c r="D13250" s="67"/>
      <c r="G13250" s="68"/>
      <c r="K13250" s="68"/>
    </row>
    <row r="13251" spans="2:11" ht="12.75">
      <c r="B13251" s="4"/>
      <c r="D13251" s="67"/>
      <c r="G13251" s="68"/>
      <c r="K13251" s="68"/>
    </row>
    <row r="13252" spans="2:11" ht="12.75">
      <c r="B13252" s="4"/>
      <c r="D13252" s="67"/>
      <c r="G13252" s="68"/>
      <c r="K13252" s="68"/>
    </row>
    <row r="13253" spans="2:11" ht="12.75">
      <c r="B13253" s="4"/>
      <c r="D13253" s="67"/>
      <c r="G13253" s="68"/>
      <c r="K13253" s="68"/>
    </row>
    <row r="13254" spans="2:11" ht="12.75">
      <c r="B13254" s="4"/>
      <c r="D13254" s="67"/>
      <c r="G13254" s="68"/>
      <c r="K13254" s="68"/>
    </row>
    <row r="13255" spans="2:11" ht="12.75">
      <c r="B13255" s="4"/>
      <c r="D13255" s="67"/>
      <c r="G13255" s="68"/>
      <c r="K13255" s="68"/>
    </row>
    <row r="13256" spans="2:11" ht="12.75">
      <c r="B13256" s="4"/>
      <c r="D13256" s="67"/>
      <c r="G13256" s="68"/>
      <c r="K13256" s="68"/>
    </row>
    <row r="13257" spans="2:11" ht="12.75">
      <c r="B13257" s="4"/>
      <c r="D13257" s="67"/>
      <c r="G13257" s="68"/>
      <c r="K13257" s="68"/>
    </row>
    <row r="13258" spans="2:11" ht="12.75">
      <c r="B13258" s="4"/>
      <c r="D13258" s="67"/>
      <c r="G13258" s="68"/>
      <c r="K13258" s="68"/>
    </row>
    <row r="13259" spans="2:11" ht="12.75">
      <c r="B13259" s="4"/>
      <c r="D13259" s="67"/>
      <c r="G13259" s="68"/>
      <c r="K13259" s="68"/>
    </row>
    <row r="13260" spans="2:11" ht="12.75">
      <c r="B13260" s="4"/>
      <c r="D13260" s="67"/>
      <c r="G13260" s="68"/>
      <c r="K13260" s="68"/>
    </row>
    <row r="13261" spans="2:11" ht="12.75">
      <c r="B13261" s="4"/>
      <c r="D13261" s="67"/>
      <c r="G13261" s="68"/>
      <c r="K13261" s="68"/>
    </row>
    <row r="13262" spans="2:11" ht="12.75">
      <c r="B13262" s="4"/>
      <c r="D13262" s="67"/>
      <c r="G13262" s="68"/>
      <c r="K13262" s="68"/>
    </row>
    <row r="13263" spans="2:11" ht="12.75">
      <c r="B13263" s="4"/>
      <c r="D13263" s="67"/>
      <c r="G13263" s="68"/>
      <c r="K13263" s="68"/>
    </row>
    <row r="13264" spans="2:11" ht="12.75">
      <c r="B13264" s="4"/>
      <c r="D13264" s="67"/>
      <c r="G13264" s="68"/>
      <c r="K13264" s="68"/>
    </row>
    <row r="13265" spans="2:11" ht="12.75">
      <c r="B13265" s="4"/>
      <c r="D13265" s="67"/>
      <c r="G13265" s="68"/>
      <c r="K13265" s="68"/>
    </row>
    <row r="13266" spans="2:11" ht="12.75">
      <c r="B13266" s="4"/>
      <c r="D13266" s="67"/>
      <c r="G13266" s="68"/>
      <c r="K13266" s="68"/>
    </row>
    <row r="13267" spans="2:11" ht="12.75">
      <c r="B13267" s="4"/>
      <c r="D13267" s="67"/>
      <c r="G13267" s="68"/>
      <c r="K13267" s="68"/>
    </row>
    <row r="13268" spans="2:11" ht="12.75">
      <c r="B13268" s="4"/>
      <c r="D13268" s="67"/>
      <c r="G13268" s="68"/>
      <c r="K13268" s="68"/>
    </row>
    <row r="13269" spans="2:11" ht="12.75">
      <c r="B13269" s="4"/>
      <c r="D13269" s="67"/>
      <c r="G13269" s="68"/>
      <c r="K13269" s="68"/>
    </row>
    <row r="13270" spans="2:11" ht="12.75">
      <c r="B13270" s="4"/>
      <c r="D13270" s="67"/>
      <c r="G13270" s="68"/>
      <c r="K13270" s="68"/>
    </row>
    <row r="13271" spans="2:11" ht="12.75">
      <c r="B13271" s="4"/>
      <c r="D13271" s="67"/>
      <c r="G13271" s="68"/>
      <c r="K13271" s="68"/>
    </row>
    <row r="13272" spans="2:11" ht="12.75">
      <c r="B13272" s="4"/>
      <c r="D13272" s="67"/>
      <c r="G13272" s="68"/>
      <c r="K13272" s="68"/>
    </row>
    <row r="13273" spans="2:11" ht="12.75">
      <c r="B13273" s="4"/>
      <c r="D13273" s="67"/>
      <c r="G13273" s="68"/>
      <c r="K13273" s="68"/>
    </row>
    <row r="13274" spans="2:11" ht="12.75">
      <c r="B13274" s="4"/>
      <c r="D13274" s="67"/>
      <c r="G13274" s="68"/>
      <c r="K13274" s="68"/>
    </row>
    <row r="13275" spans="2:11" ht="12.75">
      <c r="B13275" s="4"/>
      <c r="D13275" s="67"/>
      <c r="G13275" s="68"/>
      <c r="K13275" s="68"/>
    </row>
    <row r="13276" spans="2:11" ht="12.75">
      <c r="B13276" s="4"/>
      <c r="D13276" s="67"/>
      <c r="G13276" s="68"/>
      <c r="K13276" s="68"/>
    </row>
    <row r="13277" spans="2:11" ht="12.75">
      <c r="B13277" s="4"/>
      <c r="D13277" s="67"/>
      <c r="G13277" s="68"/>
      <c r="K13277" s="68"/>
    </row>
    <row r="13278" spans="2:11" ht="12.75">
      <c r="B13278" s="4"/>
      <c r="D13278" s="67"/>
      <c r="G13278" s="68"/>
      <c r="K13278" s="68"/>
    </row>
    <row r="13279" spans="2:11" ht="12.75">
      <c r="B13279" s="4"/>
      <c r="D13279" s="67"/>
      <c r="G13279" s="68"/>
      <c r="K13279" s="68"/>
    </row>
    <row r="13280" spans="2:11" ht="12.75">
      <c r="B13280" s="4"/>
      <c r="D13280" s="67"/>
      <c r="G13280" s="68"/>
      <c r="K13280" s="68"/>
    </row>
    <row r="13281" spans="2:11" ht="12.75">
      <c r="B13281" s="4"/>
      <c r="D13281" s="67"/>
      <c r="G13281" s="68"/>
      <c r="K13281" s="68"/>
    </row>
    <row r="13282" spans="2:11" ht="12.75">
      <c r="B13282" s="4"/>
      <c r="D13282" s="67"/>
      <c r="G13282" s="68"/>
      <c r="K13282" s="68"/>
    </row>
    <row r="13283" spans="2:11" ht="12.75">
      <c r="B13283" s="4"/>
      <c r="D13283" s="67"/>
      <c r="G13283" s="68"/>
      <c r="K13283" s="68"/>
    </row>
    <row r="13284" spans="2:11" ht="12.75">
      <c r="B13284" s="4"/>
      <c r="D13284" s="67"/>
      <c r="G13284" s="68"/>
      <c r="K13284" s="68"/>
    </row>
    <row r="13285" spans="2:11" ht="12.75">
      <c r="B13285" s="4"/>
      <c r="D13285" s="67"/>
      <c r="G13285" s="68"/>
      <c r="K13285" s="68"/>
    </row>
    <row r="13286" spans="2:11" ht="12.75">
      <c r="B13286" s="4"/>
      <c r="D13286" s="67"/>
      <c r="G13286" s="68"/>
      <c r="K13286" s="68"/>
    </row>
    <row r="13287" spans="2:11" ht="12.75">
      <c r="B13287" s="4"/>
      <c r="D13287" s="67"/>
      <c r="G13287" s="68"/>
      <c r="K13287" s="68"/>
    </row>
    <row r="13288" spans="2:11" ht="12.75">
      <c r="B13288" s="4"/>
      <c r="D13288" s="67"/>
      <c r="G13288" s="68"/>
      <c r="K13288" s="68"/>
    </row>
    <row r="13289" spans="2:11" ht="12.75">
      <c r="B13289" s="4"/>
      <c r="D13289" s="67"/>
      <c r="G13289" s="68"/>
      <c r="K13289" s="68"/>
    </row>
    <row r="13290" spans="2:11" ht="12.75">
      <c r="B13290" s="4"/>
      <c r="D13290" s="67"/>
      <c r="G13290" s="68"/>
      <c r="K13290" s="68"/>
    </row>
    <row r="13291" spans="2:11" ht="12.75">
      <c r="B13291" s="4"/>
      <c r="D13291" s="67"/>
      <c r="G13291" s="68"/>
      <c r="K13291" s="68"/>
    </row>
    <row r="13292" spans="2:11" ht="12.75">
      <c r="B13292" s="4"/>
      <c r="D13292" s="67"/>
      <c r="G13292" s="68"/>
      <c r="K13292" s="68"/>
    </row>
    <row r="13293" spans="2:11" ht="12.75">
      <c r="B13293" s="4"/>
      <c r="D13293" s="67"/>
      <c r="G13293" s="68"/>
      <c r="K13293" s="68"/>
    </row>
    <row r="13294" spans="2:11" ht="12.75">
      <c r="B13294" s="4"/>
      <c r="D13294" s="67"/>
      <c r="G13294" s="68"/>
      <c r="K13294" s="68"/>
    </row>
    <row r="13295" spans="2:11" ht="12.75">
      <c r="B13295" s="4"/>
      <c r="D13295" s="67"/>
      <c r="G13295" s="68"/>
      <c r="K13295" s="68"/>
    </row>
    <row r="13296" spans="2:11" ht="12.75">
      <c r="B13296" s="4"/>
      <c r="D13296" s="67"/>
      <c r="G13296" s="68"/>
      <c r="K13296" s="68"/>
    </row>
    <row r="13297" spans="2:11" ht="12.75">
      <c r="B13297" s="4"/>
      <c r="D13297" s="67"/>
      <c r="G13297" s="68"/>
      <c r="K13297" s="68"/>
    </row>
    <row r="13298" spans="2:11" ht="12.75">
      <c r="B13298" s="4"/>
      <c r="D13298" s="67"/>
      <c r="G13298" s="68"/>
      <c r="K13298" s="68"/>
    </row>
    <row r="13299" spans="2:11" ht="12.75">
      <c r="B13299" s="4"/>
      <c r="D13299" s="67"/>
      <c r="G13299" s="68"/>
      <c r="K13299" s="68"/>
    </row>
    <row r="13300" spans="2:11" ht="12.75">
      <c r="B13300" s="4"/>
      <c r="D13300" s="67"/>
      <c r="G13300" s="68"/>
      <c r="K13300" s="68"/>
    </row>
    <row r="13301" spans="2:11" ht="12.75">
      <c r="B13301" s="4"/>
      <c r="D13301" s="67"/>
      <c r="G13301" s="68"/>
      <c r="K13301" s="68"/>
    </row>
    <row r="13302" spans="2:11" ht="12.75">
      <c r="B13302" s="4"/>
      <c r="D13302" s="67"/>
      <c r="G13302" s="68"/>
      <c r="K13302" s="68"/>
    </row>
    <row r="13303" spans="2:11" ht="12.75">
      <c r="B13303" s="4"/>
      <c r="D13303" s="67"/>
      <c r="G13303" s="68"/>
      <c r="K13303" s="68"/>
    </row>
    <row r="13304" spans="2:11" ht="12.75">
      <c r="B13304" s="4"/>
      <c r="D13304" s="67"/>
      <c r="G13304" s="68"/>
      <c r="K13304" s="68"/>
    </row>
    <row r="13305" spans="2:11" ht="12.75">
      <c r="B13305" s="4"/>
      <c r="D13305" s="67"/>
      <c r="G13305" s="68"/>
      <c r="K13305" s="68"/>
    </row>
    <row r="13306" spans="2:11" ht="12.75">
      <c r="B13306" s="4"/>
      <c r="D13306" s="67"/>
      <c r="G13306" s="68"/>
      <c r="K13306" s="68"/>
    </row>
    <row r="13307" spans="2:11" ht="12.75">
      <c r="B13307" s="4"/>
      <c r="D13307" s="67"/>
      <c r="G13307" s="68"/>
      <c r="K13307" s="68"/>
    </row>
    <row r="13308" spans="2:11" ht="12.75">
      <c r="B13308" s="4"/>
      <c r="D13308" s="67"/>
      <c r="G13308" s="68"/>
      <c r="K13308" s="68"/>
    </row>
    <row r="13309" spans="2:11" ht="12.75">
      <c r="B13309" s="4"/>
      <c r="D13309" s="67"/>
      <c r="G13309" s="68"/>
      <c r="K13309" s="68"/>
    </row>
    <row r="13310" spans="2:11" ht="12.75">
      <c r="B13310" s="4"/>
      <c r="D13310" s="67"/>
      <c r="G13310" s="68"/>
      <c r="K13310" s="68"/>
    </row>
    <row r="13311" spans="2:11" ht="12.75">
      <c r="B13311" s="4"/>
      <c r="D13311" s="67"/>
      <c r="G13311" s="68"/>
      <c r="K13311" s="68"/>
    </row>
    <row r="13312" spans="2:11" ht="12.75">
      <c r="B13312" s="4"/>
      <c r="D13312" s="67"/>
      <c r="G13312" s="68"/>
      <c r="K13312" s="68"/>
    </row>
    <row r="13313" spans="2:11" ht="12.75">
      <c r="B13313" s="4"/>
      <c r="D13313" s="67"/>
      <c r="G13313" s="68"/>
      <c r="K13313" s="68"/>
    </row>
    <row r="13314" spans="2:11" ht="12.75">
      <c r="B13314" s="4"/>
      <c r="D13314" s="67"/>
      <c r="G13314" s="68"/>
      <c r="K13314" s="68"/>
    </row>
    <row r="13315" spans="2:11" ht="12.75">
      <c r="B13315" s="4"/>
      <c r="D13315" s="67"/>
      <c r="G13315" s="68"/>
      <c r="K13315" s="68"/>
    </row>
    <row r="13316" spans="2:11" ht="12.75">
      <c r="B13316" s="4"/>
      <c r="D13316" s="67"/>
      <c r="G13316" s="68"/>
      <c r="K13316" s="68"/>
    </row>
    <row r="13317" spans="2:11" ht="12.75">
      <c r="B13317" s="4"/>
      <c r="D13317" s="67"/>
      <c r="G13317" s="68"/>
      <c r="K13317" s="68"/>
    </row>
    <row r="13318" spans="2:11" ht="12.75">
      <c r="B13318" s="4"/>
      <c r="D13318" s="67"/>
      <c r="G13318" s="68"/>
      <c r="K13318" s="68"/>
    </row>
    <row r="13319" spans="2:11" ht="12.75">
      <c r="B13319" s="4"/>
      <c r="D13319" s="67"/>
      <c r="G13319" s="68"/>
      <c r="K13319" s="68"/>
    </row>
    <row r="13320" spans="2:11" ht="12.75">
      <c r="B13320" s="4"/>
      <c r="D13320" s="67"/>
      <c r="G13320" s="68"/>
      <c r="K13320" s="68"/>
    </row>
    <row r="13321" spans="2:11" ht="12.75">
      <c r="B13321" s="4"/>
      <c r="D13321" s="67"/>
      <c r="G13321" s="68"/>
      <c r="K13321" s="68"/>
    </row>
    <row r="13322" spans="2:11" ht="12.75">
      <c r="B13322" s="4"/>
      <c r="D13322" s="67"/>
      <c r="G13322" s="68"/>
      <c r="K13322" s="68"/>
    </row>
    <row r="13323" spans="2:11" ht="12.75">
      <c r="B13323" s="4"/>
      <c r="D13323" s="67"/>
      <c r="G13323" s="68"/>
      <c r="K13323" s="68"/>
    </row>
    <row r="13324" spans="2:11" ht="12.75">
      <c r="B13324" s="4"/>
      <c r="D13324" s="67"/>
      <c r="G13324" s="68"/>
      <c r="K13324" s="68"/>
    </row>
    <row r="13325" spans="2:11" ht="12.75">
      <c r="B13325" s="4"/>
      <c r="D13325" s="67"/>
      <c r="G13325" s="68"/>
      <c r="K13325" s="68"/>
    </row>
    <row r="13326" spans="2:11" ht="12.75">
      <c r="B13326" s="4"/>
      <c r="D13326" s="67"/>
      <c r="G13326" s="68"/>
      <c r="K13326" s="68"/>
    </row>
    <row r="13327" spans="2:11" ht="12.75">
      <c r="B13327" s="4"/>
      <c r="D13327" s="67"/>
      <c r="G13327" s="68"/>
      <c r="K13327" s="68"/>
    </row>
    <row r="13328" spans="2:11" ht="12.75">
      <c r="B13328" s="4"/>
      <c r="D13328" s="67"/>
      <c r="G13328" s="68"/>
      <c r="K13328" s="68"/>
    </row>
    <row r="13329" spans="2:11" ht="12.75">
      <c r="B13329" s="4"/>
      <c r="D13329" s="67"/>
      <c r="G13329" s="68"/>
      <c r="K13329" s="68"/>
    </row>
    <row r="13330" spans="2:11" ht="12.75">
      <c r="B13330" s="4"/>
      <c r="D13330" s="67"/>
      <c r="G13330" s="68"/>
      <c r="K13330" s="68"/>
    </row>
    <row r="13331" spans="2:11" ht="12.75">
      <c r="B13331" s="4"/>
      <c r="D13331" s="67"/>
      <c r="G13331" s="68"/>
      <c r="K13331" s="68"/>
    </row>
    <row r="13332" spans="2:11" ht="12.75">
      <c r="B13332" s="4"/>
      <c r="D13332" s="67"/>
      <c r="G13332" s="68"/>
      <c r="K13332" s="68"/>
    </row>
    <row r="13333" spans="2:11" ht="12.75">
      <c r="B13333" s="4"/>
      <c r="D13333" s="67"/>
      <c r="G13333" s="68"/>
      <c r="K13333" s="68"/>
    </row>
    <row r="13334" spans="2:11" ht="12.75">
      <c r="B13334" s="4"/>
      <c r="D13334" s="67"/>
      <c r="G13334" s="68"/>
      <c r="K13334" s="68"/>
    </row>
    <row r="13335" spans="2:11" ht="12.75">
      <c r="B13335" s="4"/>
      <c r="D13335" s="67"/>
      <c r="G13335" s="68"/>
      <c r="K13335" s="68"/>
    </row>
    <row r="13336" spans="2:11" ht="12.75">
      <c r="B13336" s="4"/>
      <c r="D13336" s="67"/>
      <c r="G13336" s="68"/>
      <c r="K13336" s="68"/>
    </row>
    <row r="13337" spans="2:11" ht="12.75">
      <c r="B13337" s="4"/>
      <c r="D13337" s="67"/>
      <c r="G13337" s="68"/>
      <c r="K13337" s="68"/>
    </row>
    <row r="13338" spans="2:11" ht="12.75">
      <c r="B13338" s="4"/>
      <c r="D13338" s="67"/>
      <c r="G13338" s="68"/>
      <c r="K13338" s="68"/>
    </row>
    <row r="13339" spans="2:11" ht="12.75">
      <c r="B13339" s="4"/>
      <c r="D13339" s="67"/>
      <c r="G13339" s="68"/>
      <c r="K13339" s="68"/>
    </row>
    <row r="13340" spans="2:11" ht="12.75">
      <c r="B13340" s="4"/>
      <c r="D13340" s="67"/>
      <c r="G13340" s="68"/>
      <c r="K13340" s="68"/>
    </row>
    <row r="13341" spans="2:11" ht="12.75">
      <c r="B13341" s="4"/>
      <c r="D13341" s="67"/>
      <c r="G13341" s="68"/>
      <c r="K13341" s="68"/>
    </row>
    <row r="13342" spans="2:11" ht="12.75">
      <c r="B13342" s="4"/>
      <c r="D13342" s="67"/>
      <c r="G13342" s="68"/>
      <c r="K13342" s="68"/>
    </row>
    <row r="13343" spans="2:11" ht="12.75">
      <c r="B13343" s="4"/>
      <c r="D13343" s="67"/>
      <c r="G13343" s="68"/>
      <c r="K13343" s="68"/>
    </row>
    <row r="13344" spans="2:11" ht="12.75">
      <c r="B13344" s="4"/>
      <c r="D13344" s="67"/>
      <c r="G13344" s="68"/>
      <c r="K13344" s="68"/>
    </row>
    <row r="13345" spans="2:11" ht="12.75">
      <c r="B13345" s="4"/>
      <c r="D13345" s="67"/>
      <c r="G13345" s="68"/>
      <c r="K13345" s="68"/>
    </row>
    <row r="13346" spans="2:11" ht="12.75">
      <c r="B13346" s="4"/>
      <c r="D13346" s="67"/>
      <c r="G13346" s="68"/>
      <c r="K13346" s="68"/>
    </row>
    <row r="13347" spans="2:11" ht="12.75">
      <c r="B13347" s="4"/>
      <c r="D13347" s="67"/>
      <c r="G13347" s="68"/>
      <c r="K13347" s="68"/>
    </row>
    <row r="13348" spans="2:11" ht="12.75">
      <c r="B13348" s="4"/>
      <c r="D13348" s="67"/>
      <c r="G13348" s="68"/>
      <c r="K13348" s="68"/>
    </row>
    <row r="13349" spans="2:11" ht="12.75">
      <c r="B13349" s="4"/>
      <c r="D13349" s="67"/>
      <c r="G13349" s="68"/>
      <c r="K13349" s="68"/>
    </row>
    <row r="13350" spans="2:11" ht="12.75">
      <c r="B13350" s="4"/>
      <c r="D13350" s="67"/>
      <c r="G13350" s="68"/>
      <c r="K13350" s="68"/>
    </row>
    <row r="13351" spans="2:11" ht="12.75">
      <c r="B13351" s="4"/>
      <c r="D13351" s="67"/>
      <c r="G13351" s="68"/>
      <c r="K13351" s="68"/>
    </row>
    <row r="13352" spans="2:11" ht="12.75">
      <c r="B13352" s="4"/>
      <c r="D13352" s="67"/>
      <c r="G13352" s="68"/>
      <c r="K13352" s="68"/>
    </row>
    <row r="13353" spans="2:11" ht="12.75">
      <c r="B13353" s="4"/>
      <c r="D13353" s="67"/>
      <c r="G13353" s="68"/>
      <c r="K13353" s="68"/>
    </row>
    <row r="13354" spans="2:11" ht="12.75">
      <c r="B13354" s="4"/>
      <c r="D13354" s="67"/>
      <c r="G13354" s="68"/>
      <c r="K13354" s="68"/>
    </row>
    <row r="13355" spans="2:11" ht="12.75">
      <c r="B13355" s="4"/>
      <c r="D13355" s="67"/>
      <c r="G13355" s="68"/>
      <c r="K13355" s="68"/>
    </row>
    <row r="13356" spans="2:11" ht="12.75">
      <c r="B13356" s="4"/>
      <c r="D13356" s="67"/>
      <c r="G13356" s="68"/>
      <c r="K13356" s="68"/>
    </row>
    <row r="13357" spans="2:11" ht="12.75">
      <c r="B13357" s="4"/>
      <c r="D13357" s="67"/>
      <c r="G13357" s="68"/>
      <c r="K13357" s="68"/>
    </row>
    <row r="13358" spans="2:11" ht="12.75">
      <c r="B13358" s="4"/>
      <c r="D13358" s="67"/>
      <c r="G13358" s="68"/>
      <c r="K13358" s="68"/>
    </row>
    <row r="13359" spans="2:11" ht="12.75">
      <c r="B13359" s="4"/>
      <c r="D13359" s="67"/>
      <c r="G13359" s="68"/>
      <c r="K13359" s="68"/>
    </row>
    <row r="13360" spans="2:11" ht="12.75">
      <c r="B13360" s="4"/>
      <c r="D13360" s="67"/>
      <c r="G13360" s="68"/>
      <c r="K13360" s="68"/>
    </row>
    <row r="13361" spans="2:11" ht="12.75">
      <c r="B13361" s="4"/>
      <c r="D13361" s="67"/>
      <c r="G13361" s="68"/>
      <c r="K13361" s="68"/>
    </row>
    <row r="13362" spans="2:11" ht="12.75">
      <c r="B13362" s="4"/>
      <c r="D13362" s="67"/>
      <c r="G13362" s="68"/>
      <c r="K13362" s="68"/>
    </row>
    <row r="13363" spans="2:11" ht="12.75">
      <c r="B13363" s="4"/>
      <c r="D13363" s="67"/>
      <c r="G13363" s="68"/>
      <c r="K13363" s="68"/>
    </row>
    <row r="13364" spans="2:11" ht="12.75">
      <c r="B13364" s="4"/>
      <c r="D13364" s="67"/>
      <c r="G13364" s="68"/>
      <c r="K13364" s="68"/>
    </row>
    <row r="13365" spans="2:11" ht="12.75">
      <c r="B13365" s="4"/>
      <c r="D13365" s="67"/>
      <c r="G13365" s="68"/>
      <c r="K13365" s="68"/>
    </row>
    <row r="13366" spans="2:11" ht="12.75">
      <c r="B13366" s="4"/>
      <c r="D13366" s="67"/>
      <c r="G13366" s="68"/>
      <c r="K13366" s="68"/>
    </row>
    <row r="13367" spans="2:11" ht="12.75">
      <c r="B13367" s="4"/>
      <c r="D13367" s="67"/>
      <c r="G13367" s="68"/>
      <c r="K13367" s="68"/>
    </row>
    <row r="13368" spans="2:11" ht="12.75">
      <c r="B13368" s="4"/>
      <c r="D13368" s="67"/>
      <c r="G13368" s="68"/>
      <c r="K13368" s="68"/>
    </row>
    <row r="13369" spans="2:11" ht="12.75">
      <c r="B13369" s="4"/>
      <c r="D13369" s="67"/>
      <c r="G13369" s="68"/>
      <c r="K13369" s="68"/>
    </row>
    <row r="13370" spans="2:11" ht="12.75">
      <c r="B13370" s="4"/>
      <c r="D13370" s="67"/>
      <c r="G13370" s="68"/>
      <c r="K13370" s="68"/>
    </row>
    <row r="13371" spans="2:11" ht="12.75">
      <c r="B13371" s="4"/>
      <c r="D13371" s="67"/>
      <c r="G13371" s="68"/>
      <c r="K13371" s="68"/>
    </row>
    <row r="13372" spans="2:11" ht="12.75">
      <c r="B13372" s="4"/>
      <c r="D13372" s="67"/>
      <c r="G13372" s="68"/>
      <c r="K13372" s="68"/>
    </row>
    <row r="13373" spans="2:11" ht="12.75">
      <c r="B13373" s="4"/>
      <c r="D13373" s="67"/>
      <c r="G13373" s="68"/>
      <c r="K13373" s="68"/>
    </row>
    <row r="13374" spans="2:11" ht="12.75">
      <c r="B13374" s="4"/>
      <c r="D13374" s="67"/>
      <c r="G13374" s="68"/>
      <c r="K13374" s="68"/>
    </row>
    <row r="13375" spans="2:11" ht="12.75">
      <c r="B13375" s="4"/>
      <c r="D13375" s="67"/>
      <c r="G13375" s="68"/>
      <c r="K13375" s="68"/>
    </row>
    <row r="13376" spans="2:11" ht="12.75">
      <c r="B13376" s="4"/>
      <c r="D13376" s="67"/>
      <c r="G13376" s="68"/>
      <c r="K13376" s="68"/>
    </row>
    <row r="13377" spans="2:11" ht="12.75">
      <c r="B13377" s="4"/>
      <c r="D13377" s="67"/>
      <c r="G13377" s="68"/>
      <c r="K13377" s="68"/>
    </row>
    <row r="13378" spans="2:11" ht="12.75">
      <c r="B13378" s="4"/>
      <c r="D13378" s="67"/>
      <c r="G13378" s="68"/>
      <c r="K13378" s="68"/>
    </row>
    <row r="13379" spans="2:11" ht="12.75">
      <c r="B13379" s="4"/>
      <c r="D13379" s="67"/>
      <c r="G13379" s="68"/>
      <c r="K13379" s="68"/>
    </row>
    <row r="13380" spans="2:11" ht="12.75">
      <c r="B13380" s="4"/>
      <c r="D13380" s="67"/>
      <c r="G13380" s="68"/>
      <c r="K13380" s="68"/>
    </row>
    <row r="13381" spans="2:11" ht="12.75">
      <c r="B13381" s="4"/>
      <c r="D13381" s="67"/>
      <c r="G13381" s="68"/>
      <c r="K13381" s="68"/>
    </row>
    <row r="13382" spans="2:11" ht="12.75">
      <c r="B13382" s="4"/>
      <c r="D13382" s="67"/>
      <c r="G13382" s="68"/>
      <c r="K13382" s="68"/>
    </row>
    <row r="13383" spans="2:11" ht="12.75">
      <c r="B13383" s="4"/>
      <c r="D13383" s="67"/>
      <c r="G13383" s="68"/>
      <c r="K13383" s="68"/>
    </row>
    <row r="13384" spans="2:11" ht="12.75">
      <c r="B13384" s="4"/>
      <c r="D13384" s="67"/>
      <c r="G13384" s="68"/>
      <c r="K13384" s="68"/>
    </row>
    <row r="13385" spans="2:11" ht="12.75">
      <c r="B13385" s="4"/>
      <c r="D13385" s="67"/>
      <c r="G13385" s="68"/>
      <c r="K13385" s="68"/>
    </row>
    <row r="13386" spans="2:11" ht="12.75">
      <c r="B13386" s="4"/>
      <c r="D13386" s="67"/>
      <c r="G13386" s="68"/>
      <c r="K13386" s="68"/>
    </row>
    <row r="13387" spans="2:11" ht="12.75">
      <c r="B13387" s="4"/>
      <c r="D13387" s="67"/>
      <c r="G13387" s="68"/>
      <c r="K13387" s="68"/>
    </row>
    <row r="13388" spans="2:11" ht="12.75">
      <c r="B13388" s="4"/>
      <c r="D13388" s="67"/>
      <c r="G13388" s="68"/>
      <c r="K13388" s="68"/>
    </row>
    <row r="13389" spans="2:11" ht="12.75">
      <c r="B13389" s="4"/>
      <c r="D13389" s="67"/>
      <c r="G13389" s="68"/>
      <c r="K13389" s="68"/>
    </row>
    <row r="13390" spans="2:11" ht="12.75">
      <c r="B13390" s="4"/>
      <c r="D13390" s="67"/>
      <c r="G13390" s="68"/>
      <c r="K13390" s="68"/>
    </row>
    <row r="13391" spans="2:11" ht="12.75">
      <c r="B13391" s="4"/>
      <c r="D13391" s="67"/>
      <c r="G13391" s="68"/>
      <c r="K13391" s="68"/>
    </row>
    <row r="13392" spans="2:11" ht="12.75">
      <c r="B13392" s="4"/>
      <c r="D13392" s="67"/>
      <c r="G13392" s="68"/>
      <c r="K13392" s="68"/>
    </row>
    <row r="13393" spans="2:11" ht="12.75">
      <c r="B13393" s="4"/>
      <c r="D13393" s="67"/>
      <c r="G13393" s="68"/>
      <c r="K13393" s="68"/>
    </row>
    <row r="13394" spans="2:11" ht="12.75">
      <c r="B13394" s="4"/>
      <c r="D13394" s="67"/>
      <c r="G13394" s="68"/>
      <c r="K13394" s="68"/>
    </row>
    <row r="13395" spans="2:11" ht="12.75">
      <c r="B13395" s="4"/>
      <c r="D13395" s="67"/>
      <c r="G13395" s="68"/>
      <c r="K13395" s="68"/>
    </row>
    <row r="13396" spans="2:11" ht="12.75">
      <c r="B13396" s="4"/>
      <c r="D13396" s="67"/>
      <c r="G13396" s="68"/>
      <c r="K13396" s="68"/>
    </row>
    <row r="13397" spans="2:11" ht="12.75">
      <c r="B13397" s="4"/>
      <c r="D13397" s="67"/>
      <c r="G13397" s="68"/>
      <c r="K13397" s="68"/>
    </row>
    <row r="13398" spans="2:11" ht="12.75">
      <c r="B13398" s="4"/>
      <c r="D13398" s="67"/>
      <c r="G13398" s="68"/>
      <c r="K13398" s="68"/>
    </row>
    <row r="13399" spans="2:11" ht="12.75">
      <c r="B13399" s="4"/>
      <c r="D13399" s="67"/>
      <c r="G13399" s="68"/>
      <c r="K13399" s="68"/>
    </row>
    <row r="13400" spans="2:11" ht="12.75">
      <c r="B13400" s="4"/>
      <c r="D13400" s="67"/>
      <c r="G13400" s="68"/>
      <c r="K13400" s="68"/>
    </row>
    <row r="13401" spans="2:11" ht="12.75">
      <c r="B13401" s="4"/>
      <c r="D13401" s="67"/>
      <c r="G13401" s="68"/>
      <c r="K13401" s="68"/>
    </row>
    <row r="13402" spans="2:11" ht="12.75">
      <c r="B13402" s="4"/>
      <c r="D13402" s="67"/>
      <c r="G13402" s="68"/>
      <c r="K13402" s="68"/>
    </row>
    <row r="13403" spans="2:11" ht="12.75">
      <c r="B13403" s="4"/>
      <c r="D13403" s="67"/>
      <c r="G13403" s="68"/>
      <c r="K13403" s="68"/>
    </row>
    <row r="13404" spans="2:11" ht="12.75">
      <c r="B13404" s="4"/>
      <c r="D13404" s="67"/>
      <c r="G13404" s="68"/>
      <c r="K13404" s="68"/>
    </row>
    <row r="13405" spans="2:11" ht="12.75">
      <c r="B13405" s="4"/>
      <c r="D13405" s="67"/>
      <c r="G13405" s="68"/>
      <c r="K13405" s="68"/>
    </row>
    <row r="13406" spans="2:11" ht="12.75">
      <c r="B13406" s="4"/>
      <c r="D13406" s="67"/>
      <c r="G13406" s="68"/>
      <c r="K13406" s="68"/>
    </row>
    <row r="13407" spans="2:11" ht="12.75">
      <c r="B13407" s="4"/>
      <c r="D13407" s="67"/>
      <c r="G13407" s="68"/>
      <c r="K13407" s="68"/>
    </row>
    <row r="13408" spans="2:11" ht="12.75">
      <c r="B13408" s="4"/>
      <c r="D13408" s="67"/>
      <c r="G13408" s="68"/>
      <c r="K13408" s="68"/>
    </row>
    <row r="13409" spans="2:11" ht="12.75">
      <c r="B13409" s="4"/>
      <c r="D13409" s="67"/>
      <c r="G13409" s="68"/>
      <c r="K13409" s="68"/>
    </row>
    <row r="13410" spans="2:11" ht="12.75">
      <c r="B13410" s="4"/>
      <c r="D13410" s="67"/>
      <c r="G13410" s="68"/>
      <c r="K13410" s="68"/>
    </row>
    <row r="13411" spans="2:11" ht="12.75">
      <c r="B13411" s="4"/>
      <c r="D13411" s="67"/>
      <c r="G13411" s="68"/>
      <c r="K13411" s="68"/>
    </row>
    <row r="13412" spans="2:11" ht="12.75">
      <c r="B13412" s="4"/>
      <c r="D13412" s="67"/>
      <c r="G13412" s="68"/>
      <c r="K13412" s="68"/>
    </row>
    <row r="13413" spans="2:11" ht="12.75">
      <c r="B13413" s="4"/>
      <c r="D13413" s="67"/>
      <c r="G13413" s="68"/>
      <c r="K13413" s="68"/>
    </row>
    <row r="13414" spans="2:11" ht="12.75">
      <c r="B13414" s="4"/>
      <c r="D13414" s="67"/>
      <c r="G13414" s="68"/>
      <c r="K13414" s="68"/>
    </row>
    <row r="13415" spans="2:11" ht="12.75">
      <c r="B13415" s="4"/>
      <c r="D13415" s="67"/>
      <c r="G13415" s="68"/>
      <c r="K13415" s="68"/>
    </row>
    <row r="13416" spans="2:11" ht="12.75">
      <c r="B13416" s="4"/>
      <c r="D13416" s="67"/>
      <c r="G13416" s="68"/>
      <c r="K13416" s="68"/>
    </row>
    <row r="13417" spans="2:11" ht="12.75">
      <c r="B13417" s="4"/>
      <c r="D13417" s="67"/>
      <c r="G13417" s="68"/>
      <c r="K13417" s="68"/>
    </row>
    <row r="13418" spans="2:11" ht="12.75">
      <c r="B13418" s="4"/>
      <c r="D13418" s="67"/>
      <c r="G13418" s="68"/>
      <c r="K13418" s="68"/>
    </row>
    <row r="13419" spans="2:11" ht="12.75">
      <c r="B13419" s="4"/>
      <c r="D13419" s="67"/>
      <c r="G13419" s="68"/>
      <c r="K13419" s="68"/>
    </row>
    <row r="13420" spans="2:11" ht="12.75">
      <c r="B13420" s="4"/>
      <c r="D13420" s="67"/>
      <c r="G13420" s="68"/>
      <c r="K13420" s="68"/>
    </row>
    <row r="13421" spans="2:11" ht="12.75">
      <c r="B13421" s="4"/>
      <c r="D13421" s="67"/>
      <c r="G13421" s="68"/>
      <c r="K13421" s="68"/>
    </row>
    <row r="13422" spans="2:11" ht="12.75">
      <c r="B13422" s="4"/>
      <c r="D13422" s="67"/>
      <c r="G13422" s="68"/>
      <c r="K13422" s="68"/>
    </row>
    <row r="13423" spans="2:11" ht="12.75">
      <c r="B13423" s="4"/>
      <c r="D13423" s="67"/>
      <c r="G13423" s="68"/>
      <c r="K13423" s="68"/>
    </row>
    <row r="13424" spans="2:11" ht="12.75">
      <c r="B13424" s="4"/>
      <c r="D13424" s="67"/>
      <c r="G13424" s="68"/>
      <c r="K13424" s="68"/>
    </row>
    <row r="13425" spans="2:11" ht="12.75">
      <c r="B13425" s="4"/>
      <c r="D13425" s="67"/>
      <c r="G13425" s="68"/>
      <c r="K13425" s="68"/>
    </row>
    <row r="13426" spans="2:11" ht="12.75">
      <c r="B13426" s="4"/>
      <c r="D13426" s="67"/>
      <c r="G13426" s="68"/>
      <c r="K13426" s="68"/>
    </row>
    <row r="13427" spans="2:11" ht="12.75">
      <c r="B13427" s="4"/>
      <c r="D13427" s="67"/>
      <c r="G13427" s="68"/>
      <c r="K13427" s="68"/>
    </row>
    <row r="13428" spans="2:11" ht="12.75">
      <c r="B13428" s="4"/>
      <c r="D13428" s="67"/>
      <c r="G13428" s="68"/>
      <c r="K13428" s="68"/>
    </row>
    <row r="13429" spans="2:11" ht="12.75">
      <c r="B13429" s="4"/>
      <c r="D13429" s="67"/>
      <c r="G13429" s="68"/>
      <c r="K13429" s="68"/>
    </row>
    <row r="13430" spans="2:11" ht="12.75">
      <c r="B13430" s="4"/>
      <c r="D13430" s="67"/>
      <c r="G13430" s="68"/>
      <c r="K13430" s="68"/>
    </row>
    <row r="13431" spans="2:11" ht="12.75">
      <c r="B13431" s="4"/>
      <c r="D13431" s="67"/>
      <c r="G13431" s="68"/>
      <c r="K13431" s="68"/>
    </row>
    <row r="13432" spans="2:11" ht="12.75">
      <c r="B13432" s="4"/>
      <c r="D13432" s="67"/>
      <c r="G13432" s="68"/>
      <c r="K13432" s="68"/>
    </row>
    <row r="13433" spans="2:11" ht="12.75">
      <c r="B13433" s="4"/>
      <c r="D13433" s="67"/>
      <c r="G13433" s="68"/>
      <c r="K13433" s="68"/>
    </row>
    <row r="13434" spans="2:11" ht="12.75">
      <c r="B13434" s="4"/>
      <c r="D13434" s="67"/>
      <c r="G13434" s="68"/>
      <c r="K13434" s="68"/>
    </row>
    <row r="13435" spans="2:11" ht="12.75">
      <c r="B13435" s="4"/>
      <c r="D13435" s="67"/>
      <c r="G13435" s="68"/>
      <c r="K13435" s="68"/>
    </row>
    <row r="13436" spans="2:11" ht="12.75">
      <c r="B13436" s="4"/>
      <c r="D13436" s="67"/>
      <c r="G13436" s="68"/>
      <c r="K13436" s="68"/>
    </row>
    <row r="13437" spans="2:11" ht="12.75">
      <c r="B13437" s="4"/>
      <c r="D13437" s="67"/>
      <c r="G13437" s="68"/>
      <c r="K13437" s="68"/>
    </row>
    <row r="13438" spans="2:11" ht="12.75">
      <c r="B13438" s="4"/>
      <c r="D13438" s="67"/>
      <c r="G13438" s="68"/>
      <c r="K13438" s="68"/>
    </row>
    <row r="13439" spans="2:11" ht="12.75">
      <c r="B13439" s="4"/>
      <c r="D13439" s="67"/>
      <c r="G13439" s="68"/>
      <c r="K13439" s="68"/>
    </row>
    <row r="13440" spans="2:11" ht="12.75">
      <c r="B13440" s="4"/>
      <c r="D13440" s="67"/>
      <c r="G13440" s="68"/>
      <c r="K13440" s="68"/>
    </row>
    <row r="13441" spans="2:11" ht="12.75">
      <c r="B13441" s="4"/>
      <c r="D13441" s="67"/>
      <c r="G13441" s="68"/>
      <c r="K13441" s="68"/>
    </row>
    <row r="13442" spans="2:11" ht="12.75">
      <c r="B13442" s="4"/>
      <c r="D13442" s="67"/>
      <c r="G13442" s="68"/>
      <c r="K13442" s="68"/>
    </row>
    <row r="13443" spans="2:11" ht="12.75">
      <c r="B13443" s="4"/>
      <c r="D13443" s="67"/>
      <c r="G13443" s="68"/>
      <c r="K13443" s="68"/>
    </row>
    <row r="13444" spans="2:11" ht="12.75">
      <c r="B13444" s="4"/>
      <c r="D13444" s="67"/>
      <c r="G13444" s="68"/>
      <c r="K13444" s="68"/>
    </row>
    <row r="13445" spans="2:11" ht="12.75">
      <c r="B13445" s="4"/>
      <c r="D13445" s="67"/>
      <c r="G13445" s="68"/>
      <c r="K13445" s="68"/>
    </row>
    <row r="13446" spans="2:11" ht="12.75">
      <c r="B13446" s="4"/>
      <c r="D13446" s="67"/>
      <c r="G13446" s="68"/>
      <c r="K13446" s="68"/>
    </row>
    <row r="13447" spans="2:11" ht="12.75">
      <c r="B13447" s="4"/>
      <c r="D13447" s="67"/>
      <c r="G13447" s="68"/>
      <c r="K13447" s="68"/>
    </row>
    <row r="13448" spans="2:11" ht="12.75">
      <c r="B13448" s="4"/>
      <c r="D13448" s="67"/>
      <c r="G13448" s="68"/>
      <c r="K13448" s="68"/>
    </row>
    <row r="13449" spans="2:11" ht="12.75">
      <c r="B13449" s="4"/>
      <c r="D13449" s="67"/>
      <c r="G13449" s="68"/>
      <c r="K13449" s="68"/>
    </row>
    <row r="13450" spans="2:11" ht="12.75">
      <c r="B13450" s="4"/>
      <c r="D13450" s="67"/>
      <c r="G13450" s="68"/>
      <c r="K13450" s="68"/>
    </row>
    <row r="13451" spans="2:11" ht="12.75">
      <c r="B13451" s="4"/>
      <c r="D13451" s="67"/>
      <c r="G13451" s="68"/>
      <c r="K13451" s="68"/>
    </row>
    <row r="13452" spans="2:11" ht="12.75">
      <c r="B13452" s="4"/>
      <c r="D13452" s="67"/>
      <c r="G13452" s="68"/>
      <c r="K13452" s="68"/>
    </row>
    <row r="13453" spans="2:11" ht="12.75">
      <c r="B13453" s="4"/>
      <c r="D13453" s="67"/>
      <c r="G13453" s="68"/>
      <c r="K13453" s="68"/>
    </row>
    <row r="13454" spans="2:11" ht="12.75">
      <c r="B13454" s="4"/>
      <c r="D13454" s="67"/>
      <c r="G13454" s="68"/>
      <c r="K13454" s="68"/>
    </row>
    <row r="13455" spans="2:11" ht="12.75">
      <c r="B13455" s="4"/>
      <c r="D13455" s="67"/>
      <c r="G13455" s="68"/>
      <c r="K13455" s="68"/>
    </row>
    <row r="13456" spans="2:11" ht="12.75">
      <c r="B13456" s="4"/>
      <c r="D13456" s="67"/>
      <c r="G13456" s="68"/>
      <c r="K13456" s="68"/>
    </row>
    <row r="13457" spans="2:11" ht="12.75">
      <c r="B13457" s="4"/>
      <c r="D13457" s="67"/>
      <c r="G13457" s="68"/>
      <c r="K13457" s="68"/>
    </row>
    <row r="13458" spans="2:11" ht="12.75">
      <c r="B13458" s="4"/>
      <c r="D13458" s="67"/>
      <c r="G13458" s="68"/>
      <c r="K13458" s="68"/>
    </row>
    <row r="13459" spans="2:11" ht="12.75">
      <c r="B13459" s="4"/>
      <c r="D13459" s="67"/>
      <c r="G13459" s="68"/>
      <c r="K13459" s="68"/>
    </row>
    <row r="13460" spans="2:11" ht="12.75">
      <c r="B13460" s="4"/>
      <c r="D13460" s="67"/>
      <c r="G13460" s="68"/>
      <c r="K13460" s="68"/>
    </row>
    <row r="13461" spans="2:11" ht="12.75">
      <c r="B13461" s="4"/>
      <c r="D13461" s="67"/>
      <c r="G13461" s="68"/>
      <c r="K13461" s="68"/>
    </row>
    <row r="13462" spans="2:11" ht="12.75">
      <c r="B13462" s="4"/>
      <c r="D13462" s="67"/>
      <c r="G13462" s="68"/>
      <c r="K13462" s="68"/>
    </row>
    <row r="13463" spans="2:11" ht="12.75">
      <c r="B13463" s="4"/>
      <c r="D13463" s="67"/>
      <c r="G13463" s="68"/>
      <c r="K13463" s="68"/>
    </row>
    <row r="13464" spans="2:11" ht="12.75">
      <c r="B13464" s="4"/>
      <c r="D13464" s="67"/>
      <c r="G13464" s="68"/>
      <c r="K13464" s="68"/>
    </row>
    <row r="13465" spans="2:11" ht="12.75">
      <c r="B13465" s="4"/>
      <c r="D13465" s="67"/>
      <c r="G13465" s="68"/>
      <c r="K13465" s="68"/>
    </row>
    <row r="13466" spans="2:11" ht="12.75">
      <c r="B13466" s="4"/>
      <c r="D13466" s="67"/>
      <c r="G13466" s="68"/>
      <c r="K13466" s="68"/>
    </row>
    <row r="13467" spans="2:11" ht="12.75">
      <c r="B13467" s="4"/>
      <c r="D13467" s="67"/>
      <c r="G13467" s="68"/>
      <c r="K13467" s="68"/>
    </row>
    <row r="13468" spans="2:11" ht="12.75">
      <c r="B13468" s="4"/>
      <c r="D13468" s="67"/>
      <c r="G13468" s="68"/>
      <c r="K13468" s="68"/>
    </row>
    <row r="13469" spans="2:11" ht="12.75">
      <c r="B13469" s="4"/>
      <c r="D13469" s="67"/>
      <c r="G13469" s="68"/>
      <c r="K13469" s="68"/>
    </row>
    <row r="13470" spans="2:11" ht="12.75">
      <c r="B13470" s="4"/>
      <c r="D13470" s="67"/>
      <c r="G13470" s="68"/>
      <c r="K13470" s="68"/>
    </row>
    <row r="13471" spans="2:11" ht="12.75">
      <c r="B13471" s="4"/>
      <c r="D13471" s="67"/>
      <c r="G13471" s="68"/>
      <c r="K13471" s="68"/>
    </row>
    <row r="13472" spans="2:11" ht="12.75">
      <c r="B13472" s="4"/>
      <c r="D13472" s="67"/>
      <c r="G13472" s="68"/>
      <c r="K13472" s="68"/>
    </row>
    <row r="13473" spans="2:11" ht="12.75">
      <c r="B13473" s="4"/>
      <c r="D13473" s="67"/>
      <c r="G13473" s="68"/>
      <c r="K13473" s="68"/>
    </row>
    <row r="13474" spans="2:11" ht="12.75">
      <c r="B13474" s="4"/>
      <c r="D13474" s="67"/>
      <c r="G13474" s="68"/>
      <c r="K13474" s="68"/>
    </row>
    <row r="13475" spans="2:11" ht="12.75">
      <c r="B13475" s="4"/>
      <c r="D13475" s="67"/>
      <c r="G13475" s="68"/>
      <c r="K13475" s="68"/>
    </row>
    <row r="13476" spans="2:11" ht="12.75">
      <c r="B13476" s="4"/>
      <c r="D13476" s="67"/>
      <c r="G13476" s="68"/>
      <c r="K13476" s="68"/>
    </row>
    <row r="13477" spans="2:11" ht="12.75">
      <c r="B13477" s="4"/>
      <c r="D13477" s="67"/>
      <c r="G13477" s="68"/>
      <c r="K13477" s="68"/>
    </row>
    <row r="13478" spans="2:11" ht="12.75">
      <c r="B13478" s="4"/>
      <c r="D13478" s="67"/>
      <c r="G13478" s="68"/>
      <c r="K13478" s="68"/>
    </row>
    <row r="13479" spans="2:11" ht="12.75">
      <c r="B13479" s="4"/>
      <c r="D13479" s="67"/>
      <c r="G13479" s="68"/>
      <c r="K13479" s="68"/>
    </row>
    <row r="13480" spans="2:11" ht="12.75">
      <c r="B13480" s="4"/>
      <c r="D13480" s="67"/>
      <c r="G13480" s="68"/>
      <c r="K13480" s="68"/>
    </row>
    <row r="13481" spans="2:11" ht="12.75">
      <c r="B13481" s="4"/>
      <c r="D13481" s="67"/>
      <c r="G13481" s="68"/>
      <c r="K13481" s="68"/>
    </row>
    <row r="13482" spans="2:11" ht="12.75">
      <c r="B13482" s="4"/>
      <c r="D13482" s="67"/>
      <c r="G13482" s="68"/>
      <c r="K13482" s="68"/>
    </row>
    <row r="13483" spans="2:11" ht="12.75">
      <c r="B13483" s="4"/>
      <c r="D13483" s="67"/>
      <c r="G13483" s="68"/>
      <c r="K13483" s="68"/>
    </row>
    <row r="13484" spans="2:11" ht="12.75">
      <c r="B13484" s="4"/>
      <c r="D13484" s="67"/>
      <c r="G13484" s="68"/>
      <c r="K13484" s="68"/>
    </row>
    <row r="13485" spans="2:11" ht="12.75">
      <c r="B13485" s="4"/>
      <c r="D13485" s="67"/>
      <c r="G13485" s="68"/>
      <c r="K13485" s="68"/>
    </row>
    <row r="13486" spans="2:11" ht="12.75">
      <c r="B13486" s="4"/>
      <c r="D13486" s="67"/>
      <c r="G13486" s="68"/>
      <c r="K13486" s="68"/>
    </row>
    <row r="13487" spans="2:11" ht="12.75">
      <c r="B13487" s="4"/>
      <c r="D13487" s="67"/>
      <c r="G13487" s="68"/>
      <c r="K13487" s="68"/>
    </row>
    <row r="13488" spans="2:11" ht="12.75">
      <c r="B13488" s="4"/>
      <c r="D13488" s="67"/>
      <c r="G13488" s="68"/>
      <c r="K13488" s="68"/>
    </row>
    <row r="13489" spans="2:11" ht="12.75">
      <c r="B13489" s="4"/>
      <c r="D13489" s="67"/>
      <c r="G13489" s="68"/>
      <c r="K13489" s="68"/>
    </row>
    <row r="13490" spans="2:11" ht="12.75">
      <c r="B13490" s="4"/>
      <c r="D13490" s="67"/>
      <c r="G13490" s="68"/>
      <c r="K13490" s="68"/>
    </row>
    <row r="13491" spans="2:11" ht="12.75">
      <c r="B13491" s="4"/>
      <c r="D13491" s="67"/>
      <c r="G13491" s="68"/>
      <c r="K13491" s="68"/>
    </row>
    <row r="13492" spans="2:11" ht="12.75">
      <c r="B13492" s="4"/>
      <c r="D13492" s="67"/>
      <c r="G13492" s="68"/>
      <c r="K13492" s="68"/>
    </row>
    <row r="13493" spans="2:11" ht="12.75">
      <c r="B13493" s="4"/>
      <c r="D13493" s="67"/>
      <c r="G13493" s="68"/>
      <c r="K13493" s="68"/>
    </row>
    <row r="13494" spans="2:11" ht="12.75">
      <c r="B13494" s="4"/>
      <c r="D13494" s="67"/>
      <c r="G13494" s="68"/>
      <c r="K13494" s="68"/>
    </row>
    <row r="13495" spans="2:11" ht="12.75">
      <c r="B13495" s="4"/>
      <c r="D13495" s="67"/>
      <c r="G13495" s="68"/>
      <c r="K13495" s="68"/>
    </row>
    <row r="13496" spans="2:11" ht="12.75">
      <c r="B13496" s="4"/>
      <c r="D13496" s="67"/>
      <c r="G13496" s="68"/>
      <c r="K13496" s="68"/>
    </row>
    <row r="13497" spans="2:11" ht="12.75">
      <c r="B13497" s="4"/>
      <c r="D13497" s="67"/>
      <c r="G13497" s="68"/>
      <c r="K13497" s="68"/>
    </row>
    <row r="13498" spans="2:11" ht="12.75">
      <c r="B13498" s="4"/>
      <c r="D13498" s="67"/>
      <c r="G13498" s="68"/>
      <c r="K13498" s="68"/>
    </row>
    <row r="13499" spans="2:11" ht="12.75">
      <c r="B13499" s="4"/>
      <c r="D13499" s="67"/>
      <c r="G13499" s="68"/>
      <c r="K13499" s="68"/>
    </row>
    <row r="13500" spans="2:11" ht="12.75">
      <c r="B13500" s="4"/>
      <c r="D13500" s="67"/>
      <c r="G13500" s="68"/>
      <c r="K13500" s="68"/>
    </row>
    <row r="13501" spans="2:11" ht="12.75">
      <c r="B13501" s="4"/>
      <c r="D13501" s="67"/>
      <c r="G13501" s="68"/>
      <c r="K13501" s="68"/>
    </row>
    <row r="13502" spans="2:11" ht="12.75">
      <c r="B13502" s="4"/>
      <c r="D13502" s="67"/>
      <c r="G13502" s="68"/>
      <c r="K13502" s="68"/>
    </row>
    <row r="13503" spans="2:11" ht="12.75">
      <c r="B13503" s="4"/>
      <c r="D13503" s="67"/>
      <c r="G13503" s="68"/>
      <c r="K13503" s="68"/>
    </row>
    <row r="13504" spans="2:11" ht="12.75">
      <c r="B13504" s="4"/>
      <c r="D13504" s="67"/>
      <c r="G13504" s="68"/>
      <c r="K13504" s="68"/>
    </row>
    <row r="13505" spans="2:11" ht="12.75">
      <c r="B13505" s="4"/>
      <c r="D13505" s="67"/>
      <c r="G13505" s="68"/>
      <c r="K13505" s="68"/>
    </row>
    <row r="13506" spans="2:11" ht="12.75">
      <c r="B13506" s="4"/>
      <c r="D13506" s="67"/>
      <c r="G13506" s="68"/>
      <c r="K13506" s="68"/>
    </row>
    <row r="13507" spans="2:11" ht="12.75">
      <c r="B13507" s="4"/>
      <c r="D13507" s="67"/>
      <c r="G13507" s="68"/>
      <c r="K13507" s="68"/>
    </row>
    <row r="13508" spans="2:11" ht="12.75">
      <c r="B13508" s="4"/>
      <c r="D13508" s="67"/>
      <c r="G13508" s="68"/>
      <c r="K13508" s="68"/>
    </row>
    <row r="13509" spans="2:11" ht="12.75">
      <c r="B13509" s="4"/>
      <c r="D13509" s="67"/>
      <c r="G13509" s="68"/>
      <c r="K13509" s="68"/>
    </row>
    <row r="13510" spans="2:11" ht="12.75">
      <c r="B13510" s="4"/>
      <c r="D13510" s="67"/>
      <c r="G13510" s="68"/>
      <c r="K13510" s="68"/>
    </row>
    <row r="13511" spans="2:11" ht="12.75">
      <c r="B13511" s="4"/>
      <c r="D13511" s="67"/>
      <c r="G13511" s="68"/>
      <c r="K13511" s="68"/>
    </row>
    <row r="13512" spans="2:11" ht="12.75">
      <c r="B13512" s="4"/>
      <c r="D13512" s="67"/>
      <c r="G13512" s="68"/>
      <c r="K13512" s="68"/>
    </row>
    <row r="13513" spans="2:11" ht="12.75">
      <c r="B13513" s="4"/>
      <c r="D13513" s="67"/>
      <c r="G13513" s="68"/>
      <c r="K13513" s="68"/>
    </row>
    <row r="13514" spans="2:11" ht="12.75">
      <c r="B13514" s="4"/>
      <c r="D13514" s="67"/>
      <c r="G13514" s="68"/>
      <c r="K13514" s="68"/>
    </row>
    <row r="13515" spans="2:11" ht="12.75">
      <c r="B13515" s="4"/>
      <c r="D13515" s="67"/>
      <c r="G13515" s="68"/>
      <c r="K13515" s="68"/>
    </row>
    <row r="13516" spans="2:11" ht="12.75">
      <c r="B13516" s="4"/>
      <c r="D13516" s="67"/>
      <c r="G13516" s="68"/>
      <c r="K13516" s="68"/>
    </row>
    <row r="13517" spans="2:11" ht="12.75">
      <c r="B13517" s="4"/>
      <c r="D13517" s="67"/>
      <c r="G13517" s="68"/>
      <c r="K13517" s="68"/>
    </row>
    <row r="13518" spans="2:11" ht="12.75">
      <c r="B13518" s="4"/>
      <c r="D13518" s="67"/>
      <c r="G13518" s="68"/>
      <c r="K13518" s="68"/>
    </row>
    <row r="13519" spans="2:11" ht="12.75">
      <c r="B13519" s="4"/>
      <c r="D13519" s="67"/>
      <c r="G13519" s="68"/>
      <c r="K13519" s="68"/>
    </row>
    <row r="13520" spans="2:11" ht="12.75">
      <c r="B13520" s="4"/>
      <c r="D13520" s="67"/>
      <c r="G13520" s="68"/>
      <c r="K13520" s="68"/>
    </row>
    <row r="13521" spans="2:11" ht="12.75">
      <c r="B13521" s="4"/>
      <c r="D13521" s="67"/>
      <c r="G13521" s="68"/>
      <c r="K13521" s="68"/>
    </row>
    <row r="13522" spans="2:11" ht="12.75">
      <c r="B13522" s="4"/>
      <c r="D13522" s="67"/>
      <c r="G13522" s="68"/>
      <c r="K13522" s="68"/>
    </row>
    <row r="13523" spans="2:11" ht="12.75">
      <c r="B13523" s="4"/>
      <c r="D13523" s="67"/>
      <c r="G13523" s="68"/>
      <c r="K13523" s="68"/>
    </row>
    <row r="13524" spans="2:11" ht="12.75">
      <c r="B13524" s="4"/>
      <c r="D13524" s="67"/>
      <c r="G13524" s="68"/>
      <c r="K13524" s="68"/>
    </row>
    <row r="13525" spans="2:11" ht="12.75">
      <c r="B13525" s="4"/>
      <c r="D13525" s="67"/>
      <c r="G13525" s="68"/>
      <c r="K13525" s="68"/>
    </row>
    <row r="13526" spans="2:11" ht="12.75">
      <c r="B13526" s="4"/>
      <c r="D13526" s="67"/>
      <c r="G13526" s="68"/>
      <c r="K13526" s="68"/>
    </row>
    <row r="13527" spans="2:11" ht="12.75">
      <c r="B13527" s="4"/>
      <c r="D13527" s="67"/>
      <c r="G13527" s="68"/>
      <c r="K13527" s="68"/>
    </row>
    <row r="13528" spans="2:11" ht="12.75">
      <c r="B13528" s="4"/>
      <c r="D13528" s="67"/>
      <c r="G13528" s="68"/>
      <c r="K13528" s="68"/>
    </row>
    <row r="13529" spans="2:11" ht="12.75">
      <c r="B13529" s="4"/>
      <c r="D13529" s="67"/>
      <c r="G13529" s="68"/>
      <c r="K13529" s="68"/>
    </row>
    <row r="13530" spans="2:11" ht="12.75">
      <c r="B13530" s="4"/>
      <c r="D13530" s="67"/>
      <c r="G13530" s="68"/>
      <c r="K13530" s="68"/>
    </row>
    <row r="13531" spans="2:11" ht="12.75">
      <c r="B13531" s="4"/>
      <c r="D13531" s="67"/>
      <c r="G13531" s="68"/>
      <c r="K13531" s="68"/>
    </row>
    <row r="13532" spans="2:11" ht="12.75">
      <c r="B13532" s="4"/>
      <c r="D13532" s="67"/>
      <c r="G13532" s="68"/>
      <c r="K13532" s="68"/>
    </row>
    <row r="13533" spans="2:11" ht="12.75">
      <c r="B13533" s="4"/>
      <c r="D13533" s="67"/>
      <c r="G13533" s="68"/>
      <c r="K13533" s="68"/>
    </row>
    <row r="13534" spans="2:11" ht="12.75">
      <c r="B13534" s="4"/>
      <c r="D13534" s="67"/>
      <c r="G13534" s="68"/>
      <c r="K13534" s="68"/>
    </row>
    <row r="13535" spans="2:11" ht="12.75">
      <c r="B13535" s="4"/>
      <c r="D13535" s="67"/>
      <c r="G13535" s="68"/>
      <c r="K13535" s="68"/>
    </row>
    <row r="13536" spans="2:11" ht="12.75">
      <c r="B13536" s="4"/>
      <c r="D13536" s="67"/>
      <c r="G13536" s="68"/>
      <c r="K13536" s="68"/>
    </row>
    <row r="13537" spans="2:11" ht="12.75">
      <c r="B13537" s="4"/>
      <c r="D13537" s="67"/>
      <c r="G13537" s="68"/>
      <c r="K13537" s="68"/>
    </row>
    <row r="13538" spans="2:11" ht="12.75">
      <c r="B13538" s="4"/>
      <c r="D13538" s="67"/>
      <c r="G13538" s="68"/>
      <c r="K13538" s="68"/>
    </row>
    <row r="13539" spans="2:11" ht="12.75">
      <c r="B13539" s="4"/>
      <c r="D13539" s="67"/>
      <c r="G13539" s="68"/>
      <c r="K13539" s="68"/>
    </row>
    <row r="13540" spans="2:11" ht="12.75">
      <c r="B13540" s="4"/>
      <c r="D13540" s="67"/>
      <c r="G13540" s="68"/>
      <c r="K13540" s="68"/>
    </row>
    <row r="13541" spans="2:11" ht="12.75">
      <c r="B13541" s="4"/>
      <c r="D13541" s="67"/>
      <c r="G13541" s="68"/>
      <c r="K13541" s="68"/>
    </row>
    <row r="13542" spans="2:11" ht="12.75">
      <c r="B13542" s="4"/>
      <c r="D13542" s="67"/>
      <c r="G13542" s="68"/>
      <c r="K13542" s="68"/>
    </row>
    <row r="13543" spans="2:11" ht="12.75">
      <c r="B13543" s="4"/>
      <c r="D13543" s="67"/>
      <c r="G13543" s="68"/>
      <c r="K13543" s="68"/>
    </row>
    <row r="13544" spans="2:11" ht="12.75">
      <c r="B13544" s="4"/>
      <c r="D13544" s="67"/>
      <c r="G13544" s="68"/>
      <c r="K13544" s="68"/>
    </row>
    <row r="13545" spans="2:11" ht="12.75">
      <c r="B13545" s="4"/>
      <c r="D13545" s="67"/>
      <c r="G13545" s="68"/>
      <c r="K13545" s="68"/>
    </row>
    <row r="13546" spans="2:11" ht="12.75">
      <c r="B13546" s="4"/>
      <c r="D13546" s="67"/>
      <c r="G13546" s="68"/>
      <c r="K13546" s="68"/>
    </row>
    <row r="13547" spans="2:11" ht="12.75">
      <c r="B13547" s="4"/>
      <c r="D13547" s="67"/>
      <c r="G13547" s="68"/>
      <c r="K13547" s="68"/>
    </row>
    <row r="13548" spans="2:11" ht="12.75">
      <c r="B13548" s="4"/>
      <c r="D13548" s="67"/>
      <c r="G13548" s="68"/>
      <c r="K13548" s="68"/>
    </row>
    <row r="13549" spans="2:11" ht="12.75">
      <c r="B13549" s="4"/>
      <c r="D13549" s="67"/>
      <c r="G13549" s="68"/>
      <c r="K13549" s="68"/>
    </row>
    <row r="13550" spans="2:11" ht="12.75">
      <c r="B13550" s="4"/>
      <c r="D13550" s="67"/>
      <c r="G13550" s="68"/>
      <c r="K13550" s="68"/>
    </row>
    <row r="13551" spans="2:11" ht="12.75">
      <c r="B13551" s="4"/>
      <c r="D13551" s="67"/>
      <c r="G13551" s="68"/>
      <c r="K13551" s="68"/>
    </row>
    <row r="13552" spans="2:11" ht="12.75">
      <c r="B13552" s="4"/>
      <c r="D13552" s="67"/>
      <c r="G13552" s="68"/>
      <c r="K13552" s="68"/>
    </row>
    <row r="13553" spans="2:11" ht="12.75">
      <c r="B13553" s="4"/>
      <c r="D13553" s="67"/>
      <c r="G13553" s="68"/>
      <c r="K13553" s="68"/>
    </row>
    <row r="13554" spans="2:11" ht="12.75">
      <c r="B13554" s="4"/>
      <c r="D13554" s="67"/>
      <c r="G13554" s="68"/>
      <c r="K13554" s="68"/>
    </row>
    <row r="13555" spans="2:11" ht="12.75">
      <c r="B13555" s="4"/>
      <c r="D13555" s="67"/>
      <c r="G13555" s="68"/>
      <c r="K13555" s="68"/>
    </row>
    <row r="13556" spans="2:11" ht="12.75">
      <c r="B13556" s="4"/>
      <c r="D13556" s="67"/>
      <c r="G13556" s="68"/>
      <c r="K13556" s="68"/>
    </row>
    <row r="13557" spans="2:11" ht="12.75">
      <c r="B13557" s="4"/>
      <c r="D13557" s="67"/>
      <c r="G13557" s="68"/>
      <c r="K13557" s="68"/>
    </row>
    <row r="13558" spans="2:11" ht="12.75">
      <c r="B13558" s="4"/>
      <c r="D13558" s="67"/>
      <c r="G13558" s="68"/>
      <c r="K13558" s="68"/>
    </row>
    <row r="13559" spans="2:11" ht="12.75">
      <c r="B13559" s="4"/>
      <c r="D13559" s="67"/>
      <c r="G13559" s="68"/>
      <c r="K13559" s="68"/>
    </row>
    <row r="13560" spans="2:11" ht="12.75">
      <c r="B13560" s="4"/>
      <c r="D13560" s="67"/>
      <c r="G13560" s="68"/>
      <c r="K13560" s="68"/>
    </row>
    <row r="13561" spans="2:11" ht="12.75">
      <c r="B13561" s="4"/>
      <c r="D13561" s="67"/>
      <c r="G13561" s="68"/>
      <c r="K13561" s="68"/>
    </row>
    <row r="13562" spans="2:11" ht="12.75">
      <c r="B13562" s="4"/>
      <c r="D13562" s="67"/>
      <c r="G13562" s="68"/>
      <c r="K13562" s="68"/>
    </row>
    <row r="13563" spans="2:11" ht="12.75">
      <c r="B13563" s="4"/>
      <c r="D13563" s="67"/>
      <c r="G13563" s="68"/>
      <c r="K13563" s="68"/>
    </row>
    <row r="13564" spans="2:11" ht="12.75">
      <c r="B13564" s="4"/>
      <c r="D13564" s="67"/>
      <c r="G13564" s="68"/>
      <c r="K13564" s="68"/>
    </row>
    <row r="13565" spans="2:11" ht="12.75">
      <c r="B13565" s="4"/>
      <c r="D13565" s="67"/>
      <c r="G13565" s="68"/>
      <c r="K13565" s="68"/>
    </row>
    <row r="13566" spans="2:11" ht="12.75">
      <c r="B13566" s="4"/>
      <c r="D13566" s="67"/>
      <c r="G13566" s="68"/>
      <c r="K13566" s="68"/>
    </row>
    <row r="13567" spans="2:11" ht="12.75">
      <c r="B13567" s="4"/>
      <c r="D13567" s="67"/>
      <c r="G13567" s="68"/>
      <c r="K13567" s="68"/>
    </row>
    <row r="13568" spans="2:11" ht="12.75">
      <c r="B13568" s="4"/>
      <c r="D13568" s="67"/>
      <c r="G13568" s="68"/>
      <c r="K13568" s="68"/>
    </row>
    <row r="13569" spans="2:11" ht="12.75">
      <c r="B13569" s="4"/>
      <c r="D13569" s="67"/>
      <c r="G13569" s="68"/>
      <c r="K13569" s="68"/>
    </row>
    <row r="13570" spans="2:11" ht="12.75">
      <c r="B13570" s="4"/>
      <c r="D13570" s="67"/>
      <c r="G13570" s="68"/>
      <c r="K13570" s="68"/>
    </row>
    <row r="13571" spans="2:11" ht="12.75">
      <c r="B13571" s="4"/>
      <c r="D13571" s="67"/>
      <c r="G13571" s="68"/>
      <c r="K13571" s="68"/>
    </row>
    <row r="13572" spans="2:11" ht="12.75">
      <c r="B13572" s="4"/>
      <c r="D13572" s="67"/>
      <c r="G13572" s="68"/>
      <c r="K13572" s="68"/>
    </row>
    <row r="13573" spans="2:11" ht="12.75">
      <c r="B13573" s="4"/>
      <c r="D13573" s="67"/>
      <c r="G13573" s="68"/>
      <c r="K13573" s="68"/>
    </row>
    <row r="13574" spans="2:11" ht="12.75">
      <c r="B13574" s="4"/>
      <c r="D13574" s="67"/>
      <c r="G13574" s="68"/>
      <c r="K13574" s="68"/>
    </row>
    <row r="13575" spans="2:11" ht="12.75">
      <c r="B13575" s="4"/>
      <c r="D13575" s="67"/>
      <c r="G13575" s="68"/>
      <c r="K13575" s="68"/>
    </row>
    <row r="13576" spans="2:11" ht="12.75">
      <c r="B13576" s="4"/>
      <c r="D13576" s="67"/>
      <c r="G13576" s="68"/>
      <c r="K13576" s="68"/>
    </row>
    <row r="13577" spans="2:11" ht="12.75">
      <c r="B13577" s="4"/>
      <c r="D13577" s="67"/>
      <c r="G13577" s="68"/>
      <c r="K13577" s="68"/>
    </row>
    <row r="13578" spans="2:11" ht="12.75">
      <c r="B13578" s="4"/>
      <c r="D13578" s="67"/>
      <c r="G13578" s="68"/>
      <c r="K13578" s="68"/>
    </row>
    <row r="13579" spans="2:11" ht="12.75">
      <c r="B13579" s="4"/>
      <c r="D13579" s="67"/>
      <c r="G13579" s="68"/>
      <c r="K13579" s="68"/>
    </row>
    <row r="13580" spans="2:11" ht="12.75">
      <c r="B13580" s="4"/>
      <c r="D13580" s="67"/>
      <c r="G13580" s="68"/>
      <c r="K13580" s="68"/>
    </row>
    <row r="13581" spans="2:11" ht="12.75">
      <c r="B13581" s="4"/>
      <c r="D13581" s="67"/>
      <c r="G13581" s="68"/>
      <c r="K13581" s="68"/>
    </row>
    <row r="13582" spans="2:11" ht="12.75">
      <c r="B13582" s="4"/>
      <c r="D13582" s="67"/>
      <c r="G13582" s="68"/>
      <c r="K13582" s="68"/>
    </row>
    <row r="13583" spans="2:11" ht="12.75">
      <c r="B13583" s="4"/>
      <c r="D13583" s="67"/>
      <c r="G13583" s="68"/>
      <c r="K13583" s="68"/>
    </row>
    <row r="13584" spans="2:11" ht="12.75">
      <c r="B13584" s="4"/>
      <c r="D13584" s="67"/>
      <c r="G13584" s="68"/>
      <c r="K13584" s="68"/>
    </row>
    <row r="13585" spans="2:11" ht="12.75">
      <c r="B13585" s="4"/>
      <c r="D13585" s="67"/>
      <c r="G13585" s="68"/>
      <c r="K13585" s="68"/>
    </row>
    <row r="13586" spans="2:11" ht="12.75">
      <c r="B13586" s="4"/>
      <c r="D13586" s="67"/>
      <c r="G13586" s="68"/>
      <c r="K13586" s="68"/>
    </row>
    <row r="13587" spans="2:11" ht="12.75">
      <c r="B13587" s="4"/>
      <c r="D13587" s="67"/>
      <c r="G13587" s="68"/>
      <c r="K13587" s="68"/>
    </row>
    <row r="13588" spans="2:11" ht="12.75">
      <c r="B13588" s="4"/>
      <c r="D13588" s="67"/>
      <c r="G13588" s="68"/>
      <c r="K13588" s="68"/>
    </row>
    <row r="13589" spans="2:11" ht="12.75">
      <c r="B13589" s="4"/>
      <c r="D13589" s="67"/>
      <c r="G13589" s="68"/>
      <c r="K13589" s="68"/>
    </row>
    <row r="13590" spans="2:11" ht="12.75">
      <c r="B13590" s="4"/>
      <c r="D13590" s="67"/>
      <c r="G13590" s="68"/>
      <c r="K13590" s="68"/>
    </row>
    <row r="13591" spans="2:11" ht="12.75">
      <c r="B13591" s="4"/>
      <c r="D13591" s="67"/>
      <c r="G13591" s="68"/>
      <c r="K13591" s="68"/>
    </row>
    <row r="13592" spans="2:11" ht="12.75">
      <c r="B13592" s="4"/>
      <c r="D13592" s="67"/>
      <c r="G13592" s="68"/>
      <c r="K13592" s="68"/>
    </row>
    <row r="13593" spans="2:11" ht="12.75">
      <c r="B13593" s="4"/>
      <c r="D13593" s="67"/>
      <c r="G13593" s="68"/>
      <c r="K13593" s="68"/>
    </row>
    <row r="13594" spans="2:11" ht="12.75">
      <c r="B13594" s="4"/>
      <c r="D13594" s="67"/>
      <c r="G13594" s="68"/>
      <c r="K13594" s="68"/>
    </row>
    <row r="13595" spans="2:11" ht="12.75">
      <c r="B13595" s="4"/>
      <c r="D13595" s="67"/>
      <c r="G13595" s="68"/>
      <c r="K13595" s="68"/>
    </row>
    <row r="13596" spans="2:11" ht="12.75">
      <c r="B13596" s="4"/>
      <c r="D13596" s="67"/>
      <c r="G13596" s="68"/>
      <c r="K13596" s="68"/>
    </row>
    <row r="13597" spans="2:11" ht="12.75">
      <c r="B13597" s="4"/>
      <c r="D13597" s="67"/>
      <c r="G13597" s="68"/>
      <c r="K13597" s="68"/>
    </row>
    <row r="13598" spans="2:11" ht="12.75">
      <c r="B13598" s="4"/>
      <c r="D13598" s="67"/>
      <c r="G13598" s="68"/>
      <c r="K13598" s="68"/>
    </row>
    <row r="13599" spans="2:11" ht="12.75">
      <c r="B13599" s="4"/>
      <c r="D13599" s="67"/>
      <c r="G13599" s="68"/>
      <c r="K13599" s="68"/>
    </row>
    <row r="13600" spans="2:11" ht="12.75">
      <c r="B13600" s="4"/>
      <c r="D13600" s="67"/>
      <c r="G13600" s="68"/>
      <c r="K13600" s="68"/>
    </row>
    <row r="13601" spans="2:11" ht="12.75">
      <c r="B13601" s="4"/>
      <c r="D13601" s="67"/>
      <c r="G13601" s="68"/>
      <c r="K13601" s="68"/>
    </row>
    <row r="13602" spans="2:11" ht="12.75">
      <c r="B13602" s="4"/>
      <c r="D13602" s="67"/>
      <c r="G13602" s="68"/>
      <c r="K13602" s="68"/>
    </row>
    <row r="13603" spans="2:11" ht="12.75">
      <c r="B13603" s="4"/>
      <c r="D13603" s="67"/>
      <c r="G13603" s="68"/>
      <c r="K13603" s="68"/>
    </row>
    <row r="13604" spans="2:11" ht="12.75">
      <c r="B13604" s="4"/>
      <c r="D13604" s="67"/>
      <c r="G13604" s="68"/>
      <c r="K13604" s="68"/>
    </row>
    <row r="13605" spans="2:11" ht="12.75">
      <c r="B13605" s="4"/>
      <c r="D13605" s="67"/>
      <c r="G13605" s="68"/>
      <c r="K13605" s="68"/>
    </row>
    <row r="13606" spans="2:11" ht="12.75">
      <c r="B13606" s="4"/>
      <c r="D13606" s="67"/>
      <c r="G13606" s="68"/>
      <c r="K13606" s="68"/>
    </row>
    <row r="13607" spans="2:11" ht="12.75">
      <c r="B13607" s="4"/>
      <c r="D13607" s="67"/>
      <c r="G13607" s="68"/>
      <c r="K13607" s="68"/>
    </row>
    <row r="13608" spans="2:11" ht="12.75">
      <c r="B13608" s="4"/>
      <c r="D13608" s="67"/>
      <c r="G13608" s="68"/>
      <c r="K13608" s="68"/>
    </row>
    <row r="13609" spans="2:11" ht="12.75">
      <c r="B13609" s="4"/>
      <c r="D13609" s="67"/>
      <c r="G13609" s="68"/>
      <c r="K13609" s="68"/>
    </row>
    <row r="13610" spans="2:11" ht="12.75">
      <c r="B13610" s="4"/>
      <c r="D13610" s="67"/>
      <c r="G13610" s="68"/>
      <c r="K13610" s="68"/>
    </row>
    <row r="13611" spans="2:11" ht="12.75">
      <c r="B13611" s="4"/>
      <c r="D13611" s="67"/>
      <c r="G13611" s="68"/>
      <c r="K13611" s="68"/>
    </row>
    <row r="13612" spans="2:11" ht="12.75">
      <c r="B13612" s="4"/>
      <c r="D13612" s="67"/>
      <c r="G13612" s="68"/>
      <c r="K13612" s="68"/>
    </row>
    <row r="13613" spans="2:11" ht="12.75">
      <c r="B13613" s="4"/>
      <c r="D13613" s="67"/>
      <c r="G13613" s="68"/>
      <c r="K13613" s="68"/>
    </row>
    <row r="13614" spans="2:11" ht="12.75">
      <c r="B13614" s="4"/>
      <c r="D13614" s="67"/>
      <c r="G13614" s="68"/>
      <c r="K13614" s="68"/>
    </row>
    <row r="13615" spans="2:11" ht="12.75">
      <c r="B13615" s="4"/>
      <c r="D13615" s="67"/>
      <c r="G13615" s="68"/>
      <c r="K13615" s="68"/>
    </row>
    <row r="13616" spans="2:11" ht="12.75">
      <c r="B13616" s="4"/>
      <c r="D13616" s="67"/>
      <c r="G13616" s="68"/>
      <c r="K13616" s="68"/>
    </row>
    <row r="13617" spans="2:11" ht="12.75">
      <c r="B13617" s="4"/>
      <c r="D13617" s="67"/>
      <c r="G13617" s="68"/>
      <c r="K13617" s="68"/>
    </row>
    <row r="13618" spans="2:11" ht="12.75">
      <c r="B13618" s="4"/>
      <c r="D13618" s="67"/>
      <c r="G13618" s="68"/>
      <c r="K13618" s="68"/>
    </row>
    <row r="13619" spans="2:11" ht="12.75">
      <c r="B13619" s="4"/>
      <c r="D13619" s="67"/>
      <c r="G13619" s="68"/>
      <c r="K13619" s="68"/>
    </row>
    <row r="13620" spans="2:11" ht="12.75">
      <c r="B13620" s="4"/>
      <c r="D13620" s="67"/>
      <c r="G13620" s="68"/>
      <c r="K13620" s="68"/>
    </row>
    <row r="13621" spans="2:11" ht="12.75">
      <c r="B13621" s="4"/>
      <c r="D13621" s="67"/>
      <c r="G13621" s="68"/>
      <c r="K13621" s="68"/>
    </row>
    <row r="13622" spans="2:11" ht="12.75">
      <c r="B13622" s="4"/>
      <c r="D13622" s="67"/>
      <c r="G13622" s="68"/>
      <c r="K13622" s="68"/>
    </row>
    <row r="13623" spans="2:11" ht="12.75">
      <c r="B13623" s="4"/>
      <c r="D13623" s="67"/>
      <c r="G13623" s="68"/>
      <c r="K13623" s="68"/>
    </row>
    <row r="13624" spans="2:11" ht="12.75">
      <c r="B13624" s="4"/>
      <c r="D13624" s="67"/>
      <c r="G13624" s="68"/>
      <c r="K13624" s="68"/>
    </row>
    <row r="13625" spans="2:11" ht="12.75">
      <c r="B13625" s="4"/>
      <c r="D13625" s="67"/>
      <c r="G13625" s="68"/>
      <c r="K13625" s="68"/>
    </row>
    <row r="13626" spans="2:11" ht="12.75">
      <c r="B13626" s="4"/>
      <c r="D13626" s="67"/>
      <c r="G13626" s="68"/>
      <c r="K13626" s="68"/>
    </row>
    <row r="13627" spans="2:11" ht="12.75">
      <c r="B13627" s="4"/>
      <c r="D13627" s="67"/>
      <c r="G13627" s="68"/>
      <c r="K13627" s="68"/>
    </row>
    <row r="13628" spans="2:11" ht="12.75">
      <c r="B13628" s="4"/>
      <c r="D13628" s="67"/>
      <c r="G13628" s="68"/>
      <c r="K13628" s="68"/>
    </row>
    <row r="13629" spans="2:11" ht="12.75">
      <c r="B13629" s="4"/>
      <c r="D13629" s="67"/>
      <c r="G13629" s="68"/>
      <c r="K13629" s="68"/>
    </row>
    <row r="13630" spans="2:11" ht="12.75">
      <c r="B13630" s="4"/>
      <c r="D13630" s="67"/>
      <c r="G13630" s="68"/>
      <c r="K13630" s="68"/>
    </row>
    <row r="13631" spans="2:11" ht="12.75">
      <c r="B13631" s="4"/>
      <c r="D13631" s="67"/>
      <c r="G13631" s="68"/>
      <c r="K13631" s="68"/>
    </row>
    <row r="13632" spans="2:11" ht="12.75">
      <c r="B13632" s="4"/>
      <c r="D13632" s="67"/>
      <c r="G13632" s="68"/>
      <c r="K13632" s="68"/>
    </row>
    <row r="13633" spans="2:11" ht="12.75">
      <c r="B13633" s="4"/>
      <c r="D13633" s="67"/>
      <c r="G13633" s="68"/>
      <c r="K13633" s="68"/>
    </row>
    <row r="13634" spans="2:11" ht="12.75">
      <c r="B13634" s="4"/>
      <c r="D13634" s="67"/>
      <c r="G13634" s="68"/>
      <c r="K13634" s="68"/>
    </row>
    <row r="13635" spans="2:11" ht="12.75">
      <c r="B13635" s="4"/>
      <c r="D13635" s="67"/>
      <c r="G13635" s="68"/>
      <c r="K13635" s="68"/>
    </row>
    <row r="13636" spans="2:11" ht="12.75">
      <c r="B13636" s="4"/>
      <c r="D13636" s="67"/>
      <c r="G13636" s="68"/>
      <c r="K13636" s="68"/>
    </row>
    <row r="13637" spans="2:11" ht="12.75">
      <c r="B13637" s="4"/>
      <c r="D13637" s="67"/>
      <c r="G13637" s="68"/>
      <c r="K13637" s="68"/>
    </row>
    <row r="13638" spans="2:11" ht="12.75">
      <c r="B13638" s="4"/>
      <c r="D13638" s="67"/>
      <c r="G13638" s="68"/>
      <c r="K13638" s="68"/>
    </row>
    <row r="13639" spans="2:11" ht="12.75">
      <c r="B13639" s="4"/>
      <c r="D13639" s="67"/>
      <c r="G13639" s="68"/>
      <c r="K13639" s="68"/>
    </row>
    <row r="13640" spans="2:11" ht="12.75">
      <c r="B13640" s="4"/>
      <c r="D13640" s="67"/>
      <c r="G13640" s="68"/>
      <c r="K13640" s="68"/>
    </row>
    <row r="13641" spans="2:11" ht="12.75">
      <c r="B13641" s="4"/>
      <c r="D13641" s="67"/>
      <c r="G13641" s="68"/>
      <c r="K13641" s="68"/>
    </row>
    <row r="13642" spans="2:11" ht="12.75">
      <c r="B13642" s="4"/>
      <c r="D13642" s="67"/>
      <c r="G13642" s="68"/>
      <c r="K13642" s="68"/>
    </row>
    <row r="13643" spans="2:11" ht="12.75">
      <c r="B13643" s="4"/>
      <c r="D13643" s="67"/>
      <c r="G13643" s="68"/>
      <c r="K13643" s="68"/>
    </row>
    <row r="13644" spans="2:11" ht="12.75">
      <c r="B13644" s="4"/>
      <c r="D13644" s="67"/>
      <c r="G13644" s="68"/>
      <c r="K13644" s="68"/>
    </row>
    <row r="13645" spans="2:11" ht="12.75">
      <c r="B13645" s="4"/>
      <c r="D13645" s="67"/>
      <c r="G13645" s="68"/>
      <c r="K13645" s="68"/>
    </row>
    <row r="13646" spans="2:11" ht="12.75">
      <c r="B13646" s="4"/>
      <c r="D13646" s="67"/>
      <c r="G13646" s="68"/>
      <c r="K13646" s="68"/>
    </row>
    <row r="13647" spans="2:11" ht="12.75">
      <c r="B13647" s="4"/>
      <c r="D13647" s="67"/>
      <c r="G13647" s="68"/>
      <c r="K13647" s="68"/>
    </row>
    <row r="13648" spans="2:11" ht="12.75">
      <c r="B13648" s="4"/>
      <c r="D13648" s="67"/>
      <c r="G13648" s="68"/>
      <c r="K13648" s="68"/>
    </row>
    <row r="13649" spans="2:11" ht="12.75">
      <c r="B13649" s="4"/>
      <c r="D13649" s="67"/>
      <c r="G13649" s="68"/>
      <c r="K13649" s="68"/>
    </row>
    <row r="13650" spans="2:11" ht="12.75">
      <c r="B13650" s="4"/>
      <c r="D13650" s="67"/>
      <c r="G13650" s="68"/>
      <c r="K13650" s="68"/>
    </row>
    <row r="13651" spans="2:11" ht="12.75">
      <c r="B13651" s="4"/>
      <c r="D13651" s="67"/>
      <c r="G13651" s="68"/>
      <c r="K13651" s="68"/>
    </row>
    <row r="13652" spans="2:11" ht="12.75">
      <c r="B13652" s="4"/>
      <c r="D13652" s="67"/>
      <c r="G13652" s="68"/>
      <c r="K13652" s="68"/>
    </row>
    <row r="13653" spans="2:11" ht="12.75">
      <c r="B13653" s="4"/>
      <c r="D13653" s="67"/>
      <c r="G13653" s="68"/>
      <c r="K13653" s="68"/>
    </row>
    <row r="13654" spans="2:11" ht="12.75">
      <c r="B13654" s="4"/>
      <c r="D13654" s="67"/>
      <c r="G13654" s="68"/>
      <c r="K13654" s="68"/>
    </row>
    <row r="13655" spans="2:11" ht="12.75">
      <c r="B13655" s="4"/>
      <c r="D13655" s="67"/>
      <c r="G13655" s="68"/>
      <c r="K13655" s="68"/>
    </row>
    <row r="13656" spans="2:11" ht="12.75">
      <c r="B13656" s="4"/>
      <c r="D13656" s="67"/>
      <c r="G13656" s="68"/>
      <c r="K13656" s="68"/>
    </row>
    <row r="13657" spans="2:11" ht="12.75">
      <c r="B13657" s="4"/>
      <c r="D13657" s="67"/>
      <c r="G13657" s="68"/>
      <c r="K13657" s="68"/>
    </row>
    <row r="13658" spans="2:11" ht="12.75">
      <c r="B13658" s="4"/>
      <c r="D13658" s="67"/>
      <c r="G13658" s="68"/>
      <c r="K13658" s="68"/>
    </row>
    <row r="13659" spans="2:11" ht="12.75">
      <c r="B13659" s="4"/>
      <c r="D13659" s="67"/>
      <c r="G13659" s="68"/>
      <c r="K13659" s="68"/>
    </row>
    <row r="13660" spans="2:11" ht="12.75">
      <c r="B13660" s="4"/>
      <c r="D13660" s="67"/>
      <c r="G13660" s="68"/>
      <c r="K13660" s="68"/>
    </row>
    <row r="13661" spans="2:11" ht="12.75">
      <c r="B13661" s="4"/>
      <c r="D13661" s="67"/>
      <c r="G13661" s="68"/>
      <c r="K13661" s="68"/>
    </row>
    <row r="13662" spans="2:11" ht="12.75">
      <c r="B13662" s="4"/>
      <c r="D13662" s="67"/>
      <c r="G13662" s="68"/>
      <c r="K13662" s="68"/>
    </row>
    <row r="13663" spans="2:11" ht="12.75">
      <c r="B13663" s="4"/>
      <c r="D13663" s="67"/>
      <c r="G13663" s="68"/>
      <c r="K13663" s="68"/>
    </row>
    <row r="13664" spans="2:11" ht="12.75">
      <c r="B13664" s="4"/>
      <c r="D13664" s="67"/>
      <c r="G13664" s="68"/>
      <c r="K13664" s="68"/>
    </row>
    <row r="13665" spans="2:11" ht="12.75">
      <c r="B13665" s="4"/>
      <c r="D13665" s="67"/>
      <c r="G13665" s="68"/>
      <c r="K13665" s="68"/>
    </row>
    <row r="13666" spans="2:11" ht="12.75">
      <c r="B13666" s="4"/>
      <c r="D13666" s="67"/>
      <c r="G13666" s="68"/>
      <c r="K13666" s="68"/>
    </row>
    <row r="13667" spans="2:11" ht="12.75">
      <c r="B13667" s="4"/>
      <c r="D13667" s="67"/>
      <c r="G13667" s="68"/>
      <c r="K13667" s="68"/>
    </row>
    <row r="13668" spans="2:11" ht="12.75">
      <c r="B13668" s="4"/>
      <c r="D13668" s="67"/>
      <c r="G13668" s="68"/>
      <c r="K13668" s="68"/>
    </row>
    <row r="13669" spans="2:11" ht="12.75">
      <c r="B13669" s="4"/>
      <c r="D13669" s="67"/>
      <c r="G13669" s="68"/>
      <c r="K13669" s="68"/>
    </row>
    <row r="13670" spans="2:11" ht="12.75">
      <c r="B13670" s="4"/>
      <c r="D13670" s="67"/>
      <c r="G13670" s="68"/>
      <c r="K13670" s="68"/>
    </row>
    <row r="13671" spans="2:11" ht="12.75">
      <c r="B13671" s="4"/>
      <c r="D13671" s="67"/>
      <c r="G13671" s="68"/>
      <c r="K13671" s="68"/>
    </row>
    <row r="13672" spans="2:11" ht="12.75">
      <c r="B13672" s="4"/>
      <c r="D13672" s="67"/>
      <c r="G13672" s="68"/>
      <c r="K13672" s="68"/>
    </row>
    <row r="13673" spans="2:11" ht="12.75">
      <c r="B13673" s="4"/>
      <c r="D13673" s="67"/>
      <c r="G13673" s="68"/>
      <c r="K13673" s="68"/>
    </row>
    <row r="13674" spans="2:11" ht="12.75">
      <c r="B13674" s="4"/>
      <c r="D13674" s="67"/>
      <c r="G13674" s="68"/>
      <c r="K13674" s="68"/>
    </row>
    <row r="13675" spans="2:11" ht="12.75">
      <c r="B13675" s="4"/>
      <c r="D13675" s="67"/>
      <c r="G13675" s="68"/>
      <c r="K13675" s="68"/>
    </row>
    <row r="13676" spans="2:11" ht="12.75">
      <c r="B13676" s="4"/>
      <c r="D13676" s="67"/>
      <c r="G13676" s="68"/>
      <c r="K13676" s="68"/>
    </row>
    <row r="13677" spans="2:11" ht="12.75">
      <c r="B13677" s="4"/>
      <c r="D13677" s="67"/>
      <c r="G13677" s="68"/>
      <c r="K13677" s="68"/>
    </row>
    <row r="13678" spans="2:11" ht="12.75">
      <c r="B13678" s="4"/>
      <c r="D13678" s="67"/>
      <c r="G13678" s="68"/>
      <c r="K13678" s="68"/>
    </row>
    <row r="13679" spans="2:11" ht="12.75">
      <c r="B13679" s="4"/>
      <c r="D13679" s="67"/>
      <c r="G13679" s="68"/>
      <c r="K13679" s="68"/>
    </row>
    <row r="13680" spans="2:11" ht="12.75">
      <c r="B13680" s="4"/>
      <c r="D13680" s="67"/>
      <c r="G13680" s="68"/>
      <c r="K13680" s="68"/>
    </row>
    <row r="13681" spans="2:11" ht="12.75">
      <c r="B13681" s="4"/>
      <c r="D13681" s="67"/>
      <c r="G13681" s="68"/>
      <c r="K13681" s="68"/>
    </row>
    <row r="13682" spans="2:11" ht="12.75">
      <c r="B13682" s="4"/>
      <c r="D13682" s="67"/>
      <c r="G13682" s="68"/>
      <c r="K13682" s="68"/>
    </row>
    <row r="13683" spans="2:11" ht="12.75">
      <c r="B13683" s="4"/>
      <c r="D13683" s="67"/>
      <c r="G13683" s="68"/>
      <c r="K13683" s="68"/>
    </row>
    <row r="13684" spans="2:11" ht="12.75">
      <c r="B13684" s="4"/>
      <c r="D13684" s="67"/>
      <c r="G13684" s="68"/>
      <c r="K13684" s="68"/>
    </row>
    <row r="13685" spans="2:11" ht="12.75">
      <c r="B13685" s="4"/>
      <c r="D13685" s="67"/>
      <c r="G13685" s="68"/>
      <c r="K13685" s="68"/>
    </row>
    <row r="13686" spans="2:11" ht="12.75">
      <c r="B13686" s="4"/>
      <c r="D13686" s="67"/>
      <c r="G13686" s="68"/>
      <c r="K13686" s="68"/>
    </row>
    <row r="13687" spans="2:11" ht="12.75">
      <c r="B13687" s="4"/>
      <c r="D13687" s="67"/>
      <c r="G13687" s="68"/>
      <c r="K13687" s="68"/>
    </row>
    <row r="13688" spans="2:11" ht="12.75">
      <c r="B13688" s="4"/>
      <c r="D13688" s="67"/>
      <c r="G13688" s="68"/>
      <c r="K13688" s="68"/>
    </row>
    <row r="13689" spans="2:11" ht="12.75">
      <c r="B13689" s="4"/>
      <c r="D13689" s="67"/>
      <c r="G13689" s="68"/>
      <c r="K13689" s="68"/>
    </row>
    <row r="13690" spans="2:11" ht="12.75">
      <c r="B13690" s="4"/>
      <c r="D13690" s="67"/>
      <c r="G13690" s="68"/>
      <c r="K13690" s="68"/>
    </row>
    <row r="13691" spans="2:11" ht="12.75">
      <c r="B13691" s="4"/>
      <c r="D13691" s="67"/>
      <c r="G13691" s="68"/>
      <c r="K13691" s="68"/>
    </row>
    <row r="13692" spans="2:11" ht="12.75">
      <c r="B13692" s="4"/>
      <c r="D13692" s="67"/>
      <c r="G13692" s="68"/>
      <c r="K13692" s="68"/>
    </row>
    <row r="13693" spans="2:11" ht="12.75">
      <c r="B13693" s="4"/>
      <c r="D13693" s="67"/>
      <c r="G13693" s="68"/>
      <c r="K13693" s="68"/>
    </row>
    <row r="13694" spans="2:11" ht="12.75">
      <c r="B13694" s="4"/>
      <c r="D13694" s="67"/>
      <c r="G13694" s="68"/>
      <c r="K13694" s="68"/>
    </row>
    <row r="13695" spans="2:11" ht="12.75">
      <c r="B13695" s="4"/>
      <c r="D13695" s="67"/>
      <c r="G13695" s="68"/>
      <c r="K13695" s="68"/>
    </row>
    <row r="13696" spans="2:11" ht="12.75">
      <c r="B13696" s="4"/>
      <c r="D13696" s="67"/>
      <c r="G13696" s="68"/>
      <c r="K13696" s="68"/>
    </row>
    <row r="13697" spans="2:11" ht="12.75">
      <c r="B13697" s="4"/>
      <c r="D13697" s="67"/>
      <c r="G13697" s="68"/>
      <c r="K13697" s="68"/>
    </row>
    <row r="13698" spans="2:11" ht="12.75">
      <c r="B13698" s="4"/>
      <c r="D13698" s="67"/>
      <c r="G13698" s="68"/>
      <c r="K13698" s="68"/>
    </row>
    <row r="13699" spans="2:11" ht="12.75">
      <c r="B13699" s="4"/>
      <c r="D13699" s="67"/>
      <c r="G13699" s="68"/>
      <c r="K13699" s="68"/>
    </row>
    <row r="13700" spans="2:11" ht="12.75">
      <c r="B13700" s="4"/>
      <c r="D13700" s="67"/>
      <c r="G13700" s="68"/>
      <c r="K13700" s="68"/>
    </row>
    <row r="13701" spans="2:11" ht="12.75">
      <c r="B13701" s="4"/>
      <c r="D13701" s="67"/>
      <c r="G13701" s="68"/>
      <c r="K13701" s="68"/>
    </row>
    <row r="13702" spans="2:11" ht="12.75">
      <c r="B13702" s="4"/>
      <c r="D13702" s="67"/>
      <c r="G13702" s="68"/>
      <c r="K13702" s="68"/>
    </row>
    <row r="13703" spans="2:11" ht="12.75">
      <c r="B13703" s="4"/>
      <c r="D13703" s="67"/>
      <c r="G13703" s="68"/>
      <c r="K13703" s="68"/>
    </row>
    <row r="13704" spans="2:11" ht="12.75">
      <c r="B13704" s="4"/>
      <c r="D13704" s="67"/>
      <c r="G13704" s="68"/>
      <c r="K13704" s="68"/>
    </row>
    <row r="13705" spans="2:11" ht="12.75">
      <c r="B13705" s="4"/>
      <c r="D13705" s="67"/>
      <c r="G13705" s="68"/>
      <c r="K13705" s="68"/>
    </row>
    <row r="13706" spans="2:11" ht="12.75">
      <c r="B13706" s="4"/>
      <c r="D13706" s="67"/>
      <c r="G13706" s="68"/>
      <c r="K13706" s="68"/>
    </row>
    <row r="13707" spans="2:11" ht="12.75">
      <c r="B13707" s="4"/>
      <c r="D13707" s="67"/>
      <c r="G13707" s="68"/>
      <c r="K13707" s="68"/>
    </row>
    <row r="13708" spans="2:11" ht="12.75">
      <c r="B13708" s="4"/>
      <c r="D13708" s="67"/>
      <c r="G13708" s="68"/>
      <c r="K13708" s="68"/>
    </row>
    <row r="13709" spans="2:11" ht="12.75">
      <c r="B13709" s="4"/>
      <c r="D13709" s="67"/>
      <c r="G13709" s="68"/>
      <c r="K13709" s="68"/>
    </row>
    <row r="13710" spans="2:11" ht="12.75">
      <c r="B13710" s="4"/>
      <c r="D13710" s="67"/>
      <c r="G13710" s="68"/>
      <c r="K13710" s="68"/>
    </row>
    <row r="13711" spans="2:11" ht="12.75">
      <c r="B13711" s="4"/>
      <c r="D13711" s="67"/>
      <c r="G13711" s="68"/>
      <c r="K13711" s="68"/>
    </row>
    <row r="13712" spans="2:11" ht="12.75">
      <c r="B13712" s="4"/>
      <c r="D13712" s="67"/>
      <c r="G13712" s="68"/>
      <c r="K13712" s="68"/>
    </row>
    <row r="13713" spans="2:11" ht="12.75">
      <c r="B13713" s="4"/>
      <c r="D13713" s="67"/>
      <c r="G13713" s="68"/>
      <c r="K13713" s="68"/>
    </row>
    <row r="13714" spans="2:11" ht="12.75">
      <c r="B13714" s="4"/>
      <c r="D13714" s="67"/>
      <c r="G13714" s="68"/>
      <c r="K13714" s="68"/>
    </row>
    <row r="13715" spans="2:11" ht="12.75">
      <c r="B13715" s="4"/>
      <c r="D13715" s="67"/>
      <c r="G13715" s="68"/>
      <c r="K13715" s="68"/>
    </row>
    <row r="13716" spans="2:11" ht="12.75">
      <c r="B13716" s="4"/>
      <c r="D13716" s="67"/>
      <c r="G13716" s="68"/>
      <c r="K13716" s="68"/>
    </row>
    <row r="13717" spans="2:11" ht="12.75">
      <c r="B13717" s="4"/>
      <c r="D13717" s="67"/>
      <c r="G13717" s="68"/>
      <c r="K13717" s="68"/>
    </row>
    <row r="13718" spans="2:11" ht="12.75">
      <c r="B13718" s="4"/>
      <c r="D13718" s="67"/>
      <c r="G13718" s="68"/>
      <c r="K13718" s="68"/>
    </row>
    <row r="13719" spans="2:11" ht="12.75">
      <c r="B13719" s="4"/>
      <c r="D13719" s="67"/>
      <c r="G13719" s="68"/>
      <c r="K13719" s="68"/>
    </row>
    <row r="13720" spans="2:11" ht="12.75">
      <c r="B13720" s="4"/>
      <c r="D13720" s="67"/>
      <c r="G13720" s="68"/>
      <c r="K13720" s="68"/>
    </row>
    <row r="13721" spans="2:11" ht="12.75">
      <c r="B13721" s="4"/>
      <c r="D13721" s="67"/>
      <c r="G13721" s="68"/>
      <c r="K13721" s="68"/>
    </row>
    <row r="13722" spans="2:11" ht="12.75">
      <c r="B13722" s="4"/>
      <c r="D13722" s="67"/>
      <c r="G13722" s="68"/>
      <c r="K13722" s="68"/>
    </row>
    <row r="13723" spans="2:11" ht="12.75">
      <c r="B13723" s="4"/>
      <c r="D13723" s="67"/>
      <c r="G13723" s="68"/>
      <c r="K13723" s="68"/>
    </row>
    <row r="13724" spans="2:11" ht="12.75">
      <c r="B13724" s="4"/>
      <c r="D13724" s="67"/>
      <c r="G13724" s="68"/>
      <c r="K13724" s="68"/>
    </row>
    <row r="13725" spans="2:11" ht="12.75">
      <c r="B13725" s="4"/>
      <c r="D13725" s="67"/>
      <c r="G13725" s="68"/>
      <c r="K13725" s="68"/>
    </row>
    <row r="13726" spans="2:11" ht="12.75">
      <c r="B13726" s="4"/>
      <c r="D13726" s="67"/>
      <c r="G13726" s="68"/>
      <c r="K13726" s="68"/>
    </row>
    <row r="13727" spans="2:11" ht="12.75">
      <c r="B13727" s="4"/>
      <c r="D13727" s="67"/>
      <c r="G13727" s="68"/>
      <c r="K13727" s="68"/>
    </row>
    <row r="13728" spans="2:11" ht="12.75">
      <c r="B13728" s="4"/>
      <c r="D13728" s="67"/>
      <c r="G13728" s="68"/>
      <c r="K13728" s="68"/>
    </row>
    <row r="13729" spans="2:11" ht="12.75">
      <c r="B13729" s="4"/>
      <c r="D13729" s="67"/>
      <c r="G13729" s="68"/>
      <c r="K13729" s="68"/>
    </row>
    <row r="13730" spans="2:11" ht="12.75">
      <c r="B13730" s="4"/>
      <c r="D13730" s="67"/>
      <c r="G13730" s="68"/>
      <c r="K13730" s="68"/>
    </row>
    <row r="13731" spans="2:11" ht="12.75">
      <c r="B13731" s="4"/>
      <c r="D13731" s="67"/>
      <c r="G13731" s="68"/>
      <c r="K13731" s="68"/>
    </row>
    <row r="13732" spans="2:11" ht="12.75">
      <c r="B13732" s="4"/>
      <c r="D13732" s="67"/>
      <c r="G13732" s="68"/>
      <c r="K13732" s="68"/>
    </row>
    <row r="13733" spans="2:11" ht="12.75">
      <c r="B13733" s="4"/>
      <c r="D13733" s="67"/>
      <c r="G13733" s="68"/>
      <c r="K13733" s="68"/>
    </row>
    <row r="13734" spans="2:11" ht="12.75">
      <c r="B13734" s="4"/>
      <c r="D13734" s="67"/>
      <c r="G13734" s="68"/>
      <c r="K13734" s="68"/>
    </row>
    <row r="13735" spans="2:11" ht="12.75">
      <c r="B13735" s="4"/>
      <c r="D13735" s="67"/>
      <c r="G13735" s="68"/>
      <c r="K13735" s="68"/>
    </row>
    <row r="13736" spans="2:11" ht="12.75">
      <c r="B13736" s="4"/>
      <c r="D13736" s="67"/>
      <c r="G13736" s="68"/>
      <c r="K13736" s="68"/>
    </row>
    <row r="13737" spans="2:11" ht="12.75">
      <c r="B13737" s="4"/>
      <c r="D13737" s="67"/>
      <c r="G13737" s="68"/>
      <c r="K13737" s="68"/>
    </row>
    <row r="13738" spans="2:11" ht="12.75">
      <c r="B13738" s="4"/>
      <c r="D13738" s="67"/>
      <c r="G13738" s="68"/>
      <c r="K13738" s="68"/>
    </row>
    <row r="13739" spans="2:11" ht="12.75">
      <c r="B13739" s="4"/>
      <c r="D13739" s="67"/>
      <c r="G13739" s="68"/>
      <c r="K13739" s="68"/>
    </row>
    <row r="13740" spans="2:11" ht="12.75">
      <c r="B13740" s="4"/>
      <c r="D13740" s="67"/>
      <c r="G13740" s="68"/>
      <c r="K13740" s="68"/>
    </row>
    <row r="13741" spans="2:11" ht="12.75">
      <c r="B13741" s="4"/>
      <c r="D13741" s="67"/>
      <c r="G13741" s="68"/>
      <c r="K13741" s="68"/>
    </row>
    <row r="13742" spans="2:11" ht="12.75">
      <c r="B13742" s="4"/>
      <c r="D13742" s="67"/>
      <c r="G13742" s="68"/>
      <c r="K13742" s="68"/>
    </row>
    <row r="13743" spans="2:11" ht="12.75">
      <c r="B13743" s="4"/>
      <c r="D13743" s="67"/>
      <c r="G13743" s="68"/>
      <c r="K13743" s="68"/>
    </row>
    <row r="13744" spans="2:11" ht="12.75">
      <c r="B13744" s="4"/>
      <c r="D13744" s="67"/>
      <c r="G13744" s="68"/>
      <c r="K13744" s="68"/>
    </row>
    <row r="13745" spans="2:11" ht="12.75">
      <c r="B13745" s="4"/>
      <c r="D13745" s="67"/>
      <c r="G13745" s="68"/>
      <c r="K13745" s="68"/>
    </row>
    <row r="13746" spans="2:11" ht="12.75">
      <c r="B13746" s="4"/>
      <c r="D13746" s="67"/>
      <c r="G13746" s="68"/>
      <c r="K13746" s="68"/>
    </row>
    <row r="13747" spans="2:11" ht="12.75">
      <c r="B13747" s="4"/>
      <c r="D13747" s="67"/>
      <c r="G13747" s="68"/>
      <c r="K13747" s="68"/>
    </row>
    <row r="13748" spans="2:11" ht="12.75">
      <c r="B13748" s="4"/>
      <c r="D13748" s="67"/>
      <c r="G13748" s="68"/>
      <c r="K13748" s="68"/>
    </row>
    <row r="13749" spans="2:11" ht="12.75">
      <c r="B13749" s="4"/>
      <c r="D13749" s="67"/>
      <c r="G13749" s="68"/>
      <c r="K13749" s="68"/>
    </row>
    <row r="13750" spans="2:11" ht="12.75">
      <c r="B13750" s="4"/>
      <c r="D13750" s="67"/>
      <c r="G13750" s="68"/>
      <c r="K13750" s="68"/>
    </row>
    <row r="13751" spans="2:11" ht="12.75">
      <c r="B13751" s="4"/>
      <c r="D13751" s="67"/>
      <c r="G13751" s="68"/>
      <c r="K13751" s="68"/>
    </row>
    <row r="13752" spans="2:11" ht="12.75">
      <c r="B13752" s="4"/>
      <c r="D13752" s="67"/>
      <c r="G13752" s="68"/>
      <c r="K13752" s="68"/>
    </row>
    <row r="13753" spans="2:11" ht="12.75">
      <c r="B13753" s="4"/>
      <c r="D13753" s="67"/>
      <c r="G13753" s="68"/>
      <c r="K13753" s="68"/>
    </row>
    <row r="13754" spans="2:11" ht="12.75">
      <c r="B13754" s="4"/>
      <c r="D13754" s="67"/>
      <c r="G13754" s="68"/>
      <c r="K13754" s="68"/>
    </row>
    <row r="13755" spans="2:11" ht="12.75">
      <c r="B13755" s="4"/>
      <c r="D13755" s="67"/>
      <c r="G13755" s="68"/>
      <c r="K13755" s="68"/>
    </row>
    <row r="13756" spans="2:11" ht="12.75">
      <c r="B13756" s="4"/>
      <c r="D13756" s="67"/>
      <c r="G13756" s="68"/>
      <c r="K13756" s="68"/>
    </row>
    <row r="13757" spans="2:11" ht="12.75">
      <c r="B13757" s="4"/>
      <c r="D13757" s="67"/>
      <c r="G13757" s="68"/>
      <c r="K13757" s="68"/>
    </row>
    <row r="13758" spans="2:11" ht="12.75">
      <c r="B13758" s="4"/>
      <c r="D13758" s="67"/>
      <c r="G13758" s="68"/>
      <c r="K13758" s="68"/>
    </row>
    <row r="13759" spans="2:11" ht="12.75">
      <c r="B13759" s="4"/>
      <c r="D13759" s="67"/>
      <c r="G13759" s="68"/>
      <c r="K13759" s="68"/>
    </row>
    <row r="13760" spans="2:11" ht="12.75">
      <c r="B13760" s="4"/>
      <c r="D13760" s="67"/>
      <c r="G13760" s="68"/>
      <c r="K13760" s="68"/>
    </row>
    <row r="13761" spans="2:11" ht="12.75">
      <c r="B13761" s="4"/>
      <c r="D13761" s="67"/>
      <c r="G13761" s="68"/>
      <c r="K13761" s="68"/>
    </row>
    <row r="13762" spans="2:11" ht="12.75">
      <c r="B13762" s="4"/>
      <c r="D13762" s="67"/>
      <c r="G13762" s="68"/>
      <c r="K13762" s="68"/>
    </row>
    <row r="13763" spans="2:11" ht="12.75">
      <c r="B13763" s="4"/>
      <c r="D13763" s="67"/>
      <c r="G13763" s="68"/>
      <c r="K13763" s="68"/>
    </row>
    <row r="13764" spans="2:11" ht="12.75">
      <c r="B13764" s="4"/>
      <c r="D13764" s="67"/>
      <c r="G13764" s="68"/>
      <c r="K13764" s="68"/>
    </row>
    <row r="13765" spans="2:11" ht="12.75">
      <c r="B13765" s="4"/>
      <c r="D13765" s="67"/>
      <c r="G13765" s="68"/>
      <c r="K13765" s="68"/>
    </row>
    <row r="13766" spans="2:11" ht="12.75">
      <c r="B13766" s="4"/>
      <c r="D13766" s="67"/>
      <c r="G13766" s="68"/>
      <c r="K13766" s="68"/>
    </row>
    <row r="13767" spans="2:11" ht="12.75">
      <c r="B13767" s="4"/>
      <c r="D13767" s="67"/>
      <c r="G13767" s="68"/>
      <c r="K13767" s="68"/>
    </row>
    <row r="13768" spans="2:11" ht="12.75">
      <c r="B13768" s="4"/>
      <c r="D13768" s="67"/>
      <c r="G13768" s="68"/>
      <c r="K13768" s="68"/>
    </row>
    <row r="13769" spans="2:11" ht="12.75">
      <c r="B13769" s="4"/>
      <c r="D13769" s="67"/>
      <c r="G13769" s="68"/>
      <c r="K13769" s="68"/>
    </row>
    <row r="13770" spans="2:11" ht="12.75">
      <c r="B13770" s="4"/>
      <c r="D13770" s="67"/>
      <c r="G13770" s="68"/>
      <c r="K13770" s="68"/>
    </row>
    <row r="13771" spans="2:11" ht="12.75">
      <c r="B13771" s="4"/>
      <c r="D13771" s="67"/>
      <c r="G13771" s="68"/>
      <c r="K13771" s="68"/>
    </row>
    <row r="13772" spans="2:11" ht="12.75">
      <c r="B13772" s="4"/>
      <c r="D13772" s="67"/>
      <c r="G13772" s="68"/>
      <c r="K13772" s="68"/>
    </row>
    <row r="13773" spans="2:11" ht="12.75">
      <c r="B13773" s="4"/>
      <c r="D13773" s="67"/>
      <c r="G13773" s="68"/>
      <c r="K13773" s="68"/>
    </row>
    <row r="13774" spans="2:11" ht="12.75">
      <c r="B13774" s="4"/>
      <c r="D13774" s="67"/>
      <c r="G13774" s="68"/>
      <c r="K13774" s="68"/>
    </row>
    <row r="13775" spans="2:11" ht="12.75">
      <c r="B13775" s="4"/>
      <c r="D13775" s="67"/>
      <c r="G13775" s="68"/>
      <c r="K13775" s="68"/>
    </row>
    <row r="13776" spans="2:11" ht="12.75">
      <c r="B13776" s="4"/>
      <c r="D13776" s="67"/>
      <c r="G13776" s="68"/>
      <c r="K13776" s="68"/>
    </row>
    <row r="13777" spans="2:11" ht="12.75">
      <c r="B13777" s="4"/>
      <c r="D13777" s="67"/>
      <c r="G13777" s="68"/>
      <c r="K13777" s="68"/>
    </row>
    <row r="13778" spans="2:11" ht="12.75">
      <c r="B13778" s="4"/>
      <c r="D13778" s="67"/>
      <c r="G13778" s="68"/>
      <c r="K13778" s="68"/>
    </row>
    <row r="13779" spans="2:11" ht="12.75">
      <c r="B13779" s="4"/>
      <c r="D13779" s="67"/>
      <c r="G13779" s="68"/>
      <c r="K13779" s="68"/>
    </row>
    <row r="13780" spans="2:11" ht="12.75">
      <c r="B13780" s="4"/>
      <c r="D13780" s="67"/>
      <c r="G13780" s="68"/>
      <c r="K13780" s="68"/>
    </row>
    <row r="13781" spans="2:11" ht="12.75">
      <c r="B13781" s="4"/>
      <c r="D13781" s="67"/>
      <c r="G13781" s="68"/>
      <c r="K13781" s="68"/>
    </row>
    <row r="13782" spans="2:11" ht="12.75">
      <c r="B13782" s="4"/>
      <c r="D13782" s="67"/>
      <c r="G13782" s="68"/>
      <c r="K13782" s="68"/>
    </row>
    <row r="13783" spans="2:11" ht="12.75">
      <c r="B13783" s="4"/>
      <c r="D13783" s="67"/>
      <c r="G13783" s="68"/>
      <c r="K13783" s="68"/>
    </row>
    <row r="13784" spans="2:11" ht="12.75">
      <c r="B13784" s="4"/>
      <c r="D13784" s="67"/>
      <c r="G13784" s="68"/>
      <c r="K13784" s="68"/>
    </row>
    <row r="13785" spans="2:11" ht="12.75">
      <c r="B13785" s="4"/>
      <c r="D13785" s="67"/>
      <c r="G13785" s="68"/>
      <c r="K13785" s="68"/>
    </row>
    <row r="13786" spans="2:11" ht="12.75">
      <c r="B13786" s="4"/>
      <c r="D13786" s="67"/>
      <c r="G13786" s="68"/>
      <c r="K13786" s="68"/>
    </row>
    <row r="13787" spans="2:11" ht="12.75">
      <c r="B13787" s="4"/>
      <c r="D13787" s="67"/>
      <c r="G13787" s="68"/>
      <c r="K13787" s="68"/>
    </row>
    <row r="13788" spans="2:11" ht="12.75">
      <c r="B13788" s="4"/>
      <c r="D13788" s="67"/>
      <c r="G13788" s="68"/>
      <c r="K13788" s="68"/>
    </row>
    <row r="13789" spans="2:11" ht="12.75">
      <c r="B13789" s="4"/>
      <c r="D13789" s="67"/>
      <c r="G13789" s="68"/>
      <c r="K13789" s="68"/>
    </row>
    <row r="13790" spans="2:11" ht="12.75">
      <c r="B13790" s="4"/>
      <c r="D13790" s="67"/>
      <c r="G13790" s="68"/>
      <c r="K13790" s="68"/>
    </row>
    <row r="13791" spans="2:11" ht="12.75">
      <c r="B13791" s="4"/>
      <c r="D13791" s="67"/>
      <c r="G13791" s="68"/>
      <c r="K13791" s="68"/>
    </row>
    <row r="13792" spans="2:11" ht="12.75">
      <c r="B13792" s="4"/>
      <c r="D13792" s="67"/>
      <c r="G13792" s="68"/>
      <c r="K13792" s="68"/>
    </row>
    <row r="13793" spans="2:11" ht="12.75">
      <c r="B13793" s="4"/>
      <c r="D13793" s="67"/>
      <c r="G13793" s="68"/>
      <c r="K13793" s="68"/>
    </row>
    <row r="13794" spans="2:11" ht="12.75">
      <c r="B13794" s="4"/>
      <c r="D13794" s="67"/>
      <c r="G13794" s="68"/>
      <c r="K13794" s="68"/>
    </row>
    <row r="13795" spans="2:11" ht="12.75">
      <c r="B13795" s="4"/>
      <c r="D13795" s="67"/>
      <c r="G13795" s="68"/>
      <c r="K13795" s="68"/>
    </row>
    <row r="13796" spans="2:11" ht="12.75">
      <c r="B13796" s="4"/>
      <c r="D13796" s="67"/>
      <c r="G13796" s="68"/>
      <c r="K13796" s="68"/>
    </row>
    <row r="13797" spans="2:11" ht="12.75">
      <c r="B13797" s="4"/>
      <c r="D13797" s="67"/>
      <c r="G13797" s="68"/>
      <c r="K13797" s="68"/>
    </row>
    <row r="13798" spans="2:11" ht="12.75">
      <c r="B13798" s="4"/>
      <c r="D13798" s="67"/>
      <c r="G13798" s="68"/>
      <c r="K13798" s="68"/>
    </row>
    <row r="13799" spans="2:11" ht="12.75">
      <c r="B13799" s="4"/>
      <c r="D13799" s="67"/>
      <c r="G13799" s="68"/>
      <c r="K13799" s="68"/>
    </row>
    <row r="13800" spans="2:11" ht="12.75">
      <c r="B13800" s="4"/>
      <c r="D13800" s="67"/>
      <c r="G13800" s="68"/>
      <c r="K13800" s="68"/>
    </row>
    <row r="13801" spans="2:11" ht="12.75">
      <c r="B13801" s="4"/>
      <c r="D13801" s="67"/>
      <c r="G13801" s="68"/>
      <c r="K13801" s="68"/>
    </row>
    <row r="13802" spans="2:11" ht="12.75">
      <c r="B13802" s="4"/>
      <c r="D13802" s="67"/>
      <c r="G13802" s="68"/>
      <c r="K13802" s="68"/>
    </row>
    <row r="13803" spans="2:11" ht="12.75">
      <c r="B13803" s="4"/>
      <c r="D13803" s="67"/>
      <c r="G13803" s="68"/>
      <c r="K13803" s="68"/>
    </row>
    <row r="13804" spans="2:11" ht="12.75">
      <c r="B13804" s="4"/>
      <c r="D13804" s="67"/>
      <c r="G13804" s="68"/>
      <c r="K13804" s="68"/>
    </row>
    <row r="13805" spans="2:11" ht="12.75">
      <c r="B13805" s="4"/>
      <c r="D13805" s="67"/>
      <c r="G13805" s="68"/>
      <c r="K13805" s="68"/>
    </row>
    <row r="13806" spans="2:11" ht="12.75">
      <c r="B13806" s="4"/>
      <c r="D13806" s="67"/>
      <c r="G13806" s="68"/>
      <c r="K13806" s="68"/>
    </row>
    <row r="13807" spans="2:11" ht="12.75">
      <c r="B13807" s="4"/>
      <c r="D13807" s="67"/>
      <c r="G13807" s="68"/>
      <c r="K13807" s="68"/>
    </row>
    <row r="13808" spans="2:11" ht="12.75">
      <c r="B13808" s="4"/>
      <c r="D13808" s="67"/>
      <c r="G13808" s="68"/>
      <c r="K13808" s="68"/>
    </row>
    <row r="13809" spans="2:11" ht="12.75">
      <c r="B13809" s="4"/>
      <c r="D13809" s="67"/>
      <c r="G13809" s="68"/>
      <c r="K13809" s="68"/>
    </row>
    <row r="13810" spans="2:11" ht="12.75">
      <c r="B13810" s="4"/>
      <c r="D13810" s="67"/>
      <c r="G13810" s="68"/>
      <c r="K13810" s="68"/>
    </row>
    <row r="13811" spans="2:11" ht="12.75">
      <c r="B13811" s="4"/>
      <c r="D13811" s="67"/>
      <c r="G13811" s="68"/>
      <c r="K13811" s="68"/>
    </row>
    <row r="13812" spans="2:11" ht="12.75">
      <c r="B13812" s="4"/>
      <c r="D13812" s="67"/>
      <c r="G13812" s="68"/>
      <c r="K13812" s="68"/>
    </row>
    <row r="13813" spans="2:11" ht="12.75">
      <c r="B13813" s="4"/>
      <c r="D13813" s="67"/>
      <c r="G13813" s="68"/>
      <c r="K13813" s="68"/>
    </row>
    <row r="13814" spans="2:11" ht="12.75">
      <c r="B13814" s="4"/>
      <c r="D13814" s="67"/>
      <c r="G13814" s="68"/>
      <c r="K13814" s="68"/>
    </row>
    <row r="13815" spans="2:11" ht="12.75">
      <c r="B13815" s="4"/>
      <c r="D13815" s="67"/>
      <c r="G13815" s="68"/>
      <c r="K13815" s="68"/>
    </row>
    <row r="13816" spans="2:11" ht="12.75">
      <c r="B13816" s="4"/>
      <c r="D13816" s="67"/>
      <c r="G13816" s="68"/>
      <c r="K13816" s="68"/>
    </row>
    <row r="13817" spans="2:11" ht="12.75">
      <c r="B13817" s="4"/>
      <c r="D13817" s="67"/>
      <c r="G13817" s="68"/>
      <c r="K13817" s="68"/>
    </row>
    <row r="13818" spans="2:11" ht="12.75">
      <c r="B13818" s="4"/>
      <c r="D13818" s="67"/>
      <c r="G13818" s="68"/>
      <c r="K13818" s="68"/>
    </row>
    <row r="13819" spans="2:11" ht="12.75">
      <c r="B13819" s="4"/>
      <c r="D13819" s="67"/>
      <c r="G13819" s="68"/>
      <c r="K13819" s="68"/>
    </row>
    <row r="13820" spans="2:11" ht="12.75">
      <c r="B13820" s="4"/>
      <c r="D13820" s="67"/>
      <c r="G13820" s="68"/>
      <c r="K13820" s="68"/>
    </row>
    <row r="13821" spans="2:11" ht="12.75">
      <c r="B13821" s="4"/>
      <c r="D13821" s="67"/>
      <c r="G13821" s="68"/>
      <c r="K13821" s="68"/>
    </row>
    <row r="13822" spans="2:11" ht="12.75">
      <c r="B13822" s="4"/>
      <c r="D13822" s="67"/>
      <c r="G13822" s="68"/>
      <c r="K13822" s="68"/>
    </row>
    <row r="13823" spans="2:11" ht="12.75">
      <c r="B13823" s="4"/>
      <c r="D13823" s="67"/>
      <c r="G13823" s="68"/>
      <c r="K13823" s="68"/>
    </row>
    <row r="13824" spans="2:11" ht="12.75">
      <c r="B13824" s="4"/>
      <c r="D13824" s="67"/>
      <c r="G13824" s="68"/>
      <c r="K13824" s="68"/>
    </row>
    <row r="13825" spans="2:11" ht="12.75">
      <c r="B13825" s="4"/>
      <c r="D13825" s="67"/>
      <c r="G13825" s="68"/>
      <c r="K13825" s="68"/>
    </row>
    <row r="13826" spans="2:11" ht="12.75">
      <c r="B13826" s="4"/>
      <c r="D13826" s="67"/>
      <c r="G13826" s="68"/>
      <c r="K13826" s="68"/>
    </row>
    <row r="13827" spans="2:11" ht="12.75">
      <c r="B13827" s="4"/>
      <c r="D13827" s="67"/>
      <c r="G13827" s="68"/>
      <c r="K13827" s="68"/>
    </row>
    <row r="13828" spans="2:11" ht="12.75">
      <c r="B13828" s="4"/>
      <c r="D13828" s="67"/>
      <c r="G13828" s="68"/>
      <c r="K13828" s="68"/>
    </row>
    <row r="13829" spans="2:11" ht="12.75">
      <c r="B13829" s="4"/>
      <c r="D13829" s="67"/>
      <c r="G13829" s="68"/>
      <c r="K13829" s="68"/>
    </row>
    <row r="13830" spans="2:11" ht="12.75">
      <c r="B13830" s="4"/>
      <c r="D13830" s="67"/>
      <c r="G13830" s="68"/>
      <c r="K13830" s="68"/>
    </row>
    <row r="13831" spans="2:11" ht="12.75">
      <c r="B13831" s="4"/>
      <c r="D13831" s="67"/>
      <c r="G13831" s="68"/>
      <c r="K13831" s="68"/>
    </row>
    <row r="13832" spans="2:11" ht="12.75">
      <c r="B13832" s="4"/>
      <c r="D13832" s="67"/>
      <c r="G13832" s="68"/>
      <c r="K13832" s="68"/>
    </row>
    <row r="13833" spans="2:11" ht="12.75">
      <c r="B13833" s="4"/>
      <c r="D13833" s="67"/>
      <c r="G13833" s="68"/>
      <c r="K13833" s="68"/>
    </row>
    <row r="13834" spans="2:11" ht="12.75">
      <c r="B13834" s="4"/>
      <c r="D13834" s="67"/>
      <c r="G13834" s="68"/>
      <c r="K13834" s="68"/>
    </row>
    <row r="13835" spans="2:11" ht="12.75">
      <c r="B13835" s="4"/>
      <c r="D13835" s="67"/>
      <c r="G13835" s="68"/>
      <c r="K13835" s="68"/>
    </row>
    <row r="13836" spans="2:11" ht="12.75">
      <c r="B13836" s="4"/>
      <c r="D13836" s="67"/>
      <c r="G13836" s="68"/>
      <c r="K13836" s="68"/>
    </row>
    <row r="13837" spans="2:11" ht="12.75">
      <c r="B13837" s="4"/>
      <c r="D13837" s="67"/>
      <c r="G13837" s="68"/>
      <c r="K13837" s="68"/>
    </row>
    <row r="13838" spans="2:11" ht="12.75">
      <c r="B13838" s="4"/>
      <c r="D13838" s="67"/>
      <c r="G13838" s="68"/>
      <c r="K13838" s="68"/>
    </row>
    <row r="13839" spans="2:11" ht="12.75">
      <c r="B13839" s="4"/>
      <c r="D13839" s="67"/>
      <c r="G13839" s="68"/>
      <c r="K13839" s="68"/>
    </row>
    <row r="13840" spans="2:11" ht="12.75">
      <c r="B13840" s="4"/>
      <c r="D13840" s="67"/>
      <c r="G13840" s="68"/>
      <c r="K13840" s="68"/>
    </row>
    <row r="13841" spans="2:11" ht="12.75">
      <c r="B13841" s="4"/>
      <c r="D13841" s="67"/>
      <c r="G13841" s="68"/>
      <c r="K13841" s="68"/>
    </row>
    <row r="13842" spans="2:11" ht="12.75">
      <c r="B13842" s="4"/>
      <c r="D13842" s="67"/>
      <c r="G13842" s="68"/>
      <c r="K13842" s="68"/>
    </row>
    <row r="13843" spans="2:11" ht="12.75">
      <c r="B13843" s="4"/>
      <c r="D13843" s="67"/>
      <c r="G13843" s="68"/>
      <c r="K13843" s="68"/>
    </row>
    <row r="13844" spans="2:11" ht="12.75">
      <c r="B13844" s="4"/>
      <c r="D13844" s="67"/>
      <c r="G13844" s="68"/>
      <c r="K13844" s="68"/>
    </row>
    <row r="13845" spans="2:11" ht="12.75">
      <c r="B13845" s="4"/>
      <c r="D13845" s="67"/>
      <c r="G13845" s="68"/>
      <c r="K13845" s="68"/>
    </row>
    <row r="13846" spans="2:11" ht="12.75">
      <c r="B13846" s="4"/>
      <c r="D13846" s="67"/>
      <c r="G13846" s="68"/>
      <c r="K13846" s="68"/>
    </row>
    <row r="13847" spans="2:11" ht="12.75">
      <c r="B13847" s="4"/>
      <c r="D13847" s="67"/>
      <c r="G13847" s="68"/>
      <c r="K13847" s="68"/>
    </row>
    <row r="13848" spans="2:11" ht="12.75">
      <c r="B13848" s="4"/>
      <c r="D13848" s="67"/>
      <c r="G13848" s="68"/>
      <c r="K13848" s="68"/>
    </row>
    <row r="13849" spans="2:11" ht="12.75">
      <c r="B13849" s="4"/>
      <c r="D13849" s="67"/>
      <c r="G13849" s="68"/>
      <c r="K13849" s="68"/>
    </row>
    <row r="13850" spans="2:11" ht="12.75">
      <c r="B13850" s="4"/>
      <c r="D13850" s="67"/>
      <c r="G13850" s="68"/>
      <c r="K13850" s="68"/>
    </row>
    <row r="13851" spans="2:11" ht="12.75">
      <c r="B13851" s="4"/>
      <c r="D13851" s="67"/>
      <c r="G13851" s="68"/>
      <c r="K13851" s="68"/>
    </row>
    <row r="13852" spans="2:11" ht="12.75">
      <c r="B13852" s="4"/>
      <c r="D13852" s="67"/>
      <c r="G13852" s="68"/>
      <c r="K13852" s="68"/>
    </row>
    <row r="13853" spans="2:11" ht="12.75">
      <c r="B13853" s="4"/>
      <c r="D13853" s="67"/>
      <c r="G13853" s="68"/>
      <c r="K13853" s="68"/>
    </row>
    <row r="13854" spans="2:11" ht="12.75">
      <c r="B13854" s="4"/>
      <c r="D13854" s="67"/>
      <c r="G13854" s="68"/>
      <c r="K13854" s="68"/>
    </row>
    <row r="13855" spans="2:11" ht="12.75">
      <c r="B13855" s="4"/>
      <c r="D13855" s="67"/>
      <c r="G13855" s="68"/>
      <c r="K13855" s="68"/>
    </row>
    <row r="13856" spans="2:11" ht="12.75">
      <c r="B13856" s="4"/>
      <c r="D13856" s="67"/>
      <c r="G13856" s="68"/>
      <c r="K13856" s="68"/>
    </row>
    <row r="13857" spans="2:11" ht="12.75">
      <c r="B13857" s="4"/>
      <c r="D13857" s="67"/>
      <c r="G13857" s="68"/>
      <c r="K13857" s="68"/>
    </row>
    <row r="13858" spans="2:11" ht="12.75">
      <c r="B13858" s="4"/>
      <c r="D13858" s="67"/>
      <c r="G13858" s="68"/>
      <c r="K13858" s="68"/>
    </row>
    <row r="13859" spans="2:11" ht="12.75">
      <c r="B13859" s="4"/>
      <c r="D13859" s="67"/>
      <c r="G13859" s="68"/>
      <c r="K13859" s="68"/>
    </row>
    <row r="13860" spans="2:11" ht="12.75">
      <c r="B13860" s="4"/>
      <c r="D13860" s="67"/>
      <c r="G13860" s="68"/>
      <c r="K13860" s="68"/>
    </row>
    <row r="13861" spans="2:11" ht="12.75">
      <c r="B13861" s="4"/>
      <c r="D13861" s="67"/>
      <c r="G13861" s="68"/>
      <c r="K13861" s="68"/>
    </row>
    <row r="13862" spans="2:11" ht="12.75">
      <c r="B13862" s="4"/>
      <c r="D13862" s="67"/>
      <c r="G13862" s="68"/>
      <c r="K13862" s="68"/>
    </row>
    <row r="13863" spans="2:11" ht="12.75">
      <c r="B13863" s="4"/>
      <c r="D13863" s="67"/>
      <c r="G13863" s="68"/>
      <c r="K13863" s="68"/>
    </row>
    <row r="13864" spans="2:11" ht="12.75">
      <c r="B13864" s="4"/>
      <c r="D13864" s="67"/>
      <c r="G13864" s="68"/>
      <c r="K13864" s="68"/>
    </row>
    <row r="13865" spans="2:11" ht="12.75">
      <c r="B13865" s="4"/>
      <c r="D13865" s="67"/>
      <c r="G13865" s="68"/>
      <c r="K13865" s="68"/>
    </row>
    <row r="13866" spans="2:11" ht="12.75">
      <c r="B13866" s="4"/>
      <c r="D13866" s="67"/>
      <c r="G13866" s="68"/>
      <c r="K13866" s="68"/>
    </row>
    <row r="13867" spans="2:11" ht="12.75">
      <c r="B13867" s="4"/>
      <c r="D13867" s="67"/>
      <c r="G13867" s="68"/>
      <c r="K13867" s="68"/>
    </row>
    <row r="13868" spans="2:11" ht="12.75">
      <c r="B13868" s="4"/>
      <c r="D13868" s="67"/>
      <c r="G13868" s="68"/>
      <c r="K13868" s="68"/>
    </row>
    <row r="13869" spans="2:11" ht="12.75">
      <c r="B13869" s="4"/>
      <c r="D13869" s="67"/>
      <c r="G13869" s="68"/>
      <c r="K13869" s="68"/>
    </row>
    <row r="13870" spans="2:11" ht="12.75">
      <c r="B13870" s="4"/>
      <c r="D13870" s="67"/>
      <c r="G13870" s="68"/>
      <c r="K13870" s="68"/>
    </row>
    <row r="13871" spans="2:11" ht="12.75">
      <c r="B13871" s="4"/>
      <c r="D13871" s="67"/>
      <c r="G13871" s="68"/>
      <c r="K13871" s="68"/>
    </row>
    <row r="13872" spans="2:11" ht="12.75">
      <c r="B13872" s="4"/>
      <c r="D13872" s="67"/>
      <c r="G13872" s="68"/>
      <c r="K13872" s="68"/>
    </row>
    <row r="13873" spans="2:11" ht="12.75">
      <c r="B13873" s="4"/>
      <c r="D13873" s="67"/>
      <c r="G13873" s="68"/>
      <c r="K13873" s="68"/>
    </row>
    <row r="13874" spans="2:11" ht="12.75">
      <c r="B13874" s="4"/>
      <c r="D13874" s="67"/>
      <c r="G13874" s="68"/>
      <c r="K13874" s="68"/>
    </row>
    <row r="13875" spans="2:11" ht="12.75">
      <c r="B13875" s="4"/>
      <c r="D13875" s="67"/>
      <c r="G13875" s="68"/>
      <c r="K13875" s="68"/>
    </row>
    <row r="13876" spans="2:11" ht="12.75">
      <c r="B13876" s="4"/>
      <c r="D13876" s="67"/>
      <c r="G13876" s="68"/>
      <c r="K13876" s="68"/>
    </row>
    <row r="13877" spans="2:11" ht="12.75">
      <c r="B13877" s="4"/>
      <c r="D13877" s="67"/>
      <c r="G13877" s="68"/>
      <c r="K13877" s="68"/>
    </row>
    <row r="13878" spans="2:11" ht="12.75">
      <c r="B13878" s="4"/>
      <c r="D13878" s="67"/>
      <c r="G13878" s="68"/>
      <c r="K13878" s="68"/>
    </row>
    <row r="13879" spans="2:11" ht="12.75">
      <c r="B13879" s="4"/>
      <c r="D13879" s="67"/>
      <c r="G13879" s="68"/>
      <c r="K13879" s="68"/>
    </row>
    <row r="13880" spans="2:11" ht="12.75">
      <c r="B13880" s="4"/>
      <c r="D13880" s="67"/>
      <c r="G13880" s="68"/>
      <c r="K13880" s="68"/>
    </row>
    <row r="13881" spans="2:11" ht="12.75">
      <c r="B13881" s="4"/>
      <c r="D13881" s="67"/>
      <c r="G13881" s="68"/>
      <c r="K13881" s="68"/>
    </row>
    <row r="13882" spans="2:11" ht="12.75">
      <c r="B13882" s="4"/>
      <c r="D13882" s="67"/>
      <c r="G13882" s="68"/>
      <c r="K13882" s="68"/>
    </row>
    <row r="13883" spans="2:11" ht="12.75">
      <c r="B13883" s="4"/>
      <c r="D13883" s="67"/>
      <c r="G13883" s="68"/>
      <c r="K13883" s="68"/>
    </row>
    <row r="13884" spans="2:11" ht="12.75">
      <c r="B13884" s="4"/>
      <c r="D13884" s="67"/>
      <c r="G13884" s="68"/>
      <c r="K13884" s="68"/>
    </row>
    <row r="13885" spans="2:11" ht="12.75">
      <c r="B13885" s="4"/>
      <c r="D13885" s="67"/>
      <c r="G13885" s="68"/>
      <c r="K13885" s="68"/>
    </row>
    <row r="13886" spans="2:11" ht="12.75">
      <c r="B13886" s="4"/>
      <c r="D13886" s="67"/>
      <c r="G13886" s="68"/>
      <c r="K13886" s="68"/>
    </row>
    <row r="13887" spans="2:11" ht="12.75">
      <c r="B13887" s="4"/>
      <c r="D13887" s="67"/>
      <c r="G13887" s="68"/>
      <c r="K13887" s="68"/>
    </row>
    <row r="13888" spans="2:11" ht="12.75">
      <c r="B13888" s="4"/>
      <c r="D13888" s="67"/>
      <c r="G13888" s="68"/>
      <c r="K13888" s="68"/>
    </row>
    <row r="13889" spans="2:11" ht="12.75">
      <c r="B13889" s="4"/>
      <c r="D13889" s="67"/>
      <c r="G13889" s="68"/>
      <c r="K13889" s="68"/>
    </row>
    <row r="13890" spans="2:11" ht="12.75">
      <c r="B13890" s="4"/>
      <c r="D13890" s="67"/>
      <c r="G13890" s="68"/>
      <c r="K13890" s="68"/>
    </row>
    <row r="13891" spans="2:11" ht="12.75">
      <c r="B13891" s="4"/>
      <c r="D13891" s="67"/>
      <c r="G13891" s="68"/>
      <c r="K13891" s="68"/>
    </row>
    <row r="13892" spans="2:11" ht="12.75">
      <c r="B13892" s="4"/>
      <c r="D13892" s="67"/>
      <c r="G13892" s="68"/>
      <c r="K13892" s="68"/>
    </row>
    <row r="13893" spans="2:11" ht="12.75">
      <c r="B13893" s="4"/>
      <c r="D13893" s="67"/>
      <c r="G13893" s="68"/>
      <c r="K13893" s="68"/>
    </row>
    <row r="13894" spans="2:11" ht="12.75">
      <c r="B13894" s="4"/>
      <c r="D13894" s="67"/>
      <c r="G13894" s="68"/>
      <c r="K13894" s="68"/>
    </row>
    <row r="13895" spans="2:11" ht="12.75">
      <c r="B13895" s="4"/>
      <c r="D13895" s="67"/>
      <c r="G13895" s="68"/>
      <c r="K13895" s="68"/>
    </row>
    <row r="13896" spans="2:11" ht="12.75">
      <c r="B13896" s="4"/>
      <c r="D13896" s="67"/>
      <c r="G13896" s="68"/>
      <c r="K13896" s="68"/>
    </row>
    <row r="13897" spans="2:11" ht="12.75">
      <c r="B13897" s="4"/>
      <c r="D13897" s="67"/>
      <c r="G13897" s="68"/>
      <c r="K13897" s="68"/>
    </row>
    <row r="13898" spans="2:11" ht="12.75">
      <c r="B13898" s="4"/>
      <c r="D13898" s="67"/>
      <c r="G13898" s="68"/>
      <c r="K13898" s="68"/>
    </row>
    <row r="13899" spans="2:11" ht="12.75">
      <c r="B13899" s="4"/>
      <c r="D13899" s="67"/>
      <c r="G13899" s="68"/>
      <c r="K13899" s="68"/>
    </row>
    <row r="13900" spans="2:11" ht="12.75">
      <c r="B13900" s="4"/>
      <c r="D13900" s="67"/>
      <c r="G13900" s="68"/>
      <c r="K13900" s="68"/>
    </row>
    <row r="13901" spans="2:11" ht="12.75">
      <c r="B13901" s="4"/>
      <c r="D13901" s="67"/>
      <c r="G13901" s="68"/>
      <c r="K13901" s="68"/>
    </row>
    <row r="13902" spans="2:11" ht="12.75">
      <c r="B13902" s="4"/>
      <c r="D13902" s="67"/>
      <c r="G13902" s="68"/>
      <c r="K13902" s="68"/>
    </row>
    <row r="13903" spans="2:11" ht="12.75">
      <c r="B13903" s="4"/>
      <c r="D13903" s="67"/>
      <c r="G13903" s="68"/>
      <c r="K13903" s="68"/>
    </row>
    <row r="13904" spans="2:11" ht="12.75">
      <c r="B13904" s="4"/>
      <c r="D13904" s="67"/>
      <c r="G13904" s="68"/>
      <c r="K13904" s="68"/>
    </row>
    <row r="13905" spans="2:11" ht="12.75">
      <c r="B13905" s="4"/>
      <c r="D13905" s="67"/>
      <c r="G13905" s="68"/>
      <c r="K13905" s="68"/>
    </row>
    <row r="13906" spans="2:11" ht="12.75">
      <c r="B13906" s="4"/>
      <c r="D13906" s="67"/>
      <c r="G13906" s="68"/>
      <c r="K13906" s="68"/>
    </row>
    <row r="13907" spans="2:11" ht="12.75">
      <c r="B13907" s="4"/>
      <c r="D13907" s="67"/>
      <c r="G13907" s="68"/>
      <c r="K13907" s="68"/>
    </row>
    <row r="13908" spans="2:11" ht="12.75">
      <c r="B13908" s="4"/>
      <c r="D13908" s="67"/>
      <c r="G13908" s="68"/>
      <c r="K13908" s="68"/>
    </row>
    <row r="13909" spans="2:11" ht="12.75">
      <c r="B13909" s="4"/>
      <c r="D13909" s="67"/>
      <c r="G13909" s="68"/>
      <c r="K13909" s="68"/>
    </row>
    <row r="13910" spans="2:11" ht="12.75">
      <c r="B13910" s="4"/>
      <c r="D13910" s="67"/>
      <c r="G13910" s="68"/>
      <c r="K13910" s="68"/>
    </row>
    <row r="13911" spans="2:11" ht="12.75">
      <c r="B13911" s="4"/>
      <c r="D13911" s="67"/>
      <c r="G13911" s="68"/>
      <c r="K13911" s="68"/>
    </row>
    <row r="13912" spans="2:11" ht="12.75">
      <c r="B13912" s="4"/>
      <c r="D13912" s="67"/>
      <c r="G13912" s="68"/>
      <c r="K13912" s="68"/>
    </row>
    <row r="13913" spans="2:11" ht="12.75">
      <c r="B13913" s="4"/>
      <c r="D13913" s="67"/>
      <c r="G13913" s="68"/>
      <c r="K13913" s="68"/>
    </row>
    <row r="13914" spans="2:11" ht="12.75">
      <c r="B13914" s="4"/>
      <c r="D13914" s="67"/>
      <c r="G13914" s="68"/>
      <c r="K13914" s="68"/>
    </row>
    <row r="13915" spans="2:11" ht="12.75">
      <c r="B13915" s="4"/>
      <c r="D13915" s="67"/>
      <c r="G13915" s="68"/>
      <c r="K13915" s="68"/>
    </row>
    <row r="13916" spans="2:11" ht="12.75">
      <c r="B13916" s="4"/>
      <c r="D13916" s="67"/>
      <c r="G13916" s="68"/>
      <c r="K13916" s="68"/>
    </row>
    <row r="13917" spans="2:11" ht="12.75">
      <c r="B13917" s="4"/>
      <c r="D13917" s="67"/>
      <c r="G13917" s="68"/>
      <c r="K13917" s="68"/>
    </row>
    <row r="13918" spans="2:11" ht="12.75">
      <c r="B13918" s="4"/>
      <c r="D13918" s="67"/>
      <c r="G13918" s="68"/>
      <c r="K13918" s="68"/>
    </row>
    <row r="13919" spans="2:11" ht="12.75">
      <c r="B13919" s="4"/>
      <c r="D13919" s="67"/>
      <c r="G13919" s="68"/>
      <c r="K13919" s="68"/>
    </row>
    <row r="13920" spans="2:11" ht="12.75">
      <c r="B13920" s="4"/>
      <c r="D13920" s="67"/>
      <c r="G13920" s="68"/>
      <c r="K13920" s="68"/>
    </row>
    <row r="13921" spans="2:11" ht="12.75">
      <c r="B13921" s="4"/>
      <c r="D13921" s="67"/>
      <c r="G13921" s="68"/>
      <c r="K13921" s="68"/>
    </row>
    <row r="13922" spans="2:11" ht="12.75">
      <c r="B13922" s="4"/>
      <c r="D13922" s="67"/>
      <c r="G13922" s="68"/>
      <c r="K13922" s="68"/>
    </row>
    <row r="13923" spans="2:11" ht="12.75">
      <c r="B13923" s="4"/>
      <c r="D13923" s="67"/>
      <c r="G13923" s="68"/>
      <c r="K13923" s="68"/>
    </row>
    <row r="13924" spans="2:11" ht="12.75">
      <c r="B13924" s="4"/>
      <c r="D13924" s="67"/>
      <c r="G13924" s="68"/>
      <c r="K13924" s="68"/>
    </row>
    <row r="13925" spans="2:11" ht="12.75">
      <c r="B13925" s="4"/>
      <c r="D13925" s="67"/>
      <c r="G13925" s="68"/>
      <c r="K13925" s="68"/>
    </row>
    <row r="13926" spans="2:11" ht="12.75">
      <c r="B13926" s="4"/>
      <c r="D13926" s="67"/>
      <c r="G13926" s="68"/>
      <c r="K13926" s="68"/>
    </row>
    <row r="13927" spans="2:11" ht="12.75">
      <c r="B13927" s="4"/>
      <c r="D13927" s="67"/>
      <c r="G13927" s="68"/>
      <c r="K13927" s="68"/>
    </row>
    <row r="13928" spans="2:11" ht="12.75">
      <c r="B13928" s="4"/>
      <c r="D13928" s="67"/>
      <c r="G13928" s="68"/>
      <c r="K13928" s="68"/>
    </row>
    <row r="13929" spans="2:11" ht="12.75">
      <c r="B13929" s="4"/>
      <c r="D13929" s="67"/>
      <c r="G13929" s="68"/>
      <c r="K13929" s="68"/>
    </row>
    <row r="13930" spans="2:11" ht="12.75">
      <c r="B13930" s="4"/>
      <c r="D13930" s="67"/>
      <c r="G13930" s="68"/>
      <c r="K13930" s="68"/>
    </row>
    <row r="13931" spans="2:11" ht="12.75">
      <c r="B13931" s="4"/>
      <c r="D13931" s="67"/>
      <c r="G13931" s="68"/>
      <c r="K13931" s="68"/>
    </row>
    <row r="13932" spans="2:11" ht="12.75">
      <c r="B13932" s="4"/>
      <c r="D13932" s="67"/>
      <c r="G13932" s="68"/>
      <c r="K13932" s="68"/>
    </row>
    <row r="13933" spans="2:11" ht="12.75">
      <c r="B13933" s="4"/>
      <c r="D13933" s="67"/>
      <c r="G13933" s="68"/>
      <c r="K13933" s="68"/>
    </row>
    <row r="13934" spans="2:11" ht="12.75">
      <c r="B13934" s="4"/>
      <c r="D13934" s="67"/>
      <c r="G13934" s="68"/>
      <c r="K13934" s="68"/>
    </row>
    <row r="13935" spans="2:11" ht="12.75">
      <c r="B13935" s="4"/>
      <c r="D13935" s="67"/>
      <c r="G13935" s="68"/>
      <c r="K13935" s="68"/>
    </row>
    <row r="13936" spans="2:11" ht="12.75">
      <c r="B13936" s="4"/>
      <c r="D13936" s="67"/>
      <c r="G13936" s="68"/>
      <c r="K13936" s="68"/>
    </row>
    <row r="13937" spans="2:11" ht="12.75">
      <c r="B13937" s="4"/>
      <c r="D13937" s="67"/>
      <c r="G13937" s="68"/>
      <c r="K13937" s="68"/>
    </row>
    <row r="13938" spans="2:11" ht="12.75">
      <c r="B13938" s="4"/>
      <c r="D13938" s="67"/>
      <c r="G13938" s="68"/>
      <c r="K13938" s="68"/>
    </row>
    <row r="13939" spans="2:11" ht="12.75">
      <c r="B13939" s="4"/>
      <c r="D13939" s="67"/>
      <c r="G13939" s="68"/>
      <c r="K13939" s="68"/>
    </row>
    <row r="13940" spans="2:11" ht="12.75">
      <c r="B13940" s="4"/>
      <c r="D13940" s="67"/>
      <c r="G13940" s="68"/>
      <c r="K13940" s="68"/>
    </row>
    <row r="13941" spans="2:11" ht="12.75">
      <c r="B13941" s="4"/>
      <c r="D13941" s="67"/>
      <c r="G13941" s="68"/>
      <c r="K13941" s="68"/>
    </row>
    <row r="13942" spans="2:11" ht="12.75">
      <c r="B13942" s="4"/>
      <c r="D13942" s="67"/>
      <c r="G13942" s="68"/>
      <c r="K13942" s="68"/>
    </row>
    <row r="13943" spans="2:11" ht="12.75">
      <c r="B13943" s="4"/>
      <c r="D13943" s="67"/>
      <c r="G13943" s="68"/>
      <c r="K13943" s="68"/>
    </row>
    <row r="13944" spans="2:11" ht="12.75">
      <c r="B13944" s="4"/>
      <c r="D13944" s="67"/>
      <c r="G13944" s="68"/>
      <c r="K13944" s="68"/>
    </row>
    <row r="13945" spans="2:11" ht="12.75">
      <c r="B13945" s="4"/>
      <c r="D13945" s="67"/>
      <c r="G13945" s="68"/>
      <c r="K13945" s="68"/>
    </row>
    <row r="13946" spans="2:11" ht="12.75">
      <c r="B13946" s="4"/>
      <c r="D13946" s="67"/>
      <c r="G13946" s="68"/>
      <c r="K13946" s="68"/>
    </row>
    <row r="13947" spans="2:11" ht="12.75">
      <c r="B13947" s="4"/>
      <c r="D13947" s="67"/>
      <c r="G13947" s="68"/>
      <c r="K13947" s="68"/>
    </row>
    <row r="13948" spans="2:11" ht="12.75">
      <c r="B13948" s="4"/>
      <c r="D13948" s="67"/>
      <c r="G13948" s="68"/>
      <c r="K13948" s="68"/>
    </row>
    <row r="13949" spans="2:11" ht="12.75">
      <c r="B13949" s="4"/>
      <c r="D13949" s="67"/>
      <c r="G13949" s="68"/>
      <c r="K13949" s="68"/>
    </row>
    <row r="13950" spans="2:11" ht="12.75">
      <c r="B13950" s="4"/>
      <c r="D13950" s="67"/>
      <c r="G13950" s="68"/>
      <c r="K13950" s="68"/>
    </row>
    <row r="13951" spans="2:11" ht="12.75">
      <c r="B13951" s="4"/>
      <c r="D13951" s="67"/>
      <c r="G13951" s="68"/>
      <c r="K13951" s="68"/>
    </row>
    <row r="13952" spans="2:11" ht="12.75">
      <c r="B13952" s="4"/>
      <c r="D13952" s="67"/>
      <c r="G13952" s="68"/>
      <c r="K13952" s="68"/>
    </row>
    <row r="13953" spans="2:11" ht="12.75">
      <c r="B13953" s="4"/>
      <c r="D13953" s="67"/>
      <c r="G13953" s="68"/>
      <c r="K13953" s="68"/>
    </row>
    <row r="13954" spans="2:11" ht="12.75">
      <c r="B13954" s="4"/>
      <c r="D13954" s="67"/>
      <c r="G13954" s="68"/>
      <c r="K13954" s="68"/>
    </row>
    <row r="13955" spans="2:11" ht="12.75">
      <c r="B13955" s="4"/>
      <c r="D13955" s="67"/>
      <c r="G13955" s="68"/>
      <c r="K13955" s="68"/>
    </row>
    <row r="13956" spans="2:11" ht="12.75">
      <c r="B13956" s="4"/>
      <c r="D13956" s="67"/>
      <c r="G13956" s="68"/>
      <c r="K13956" s="68"/>
    </row>
    <row r="13957" spans="2:11" ht="12.75">
      <c r="B13957" s="4"/>
      <c r="D13957" s="67"/>
      <c r="G13957" s="68"/>
      <c r="K13957" s="68"/>
    </row>
    <row r="13958" spans="2:11" ht="12.75">
      <c r="B13958" s="4"/>
      <c r="D13958" s="67"/>
      <c r="G13958" s="68"/>
      <c r="K13958" s="68"/>
    </row>
    <row r="13959" spans="2:11" ht="12.75">
      <c r="B13959" s="4"/>
      <c r="D13959" s="67"/>
      <c r="G13959" s="68"/>
      <c r="K13959" s="68"/>
    </row>
    <row r="13960" spans="2:11" ht="12.75">
      <c r="B13960" s="4"/>
      <c r="D13960" s="67"/>
      <c r="G13960" s="68"/>
      <c r="K13960" s="68"/>
    </row>
    <row r="13961" spans="2:11" ht="12.75">
      <c r="B13961" s="4"/>
      <c r="D13961" s="67"/>
      <c r="G13961" s="68"/>
      <c r="K13961" s="68"/>
    </row>
    <row r="13962" spans="2:11" ht="12.75">
      <c r="B13962" s="4"/>
      <c r="D13962" s="67"/>
      <c r="G13962" s="68"/>
      <c r="K13962" s="68"/>
    </row>
    <row r="13963" spans="2:11" ht="12.75">
      <c r="B13963" s="4"/>
      <c r="D13963" s="67"/>
      <c r="G13963" s="68"/>
      <c r="K13963" s="68"/>
    </row>
    <row r="13964" spans="2:11" ht="12.75">
      <c r="B13964" s="4"/>
      <c r="D13964" s="67"/>
      <c r="G13964" s="68"/>
      <c r="K13964" s="68"/>
    </row>
    <row r="13965" spans="2:11" ht="12.75">
      <c r="B13965" s="4"/>
      <c r="D13965" s="67"/>
      <c r="G13965" s="68"/>
      <c r="K13965" s="68"/>
    </row>
    <row r="13966" spans="2:11" ht="12.75">
      <c r="B13966" s="4"/>
      <c r="D13966" s="67"/>
      <c r="G13966" s="68"/>
      <c r="K13966" s="68"/>
    </row>
    <row r="13967" spans="2:11" ht="12.75">
      <c r="B13967" s="4"/>
      <c r="D13967" s="67"/>
      <c r="G13967" s="68"/>
      <c r="K13967" s="68"/>
    </row>
    <row r="13968" spans="2:11" ht="12.75">
      <c r="B13968" s="4"/>
      <c r="D13968" s="67"/>
      <c r="G13968" s="68"/>
      <c r="K13968" s="68"/>
    </row>
    <row r="13969" spans="2:11" ht="12.75">
      <c r="B13969" s="4"/>
      <c r="D13969" s="67"/>
      <c r="G13969" s="68"/>
      <c r="K13969" s="68"/>
    </row>
    <row r="13970" spans="2:11" ht="12.75">
      <c r="B13970" s="4"/>
      <c r="D13970" s="67"/>
      <c r="G13970" s="68"/>
      <c r="K13970" s="68"/>
    </row>
    <row r="13971" spans="2:11" ht="12.75">
      <c r="B13971" s="4"/>
      <c r="D13971" s="67"/>
      <c r="G13971" s="68"/>
      <c r="K13971" s="68"/>
    </row>
    <row r="13972" spans="2:11" ht="12.75">
      <c r="B13972" s="4"/>
      <c r="D13972" s="67"/>
      <c r="G13972" s="68"/>
      <c r="K13972" s="68"/>
    </row>
    <row r="13973" spans="2:11" ht="12.75">
      <c r="B13973" s="4"/>
      <c r="D13973" s="67"/>
      <c r="G13973" s="68"/>
      <c r="K13973" s="68"/>
    </row>
    <row r="13974" spans="2:11" ht="12.75">
      <c r="B13974" s="4"/>
      <c r="D13974" s="67"/>
      <c r="G13974" s="68"/>
      <c r="K13974" s="68"/>
    </row>
    <row r="13975" spans="2:11" ht="12.75">
      <c r="B13975" s="4"/>
      <c r="D13975" s="67"/>
      <c r="G13975" s="68"/>
      <c r="K13975" s="68"/>
    </row>
    <row r="13976" spans="2:11" ht="12.75">
      <c r="B13976" s="4"/>
      <c r="D13976" s="67"/>
      <c r="G13976" s="68"/>
      <c r="K13976" s="68"/>
    </row>
    <row r="13977" spans="2:11" ht="12.75">
      <c r="B13977" s="4"/>
      <c r="D13977" s="67"/>
      <c r="G13977" s="68"/>
      <c r="K13977" s="68"/>
    </row>
    <row r="13978" spans="2:11" ht="12.75">
      <c r="B13978" s="4"/>
      <c r="D13978" s="67"/>
      <c r="G13978" s="68"/>
      <c r="K13978" s="68"/>
    </row>
    <row r="13979" spans="2:11" ht="12.75">
      <c r="B13979" s="4"/>
      <c r="D13979" s="67"/>
      <c r="G13979" s="68"/>
      <c r="K13979" s="68"/>
    </row>
    <row r="13980" spans="2:11" ht="12.75">
      <c r="B13980" s="4"/>
      <c r="D13980" s="67"/>
      <c r="G13980" s="68"/>
      <c r="K13980" s="68"/>
    </row>
    <row r="13981" spans="2:11" ht="12.75">
      <c r="B13981" s="4"/>
      <c r="D13981" s="67"/>
      <c r="G13981" s="68"/>
      <c r="K13981" s="68"/>
    </row>
    <row r="13982" spans="2:11" ht="12.75">
      <c r="B13982" s="4"/>
      <c r="D13982" s="67"/>
      <c r="G13982" s="68"/>
      <c r="K13982" s="68"/>
    </row>
    <row r="13983" spans="2:11" ht="12.75">
      <c r="B13983" s="4"/>
      <c r="D13983" s="67"/>
      <c r="G13983" s="68"/>
      <c r="K13983" s="68"/>
    </row>
    <row r="13984" spans="2:11" ht="12.75">
      <c r="B13984" s="4"/>
      <c r="D13984" s="67"/>
      <c r="G13984" s="68"/>
      <c r="K13984" s="68"/>
    </row>
    <row r="13985" spans="2:11" ht="12.75">
      <c r="B13985" s="4"/>
      <c r="D13985" s="67"/>
      <c r="G13985" s="68"/>
      <c r="K13985" s="68"/>
    </row>
    <row r="13986" spans="2:11" ht="12.75">
      <c r="B13986" s="4"/>
      <c r="D13986" s="67"/>
      <c r="G13986" s="68"/>
      <c r="K13986" s="68"/>
    </row>
    <row r="13987" spans="2:11" ht="12.75">
      <c r="B13987" s="4"/>
      <c r="D13987" s="67"/>
      <c r="G13987" s="68"/>
      <c r="K13987" s="68"/>
    </row>
    <row r="13988" spans="2:11" ht="12.75">
      <c r="B13988" s="4"/>
      <c r="D13988" s="67"/>
      <c r="G13988" s="68"/>
      <c r="K13988" s="68"/>
    </row>
    <row r="13989" spans="2:11" ht="12.75">
      <c r="B13989" s="4"/>
      <c r="D13989" s="67"/>
      <c r="G13989" s="68"/>
      <c r="K13989" s="68"/>
    </row>
    <row r="13990" spans="2:11" ht="12.75">
      <c r="B13990" s="4"/>
      <c r="D13990" s="67"/>
      <c r="G13990" s="68"/>
      <c r="K13990" s="68"/>
    </row>
    <row r="13991" spans="2:11" ht="12.75">
      <c r="B13991" s="4"/>
      <c r="D13991" s="67"/>
      <c r="G13991" s="68"/>
      <c r="K13991" s="68"/>
    </row>
    <row r="13992" spans="2:11" ht="12.75">
      <c r="B13992" s="4"/>
      <c r="D13992" s="67"/>
      <c r="G13992" s="68"/>
      <c r="K13992" s="68"/>
    </row>
    <row r="13993" spans="2:11" ht="12.75">
      <c r="B13993" s="4"/>
      <c r="D13993" s="67"/>
      <c r="G13993" s="68"/>
      <c r="K13993" s="68"/>
    </row>
    <row r="13994" spans="2:11" ht="12.75">
      <c r="B13994" s="4"/>
      <c r="D13994" s="67"/>
      <c r="G13994" s="68"/>
      <c r="K13994" s="68"/>
    </row>
    <row r="13995" spans="2:11" ht="12.75">
      <c r="B13995" s="4"/>
      <c r="D13995" s="67"/>
      <c r="G13995" s="68"/>
      <c r="K13995" s="68"/>
    </row>
    <row r="13996" spans="2:11" ht="12.75">
      <c r="B13996" s="4"/>
      <c r="D13996" s="67"/>
      <c r="G13996" s="68"/>
      <c r="K13996" s="68"/>
    </row>
    <row r="13997" spans="2:11" ht="12.75">
      <c r="B13997" s="4"/>
      <c r="D13997" s="67"/>
      <c r="G13997" s="68"/>
      <c r="K13997" s="68"/>
    </row>
    <row r="13998" spans="2:11" ht="12.75">
      <c r="B13998" s="4"/>
      <c r="D13998" s="67"/>
      <c r="G13998" s="68"/>
      <c r="K13998" s="68"/>
    </row>
    <row r="13999" spans="2:11" ht="12.75">
      <c r="B13999" s="4"/>
      <c r="D13999" s="67"/>
      <c r="G13999" s="68"/>
      <c r="K13999" s="68"/>
    </row>
    <row r="14000" spans="2:11" ht="12.75">
      <c r="B14000" s="4"/>
      <c r="D14000" s="67"/>
      <c r="G14000" s="68"/>
      <c r="K14000" s="68"/>
    </row>
    <row r="14001" spans="2:11" ht="12.75">
      <c r="B14001" s="4"/>
      <c r="D14001" s="67"/>
      <c r="G14001" s="68"/>
      <c r="K14001" s="68"/>
    </row>
    <row r="14002" spans="2:11" ht="12.75">
      <c r="B14002" s="4"/>
      <c r="D14002" s="67"/>
      <c r="G14002" s="68"/>
      <c r="K14002" s="68"/>
    </row>
    <row r="14003" spans="2:11" ht="12.75">
      <c r="B14003" s="4"/>
      <c r="D14003" s="67"/>
      <c r="G14003" s="68"/>
      <c r="K14003" s="68"/>
    </row>
    <row r="14004" spans="2:11" ht="12.75">
      <c r="B14004" s="4"/>
      <c r="D14004" s="67"/>
      <c r="G14004" s="68"/>
      <c r="K14004" s="68"/>
    </row>
    <row r="14005" spans="2:11" ht="12.75">
      <c r="B14005" s="4"/>
      <c r="D14005" s="67"/>
      <c r="G14005" s="68"/>
      <c r="K14005" s="68"/>
    </row>
    <row r="14006" spans="2:11" ht="12.75">
      <c r="B14006" s="4"/>
      <c r="D14006" s="67"/>
      <c r="G14006" s="68"/>
      <c r="K14006" s="68"/>
    </row>
    <row r="14007" spans="2:11" ht="12.75">
      <c r="B14007" s="4"/>
      <c r="D14007" s="67"/>
      <c r="G14007" s="68"/>
      <c r="K14007" s="68"/>
    </row>
    <row r="14008" spans="2:11" ht="12.75">
      <c r="B14008" s="4"/>
      <c r="D14008" s="67"/>
      <c r="G14008" s="68"/>
      <c r="K14008" s="68"/>
    </row>
    <row r="14009" spans="2:11" ht="12.75">
      <c r="B14009" s="4"/>
      <c r="D14009" s="67"/>
      <c r="G14009" s="68"/>
      <c r="K14009" s="68"/>
    </row>
    <row r="14010" spans="2:11" ht="12.75">
      <c r="B14010" s="4"/>
      <c r="D14010" s="67"/>
      <c r="G14010" s="68"/>
      <c r="K14010" s="68"/>
    </row>
    <row r="14011" spans="2:11" ht="12.75">
      <c r="B14011" s="4"/>
      <c r="D14011" s="67"/>
      <c r="G14011" s="68"/>
      <c r="K14011" s="68"/>
    </row>
    <row r="14012" spans="2:11" ht="12.75">
      <c r="B14012" s="4"/>
      <c r="D14012" s="67"/>
      <c r="G14012" s="68"/>
      <c r="K14012" s="68"/>
    </row>
    <row r="14013" spans="2:11" ht="12.75">
      <c r="B14013" s="4"/>
      <c r="D14013" s="67"/>
      <c r="G14013" s="68"/>
      <c r="K14013" s="68"/>
    </row>
    <row r="14014" spans="2:11" ht="12.75">
      <c r="B14014" s="4"/>
      <c r="D14014" s="67"/>
      <c r="G14014" s="68"/>
      <c r="K14014" s="68"/>
    </row>
    <row r="14015" spans="2:11" ht="12.75">
      <c r="B14015" s="4"/>
      <c r="D14015" s="67"/>
      <c r="G14015" s="68"/>
      <c r="K14015" s="68"/>
    </row>
    <row r="14016" spans="2:11" ht="12.75">
      <c r="B14016" s="4"/>
      <c r="D14016" s="67"/>
      <c r="G14016" s="68"/>
      <c r="K14016" s="68"/>
    </row>
    <row r="14017" spans="2:11" ht="12.75">
      <c r="B14017" s="4"/>
      <c r="D14017" s="67"/>
      <c r="G14017" s="68"/>
      <c r="K14017" s="68"/>
    </row>
    <row r="14018" spans="2:11" ht="12.75">
      <c r="B14018" s="4"/>
      <c r="D14018" s="67"/>
      <c r="G14018" s="68"/>
      <c r="K14018" s="68"/>
    </row>
    <row r="14019" spans="2:11" ht="12.75">
      <c r="B14019" s="4"/>
      <c r="D14019" s="67"/>
      <c r="G14019" s="68"/>
      <c r="K14019" s="68"/>
    </row>
    <row r="14020" spans="2:11" ht="12.75">
      <c r="B14020" s="4"/>
      <c r="D14020" s="67"/>
      <c r="G14020" s="68"/>
      <c r="K14020" s="68"/>
    </row>
    <row r="14021" spans="2:11" ht="12.75">
      <c r="B14021" s="4"/>
      <c r="D14021" s="67"/>
      <c r="G14021" s="68"/>
      <c r="K14021" s="68"/>
    </row>
    <row r="14022" spans="2:11" ht="12.75">
      <c r="B14022" s="4"/>
      <c r="D14022" s="67"/>
      <c r="G14022" s="68"/>
      <c r="K14022" s="68"/>
    </row>
    <row r="14023" spans="2:11" ht="12.75">
      <c r="B14023" s="4"/>
      <c r="D14023" s="67"/>
      <c r="G14023" s="68"/>
      <c r="K14023" s="68"/>
    </row>
    <row r="14024" spans="2:11" ht="12.75">
      <c r="B14024" s="4"/>
      <c r="D14024" s="67"/>
      <c r="G14024" s="68"/>
      <c r="K14024" s="68"/>
    </row>
    <row r="14025" spans="2:11" ht="12.75">
      <c r="B14025" s="4"/>
      <c r="D14025" s="67"/>
      <c r="G14025" s="68"/>
      <c r="K14025" s="68"/>
    </row>
    <row r="14026" spans="2:11" ht="12.75">
      <c r="B14026" s="4"/>
      <c r="D14026" s="67"/>
      <c r="G14026" s="68"/>
      <c r="K14026" s="68"/>
    </row>
    <row r="14027" spans="2:11" ht="12.75">
      <c r="B14027" s="4"/>
      <c r="D14027" s="67"/>
      <c r="G14027" s="68"/>
      <c r="K14027" s="68"/>
    </row>
    <row r="14028" spans="2:11" ht="12.75">
      <c r="B14028" s="4"/>
      <c r="D14028" s="67"/>
      <c r="G14028" s="68"/>
      <c r="K14028" s="68"/>
    </row>
    <row r="14029" spans="2:11" ht="12.75">
      <c r="B14029" s="4"/>
      <c r="D14029" s="67"/>
      <c r="G14029" s="68"/>
      <c r="K14029" s="68"/>
    </row>
    <row r="14030" spans="2:11" ht="12.75">
      <c r="B14030" s="4"/>
      <c r="D14030" s="67"/>
      <c r="G14030" s="68"/>
      <c r="K14030" s="68"/>
    </row>
    <row r="14031" spans="2:11" ht="12.75">
      <c r="B14031" s="4"/>
      <c r="D14031" s="67"/>
      <c r="G14031" s="68"/>
      <c r="K14031" s="68"/>
    </row>
    <row r="14032" spans="2:11" ht="12.75">
      <c r="B14032" s="4"/>
      <c r="D14032" s="67"/>
      <c r="G14032" s="68"/>
      <c r="K14032" s="68"/>
    </row>
    <row r="14033" spans="2:11" ht="12.75">
      <c r="B14033" s="4"/>
      <c r="D14033" s="67"/>
      <c r="G14033" s="68"/>
      <c r="K14033" s="68"/>
    </row>
    <row r="14034" spans="2:11" ht="12.75">
      <c r="B14034" s="4"/>
      <c r="D14034" s="67"/>
      <c r="G14034" s="68"/>
      <c r="K14034" s="68"/>
    </row>
    <row r="14035" spans="2:11" ht="12.75">
      <c r="B14035" s="4"/>
      <c r="D14035" s="67"/>
      <c r="G14035" s="68"/>
      <c r="K14035" s="68"/>
    </row>
    <row r="14036" spans="2:11" ht="12.75">
      <c r="B14036" s="4"/>
      <c r="D14036" s="67"/>
      <c r="G14036" s="68"/>
      <c r="K14036" s="68"/>
    </row>
    <row r="14037" spans="2:11" ht="12.75">
      <c r="B14037" s="4"/>
      <c r="D14037" s="67"/>
      <c r="G14037" s="68"/>
      <c r="K14037" s="68"/>
    </row>
    <row r="14038" spans="2:11" ht="12.75">
      <c r="B14038" s="4"/>
      <c r="D14038" s="67"/>
      <c r="G14038" s="68"/>
      <c r="K14038" s="68"/>
    </row>
    <row r="14039" spans="2:11" ht="12.75">
      <c r="B14039" s="4"/>
      <c r="D14039" s="67"/>
      <c r="G14039" s="68"/>
      <c r="K14039" s="68"/>
    </row>
    <row r="14040" spans="2:11" ht="12.75">
      <c r="B14040" s="4"/>
      <c r="D14040" s="67"/>
      <c r="G14040" s="68"/>
      <c r="K14040" s="68"/>
    </row>
    <row r="14041" spans="2:11" ht="12.75">
      <c r="B14041" s="4"/>
      <c r="D14041" s="67"/>
      <c r="G14041" s="68"/>
      <c r="K14041" s="68"/>
    </row>
    <row r="14042" spans="2:11" ht="12.75">
      <c r="B14042" s="4"/>
      <c r="D14042" s="67"/>
      <c r="G14042" s="68"/>
      <c r="K14042" s="68"/>
    </row>
    <row r="14043" spans="2:11" ht="12.75">
      <c r="B14043" s="4"/>
      <c r="D14043" s="67"/>
      <c r="G14043" s="68"/>
      <c r="K14043" s="68"/>
    </row>
    <row r="14044" spans="2:11" ht="12.75">
      <c r="B14044" s="4"/>
      <c r="D14044" s="67"/>
      <c r="G14044" s="68"/>
      <c r="K14044" s="68"/>
    </row>
    <row r="14045" spans="2:11" ht="12.75">
      <c r="B14045" s="4"/>
      <c r="D14045" s="67"/>
      <c r="G14045" s="68"/>
      <c r="K14045" s="68"/>
    </row>
    <row r="14046" spans="2:11" ht="12.75">
      <c r="B14046" s="4"/>
      <c r="D14046" s="67"/>
      <c r="G14046" s="68"/>
      <c r="K14046" s="68"/>
    </row>
    <row r="14047" spans="2:11" ht="12.75">
      <c r="B14047" s="4"/>
      <c r="D14047" s="67"/>
      <c r="G14047" s="68"/>
      <c r="K14047" s="68"/>
    </row>
    <row r="14048" spans="2:11" ht="12.75">
      <c r="B14048" s="4"/>
      <c r="D14048" s="67"/>
      <c r="G14048" s="68"/>
      <c r="K14048" s="68"/>
    </row>
    <row r="14049" spans="2:11" ht="12.75">
      <c r="B14049" s="4"/>
      <c r="D14049" s="67"/>
      <c r="G14049" s="68"/>
      <c r="K14049" s="68"/>
    </row>
    <row r="14050" spans="2:11" ht="12.75">
      <c r="B14050" s="4"/>
      <c r="D14050" s="67"/>
      <c r="G14050" s="68"/>
      <c r="K14050" s="68"/>
    </row>
    <row r="14051" spans="2:11" ht="12.75">
      <c r="B14051" s="4"/>
      <c r="D14051" s="67"/>
      <c r="G14051" s="68"/>
      <c r="K14051" s="68"/>
    </row>
    <row r="14052" spans="2:11" ht="12.75">
      <c r="B14052" s="4"/>
      <c r="D14052" s="67"/>
      <c r="G14052" s="68"/>
      <c r="K14052" s="68"/>
    </row>
    <row r="14053" spans="2:11" ht="12.75">
      <c r="B14053" s="4"/>
      <c r="D14053" s="67"/>
      <c r="G14053" s="68"/>
      <c r="K14053" s="68"/>
    </row>
    <row r="14054" spans="2:11" ht="12.75">
      <c r="B14054" s="4"/>
      <c r="D14054" s="67"/>
      <c r="G14054" s="68"/>
      <c r="K14054" s="68"/>
    </row>
    <row r="14055" spans="2:11" ht="12.75">
      <c r="B14055" s="4"/>
      <c r="D14055" s="67"/>
      <c r="G14055" s="68"/>
      <c r="K14055" s="68"/>
    </row>
    <row r="14056" spans="2:11" ht="12.75">
      <c r="B14056" s="4"/>
      <c r="D14056" s="67"/>
      <c r="G14056" s="68"/>
      <c r="K14056" s="68"/>
    </row>
    <row r="14057" spans="2:11" ht="12.75">
      <c r="B14057" s="4"/>
      <c r="D14057" s="67"/>
      <c r="G14057" s="68"/>
      <c r="K14057" s="68"/>
    </row>
    <row r="14058" spans="2:11" ht="12.75">
      <c r="B14058" s="4"/>
      <c r="D14058" s="67"/>
      <c r="G14058" s="68"/>
      <c r="K14058" s="68"/>
    </row>
    <row r="14059" spans="2:11" ht="12.75">
      <c r="B14059" s="4"/>
      <c r="D14059" s="67"/>
      <c r="G14059" s="68"/>
      <c r="K14059" s="68"/>
    </row>
    <row r="14060" spans="2:11" ht="12.75">
      <c r="B14060" s="4"/>
      <c r="D14060" s="67"/>
      <c r="G14060" s="68"/>
      <c r="K14060" s="68"/>
    </row>
    <row r="14061" spans="2:11" ht="12.75">
      <c r="B14061" s="4"/>
      <c r="D14061" s="67"/>
      <c r="G14061" s="68"/>
      <c r="K14061" s="68"/>
    </row>
    <row r="14062" spans="2:11" ht="12.75">
      <c r="B14062" s="4"/>
      <c r="D14062" s="67"/>
      <c r="G14062" s="68"/>
      <c r="K14062" s="68"/>
    </row>
    <row r="14063" spans="2:11" ht="12.75">
      <c r="B14063" s="4"/>
      <c r="D14063" s="67"/>
      <c r="G14063" s="68"/>
      <c r="K14063" s="68"/>
    </row>
    <row r="14064" spans="2:11" ht="12.75">
      <c r="B14064" s="4"/>
      <c r="D14064" s="67"/>
      <c r="G14064" s="68"/>
      <c r="K14064" s="68"/>
    </row>
    <row r="14065" spans="2:11" ht="12.75">
      <c r="B14065" s="4"/>
      <c r="D14065" s="67"/>
      <c r="G14065" s="68"/>
      <c r="K14065" s="68"/>
    </row>
    <row r="14066" spans="2:11" ht="12.75">
      <c r="B14066" s="4"/>
      <c r="D14066" s="67"/>
      <c r="G14066" s="68"/>
      <c r="K14066" s="68"/>
    </row>
    <row r="14067" spans="2:11" ht="12.75">
      <c r="B14067" s="4"/>
      <c r="D14067" s="67"/>
      <c r="G14067" s="68"/>
      <c r="K14067" s="68"/>
    </row>
    <row r="14068" spans="2:11" ht="12.75">
      <c r="B14068" s="4"/>
      <c r="D14068" s="67"/>
      <c r="G14068" s="68"/>
      <c r="K14068" s="68"/>
    </row>
    <row r="14069" spans="2:11" ht="12.75">
      <c r="B14069" s="4"/>
      <c r="D14069" s="67"/>
      <c r="G14069" s="68"/>
      <c r="K14069" s="68"/>
    </row>
    <row r="14070" spans="2:11" ht="12.75">
      <c r="B14070" s="4"/>
      <c r="D14070" s="67"/>
      <c r="G14070" s="68"/>
      <c r="K14070" s="68"/>
    </row>
    <row r="14071" spans="2:11" ht="12.75">
      <c r="B14071" s="4"/>
      <c r="D14071" s="67"/>
      <c r="G14071" s="68"/>
      <c r="K14071" s="68"/>
    </row>
    <row r="14072" spans="2:11" ht="12.75">
      <c r="B14072" s="4"/>
      <c r="D14072" s="67"/>
      <c r="G14072" s="68"/>
      <c r="K14072" s="68"/>
    </row>
    <row r="14073" spans="2:11" ht="12.75">
      <c r="B14073" s="4"/>
      <c r="D14073" s="67"/>
      <c r="G14073" s="68"/>
      <c r="K14073" s="68"/>
    </row>
    <row r="14074" spans="2:11" ht="12.75">
      <c r="B14074" s="4"/>
      <c r="D14074" s="67"/>
      <c r="G14074" s="68"/>
      <c r="K14074" s="68"/>
    </row>
    <row r="14075" spans="2:11" ht="12.75">
      <c r="B14075" s="4"/>
      <c r="D14075" s="67"/>
      <c r="G14075" s="68"/>
      <c r="K14075" s="68"/>
    </row>
    <row r="14076" spans="2:11" ht="12.75">
      <c r="B14076" s="4"/>
      <c r="D14076" s="67"/>
      <c r="G14076" s="68"/>
      <c r="K14076" s="68"/>
    </row>
    <row r="14077" spans="2:11" ht="12.75">
      <c r="B14077" s="4"/>
      <c r="D14077" s="67"/>
      <c r="G14077" s="68"/>
      <c r="K14077" s="68"/>
    </row>
    <row r="14078" spans="2:11" ht="12.75">
      <c r="B14078" s="4"/>
      <c r="D14078" s="67"/>
      <c r="G14078" s="68"/>
      <c r="K14078" s="68"/>
    </row>
    <row r="14079" spans="2:11" ht="12.75">
      <c r="B14079" s="4"/>
      <c r="D14079" s="67"/>
      <c r="G14079" s="68"/>
      <c r="K14079" s="68"/>
    </row>
    <row r="14080" spans="2:11" ht="12.75">
      <c r="B14080" s="4"/>
      <c r="D14080" s="67"/>
      <c r="G14080" s="68"/>
      <c r="K14080" s="68"/>
    </row>
    <row r="14081" spans="2:11" ht="12.75">
      <c r="B14081" s="4"/>
      <c r="D14081" s="67"/>
      <c r="G14081" s="68"/>
      <c r="K14081" s="68"/>
    </row>
    <row r="14082" spans="2:11" ht="12.75">
      <c r="B14082" s="4"/>
      <c r="D14082" s="67"/>
      <c r="G14082" s="68"/>
      <c r="K14082" s="68"/>
    </row>
    <row r="14083" spans="2:11" ht="12.75">
      <c r="B14083" s="4"/>
      <c r="D14083" s="67"/>
      <c r="G14083" s="68"/>
      <c r="K14083" s="68"/>
    </row>
    <row r="14084" spans="2:11" ht="12.75">
      <c r="B14084" s="4"/>
      <c r="D14084" s="67"/>
      <c r="G14084" s="68"/>
      <c r="K14084" s="68"/>
    </row>
    <row r="14085" spans="2:11" ht="12.75">
      <c r="B14085" s="4"/>
      <c r="D14085" s="67"/>
      <c r="G14085" s="68"/>
      <c r="K14085" s="68"/>
    </row>
    <row r="14086" spans="2:11" ht="12.75">
      <c r="B14086" s="4"/>
      <c r="D14086" s="67"/>
      <c r="G14086" s="68"/>
      <c r="K14086" s="68"/>
    </row>
    <row r="14087" spans="2:11" ht="12.75">
      <c r="B14087" s="4"/>
      <c r="D14087" s="67"/>
      <c r="G14087" s="68"/>
      <c r="K14087" s="68"/>
    </row>
    <row r="14088" spans="2:11" ht="12.75">
      <c r="B14088" s="4"/>
      <c r="D14088" s="67"/>
      <c r="G14088" s="68"/>
      <c r="K14088" s="68"/>
    </row>
    <row r="14089" spans="2:11" ht="12.75">
      <c r="B14089" s="4"/>
      <c r="D14089" s="67"/>
      <c r="G14089" s="68"/>
      <c r="K14089" s="68"/>
    </row>
    <row r="14090" spans="2:11" ht="12.75">
      <c r="B14090" s="4"/>
      <c r="D14090" s="67"/>
      <c r="G14090" s="68"/>
      <c r="K14090" s="68"/>
    </row>
    <row r="14091" spans="2:11" ht="12.75">
      <c r="B14091" s="4"/>
      <c r="D14091" s="67"/>
      <c r="G14091" s="68"/>
      <c r="K14091" s="68"/>
    </row>
    <row r="14092" spans="2:11" ht="12.75">
      <c r="B14092" s="4"/>
      <c r="D14092" s="67"/>
      <c r="G14092" s="68"/>
      <c r="K14092" s="68"/>
    </row>
    <row r="14093" spans="2:11" ht="12.75">
      <c r="B14093" s="4"/>
      <c r="D14093" s="67"/>
      <c r="G14093" s="68"/>
      <c r="K14093" s="68"/>
    </row>
    <row r="14094" spans="2:11" ht="12.75">
      <c r="B14094" s="4"/>
      <c r="D14094" s="67"/>
      <c r="G14094" s="68"/>
      <c r="K14094" s="68"/>
    </row>
    <row r="14095" spans="2:11" ht="12.75">
      <c r="B14095" s="4"/>
      <c r="D14095" s="67"/>
      <c r="G14095" s="68"/>
      <c r="K14095" s="68"/>
    </row>
    <row r="14096" spans="2:11" ht="12.75">
      <c r="B14096" s="4"/>
      <c r="D14096" s="67"/>
      <c r="G14096" s="68"/>
      <c r="K14096" s="68"/>
    </row>
    <row r="14097" spans="2:11" ht="12.75">
      <c r="B14097" s="4"/>
      <c r="D14097" s="67"/>
      <c r="G14097" s="68"/>
      <c r="K14097" s="68"/>
    </row>
    <row r="14098" spans="2:11" ht="12.75">
      <c r="B14098" s="4"/>
      <c r="D14098" s="67"/>
      <c r="G14098" s="68"/>
      <c r="K14098" s="68"/>
    </row>
    <row r="14099" spans="2:11" ht="12.75">
      <c r="B14099" s="4"/>
      <c r="D14099" s="67"/>
      <c r="G14099" s="68"/>
      <c r="K14099" s="68"/>
    </row>
    <row r="14100" spans="2:11" ht="12.75">
      <c r="B14100" s="4"/>
      <c r="D14100" s="67"/>
      <c r="G14100" s="68"/>
      <c r="K14100" s="68"/>
    </row>
    <row r="14101" spans="2:11" ht="12.75">
      <c r="B14101" s="4"/>
      <c r="D14101" s="67"/>
      <c r="G14101" s="68"/>
      <c r="K14101" s="68"/>
    </row>
    <row r="14102" spans="2:11" ht="12.75">
      <c r="B14102" s="4"/>
      <c r="D14102" s="67"/>
      <c r="G14102" s="68"/>
      <c r="K14102" s="68"/>
    </row>
    <row r="14103" spans="2:11" ht="12.75">
      <c r="B14103" s="4"/>
      <c r="D14103" s="67"/>
      <c r="G14103" s="68"/>
      <c r="K14103" s="68"/>
    </row>
    <row r="14104" spans="2:11" ht="12.75">
      <c r="B14104" s="4"/>
      <c r="D14104" s="67"/>
      <c r="G14104" s="68"/>
      <c r="K14104" s="68"/>
    </row>
    <row r="14105" spans="2:11" ht="12.75">
      <c r="B14105" s="4"/>
      <c r="D14105" s="67"/>
      <c r="G14105" s="68"/>
      <c r="K14105" s="68"/>
    </row>
    <row r="14106" spans="2:11" ht="12.75">
      <c r="B14106" s="4"/>
      <c r="D14106" s="67"/>
      <c r="G14106" s="68"/>
      <c r="K14106" s="68"/>
    </row>
    <row r="14107" spans="2:11" ht="12.75">
      <c r="B14107" s="4"/>
      <c r="D14107" s="67"/>
      <c r="G14107" s="68"/>
      <c r="K14107" s="68"/>
    </row>
    <row r="14108" spans="2:11" ht="12.75">
      <c r="B14108" s="4"/>
      <c r="D14108" s="67"/>
      <c r="G14108" s="68"/>
      <c r="K14108" s="68"/>
    </row>
    <row r="14109" spans="2:11" ht="12.75">
      <c r="B14109" s="4"/>
      <c r="D14109" s="67"/>
      <c r="G14109" s="68"/>
      <c r="K14109" s="68"/>
    </row>
    <row r="14110" spans="2:11" ht="12.75">
      <c r="B14110" s="4"/>
      <c r="D14110" s="67"/>
      <c r="G14110" s="68"/>
      <c r="K14110" s="68"/>
    </row>
    <row r="14111" spans="2:11" ht="12.75">
      <c r="B14111" s="4"/>
      <c r="D14111" s="67"/>
      <c r="G14111" s="68"/>
      <c r="K14111" s="68"/>
    </row>
    <row r="14112" spans="2:11" ht="12.75">
      <c r="B14112" s="4"/>
      <c r="D14112" s="67"/>
      <c r="G14112" s="68"/>
      <c r="K14112" s="68"/>
    </row>
    <row r="14113" spans="2:11" ht="12.75">
      <c r="B14113" s="4"/>
      <c r="D14113" s="67"/>
      <c r="G14113" s="68"/>
      <c r="K14113" s="68"/>
    </row>
    <row r="14114" spans="2:11" ht="12.75">
      <c r="B14114" s="4"/>
      <c r="D14114" s="67"/>
      <c r="G14114" s="68"/>
      <c r="K14114" s="68"/>
    </row>
    <row r="14115" spans="2:11" ht="12.75">
      <c r="B14115" s="4"/>
      <c r="D14115" s="67"/>
      <c r="G14115" s="68"/>
      <c r="K14115" s="68"/>
    </row>
    <row r="14116" spans="2:11" ht="12.75">
      <c r="B14116" s="4"/>
      <c r="D14116" s="67"/>
      <c r="G14116" s="68"/>
      <c r="K14116" s="68"/>
    </row>
    <row r="14117" spans="2:11" ht="12.75">
      <c r="B14117" s="4"/>
      <c r="D14117" s="67"/>
      <c r="G14117" s="68"/>
      <c r="K14117" s="68"/>
    </row>
    <row r="14118" spans="2:11" ht="12.75">
      <c r="B14118" s="4"/>
      <c r="D14118" s="67"/>
      <c r="G14118" s="68"/>
      <c r="K14118" s="68"/>
    </row>
    <row r="14119" spans="2:11" ht="12.75">
      <c r="B14119" s="4"/>
      <c r="D14119" s="67"/>
      <c r="G14119" s="68"/>
      <c r="K14119" s="68"/>
    </row>
    <row r="14120" spans="2:11" ht="12.75">
      <c r="B14120" s="4"/>
      <c r="D14120" s="67"/>
      <c r="G14120" s="68"/>
      <c r="K14120" s="68"/>
    </row>
    <row r="14121" spans="2:11" ht="12.75">
      <c r="B14121" s="4"/>
      <c r="D14121" s="67"/>
      <c r="G14121" s="68"/>
      <c r="K14121" s="68"/>
    </row>
    <row r="14122" spans="2:11" ht="12.75">
      <c r="B14122" s="4"/>
      <c r="D14122" s="67"/>
      <c r="G14122" s="68"/>
      <c r="K14122" s="68"/>
    </row>
    <row r="14123" spans="2:11" ht="12.75">
      <c r="B14123" s="4"/>
      <c r="D14123" s="67"/>
      <c r="G14123" s="68"/>
      <c r="K14123" s="68"/>
    </row>
    <row r="14124" spans="2:11" ht="12.75">
      <c r="B14124" s="4"/>
      <c r="D14124" s="67"/>
      <c r="G14124" s="68"/>
      <c r="K14124" s="68"/>
    </row>
    <row r="14125" spans="2:11" ht="12.75">
      <c r="B14125" s="4"/>
      <c r="D14125" s="67"/>
      <c r="G14125" s="68"/>
      <c r="K14125" s="68"/>
    </row>
    <row r="14126" spans="2:11" ht="12.75">
      <c r="B14126" s="4"/>
      <c r="D14126" s="67"/>
      <c r="G14126" s="68"/>
      <c r="K14126" s="68"/>
    </row>
    <row r="14127" spans="2:11" ht="12.75">
      <c r="B14127" s="4"/>
      <c r="D14127" s="67"/>
      <c r="G14127" s="68"/>
      <c r="K14127" s="68"/>
    </row>
    <row r="14128" spans="2:11" ht="12.75">
      <c r="B14128" s="4"/>
      <c r="D14128" s="67"/>
      <c r="G14128" s="68"/>
      <c r="K14128" s="68"/>
    </row>
    <row r="14129" spans="2:11" ht="12.75">
      <c r="B14129" s="4"/>
      <c r="D14129" s="67"/>
      <c r="G14129" s="68"/>
      <c r="K14129" s="68"/>
    </row>
    <row r="14130" spans="2:11" ht="12.75">
      <c r="B14130" s="4"/>
      <c r="D14130" s="67"/>
      <c r="G14130" s="68"/>
      <c r="K14130" s="68"/>
    </row>
    <row r="14131" spans="2:11" ht="12.75">
      <c r="B14131" s="4"/>
      <c r="D14131" s="67"/>
      <c r="G14131" s="68"/>
      <c r="K14131" s="68"/>
    </row>
    <row r="14132" spans="2:11" ht="12.75">
      <c r="B14132" s="4"/>
      <c r="D14132" s="67"/>
      <c r="G14132" s="68"/>
      <c r="K14132" s="68"/>
    </row>
    <row r="14133" spans="2:11" ht="12.75">
      <c r="B14133" s="4"/>
      <c r="D14133" s="67"/>
      <c r="G14133" s="68"/>
      <c r="K14133" s="68"/>
    </row>
    <row r="14134" spans="2:11" ht="12.75">
      <c r="B14134" s="4"/>
      <c r="D14134" s="67"/>
      <c r="G14134" s="68"/>
      <c r="K14134" s="68"/>
    </row>
    <row r="14135" spans="2:11" ht="12.75">
      <c r="B14135" s="4"/>
      <c r="D14135" s="67"/>
      <c r="G14135" s="68"/>
      <c r="K14135" s="68"/>
    </row>
    <row r="14136" spans="2:11" ht="12.75">
      <c r="B14136" s="4"/>
      <c r="D14136" s="67"/>
      <c r="G14136" s="68"/>
      <c r="K14136" s="68"/>
    </row>
    <row r="14137" spans="2:11" ht="12.75">
      <c r="B14137" s="4"/>
      <c r="D14137" s="67"/>
      <c r="G14137" s="68"/>
      <c r="K14137" s="68"/>
    </row>
    <row r="14138" spans="2:11" ht="12.75">
      <c r="B14138" s="4"/>
      <c r="D14138" s="67"/>
      <c r="G14138" s="68"/>
      <c r="K14138" s="68"/>
    </row>
    <row r="14139" spans="2:11" ht="12.75">
      <c r="B14139" s="4"/>
      <c r="D14139" s="67"/>
      <c r="G14139" s="68"/>
      <c r="K14139" s="68"/>
    </row>
    <row r="14140" spans="2:11" ht="12.75">
      <c r="B14140" s="4"/>
      <c r="D14140" s="67"/>
      <c r="G14140" s="68"/>
      <c r="K14140" s="68"/>
    </row>
    <row r="14141" spans="2:11" ht="12.75">
      <c r="B14141" s="4"/>
      <c r="D14141" s="67"/>
      <c r="G14141" s="68"/>
      <c r="K14141" s="68"/>
    </row>
    <row r="14142" spans="2:11" ht="12.75">
      <c r="B14142" s="4"/>
      <c r="D14142" s="67"/>
      <c r="G14142" s="68"/>
      <c r="K14142" s="68"/>
    </row>
    <row r="14143" spans="2:11" ht="12.75">
      <c r="B14143" s="4"/>
      <c r="D14143" s="67"/>
      <c r="G14143" s="68"/>
      <c r="K14143" s="68"/>
    </row>
    <row r="14144" spans="2:11" ht="12.75">
      <c r="B14144" s="4"/>
      <c r="D14144" s="67"/>
      <c r="G14144" s="68"/>
      <c r="K14144" s="68"/>
    </row>
    <row r="14145" spans="2:11" ht="12.75">
      <c r="B14145" s="4"/>
      <c r="D14145" s="67"/>
      <c r="G14145" s="68"/>
      <c r="K14145" s="68"/>
    </row>
    <row r="14146" spans="2:11" ht="12.75">
      <c r="B14146" s="4"/>
      <c r="D14146" s="67"/>
      <c r="G14146" s="68"/>
      <c r="K14146" s="68"/>
    </row>
    <row r="14147" spans="2:11" ht="12.75">
      <c r="B14147" s="4"/>
      <c r="D14147" s="67"/>
      <c r="G14147" s="68"/>
      <c r="K14147" s="68"/>
    </row>
    <row r="14148" spans="2:11" ht="12.75">
      <c r="B14148" s="4"/>
      <c r="D14148" s="67"/>
      <c r="G14148" s="68"/>
      <c r="K14148" s="68"/>
    </row>
    <row r="14149" spans="2:11" ht="12.75">
      <c r="B14149" s="4"/>
      <c r="D14149" s="67"/>
      <c r="G14149" s="68"/>
      <c r="K14149" s="68"/>
    </row>
    <row r="14150" spans="2:11" ht="12.75">
      <c r="B14150" s="4"/>
      <c r="D14150" s="67"/>
      <c r="G14150" s="68"/>
      <c r="K14150" s="68"/>
    </row>
    <row r="14151" spans="2:11" ht="12.75">
      <c r="B14151" s="4"/>
      <c r="D14151" s="67"/>
      <c r="G14151" s="68"/>
      <c r="K14151" s="68"/>
    </row>
    <row r="14152" spans="2:11" ht="12.75">
      <c r="B14152" s="4"/>
      <c r="D14152" s="67"/>
      <c r="G14152" s="68"/>
      <c r="K14152" s="68"/>
    </row>
    <row r="14153" spans="2:11" ht="12.75">
      <c r="B14153" s="4"/>
      <c r="D14153" s="67"/>
      <c r="G14153" s="68"/>
      <c r="K14153" s="68"/>
    </row>
    <row r="14154" spans="2:11" ht="12.75">
      <c r="B14154" s="4"/>
      <c r="D14154" s="67"/>
      <c r="G14154" s="68"/>
      <c r="K14154" s="68"/>
    </row>
    <row r="14155" spans="2:11" ht="12.75">
      <c r="B14155" s="4"/>
      <c r="D14155" s="67"/>
      <c r="G14155" s="68"/>
      <c r="K14155" s="68"/>
    </row>
    <row r="14156" spans="2:11" ht="12.75">
      <c r="B14156" s="4"/>
      <c r="D14156" s="67"/>
      <c r="G14156" s="68"/>
      <c r="K14156" s="68"/>
    </row>
    <row r="14157" spans="2:11" ht="12.75">
      <c r="B14157" s="4"/>
      <c r="D14157" s="67"/>
      <c r="G14157" s="68"/>
      <c r="K14157" s="68"/>
    </row>
    <row r="14158" spans="2:11" ht="12.75">
      <c r="B14158" s="4"/>
      <c r="D14158" s="67"/>
      <c r="G14158" s="68"/>
      <c r="K14158" s="68"/>
    </row>
    <row r="14159" spans="2:11" ht="12.75">
      <c r="B14159" s="4"/>
      <c r="D14159" s="67"/>
      <c r="G14159" s="68"/>
      <c r="K14159" s="68"/>
    </row>
    <row r="14160" spans="2:11" ht="12.75">
      <c r="B14160" s="4"/>
      <c r="D14160" s="67"/>
      <c r="G14160" s="68"/>
      <c r="K14160" s="68"/>
    </row>
    <row r="14161" spans="2:11" ht="12.75">
      <c r="B14161" s="4"/>
      <c r="D14161" s="67"/>
      <c r="G14161" s="68"/>
      <c r="K14161" s="68"/>
    </row>
    <row r="14162" spans="2:11" ht="12.75">
      <c r="B14162" s="4"/>
      <c r="D14162" s="67"/>
      <c r="G14162" s="68"/>
      <c r="K14162" s="68"/>
    </row>
    <row r="14163" spans="2:11" ht="12.75">
      <c r="B14163" s="4"/>
      <c r="D14163" s="67"/>
      <c r="G14163" s="68"/>
      <c r="K14163" s="68"/>
    </row>
    <row r="14164" spans="2:11" ht="12.75">
      <c r="B14164" s="4"/>
      <c r="D14164" s="67"/>
      <c r="G14164" s="68"/>
      <c r="K14164" s="68"/>
    </row>
    <row r="14165" spans="2:11" ht="12.75">
      <c r="B14165" s="4"/>
      <c r="D14165" s="67"/>
      <c r="G14165" s="68"/>
      <c r="K14165" s="68"/>
    </row>
    <row r="14166" spans="2:11" ht="12.75">
      <c r="B14166" s="4"/>
      <c r="D14166" s="67"/>
      <c r="G14166" s="68"/>
      <c r="K14166" s="68"/>
    </row>
    <row r="14167" spans="2:11" ht="12.75">
      <c r="B14167" s="4"/>
      <c r="D14167" s="67"/>
      <c r="G14167" s="68"/>
      <c r="K14167" s="68"/>
    </row>
    <row r="14168" spans="2:11" ht="12.75">
      <c r="B14168" s="4"/>
      <c r="D14168" s="67"/>
      <c r="G14168" s="68"/>
      <c r="K14168" s="68"/>
    </row>
    <row r="14169" spans="2:11" ht="12.75">
      <c r="B14169" s="4"/>
      <c r="D14169" s="67"/>
      <c r="G14169" s="68"/>
      <c r="K14169" s="68"/>
    </row>
    <row r="14170" spans="2:11" ht="12.75">
      <c r="B14170" s="4"/>
      <c r="D14170" s="67"/>
      <c r="G14170" s="68"/>
      <c r="K14170" s="68"/>
    </row>
    <row r="14171" spans="2:11" ht="12.75">
      <c r="B14171" s="4"/>
      <c r="D14171" s="67"/>
      <c r="G14171" s="68"/>
      <c r="K14171" s="68"/>
    </row>
    <row r="14172" spans="2:11" ht="12.75">
      <c r="B14172" s="4"/>
      <c r="D14172" s="67"/>
      <c r="G14172" s="68"/>
      <c r="K14172" s="68"/>
    </row>
    <row r="14173" spans="2:11" ht="12.75">
      <c r="B14173" s="4"/>
      <c r="D14173" s="67"/>
      <c r="G14173" s="68"/>
      <c r="K14173" s="68"/>
    </row>
    <row r="14174" spans="2:11" ht="12.75">
      <c r="B14174" s="4"/>
      <c r="D14174" s="67"/>
      <c r="G14174" s="68"/>
      <c r="K14174" s="68"/>
    </row>
    <row r="14175" spans="2:11" ht="12.75">
      <c r="B14175" s="4"/>
      <c r="D14175" s="67"/>
      <c r="G14175" s="68"/>
      <c r="K14175" s="68"/>
    </row>
    <row r="14176" spans="2:11" ht="12.75">
      <c r="B14176" s="4"/>
      <c r="D14176" s="67"/>
      <c r="G14176" s="68"/>
      <c r="K14176" s="68"/>
    </row>
    <row r="14177" spans="2:11" ht="12.75">
      <c r="B14177" s="4"/>
      <c r="D14177" s="67"/>
      <c r="G14177" s="68"/>
      <c r="K14177" s="68"/>
    </row>
    <row r="14178" spans="2:11" ht="12.75">
      <c r="B14178" s="4"/>
      <c r="D14178" s="67"/>
      <c r="G14178" s="68"/>
      <c r="K14178" s="68"/>
    </row>
    <row r="14179" spans="2:11" ht="12.75">
      <c r="B14179" s="4"/>
      <c r="D14179" s="67"/>
      <c r="G14179" s="68"/>
      <c r="K14179" s="68"/>
    </row>
    <row r="14180" spans="2:11" ht="12.75">
      <c r="B14180" s="4"/>
      <c r="D14180" s="67"/>
      <c r="G14180" s="68"/>
      <c r="K14180" s="68"/>
    </row>
    <row r="14181" spans="2:11" ht="12.75">
      <c r="B14181" s="4"/>
      <c r="D14181" s="67"/>
      <c r="G14181" s="68"/>
      <c r="K14181" s="68"/>
    </row>
    <row r="14182" spans="2:11" ht="12.75">
      <c r="B14182" s="4"/>
      <c r="D14182" s="67"/>
      <c r="G14182" s="68"/>
      <c r="K14182" s="68"/>
    </row>
    <row r="14183" spans="2:11" ht="12.75">
      <c r="B14183" s="4"/>
      <c r="D14183" s="67"/>
      <c r="G14183" s="68"/>
      <c r="K14183" s="68"/>
    </row>
    <row r="14184" spans="2:11" ht="12.75">
      <c r="B14184" s="4"/>
      <c r="D14184" s="67"/>
      <c r="G14184" s="68"/>
      <c r="K14184" s="68"/>
    </row>
    <row r="14185" spans="2:11" ht="12.75">
      <c r="B14185" s="4"/>
      <c r="D14185" s="67"/>
      <c r="G14185" s="68"/>
      <c r="K14185" s="68"/>
    </row>
    <row r="14186" spans="2:11" ht="12.75">
      <c r="B14186" s="4"/>
      <c r="D14186" s="67"/>
      <c r="G14186" s="68"/>
      <c r="K14186" s="68"/>
    </row>
    <row r="14187" spans="2:11" ht="12.75">
      <c r="B14187" s="4"/>
      <c r="D14187" s="67"/>
      <c r="G14187" s="68"/>
      <c r="K14187" s="68"/>
    </row>
    <row r="14188" spans="2:11" ht="12.75">
      <c r="B14188" s="4"/>
      <c r="D14188" s="67"/>
      <c r="G14188" s="68"/>
      <c r="K14188" s="68"/>
    </row>
    <row r="14189" spans="2:11" ht="12.75">
      <c r="B14189" s="4"/>
      <c r="D14189" s="67"/>
      <c r="G14189" s="68"/>
      <c r="K14189" s="68"/>
    </row>
    <row r="14190" spans="2:11" ht="12.75">
      <c r="B14190" s="4"/>
      <c r="D14190" s="67"/>
      <c r="G14190" s="68"/>
      <c r="K14190" s="68"/>
    </row>
    <row r="14191" spans="2:11" ht="12.75">
      <c r="B14191" s="4"/>
      <c r="D14191" s="67"/>
      <c r="G14191" s="68"/>
      <c r="K14191" s="68"/>
    </row>
    <row r="14192" spans="2:11" ht="12.75">
      <c r="B14192" s="4"/>
      <c r="D14192" s="67"/>
      <c r="G14192" s="68"/>
      <c r="K14192" s="68"/>
    </row>
    <row r="14193" spans="2:11" ht="12.75">
      <c r="B14193" s="4"/>
      <c r="D14193" s="67"/>
      <c r="G14193" s="68"/>
      <c r="K14193" s="68"/>
    </row>
    <row r="14194" spans="2:11" ht="12.75">
      <c r="B14194" s="4"/>
      <c r="D14194" s="67"/>
      <c r="G14194" s="68"/>
      <c r="K14194" s="68"/>
    </row>
    <row r="14195" spans="2:11" ht="12.75">
      <c r="B14195" s="4"/>
      <c r="D14195" s="67"/>
      <c r="G14195" s="68"/>
      <c r="K14195" s="68"/>
    </row>
    <row r="14196" spans="2:11" ht="12.75">
      <c r="B14196" s="4"/>
      <c r="D14196" s="67"/>
      <c r="G14196" s="68"/>
      <c r="K14196" s="68"/>
    </row>
    <row r="14197" spans="2:11" ht="12.75">
      <c r="B14197" s="4"/>
      <c r="D14197" s="67"/>
      <c r="G14197" s="68"/>
      <c r="K14197" s="68"/>
    </row>
    <row r="14198" spans="2:11" ht="12.75">
      <c r="B14198" s="4"/>
      <c r="D14198" s="67"/>
      <c r="G14198" s="68"/>
      <c r="K14198" s="68"/>
    </row>
    <row r="14199" spans="2:11" ht="12.75">
      <c r="B14199" s="4"/>
      <c r="D14199" s="67"/>
      <c r="G14199" s="68"/>
      <c r="K14199" s="68"/>
    </row>
    <row r="14200" spans="2:11" ht="12.75">
      <c r="B14200" s="4"/>
      <c r="D14200" s="67"/>
      <c r="G14200" s="68"/>
      <c r="K14200" s="68"/>
    </row>
    <row r="14201" spans="2:11" ht="12.75">
      <c r="B14201" s="4"/>
      <c r="D14201" s="67"/>
      <c r="G14201" s="68"/>
      <c r="K14201" s="68"/>
    </row>
    <row r="14202" spans="2:11" ht="12.75">
      <c r="B14202" s="4"/>
      <c r="D14202" s="67"/>
      <c r="G14202" s="68"/>
      <c r="K14202" s="68"/>
    </row>
    <row r="14203" spans="2:11" ht="12.75">
      <c r="B14203" s="4"/>
      <c r="D14203" s="67"/>
      <c r="G14203" s="68"/>
      <c r="K14203" s="68"/>
    </row>
    <row r="14204" spans="2:11" ht="12.75">
      <c r="B14204" s="4"/>
      <c r="D14204" s="67"/>
      <c r="G14204" s="68"/>
      <c r="K14204" s="68"/>
    </row>
    <row r="14205" spans="2:11" ht="12.75">
      <c r="B14205" s="4"/>
      <c r="D14205" s="67"/>
      <c r="G14205" s="68"/>
      <c r="K14205" s="68"/>
    </row>
    <row r="14206" spans="2:11" ht="12.75">
      <c r="B14206" s="4"/>
      <c r="D14206" s="67"/>
      <c r="G14206" s="68"/>
      <c r="K14206" s="68"/>
    </row>
    <row r="14207" spans="2:11" ht="12.75">
      <c r="B14207" s="4"/>
      <c r="D14207" s="67"/>
      <c r="G14207" s="68"/>
      <c r="K14207" s="68"/>
    </row>
    <row r="14208" spans="2:11" ht="12.75">
      <c r="B14208" s="4"/>
      <c r="D14208" s="67"/>
      <c r="G14208" s="68"/>
      <c r="K14208" s="68"/>
    </row>
    <row r="14209" spans="2:11" ht="12.75">
      <c r="B14209" s="4"/>
      <c r="D14209" s="67"/>
      <c r="G14209" s="68"/>
      <c r="K14209" s="68"/>
    </row>
    <row r="14210" spans="2:11" ht="12.75">
      <c r="B14210" s="4"/>
      <c r="D14210" s="67"/>
      <c r="G14210" s="68"/>
      <c r="K14210" s="68"/>
    </row>
    <row r="14211" spans="2:11" ht="12.75">
      <c r="B14211" s="4"/>
      <c r="D14211" s="67"/>
      <c r="G14211" s="68"/>
      <c r="K14211" s="68"/>
    </row>
    <row r="14212" spans="2:11" ht="12.75">
      <c r="B14212" s="4"/>
      <c r="D14212" s="67"/>
      <c r="G14212" s="68"/>
      <c r="K14212" s="68"/>
    </row>
    <row r="14213" spans="2:11" ht="12.75">
      <c r="B14213" s="4"/>
      <c r="D14213" s="67"/>
      <c r="G14213" s="68"/>
      <c r="K14213" s="68"/>
    </row>
    <row r="14214" spans="2:11" ht="12.75">
      <c r="B14214" s="4"/>
      <c r="D14214" s="67"/>
      <c r="G14214" s="68"/>
      <c r="K14214" s="68"/>
    </row>
    <row r="14215" spans="2:11" ht="12.75">
      <c r="B14215" s="4"/>
      <c r="D14215" s="67"/>
      <c r="G14215" s="68"/>
      <c r="K14215" s="68"/>
    </row>
    <row r="14216" spans="2:11" ht="12.75">
      <c r="B14216" s="4"/>
      <c r="D14216" s="67"/>
      <c r="G14216" s="68"/>
      <c r="K14216" s="68"/>
    </row>
    <row r="14217" spans="2:11" ht="12.75">
      <c r="B14217" s="4"/>
      <c r="D14217" s="67"/>
      <c r="G14217" s="68"/>
      <c r="K14217" s="68"/>
    </row>
    <row r="14218" spans="2:11" ht="12.75">
      <c r="B14218" s="4"/>
      <c r="D14218" s="67"/>
      <c r="G14218" s="68"/>
      <c r="K14218" s="68"/>
    </row>
    <row r="14219" spans="2:11" ht="12.75">
      <c r="B14219" s="4"/>
      <c r="D14219" s="67"/>
      <c r="G14219" s="68"/>
      <c r="K14219" s="68"/>
    </row>
    <row r="14220" spans="2:11" ht="12.75">
      <c r="B14220" s="4"/>
      <c r="D14220" s="67"/>
      <c r="G14220" s="68"/>
      <c r="K14220" s="68"/>
    </row>
    <row r="14221" spans="2:11" ht="12.75">
      <c r="B14221" s="4"/>
      <c r="D14221" s="67"/>
      <c r="G14221" s="68"/>
      <c r="K14221" s="68"/>
    </row>
    <row r="14222" spans="2:11" ht="12.75">
      <c r="B14222" s="4"/>
      <c r="D14222" s="67"/>
      <c r="G14222" s="68"/>
      <c r="K14222" s="68"/>
    </row>
    <row r="14223" spans="2:11" ht="12.75">
      <c r="B14223" s="4"/>
      <c r="D14223" s="67"/>
      <c r="G14223" s="68"/>
      <c r="K14223" s="68"/>
    </row>
    <row r="14224" spans="2:11" ht="12.75">
      <c r="B14224" s="4"/>
      <c r="D14224" s="67"/>
      <c r="G14224" s="68"/>
      <c r="K14224" s="68"/>
    </row>
    <row r="14225" spans="2:11" ht="12.75">
      <c r="B14225" s="4"/>
      <c r="D14225" s="67"/>
      <c r="G14225" s="68"/>
      <c r="K14225" s="68"/>
    </row>
    <row r="14226" spans="2:11" ht="12.75">
      <c r="B14226" s="4"/>
      <c r="D14226" s="67"/>
      <c r="G14226" s="68"/>
      <c r="K14226" s="68"/>
    </row>
    <row r="14227" spans="2:11" ht="12.75">
      <c r="B14227" s="4"/>
      <c r="D14227" s="67"/>
      <c r="G14227" s="68"/>
      <c r="K14227" s="68"/>
    </row>
    <row r="14228" spans="2:11" ht="12.75">
      <c r="B14228" s="4"/>
      <c r="D14228" s="67"/>
      <c r="G14228" s="68"/>
      <c r="K14228" s="68"/>
    </row>
    <row r="14229" spans="2:11" ht="12.75">
      <c r="B14229" s="4"/>
      <c r="D14229" s="67"/>
      <c r="G14229" s="68"/>
      <c r="K14229" s="68"/>
    </row>
    <row r="14230" spans="2:11" ht="12.75">
      <c r="B14230" s="4"/>
      <c r="D14230" s="67"/>
      <c r="G14230" s="68"/>
      <c r="K14230" s="68"/>
    </row>
    <row r="14231" spans="2:11" ht="12.75">
      <c r="B14231" s="4"/>
      <c r="D14231" s="67"/>
      <c r="G14231" s="68"/>
      <c r="K14231" s="68"/>
    </row>
    <row r="14232" spans="2:11" ht="12.75">
      <c r="B14232" s="4"/>
      <c r="D14232" s="67"/>
      <c r="G14232" s="68"/>
      <c r="K14232" s="68"/>
    </row>
    <row r="14233" spans="2:11" ht="12.75">
      <c r="B14233" s="4"/>
      <c r="D14233" s="67"/>
      <c r="G14233" s="68"/>
      <c r="K14233" s="68"/>
    </row>
    <row r="14234" spans="2:11" ht="12.75">
      <c r="B14234" s="4"/>
      <c r="D14234" s="67"/>
      <c r="G14234" s="68"/>
      <c r="K14234" s="68"/>
    </row>
    <row r="14235" spans="2:11" ht="12.75">
      <c r="B14235" s="4"/>
      <c r="D14235" s="67"/>
      <c r="G14235" s="68"/>
      <c r="K14235" s="68"/>
    </row>
    <row r="14236" spans="2:11" ht="12.75">
      <c r="B14236" s="4"/>
      <c r="D14236" s="67"/>
      <c r="G14236" s="68"/>
      <c r="K14236" s="68"/>
    </row>
    <row r="14237" spans="2:11" ht="12.75">
      <c r="B14237" s="4"/>
      <c r="D14237" s="67"/>
      <c r="G14237" s="68"/>
      <c r="K14237" s="68"/>
    </row>
    <row r="14238" spans="2:11" ht="12.75">
      <c r="B14238" s="4"/>
      <c r="D14238" s="67"/>
      <c r="G14238" s="68"/>
      <c r="K14238" s="68"/>
    </row>
    <row r="14239" spans="2:11" ht="12.75">
      <c r="B14239" s="4"/>
      <c r="D14239" s="67"/>
      <c r="G14239" s="68"/>
      <c r="K14239" s="68"/>
    </row>
    <row r="14240" spans="2:11" ht="12.75">
      <c r="B14240" s="4"/>
      <c r="D14240" s="67"/>
      <c r="G14240" s="68"/>
      <c r="K14240" s="68"/>
    </row>
    <row r="14241" spans="2:11" ht="12.75">
      <c r="B14241" s="4"/>
      <c r="D14241" s="67"/>
      <c r="G14241" s="68"/>
      <c r="K14241" s="68"/>
    </row>
    <row r="14242" spans="2:11" ht="12.75">
      <c r="B14242" s="4"/>
      <c r="D14242" s="67"/>
      <c r="G14242" s="68"/>
      <c r="K14242" s="68"/>
    </row>
    <row r="14243" spans="2:11" ht="12.75">
      <c r="B14243" s="4"/>
      <c r="D14243" s="67"/>
      <c r="G14243" s="68"/>
      <c r="K14243" s="68"/>
    </row>
    <row r="14244" spans="2:11" ht="12.75">
      <c r="B14244" s="4"/>
      <c r="D14244" s="67"/>
      <c r="G14244" s="68"/>
      <c r="K14244" s="68"/>
    </row>
    <row r="14245" spans="2:11" ht="12.75">
      <c r="B14245" s="4"/>
      <c r="D14245" s="67"/>
      <c r="G14245" s="68"/>
      <c r="K14245" s="68"/>
    </row>
    <row r="14246" spans="2:11" ht="12.75">
      <c r="B14246" s="4"/>
      <c r="D14246" s="67"/>
      <c r="G14246" s="68"/>
      <c r="K14246" s="68"/>
    </row>
    <row r="14247" spans="2:11" ht="12.75">
      <c r="B14247" s="4"/>
      <c r="D14247" s="67"/>
      <c r="G14247" s="68"/>
      <c r="K14247" s="68"/>
    </row>
    <row r="14248" spans="2:11" ht="12.75">
      <c r="B14248" s="4"/>
      <c r="D14248" s="67"/>
      <c r="G14248" s="68"/>
      <c r="K14248" s="68"/>
    </row>
    <row r="14249" spans="2:11" ht="12.75">
      <c r="B14249" s="4"/>
      <c r="D14249" s="67"/>
      <c r="G14249" s="68"/>
      <c r="K14249" s="68"/>
    </row>
    <row r="14250" spans="2:11" ht="12.75">
      <c r="B14250" s="4"/>
      <c r="D14250" s="67"/>
      <c r="G14250" s="68"/>
      <c r="K14250" s="68"/>
    </row>
    <row r="14251" spans="2:11" ht="12.75">
      <c r="B14251" s="4"/>
      <c r="D14251" s="67"/>
      <c r="G14251" s="68"/>
      <c r="K14251" s="68"/>
    </row>
    <row r="14252" spans="2:11" ht="12.75">
      <c r="B14252" s="4"/>
      <c r="D14252" s="67"/>
      <c r="G14252" s="68"/>
      <c r="K14252" s="68"/>
    </row>
    <row r="14253" spans="2:11" ht="12.75">
      <c r="B14253" s="4"/>
      <c r="D14253" s="67"/>
      <c r="G14253" s="68"/>
      <c r="K14253" s="68"/>
    </row>
    <row r="14254" spans="2:11" ht="12.75">
      <c r="B14254" s="4"/>
      <c r="D14254" s="67"/>
      <c r="G14254" s="68"/>
      <c r="K14254" s="68"/>
    </row>
    <row r="14255" spans="2:11" ht="12.75">
      <c r="B14255" s="4"/>
      <c r="D14255" s="67"/>
      <c r="G14255" s="68"/>
      <c r="K14255" s="68"/>
    </row>
    <row r="14256" spans="2:11" ht="12.75">
      <c r="B14256" s="4"/>
      <c r="D14256" s="67"/>
      <c r="G14256" s="68"/>
      <c r="K14256" s="68"/>
    </row>
    <row r="14257" spans="2:11" ht="12.75">
      <c r="B14257" s="4"/>
      <c r="D14257" s="67"/>
      <c r="G14257" s="68"/>
      <c r="K14257" s="68"/>
    </row>
    <row r="14258" spans="2:11" ht="12.75">
      <c r="B14258" s="4"/>
      <c r="D14258" s="67"/>
      <c r="G14258" s="68"/>
      <c r="K14258" s="68"/>
    </row>
    <row r="14259" spans="2:11" ht="12.75">
      <c r="B14259" s="4"/>
      <c r="D14259" s="67"/>
      <c r="G14259" s="68"/>
      <c r="K14259" s="68"/>
    </row>
    <row r="14260" spans="2:11" ht="12.75">
      <c r="B14260" s="4"/>
      <c r="D14260" s="67"/>
      <c r="G14260" s="68"/>
      <c r="K14260" s="68"/>
    </row>
    <row r="14261" spans="2:11" ht="12.75">
      <c r="B14261" s="4"/>
      <c r="D14261" s="67"/>
      <c r="G14261" s="68"/>
      <c r="K14261" s="68"/>
    </row>
    <row r="14262" spans="2:11" ht="12.75">
      <c r="B14262" s="4"/>
      <c r="D14262" s="67"/>
      <c r="G14262" s="68"/>
      <c r="K14262" s="68"/>
    </row>
    <row r="14263" spans="2:11" ht="12.75">
      <c r="B14263" s="4"/>
      <c r="D14263" s="67"/>
      <c r="G14263" s="68"/>
      <c r="K14263" s="68"/>
    </row>
    <row r="14264" spans="2:11" ht="12.75">
      <c r="B14264" s="4"/>
      <c r="D14264" s="67"/>
      <c r="G14264" s="68"/>
      <c r="K14264" s="68"/>
    </row>
    <row r="14265" spans="2:11" ht="12.75">
      <c r="B14265" s="4"/>
      <c r="D14265" s="67"/>
      <c r="G14265" s="68"/>
      <c r="K14265" s="68"/>
    </row>
    <row r="14266" spans="2:11" ht="12.75">
      <c r="B14266" s="4"/>
      <c r="D14266" s="67"/>
      <c r="G14266" s="68"/>
      <c r="K14266" s="68"/>
    </row>
    <row r="14267" spans="2:11" ht="12.75">
      <c r="B14267" s="4"/>
      <c r="D14267" s="67"/>
      <c r="G14267" s="68"/>
      <c r="K14267" s="68"/>
    </row>
    <row r="14268" spans="2:11" ht="12.75">
      <c r="B14268" s="4"/>
      <c r="D14268" s="67"/>
      <c r="G14268" s="68"/>
      <c r="K14268" s="68"/>
    </row>
    <row r="14269" spans="2:11" ht="12.75">
      <c r="B14269" s="4"/>
      <c r="D14269" s="67"/>
      <c r="G14269" s="68"/>
      <c r="K14269" s="68"/>
    </row>
    <row r="14270" spans="2:11" ht="12.75">
      <c r="B14270" s="4"/>
      <c r="D14270" s="67"/>
      <c r="G14270" s="68"/>
      <c r="K14270" s="68"/>
    </row>
    <row r="14271" spans="2:11" ht="12.75">
      <c r="B14271" s="4"/>
      <c r="D14271" s="67"/>
      <c r="G14271" s="68"/>
      <c r="K14271" s="68"/>
    </row>
    <row r="14272" spans="2:11" ht="12.75">
      <c r="B14272" s="4"/>
      <c r="D14272" s="67"/>
      <c r="G14272" s="68"/>
      <c r="K14272" s="68"/>
    </row>
    <row r="14273" spans="2:11" ht="12.75">
      <c r="B14273" s="4"/>
      <c r="D14273" s="67"/>
      <c r="G14273" s="68"/>
      <c r="K14273" s="68"/>
    </row>
    <row r="14274" spans="2:11" ht="12.75">
      <c r="B14274" s="4"/>
      <c r="D14274" s="67"/>
      <c r="G14274" s="68"/>
      <c r="K14274" s="68"/>
    </row>
    <row r="14275" spans="2:11" ht="12.75">
      <c r="B14275" s="4"/>
      <c r="D14275" s="67"/>
      <c r="G14275" s="68"/>
      <c r="K14275" s="68"/>
    </row>
    <row r="14276" spans="2:11" ht="12.75">
      <c r="B14276" s="4"/>
      <c r="D14276" s="67"/>
      <c r="G14276" s="68"/>
      <c r="K14276" s="68"/>
    </row>
    <row r="14277" spans="2:11" ht="12.75">
      <c r="B14277" s="4"/>
      <c r="D14277" s="67"/>
      <c r="G14277" s="68"/>
      <c r="K14277" s="68"/>
    </row>
    <row r="14278" spans="2:11" ht="12.75">
      <c r="B14278" s="4"/>
      <c r="D14278" s="67"/>
      <c r="G14278" s="68"/>
      <c r="K14278" s="68"/>
    </row>
    <row r="14279" spans="2:11" ht="12.75">
      <c r="B14279" s="4"/>
      <c r="D14279" s="67"/>
      <c r="G14279" s="68"/>
      <c r="K14279" s="68"/>
    </row>
    <row r="14280" spans="2:11" ht="12.75">
      <c r="B14280" s="4"/>
      <c r="D14280" s="67"/>
      <c r="G14280" s="68"/>
      <c r="K14280" s="68"/>
    </row>
    <row r="14281" spans="2:11" ht="12.75">
      <c r="B14281" s="4"/>
      <c r="D14281" s="67"/>
      <c r="G14281" s="68"/>
      <c r="K14281" s="68"/>
    </row>
    <row r="14282" spans="2:11" ht="12.75">
      <c r="B14282" s="4"/>
      <c r="D14282" s="67"/>
      <c r="G14282" s="68"/>
      <c r="K14282" s="68"/>
    </row>
    <row r="14283" spans="2:11" ht="12.75">
      <c r="B14283" s="4"/>
      <c r="D14283" s="67"/>
      <c r="G14283" s="68"/>
      <c r="K14283" s="68"/>
    </row>
    <row r="14284" spans="2:11" ht="12.75">
      <c r="B14284" s="4"/>
      <c r="D14284" s="67"/>
      <c r="G14284" s="68"/>
      <c r="K14284" s="68"/>
    </row>
    <row r="14285" spans="2:11" ht="12.75">
      <c r="B14285" s="4"/>
      <c r="D14285" s="67"/>
      <c r="G14285" s="68"/>
      <c r="K14285" s="68"/>
    </row>
    <row r="14286" spans="2:11" ht="12.75">
      <c r="B14286" s="4"/>
      <c r="D14286" s="67"/>
      <c r="G14286" s="68"/>
      <c r="K14286" s="68"/>
    </row>
    <row r="14287" spans="2:11" ht="12.75">
      <c r="B14287" s="4"/>
      <c r="D14287" s="67"/>
      <c r="G14287" s="68"/>
      <c r="K14287" s="68"/>
    </row>
    <row r="14288" spans="2:11" ht="12.75">
      <c r="B14288" s="4"/>
      <c r="D14288" s="67"/>
      <c r="G14288" s="68"/>
      <c r="K14288" s="68"/>
    </row>
    <row r="14289" spans="2:11" ht="12.75">
      <c r="B14289" s="4"/>
      <c r="D14289" s="67"/>
      <c r="G14289" s="68"/>
      <c r="K14289" s="68"/>
    </row>
    <row r="14290" spans="2:11" ht="12.75">
      <c r="B14290" s="4"/>
      <c r="D14290" s="67"/>
      <c r="G14290" s="68"/>
      <c r="K14290" s="68"/>
    </row>
    <row r="14291" spans="2:11" ht="12.75">
      <c r="B14291" s="4"/>
      <c r="D14291" s="67"/>
      <c r="G14291" s="68"/>
      <c r="K14291" s="68"/>
    </row>
    <row r="14292" spans="2:11" ht="12.75">
      <c r="B14292" s="4"/>
      <c r="D14292" s="67"/>
      <c r="G14292" s="68"/>
      <c r="K14292" s="68"/>
    </row>
    <row r="14293" spans="2:11" ht="12.75">
      <c r="B14293" s="4"/>
      <c r="D14293" s="67"/>
      <c r="G14293" s="68"/>
      <c r="K14293" s="68"/>
    </row>
    <row r="14294" spans="2:11" ht="12.75">
      <c r="B14294" s="4"/>
      <c r="D14294" s="67"/>
      <c r="G14294" s="68"/>
      <c r="K14294" s="68"/>
    </row>
    <row r="14295" spans="2:11" ht="12.75">
      <c r="B14295" s="4"/>
      <c r="D14295" s="67"/>
      <c r="G14295" s="68"/>
      <c r="K14295" s="68"/>
    </row>
    <row r="14296" spans="2:11" ht="12.75">
      <c r="B14296" s="4"/>
      <c r="D14296" s="67"/>
      <c r="G14296" s="68"/>
      <c r="K14296" s="68"/>
    </row>
    <row r="14297" spans="2:11" ht="12.75">
      <c r="B14297" s="4"/>
      <c r="D14297" s="67"/>
      <c r="G14297" s="68"/>
      <c r="K14297" s="68"/>
    </row>
    <row r="14298" spans="2:11" ht="12.75">
      <c r="B14298" s="4"/>
      <c r="D14298" s="67"/>
      <c r="G14298" s="68"/>
      <c r="K14298" s="68"/>
    </row>
    <row r="14299" spans="2:11" ht="12.75">
      <c r="B14299" s="4"/>
      <c r="D14299" s="67"/>
      <c r="G14299" s="68"/>
      <c r="K14299" s="68"/>
    </row>
    <row r="14300" spans="2:11" ht="12.75">
      <c r="B14300" s="4"/>
      <c r="D14300" s="67"/>
      <c r="G14300" s="68"/>
      <c r="K14300" s="68"/>
    </row>
    <row r="14301" spans="2:11" ht="12.75">
      <c r="B14301" s="4"/>
      <c r="D14301" s="67"/>
      <c r="G14301" s="68"/>
      <c r="K14301" s="68"/>
    </row>
    <row r="14302" spans="2:11" ht="12.75">
      <c r="B14302" s="4"/>
      <c r="D14302" s="67"/>
      <c r="G14302" s="68"/>
      <c r="K14302" s="68"/>
    </row>
    <row r="14303" spans="2:11" ht="12.75">
      <c r="B14303" s="4"/>
      <c r="D14303" s="67"/>
      <c r="G14303" s="68"/>
      <c r="K14303" s="68"/>
    </row>
    <row r="14304" spans="2:11" ht="12.75">
      <c r="B14304" s="4"/>
      <c r="D14304" s="67"/>
      <c r="G14304" s="68"/>
      <c r="K14304" s="68"/>
    </row>
    <row r="14305" spans="2:11" ht="12.75">
      <c r="B14305" s="4"/>
      <c r="D14305" s="67"/>
      <c r="G14305" s="68"/>
      <c r="K14305" s="68"/>
    </row>
    <row r="14306" spans="2:11" ht="12.75">
      <c r="B14306" s="4"/>
      <c r="D14306" s="67"/>
      <c r="G14306" s="68"/>
      <c r="K14306" s="68"/>
    </row>
    <row r="14307" spans="2:11" ht="12.75">
      <c r="B14307" s="4"/>
      <c r="D14307" s="67"/>
      <c r="G14307" s="68"/>
      <c r="K14307" s="68"/>
    </row>
    <row r="14308" spans="2:11" ht="12.75">
      <c r="B14308" s="4"/>
      <c r="D14308" s="67"/>
      <c r="G14308" s="68"/>
      <c r="K14308" s="68"/>
    </row>
    <row r="14309" spans="2:11" ht="12.75">
      <c r="B14309" s="4"/>
      <c r="D14309" s="67"/>
      <c r="G14309" s="68"/>
      <c r="K14309" s="68"/>
    </row>
    <row r="14310" spans="2:11" ht="12.75">
      <c r="B14310" s="4"/>
      <c r="D14310" s="67"/>
      <c r="G14310" s="68"/>
      <c r="K14310" s="68"/>
    </row>
    <row r="14311" spans="2:11" ht="12.75">
      <c r="B14311" s="4"/>
      <c r="D14311" s="67"/>
      <c r="G14311" s="68"/>
      <c r="K14311" s="68"/>
    </row>
    <row r="14312" spans="2:11" ht="12.75">
      <c r="B14312" s="4"/>
      <c r="D14312" s="67"/>
      <c r="G14312" s="68"/>
      <c r="K14312" s="68"/>
    </row>
    <row r="14313" spans="2:11" ht="12.75">
      <c r="B14313" s="4"/>
      <c r="D14313" s="67"/>
      <c r="G14313" s="68"/>
      <c r="K14313" s="68"/>
    </row>
    <row r="14314" spans="2:11" ht="12.75">
      <c r="B14314" s="4"/>
      <c r="D14314" s="67"/>
      <c r="G14314" s="68"/>
      <c r="K14314" s="68"/>
    </row>
    <row r="14315" spans="2:11" ht="12.75">
      <c r="B14315" s="4"/>
      <c r="D14315" s="67"/>
      <c r="G14315" s="68"/>
      <c r="K14315" s="68"/>
    </row>
    <row r="14316" spans="2:11" ht="12.75">
      <c r="B14316" s="4"/>
      <c r="D14316" s="67"/>
      <c r="G14316" s="68"/>
      <c r="K14316" s="68"/>
    </row>
    <row r="14317" spans="2:11" ht="12.75">
      <c r="B14317" s="4"/>
      <c r="D14317" s="67"/>
      <c r="G14317" s="68"/>
      <c r="K14317" s="68"/>
    </row>
    <row r="14318" spans="2:11" ht="12.75">
      <c r="B14318" s="4"/>
      <c r="D14318" s="67"/>
      <c r="G14318" s="68"/>
      <c r="K14318" s="68"/>
    </row>
    <row r="14319" spans="2:11" ht="12.75">
      <c r="B14319" s="4"/>
      <c r="D14319" s="67"/>
      <c r="G14319" s="68"/>
      <c r="K14319" s="68"/>
    </row>
    <row r="14320" spans="2:11" ht="12.75">
      <c r="B14320" s="4"/>
      <c r="D14320" s="67"/>
      <c r="G14320" s="68"/>
      <c r="K14320" s="68"/>
    </row>
    <row r="14321" spans="2:11" ht="12.75">
      <c r="B14321" s="4"/>
      <c r="D14321" s="67"/>
      <c r="G14321" s="68"/>
      <c r="K14321" s="68"/>
    </row>
    <row r="14322" spans="2:11" ht="12.75">
      <c r="B14322" s="4"/>
      <c r="D14322" s="67"/>
      <c r="G14322" s="68"/>
      <c r="K14322" s="68"/>
    </row>
    <row r="14323" spans="2:11" ht="12.75">
      <c r="B14323" s="4"/>
      <c r="D14323" s="67"/>
      <c r="G14323" s="68"/>
      <c r="K14323" s="68"/>
    </row>
    <row r="14324" spans="2:11" ht="12.75">
      <c r="B14324" s="4"/>
      <c r="D14324" s="67"/>
      <c r="G14324" s="68"/>
      <c r="K14324" s="68"/>
    </row>
    <row r="14325" spans="2:11" ht="12.75">
      <c r="B14325" s="4"/>
      <c r="D14325" s="67"/>
      <c r="G14325" s="68"/>
      <c r="K14325" s="68"/>
    </row>
    <row r="14326" spans="2:11" ht="12.75">
      <c r="B14326" s="4"/>
      <c r="D14326" s="67"/>
      <c r="G14326" s="68"/>
      <c r="K14326" s="68"/>
    </row>
    <row r="14327" spans="2:11" ht="12.75">
      <c r="B14327" s="4"/>
      <c r="D14327" s="67"/>
      <c r="G14327" s="68"/>
      <c r="K14327" s="68"/>
    </row>
    <row r="14328" spans="2:11" ht="12.75">
      <c r="B14328" s="4"/>
      <c r="D14328" s="67"/>
      <c r="G14328" s="68"/>
      <c r="K14328" s="68"/>
    </row>
    <row r="14329" spans="2:11" ht="12.75">
      <c r="B14329" s="4"/>
      <c r="D14329" s="67"/>
      <c r="G14329" s="68"/>
      <c r="K14329" s="68"/>
    </row>
    <row r="14330" spans="2:11" ht="12.75">
      <c r="B14330" s="4"/>
      <c r="D14330" s="67"/>
      <c r="G14330" s="68"/>
      <c r="K14330" s="68"/>
    </row>
    <row r="14331" spans="2:11" ht="12.75">
      <c r="B14331" s="4"/>
      <c r="D14331" s="67"/>
      <c r="G14331" s="68"/>
      <c r="K14331" s="68"/>
    </row>
    <row r="14332" spans="2:11" ht="12.75">
      <c r="B14332" s="4"/>
      <c r="D14332" s="67"/>
      <c r="G14332" s="68"/>
      <c r="K14332" s="68"/>
    </row>
    <row r="14333" spans="2:11" ht="12.75">
      <c r="B14333" s="4"/>
      <c r="D14333" s="67"/>
      <c r="G14333" s="68"/>
      <c r="K14333" s="68"/>
    </row>
    <row r="14334" spans="2:11" ht="12.75">
      <c r="B14334" s="4"/>
      <c r="D14334" s="67"/>
      <c r="G14334" s="68"/>
      <c r="K14334" s="68"/>
    </row>
    <row r="14335" spans="2:11" ht="12.75">
      <c r="B14335" s="4"/>
      <c r="D14335" s="67"/>
      <c r="G14335" s="68"/>
      <c r="K14335" s="68"/>
    </row>
    <row r="14336" spans="2:11" ht="12.75">
      <c r="B14336" s="4"/>
      <c r="D14336" s="67"/>
      <c r="G14336" s="68"/>
      <c r="K14336" s="68"/>
    </row>
    <row r="14337" spans="2:11" ht="12.75">
      <c r="B14337" s="4"/>
      <c r="D14337" s="67"/>
      <c r="G14337" s="68"/>
      <c r="K14337" s="68"/>
    </row>
    <row r="14338" spans="2:11" ht="12.75">
      <c r="B14338" s="4"/>
      <c r="D14338" s="67"/>
      <c r="G14338" s="68"/>
      <c r="K14338" s="68"/>
    </row>
    <row r="14339" spans="2:11" ht="12.75">
      <c r="B14339" s="4"/>
      <c r="D14339" s="67"/>
      <c r="G14339" s="68"/>
      <c r="K14339" s="68"/>
    </row>
    <row r="14340" spans="2:11" ht="12.75">
      <c r="B14340" s="4"/>
      <c r="D14340" s="67"/>
      <c r="G14340" s="68"/>
      <c r="K14340" s="68"/>
    </row>
    <row r="14341" spans="2:11" ht="12.75">
      <c r="B14341" s="4"/>
      <c r="D14341" s="67"/>
      <c r="G14341" s="68"/>
      <c r="K14341" s="68"/>
    </row>
    <row r="14342" spans="2:11" ht="12.75">
      <c r="B14342" s="4"/>
      <c r="D14342" s="67"/>
      <c r="G14342" s="68"/>
      <c r="K14342" s="68"/>
    </row>
    <row r="14343" spans="2:11" ht="12.75">
      <c r="B14343" s="4"/>
      <c r="D14343" s="67"/>
      <c r="G14343" s="68"/>
      <c r="K14343" s="68"/>
    </row>
    <row r="14344" spans="2:11" ht="12.75">
      <c r="B14344" s="4"/>
      <c r="D14344" s="67"/>
      <c r="G14344" s="68"/>
      <c r="K14344" s="68"/>
    </row>
    <row r="14345" spans="2:11" ht="12.75">
      <c r="B14345" s="4"/>
      <c r="D14345" s="67"/>
      <c r="G14345" s="68"/>
      <c r="K14345" s="68"/>
    </row>
    <row r="14346" spans="2:11" ht="12.75">
      <c r="B14346" s="4"/>
      <c r="D14346" s="67"/>
      <c r="G14346" s="68"/>
      <c r="K14346" s="68"/>
    </row>
    <row r="14347" spans="2:11" ht="12.75">
      <c r="B14347" s="4"/>
      <c r="D14347" s="67"/>
      <c r="G14347" s="68"/>
      <c r="K14347" s="68"/>
    </row>
    <row r="14348" spans="2:11" ht="12.75">
      <c r="B14348" s="4"/>
      <c r="D14348" s="67"/>
      <c r="G14348" s="68"/>
      <c r="K14348" s="68"/>
    </row>
    <row r="14349" spans="2:11" ht="12.75">
      <c r="B14349" s="4"/>
      <c r="D14349" s="67"/>
      <c r="G14349" s="68"/>
      <c r="K14349" s="68"/>
    </row>
    <row r="14350" spans="2:11" ht="12.75">
      <c r="B14350" s="4"/>
      <c r="D14350" s="67"/>
      <c r="G14350" s="68"/>
      <c r="K14350" s="68"/>
    </row>
    <row r="14351" spans="2:11" ht="12.75">
      <c r="B14351" s="4"/>
      <c r="D14351" s="67"/>
      <c r="G14351" s="68"/>
      <c r="K14351" s="68"/>
    </row>
    <row r="14352" spans="2:11" ht="12.75">
      <c r="B14352" s="4"/>
      <c r="D14352" s="67"/>
      <c r="G14352" s="68"/>
      <c r="K14352" s="68"/>
    </row>
    <row r="14353" spans="2:11" ht="12.75">
      <c r="B14353" s="4"/>
      <c r="D14353" s="67"/>
      <c r="G14353" s="68"/>
      <c r="K14353" s="68"/>
    </row>
    <row r="14354" spans="2:11" ht="12.75">
      <c r="B14354" s="4"/>
      <c r="D14354" s="67"/>
      <c r="G14354" s="68"/>
      <c r="K14354" s="68"/>
    </row>
    <row r="14355" spans="2:11" ht="12.75">
      <c r="B14355" s="4"/>
      <c r="D14355" s="67"/>
      <c r="G14355" s="68"/>
      <c r="K14355" s="68"/>
    </row>
    <row r="14356" spans="2:11" ht="12.75">
      <c r="B14356" s="4"/>
      <c r="D14356" s="67"/>
      <c r="G14356" s="68"/>
      <c r="K14356" s="68"/>
    </row>
    <row r="14357" spans="2:11" ht="12.75">
      <c r="B14357" s="4"/>
      <c r="D14357" s="67"/>
      <c r="G14357" s="68"/>
      <c r="K14357" s="68"/>
    </row>
    <row r="14358" spans="2:11" ht="12.75">
      <c r="B14358" s="4"/>
      <c r="D14358" s="67"/>
      <c r="G14358" s="68"/>
      <c r="K14358" s="68"/>
    </row>
    <row r="14359" spans="2:11" ht="12.75">
      <c r="B14359" s="4"/>
      <c r="D14359" s="67"/>
      <c r="G14359" s="68"/>
      <c r="K14359" s="68"/>
    </row>
    <row r="14360" spans="2:11" ht="12.75">
      <c r="B14360" s="4"/>
      <c r="D14360" s="67"/>
      <c r="G14360" s="68"/>
      <c r="K14360" s="68"/>
    </row>
    <row r="14361" spans="2:11" ht="12.75">
      <c r="B14361" s="4"/>
      <c r="D14361" s="67"/>
      <c r="G14361" s="68"/>
      <c r="K14361" s="68"/>
    </row>
    <row r="14362" spans="2:11" ht="12.75">
      <c r="B14362" s="4"/>
      <c r="D14362" s="67"/>
      <c r="G14362" s="68"/>
      <c r="K14362" s="68"/>
    </row>
    <row r="14363" spans="2:11" ht="12.75">
      <c r="B14363" s="4"/>
      <c r="D14363" s="67"/>
      <c r="G14363" s="68"/>
      <c r="K14363" s="68"/>
    </row>
    <row r="14364" spans="2:11" ht="12.75">
      <c r="B14364" s="4"/>
      <c r="D14364" s="67"/>
      <c r="G14364" s="68"/>
      <c r="K14364" s="68"/>
    </row>
    <row r="14365" spans="2:11" ht="12.75">
      <c r="B14365" s="4"/>
      <c r="D14365" s="67"/>
      <c r="G14365" s="68"/>
      <c r="K14365" s="68"/>
    </row>
    <row r="14366" spans="2:11" ht="12.75">
      <c r="B14366" s="4"/>
      <c r="D14366" s="67"/>
      <c r="G14366" s="68"/>
      <c r="K14366" s="68"/>
    </row>
    <row r="14367" spans="2:11" ht="12.75">
      <c r="B14367" s="4"/>
      <c r="D14367" s="67"/>
      <c r="G14367" s="68"/>
      <c r="K14367" s="68"/>
    </row>
    <row r="14368" spans="2:11" ht="12.75">
      <c r="B14368" s="4"/>
      <c r="D14368" s="67"/>
      <c r="G14368" s="68"/>
      <c r="K14368" s="68"/>
    </row>
    <row r="14369" spans="2:11" ht="12.75">
      <c r="B14369" s="4"/>
      <c r="D14369" s="67"/>
      <c r="G14369" s="68"/>
      <c r="K14369" s="68"/>
    </row>
    <row r="14370" spans="2:11" ht="12.75">
      <c r="B14370" s="4"/>
      <c r="D14370" s="67"/>
      <c r="G14370" s="68"/>
      <c r="K14370" s="68"/>
    </row>
    <row r="14371" spans="2:11" ht="12.75">
      <c r="B14371" s="4"/>
      <c r="D14371" s="67"/>
      <c r="G14371" s="68"/>
      <c r="K14371" s="68"/>
    </row>
    <row r="14372" spans="2:11" ht="12.75">
      <c r="B14372" s="4"/>
      <c r="D14372" s="67"/>
      <c r="G14372" s="68"/>
      <c r="K14372" s="68"/>
    </row>
    <row r="14373" spans="2:11" ht="12.75">
      <c r="B14373" s="4"/>
      <c r="D14373" s="67"/>
      <c r="G14373" s="68"/>
      <c r="K14373" s="68"/>
    </row>
    <row r="14374" spans="2:11" ht="12.75">
      <c r="B14374" s="4"/>
      <c r="D14374" s="67"/>
      <c r="G14374" s="68"/>
      <c r="K14374" s="68"/>
    </row>
    <row r="14375" spans="2:11" ht="12.75">
      <c r="B14375" s="4"/>
      <c r="D14375" s="67"/>
      <c r="G14375" s="68"/>
      <c r="K14375" s="68"/>
    </row>
    <row r="14376" spans="2:11" ht="12.75">
      <c r="B14376" s="4"/>
      <c r="D14376" s="67"/>
      <c r="G14376" s="68"/>
      <c r="K14376" s="68"/>
    </row>
    <row r="14377" spans="2:11" ht="12.75">
      <c r="B14377" s="4"/>
      <c r="D14377" s="67"/>
      <c r="G14377" s="68"/>
      <c r="K14377" s="68"/>
    </row>
    <row r="14378" spans="2:11" ht="12.75">
      <c r="B14378" s="4"/>
      <c r="D14378" s="67"/>
      <c r="G14378" s="68"/>
      <c r="K14378" s="68"/>
    </row>
    <row r="14379" spans="2:11" ht="12.75">
      <c r="B14379" s="4"/>
      <c r="D14379" s="67"/>
      <c r="G14379" s="68"/>
      <c r="K14379" s="68"/>
    </row>
    <row r="14380" spans="2:11" ht="12.75">
      <c r="B14380" s="4"/>
      <c r="D14380" s="67"/>
      <c r="G14380" s="68"/>
      <c r="K14380" s="68"/>
    </row>
    <row r="14381" spans="2:11" ht="12.75">
      <c r="B14381" s="4"/>
      <c r="D14381" s="67"/>
      <c r="G14381" s="68"/>
      <c r="K14381" s="68"/>
    </row>
    <row r="14382" spans="2:11" ht="12.75">
      <c r="B14382" s="4"/>
      <c r="D14382" s="67"/>
      <c r="G14382" s="68"/>
      <c r="K14382" s="68"/>
    </row>
    <row r="14383" spans="2:11" ht="12.75">
      <c r="B14383" s="4"/>
      <c r="D14383" s="67"/>
      <c r="G14383" s="68"/>
      <c r="K14383" s="68"/>
    </row>
    <row r="14384" spans="2:11" ht="12.75">
      <c r="B14384" s="4"/>
      <c r="D14384" s="67"/>
      <c r="G14384" s="68"/>
      <c r="K14384" s="68"/>
    </row>
    <row r="14385" spans="2:11" ht="12.75">
      <c r="B14385" s="4"/>
      <c r="D14385" s="67"/>
      <c r="G14385" s="68"/>
      <c r="K14385" s="68"/>
    </row>
    <row r="14386" spans="2:11" ht="12.75">
      <c r="B14386" s="4"/>
      <c r="D14386" s="67"/>
      <c r="G14386" s="68"/>
      <c r="K14386" s="68"/>
    </row>
    <row r="14387" spans="2:11" ht="12.75">
      <c r="B14387" s="4"/>
      <c r="D14387" s="67"/>
      <c r="G14387" s="68"/>
      <c r="K14387" s="68"/>
    </row>
    <row r="14388" spans="2:11" ht="12.75">
      <c r="B14388" s="4"/>
      <c r="D14388" s="67"/>
      <c r="G14388" s="68"/>
      <c r="K14388" s="68"/>
    </row>
    <row r="14389" spans="2:11" ht="12.75">
      <c r="B14389" s="4"/>
      <c r="D14389" s="67"/>
      <c r="G14389" s="68"/>
      <c r="K14389" s="68"/>
    </row>
    <row r="14390" spans="2:11" ht="12.75">
      <c r="B14390" s="4"/>
      <c r="D14390" s="67"/>
      <c r="G14390" s="68"/>
      <c r="K14390" s="68"/>
    </row>
    <row r="14391" spans="2:11" ht="12.75">
      <c r="B14391" s="4"/>
      <c r="D14391" s="67"/>
      <c r="G14391" s="68"/>
      <c r="K14391" s="68"/>
    </row>
    <row r="14392" spans="2:11" ht="12.75">
      <c r="B14392" s="4"/>
      <c r="D14392" s="67"/>
      <c r="G14392" s="68"/>
      <c r="K14392" s="68"/>
    </row>
    <row r="14393" spans="2:11" ht="12.75">
      <c r="B14393" s="4"/>
      <c r="D14393" s="67"/>
      <c r="G14393" s="68"/>
      <c r="K14393" s="68"/>
    </row>
    <row r="14394" spans="2:11" ht="12.75">
      <c r="B14394" s="4"/>
      <c r="D14394" s="67"/>
      <c r="G14394" s="68"/>
      <c r="K14394" s="68"/>
    </row>
    <row r="14395" spans="2:11" ht="12.75">
      <c r="B14395" s="4"/>
      <c r="D14395" s="67"/>
      <c r="G14395" s="68"/>
      <c r="K14395" s="68"/>
    </row>
    <row r="14396" spans="2:11" ht="12.75">
      <c r="B14396" s="4"/>
      <c r="D14396" s="67"/>
      <c r="G14396" s="68"/>
      <c r="K14396" s="68"/>
    </row>
    <row r="14397" spans="2:11" ht="12.75">
      <c r="B14397" s="4"/>
      <c r="D14397" s="67"/>
      <c r="G14397" s="68"/>
      <c r="K14397" s="68"/>
    </row>
    <row r="14398" spans="2:11" ht="12.75">
      <c r="B14398" s="4"/>
      <c r="D14398" s="67"/>
      <c r="G14398" s="68"/>
      <c r="K14398" s="68"/>
    </row>
    <row r="14399" spans="2:11" ht="12.75">
      <c r="B14399" s="4"/>
      <c r="D14399" s="67"/>
      <c r="G14399" s="68"/>
      <c r="K14399" s="68"/>
    </row>
    <row r="14400" spans="2:11" ht="12.75">
      <c r="B14400" s="4"/>
      <c r="D14400" s="67"/>
      <c r="G14400" s="68"/>
      <c r="K14400" s="68"/>
    </row>
    <row r="14401" spans="2:11" ht="12.75">
      <c r="B14401" s="4"/>
      <c r="D14401" s="67"/>
      <c r="G14401" s="68"/>
      <c r="K14401" s="68"/>
    </row>
    <row r="14402" spans="2:11" ht="12.75">
      <c r="B14402" s="4"/>
      <c r="D14402" s="67"/>
      <c r="G14402" s="68"/>
      <c r="K14402" s="68"/>
    </row>
    <row r="14403" spans="2:11" ht="12.75">
      <c r="B14403" s="4"/>
      <c r="D14403" s="67"/>
      <c r="G14403" s="68"/>
      <c r="K14403" s="68"/>
    </row>
    <row r="14404" spans="2:11" ht="12.75">
      <c r="B14404" s="4"/>
      <c r="D14404" s="67"/>
      <c r="G14404" s="68"/>
      <c r="K14404" s="68"/>
    </row>
    <row r="14405" spans="2:11" ht="12.75">
      <c r="B14405" s="4"/>
      <c r="D14405" s="67"/>
      <c r="G14405" s="68"/>
      <c r="K14405" s="68"/>
    </row>
    <row r="14406" spans="2:11" ht="12.75">
      <c r="B14406" s="4"/>
      <c r="D14406" s="67"/>
      <c r="G14406" s="68"/>
      <c r="K14406" s="68"/>
    </row>
    <row r="14407" spans="2:11" ht="12.75">
      <c r="B14407" s="4"/>
      <c r="D14407" s="67"/>
      <c r="G14407" s="68"/>
      <c r="K14407" s="68"/>
    </row>
    <row r="14408" spans="2:11" ht="12.75">
      <c r="B14408" s="4"/>
      <c r="D14408" s="67"/>
      <c r="G14408" s="68"/>
      <c r="K14408" s="68"/>
    </row>
    <row r="14409" spans="2:11" ht="12.75">
      <c r="B14409" s="4"/>
      <c r="D14409" s="67"/>
      <c r="G14409" s="68"/>
      <c r="K14409" s="68"/>
    </row>
    <row r="14410" spans="2:11" ht="12.75">
      <c r="B14410" s="4"/>
      <c r="D14410" s="67"/>
      <c r="G14410" s="68"/>
      <c r="K14410" s="68"/>
    </row>
    <row r="14411" spans="2:11" ht="12.75">
      <c r="B14411" s="4"/>
      <c r="D14411" s="67"/>
      <c r="G14411" s="68"/>
      <c r="K14411" s="68"/>
    </row>
    <row r="14412" spans="2:11" ht="12.75">
      <c r="B14412" s="4"/>
      <c r="D14412" s="67"/>
      <c r="G14412" s="68"/>
      <c r="K14412" s="68"/>
    </row>
    <row r="14413" spans="2:11" ht="12.75">
      <c r="B14413" s="4"/>
      <c r="D14413" s="67"/>
      <c r="G14413" s="68"/>
      <c r="K14413" s="68"/>
    </row>
    <row r="14414" spans="2:11" ht="12.75">
      <c r="B14414" s="4"/>
      <c r="D14414" s="67"/>
      <c r="G14414" s="68"/>
      <c r="K14414" s="68"/>
    </row>
    <row r="14415" spans="2:11" ht="12.75">
      <c r="B14415" s="4"/>
      <c r="D14415" s="67"/>
      <c r="G14415" s="68"/>
      <c r="K14415" s="68"/>
    </row>
    <row r="14416" spans="2:11" ht="12.75">
      <c r="B14416" s="4"/>
      <c r="D14416" s="67"/>
      <c r="G14416" s="68"/>
      <c r="K14416" s="68"/>
    </row>
    <row r="14417" spans="2:11" ht="12.75">
      <c r="B14417" s="4"/>
      <c r="D14417" s="67"/>
      <c r="G14417" s="68"/>
      <c r="K14417" s="68"/>
    </row>
    <row r="14418" spans="2:11" ht="12.75">
      <c r="B14418" s="4"/>
      <c r="D14418" s="67"/>
      <c r="G14418" s="68"/>
      <c r="K14418" s="68"/>
    </row>
    <row r="14419" spans="2:11" ht="12.75">
      <c r="B14419" s="4"/>
      <c r="D14419" s="67"/>
      <c r="G14419" s="68"/>
      <c r="K14419" s="68"/>
    </row>
    <row r="14420" spans="2:11" ht="12.75">
      <c r="B14420" s="4"/>
      <c r="D14420" s="67"/>
      <c r="G14420" s="68"/>
      <c r="K14420" s="68"/>
    </row>
    <row r="14421" spans="2:11" ht="12.75">
      <c r="B14421" s="4"/>
      <c r="D14421" s="67"/>
      <c r="G14421" s="68"/>
      <c r="K14421" s="68"/>
    </row>
    <row r="14422" spans="2:11" ht="12.75">
      <c r="B14422" s="4"/>
      <c r="D14422" s="67"/>
      <c r="G14422" s="68"/>
      <c r="K14422" s="68"/>
    </row>
    <row r="14423" spans="2:11" ht="12.75">
      <c r="B14423" s="4"/>
      <c r="D14423" s="67"/>
      <c r="G14423" s="68"/>
      <c r="K14423" s="68"/>
    </row>
    <row r="14424" spans="2:11" ht="12.75">
      <c r="B14424" s="4"/>
      <c r="D14424" s="67"/>
      <c r="G14424" s="68"/>
      <c r="K14424" s="68"/>
    </row>
    <row r="14425" spans="2:11" ht="12.75">
      <c r="B14425" s="4"/>
      <c r="D14425" s="67"/>
      <c r="G14425" s="68"/>
      <c r="K14425" s="68"/>
    </row>
    <row r="14426" spans="2:11" ht="12.75">
      <c r="B14426" s="4"/>
      <c r="D14426" s="67"/>
      <c r="G14426" s="68"/>
      <c r="K14426" s="68"/>
    </row>
    <row r="14427" spans="2:11" ht="12.75">
      <c r="B14427" s="4"/>
      <c r="D14427" s="67"/>
      <c r="G14427" s="68"/>
      <c r="K14427" s="68"/>
    </row>
    <row r="14428" spans="2:11" ht="12.75">
      <c r="B14428" s="4"/>
      <c r="D14428" s="67"/>
      <c r="G14428" s="68"/>
      <c r="K14428" s="68"/>
    </row>
    <row r="14429" spans="2:11" ht="12.75">
      <c r="B14429" s="4"/>
      <c r="D14429" s="67"/>
      <c r="G14429" s="68"/>
      <c r="K14429" s="68"/>
    </row>
    <row r="14430" spans="2:11" ht="12.75">
      <c r="B14430" s="4"/>
      <c r="D14430" s="67"/>
      <c r="G14430" s="68"/>
      <c r="K14430" s="68"/>
    </row>
    <row r="14431" spans="2:11" ht="12.75">
      <c r="B14431" s="4"/>
      <c r="D14431" s="67"/>
      <c r="G14431" s="68"/>
      <c r="K14431" s="68"/>
    </row>
    <row r="14432" spans="2:11" ht="12.75">
      <c r="B14432" s="4"/>
      <c r="D14432" s="67"/>
      <c r="G14432" s="68"/>
      <c r="K14432" s="68"/>
    </row>
    <row r="14433" spans="2:11" ht="12.75">
      <c r="B14433" s="4"/>
      <c r="D14433" s="67"/>
      <c r="G14433" s="68"/>
      <c r="K14433" s="68"/>
    </row>
    <row r="14434" spans="2:11" ht="12.75">
      <c r="B14434" s="4"/>
      <c r="D14434" s="67"/>
      <c r="G14434" s="68"/>
      <c r="K14434" s="68"/>
    </row>
    <row r="14435" spans="2:11" ht="12.75">
      <c r="B14435" s="4"/>
      <c r="D14435" s="67"/>
      <c r="G14435" s="68"/>
      <c r="K14435" s="68"/>
    </row>
    <row r="14436" spans="2:11" ht="12.75">
      <c r="B14436" s="4"/>
      <c r="D14436" s="67"/>
      <c r="G14436" s="68"/>
      <c r="K14436" s="68"/>
    </row>
    <row r="14437" spans="2:11" ht="12.75">
      <c r="B14437" s="4"/>
      <c r="D14437" s="67"/>
      <c r="G14437" s="68"/>
      <c r="K14437" s="68"/>
    </row>
    <row r="14438" spans="2:11" ht="12.75">
      <c r="B14438" s="4"/>
      <c r="D14438" s="67"/>
      <c r="G14438" s="68"/>
      <c r="K14438" s="68"/>
    </row>
    <row r="14439" spans="2:11" ht="12.75">
      <c r="B14439" s="4"/>
      <c r="D14439" s="67"/>
      <c r="G14439" s="68"/>
      <c r="K14439" s="68"/>
    </row>
    <row r="14440" spans="2:11" ht="12.75">
      <c r="B14440" s="4"/>
      <c r="D14440" s="67"/>
      <c r="G14440" s="68"/>
      <c r="K14440" s="68"/>
    </row>
    <row r="14441" spans="2:11" ht="12.75">
      <c r="B14441" s="4"/>
      <c r="D14441" s="67"/>
      <c r="G14441" s="68"/>
      <c r="K14441" s="68"/>
    </row>
    <row r="14442" spans="2:11" ht="12.75">
      <c r="B14442" s="4"/>
      <c r="D14442" s="67"/>
      <c r="G14442" s="68"/>
      <c r="K14442" s="68"/>
    </row>
    <row r="14443" spans="2:11" ht="12.75">
      <c r="B14443" s="4"/>
      <c r="D14443" s="67"/>
      <c r="G14443" s="68"/>
      <c r="K14443" s="68"/>
    </row>
    <row r="14444" spans="2:11" ht="12.75">
      <c r="B14444" s="4"/>
      <c r="D14444" s="67"/>
      <c r="G14444" s="68"/>
      <c r="K14444" s="68"/>
    </row>
    <row r="14445" spans="2:11" ht="12.75">
      <c r="B14445" s="4"/>
      <c r="D14445" s="67"/>
      <c r="G14445" s="68"/>
      <c r="K14445" s="68"/>
    </row>
    <row r="14446" spans="2:11" ht="12.75">
      <c r="B14446" s="4"/>
      <c r="D14446" s="67"/>
      <c r="G14446" s="68"/>
      <c r="K14446" s="68"/>
    </row>
    <row r="14447" spans="2:11" ht="12.75">
      <c r="B14447" s="4"/>
      <c r="D14447" s="67"/>
      <c r="G14447" s="68"/>
      <c r="K14447" s="68"/>
    </row>
    <row r="14448" spans="2:11" ht="12.75">
      <c r="B14448" s="4"/>
      <c r="D14448" s="67"/>
      <c r="G14448" s="68"/>
      <c r="K14448" s="68"/>
    </row>
    <row r="14449" spans="2:11" ht="12.75">
      <c r="B14449" s="4"/>
      <c r="D14449" s="67"/>
      <c r="G14449" s="68"/>
      <c r="K14449" s="68"/>
    </row>
    <row r="14450" spans="2:11" ht="12.75">
      <c r="B14450" s="4"/>
      <c r="D14450" s="67"/>
      <c r="G14450" s="68"/>
      <c r="K14450" s="68"/>
    </row>
    <row r="14451" spans="2:11" ht="12.75">
      <c r="B14451" s="4"/>
      <c r="D14451" s="67"/>
      <c r="G14451" s="68"/>
      <c r="K14451" s="68"/>
    </row>
    <row r="14452" spans="2:11" ht="12.75">
      <c r="B14452" s="4"/>
      <c r="D14452" s="67"/>
      <c r="G14452" s="68"/>
      <c r="K14452" s="68"/>
    </row>
    <row r="14453" spans="2:11" ht="12.75">
      <c r="B14453" s="4"/>
      <c r="D14453" s="67"/>
      <c r="G14453" s="68"/>
      <c r="K14453" s="68"/>
    </row>
    <row r="14454" spans="2:11" ht="12.75">
      <c r="B14454" s="4"/>
      <c r="D14454" s="67"/>
      <c r="G14454" s="68"/>
      <c r="K14454" s="68"/>
    </row>
    <row r="14455" spans="2:11" ht="12.75">
      <c r="B14455" s="4"/>
      <c r="D14455" s="67"/>
      <c r="G14455" s="68"/>
      <c r="K14455" s="68"/>
    </row>
    <row r="14456" spans="2:11" ht="12.75">
      <c r="B14456" s="4"/>
      <c r="D14456" s="67"/>
      <c r="G14456" s="68"/>
      <c r="K14456" s="68"/>
    </row>
    <row r="14457" spans="2:11" ht="12.75">
      <c r="B14457" s="4"/>
      <c r="D14457" s="67"/>
      <c r="G14457" s="68"/>
      <c r="K14457" s="68"/>
    </row>
    <row r="14458" spans="2:11" ht="12.75">
      <c r="B14458" s="4"/>
      <c r="D14458" s="67"/>
      <c r="G14458" s="68"/>
      <c r="K14458" s="68"/>
    </row>
    <row r="14459" spans="2:11" ht="12.75">
      <c r="B14459" s="4"/>
      <c r="D14459" s="67"/>
      <c r="G14459" s="68"/>
      <c r="K14459" s="68"/>
    </row>
    <row r="14460" spans="2:11" ht="12.75">
      <c r="B14460" s="4"/>
      <c r="D14460" s="67"/>
      <c r="G14460" s="68"/>
      <c r="K14460" s="68"/>
    </row>
    <row r="14461" spans="2:11" ht="12.75">
      <c r="B14461" s="4"/>
      <c r="D14461" s="67"/>
      <c r="G14461" s="68"/>
      <c r="K14461" s="68"/>
    </row>
    <row r="14462" spans="2:11" ht="12.75">
      <c r="B14462" s="4"/>
      <c r="D14462" s="67"/>
      <c r="G14462" s="68"/>
      <c r="K14462" s="68"/>
    </row>
    <row r="14463" spans="2:11" ht="12.75">
      <c r="B14463" s="4"/>
      <c r="D14463" s="67"/>
      <c r="G14463" s="68"/>
      <c r="K14463" s="68"/>
    </row>
    <row r="14464" spans="2:11" ht="12.75">
      <c r="B14464" s="4"/>
      <c r="D14464" s="67"/>
      <c r="G14464" s="68"/>
      <c r="K14464" s="68"/>
    </row>
    <row r="14465" spans="2:11" ht="12.75">
      <c r="B14465" s="4"/>
      <c r="D14465" s="67"/>
      <c r="G14465" s="68"/>
      <c r="K14465" s="68"/>
    </row>
    <row r="14466" spans="2:11" ht="12.75">
      <c r="B14466" s="4"/>
      <c r="D14466" s="67"/>
      <c r="G14466" s="68"/>
      <c r="K14466" s="68"/>
    </row>
    <row r="14467" spans="2:11" ht="12.75">
      <c r="B14467" s="4"/>
      <c r="D14467" s="67"/>
      <c r="G14467" s="68"/>
      <c r="K14467" s="68"/>
    </row>
    <row r="14468" spans="2:11" ht="12.75">
      <c r="B14468" s="4"/>
      <c r="D14468" s="67"/>
      <c r="G14468" s="68"/>
      <c r="K14468" s="68"/>
    </row>
    <row r="14469" spans="2:11" ht="12.75">
      <c r="B14469" s="4"/>
      <c r="D14469" s="67"/>
      <c r="G14469" s="68"/>
      <c r="K14469" s="68"/>
    </row>
    <row r="14470" spans="2:11" ht="12.75">
      <c r="B14470" s="4"/>
      <c r="D14470" s="67"/>
      <c r="G14470" s="68"/>
      <c r="K14470" s="68"/>
    </row>
    <row r="14471" spans="2:11" ht="12.75">
      <c r="B14471" s="4"/>
      <c r="D14471" s="67"/>
      <c r="G14471" s="68"/>
      <c r="K14471" s="68"/>
    </row>
    <row r="14472" spans="2:11" ht="12.75">
      <c r="B14472" s="4"/>
      <c r="D14472" s="67"/>
      <c r="G14472" s="68"/>
      <c r="K14472" s="68"/>
    </row>
    <row r="14473" spans="2:11" ht="12.75">
      <c r="B14473" s="4"/>
      <c r="D14473" s="67"/>
      <c r="G14473" s="68"/>
      <c r="K14473" s="68"/>
    </row>
    <row r="14474" spans="2:11" ht="12.75">
      <c r="B14474" s="4"/>
      <c r="D14474" s="67"/>
      <c r="G14474" s="68"/>
      <c r="K14474" s="68"/>
    </row>
    <row r="14475" spans="2:11" ht="12.75">
      <c r="B14475" s="4"/>
      <c r="D14475" s="67"/>
      <c r="G14475" s="68"/>
      <c r="K14475" s="68"/>
    </row>
    <row r="14476" spans="2:11" ht="12.75">
      <c r="B14476" s="4"/>
      <c r="D14476" s="67"/>
      <c r="G14476" s="68"/>
      <c r="K14476" s="68"/>
    </row>
    <row r="14477" spans="2:11" ht="12.75">
      <c r="B14477" s="4"/>
      <c r="D14477" s="67"/>
      <c r="G14477" s="68"/>
      <c r="K14477" s="68"/>
    </row>
    <row r="14478" spans="2:11" ht="12.75">
      <c r="B14478" s="4"/>
      <c r="D14478" s="67"/>
      <c r="G14478" s="68"/>
      <c r="K14478" s="68"/>
    </row>
    <row r="14479" spans="2:11" ht="12.75">
      <c r="B14479" s="4"/>
      <c r="D14479" s="67"/>
      <c r="G14479" s="68"/>
      <c r="K14479" s="68"/>
    </row>
    <row r="14480" spans="2:11" ht="12.75">
      <c r="B14480" s="4"/>
      <c r="D14480" s="67"/>
      <c r="G14480" s="68"/>
      <c r="K14480" s="68"/>
    </row>
    <row r="14481" spans="2:11" ht="12.75">
      <c r="B14481" s="4"/>
      <c r="D14481" s="67"/>
      <c r="G14481" s="68"/>
      <c r="K14481" s="68"/>
    </row>
    <row r="14482" spans="2:11" ht="12.75">
      <c r="B14482" s="4"/>
      <c r="D14482" s="67"/>
      <c r="G14482" s="68"/>
      <c r="K14482" s="68"/>
    </row>
    <row r="14483" spans="2:11" ht="12.75">
      <c r="B14483" s="4"/>
      <c r="D14483" s="67"/>
      <c r="G14483" s="68"/>
      <c r="K14483" s="68"/>
    </row>
    <row r="14484" spans="2:11" ht="12.75">
      <c r="B14484" s="4"/>
      <c r="D14484" s="67"/>
      <c r="G14484" s="68"/>
      <c r="K14484" s="68"/>
    </row>
    <row r="14485" spans="2:11" ht="12.75">
      <c r="B14485" s="4"/>
      <c r="D14485" s="67"/>
      <c r="G14485" s="68"/>
      <c r="K14485" s="68"/>
    </row>
    <row r="14486" spans="2:11" ht="12.75">
      <c r="B14486" s="4"/>
      <c r="D14486" s="67"/>
      <c r="G14486" s="68"/>
      <c r="K14486" s="68"/>
    </row>
    <row r="14487" spans="2:11" ht="12.75">
      <c r="B14487" s="4"/>
      <c r="D14487" s="67"/>
      <c r="G14487" s="68"/>
      <c r="K14487" s="68"/>
    </row>
    <row r="14488" spans="2:11" ht="12.75">
      <c r="B14488" s="4"/>
      <c r="D14488" s="67"/>
      <c r="G14488" s="68"/>
      <c r="K14488" s="68"/>
    </row>
    <row r="14489" spans="2:11" ht="12.75">
      <c r="B14489" s="4"/>
      <c r="D14489" s="67"/>
      <c r="G14489" s="68"/>
      <c r="K14489" s="68"/>
    </row>
    <row r="14490" spans="2:11" ht="12.75">
      <c r="B14490" s="4"/>
      <c r="D14490" s="67"/>
      <c r="G14490" s="68"/>
      <c r="K14490" s="68"/>
    </row>
    <row r="14491" spans="2:11" ht="12.75">
      <c r="B14491" s="4"/>
      <c r="D14491" s="67"/>
      <c r="G14491" s="68"/>
      <c r="K14491" s="68"/>
    </row>
    <row r="14492" spans="2:11" ht="12.75">
      <c r="B14492" s="4"/>
      <c r="D14492" s="67"/>
      <c r="G14492" s="68"/>
      <c r="K14492" s="68"/>
    </row>
    <row r="14493" spans="2:11" ht="12.75">
      <c r="B14493" s="4"/>
      <c r="D14493" s="67"/>
      <c r="G14493" s="68"/>
      <c r="K14493" s="68"/>
    </row>
    <row r="14494" spans="2:11" ht="12.75">
      <c r="B14494" s="4"/>
      <c r="D14494" s="67"/>
      <c r="G14494" s="68"/>
      <c r="K14494" s="68"/>
    </row>
    <row r="14495" spans="2:11" ht="12.75">
      <c r="B14495" s="4"/>
      <c r="D14495" s="67"/>
      <c r="G14495" s="68"/>
      <c r="K14495" s="68"/>
    </row>
    <row r="14496" spans="2:11" ht="12.75">
      <c r="B14496" s="4"/>
      <c r="D14496" s="67"/>
      <c r="G14496" s="68"/>
      <c r="K14496" s="68"/>
    </row>
    <row r="14497" spans="2:11" ht="12.75">
      <c r="B14497" s="4"/>
      <c r="D14497" s="67"/>
      <c r="G14497" s="68"/>
      <c r="K14497" s="68"/>
    </row>
    <row r="14498" spans="2:11" ht="12.75">
      <c r="B14498" s="4"/>
      <c r="D14498" s="67"/>
      <c r="G14498" s="68"/>
      <c r="K14498" s="68"/>
    </row>
    <row r="14499" spans="2:11" ht="12.75">
      <c r="B14499" s="4"/>
      <c r="D14499" s="67"/>
      <c r="G14499" s="68"/>
      <c r="K14499" s="68"/>
    </row>
    <row r="14500" spans="2:11" ht="12.75">
      <c r="B14500" s="4"/>
      <c r="D14500" s="67"/>
      <c r="G14500" s="68"/>
      <c r="K14500" s="68"/>
    </row>
    <row r="14501" spans="2:11" ht="12.75">
      <c r="B14501" s="4"/>
      <c r="D14501" s="67"/>
      <c r="G14501" s="68"/>
      <c r="K14501" s="68"/>
    </row>
    <row r="14502" spans="2:11" ht="12.75">
      <c r="B14502" s="4"/>
      <c r="D14502" s="67"/>
      <c r="G14502" s="68"/>
      <c r="K14502" s="68"/>
    </row>
    <row r="14503" spans="2:11" ht="12.75">
      <c r="B14503" s="4"/>
      <c r="D14503" s="67"/>
      <c r="G14503" s="68"/>
      <c r="K14503" s="68"/>
    </row>
    <row r="14504" spans="2:11" ht="12.75">
      <c r="B14504" s="4"/>
      <c r="D14504" s="67"/>
      <c r="G14504" s="68"/>
      <c r="K14504" s="68"/>
    </row>
    <row r="14505" spans="2:11" ht="12.75">
      <c r="B14505" s="4"/>
      <c r="D14505" s="67"/>
      <c r="G14505" s="68"/>
      <c r="K14505" s="68"/>
    </row>
    <row r="14506" spans="2:11" ht="12.75">
      <c r="B14506" s="4"/>
      <c r="D14506" s="67"/>
      <c r="G14506" s="68"/>
      <c r="K14506" s="68"/>
    </row>
    <row r="14507" spans="2:11" ht="12.75">
      <c r="B14507" s="4"/>
      <c r="D14507" s="67"/>
      <c r="G14507" s="68"/>
      <c r="K14507" s="68"/>
    </row>
    <row r="14508" spans="2:11" ht="12.75">
      <c r="B14508" s="4"/>
      <c r="D14508" s="67"/>
      <c r="G14508" s="68"/>
      <c r="K14508" s="68"/>
    </row>
    <row r="14509" spans="2:11" ht="12.75">
      <c r="B14509" s="4"/>
      <c r="D14509" s="67"/>
      <c r="G14509" s="68"/>
      <c r="K14509" s="68"/>
    </row>
    <row r="14510" spans="2:11" ht="12.75">
      <c r="B14510" s="4"/>
      <c r="D14510" s="67"/>
      <c r="G14510" s="68"/>
      <c r="K14510" s="68"/>
    </row>
    <row r="14511" spans="2:11" ht="12.75">
      <c r="B14511" s="4"/>
      <c r="D14511" s="67"/>
      <c r="G14511" s="68"/>
      <c r="K14511" s="68"/>
    </row>
    <row r="14512" spans="2:11" ht="12.75">
      <c r="B14512" s="4"/>
      <c r="D14512" s="67"/>
      <c r="G14512" s="68"/>
      <c r="K14512" s="68"/>
    </row>
    <row r="14513" spans="2:11" ht="12.75">
      <c r="B14513" s="4"/>
      <c r="D14513" s="67"/>
      <c r="G14513" s="68"/>
      <c r="K14513" s="68"/>
    </row>
    <row r="14514" spans="2:11" ht="12.75">
      <c r="B14514" s="4"/>
      <c r="D14514" s="67"/>
      <c r="G14514" s="68"/>
      <c r="K14514" s="68"/>
    </row>
    <row r="14515" spans="2:11" ht="12.75">
      <c r="B14515" s="4"/>
      <c r="D14515" s="67"/>
      <c r="G14515" s="68"/>
      <c r="K14515" s="68"/>
    </row>
    <row r="14516" spans="2:11" ht="12.75">
      <c r="B14516" s="4"/>
      <c r="D14516" s="67"/>
      <c r="G14516" s="68"/>
      <c r="K14516" s="68"/>
    </row>
    <row r="14517" spans="2:11" ht="12.75">
      <c r="B14517" s="4"/>
      <c r="D14517" s="67"/>
      <c r="G14517" s="68"/>
      <c r="K14517" s="68"/>
    </row>
    <row r="14518" spans="2:11" ht="12.75">
      <c r="B14518" s="4"/>
      <c r="D14518" s="67"/>
      <c r="G14518" s="68"/>
      <c r="K14518" s="68"/>
    </row>
    <row r="14519" spans="2:11" ht="12.75">
      <c r="B14519" s="4"/>
      <c r="D14519" s="67"/>
      <c r="G14519" s="68"/>
      <c r="K14519" s="68"/>
    </row>
    <row r="14520" spans="2:11" ht="12.75">
      <c r="B14520" s="4"/>
      <c r="D14520" s="67"/>
      <c r="G14520" s="68"/>
      <c r="K14520" s="68"/>
    </row>
    <row r="14521" spans="2:11" ht="12.75">
      <c r="B14521" s="4"/>
      <c r="D14521" s="67"/>
      <c r="G14521" s="68"/>
      <c r="K14521" s="68"/>
    </row>
    <row r="14522" spans="2:11" ht="12.75">
      <c r="B14522" s="4"/>
      <c r="D14522" s="67"/>
      <c r="G14522" s="68"/>
      <c r="K14522" s="68"/>
    </row>
    <row r="14523" spans="2:11" ht="12.75">
      <c r="B14523" s="4"/>
      <c r="D14523" s="67"/>
      <c r="G14523" s="68"/>
      <c r="K14523" s="68"/>
    </row>
    <row r="14524" spans="2:11" ht="12.75">
      <c r="B14524" s="4"/>
      <c r="D14524" s="67"/>
      <c r="G14524" s="68"/>
      <c r="K14524" s="68"/>
    </row>
    <row r="14525" spans="2:11" ht="12.75">
      <c r="B14525" s="4"/>
      <c r="D14525" s="67"/>
      <c r="G14525" s="68"/>
      <c r="K14525" s="68"/>
    </row>
    <row r="14526" spans="2:11" ht="12.75">
      <c r="B14526" s="4"/>
      <c r="D14526" s="67"/>
      <c r="G14526" s="68"/>
      <c r="K14526" s="68"/>
    </row>
    <row r="14527" spans="2:11" ht="12.75">
      <c r="B14527" s="4"/>
      <c r="D14527" s="67"/>
      <c r="G14527" s="68"/>
      <c r="K14527" s="68"/>
    </row>
    <row r="14528" spans="2:11" ht="12.75">
      <c r="B14528" s="4"/>
      <c r="D14528" s="67"/>
      <c r="G14528" s="68"/>
      <c r="K14528" s="68"/>
    </row>
    <row r="14529" spans="2:11" ht="12.75">
      <c r="B14529" s="4"/>
      <c r="D14529" s="67"/>
      <c r="G14529" s="68"/>
      <c r="K14529" s="68"/>
    </row>
    <row r="14530" spans="2:11" ht="12.75">
      <c r="B14530" s="4"/>
      <c r="D14530" s="67"/>
      <c r="G14530" s="68"/>
      <c r="K14530" s="68"/>
    </row>
    <row r="14531" spans="2:11" ht="12.75">
      <c r="B14531" s="4"/>
      <c r="D14531" s="67"/>
      <c r="G14531" s="68"/>
      <c r="K14531" s="68"/>
    </row>
    <row r="14532" spans="2:11" ht="12.75">
      <c r="B14532" s="4"/>
      <c r="D14532" s="67"/>
      <c r="G14532" s="68"/>
      <c r="K14532" s="68"/>
    </row>
    <row r="14533" spans="2:11" ht="12.75">
      <c r="B14533" s="4"/>
      <c r="D14533" s="67"/>
      <c r="G14533" s="68"/>
      <c r="K14533" s="68"/>
    </row>
    <row r="14534" spans="2:11" ht="12.75">
      <c r="B14534" s="4"/>
      <c r="D14534" s="67"/>
      <c r="G14534" s="68"/>
      <c r="K14534" s="68"/>
    </row>
    <row r="14535" spans="2:11" ht="12.75">
      <c r="B14535" s="4"/>
      <c r="D14535" s="67"/>
      <c r="G14535" s="68"/>
      <c r="K14535" s="68"/>
    </row>
    <row r="14536" spans="2:11" ht="12.75">
      <c r="B14536" s="4"/>
      <c r="D14536" s="67"/>
      <c r="G14536" s="68"/>
      <c r="K14536" s="68"/>
    </row>
    <row r="14537" spans="2:11" ht="12.75">
      <c r="B14537" s="4"/>
      <c r="D14537" s="67"/>
      <c r="G14537" s="68"/>
      <c r="K14537" s="68"/>
    </row>
    <row r="14538" spans="2:11" ht="12.75">
      <c r="B14538" s="4"/>
      <c r="D14538" s="67"/>
      <c r="G14538" s="68"/>
      <c r="K14538" s="68"/>
    </row>
    <row r="14539" spans="2:11" ht="12.75">
      <c r="B14539" s="4"/>
      <c r="D14539" s="67"/>
      <c r="G14539" s="68"/>
      <c r="K14539" s="68"/>
    </row>
    <row r="14540" spans="2:11" ht="12.75">
      <c r="B14540" s="4"/>
      <c r="D14540" s="67"/>
      <c r="G14540" s="68"/>
      <c r="K14540" s="68"/>
    </row>
    <row r="14541" spans="2:11" ht="12.75">
      <c r="B14541" s="4"/>
      <c r="D14541" s="67"/>
      <c r="G14541" s="68"/>
      <c r="K14541" s="68"/>
    </row>
    <row r="14542" spans="2:11" ht="12.75">
      <c r="B14542" s="4"/>
      <c r="D14542" s="67"/>
      <c r="G14542" s="68"/>
      <c r="K14542" s="68"/>
    </row>
    <row r="14543" spans="2:11" ht="12.75">
      <c r="B14543" s="4"/>
      <c r="D14543" s="67"/>
      <c r="G14543" s="68"/>
      <c r="K14543" s="68"/>
    </row>
    <row r="14544" spans="2:11" ht="12.75">
      <c r="B14544" s="4"/>
      <c r="D14544" s="67"/>
      <c r="G14544" s="68"/>
      <c r="K14544" s="68"/>
    </row>
    <row r="14545" spans="2:11" ht="12.75">
      <c r="B14545" s="4"/>
      <c r="D14545" s="67"/>
      <c r="G14545" s="68"/>
      <c r="K14545" s="68"/>
    </row>
    <row r="14546" spans="2:11" ht="12.75">
      <c r="B14546" s="4"/>
      <c r="D14546" s="67"/>
      <c r="G14546" s="68"/>
      <c r="K14546" s="68"/>
    </row>
    <row r="14547" spans="2:11" ht="12.75">
      <c r="B14547" s="4"/>
      <c r="D14547" s="67"/>
      <c r="G14547" s="68"/>
      <c r="K14547" s="68"/>
    </row>
    <row r="14548" spans="2:11" ht="12.75">
      <c r="B14548" s="4"/>
      <c r="D14548" s="67"/>
      <c r="G14548" s="68"/>
      <c r="K14548" s="68"/>
    </row>
    <row r="14549" spans="2:11" ht="12.75">
      <c r="B14549" s="4"/>
      <c r="D14549" s="67"/>
      <c r="G14549" s="68"/>
      <c r="K14549" s="68"/>
    </row>
    <row r="14550" spans="2:11" ht="12.75">
      <c r="B14550" s="4"/>
      <c r="D14550" s="67"/>
      <c r="G14550" s="68"/>
      <c r="K14550" s="68"/>
    </row>
    <row r="14551" spans="2:11" ht="12.75">
      <c r="B14551" s="4"/>
      <c r="D14551" s="67"/>
      <c r="G14551" s="68"/>
      <c r="K14551" s="68"/>
    </row>
    <row r="14552" spans="2:11" ht="12.75">
      <c r="B14552" s="4"/>
      <c r="D14552" s="67"/>
      <c r="G14552" s="68"/>
      <c r="K14552" s="68"/>
    </row>
    <row r="14553" spans="2:11" ht="12.75">
      <c r="B14553" s="4"/>
      <c r="D14553" s="67"/>
      <c r="G14553" s="68"/>
      <c r="K14553" s="68"/>
    </row>
    <row r="14554" spans="2:11" ht="12.75">
      <c r="B14554" s="4"/>
      <c r="D14554" s="67"/>
      <c r="G14554" s="68"/>
      <c r="K14554" s="68"/>
    </row>
    <row r="14555" spans="2:11" ht="12.75">
      <c r="B14555" s="4"/>
      <c r="D14555" s="67"/>
      <c r="G14555" s="68"/>
      <c r="K14555" s="68"/>
    </row>
    <row r="14556" spans="2:11" ht="12.75">
      <c r="B14556" s="4"/>
      <c r="D14556" s="67"/>
      <c r="G14556" s="68"/>
      <c r="K14556" s="68"/>
    </row>
    <row r="14557" spans="2:11" ht="12.75">
      <c r="B14557" s="4"/>
      <c r="D14557" s="67"/>
      <c r="G14557" s="68"/>
      <c r="K14557" s="68"/>
    </row>
    <row r="14558" spans="2:11" ht="12.75">
      <c r="B14558" s="4"/>
      <c r="D14558" s="67"/>
      <c r="G14558" s="68"/>
      <c r="K14558" s="68"/>
    </row>
    <row r="14559" spans="2:11" ht="12.75">
      <c r="B14559" s="4"/>
      <c r="D14559" s="67"/>
      <c r="G14559" s="68"/>
      <c r="K14559" s="68"/>
    </row>
    <row r="14560" spans="2:11" ht="12.75">
      <c r="B14560" s="4"/>
      <c r="D14560" s="67"/>
      <c r="G14560" s="68"/>
      <c r="K14560" s="68"/>
    </row>
    <row r="14561" spans="2:11" ht="12.75">
      <c r="B14561" s="4"/>
      <c r="D14561" s="67"/>
      <c r="G14561" s="68"/>
      <c r="K14561" s="68"/>
    </row>
    <row r="14562" spans="2:11" ht="12.75">
      <c r="B14562" s="4"/>
      <c r="D14562" s="67"/>
      <c r="G14562" s="68"/>
      <c r="K14562" s="68"/>
    </row>
    <row r="14563" spans="2:11" ht="12.75">
      <c r="B14563" s="4"/>
      <c r="D14563" s="67"/>
      <c r="G14563" s="68"/>
      <c r="K14563" s="68"/>
    </row>
    <row r="14564" spans="2:11" ht="12.75">
      <c r="B14564" s="4"/>
      <c r="D14564" s="67"/>
      <c r="G14564" s="68"/>
      <c r="K14564" s="68"/>
    </row>
    <row r="14565" spans="2:11" ht="12.75">
      <c r="B14565" s="4"/>
      <c r="D14565" s="67"/>
      <c r="G14565" s="68"/>
      <c r="K14565" s="68"/>
    </row>
    <row r="14566" spans="2:11" ht="12.75">
      <c r="B14566" s="4"/>
      <c r="D14566" s="67"/>
      <c r="G14566" s="68"/>
      <c r="K14566" s="68"/>
    </row>
    <row r="14567" spans="2:11" ht="12.75">
      <c r="B14567" s="4"/>
      <c r="D14567" s="67"/>
      <c r="G14567" s="68"/>
      <c r="K14567" s="68"/>
    </row>
    <row r="14568" spans="2:11" ht="12.75">
      <c r="B14568" s="4"/>
      <c r="D14568" s="67"/>
      <c r="G14568" s="68"/>
      <c r="K14568" s="68"/>
    </row>
    <row r="14569" spans="2:11" ht="12.75">
      <c r="B14569" s="4"/>
      <c r="D14569" s="67"/>
      <c r="G14569" s="68"/>
      <c r="K14569" s="68"/>
    </row>
    <row r="14570" spans="2:11" ht="12.75">
      <c r="B14570" s="4"/>
      <c r="D14570" s="67"/>
      <c r="G14570" s="68"/>
      <c r="K14570" s="68"/>
    </row>
    <row r="14571" spans="2:11" ht="12.75">
      <c r="B14571" s="4"/>
      <c r="D14571" s="67"/>
      <c r="G14571" s="68"/>
      <c r="K14571" s="68"/>
    </row>
    <row r="14572" spans="2:11" ht="12.75">
      <c r="B14572" s="4"/>
      <c r="D14572" s="67"/>
      <c r="G14572" s="68"/>
      <c r="K14572" s="68"/>
    </row>
    <row r="14573" spans="2:11" ht="12.75">
      <c r="B14573" s="4"/>
      <c r="D14573" s="67"/>
      <c r="G14573" s="68"/>
      <c r="K14573" s="68"/>
    </row>
    <row r="14574" spans="2:11" ht="12.75">
      <c r="B14574" s="4"/>
      <c r="D14574" s="67"/>
      <c r="G14574" s="68"/>
      <c r="K14574" s="68"/>
    </row>
    <row r="14575" spans="2:11" ht="12.75">
      <c r="B14575" s="4"/>
      <c r="D14575" s="67"/>
      <c r="G14575" s="68"/>
      <c r="K14575" s="68"/>
    </row>
    <row r="14576" spans="2:11" ht="12.75">
      <c r="B14576" s="4"/>
      <c r="D14576" s="67"/>
      <c r="G14576" s="68"/>
      <c r="K14576" s="68"/>
    </row>
    <row r="14577" spans="2:11" ht="12.75">
      <c r="B14577" s="4"/>
      <c r="D14577" s="67"/>
      <c r="G14577" s="68"/>
      <c r="K14577" s="68"/>
    </row>
    <row r="14578" spans="2:11" ht="12.75">
      <c r="B14578" s="4"/>
      <c r="D14578" s="67"/>
      <c r="G14578" s="68"/>
      <c r="K14578" s="68"/>
    </row>
    <row r="14579" spans="2:11" ht="12.75">
      <c r="B14579" s="4"/>
      <c r="D14579" s="67"/>
      <c r="G14579" s="68"/>
      <c r="K14579" s="68"/>
    </row>
    <row r="14580" spans="2:11" ht="12.75">
      <c r="B14580" s="4"/>
      <c r="D14580" s="67"/>
      <c r="G14580" s="68"/>
      <c r="K14580" s="68"/>
    </row>
    <row r="14581" spans="2:11" ht="12.75">
      <c r="B14581" s="4"/>
      <c r="D14581" s="67"/>
      <c r="G14581" s="68"/>
      <c r="K14581" s="68"/>
    </row>
    <row r="14582" spans="2:11" ht="12.75">
      <c r="B14582" s="4"/>
      <c r="D14582" s="67"/>
      <c r="G14582" s="68"/>
      <c r="K14582" s="68"/>
    </row>
    <row r="14583" spans="2:11" ht="12.75">
      <c r="B14583" s="4"/>
      <c r="D14583" s="67"/>
      <c r="G14583" s="68"/>
      <c r="K14583" s="68"/>
    </row>
    <row r="14584" spans="2:11" ht="12.75">
      <c r="B14584" s="4"/>
      <c r="D14584" s="67"/>
      <c r="G14584" s="68"/>
      <c r="K14584" s="68"/>
    </row>
    <row r="14585" spans="2:11" ht="12.75">
      <c r="B14585" s="4"/>
      <c r="D14585" s="67"/>
      <c r="G14585" s="68"/>
      <c r="K14585" s="68"/>
    </row>
    <row r="14586" spans="2:11" ht="12.75">
      <c r="B14586" s="4"/>
      <c r="D14586" s="67"/>
      <c r="G14586" s="68"/>
      <c r="K14586" s="68"/>
    </row>
    <row r="14587" spans="2:11" ht="12.75">
      <c r="B14587" s="4"/>
      <c r="D14587" s="67"/>
      <c r="G14587" s="68"/>
      <c r="K14587" s="68"/>
    </row>
    <row r="14588" spans="2:11" ht="12.75">
      <c r="B14588" s="4"/>
      <c r="D14588" s="67"/>
      <c r="G14588" s="68"/>
      <c r="K14588" s="68"/>
    </row>
    <row r="14589" spans="2:11" ht="12.75">
      <c r="B14589" s="4"/>
      <c r="D14589" s="67"/>
      <c r="G14589" s="68"/>
      <c r="K14589" s="68"/>
    </row>
    <row r="14590" spans="2:11" ht="12.75">
      <c r="B14590" s="4"/>
      <c r="D14590" s="67"/>
      <c r="G14590" s="68"/>
      <c r="K14590" s="68"/>
    </row>
    <row r="14591" spans="2:11" ht="12.75">
      <c r="B14591" s="4"/>
      <c r="D14591" s="67"/>
      <c r="G14591" s="68"/>
      <c r="K14591" s="68"/>
    </row>
    <row r="14592" spans="2:11" ht="12.75">
      <c r="B14592" s="4"/>
      <c r="D14592" s="67"/>
      <c r="G14592" s="68"/>
      <c r="K14592" s="68"/>
    </row>
    <row r="14593" spans="2:11" ht="12.75">
      <c r="B14593" s="4"/>
      <c r="D14593" s="67"/>
      <c r="G14593" s="68"/>
      <c r="K14593" s="68"/>
    </row>
    <row r="14594" spans="2:11" ht="12.75">
      <c r="B14594" s="4"/>
      <c r="D14594" s="67"/>
      <c r="G14594" s="68"/>
      <c r="K14594" s="68"/>
    </row>
    <row r="14595" spans="2:11" ht="12.75">
      <c r="B14595" s="4"/>
      <c r="D14595" s="67"/>
      <c r="G14595" s="68"/>
      <c r="K14595" s="68"/>
    </row>
    <row r="14596" spans="2:11" ht="12.75">
      <c r="B14596" s="4"/>
      <c r="D14596" s="67"/>
      <c r="G14596" s="68"/>
      <c r="K14596" s="68"/>
    </row>
    <row r="14597" spans="2:11" ht="12.75">
      <c r="B14597" s="4"/>
      <c r="D14597" s="67"/>
      <c r="G14597" s="68"/>
      <c r="K14597" s="68"/>
    </row>
    <row r="14598" spans="2:11" ht="12.75">
      <c r="B14598" s="4"/>
      <c r="D14598" s="67"/>
      <c r="G14598" s="68"/>
      <c r="K14598" s="68"/>
    </row>
    <row r="14599" spans="2:11" ht="12.75">
      <c r="B14599" s="4"/>
      <c r="D14599" s="67"/>
      <c r="G14599" s="68"/>
      <c r="K14599" s="68"/>
    </row>
    <row r="14600" spans="2:11" ht="12.75">
      <c r="B14600" s="4"/>
      <c r="D14600" s="67"/>
      <c r="G14600" s="68"/>
      <c r="K14600" s="68"/>
    </row>
    <row r="14601" spans="2:11" ht="12.75">
      <c r="B14601" s="4"/>
      <c r="D14601" s="67"/>
      <c r="G14601" s="68"/>
      <c r="K14601" s="68"/>
    </row>
    <row r="14602" spans="2:11" ht="12.75">
      <c r="B14602" s="4"/>
      <c r="D14602" s="67"/>
      <c r="G14602" s="68"/>
      <c r="K14602" s="68"/>
    </row>
    <row r="14603" spans="2:11" ht="12.75">
      <c r="B14603" s="4"/>
      <c r="D14603" s="67"/>
      <c r="G14603" s="68"/>
      <c r="K14603" s="68"/>
    </row>
    <row r="14604" spans="2:11" ht="12.75">
      <c r="B14604" s="4"/>
      <c r="D14604" s="67"/>
      <c r="G14604" s="68"/>
      <c r="K14604" s="68"/>
    </row>
    <row r="14605" spans="2:11" ht="12.75">
      <c r="B14605" s="4"/>
      <c r="D14605" s="67"/>
      <c r="G14605" s="68"/>
      <c r="K14605" s="68"/>
    </row>
    <row r="14606" spans="2:11" ht="12.75">
      <c r="B14606" s="4"/>
      <c r="D14606" s="67"/>
      <c r="G14606" s="68"/>
      <c r="K14606" s="68"/>
    </row>
    <row r="14607" spans="2:11" ht="12.75">
      <c r="B14607" s="4"/>
      <c r="D14607" s="67"/>
      <c r="G14607" s="68"/>
      <c r="K14607" s="68"/>
    </row>
    <row r="14608" spans="2:11" ht="12.75">
      <c r="B14608" s="4"/>
      <c r="D14608" s="67"/>
      <c r="G14608" s="68"/>
      <c r="K14608" s="68"/>
    </row>
    <row r="14609" spans="2:11" ht="12.75">
      <c r="B14609" s="4"/>
      <c r="D14609" s="67"/>
      <c r="G14609" s="68"/>
      <c r="K14609" s="68"/>
    </row>
    <row r="14610" spans="2:11" ht="12.75">
      <c r="B14610" s="4"/>
      <c r="D14610" s="67"/>
      <c r="G14610" s="68"/>
      <c r="K14610" s="68"/>
    </row>
    <row r="14611" spans="2:11" ht="12.75">
      <c r="B14611" s="4"/>
      <c r="D14611" s="67"/>
      <c r="G14611" s="68"/>
      <c r="K14611" s="68"/>
    </row>
    <row r="14612" spans="2:11" ht="12.75">
      <c r="B14612" s="4"/>
      <c r="D14612" s="67"/>
      <c r="G14612" s="68"/>
      <c r="K14612" s="68"/>
    </row>
    <row r="14613" spans="2:11" ht="12.75">
      <c r="B14613" s="4"/>
      <c r="D14613" s="67"/>
      <c r="G14613" s="68"/>
      <c r="K14613" s="68"/>
    </row>
    <row r="14614" spans="2:11" ht="12.75">
      <c r="B14614" s="4"/>
      <c r="D14614" s="67"/>
      <c r="G14614" s="68"/>
      <c r="K14614" s="68"/>
    </row>
    <row r="14615" spans="2:11" ht="12.75">
      <c r="B14615" s="4"/>
      <c r="D14615" s="67"/>
      <c r="G14615" s="68"/>
      <c r="K14615" s="68"/>
    </row>
    <row r="14616" spans="2:11" ht="12.75">
      <c r="B14616" s="4"/>
      <c r="D14616" s="67"/>
      <c r="G14616" s="68"/>
      <c r="K14616" s="68"/>
    </row>
    <row r="14617" spans="2:11" ht="12.75">
      <c r="B14617" s="4"/>
      <c r="D14617" s="67"/>
      <c r="G14617" s="68"/>
      <c r="K14617" s="68"/>
    </row>
    <row r="14618" spans="2:11" ht="12.75">
      <c r="B14618" s="4"/>
      <c r="D14618" s="67"/>
      <c r="G14618" s="68"/>
      <c r="K14618" s="68"/>
    </row>
    <row r="14619" spans="2:11" ht="12.75">
      <c r="B14619" s="4"/>
      <c r="D14619" s="67"/>
      <c r="G14619" s="68"/>
      <c r="K14619" s="68"/>
    </row>
    <row r="14620" spans="2:11" ht="12.75">
      <c r="B14620" s="4"/>
      <c r="D14620" s="67"/>
      <c r="G14620" s="68"/>
      <c r="K14620" s="68"/>
    </row>
    <row r="14621" spans="2:11" ht="12.75">
      <c r="B14621" s="4"/>
      <c r="D14621" s="67"/>
      <c r="G14621" s="68"/>
      <c r="K14621" s="68"/>
    </row>
    <row r="14622" spans="2:11" ht="12.75">
      <c r="B14622" s="4"/>
      <c r="D14622" s="67"/>
      <c r="G14622" s="68"/>
      <c r="K14622" s="68"/>
    </row>
    <row r="14623" spans="2:11" ht="12.75">
      <c r="B14623" s="4"/>
      <c r="D14623" s="67"/>
      <c r="G14623" s="68"/>
      <c r="K14623" s="68"/>
    </row>
    <row r="14624" spans="2:11" ht="12.75">
      <c r="B14624" s="4"/>
      <c r="D14624" s="67"/>
      <c r="G14624" s="68"/>
      <c r="K14624" s="68"/>
    </row>
    <row r="14625" spans="2:11" ht="12.75">
      <c r="B14625" s="4"/>
      <c r="D14625" s="67"/>
      <c r="G14625" s="68"/>
      <c r="K14625" s="68"/>
    </row>
    <row r="14626" spans="2:11" ht="12.75">
      <c r="B14626" s="4"/>
      <c r="D14626" s="67"/>
      <c r="G14626" s="68"/>
      <c r="K14626" s="68"/>
    </row>
    <row r="14627" spans="2:11" ht="12.75">
      <c r="B14627" s="4"/>
      <c r="D14627" s="67"/>
      <c r="G14627" s="68"/>
      <c r="K14627" s="68"/>
    </row>
    <row r="14628" spans="2:11" ht="12.75">
      <c r="B14628" s="4"/>
      <c r="D14628" s="67"/>
      <c r="G14628" s="68"/>
      <c r="K14628" s="68"/>
    </row>
    <row r="14629" spans="2:11" ht="12.75">
      <c r="B14629" s="4"/>
      <c r="D14629" s="67"/>
      <c r="G14629" s="68"/>
      <c r="K14629" s="68"/>
    </row>
    <row r="14630" spans="2:11" ht="12.75">
      <c r="B14630" s="4"/>
      <c r="D14630" s="67"/>
      <c r="G14630" s="68"/>
      <c r="K14630" s="68"/>
    </row>
    <row r="14631" spans="2:11" ht="12.75">
      <c r="B14631" s="4"/>
      <c r="D14631" s="67"/>
      <c r="G14631" s="68"/>
      <c r="K14631" s="68"/>
    </row>
    <row r="14632" spans="2:11" ht="12.75">
      <c r="B14632" s="4"/>
      <c r="D14632" s="67"/>
      <c r="G14632" s="68"/>
      <c r="K14632" s="68"/>
    </row>
    <row r="14633" spans="2:11" ht="12.75">
      <c r="B14633" s="4"/>
      <c r="D14633" s="67"/>
      <c r="G14633" s="68"/>
      <c r="K14633" s="68"/>
    </row>
    <row r="14634" spans="2:11" ht="12.75">
      <c r="B14634" s="4"/>
      <c r="D14634" s="67"/>
      <c r="G14634" s="68"/>
      <c r="K14634" s="68"/>
    </row>
    <row r="14635" spans="2:11" ht="12.75">
      <c r="B14635" s="4"/>
      <c r="D14635" s="67"/>
      <c r="G14635" s="68"/>
      <c r="K14635" s="68"/>
    </row>
    <row r="14636" spans="2:11" ht="12.75">
      <c r="B14636" s="4"/>
      <c r="D14636" s="67"/>
      <c r="G14636" s="68"/>
      <c r="K14636" s="68"/>
    </row>
    <row r="14637" spans="2:11" ht="12.75">
      <c r="B14637" s="4"/>
      <c r="D14637" s="67"/>
      <c r="G14637" s="68"/>
      <c r="K14637" s="68"/>
    </row>
    <row r="14638" spans="2:11" ht="12.75">
      <c r="B14638" s="4"/>
      <c r="D14638" s="67"/>
      <c r="G14638" s="68"/>
      <c r="K14638" s="68"/>
    </row>
    <row r="14639" spans="2:11" ht="12.75">
      <c r="B14639" s="4"/>
      <c r="D14639" s="67"/>
      <c r="G14639" s="68"/>
      <c r="K14639" s="68"/>
    </row>
    <row r="14640" spans="2:11" ht="12.75">
      <c r="B14640" s="4"/>
      <c r="D14640" s="67"/>
      <c r="G14640" s="68"/>
      <c r="K14640" s="68"/>
    </row>
    <row r="14641" spans="2:11" ht="12.75">
      <c r="B14641" s="4"/>
      <c r="D14641" s="67"/>
      <c r="G14641" s="68"/>
      <c r="K14641" s="68"/>
    </row>
    <row r="14642" spans="2:11" ht="12.75">
      <c r="B14642" s="4"/>
      <c r="D14642" s="67"/>
      <c r="G14642" s="68"/>
      <c r="K14642" s="68"/>
    </row>
    <row r="14643" spans="2:11" ht="12.75">
      <c r="B14643" s="4"/>
      <c r="D14643" s="67"/>
      <c r="G14643" s="68"/>
      <c r="K14643" s="68"/>
    </row>
    <row r="14644" spans="2:11" ht="12.75">
      <c r="B14644" s="4"/>
      <c r="D14644" s="67"/>
      <c r="G14644" s="68"/>
      <c r="K14644" s="68"/>
    </row>
    <row r="14645" spans="2:11" ht="12.75">
      <c r="B14645" s="4"/>
      <c r="D14645" s="67"/>
      <c r="G14645" s="68"/>
      <c r="K14645" s="68"/>
    </row>
    <row r="14646" spans="2:11" ht="12.75">
      <c r="B14646" s="4"/>
      <c r="D14646" s="67"/>
      <c r="G14646" s="68"/>
      <c r="K14646" s="68"/>
    </row>
    <row r="14647" spans="2:11" ht="12.75">
      <c r="B14647" s="4"/>
      <c r="D14647" s="67"/>
      <c r="G14647" s="68"/>
      <c r="K14647" s="68"/>
    </row>
    <row r="14648" spans="2:11" ht="12.75">
      <c r="B14648" s="4"/>
      <c r="D14648" s="67"/>
      <c r="G14648" s="68"/>
      <c r="K14648" s="68"/>
    </row>
    <row r="14649" spans="2:11" ht="12.75">
      <c r="B14649" s="4"/>
      <c r="D14649" s="67"/>
      <c r="G14649" s="68"/>
      <c r="K14649" s="68"/>
    </row>
    <row r="14650" spans="2:11" ht="12.75">
      <c r="B14650" s="4"/>
      <c r="D14650" s="67"/>
      <c r="G14650" s="68"/>
      <c r="K14650" s="68"/>
    </row>
    <row r="14651" spans="2:11" ht="12.75">
      <c r="B14651" s="4"/>
      <c r="D14651" s="67"/>
      <c r="G14651" s="68"/>
      <c r="K14651" s="68"/>
    </row>
    <row r="14652" spans="2:11" ht="12.75">
      <c r="B14652" s="4"/>
      <c r="D14652" s="67"/>
      <c r="G14652" s="68"/>
      <c r="K14652" s="68"/>
    </row>
    <row r="14653" spans="2:11" ht="12.75">
      <c r="B14653" s="4"/>
      <c r="D14653" s="67"/>
      <c r="G14653" s="68"/>
      <c r="K14653" s="68"/>
    </row>
    <row r="14654" spans="2:11" ht="12.75">
      <c r="B14654" s="4"/>
      <c r="D14654" s="67"/>
      <c r="G14654" s="68"/>
      <c r="K14654" s="68"/>
    </row>
    <row r="14655" spans="2:11" ht="12.75">
      <c r="B14655" s="4"/>
      <c r="D14655" s="67"/>
      <c r="G14655" s="68"/>
      <c r="K14655" s="68"/>
    </row>
    <row r="14656" spans="2:11" ht="12.75">
      <c r="B14656" s="4"/>
      <c r="D14656" s="67"/>
      <c r="G14656" s="68"/>
      <c r="K14656" s="68"/>
    </row>
    <row r="14657" spans="2:11" ht="12.75">
      <c r="B14657" s="4"/>
      <c r="D14657" s="67"/>
      <c r="G14657" s="68"/>
      <c r="K14657" s="68"/>
    </row>
    <row r="14658" spans="2:11" ht="12.75">
      <c r="B14658" s="4"/>
      <c r="D14658" s="67"/>
      <c r="G14658" s="68"/>
      <c r="K14658" s="68"/>
    </row>
    <row r="14659" spans="2:11" ht="12.75">
      <c r="B14659" s="4"/>
      <c r="D14659" s="67"/>
      <c r="G14659" s="68"/>
      <c r="K14659" s="68"/>
    </row>
    <row r="14660" spans="2:11" ht="12.75">
      <c r="B14660" s="4"/>
      <c r="D14660" s="67"/>
      <c r="G14660" s="68"/>
      <c r="K14660" s="68"/>
    </row>
    <row r="14661" spans="2:11" ht="12.75">
      <c r="B14661" s="4"/>
      <c r="D14661" s="67"/>
      <c r="G14661" s="68"/>
      <c r="K14661" s="68"/>
    </row>
    <row r="14662" spans="2:11" ht="12.75">
      <c r="B14662" s="4"/>
      <c r="D14662" s="67"/>
      <c r="G14662" s="68"/>
      <c r="K14662" s="68"/>
    </row>
    <row r="14663" spans="2:11" ht="12.75">
      <c r="B14663" s="4"/>
      <c r="D14663" s="67"/>
      <c r="G14663" s="68"/>
      <c r="K14663" s="68"/>
    </row>
    <row r="14664" spans="2:11" ht="12.75">
      <c r="B14664" s="4"/>
      <c r="D14664" s="67"/>
      <c r="G14664" s="68"/>
      <c r="K14664" s="68"/>
    </row>
    <row r="14665" spans="2:11" ht="12.75">
      <c r="B14665" s="4"/>
      <c r="D14665" s="67"/>
      <c r="G14665" s="68"/>
      <c r="K14665" s="68"/>
    </row>
    <row r="14666" spans="2:11" ht="12.75">
      <c r="B14666" s="4"/>
      <c r="D14666" s="67"/>
      <c r="G14666" s="68"/>
      <c r="K14666" s="68"/>
    </row>
    <row r="14667" spans="2:11" ht="12.75">
      <c r="B14667" s="4"/>
      <c r="D14667" s="67"/>
      <c r="G14667" s="68"/>
      <c r="K14667" s="68"/>
    </row>
    <row r="14668" spans="2:11" ht="12.75">
      <c r="B14668" s="4"/>
      <c r="D14668" s="67"/>
      <c r="G14668" s="68"/>
      <c r="K14668" s="68"/>
    </row>
    <row r="14669" spans="2:11" ht="12.75">
      <c r="B14669" s="4"/>
      <c r="D14669" s="67"/>
      <c r="G14669" s="68"/>
      <c r="K14669" s="68"/>
    </row>
    <row r="14670" spans="2:11" ht="12.75">
      <c r="B14670" s="4"/>
      <c r="D14670" s="67"/>
      <c r="G14670" s="68"/>
      <c r="K14670" s="68"/>
    </row>
    <row r="14671" spans="2:11" ht="12.75">
      <c r="B14671" s="4"/>
      <c r="D14671" s="67"/>
      <c r="G14671" s="68"/>
      <c r="K14671" s="68"/>
    </row>
    <row r="14672" spans="2:11" ht="12.75">
      <c r="B14672" s="4"/>
      <c r="D14672" s="67"/>
      <c r="G14672" s="68"/>
      <c r="K14672" s="68"/>
    </row>
    <row r="14673" spans="2:11" ht="12.75">
      <c r="B14673" s="4"/>
      <c r="D14673" s="67"/>
      <c r="G14673" s="68"/>
      <c r="K14673" s="68"/>
    </row>
    <row r="14674" spans="2:11" ht="12.75">
      <c r="B14674" s="4"/>
      <c r="D14674" s="67"/>
      <c r="G14674" s="68"/>
      <c r="K14674" s="68"/>
    </row>
    <row r="14675" spans="2:11" ht="12.75">
      <c r="B14675" s="4"/>
      <c r="D14675" s="67"/>
      <c r="G14675" s="68"/>
      <c r="K14675" s="68"/>
    </row>
    <row r="14676" spans="2:11" ht="12.75">
      <c r="B14676" s="4"/>
      <c r="D14676" s="67"/>
      <c r="G14676" s="68"/>
      <c r="K14676" s="68"/>
    </row>
    <row r="14677" spans="2:11" ht="12.75">
      <c r="B14677" s="4"/>
      <c r="D14677" s="67"/>
      <c r="G14677" s="68"/>
      <c r="K14677" s="68"/>
    </row>
    <row r="14678" spans="2:11" ht="12.75">
      <c r="B14678" s="4"/>
      <c r="D14678" s="67"/>
      <c r="G14678" s="68"/>
      <c r="K14678" s="68"/>
    </row>
    <row r="14679" spans="2:11" ht="12.75">
      <c r="B14679" s="4"/>
      <c r="D14679" s="67"/>
      <c r="G14679" s="68"/>
      <c r="K14679" s="68"/>
    </row>
    <row r="14680" spans="2:11" ht="12.75">
      <c r="B14680" s="4"/>
      <c r="D14680" s="67"/>
      <c r="G14680" s="68"/>
      <c r="K14680" s="68"/>
    </row>
    <row r="14681" spans="2:11" ht="12.75">
      <c r="B14681" s="4"/>
      <c r="D14681" s="67"/>
      <c r="G14681" s="68"/>
      <c r="K14681" s="68"/>
    </row>
    <row r="14682" spans="2:11" ht="12.75">
      <c r="B14682" s="4"/>
      <c r="D14682" s="67"/>
      <c r="G14682" s="68"/>
      <c r="K14682" s="68"/>
    </row>
    <row r="14683" spans="2:11" ht="12.75">
      <c r="B14683" s="4"/>
      <c r="D14683" s="67"/>
      <c r="G14683" s="68"/>
      <c r="K14683" s="68"/>
    </row>
    <row r="14684" spans="2:11" ht="12.75">
      <c r="B14684" s="4"/>
      <c r="D14684" s="67"/>
      <c r="G14684" s="68"/>
      <c r="K14684" s="68"/>
    </row>
    <row r="14685" spans="2:11" ht="12.75">
      <c r="B14685" s="4"/>
      <c r="D14685" s="67"/>
      <c r="G14685" s="68"/>
      <c r="K14685" s="68"/>
    </row>
    <row r="14686" spans="2:11" ht="12.75">
      <c r="B14686" s="4"/>
      <c r="D14686" s="67"/>
      <c r="G14686" s="68"/>
      <c r="K14686" s="68"/>
    </row>
    <row r="14687" spans="2:11" ht="12.75">
      <c r="B14687" s="4"/>
      <c r="D14687" s="67"/>
      <c r="G14687" s="68"/>
      <c r="K14687" s="68"/>
    </row>
    <row r="14688" spans="2:11" ht="12.75">
      <c r="B14688" s="4"/>
      <c r="D14688" s="67"/>
      <c r="G14688" s="68"/>
      <c r="K14688" s="68"/>
    </row>
    <row r="14689" spans="2:11" ht="12.75">
      <c r="B14689" s="4"/>
      <c r="D14689" s="67"/>
      <c r="G14689" s="68"/>
      <c r="K14689" s="68"/>
    </row>
    <row r="14690" spans="2:11" ht="12.75">
      <c r="B14690" s="4"/>
      <c r="D14690" s="67"/>
      <c r="G14690" s="68"/>
      <c r="K14690" s="68"/>
    </row>
    <row r="14691" spans="2:11" ht="12.75">
      <c r="B14691" s="4"/>
      <c r="D14691" s="67"/>
      <c r="G14691" s="68"/>
      <c r="K14691" s="68"/>
    </row>
    <row r="14692" spans="2:11" ht="12.75">
      <c r="B14692" s="4"/>
      <c r="D14692" s="67"/>
      <c r="G14692" s="68"/>
      <c r="K14692" s="68"/>
    </row>
    <row r="14693" spans="2:11" ht="12.75">
      <c r="B14693" s="4"/>
      <c r="D14693" s="67"/>
      <c r="G14693" s="68"/>
      <c r="K14693" s="68"/>
    </row>
    <row r="14694" spans="2:11" ht="12.75">
      <c r="B14694" s="4"/>
      <c r="D14694" s="67"/>
      <c r="G14694" s="68"/>
      <c r="K14694" s="68"/>
    </row>
    <row r="14695" spans="2:11" ht="12.75">
      <c r="B14695" s="4"/>
      <c r="D14695" s="67"/>
      <c r="G14695" s="68"/>
      <c r="K14695" s="68"/>
    </row>
    <row r="14696" spans="2:11" ht="12.75">
      <c r="B14696" s="4"/>
      <c r="D14696" s="67"/>
      <c r="G14696" s="68"/>
      <c r="K14696" s="68"/>
    </row>
    <row r="14697" spans="2:11" ht="12.75">
      <c r="B14697" s="4"/>
      <c r="D14697" s="67"/>
      <c r="G14697" s="68"/>
      <c r="K14697" s="68"/>
    </row>
    <row r="14698" spans="2:11" ht="12.75">
      <c r="B14698" s="4"/>
      <c r="D14698" s="67"/>
      <c r="G14698" s="68"/>
      <c r="K14698" s="68"/>
    </row>
    <row r="14699" spans="2:11" ht="12.75">
      <c r="B14699" s="4"/>
      <c r="D14699" s="67"/>
      <c r="G14699" s="68"/>
      <c r="K14699" s="68"/>
    </row>
    <row r="14700" spans="2:11" ht="12.75">
      <c r="B14700" s="4"/>
      <c r="D14700" s="67"/>
      <c r="G14700" s="68"/>
      <c r="K14700" s="68"/>
    </row>
    <row r="14701" spans="2:11" ht="12.75">
      <c r="B14701" s="4"/>
      <c r="D14701" s="67"/>
      <c r="G14701" s="68"/>
      <c r="K14701" s="68"/>
    </row>
    <row r="14702" spans="2:11" ht="12.75">
      <c r="B14702" s="4"/>
      <c r="D14702" s="67"/>
      <c r="G14702" s="68"/>
      <c r="K14702" s="68"/>
    </row>
    <row r="14703" spans="2:11" ht="12.75">
      <c r="B14703" s="4"/>
      <c r="D14703" s="67"/>
      <c r="G14703" s="68"/>
      <c r="K14703" s="68"/>
    </row>
    <row r="14704" spans="2:11" ht="12.75">
      <c r="B14704" s="4"/>
      <c r="D14704" s="67"/>
      <c r="G14704" s="68"/>
      <c r="K14704" s="68"/>
    </row>
    <row r="14705" spans="2:11" ht="12.75">
      <c r="B14705" s="4"/>
      <c r="D14705" s="67"/>
      <c r="G14705" s="68"/>
      <c r="K14705" s="68"/>
    </row>
    <row r="14706" spans="2:11" ht="12.75">
      <c r="B14706" s="4"/>
      <c r="D14706" s="67"/>
      <c r="G14706" s="68"/>
      <c r="K14706" s="68"/>
    </row>
    <row r="14707" spans="2:11" ht="12.75">
      <c r="B14707" s="4"/>
      <c r="D14707" s="67"/>
      <c r="G14707" s="68"/>
      <c r="K14707" s="68"/>
    </row>
    <row r="14708" spans="2:11" ht="12.75">
      <c r="B14708" s="4"/>
      <c r="D14708" s="67"/>
      <c r="G14708" s="68"/>
      <c r="K14708" s="68"/>
    </row>
    <row r="14709" spans="2:11" ht="12.75">
      <c r="B14709" s="4"/>
      <c r="D14709" s="67"/>
      <c r="G14709" s="68"/>
      <c r="K14709" s="68"/>
    </row>
    <row r="14710" spans="2:11" ht="12.75">
      <c r="B14710" s="4"/>
      <c r="D14710" s="67"/>
      <c r="G14710" s="68"/>
      <c r="K14710" s="68"/>
    </row>
    <row r="14711" spans="2:11" ht="12.75">
      <c r="B14711" s="4"/>
      <c r="D14711" s="67"/>
      <c r="G14711" s="68"/>
      <c r="K14711" s="68"/>
    </row>
    <row r="14712" spans="2:11" ht="12.75">
      <c r="B14712" s="4"/>
      <c r="D14712" s="67"/>
      <c r="G14712" s="68"/>
      <c r="K14712" s="68"/>
    </row>
    <row r="14713" spans="2:11" ht="12.75">
      <c r="B14713" s="4"/>
      <c r="D14713" s="67"/>
      <c r="G14713" s="68"/>
      <c r="K14713" s="68"/>
    </row>
    <row r="14714" spans="2:11" ht="12.75">
      <c r="B14714" s="4"/>
      <c r="D14714" s="67"/>
      <c r="G14714" s="68"/>
      <c r="K14714" s="68"/>
    </row>
    <row r="14715" spans="2:11" ht="12.75">
      <c r="B14715" s="4"/>
      <c r="D14715" s="67"/>
      <c r="G14715" s="68"/>
      <c r="K14715" s="68"/>
    </row>
    <row r="14716" spans="2:11" ht="12.75">
      <c r="B14716" s="4"/>
      <c r="D14716" s="67"/>
      <c r="G14716" s="68"/>
      <c r="K14716" s="68"/>
    </row>
    <row r="14717" spans="2:11" ht="12.75">
      <c r="B14717" s="4"/>
      <c r="D14717" s="67"/>
      <c r="G14717" s="68"/>
      <c r="K14717" s="68"/>
    </row>
    <row r="14718" spans="2:11" ht="12.75">
      <c r="B14718" s="4"/>
      <c r="D14718" s="67"/>
      <c r="G14718" s="68"/>
      <c r="K14718" s="68"/>
    </row>
    <row r="14719" spans="2:11" ht="12.75">
      <c r="B14719" s="4"/>
      <c r="D14719" s="67"/>
      <c r="G14719" s="68"/>
      <c r="K14719" s="68"/>
    </row>
    <row r="14720" spans="2:11" ht="12.75">
      <c r="B14720" s="4"/>
      <c r="D14720" s="67"/>
      <c r="G14720" s="68"/>
      <c r="K14720" s="68"/>
    </row>
    <row r="14721" spans="2:11" ht="12.75">
      <c r="B14721" s="4"/>
      <c r="D14721" s="67"/>
      <c r="G14721" s="68"/>
      <c r="K14721" s="68"/>
    </row>
    <row r="14722" spans="2:11" ht="12.75">
      <c r="B14722" s="4"/>
      <c r="D14722" s="67"/>
      <c r="G14722" s="68"/>
      <c r="K14722" s="68"/>
    </row>
    <row r="14723" spans="2:11" ht="12.75">
      <c r="B14723" s="4"/>
      <c r="D14723" s="67"/>
      <c r="G14723" s="68"/>
      <c r="K14723" s="68"/>
    </row>
    <row r="14724" spans="2:11" ht="12.75">
      <c r="B14724" s="4"/>
      <c r="D14724" s="67"/>
      <c r="G14724" s="68"/>
      <c r="K14724" s="68"/>
    </row>
    <row r="14725" spans="2:11" ht="12.75">
      <c r="B14725" s="4"/>
      <c r="D14725" s="67"/>
      <c r="G14725" s="68"/>
      <c r="K14725" s="68"/>
    </row>
    <row r="14726" spans="2:11" ht="12.75">
      <c r="B14726" s="4"/>
      <c r="D14726" s="67"/>
      <c r="G14726" s="68"/>
      <c r="K14726" s="68"/>
    </row>
    <row r="14727" spans="2:11" ht="12.75">
      <c r="B14727" s="4"/>
      <c r="D14727" s="67"/>
      <c r="G14727" s="68"/>
      <c r="K14727" s="68"/>
    </row>
    <row r="14728" spans="2:11" ht="12.75">
      <c r="B14728" s="4"/>
      <c r="D14728" s="67"/>
      <c r="G14728" s="68"/>
      <c r="K14728" s="68"/>
    </row>
    <row r="14729" spans="2:11" ht="12.75">
      <c r="B14729" s="4"/>
      <c r="D14729" s="67"/>
      <c r="G14729" s="68"/>
      <c r="K14729" s="68"/>
    </row>
    <row r="14730" spans="2:11" ht="12.75">
      <c r="B14730" s="4"/>
      <c r="D14730" s="67"/>
      <c r="G14730" s="68"/>
      <c r="K14730" s="68"/>
    </row>
    <row r="14731" spans="2:11" ht="12.75">
      <c r="B14731" s="4"/>
      <c r="D14731" s="67"/>
      <c r="G14731" s="68"/>
      <c r="K14731" s="68"/>
    </row>
    <row r="14732" spans="2:11" ht="12.75">
      <c r="B14732" s="4"/>
      <c r="D14732" s="67"/>
      <c r="G14732" s="68"/>
      <c r="K14732" s="68"/>
    </row>
    <row r="14733" spans="2:11" ht="12.75">
      <c r="B14733" s="4"/>
      <c r="D14733" s="67"/>
      <c r="G14733" s="68"/>
      <c r="K14733" s="68"/>
    </row>
    <row r="14734" spans="2:11" ht="12.75">
      <c r="B14734" s="4"/>
      <c r="D14734" s="67"/>
      <c r="G14734" s="68"/>
      <c r="K14734" s="68"/>
    </row>
    <row r="14735" spans="2:11" ht="12.75">
      <c r="B14735" s="4"/>
      <c r="D14735" s="67"/>
      <c r="G14735" s="68"/>
      <c r="K14735" s="68"/>
    </row>
    <row r="14736" spans="2:11" ht="12.75">
      <c r="B14736" s="4"/>
      <c r="D14736" s="67"/>
      <c r="G14736" s="68"/>
      <c r="K14736" s="68"/>
    </row>
    <row r="14737" spans="2:11" ht="12.75">
      <c r="B14737" s="4"/>
      <c r="D14737" s="67"/>
      <c r="G14737" s="68"/>
      <c r="K14737" s="68"/>
    </row>
    <row r="14738" spans="2:11" ht="12.75">
      <c r="B14738" s="4"/>
      <c r="D14738" s="67"/>
      <c r="G14738" s="68"/>
      <c r="K14738" s="68"/>
    </row>
    <row r="14739" spans="2:11" ht="12.75">
      <c r="B14739" s="4"/>
      <c r="D14739" s="67"/>
      <c r="G14739" s="68"/>
      <c r="K14739" s="68"/>
    </row>
    <row r="14740" spans="2:11" ht="12.75">
      <c r="B14740" s="4"/>
      <c r="D14740" s="67"/>
      <c r="G14740" s="68"/>
      <c r="K14740" s="68"/>
    </row>
    <row r="14741" spans="2:11" ht="12.75">
      <c r="B14741" s="4"/>
      <c r="D14741" s="67"/>
      <c r="G14741" s="68"/>
      <c r="K14741" s="68"/>
    </row>
    <row r="14742" spans="2:11" ht="12.75">
      <c r="B14742" s="4"/>
      <c r="D14742" s="67"/>
      <c r="G14742" s="68"/>
      <c r="K14742" s="68"/>
    </row>
    <row r="14743" spans="2:11" ht="12.75">
      <c r="B14743" s="4"/>
      <c r="D14743" s="67"/>
      <c r="G14743" s="68"/>
      <c r="K14743" s="68"/>
    </row>
    <row r="14744" spans="2:11" ht="12.75">
      <c r="B14744" s="4"/>
      <c r="D14744" s="67"/>
      <c r="G14744" s="68"/>
      <c r="K14744" s="68"/>
    </row>
    <row r="14745" spans="2:11" ht="12.75">
      <c r="B14745" s="4"/>
      <c r="D14745" s="67"/>
      <c r="G14745" s="68"/>
      <c r="K14745" s="68"/>
    </row>
    <row r="14746" spans="2:11" ht="12.75">
      <c r="B14746" s="4"/>
      <c r="D14746" s="67"/>
      <c r="G14746" s="68"/>
      <c r="K14746" s="68"/>
    </row>
    <row r="14747" spans="2:11" ht="12.75">
      <c r="B14747" s="4"/>
      <c r="D14747" s="67"/>
      <c r="G14747" s="68"/>
      <c r="K14747" s="68"/>
    </row>
    <row r="14748" spans="2:11" ht="12.75">
      <c r="B14748" s="4"/>
      <c r="D14748" s="67"/>
      <c r="G14748" s="68"/>
      <c r="K14748" s="68"/>
    </row>
    <row r="14749" spans="2:11" ht="12.75">
      <c r="B14749" s="4"/>
      <c r="D14749" s="67"/>
      <c r="G14749" s="68"/>
      <c r="K14749" s="68"/>
    </row>
    <row r="14750" spans="2:11" ht="12.75">
      <c r="B14750" s="4"/>
      <c r="D14750" s="67"/>
      <c r="G14750" s="68"/>
      <c r="K14750" s="68"/>
    </row>
    <row r="14751" spans="2:11" ht="12.75">
      <c r="B14751" s="4"/>
      <c r="D14751" s="67"/>
      <c r="G14751" s="68"/>
      <c r="K14751" s="68"/>
    </row>
    <row r="14752" spans="2:11" ht="12.75">
      <c r="B14752" s="4"/>
      <c r="D14752" s="67"/>
      <c r="G14752" s="68"/>
      <c r="K14752" s="68"/>
    </row>
    <row r="14753" spans="2:11" ht="12.75">
      <c r="B14753" s="4"/>
      <c r="D14753" s="67"/>
      <c r="G14753" s="68"/>
      <c r="K14753" s="68"/>
    </row>
    <row r="14754" spans="2:11" ht="12.75">
      <c r="B14754" s="4"/>
      <c r="D14754" s="67"/>
      <c r="G14754" s="68"/>
      <c r="K14754" s="68"/>
    </row>
    <row r="14755" spans="2:11" ht="12.75">
      <c r="B14755" s="4"/>
      <c r="D14755" s="67"/>
      <c r="G14755" s="68"/>
      <c r="K14755" s="68"/>
    </row>
    <row r="14756" spans="2:11" ht="12.75">
      <c r="B14756" s="4"/>
      <c r="D14756" s="67"/>
      <c r="G14756" s="68"/>
      <c r="K14756" s="68"/>
    </row>
    <row r="14757" spans="2:11" ht="12.75">
      <c r="B14757" s="4"/>
      <c r="D14757" s="67"/>
      <c r="G14757" s="68"/>
      <c r="K14757" s="68"/>
    </row>
    <row r="14758" spans="2:11" ht="12.75">
      <c r="B14758" s="4"/>
      <c r="D14758" s="67"/>
      <c r="G14758" s="68"/>
      <c r="K14758" s="68"/>
    </row>
    <row r="14759" spans="2:11" ht="12.75">
      <c r="B14759" s="4"/>
      <c r="D14759" s="67"/>
      <c r="G14759" s="68"/>
      <c r="K14759" s="68"/>
    </row>
    <row r="14760" spans="2:11" ht="12.75">
      <c r="B14760" s="4"/>
      <c r="D14760" s="67"/>
      <c r="G14760" s="68"/>
      <c r="K14760" s="68"/>
    </row>
    <row r="14761" spans="2:11" ht="12.75">
      <c r="B14761" s="4"/>
      <c r="D14761" s="67"/>
      <c r="G14761" s="68"/>
      <c r="K14761" s="68"/>
    </row>
    <row r="14762" spans="2:11" ht="12.75">
      <c r="B14762" s="4"/>
      <c r="D14762" s="67"/>
      <c r="G14762" s="68"/>
      <c r="K14762" s="68"/>
    </row>
    <row r="14763" spans="2:11" ht="12.75">
      <c r="B14763" s="4"/>
      <c r="D14763" s="67"/>
      <c r="G14763" s="68"/>
      <c r="K14763" s="68"/>
    </row>
    <row r="14764" spans="2:11" ht="12.75">
      <c r="B14764" s="4"/>
      <c r="D14764" s="67"/>
      <c r="G14764" s="68"/>
      <c r="K14764" s="68"/>
    </row>
    <row r="14765" spans="2:11" ht="12.75">
      <c r="B14765" s="4"/>
      <c r="D14765" s="67"/>
      <c r="G14765" s="68"/>
      <c r="K14765" s="68"/>
    </row>
    <row r="14766" spans="2:11" ht="12.75">
      <c r="B14766" s="4"/>
      <c r="D14766" s="67"/>
      <c r="G14766" s="68"/>
      <c r="K14766" s="68"/>
    </row>
    <row r="14767" spans="2:11" ht="12.75">
      <c r="B14767" s="4"/>
      <c r="D14767" s="67"/>
      <c r="G14767" s="68"/>
      <c r="K14767" s="68"/>
    </row>
    <row r="14768" spans="2:11" ht="12.75">
      <c r="B14768" s="4"/>
      <c r="D14768" s="67"/>
      <c r="G14768" s="68"/>
      <c r="K14768" s="68"/>
    </row>
    <row r="14769" spans="2:11" ht="12.75">
      <c r="B14769" s="4"/>
      <c r="D14769" s="67"/>
      <c r="G14769" s="68"/>
      <c r="K14769" s="68"/>
    </row>
    <row r="14770" spans="2:11" ht="12.75">
      <c r="B14770" s="4"/>
      <c r="D14770" s="67"/>
      <c r="G14770" s="68"/>
      <c r="K14770" s="68"/>
    </row>
    <row r="14771" spans="2:11" ht="12.75">
      <c r="B14771" s="4"/>
      <c r="D14771" s="67"/>
      <c r="G14771" s="68"/>
      <c r="K14771" s="68"/>
    </row>
    <row r="14772" spans="2:11" ht="12.75">
      <c r="B14772" s="4"/>
      <c r="D14772" s="67"/>
      <c r="G14772" s="68"/>
      <c r="K14772" s="68"/>
    </row>
    <row r="14773" spans="2:11" ht="12.75">
      <c r="B14773" s="4"/>
      <c r="D14773" s="67"/>
      <c r="G14773" s="68"/>
      <c r="K14773" s="68"/>
    </row>
    <row r="14774" spans="2:11" ht="12.75">
      <c r="B14774" s="4"/>
      <c r="D14774" s="67"/>
      <c r="G14774" s="68"/>
      <c r="K14774" s="68"/>
    </row>
    <row r="14775" spans="2:11" ht="12.75">
      <c r="B14775" s="4"/>
      <c r="D14775" s="67"/>
      <c r="G14775" s="68"/>
      <c r="K14775" s="68"/>
    </row>
    <row r="14776" spans="2:11" ht="12.75">
      <c r="B14776" s="4"/>
      <c r="D14776" s="67"/>
      <c r="G14776" s="68"/>
      <c r="K14776" s="68"/>
    </row>
    <row r="14777" spans="2:11" ht="12.75">
      <c r="B14777" s="4"/>
      <c r="D14777" s="67"/>
      <c r="G14777" s="68"/>
      <c r="K14777" s="68"/>
    </row>
    <row r="14778" spans="2:11" ht="12.75">
      <c r="B14778" s="4"/>
      <c r="D14778" s="67"/>
      <c r="G14778" s="68"/>
      <c r="K14778" s="68"/>
    </row>
    <row r="14779" spans="2:11" ht="12.75">
      <c r="B14779" s="4"/>
      <c r="D14779" s="67"/>
      <c r="G14779" s="68"/>
      <c r="K14779" s="68"/>
    </row>
    <row r="14780" spans="2:11" ht="12.75">
      <c r="B14780" s="4"/>
      <c r="D14780" s="67"/>
      <c r="G14780" s="68"/>
      <c r="K14780" s="68"/>
    </row>
    <row r="14781" spans="2:11" ht="12.75">
      <c r="B14781" s="4"/>
      <c r="D14781" s="67"/>
      <c r="G14781" s="68"/>
      <c r="K14781" s="68"/>
    </row>
    <row r="14782" spans="2:11" ht="12.75">
      <c r="B14782" s="4"/>
      <c r="D14782" s="67"/>
      <c r="G14782" s="68"/>
      <c r="K14782" s="68"/>
    </row>
    <row r="14783" spans="2:11" ht="12.75">
      <c r="B14783" s="4"/>
      <c r="D14783" s="67"/>
      <c r="G14783" s="68"/>
      <c r="K14783" s="68"/>
    </row>
    <row r="14784" spans="2:11" ht="12.75">
      <c r="B14784" s="4"/>
      <c r="D14784" s="67"/>
      <c r="G14784" s="68"/>
      <c r="K14784" s="68"/>
    </row>
    <row r="14785" spans="2:11" ht="12.75">
      <c r="B14785" s="4"/>
      <c r="D14785" s="67"/>
      <c r="G14785" s="68"/>
      <c r="K14785" s="68"/>
    </row>
    <row r="14786" spans="2:11" ht="12.75">
      <c r="B14786" s="4"/>
      <c r="D14786" s="67"/>
      <c r="G14786" s="68"/>
      <c r="K14786" s="68"/>
    </row>
    <row r="14787" spans="2:11" ht="12.75">
      <c r="B14787" s="4"/>
      <c r="D14787" s="67"/>
      <c r="G14787" s="68"/>
      <c r="K14787" s="68"/>
    </row>
    <row r="14788" spans="2:11" ht="12.75">
      <c r="B14788" s="4"/>
      <c r="D14788" s="67"/>
      <c r="G14788" s="68"/>
      <c r="K14788" s="68"/>
    </row>
    <row r="14789" spans="2:11" ht="12.75">
      <c r="B14789" s="4"/>
      <c r="D14789" s="67"/>
      <c r="G14789" s="68"/>
      <c r="K14789" s="68"/>
    </row>
    <row r="14790" spans="2:11" ht="12.75">
      <c r="B14790" s="4"/>
      <c r="D14790" s="67"/>
      <c r="G14790" s="68"/>
      <c r="K14790" s="68"/>
    </row>
    <row r="14791" spans="2:11" ht="12.75">
      <c r="B14791" s="4"/>
      <c r="D14791" s="67"/>
      <c r="G14791" s="68"/>
      <c r="K14791" s="68"/>
    </row>
    <row r="14792" spans="2:11" ht="12.75">
      <c r="B14792" s="4"/>
      <c r="D14792" s="67"/>
      <c r="G14792" s="68"/>
      <c r="K14792" s="68"/>
    </row>
    <row r="14793" spans="2:11" ht="12.75">
      <c r="B14793" s="4"/>
      <c r="D14793" s="67"/>
      <c r="G14793" s="68"/>
      <c r="K14793" s="68"/>
    </row>
    <row r="14794" spans="2:11" ht="12.75">
      <c r="B14794" s="4"/>
      <c r="D14794" s="67"/>
      <c r="G14794" s="68"/>
      <c r="K14794" s="68"/>
    </row>
    <row r="14795" spans="2:11" ht="12.75">
      <c r="B14795" s="4"/>
      <c r="D14795" s="67"/>
      <c r="G14795" s="68"/>
      <c r="K14795" s="68"/>
    </row>
    <row r="14796" spans="2:11" ht="12.75">
      <c r="B14796" s="4"/>
      <c r="D14796" s="67"/>
      <c r="G14796" s="68"/>
      <c r="K14796" s="68"/>
    </row>
    <row r="14797" spans="2:11" ht="12.75">
      <c r="B14797" s="4"/>
      <c r="D14797" s="67"/>
      <c r="G14797" s="68"/>
      <c r="K14797" s="68"/>
    </row>
    <row r="14798" spans="2:11" ht="12.75">
      <c r="B14798" s="4"/>
      <c r="D14798" s="67"/>
      <c r="G14798" s="68"/>
      <c r="K14798" s="68"/>
    </row>
    <row r="14799" spans="2:11" ht="12.75">
      <c r="B14799" s="4"/>
      <c r="D14799" s="67"/>
      <c r="G14799" s="68"/>
      <c r="K14799" s="68"/>
    </row>
    <row r="14800" spans="2:11" ht="12.75">
      <c r="B14800" s="4"/>
      <c r="D14800" s="67"/>
      <c r="G14800" s="68"/>
      <c r="K14800" s="68"/>
    </row>
    <row r="14801" spans="2:11" ht="12.75">
      <c r="B14801" s="4"/>
      <c r="D14801" s="67"/>
      <c r="G14801" s="68"/>
      <c r="K14801" s="68"/>
    </row>
    <row r="14802" spans="2:11" ht="12.75">
      <c r="B14802" s="4"/>
      <c r="D14802" s="67"/>
      <c r="G14802" s="68"/>
      <c r="K14802" s="68"/>
    </row>
    <row r="14803" spans="2:11" ht="12.75">
      <c r="B14803" s="4"/>
      <c r="D14803" s="67"/>
      <c r="G14803" s="68"/>
      <c r="K14803" s="68"/>
    </row>
    <row r="14804" spans="2:11" ht="12.75">
      <c r="B14804" s="4"/>
      <c r="D14804" s="67"/>
      <c r="G14804" s="68"/>
      <c r="K14804" s="68"/>
    </row>
    <row r="14805" spans="2:11" ht="12.75">
      <c r="B14805" s="4"/>
      <c r="D14805" s="67"/>
      <c r="G14805" s="68"/>
      <c r="K14805" s="68"/>
    </row>
    <row r="14806" spans="2:11" ht="12.75">
      <c r="B14806" s="4"/>
      <c r="D14806" s="67"/>
      <c r="G14806" s="68"/>
      <c r="K14806" s="68"/>
    </row>
    <row r="14807" spans="2:11" ht="12.75">
      <c r="B14807" s="4"/>
      <c r="D14807" s="67"/>
      <c r="G14807" s="68"/>
      <c r="K14807" s="68"/>
    </row>
    <row r="14808" spans="2:11" ht="12.75">
      <c r="B14808" s="4"/>
      <c r="D14808" s="67"/>
      <c r="G14808" s="68"/>
      <c r="K14808" s="68"/>
    </row>
    <row r="14809" spans="2:11" ht="12.75">
      <c r="B14809" s="4"/>
      <c r="D14809" s="67"/>
      <c r="G14809" s="68"/>
      <c r="K14809" s="68"/>
    </row>
    <row r="14810" spans="2:11" ht="12.75">
      <c r="B14810" s="4"/>
      <c r="D14810" s="67"/>
      <c r="G14810" s="68"/>
      <c r="K14810" s="68"/>
    </row>
    <row r="14811" spans="2:11" ht="12.75">
      <c r="B14811" s="4"/>
      <c r="D14811" s="67"/>
      <c r="G14811" s="68"/>
      <c r="K14811" s="68"/>
    </row>
    <row r="14812" spans="2:11" ht="12.75">
      <c r="B14812" s="4"/>
      <c r="D14812" s="67"/>
      <c r="G14812" s="68"/>
      <c r="K14812" s="68"/>
    </row>
    <row r="14813" spans="2:11" ht="12.75">
      <c r="B14813" s="4"/>
      <c r="D14813" s="67"/>
      <c r="G14813" s="68"/>
      <c r="K14813" s="68"/>
    </row>
    <row r="14814" spans="2:11" ht="12.75">
      <c r="B14814" s="4"/>
      <c r="D14814" s="67"/>
      <c r="G14814" s="68"/>
      <c r="K14814" s="68"/>
    </row>
    <row r="14815" spans="2:11" ht="12.75">
      <c r="B14815" s="4"/>
      <c r="D14815" s="67"/>
      <c r="G14815" s="68"/>
      <c r="K14815" s="68"/>
    </row>
    <row r="14816" spans="2:11" ht="12.75">
      <c r="B14816" s="4"/>
      <c r="D14816" s="67"/>
      <c r="G14816" s="68"/>
      <c r="K14816" s="68"/>
    </row>
    <row r="14817" spans="2:11" ht="12.75">
      <c r="B14817" s="4"/>
      <c r="D14817" s="67"/>
      <c r="G14817" s="68"/>
      <c r="K14817" s="68"/>
    </row>
    <row r="14818" spans="2:11" ht="12.75">
      <c r="B14818" s="4"/>
      <c r="D14818" s="67"/>
      <c r="G14818" s="68"/>
      <c r="K14818" s="68"/>
    </row>
    <row r="14819" spans="2:11" ht="12.75">
      <c r="B14819" s="4"/>
      <c r="D14819" s="67"/>
      <c r="G14819" s="68"/>
      <c r="K14819" s="68"/>
    </row>
    <row r="14820" spans="2:11" ht="12.75">
      <c r="B14820" s="4"/>
      <c r="D14820" s="67"/>
      <c r="G14820" s="68"/>
      <c r="K14820" s="68"/>
    </row>
    <row r="14821" spans="2:11" ht="12.75">
      <c r="B14821" s="4"/>
      <c r="D14821" s="67"/>
      <c r="G14821" s="68"/>
      <c r="K14821" s="68"/>
    </row>
    <row r="14822" spans="2:11" ht="12.75">
      <c r="B14822" s="4"/>
      <c r="D14822" s="67"/>
      <c r="G14822" s="68"/>
      <c r="K14822" s="68"/>
    </row>
    <row r="14823" spans="2:11" ht="12.75">
      <c r="B14823" s="4"/>
      <c r="D14823" s="67"/>
      <c r="G14823" s="68"/>
      <c r="K14823" s="68"/>
    </row>
    <row r="14824" spans="2:11" ht="12.75">
      <c r="B14824" s="4"/>
      <c r="D14824" s="67"/>
      <c r="G14824" s="68"/>
      <c r="K14824" s="68"/>
    </row>
    <row r="14825" spans="2:11" ht="12.75">
      <c r="B14825" s="4"/>
      <c r="D14825" s="67"/>
      <c r="G14825" s="68"/>
      <c r="K14825" s="68"/>
    </row>
    <row r="14826" spans="2:11" ht="12.75">
      <c r="B14826" s="4"/>
      <c r="D14826" s="67"/>
      <c r="G14826" s="68"/>
      <c r="K14826" s="68"/>
    </row>
    <row r="14827" spans="2:11" ht="12.75">
      <c r="B14827" s="4"/>
      <c r="D14827" s="67"/>
      <c r="G14827" s="68"/>
      <c r="K14827" s="68"/>
    </row>
    <row r="14828" spans="2:11" ht="12.75">
      <c r="B14828" s="4"/>
      <c r="D14828" s="67"/>
      <c r="G14828" s="68"/>
      <c r="K14828" s="68"/>
    </row>
    <row r="14829" spans="2:11" ht="12.75">
      <c r="B14829" s="4"/>
      <c r="D14829" s="67"/>
      <c r="G14829" s="68"/>
      <c r="K14829" s="68"/>
    </row>
    <row r="14830" spans="2:11" ht="12.75">
      <c r="B14830" s="4"/>
      <c r="D14830" s="67"/>
      <c r="G14830" s="68"/>
      <c r="K14830" s="68"/>
    </row>
    <row r="14831" spans="2:11" ht="12.75">
      <c r="B14831" s="4"/>
      <c r="D14831" s="67"/>
      <c r="G14831" s="68"/>
      <c r="K14831" s="68"/>
    </row>
    <row r="14832" spans="2:11" ht="12.75">
      <c r="B14832" s="4"/>
      <c r="D14832" s="67"/>
      <c r="G14832" s="68"/>
      <c r="K14832" s="68"/>
    </row>
    <row r="14833" spans="2:11" ht="12.75">
      <c r="B14833" s="4"/>
      <c r="D14833" s="67"/>
      <c r="G14833" s="68"/>
      <c r="K14833" s="68"/>
    </row>
    <row r="14834" spans="2:11" ht="12.75">
      <c r="B14834" s="4"/>
      <c r="D14834" s="67"/>
      <c r="G14834" s="68"/>
      <c r="K14834" s="68"/>
    </row>
    <row r="14835" spans="2:11" ht="12.75">
      <c r="B14835" s="4"/>
      <c r="D14835" s="67"/>
      <c r="G14835" s="68"/>
      <c r="K14835" s="68"/>
    </row>
    <row r="14836" spans="2:11" ht="12.75">
      <c r="B14836" s="4"/>
      <c r="D14836" s="67"/>
      <c r="G14836" s="68"/>
      <c r="K14836" s="68"/>
    </row>
    <row r="14837" spans="2:11" ht="12.75">
      <c r="B14837" s="4"/>
      <c r="D14837" s="67"/>
      <c r="G14837" s="68"/>
      <c r="K14837" s="68"/>
    </row>
    <row r="14838" spans="2:11" ht="12.75">
      <c r="B14838" s="4"/>
      <c r="D14838" s="67"/>
      <c r="G14838" s="68"/>
      <c r="K14838" s="68"/>
    </row>
    <row r="14839" spans="2:11" ht="12.75">
      <c r="B14839" s="4"/>
      <c r="D14839" s="67"/>
      <c r="G14839" s="68"/>
      <c r="K14839" s="68"/>
    </row>
    <row r="14840" spans="2:11" ht="12.75">
      <c r="B14840" s="4"/>
      <c r="D14840" s="67"/>
      <c r="G14840" s="68"/>
      <c r="K14840" s="68"/>
    </row>
    <row r="14841" spans="2:11" ht="12.75">
      <c r="B14841" s="4"/>
      <c r="D14841" s="67"/>
      <c r="G14841" s="68"/>
      <c r="K14841" s="68"/>
    </row>
    <row r="14842" spans="2:11" ht="12.75">
      <c r="B14842" s="4"/>
      <c r="D14842" s="67"/>
      <c r="G14842" s="68"/>
      <c r="K14842" s="68"/>
    </row>
    <row r="14843" spans="2:11" ht="12.75">
      <c r="B14843" s="4"/>
      <c r="D14843" s="67"/>
      <c r="G14843" s="68"/>
      <c r="K14843" s="68"/>
    </row>
    <row r="14844" spans="2:11" ht="12.75">
      <c r="B14844" s="4"/>
      <c r="D14844" s="67"/>
      <c r="G14844" s="68"/>
      <c r="K14844" s="68"/>
    </row>
    <row r="14845" spans="2:11" ht="12.75">
      <c r="B14845" s="4"/>
      <c r="D14845" s="67"/>
      <c r="G14845" s="68"/>
      <c r="K14845" s="68"/>
    </row>
    <row r="14846" spans="2:11" ht="12.75">
      <c r="B14846" s="4"/>
      <c r="D14846" s="67"/>
      <c r="G14846" s="68"/>
      <c r="K14846" s="68"/>
    </row>
    <row r="14847" spans="2:11" ht="12.75">
      <c r="B14847" s="4"/>
      <c r="D14847" s="67"/>
      <c r="G14847" s="68"/>
      <c r="K14847" s="68"/>
    </row>
    <row r="14848" spans="2:11" ht="12.75">
      <c r="B14848" s="4"/>
      <c r="D14848" s="67"/>
      <c r="G14848" s="68"/>
      <c r="K14848" s="68"/>
    </row>
    <row r="14849" spans="2:11" ht="12.75">
      <c r="B14849" s="4"/>
      <c r="D14849" s="67"/>
      <c r="G14849" s="68"/>
      <c r="K14849" s="68"/>
    </row>
    <row r="14850" spans="2:11" ht="12.75">
      <c r="B14850" s="4"/>
      <c r="D14850" s="67"/>
      <c r="G14850" s="68"/>
      <c r="K14850" s="68"/>
    </row>
    <row r="14851" spans="2:11" ht="12.75">
      <c r="B14851" s="4"/>
      <c r="D14851" s="67"/>
      <c r="G14851" s="68"/>
      <c r="K14851" s="68"/>
    </row>
    <row r="14852" spans="2:11" ht="12.75">
      <c r="B14852" s="4"/>
      <c r="D14852" s="67"/>
      <c r="G14852" s="68"/>
      <c r="K14852" s="68"/>
    </row>
    <row r="14853" spans="2:11" ht="12.75">
      <c r="B14853" s="4"/>
      <c r="D14853" s="67"/>
      <c r="G14853" s="68"/>
      <c r="K14853" s="68"/>
    </row>
    <row r="14854" spans="2:11" ht="12.75">
      <c r="B14854" s="4"/>
      <c r="D14854" s="67"/>
      <c r="G14854" s="68"/>
      <c r="K14854" s="68"/>
    </row>
    <row r="14855" spans="2:11" ht="12.75">
      <c r="B14855" s="4"/>
      <c r="D14855" s="67"/>
      <c r="G14855" s="68"/>
      <c r="K14855" s="68"/>
    </row>
    <row r="14856" spans="2:11" ht="12.75">
      <c r="B14856" s="4"/>
      <c r="D14856" s="67"/>
      <c r="G14856" s="68"/>
      <c r="K14856" s="68"/>
    </row>
    <row r="14857" spans="2:11" ht="12.75">
      <c r="B14857" s="4"/>
      <c r="D14857" s="67"/>
      <c r="G14857" s="68"/>
      <c r="K14857" s="68"/>
    </row>
    <row r="14858" spans="2:11" ht="12.75">
      <c r="B14858" s="4"/>
      <c r="D14858" s="67"/>
      <c r="G14858" s="68"/>
      <c r="K14858" s="68"/>
    </row>
    <row r="14859" spans="2:11" ht="12.75">
      <c r="B14859" s="4"/>
      <c r="D14859" s="67"/>
      <c r="G14859" s="68"/>
      <c r="K14859" s="68"/>
    </row>
    <row r="14860" spans="2:11" ht="12.75">
      <c r="B14860" s="4"/>
      <c r="D14860" s="67"/>
      <c r="G14860" s="68"/>
      <c r="K14860" s="68"/>
    </row>
    <row r="14861" spans="2:11" ht="12.75">
      <c r="B14861" s="4"/>
      <c r="D14861" s="67"/>
      <c r="G14861" s="68"/>
      <c r="K14861" s="68"/>
    </row>
    <row r="14862" spans="2:11" ht="12.75">
      <c r="B14862" s="4"/>
      <c r="D14862" s="67"/>
      <c r="G14862" s="68"/>
      <c r="K14862" s="68"/>
    </row>
    <row r="14863" spans="2:11" ht="12.75">
      <c r="B14863" s="4"/>
      <c r="D14863" s="67"/>
      <c r="G14863" s="68"/>
      <c r="K14863" s="68"/>
    </row>
    <row r="14864" spans="2:11" ht="12.75">
      <c r="B14864" s="4"/>
      <c r="D14864" s="67"/>
      <c r="G14864" s="68"/>
      <c r="K14864" s="68"/>
    </row>
    <row r="14865" spans="2:11" ht="12.75">
      <c r="B14865" s="4"/>
      <c r="D14865" s="67"/>
      <c r="G14865" s="68"/>
      <c r="K14865" s="68"/>
    </row>
    <row r="14866" spans="2:11" ht="12.75">
      <c r="B14866" s="4"/>
      <c r="D14866" s="67"/>
      <c r="G14866" s="68"/>
      <c r="K14866" s="68"/>
    </row>
    <row r="14867" spans="2:11" ht="12.75">
      <c r="B14867" s="4"/>
      <c r="D14867" s="67"/>
      <c r="G14867" s="68"/>
      <c r="K14867" s="68"/>
    </row>
    <row r="14868" spans="2:11" ht="12.75">
      <c r="B14868" s="4"/>
      <c r="D14868" s="67"/>
      <c r="G14868" s="68"/>
      <c r="K14868" s="68"/>
    </row>
    <row r="14869" spans="2:11" ht="12.75">
      <c r="B14869" s="4"/>
      <c r="D14869" s="67"/>
      <c r="G14869" s="68"/>
      <c r="K14869" s="68"/>
    </row>
    <row r="14870" spans="2:11" ht="12.75">
      <c r="B14870" s="4"/>
      <c r="D14870" s="67"/>
      <c r="G14870" s="68"/>
      <c r="K14870" s="68"/>
    </row>
    <row r="14871" spans="2:11" ht="12.75">
      <c r="B14871" s="4"/>
      <c r="D14871" s="67"/>
      <c r="G14871" s="68"/>
      <c r="K14871" s="68"/>
    </row>
    <row r="14872" spans="2:11" ht="12.75">
      <c r="B14872" s="4"/>
      <c r="D14872" s="67"/>
      <c r="G14872" s="68"/>
      <c r="K14872" s="68"/>
    </row>
    <row r="14873" spans="2:11" ht="12.75">
      <c r="B14873" s="4"/>
      <c r="D14873" s="67"/>
      <c r="G14873" s="68"/>
      <c r="K14873" s="68"/>
    </row>
    <row r="14874" spans="2:11" ht="12.75">
      <c r="B14874" s="4"/>
      <c r="D14874" s="67"/>
      <c r="G14874" s="68"/>
      <c r="K14874" s="68"/>
    </row>
    <row r="14875" spans="2:11" ht="12.75">
      <c r="B14875" s="4"/>
      <c r="D14875" s="67"/>
      <c r="G14875" s="68"/>
      <c r="K14875" s="68"/>
    </row>
    <row r="14876" spans="2:11" ht="12.75">
      <c r="B14876" s="4"/>
      <c r="D14876" s="67"/>
      <c r="G14876" s="68"/>
      <c r="K14876" s="68"/>
    </row>
    <row r="14877" spans="2:11" ht="12.75">
      <c r="B14877" s="4"/>
      <c r="D14877" s="67"/>
      <c r="G14877" s="68"/>
      <c r="K14877" s="68"/>
    </row>
    <row r="14878" spans="2:11" ht="12.75">
      <c r="B14878" s="4"/>
      <c r="D14878" s="67"/>
      <c r="G14878" s="68"/>
      <c r="K14878" s="68"/>
    </row>
    <row r="14879" spans="2:11" ht="12.75">
      <c r="B14879" s="4"/>
      <c r="D14879" s="67"/>
      <c r="G14879" s="68"/>
      <c r="K14879" s="68"/>
    </row>
    <row r="14880" spans="2:11" ht="12.75">
      <c r="B14880" s="4"/>
      <c r="D14880" s="67"/>
      <c r="G14880" s="68"/>
      <c r="K14880" s="68"/>
    </row>
    <row r="14881" spans="2:11" ht="12.75">
      <c r="B14881" s="4"/>
      <c r="D14881" s="67"/>
      <c r="G14881" s="68"/>
      <c r="K14881" s="68"/>
    </row>
    <row r="14882" spans="2:11" ht="12.75">
      <c r="B14882" s="4"/>
      <c r="D14882" s="67"/>
      <c r="G14882" s="68"/>
      <c r="K14882" s="68"/>
    </row>
    <row r="14883" spans="2:11" ht="12.75">
      <c r="B14883" s="4"/>
      <c r="D14883" s="67"/>
      <c r="G14883" s="68"/>
      <c r="K14883" s="68"/>
    </row>
    <row r="14884" spans="2:11" ht="12.75">
      <c r="B14884" s="4"/>
      <c r="D14884" s="67"/>
      <c r="G14884" s="68"/>
      <c r="K14884" s="68"/>
    </row>
    <row r="14885" spans="2:11" ht="12.75">
      <c r="B14885" s="4"/>
      <c r="D14885" s="67"/>
      <c r="G14885" s="68"/>
      <c r="K14885" s="68"/>
    </row>
    <row r="14886" spans="2:11" ht="12.75">
      <c r="B14886" s="4"/>
      <c r="D14886" s="67"/>
      <c r="G14886" s="68"/>
      <c r="K14886" s="68"/>
    </row>
    <row r="14887" spans="2:11" ht="12.75">
      <c r="B14887" s="4"/>
      <c r="D14887" s="67"/>
      <c r="G14887" s="68"/>
      <c r="K14887" s="68"/>
    </row>
    <row r="14888" spans="2:11" ht="12.75">
      <c r="B14888" s="4"/>
      <c r="D14888" s="67"/>
      <c r="G14888" s="68"/>
      <c r="K14888" s="68"/>
    </row>
    <row r="14889" spans="2:11" ht="12.75">
      <c r="B14889" s="4"/>
      <c r="D14889" s="67"/>
      <c r="G14889" s="68"/>
      <c r="K14889" s="68"/>
    </row>
    <row r="14890" spans="2:11" ht="12.75">
      <c r="B14890" s="4"/>
      <c r="D14890" s="67"/>
      <c r="G14890" s="68"/>
      <c r="K14890" s="68"/>
    </row>
    <row r="14891" spans="2:11" ht="12.75">
      <c r="B14891" s="4"/>
      <c r="D14891" s="67"/>
      <c r="G14891" s="68"/>
      <c r="K14891" s="68"/>
    </row>
    <row r="14892" spans="2:11" ht="12.75">
      <c r="B14892" s="4"/>
      <c r="D14892" s="67"/>
      <c r="G14892" s="68"/>
      <c r="K14892" s="68"/>
    </row>
    <row r="14893" spans="2:11" ht="12.75">
      <c r="B14893" s="4"/>
      <c r="D14893" s="67"/>
      <c r="G14893" s="68"/>
      <c r="K14893" s="68"/>
    </row>
    <row r="14894" spans="2:11" ht="12.75">
      <c r="B14894" s="4"/>
      <c r="D14894" s="67"/>
      <c r="G14894" s="68"/>
      <c r="K14894" s="68"/>
    </row>
    <row r="14895" spans="2:11" ht="12.75">
      <c r="B14895" s="4"/>
      <c r="D14895" s="67"/>
      <c r="G14895" s="68"/>
      <c r="K14895" s="68"/>
    </row>
    <row r="14896" spans="2:11" ht="12.75">
      <c r="B14896" s="4"/>
      <c r="D14896" s="67"/>
      <c r="G14896" s="68"/>
      <c r="K14896" s="68"/>
    </row>
    <row r="14897" spans="2:11" ht="12.75">
      <c r="B14897" s="4"/>
      <c r="D14897" s="67"/>
      <c r="G14897" s="68"/>
      <c r="K14897" s="68"/>
    </row>
    <row r="14898" spans="2:11" ht="12.75">
      <c r="B14898" s="4"/>
      <c r="D14898" s="67"/>
      <c r="G14898" s="68"/>
      <c r="K14898" s="68"/>
    </row>
    <row r="14899" spans="2:11" ht="12.75">
      <c r="B14899" s="4"/>
      <c r="D14899" s="67"/>
      <c r="G14899" s="68"/>
      <c r="K14899" s="68"/>
    </row>
    <row r="14900" spans="2:11" ht="12.75">
      <c r="B14900" s="4"/>
      <c r="D14900" s="67"/>
      <c r="G14900" s="68"/>
      <c r="K14900" s="68"/>
    </row>
    <row r="14901" spans="2:11" ht="12.75">
      <c r="B14901" s="4"/>
      <c r="D14901" s="67"/>
      <c r="G14901" s="68"/>
      <c r="K14901" s="68"/>
    </row>
    <row r="14902" spans="2:11" ht="12.75">
      <c r="B14902" s="4"/>
      <c r="D14902" s="67"/>
      <c r="G14902" s="68"/>
      <c r="K14902" s="68"/>
    </row>
    <row r="14903" spans="2:11" ht="12.75">
      <c r="B14903" s="4"/>
      <c r="D14903" s="67"/>
      <c r="G14903" s="68"/>
      <c r="K14903" s="68"/>
    </row>
    <row r="14904" spans="2:11" ht="12.75">
      <c r="B14904" s="4"/>
      <c r="D14904" s="67"/>
      <c r="G14904" s="68"/>
      <c r="K14904" s="68"/>
    </row>
    <row r="14905" spans="2:11" ht="12.75">
      <c r="B14905" s="4"/>
      <c r="D14905" s="67"/>
      <c r="G14905" s="68"/>
      <c r="K14905" s="68"/>
    </row>
    <row r="14906" spans="2:11" ht="12.75">
      <c r="B14906" s="4"/>
      <c r="D14906" s="67"/>
      <c r="G14906" s="68"/>
      <c r="K14906" s="68"/>
    </row>
    <row r="14907" spans="2:11" ht="12.75">
      <c r="B14907" s="4"/>
      <c r="D14907" s="67"/>
      <c r="G14907" s="68"/>
      <c r="K14907" s="68"/>
    </row>
    <row r="14908" spans="2:11" ht="12.75">
      <c r="B14908" s="4"/>
      <c r="D14908" s="67"/>
      <c r="G14908" s="68"/>
      <c r="K14908" s="68"/>
    </row>
    <row r="14909" spans="2:11" ht="12.75">
      <c r="B14909" s="4"/>
      <c r="D14909" s="67"/>
      <c r="G14909" s="68"/>
      <c r="K14909" s="68"/>
    </row>
    <row r="14910" spans="2:11" ht="12.75">
      <c r="B14910" s="4"/>
      <c r="D14910" s="67"/>
      <c r="G14910" s="68"/>
      <c r="K14910" s="68"/>
    </row>
    <row r="14911" spans="2:11" ht="12.75">
      <c r="B14911" s="4"/>
      <c r="D14911" s="67"/>
      <c r="G14911" s="68"/>
      <c r="K14911" s="68"/>
    </row>
    <row r="14912" spans="2:11" ht="12.75">
      <c r="B14912" s="4"/>
      <c r="D14912" s="67"/>
      <c r="G14912" s="68"/>
      <c r="K14912" s="68"/>
    </row>
    <row r="14913" spans="2:11" ht="12.75">
      <c r="B14913" s="4"/>
      <c r="D14913" s="67"/>
      <c r="G14913" s="68"/>
      <c r="K14913" s="68"/>
    </row>
    <row r="14914" spans="2:11" ht="12.75">
      <c r="B14914" s="4"/>
      <c r="D14914" s="67"/>
      <c r="G14914" s="68"/>
      <c r="K14914" s="68"/>
    </row>
    <row r="14915" spans="2:11" ht="12.75">
      <c r="B14915" s="4"/>
      <c r="D14915" s="67"/>
      <c r="G14915" s="68"/>
      <c r="K14915" s="68"/>
    </row>
    <row r="14916" spans="2:11" ht="12.75">
      <c r="B14916" s="4"/>
      <c r="D14916" s="67"/>
      <c r="G14916" s="68"/>
      <c r="K14916" s="68"/>
    </row>
    <row r="14917" spans="2:11" ht="12.75">
      <c r="B14917" s="4"/>
      <c r="D14917" s="67"/>
      <c r="G14917" s="68"/>
      <c r="K14917" s="68"/>
    </row>
    <row r="14918" spans="2:11" ht="12.75">
      <c r="B14918" s="4"/>
      <c r="D14918" s="67"/>
      <c r="G14918" s="68"/>
      <c r="K14918" s="68"/>
    </row>
    <row r="14919" spans="2:11" ht="12.75">
      <c r="B14919" s="4"/>
      <c r="D14919" s="67"/>
      <c r="G14919" s="68"/>
      <c r="K14919" s="68"/>
    </row>
    <row r="14920" spans="2:11" ht="12.75">
      <c r="B14920" s="4"/>
      <c r="D14920" s="67"/>
      <c r="G14920" s="68"/>
      <c r="K14920" s="68"/>
    </row>
    <row r="14921" spans="2:11" ht="12.75">
      <c r="B14921" s="4"/>
      <c r="D14921" s="67"/>
      <c r="G14921" s="68"/>
      <c r="K14921" s="68"/>
    </row>
    <row r="14922" spans="2:11" ht="12.75">
      <c r="B14922" s="4"/>
      <c r="D14922" s="67"/>
      <c r="G14922" s="68"/>
      <c r="K14922" s="68"/>
    </row>
    <row r="14923" spans="2:11" ht="12.75">
      <c r="B14923" s="4"/>
      <c r="D14923" s="67"/>
      <c r="G14923" s="68"/>
      <c r="K14923" s="68"/>
    </row>
    <row r="14924" spans="2:11" ht="12.75">
      <c r="B14924" s="4"/>
      <c r="D14924" s="67"/>
      <c r="G14924" s="68"/>
      <c r="K14924" s="68"/>
    </row>
    <row r="14925" spans="2:11" ht="12.75">
      <c r="B14925" s="4"/>
      <c r="D14925" s="67"/>
      <c r="G14925" s="68"/>
      <c r="K14925" s="68"/>
    </row>
    <row r="14926" spans="2:11" ht="12.75">
      <c r="B14926" s="4"/>
      <c r="D14926" s="67"/>
      <c r="G14926" s="68"/>
      <c r="K14926" s="68"/>
    </row>
    <row r="14927" spans="2:11" ht="12.75">
      <c r="B14927" s="4"/>
      <c r="D14927" s="67"/>
      <c r="G14927" s="68"/>
      <c r="K14927" s="68"/>
    </row>
    <row r="14928" spans="2:11" ht="12.75">
      <c r="B14928" s="4"/>
      <c r="D14928" s="67"/>
      <c r="G14928" s="68"/>
      <c r="K14928" s="68"/>
    </row>
    <row r="14929" spans="2:11" ht="12.75">
      <c r="B14929" s="4"/>
      <c r="D14929" s="67"/>
      <c r="G14929" s="68"/>
      <c r="K14929" s="68"/>
    </row>
    <row r="14930" spans="2:11" ht="12.75">
      <c r="B14930" s="4"/>
      <c r="D14930" s="67"/>
      <c r="G14930" s="68"/>
      <c r="K14930" s="68"/>
    </row>
    <row r="14931" spans="2:11" ht="12.75">
      <c r="B14931" s="4"/>
      <c r="D14931" s="67"/>
      <c r="G14931" s="68"/>
      <c r="K14931" s="68"/>
    </row>
    <row r="14932" spans="2:11" ht="12.75">
      <c r="B14932" s="4"/>
      <c r="D14932" s="67"/>
      <c r="G14932" s="68"/>
      <c r="K14932" s="68"/>
    </row>
    <row r="14933" spans="2:11" ht="12.75">
      <c r="B14933" s="4"/>
      <c r="D14933" s="67"/>
      <c r="G14933" s="68"/>
      <c r="K14933" s="68"/>
    </row>
    <row r="14934" spans="2:11" ht="12.75">
      <c r="B14934" s="4"/>
      <c r="D14934" s="67"/>
      <c r="G14934" s="68"/>
      <c r="K14934" s="68"/>
    </row>
    <row r="14935" spans="2:11" ht="12.75">
      <c r="B14935" s="4"/>
      <c r="D14935" s="67"/>
      <c r="G14935" s="68"/>
      <c r="K14935" s="68"/>
    </row>
    <row r="14936" spans="2:11" ht="12.75">
      <c r="B14936" s="4"/>
      <c r="D14936" s="67"/>
      <c r="G14936" s="68"/>
      <c r="K14936" s="68"/>
    </row>
    <row r="14937" spans="2:11" ht="12.75">
      <c r="B14937" s="4"/>
      <c r="D14937" s="67"/>
      <c r="G14937" s="68"/>
      <c r="K14937" s="68"/>
    </row>
    <row r="14938" spans="2:11" ht="12.75">
      <c r="B14938" s="4"/>
      <c r="D14938" s="67"/>
      <c r="G14938" s="68"/>
      <c r="K14938" s="68"/>
    </row>
    <row r="14939" spans="2:11" ht="12.75">
      <c r="B14939" s="4"/>
      <c r="D14939" s="67"/>
      <c r="G14939" s="68"/>
      <c r="K14939" s="68"/>
    </row>
    <row r="14940" spans="2:11" ht="12.75">
      <c r="B14940" s="4"/>
      <c r="D14940" s="67"/>
      <c r="G14940" s="68"/>
      <c r="K14940" s="68"/>
    </row>
    <row r="14941" spans="2:11" ht="12.75">
      <c r="B14941" s="4"/>
      <c r="D14941" s="67"/>
      <c r="G14941" s="68"/>
      <c r="K14941" s="68"/>
    </row>
    <row r="14942" spans="2:11" ht="12.75">
      <c r="B14942" s="4"/>
      <c r="D14942" s="67"/>
      <c r="G14942" s="68"/>
      <c r="K14942" s="68"/>
    </row>
    <row r="14943" spans="2:11" ht="12.75">
      <c r="B14943" s="4"/>
      <c r="D14943" s="67"/>
      <c r="G14943" s="68"/>
      <c r="K14943" s="68"/>
    </row>
    <row r="14944" spans="2:11" ht="12.75">
      <c r="B14944" s="4"/>
      <c r="D14944" s="67"/>
      <c r="G14944" s="68"/>
      <c r="K14944" s="68"/>
    </row>
    <row r="14945" spans="2:11" ht="12.75">
      <c r="B14945" s="4"/>
      <c r="D14945" s="67"/>
      <c r="G14945" s="68"/>
      <c r="K14945" s="68"/>
    </row>
    <row r="14946" spans="2:11" ht="12.75">
      <c r="B14946" s="4"/>
      <c r="D14946" s="67"/>
      <c r="G14946" s="68"/>
      <c r="K14946" s="68"/>
    </row>
    <row r="14947" spans="2:11" ht="12.75">
      <c r="B14947" s="4"/>
      <c r="D14947" s="67"/>
      <c r="G14947" s="68"/>
      <c r="K14947" s="68"/>
    </row>
    <row r="14948" spans="2:11" ht="12.75">
      <c r="B14948" s="4"/>
      <c r="D14948" s="67"/>
      <c r="G14948" s="68"/>
      <c r="K14948" s="68"/>
    </row>
    <row r="14949" spans="2:11" ht="12.75">
      <c r="B14949" s="4"/>
      <c r="D14949" s="67"/>
      <c r="G14949" s="68"/>
      <c r="K14949" s="68"/>
    </row>
    <row r="14950" spans="2:11" ht="12.75">
      <c r="B14950" s="4"/>
      <c r="D14950" s="67"/>
      <c r="G14950" s="68"/>
      <c r="K14950" s="68"/>
    </row>
    <row r="14951" spans="2:11" ht="12.75">
      <c r="B14951" s="4"/>
      <c r="D14951" s="67"/>
      <c r="G14951" s="68"/>
      <c r="K14951" s="68"/>
    </row>
    <row r="14952" spans="2:11" ht="12.75">
      <c r="B14952" s="4"/>
      <c r="D14952" s="67"/>
      <c r="G14952" s="68"/>
      <c r="K14952" s="68"/>
    </row>
    <row r="14953" spans="2:11" ht="12.75">
      <c r="B14953" s="4"/>
      <c r="D14953" s="67"/>
      <c r="G14953" s="68"/>
      <c r="K14953" s="68"/>
    </row>
    <row r="14954" spans="2:11" ht="12.75">
      <c r="B14954" s="4"/>
      <c r="D14954" s="67"/>
      <c r="G14954" s="68"/>
      <c r="K14954" s="68"/>
    </row>
    <row r="14955" spans="2:11" ht="12.75">
      <c r="B14955" s="4"/>
      <c r="D14955" s="67"/>
      <c r="G14955" s="68"/>
      <c r="K14955" s="68"/>
    </row>
    <row r="14956" spans="2:11" ht="12.75">
      <c r="B14956" s="4"/>
      <c r="D14956" s="67"/>
      <c r="G14956" s="68"/>
      <c r="K14956" s="68"/>
    </row>
    <row r="14957" spans="2:11" ht="12.75">
      <c r="B14957" s="4"/>
      <c r="D14957" s="67"/>
      <c r="G14957" s="68"/>
      <c r="K14957" s="68"/>
    </row>
    <row r="14958" spans="2:11" ht="12.75">
      <c r="B14958" s="4"/>
      <c r="D14958" s="67"/>
      <c r="G14958" s="68"/>
      <c r="K14958" s="68"/>
    </row>
    <row r="14959" spans="2:11" ht="12.75">
      <c r="B14959" s="4"/>
      <c r="D14959" s="67"/>
      <c r="G14959" s="68"/>
      <c r="K14959" s="68"/>
    </row>
    <row r="14960" spans="2:11" ht="12.75">
      <c r="B14960" s="4"/>
      <c r="D14960" s="67"/>
      <c r="G14960" s="68"/>
      <c r="K14960" s="68"/>
    </row>
    <row r="14961" spans="2:11" ht="12.75">
      <c r="B14961" s="4"/>
      <c r="D14961" s="67"/>
      <c r="G14961" s="68"/>
      <c r="K14961" s="68"/>
    </row>
    <row r="14962" spans="2:11" ht="12.75">
      <c r="B14962" s="4"/>
      <c r="D14962" s="67"/>
      <c r="G14962" s="68"/>
      <c r="K14962" s="68"/>
    </row>
    <row r="14963" spans="2:11" ht="12.75">
      <c r="B14963" s="4"/>
      <c r="D14963" s="67"/>
      <c r="G14963" s="68"/>
      <c r="K14963" s="68"/>
    </row>
    <row r="14964" spans="2:11" ht="12.75">
      <c r="B14964" s="4"/>
      <c r="D14964" s="67"/>
      <c r="G14964" s="68"/>
      <c r="K14964" s="68"/>
    </row>
    <row r="14965" spans="2:11" ht="12.75">
      <c r="B14965" s="4"/>
      <c r="D14965" s="67"/>
      <c r="G14965" s="68"/>
      <c r="K14965" s="68"/>
    </row>
    <row r="14966" spans="2:11" ht="12.75">
      <c r="B14966" s="4"/>
      <c r="D14966" s="67"/>
      <c r="G14966" s="68"/>
      <c r="K14966" s="68"/>
    </row>
    <row r="14967" spans="2:11" ht="12.75">
      <c r="B14967" s="4"/>
      <c r="D14967" s="67"/>
      <c r="G14967" s="68"/>
      <c r="K14967" s="68"/>
    </row>
    <row r="14968" spans="2:11" ht="12.75">
      <c r="B14968" s="4"/>
      <c r="D14968" s="67"/>
      <c r="G14968" s="68"/>
      <c r="K14968" s="68"/>
    </row>
    <row r="14969" spans="2:11" ht="12.75">
      <c r="B14969" s="4"/>
      <c r="D14969" s="67"/>
      <c r="G14969" s="68"/>
      <c r="K14969" s="68"/>
    </row>
    <row r="14970" spans="2:11" ht="12.75">
      <c r="B14970" s="4"/>
      <c r="D14970" s="67"/>
      <c r="G14970" s="68"/>
      <c r="K14970" s="68"/>
    </row>
    <row r="14971" spans="2:11" ht="12.75">
      <c r="B14971" s="4"/>
      <c r="D14971" s="67"/>
      <c r="G14971" s="68"/>
      <c r="K14971" s="68"/>
    </row>
    <row r="14972" spans="2:11" ht="12.75">
      <c r="B14972" s="4"/>
      <c r="D14972" s="67"/>
      <c r="G14972" s="68"/>
      <c r="K14972" s="68"/>
    </row>
    <row r="14973" spans="2:11" ht="12.75">
      <c r="B14973" s="4"/>
      <c r="D14973" s="67"/>
      <c r="G14973" s="68"/>
      <c r="K14973" s="68"/>
    </row>
    <row r="14974" spans="2:11" ht="12.75">
      <c r="B14974" s="4"/>
      <c r="D14974" s="67"/>
      <c r="G14974" s="68"/>
      <c r="K14974" s="68"/>
    </row>
    <row r="14975" spans="2:11" ht="12.75">
      <c r="B14975" s="4"/>
      <c r="D14975" s="67"/>
      <c r="G14975" s="68"/>
      <c r="K14975" s="68"/>
    </row>
    <row r="14976" spans="2:11" ht="12.75">
      <c r="B14976" s="4"/>
      <c r="D14976" s="67"/>
      <c r="G14976" s="68"/>
      <c r="K14976" s="68"/>
    </row>
    <row r="14977" spans="2:11" ht="12.75">
      <c r="B14977" s="4"/>
      <c r="D14977" s="67"/>
      <c r="G14977" s="68"/>
      <c r="K14977" s="68"/>
    </row>
    <row r="14978" spans="2:11" ht="12.75">
      <c r="B14978" s="4"/>
      <c r="D14978" s="67"/>
      <c r="G14978" s="68"/>
      <c r="K14978" s="68"/>
    </row>
    <row r="14979" spans="2:11" ht="12.75">
      <c r="B14979" s="4"/>
      <c r="D14979" s="67"/>
      <c r="G14979" s="68"/>
      <c r="K14979" s="68"/>
    </row>
    <row r="14980" spans="2:11" ht="12.75">
      <c r="B14980" s="4"/>
      <c r="D14980" s="67"/>
      <c r="G14980" s="68"/>
      <c r="K14980" s="68"/>
    </row>
    <row r="14981" spans="2:11" ht="12.75">
      <c r="B14981" s="4"/>
      <c r="D14981" s="67"/>
      <c r="G14981" s="68"/>
      <c r="K14981" s="68"/>
    </row>
    <row r="14982" spans="2:11" ht="12.75">
      <c r="B14982" s="4"/>
      <c r="D14982" s="67"/>
      <c r="G14982" s="68"/>
      <c r="K14982" s="68"/>
    </row>
    <row r="14983" spans="2:11" ht="12.75">
      <c r="B14983" s="4"/>
      <c r="D14983" s="67"/>
      <c r="G14983" s="68"/>
      <c r="K14983" s="68"/>
    </row>
    <row r="14984" spans="2:11" ht="12.75">
      <c r="B14984" s="4"/>
      <c r="D14984" s="67"/>
      <c r="G14984" s="68"/>
      <c r="K14984" s="68"/>
    </row>
    <row r="14985" spans="2:11" ht="12.75">
      <c r="B14985" s="4"/>
      <c r="D14985" s="67"/>
      <c r="G14985" s="68"/>
      <c r="K14985" s="68"/>
    </row>
    <row r="14986" spans="2:11" ht="12.75">
      <c r="B14986" s="4"/>
      <c r="D14986" s="67"/>
      <c r="G14986" s="68"/>
      <c r="K14986" s="68"/>
    </row>
    <row r="14987" spans="2:11" ht="12.75">
      <c r="B14987" s="4"/>
      <c r="D14987" s="67"/>
      <c r="G14987" s="68"/>
      <c r="K14987" s="68"/>
    </row>
    <row r="14988" spans="2:11" ht="12.75">
      <c r="B14988" s="4"/>
      <c r="D14988" s="67"/>
      <c r="G14988" s="68"/>
      <c r="K14988" s="68"/>
    </row>
    <row r="14989" spans="2:11" ht="12.75">
      <c r="B14989" s="4"/>
      <c r="D14989" s="67"/>
      <c r="G14989" s="68"/>
      <c r="K14989" s="68"/>
    </row>
    <row r="14990" spans="2:11" ht="12.75">
      <c r="B14990" s="4"/>
      <c r="D14990" s="67"/>
      <c r="G14990" s="68"/>
      <c r="K14990" s="68"/>
    </row>
    <row r="14991" spans="2:11" ht="12.75">
      <c r="B14991" s="4"/>
      <c r="D14991" s="67"/>
      <c r="G14991" s="68"/>
      <c r="K14991" s="68"/>
    </row>
    <row r="14992" spans="2:11" ht="12.75">
      <c r="B14992" s="4"/>
      <c r="D14992" s="67"/>
      <c r="G14992" s="68"/>
      <c r="K14992" s="68"/>
    </row>
    <row r="14993" spans="2:11" ht="12.75">
      <c r="B14993" s="4"/>
      <c r="D14993" s="67"/>
      <c r="G14993" s="68"/>
      <c r="K14993" s="68"/>
    </row>
    <row r="14994" spans="2:11" ht="12.75">
      <c r="B14994" s="4"/>
      <c r="D14994" s="67"/>
      <c r="G14994" s="68"/>
      <c r="K14994" s="68"/>
    </row>
    <row r="14995" spans="2:11" ht="12.75">
      <c r="B14995" s="4"/>
      <c r="D14995" s="67"/>
      <c r="G14995" s="68"/>
      <c r="K14995" s="68"/>
    </row>
    <row r="14996" spans="2:11" ht="12.75">
      <c r="B14996" s="4"/>
      <c r="D14996" s="67"/>
      <c r="G14996" s="68"/>
      <c r="K14996" s="68"/>
    </row>
    <row r="14997" spans="2:11" ht="12.75">
      <c r="B14997" s="4"/>
      <c r="D14997" s="67"/>
      <c r="G14997" s="68"/>
      <c r="K14997" s="68"/>
    </row>
    <row r="14998" spans="2:11" ht="12.75">
      <c r="B14998" s="4"/>
      <c r="D14998" s="67"/>
      <c r="G14998" s="68"/>
      <c r="K14998" s="68"/>
    </row>
    <row r="14999" spans="2:11" ht="12.75">
      <c r="B14999" s="4"/>
      <c r="D14999" s="67"/>
      <c r="G14999" s="68"/>
      <c r="K14999" s="68"/>
    </row>
    <row r="15000" spans="2:11" ht="12.75">
      <c r="B15000" s="4"/>
      <c r="D15000" s="67"/>
      <c r="G15000" s="68"/>
      <c r="K15000" s="68"/>
    </row>
    <row r="15001" spans="2:11" ht="12.75">
      <c r="B15001" s="4"/>
      <c r="D15001" s="67"/>
      <c r="G15001" s="68"/>
      <c r="K15001" s="68"/>
    </row>
    <row r="15002" spans="2:11" ht="12.75">
      <c r="B15002" s="4"/>
      <c r="D15002" s="67"/>
      <c r="G15002" s="68"/>
      <c r="K15002" s="68"/>
    </row>
    <row r="15003" spans="2:11" ht="12.75">
      <c r="B15003" s="4"/>
      <c r="D15003" s="67"/>
      <c r="G15003" s="68"/>
      <c r="K15003" s="68"/>
    </row>
    <row r="15004" spans="2:11" ht="12.75">
      <c r="B15004" s="4"/>
      <c r="D15004" s="67"/>
      <c r="G15004" s="68"/>
      <c r="K15004" s="68"/>
    </row>
    <row r="15005" spans="2:11" ht="12.75">
      <c r="B15005" s="4"/>
      <c r="D15005" s="67"/>
      <c r="G15005" s="68"/>
      <c r="K15005" s="68"/>
    </row>
    <row r="15006" spans="2:11" ht="12.75">
      <c r="B15006" s="4"/>
      <c r="D15006" s="67"/>
      <c r="G15006" s="68"/>
      <c r="K15006" s="68"/>
    </row>
    <row r="15007" spans="2:11" ht="12.75">
      <c r="B15007" s="4"/>
      <c r="D15007" s="67"/>
      <c r="G15007" s="68"/>
      <c r="K15007" s="68"/>
    </row>
    <row r="15008" spans="2:11" ht="12.75">
      <c r="B15008" s="4"/>
      <c r="D15008" s="67"/>
      <c r="G15008" s="68"/>
      <c r="K15008" s="68"/>
    </row>
    <row r="15009" spans="2:11" ht="12.75">
      <c r="B15009" s="4"/>
      <c r="D15009" s="67"/>
      <c r="G15009" s="68"/>
      <c r="K15009" s="68"/>
    </row>
    <row r="15010" spans="2:11" ht="12.75">
      <c r="B15010" s="4"/>
      <c r="D15010" s="67"/>
      <c r="G15010" s="68"/>
      <c r="K15010" s="68"/>
    </row>
    <row r="15011" spans="2:11" ht="12.75">
      <c r="B15011" s="4"/>
      <c r="D15011" s="67"/>
      <c r="G15011" s="68"/>
      <c r="K15011" s="68"/>
    </row>
    <row r="15012" spans="2:11" ht="12.75">
      <c r="B15012" s="4"/>
      <c r="D15012" s="67"/>
      <c r="G15012" s="68"/>
      <c r="K15012" s="68"/>
    </row>
    <row r="15013" spans="2:11" ht="12.75">
      <c r="B15013" s="4"/>
      <c r="D15013" s="67"/>
      <c r="G15013" s="68"/>
      <c r="K15013" s="68"/>
    </row>
    <row r="15014" spans="2:11" ht="12.75">
      <c r="B15014" s="4"/>
      <c r="D15014" s="67"/>
      <c r="G15014" s="68"/>
      <c r="K15014" s="68"/>
    </row>
    <row r="15015" spans="2:11" ht="12.75">
      <c r="B15015" s="4"/>
      <c r="D15015" s="67"/>
      <c r="G15015" s="68"/>
      <c r="K15015" s="68"/>
    </row>
    <row r="15016" spans="2:11" ht="12.75">
      <c r="B15016" s="4"/>
      <c r="D15016" s="67"/>
      <c r="G15016" s="68"/>
      <c r="K15016" s="68"/>
    </row>
    <row r="15017" spans="2:11" ht="12.75">
      <c r="B15017" s="4"/>
      <c r="D15017" s="67"/>
      <c r="G15017" s="68"/>
      <c r="K15017" s="68"/>
    </row>
    <row r="15018" spans="2:11" ht="12.75">
      <c r="B15018" s="4"/>
      <c r="D15018" s="67"/>
      <c r="G15018" s="68"/>
      <c r="K15018" s="68"/>
    </row>
    <row r="15019" spans="2:11" ht="12.75">
      <c r="B15019" s="4"/>
      <c r="D15019" s="67"/>
      <c r="G15019" s="68"/>
      <c r="K15019" s="68"/>
    </row>
    <row r="15020" spans="2:11" ht="12.75">
      <c r="B15020" s="4"/>
      <c r="D15020" s="67"/>
      <c r="G15020" s="68"/>
      <c r="K15020" s="68"/>
    </row>
    <row r="15021" spans="2:11" ht="12.75">
      <c r="B15021" s="4"/>
      <c r="D15021" s="67"/>
      <c r="G15021" s="68"/>
      <c r="K15021" s="68"/>
    </row>
    <row r="15022" spans="2:11" ht="12.75">
      <c r="B15022" s="4"/>
      <c r="D15022" s="67"/>
      <c r="G15022" s="68"/>
      <c r="K15022" s="68"/>
    </row>
    <row r="15023" spans="2:11" ht="12.75">
      <c r="B15023" s="4"/>
      <c r="D15023" s="67"/>
      <c r="G15023" s="68"/>
      <c r="K15023" s="68"/>
    </row>
    <row r="15024" spans="2:11" ht="12.75">
      <c r="B15024" s="4"/>
      <c r="D15024" s="67"/>
      <c r="G15024" s="68"/>
      <c r="K15024" s="68"/>
    </row>
    <row r="15025" spans="2:11" ht="12.75">
      <c r="B15025" s="4"/>
      <c r="D15025" s="67"/>
      <c r="G15025" s="68"/>
      <c r="K15025" s="68"/>
    </row>
    <row r="15026" spans="2:11" ht="12.75">
      <c r="B15026" s="4"/>
      <c r="D15026" s="67"/>
      <c r="G15026" s="68"/>
      <c r="K15026" s="68"/>
    </row>
    <row r="15027" spans="2:11" ht="12.75">
      <c r="B15027" s="4"/>
      <c r="D15027" s="67"/>
      <c r="G15027" s="68"/>
      <c r="K15027" s="68"/>
    </row>
    <row r="15028" spans="2:11" ht="12.75">
      <c r="B15028" s="4"/>
      <c r="D15028" s="67"/>
      <c r="G15028" s="68"/>
      <c r="K15028" s="68"/>
    </row>
    <row r="15029" spans="2:11" ht="12.75">
      <c r="B15029" s="4"/>
      <c r="D15029" s="67"/>
      <c r="G15029" s="68"/>
      <c r="K15029" s="68"/>
    </row>
    <row r="15030" spans="2:11" ht="12.75">
      <c r="B15030" s="4"/>
      <c r="D15030" s="67"/>
      <c r="G15030" s="68"/>
      <c r="K15030" s="68"/>
    </row>
    <row r="15031" spans="2:11" ht="12.75">
      <c r="B15031" s="4"/>
      <c r="D15031" s="67"/>
      <c r="G15031" s="68"/>
      <c r="K15031" s="68"/>
    </row>
    <row r="15032" spans="2:11" ht="12.75">
      <c r="B15032" s="4"/>
      <c r="D15032" s="67"/>
      <c r="G15032" s="68"/>
      <c r="K15032" s="68"/>
    </row>
    <row r="15033" spans="2:11" ht="12.75">
      <c r="B15033" s="4"/>
      <c r="D15033" s="67"/>
      <c r="G15033" s="68"/>
      <c r="K15033" s="68"/>
    </row>
    <row r="15034" spans="2:11" ht="12.75">
      <c r="B15034" s="4"/>
      <c r="D15034" s="67"/>
      <c r="G15034" s="68"/>
      <c r="K15034" s="68"/>
    </row>
    <row r="15035" spans="2:11" ht="12.75">
      <c r="B15035" s="4"/>
      <c r="D15035" s="67"/>
      <c r="G15035" s="68"/>
      <c r="K15035" s="68"/>
    </row>
    <row r="15036" spans="2:11" ht="12.75">
      <c r="B15036" s="4"/>
      <c r="D15036" s="67"/>
      <c r="G15036" s="68"/>
      <c r="K15036" s="68"/>
    </row>
    <row r="15037" spans="2:11" ht="12.75">
      <c r="B15037" s="4"/>
      <c r="D15037" s="67"/>
      <c r="G15037" s="68"/>
      <c r="K15037" s="68"/>
    </row>
    <row r="15038" spans="2:11" ht="12.75">
      <c r="B15038" s="4"/>
      <c r="D15038" s="67"/>
      <c r="G15038" s="68"/>
      <c r="K15038" s="68"/>
    </row>
    <row r="15039" spans="2:11" ht="12.75">
      <c r="B15039" s="4"/>
      <c r="D15039" s="67"/>
      <c r="G15039" s="68"/>
      <c r="K15039" s="68"/>
    </row>
    <row r="15040" spans="2:11" ht="12.75">
      <c r="B15040" s="4"/>
      <c r="D15040" s="67"/>
      <c r="G15040" s="68"/>
      <c r="K15040" s="68"/>
    </row>
    <row r="15041" spans="2:11" ht="12.75">
      <c r="B15041" s="4"/>
      <c r="D15041" s="67"/>
      <c r="G15041" s="68"/>
      <c r="K15041" s="68"/>
    </row>
    <row r="15042" spans="2:11" ht="12.75">
      <c r="B15042" s="4"/>
      <c r="D15042" s="67"/>
      <c r="G15042" s="68"/>
      <c r="K15042" s="68"/>
    </row>
    <row r="15043" spans="2:11" ht="12.75">
      <c r="B15043" s="4"/>
      <c r="D15043" s="67"/>
      <c r="G15043" s="68"/>
      <c r="K15043" s="68"/>
    </row>
    <row r="15044" spans="2:11" ht="12.75">
      <c r="B15044" s="4"/>
      <c r="D15044" s="67"/>
      <c r="G15044" s="68"/>
      <c r="K15044" s="68"/>
    </row>
    <row r="15045" spans="2:11" ht="12.75">
      <c r="B15045" s="4"/>
      <c r="D15045" s="67"/>
      <c r="G15045" s="68"/>
      <c r="K15045" s="68"/>
    </row>
    <row r="15046" spans="2:11" ht="12.75">
      <c r="B15046" s="4"/>
      <c r="D15046" s="67"/>
      <c r="G15046" s="68"/>
      <c r="K15046" s="68"/>
    </row>
    <row r="15047" spans="2:11" ht="12.75">
      <c r="B15047" s="4"/>
      <c r="D15047" s="67"/>
      <c r="G15047" s="68"/>
      <c r="K15047" s="68"/>
    </row>
    <row r="15048" spans="2:11" ht="12.75">
      <c r="B15048" s="4"/>
      <c r="D15048" s="67"/>
      <c r="G15048" s="68"/>
      <c r="K15048" s="68"/>
    </row>
    <row r="15049" spans="2:11" ht="12.75">
      <c r="B15049" s="4"/>
      <c r="D15049" s="67"/>
      <c r="G15049" s="68"/>
      <c r="K15049" s="68"/>
    </row>
    <row r="15050" spans="2:11" ht="12.75">
      <c r="B15050" s="4"/>
      <c r="D15050" s="67"/>
      <c r="G15050" s="68"/>
      <c r="K15050" s="68"/>
    </row>
    <row r="15051" spans="2:11" ht="12.75">
      <c r="B15051" s="4"/>
      <c r="D15051" s="67"/>
      <c r="G15051" s="68"/>
      <c r="K15051" s="68"/>
    </row>
    <row r="15052" spans="2:11" ht="12.75">
      <c r="B15052" s="4"/>
      <c r="D15052" s="67"/>
      <c r="G15052" s="68"/>
      <c r="K15052" s="68"/>
    </row>
    <row r="15053" spans="2:11" ht="12.75">
      <c r="B15053" s="4"/>
      <c r="D15053" s="67"/>
      <c r="G15053" s="68"/>
      <c r="K15053" s="68"/>
    </row>
    <row r="15054" spans="2:11" ht="12.75">
      <c r="B15054" s="4"/>
      <c r="D15054" s="67"/>
      <c r="G15054" s="68"/>
      <c r="K15054" s="68"/>
    </row>
    <row r="15055" spans="2:11" ht="12.75">
      <c r="B15055" s="4"/>
      <c r="D15055" s="67"/>
      <c r="G15055" s="68"/>
      <c r="K15055" s="68"/>
    </row>
    <row r="15056" spans="2:11" ht="12.75">
      <c r="B15056" s="4"/>
      <c r="D15056" s="67"/>
      <c r="G15056" s="68"/>
      <c r="K15056" s="68"/>
    </row>
    <row r="15057" spans="2:11" ht="12.75">
      <c r="B15057" s="4"/>
      <c r="D15057" s="67"/>
      <c r="G15057" s="68"/>
      <c r="K15057" s="68"/>
    </row>
    <row r="15058" spans="2:11" ht="12.75">
      <c r="B15058" s="4"/>
      <c r="D15058" s="67"/>
      <c r="G15058" s="68"/>
      <c r="K15058" s="68"/>
    </row>
    <row r="15059" spans="2:11" ht="12.75">
      <c r="B15059" s="4"/>
      <c r="D15059" s="67"/>
      <c r="G15059" s="68"/>
      <c r="K15059" s="68"/>
    </row>
    <row r="15060" spans="2:11" ht="12.75">
      <c r="B15060" s="4"/>
      <c r="D15060" s="67"/>
      <c r="G15060" s="68"/>
      <c r="K15060" s="68"/>
    </row>
    <row r="15061" spans="2:11" ht="12.75">
      <c r="B15061" s="4"/>
      <c r="D15061" s="67"/>
      <c r="G15061" s="68"/>
      <c r="K15061" s="68"/>
    </row>
    <row r="15062" spans="2:11" ht="12.75">
      <c r="B15062" s="4"/>
      <c r="D15062" s="67"/>
      <c r="G15062" s="68"/>
      <c r="K15062" s="68"/>
    </row>
    <row r="15063" spans="2:11" ht="12.75">
      <c r="B15063" s="4"/>
      <c r="D15063" s="67"/>
      <c r="G15063" s="68"/>
      <c r="K15063" s="68"/>
    </row>
    <row r="15064" spans="2:11" ht="12.75">
      <c r="B15064" s="4"/>
      <c r="D15064" s="67"/>
      <c r="G15064" s="68"/>
      <c r="K15064" s="68"/>
    </row>
    <row r="15065" spans="2:11" ht="12.75">
      <c r="B15065" s="4"/>
      <c r="D15065" s="67"/>
      <c r="G15065" s="68"/>
      <c r="K15065" s="68"/>
    </row>
    <row r="15066" spans="2:11" ht="12.75">
      <c r="B15066" s="4"/>
      <c r="D15066" s="67"/>
      <c r="G15066" s="68"/>
      <c r="K15066" s="68"/>
    </row>
    <row r="15067" spans="2:11" ht="12.75">
      <c r="B15067" s="4"/>
      <c r="D15067" s="67"/>
      <c r="G15067" s="68"/>
      <c r="K15067" s="68"/>
    </row>
    <row r="15068" spans="2:11" ht="12.75">
      <c r="B15068" s="4"/>
      <c r="D15068" s="67"/>
      <c r="G15068" s="68"/>
      <c r="K15068" s="68"/>
    </row>
    <row r="15069" spans="2:11" ht="12.75">
      <c r="B15069" s="4"/>
      <c r="D15069" s="67"/>
      <c r="G15069" s="68"/>
      <c r="K15069" s="68"/>
    </row>
    <row r="15070" spans="2:11" ht="12.75">
      <c r="B15070" s="4"/>
      <c r="D15070" s="67"/>
      <c r="G15070" s="68"/>
      <c r="K15070" s="68"/>
    </row>
    <row r="15071" spans="2:11" ht="12.75">
      <c r="B15071" s="4"/>
      <c r="D15071" s="67"/>
      <c r="G15071" s="68"/>
      <c r="K15071" s="68"/>
    </row>
    <row r="15072" spans="2:11" ht="12.75">
      <c r="B15072" s="4"/>
      <c r="D15072" s="67"/>
      <c r="G15072" s="68"/>
      <c r="K15072" s="68"/>
    </row>
    <row r="15073" spans="2:11" ht="12.75">
      <c r="B15073" s="4"/>
      <c r="D15073" s="67"/>
      <c r="G15073" s="68"/>
      <c r="K15073" s="68"/>
    </row>
    <row r="15074" spans="2:11" ht="12.75">
      <c r="B15074" s="4"/>
      <c r="D15074" s="67"/>
      <c r="G15074" s="68"/>
      <c r="K15074" s="68"/>
    </row>
    <row r="15075" spans="2:11" ht="12.75">
      <c r="B15075" s="4"/>
      <c r="D15075" s="67"/>
      <c r="G15075" s="68"/>
      <c r="K15075" s="68"/>
    </row>
    <row r="15076" spans="2:11" ht="12.75">
      <c r="B15076" s="4"/>
      <c r="D15076" s="67"/>
      <c r="G15076" s="68"/>
      <c r="K15076" s="68"/>
    </row>
    <row r="15077" spans="2:11" ht="12.75">
      <c r="B15077" s="4"/>
      <c r="D15077" s="67"/>
      <c r="G15077" s="68"/>
      <c r="K15077" s="68"/>
    </row>
    <row r="15078" spans="2:11" ht="12.75">
      <c r="B15078" s="4"/>
      <c r="D15078" s="67"/>
      <c r="G15078" s="68"/>
      <c r="K15078" s="68"/>
    </row>
    <row r="15079" spans="2:11" ht="12.75">
      <c r="B15079" s="4"/>
      <c r="D15079" s="67"/>
      <c r="G15079" s="68"/>
      <c r="K15079" s="68"/>
    </row>
    <row r="15080" spans="2:11" ht="12.75">
      <c r="B15080" s="4"/>
      <c r="D15080" s="67"/>
      <c r="G15080" s="68"/>
      <c r="K15080" s="68"/>
    </row>
    <row r="15081" spans="2:11" ht="12.75">
      <c r="B15081" s="4"/>
      <c r="D15081" s="67"/>
      <c r="G15081" s="68"/>
      <c r="K15081" s="68"/>
    </row>
    <row r="15082" spans="2:11" ht="12.75">
      <c r="B15082" s="4"/>
      <c r="D15082" s="67"/>
      <c r="G15082" s="68"/>
      <c r="K15082" s="68"/>
    </row>
    <row r="15083" spans="2:11" ht="12.75">
      <c r="B15083" s="4"/>
      <c r="D15083" s="67"/>
      <c r="G15083" s="68"/>
      <c r="K15083" s="68"/>
    </row>
    <row r="15084" spans="2:11" ht="12.75">
      <c r="B15084" s="4"/>
      <c r="D15084" s="67"/>
      <c r="G15084" s="68"/>
      <c r="K15084" s="68"/>
    </row>
    <row r="15085" spans="2:11" ht="12.75">
      <c r="B15085" s="4"/>
      <c r="D15085" s="67"/>
      <c r="G15085" s="68"/>
      <c r="K15085" s="68"/>
    </row>
    <row r="15086" spans="2:11" ht="12.75">
      <c r="B15086" s="4"/>
      <c r="D15086" s="67"/>
      <c r="G15086" s="68"/>
      <c r="K15086" s="68"/>
    </row>
    <row r="15087" spans="2:11" ht="12.75">
      <c r="B15087" s="4"/>
      <c r="D15087" s="67"/>
      <c r="G15087" s="68"/>
      <c r="K15087" s="68"/>
    </row>
    <row r="15088" spans="2:11" ht="12.75">
      <c r="B15088" s="4"/>
      <c r="D15088" s="67"/>
      <c r="G15088" s="68"/>
      <c r="K15088" s="68"/>
    </row>
    <row r="15089" spans="2:11" ht="12.75">
      <c r="B15089" s="4"/>
      <c r="D15089" s="67"/>
      <c r="G15089" s="68"/>
      <c r="K15089" s="68"/>
    </row>
    <row r="15090" spans="2:11" ht="12.75">
      <c r="B15090" s="4"/>
      <c r="D15090" s="67"/>
      <c r="G15090" s="68"/>
      <c r="K15090" s="68"/>
    </row>
    <row r="15091" spans="2:11" ht="12.75">
      <c r="B15091" s="4"/>
      <c r="D15091" s="67"/>
      <c r="G15091" s="68"/>
      <c r="K15091" s="68"/>
    </row>
    <row r="15092" spans="2:11" ht="12.75">
      <c r="B15092" s="4"/>
      <c r="D15092" s="67"/>
      <c r="G15092" s="68"/>
      <c r="K15092" s="68"/>
    </row>
    <row r="15093" spans="2:11" ht="12.75">
      <c r="B15093" s="4"/>
      <c r="D15093" s="67"/>
      <c r="G15093" s="68"/>
      <c r="K15093" s="68"/>
    </row>
    <row r="15094" spans="2:11" ht="12.75">
      <c r="B15094" s="4"/>
      <c r="D15094" s="67"/>
      <c r="G15094" s="68"/>
      <c r="K15094" s="68"/>
    </row>
    <row r="15095" spans="2:11" ht="12.75">
      <c r="B15095" s="4"/>
      <c r="D15095" s="67"/>
      <c r="G15095" s="68"/>
      <c r="K15095" s="68"/>
    </row>
    <row r="15096" spans="2:11" ht="12.75">
      <c r="B15096" s="4"/>
      <c r="D15096" s="67"/>
      <c r="G15096" s="68"/>
      <c r="K15096" s="68"/>
    </row>
    <row r="15097" spans="2:11" ht="12.75">
      <c r="B15097" s="4"/>
      <c r="D15097" s="67"/>
      <c r="G15097" s="68"/>
      <c r="K15097" s="68"/>
    </row>
    <row r="15098" spans="2:11" ht="12.75">
      <c r="B15098" s="4"/>
      <c r="D15098" s="67"/>
      <c r="G15098" s="68"/>
      <c r="K15098" s="68"/>
    </row>
    <row r="15099" spans="2:11" ht="12.75">
      <c r="B15099" s="4"/>
      <c r="D15099" s="67"/>
      <c r="G15099" s="68"/>
      <c r="K15099" s="68"/>
    </row>
    <row r="15100" spans="2:11" ht="12.75">
      <c r="B15100" s="4"/>
      <c r="D15100" s="67"/>
      <c r="G15100" s="68"/>
      <c r="K15100" s="68"/>
    </row>
    <row r="15101" spans="2:11" ht="12.75">
      <c r="B15101" s="4"/>
      <c r="D15101" s="67"/>
      <c r="G15101" s="68"/>
      <c r="K15101" s="68"/>
    </row>
    <row r="15102" spans="2:11" ht="12.75">
      <c r="B15102" s="4"/>
      <c r="D15102" s="67"/>
      <c r="G15102" s="68"/>
      <c r="K15102" s="68"/>
    </row>
    <row r="15103" spans="2:11" ht="12.75">
      <c r="B15103" s="4"/>
      <c r="D15103" s="67"/>
      <c r="G15103" s="68"/>
      <c r="K15103" s="68"/>
    </row>
    <row r="15104" spans="2:11" ht="12.75">
      <c r="B15104" s="4"/>
      <c r="D15104" s="67"/>
      <c r="G15104" s="68"/>
      <c r="K15104" s="68"/>
    </row>
    <row r="15105" spans="2:11" ht="12.75">
      <c r="B15105" s="4"/>
      <c r="D15105" s="67"/>
      <c r="G15105" s="68"/>
      <c r="K15105" s="68"/>
    </row>
    <row r="15106" spans="2:11" ht="12.75">
      <c r="B15106" s="4"/>
      <c r="D15106" s="67"/>
      <c r="G15106" s="68"/>
      <c r="K15106" s="68"/>
    </row>
    <row r="15107" spans="2:11" ht="12.75">
      <c r="B15107" s="4"/>
      <c r="D15107" s="67"/>
      <c r="G15107" s="68"/>
      <c r="K15107" s="68"/>
    </row>
    <row r="15108" spans="2:11" ht="12.75">
      <c r="B15108" s="4"/>
      <c r="D15108" s="67"/>
      <c r="G15108" s="68"/>
      <c r="K15108" s="68"/>
    </row>
    <row r="15109" spans="2:11" ht="12.75">
      <c r="B15109" s="4"/>
      <c r="D15109" s="67"/>
      <c r="G15109" s="68"/>
      <c r="K15109" s="68"/>
    </row>
    <row r="15110" spans="2:11" ht="12.75">
      <c r="B15110" s="4"/>
      <c r="D15110" s="67"/>
      <c r="G15110" s="68"/>
      <c r="K15110" s="68"/>
    </row>
    <row r="15111" spans="2:11" ht="12.75">
      <c r="B15111" s="4"/>
      <c r="D15111" s="67"/>
      <c r="G15111" s="68"/>
      <c r="K15111" s="68"/>
    </row>
    <row r="15112" spans="2:11" ht="12.75">
      <c r="B15112" s="4"/>
      <c r="D15112" s="67"/>
      <c r="G15112" s="68"/>
      <c r="K15112" s="68"/>
    </row>
    <row r="15113" spans="2:11" ht="12.75">
      <c r="B15113" s="4"/>
      <c r="D15113" s="67"/>
      <c r="G15113" s="68"/>
      <c r="K15113" s="68"/>
    </row>
    <row r="15114" spans="2:11" ht="12.75">
      <c r="B15114" s="4"/>
      <c r="D15114" s="67"/>
      <c r="G15114" s="68"/>
      <c r="K15114" s="68"/>
    </row>
    <row r="15115" spans="2:11" ht="12.75">
      <c r="B15115" s="4"/>
      <c r="D15115" s="67"/>
      <c r="G15115" s="68"/>
      <c r="K15115" s="68"/>
    </row>
    <row r="15116" spans="2:11" ht="12.75">
      <c r="B15116" s="4"/>
      <c r="D15116" s="67"/>
      <c r="G15116" s="68"/>
      <c r="K15116" s="68"/>
    </row>
    <row r="15117" spans="2:11" ht="12.75">
      <c r="B15117" s="4"/>
      <c r="D15117" s="67"/>
      <c r="G15117" s="68"/>
      <c r="K15117" s="68"/>
    </row>
    <row r="15118" spans="2:11" ht="12.75">
      <c r="B15118" s="4"/>
      <c r="D15118" s="67"/>
      <c r="G15118" s="68"/>
      <c r="K15118" s="68"/>
    </row>
    <row r="15119" spans="2:11" ht="12.75">
      <c r="B15119" s="4"/>
      <c r="D15119" s="67"/>
      <c r="G15119" s="68"/>
      <c r="K15119" s="68"/>
    </row>
    <row r="15120" spans="2:11" ht="12.75">
      <c r="B15120" s="4"/>
      <c r="D15120" s="67"/>
      <c r="G15120" s="68"/>
      <c r="K15120" s="68"/>
    </row>
    <row r="15121" spans="2:11" ht="12.75">
      <c r="B15121" s="4"/>
      <c r="D15121" s="67"/>
      <c r="G15121" s="68"/>
      <c r="K15121" s="68"/>
    </row>
    <row r="15122" spans="2:11" ht="12.75">
      <c r="B15122" s="4"/>
      <c r="D15122" s="67"/>
      <c r="G15122" s="68"/>
      <c r="K15122" s="68"/>
    </row>
    <row r="15123" spans="2:11" ht="12.75">
      <c r="B15123" s="4"/>
      <c r="D15123" s="67"/>
      <c r="G15123" s="68"/>
      <c r="K15123" s="68"/>
    </row>
    <row r="15124" spans="2:11" ht="12.75">
      <c r="B15124" s="4"/>
      <c r="D15124" s="67"/>
      <c r="G15124" s="68"/>
      <c r="K15124" s="68"/>
    </row>
    <row r="15125" spans="2:11" ht="12.75">
      <c r="B15125" s="4"/>
      <c r="D15125" s="67"/>
      <c r="G15125" s="68"/>
      <c r="K15125" s="68"/>
    </row>
    <row r="15126" spans="2:11" ht="12.75">
      <c r="B15126" s="4"/>
      <c r="D15126" s="67"/>
      <c r="G15126" s="68"/>
      <c r="K15126" s="68"/>
    </row>
    <row r="15127" spans="2:11" ht="12.75">
      <c r="B15127" s="4"/>
      <c r="D15127" s="67"/>
      <c r="G15127" s="68"/>
      <c r="K15127" s="68"/>
    </row>
    <row r="15128" spans="2:11" ht="12.75">
      <c r="B15128" s="4"/>
      <c r="D15128" s="67"/>
      <c r="G15128" s="68"/>
      <c r="K15128" s="68"/>
    </row>
    <row r="15129" spans="2:11" ht="12.75">
      <c r="B15129" s="4"/>
      <c r="D15129" s="67"/>
      <c r="G15129" s="68"/>
      <c r="K15129" s="68"/>
    </row>
    <row r="15130" spans="2:11" ht="12.75">
      <c r="B15130" s="4"/>
      <c r="D15130" s="67"/>
      <c r="G15130" s="68"/>
      <c r="K15130" s="68"/>
    </row>
    <row r="15131" spans="2:11" ht="12.75">
      <c r="B15131" s="4"/>
      <c r="D15131" s="67"/>
      <c r="G15131" s="68"/>
      <c r="K15131" s="68"/>
    </row>
    <row r="15132" spans="2:11" ht="12.75">
      <c r="B15132" s="4"/>
      <c r="D15132" s="67"/>
      <c r="G15132" s="68"/>
      <c r="K15132" s="68"/>
    </row>
    <row r="15133" spans="2:11" ht="12.75">
      <c r="B15133" s="4"/>
      <c r="D15133" s="67"/>
      <c r="G15133" s="68"/>
      <c r="K15133" s="68"/>
    </row>
    <row r="15134" spans="2:11" ht="12.75">
      <c r="B15134" s="4"/>
      <c r="D15134" s="67"/>
      <c r="G15134" s="68"/>
      <c r="K15134" s="68"/>
    </row>
    <row r="15135" spans="2:11" ht="12.75">
      <c r="B15135" s="4"/>
      <c r="D15135" s="67"/>
      <c r="G15135" s="68"/>
      <c r="K15135" s="68"/>
    </row>
    <row r="15136" spans="2:11" ht="12.75">
      <c r="B15136" s="4"/>
      <c r="D15136" s="67"/>
      <c r="G15136" s="68"/>
      <c r="K15136" s="68"/>
    </row>
    <row r="15137" spans="2:11" ht="12.75">
      <c r="B15137" s="4"/>
      <c r="D15137" s="67"/>
      <c r="G15137" s="68"/>
      <c r="K15137" s="68"/>
    </row>
    <row r="15138" spans="2:11" ht="12.75">
      <c r="B15138" s="4"/>
      <c r="D15138" s="67"/>
      <c r="G15138" s="68"/>
      <c r="K15138" s="68"/>
    </row>
    <row r="15139" spans="2:11" ht="12.75">
      <c r="B15139" s="4"/>
      <c r="D15139" s="67"/>
      <c r="G15139" s="68"/>
      <c r="K15139" s="68"/>
    </row>
    <row r="15140" spans="2:11" ht="12.75">
      <c r="B15140" s="4"/>
      <c r="D15140" s="67"/>
      <c r="G15140" s="68"/>
      <c r="K15140" s="68"/>
    </row>
    <row r="15141" spans="2:11" ht="12.75">
      <c r="B15141" s="4"/>
      <c r="D15141" s="67"/>
      <c r="G15141" s="68"/>
      <c r="K15141" s="68"/>
    </row>
    <row r="15142" spans="2:11" ht="12.75">
      <c r="B15142" s="4"/>
      <c r="D15142" s="67"/>
      <c r="G15142" s="68"/>
      <c r="K15142" s="68"/>
    </row>
    <row r="15143" spans="2:11" ht="12.75">
      <c r="B15143" s="4"/>
      <c r="D15143" s="67"/>
      <c r="G15143" s="68"/>
      <c r="K15143" s="68"/>
    </row>
    <row r="15144" spans="2:11" ht="12.75">
      <c r="B15144" s="4"/>
      <c r="D15144" s="67"/>
      <c r="G15144" s="68"/>
      <c r="K15144" s="68"/>
    </row>
    <row r="15145" spans="2:11" ht="12.75">
      <c r="B15145" s="4"/>
      <c r="D15145" s="67"/>
      <c r="G15145" s="68"/>
      <c r="K15145" s="68"/>
    </row>
    <row r="15146" spans="2:11" ht="12.75">
      <c r="B15146" s="4"/>
      <c r="D15146" s="67"/>
      <c r="G15146" s="68"/>
      <c r="K15146" s="68"/>
    </row>
    <row r="15147" spans="2:11" ht="12.75">
      <c r="B15147" s="4"/>
      <c r="D15147" s="67"/>
      <c r="G15147" s="68"/>
      <c r="K15147" s="68"/>
    </row>
    <row r="15148" spans="2:11" ht="12.75">
      <c r="B15148" s="4"/>
      <c r="D15148" s="67"/>
      <c r="G15148" s="68"/>
      <c r="K15148" s="68"/>
    </row>
    <row r="15149" spans="2:11" ht="12.75">
      <c r="B15149" s="4"/>
      <c r="D15149" s="67"/>
      <c r="G15149" s="68"/>
      <c r="K15149" s="68"/>
    </row>
    <row r="15150" spans="2:11" ht="12.75">
      <c r="B15150" s="4"/>
      <c r="D15150" s="67"/>
      <c r="G15150" s="68"/>
      <c r="K15150" s="68"/>
    </row>
    <row r="15151" spans="2:11" ht="12.75">
      <c r="B15151" s="4"/>
      <c r="D15151" s="67"/>
      <c r="G15151" s="68"/>
      <c r="K15151" s="68"/>
    </row>
    <row r="15152" spans="2:11" ht="12.75">
      <c r="B15152" s="4"/>
      <c r="D15152" s="67"/>
      <c r="G15152" s="68"/>
      <c r="K15152" s="68"/>
    </row>
    <row r="15153" spans="2:11" ht="12.75">
      <c r="B15153" s="4"/>
      <c r="D15153" s="67"/>
      <c r="G15153" s="68"/>
      <c r="K15153" s="68"/>
    </row>
    <row r="15154" spans="2:11" ht="12.75">
      <c r="B15154" s="4"/>
      <c r="D15154" s="67"/>
      <c r="G15154" s="68"/>
      <c r="K15154" s="68"/>
    </row>
    <row r="15155" spans="2:11" ht="12.75">
      <c r="B15155" s="4"/>
      <c r="D15155" s="67"/>
      <c r="G15155" s="68"/>
      <c r="K15155" s="68"/>
    </row>
    <row r="15156" spans="2:11" ht="12.75">
      <c r="B15156" s="4"/>
      <c r="D15156" s="67"/>
      <c r="G15156" s="68"/>
      <c r="K15156" s="68"/>
    </row>
    <row r="15157" spans="2:11" ht="12.75">
      <c r="B15157" s="4"/>
      <c r="D15157" s="67"/>
      <c r="G15157" s="68"/>
      <c r="K15157" s="68"/>
    </row>
    <row r="15158" spans="2:11" ht="12.75">
      <c r="B15158" s="4"/>
      <c r="D15158" s="67"/>
      <c r="G15158" s="68"/>
      <c r="K15158" s="68"/>
    </row>
    <row r="15159" spans="2:11" ht="12.75">
      <c r="B15159" s="4"/>
      <c r="D15159" s="67"/>
      <c r="G15159" s="68"/>
      <c r="K15159" s="68"/>
    </row>
    <row r="15160" spans="2:11" ht="12.75">
      <c r="B15160" s="4"/>
      <c r="D15160" s="67"/>
      <c r="G15160" s="68"/>
      <c r="K15160" s="68"/>
    </row>
    <row r="15161" spans="2:11" ht="12.75">
      <c r="B15161" s="4"/>
      <c r="D15161" s="67"/>
      <c r="G15161" s="68"/>
      <c r="K15161" s="68"/>
    </row>
    <row r="15162" spans="2:11" ht="12.75">
      <c r="B15162" s="4"/>
      <c r="D15162" s="67"/>
      <c r="G15162" s="68"/>
      <c r="K15162" s="68"/>
    </row>
    <row r="15163" spans="2:11" ht="12.75">
      <c r="B15163" s="4"/>
      <c r="D15163" s="67"/>
      <c r="G15163" s="68"/>
      <c r="K15163" s="68"/>
    </row>
    <row r="15164" spans="2:11" ht="12.75">
      <c r="B15164" s="4"/>
      <c r="D15164" s="67"/>
      <c r="G15164" s="68"/>
      <c r="K15164" s="68"/>
    </row>
    <row r="15165" spans="2:11" ht="12.75">
      <c r="B15165" s="4"/>
      <c r="D15165" s="67"/>
      <c r="G15165" s="68"/>
      <c r="K15165" s="68"/>
    </row>
    <row r="15166" spans="2:11" ht="12.75">
      <c r="B15166" s="4"/>
      <c r="D15166" s="67"/>
      <c r="G15166" s="68"/>
      <c r="K15166" s="68"/>
    </row>
    <row r="15167" spans="2:11" ht="12.75">
      <c r="B15167" s="4"/>
      <c r="D15167" s="67"/>
      <c r="G15167" s="68"/>
      <c r="K15167" s="68"/>
    </row>
    <row r="15168" spans="2:11" ht="12.75">
      <c r="B15168" s="4"/>
      <c r="D15168" s="67"/>
      <c r="G15168" s="68"/>
      <c r="K15168" s="68"/>
    </row>
    <row r="15169" spans="2:11" ht="12.75">
      <c r="B15169" s="4"/>
      <c r="D15169" s="67"/>
      <c r="G15169" s="68"/>
      <c r="K15169" s="68"/>
    </row>
    <row r="15170" spans="2:11" ht="12.75">
      <c r="B15170" s="4"/>
      <c r="D15170" s="67"/>
      <c r="G15170" s="68"/>
      <c r="K15170" s="68"/>
    </row>
    <row r="15171" spans="2:11" ht="12.75">
      <c r="B15171" s="4"/>
      <c r="D15171" s="67"/>
      <c r="G15171" s="68"/>
      <c r="K15171" s="68"/>
    </row>
    <row r="15172" spans="2:11" ht="12.75">
      <c r="B15172" s="4"/>
      <c r="D15172" s="67"/>
      <c r="G15172" s="68"/>
      <c r="K15172" s="68"/>
    </row>
    <row r="15173" spans="2:11" ht="12.75">
      <c r="B15173" s="4"/>
      <c r="D15173" s="67"/>
      <c r="G15173" s="68"/>
      <c r="K15173" s="68"/>
    </row>
    <row r="15174" spans="2:11" ht="12.75">
      <c r="B15174" s="4"/>
      <c r="D15174" s="67"/>
      <c r="G15174" s="68"/>
      <c r="K15174" s="68"/>
    </row>
    <row r="15175" spans="2:11" ht="12.75">
      <c r="B15175" s="4"/>
      <c r="D15175" s="67"/>
      <c r="G15175" s="68"/>
      <c r="K15175" s="68"/>
    </row>
    <row r="15176" spans="2:11" ht="12.75">
      <c r="B15176" s="4"/>
      <c r="D15176" s="67"/>
      <c r="G15176" s="68"/>
      <c r="K15176" s="68"/>
    </row>
    <row r="15177" spans="2:11" ht="12.75">
      <c r="B15177" s="4"/>
      <c r="D15177" s="67"/>
      <c r="G15177" s="68"/>
      <c r="K15177" s="68"/>
    </row>
    <row r="15178" spans="2:11" ht="12.75">
      <c r="B15178" s="4"/>
      <c r="D15178" s="67"/>
      <c r="G15178" s="68"/>
      <c r="K15178" s="68"/>
    </row>
    <row r="15179" spans="2:11" ht="12.75">
      <c r="B15179" s="4"/>
      <c r="D15179" s="67"/>
      <c r="G15179" s="68"/>
      <c r="K15179" s="68"/>
    </row>
    <row r="15180" spans="2:11" ht="12.75">
      <c r="B15180" s="4"/>
      <c r="D15180" s="67"/>
      <c r="G15180" s="68"/>
      <c r="K15180" s="68"/>
    </row>
    <row r="15181" spans="2:11" ht="12.75">
      <c r="B15181" s="4"/>
      <c r="D15181" s="67"/>
      <c r="G15181" s="68"/>
      <c r="K15181" s="68"/>
    </row>
    <row r="15182" spans="2:11" ht="12.75">
      <c r="B15182" s="4"/>
      <c r="D15182" s="67"/>
      <c r="G15182" s="68"/>
      <c r="K15182" s="68"/>
    </row>
    <row r="15183" spans="2:11" ht="12.75">
      <c r="B15183" s="4"/>
      <c r="D15183" s="67"/>
      <c r="G15183" s="68"/>
      <c r="K15183" s="68"/>
    </row>
    <row r="15184" spans="2:11" ht="12.75">
      <c r="B15184" s="4"/>
      <c r="D15184" s="67"/>
      <c r="G15184" s="68"/>
      <c r="K15184" s="68"/>
    </row>
    <row r="15185" spans="2:11" ht="12.75">
      <c r="B15185" s="4"/>
      <c r="D15185" s="67"/>
      <c r="G15185" s="68"/>
      <c r="K15185" s="68"/>
    </row>
    <row r="15186" spans="2:11" ht="12.75">
      <c r="B15186" s="4"/>
      <c r="D15186" s="67"/>
      <c r="G15186" s="68"/>
      <c r="K15186" s="68"/>
    </row>
    <row r="15187" spans="2:11" ht="12.75">
      <c r="B15187" s="4"/>
      <c r="D15187" s="67"/>
      <c r="G15187" s="68"/>
      <c r="K15187" s="68"/>
    </row>
    <row r="15188" spans="2:11" ht="12.75">
      <c r="B15188" s="4"/>
      <c r="D15188" s="67"/>
      <c r="G15188" s="68"/>
      <c r="K15188" s="68"/>
    </row>
    <row r="15189" spans="2:11" ht="12.75">
      <c r="B15189" s="4"/>
      <c r="D15189" s="67"/>
      <c r="G15189" s="68"/>
      <c r="K15189" s="68"/>
    </row>
    <row r="15190" spans="2:11" ht="12.75">
      <c r="B15190" s="4"/>
      <c r="D15190" s="67"/>
      <c r="G15190" s="68"/>
      <c r="K15190" s="68"/>
    </row>
    <row r="15191" spans="2:11" ht="12.75">
      <c r="B15191" s="4"/>
      <c r="D15191" s="67"/>
      <c r="G15191" s="68"/>
      <c r="K15191" s="68"/>
    </row>
    <row r="15192" spans="2:11" ht="12.75">
      <c r="B15192" s="4"/>
      <c r="D15192" s="67"/>
      <c r="G15192" s="68"/>
      <c r="K15192" s="68"/>
    </row>
    <row r="15193" spans="2:11" ht="12.75">
      <c r="B15193" s="4"/>
      <c r="D15193" s="67"/>
      <c r="G15193" s="68"/>
      <c r="K15193" s="68"/>
    </row>
    <row r="15194" spans="2:11" ht="12.75">
      <c r="B15194" s="4"/>
      <c r="D15194" s="67"/>
      <c r="G15194" s="68"/>
      <c r="K15194" s="68"/>
    </row>
    <row r="15195" spans="2:11" ht="12.75">
      <c r="B15195" s="4"/>
      <c r="D15195" s="67"/>
      <c r="G15195" s="68"/>
      <c r="K15195" s="68"/>
    </row>
    <row r="15196" spans="2:11" ht="12.75">
      <c r="B15196" s="4"/>
      <c r="D15196" s="67"/>
      <c r="G15196" s="68"/>
      <c r="K15196" s="68"/>
    </row>
    <row r="15197" spans="2:11" ht="12.75">
      <c r="B15197" s="4"/>
      <c r="D15197" s="67"/>
      <c r="G15197" s="68"/>
      <c r="K15197" s="68"/>
    </row>
    <row r="15198" spans="2:11" ht="12.75">
      <c r="B15198" s="4"/>
      <c r="D15198" s="67"/>
      <c r="G15198" s="68"/>
      <c r="K15198" s="68"/>
    </row>
    <row r="15199" spans="2:11" ht="12.75">
      <c r="B15199" s="4"/>
      <c r="D15199" s="67"/>
      <c r="G15199" s="68"/>
      <c r="K15199" s="68"/>
    </row>
    <row r="15200" spans="2:11" ht="12.75">
      <c r="B15200" s="4"/>
      <c r="D15200" s="67"/>
      <c r="G15200" s="68"/>
      <c r="K15200" s="68"/>
    </row>
    <row r="15201" spans="2:11" ht="12.75">
      <c r="B15201" s="4"/>
      <c r="D15201" s="67"/>
      <c r="G15201" s="68"/>
      <c r="K15201" s="68"/>
    </row>
    <row r="15202" spans="2:11" ht="12.75">
      <c r="B15202" s="4"/>
      <c r="D15202" s="67"/>
      <c r="G15202" s="68"/>
      <c r="K15202" s="68"/>
    </row>
    <row r="15203" spans="2:11" ht="12.75">
      <c r="B15203" s="4"/>
      <c r="D15203" s="67"/>
      <c r="G15203" s="68"/>
      <c r="K15203" s="68"/>
    </row>
    <row r="15204" spans="2:11" ht="12.75">
      <c r="B15204" s="4"/>
      <c r="D15204" s="67"/>
      <c r="G15204" s="68"/>
      <c r="K15204" s="68"/>
    </row>
    <row r="15205" spans="2:11" ht="12.75">
      <c r="B15205" s="4"/>
      <c r="D15205" s="67"/>
      <c r="G15205" s="68"/>
      <c r="K15205" s="68"/>
    </row>
    <row r="15206" spans="2:11" ht="12.75">
      <c r="B15206" s="4"/>
      <c r="D15206" s="67"/>
      <c r="G15206" s="68"/>
      <c r="K15206" s="68"/>
    </row>
    <row r="15207" spans="2:11" ht="12.75">
      <c r="B15207" s="4"/>
      <c r="D15207" s="67"/>
      <c r="G15207" s="68"/>
      <c r="K15207" s="68"/>
    </row>
    <row r="15208" spans="2:11" ht="12.75">
      <c r="B15208" s="4"/>
      <c r="D15208" s="67"/>
      <c r="G15208" s="68"/>
      <c r="K15208" s="68"/>
    </row>
    <row r="15209" spans="2:11" ht="12.75">
      <c r="B15209" s="4"/>
      <c r="D15209" s="67"/>
      <c r="G15209" s="68"/>
      <c r="K15209" s="68"/>
    </row>
    <row r="15210" spans="2:11" ht="12.75">
      <c r="B15210" s="4"/>
      <c r="D15210" s="67"/>
      <c r="G15210" s="68"/>
      <c r="K15210" s="68"/>
    </row>
    <row r="15211" spans="2:11" ht="12.75">
      <c r="B15211" s="4"/>
      <c r="D15211" s="67"/>
      <c r="G15211" s="68"/>
      <c r="K15211" s="68"/>
    </row>
    <row r="15212" spans="2:11" ht="12.75">
      <c r="B15212" s="4"/>
      <c r="D15212" s="67"/>
      <c r="G15212" s="68"/>
      <c r="K15212" s="68"/>
    </row>
    <row r="15213" spans="2:11" ht="12.75">
      <c r="B15213" s="4"/>
      <c r="D15213" s="67"/>
      <c r="G15213" s="68"/>
      <c r="K15213" s="68"/>
    </row>
    <row r="15214" spans="2:11" ht="12.75">
      <c r="B15214" s="4"/>
      <c r="D15214" s="67"/>
      <c r="G15214" s="68"/>
      <c r="K15214" s="68"/>
    </row>
    <row r="15215" spans="2:11" ht="12.75">
      <c r="B15215" s="4"/>
      <c r="D15215" s="67"/>
      <c r="G15215" s="68"/>
      <c r="K15215" s="68"/>
    </row>
    <row r="15216" spans="2:11" ht="12.75">
      <c r="B15216" s="4"/>
      <c r="D15216" s="67"/>
      <c r="G15216" s="68"/>
      <c r="K15216" s="68"/>
    </row>
    <row r="15217" spans="2:11" ht="12.75">
      <c r="B15217" s="4"/>
      <c r="D15217" s="67"/>
      <c r="G15217" s="68"/>
      <c r="K15217" s="68"/>
    </row>
    <row r="15218" spans="2:11" ht="12.75">
      <c r="B15218" s="4"/>
      <c r="D15218" s="67"/>
      <c r="G15218" s="68"/>
      <c r="K15218" s="68"/>
    </row>
    <row r="15219" spans="2:11" ht="12.75">
      <c r="B15219" s="4"/>
      <c r="D15219" s="67"/>
      <c r="G15219" s="68"/>
      <c r="K15219" s="68"/>
    </row>
    <row r="15220" spans="2:11" ht="12.75">
      <c r="B15220" s="4"/>
      <c r="D15220" s="67"/>
      <c r="G15220" s="68"/>
      <c r="K15220" s="68"/>
    </row>
    <row r="15221" spans="2:11" ht="12.75">
      <c r="B15221" s="4"/>
      <c r="D15221" s="67"/>
      <c r="G15221" s="68"/>
      <c r="K15221" s="68"/>
    </row>
    <row r="15222" spans="2:11" ht="12.75">
      <c r="B15222" s="4"/>
      <c r="D15222" s="67"/>
      <c r="G15222" s="68"/>
      <c r="K15222" s="68"/>
    </row>
    <row r="15223" spans="2:11" ht="12.75">
      <c r="B15223" s="4"/>
      <c r="D15223" s="67"/>
      <c r="G15223" s="68"/>
      <c r="K15223" s="68"/>
    </row>
    <row r="15224" spans="2:11" ht="12.75">
      <c r="B15224" s="4"/>
      <c r="D15224" s="67"/>
      <c r="G15224" s="68"/>
      <c r="K15224" s="68"/>
    </row>
    <row r="15225" spans="2:11" ht="12.75">
      <c r="B15225" s="4"/>
      <c r="D15225" s="67"/>
      <c r="G15225" s="68"/>
      <c r="K15225" s="68"/>
    </row>
    <row r="15226" spans="2:11" ht="12.75">
      <c r="B15226" s="4"/>
      <c r="D15226" s="67"/>
      <c r="G15226" s="68"/>
      <c r="K15226" s="68"/>
    </row>
    <row r="15227" spans="2:11" ht="12.75">
      <c r="B15227" s="4"/>
      <c r="D15227" s="67"/>
      <c r="G15227" s="68"/>
      <c r="K15227" s="68"/>
    </row>
    <row r="15228" spans="2:11" ht="12.75">
      <c r="B15228" s="4"/>
      <c r="D15228" s="67"/>
      <c r="G15228" s="68"/>
      <c r="K15228" s="68"/>
    </row>
    <row r="15229" spans="2:11" ht="12.75">
      <c r="B15229" s="4"/>
      <c r="D15229" s="67"/>
      <c r="G15229" s="68"/>
      <c r="K15229" s="68"/>
    </row>
    <row r="15230" spans="2:11" ht="12.75">
      <c r="B15230" s="4"/>
      <c r="D15230" s="67"/>
      <c r="G15230" s="68"/>
      <c r="K15230" s="68"/>
    </row>
    <row r="15231" spans="2:11" ht="12.75">
      <c r="B15231" s="4"/>
      <c r="D15231" s="67"/>
      <c r="G15231" s="68"/>
      <c r="K15231" s="68"/>
    </row>
    <row r="15232" spans="2:11" ht="12.75">
      <c r="B15232" s="4"/>
      <c r="D15232" s="67"/>
      <c r="G15232" s="68"/>
      <c r="K15232" s="68"/>
    </row>
    <row r="15233" spans="2:11" ht="12.75">
      <c r="B15233" s="4"/>
      <c r="D15233" s="67"/>
      <c r="G15233" s="68"/>
      <c r="K15233" s="68"/>
    </row>
    <row r="15234" spans="2:11" ht="12.75">
      <c r="B15234" s="4"/>
      <c r="D15234" s="67"/>
      <c r="G15234" s="68"/>
      <c r="K15234" s="68"/>
    </row>
    <row r="15235" spans="2:11" ht="12.75">
      <c r="B15235" s="4"/>
      <c r="D15235" s="67"/>
      <c r="G15235" s="68"/>
      <c r="K15235" s="68"/>
    </row>
    <row r="15236" spans="2:11" ht="12.75">
      <c r="B15236" s="4"/>
      <c r="D15236" s="67"/>
      <c r="G15236" s="68"/>
      <c r="K15236" s="68"/>
    </row>
    <row r="15237" spans="2:11" ht="12.75">
      <c r="B15237" s="4"/>
      <c r="D15237" s="67"/>
      <c r="G15237" s="68"/>
      <c r="K15237" s="68"/>
    </row>
    <row r="15238" spans="2:11" ht="12.75">
      <c r="B15238" s="4"/>
      <c r="D15238" s="67"/>
      <c r="G15238" s="68"/>
      <c r="K15238" s="68"/>
    </row>
    <row r="15239" spans="2:11" ht="12.75">
      <c r="B15239" s="4"/>
      <c r="D15239" s="67"/>
      <c r="G15239" s="68"/>
      <c r="K15239" s="68"/>
    </row>
    <row r="15240" spans="2:11" ht="12.75">
      <c r="B15240" s="4"/>
      <c r="D15240" s="67"/>
      <c r="G15240" s="68"/>
      <c r="K15240" s="68"/>
    </row>
    <row r="15241" spans="2:11" ht="12.75">
      <c r="B15241" s="4"/>
      <c r="D15241" s="67"/>
      <c r="G15241" s="68"/>
      <c r="K15241" s="68"/>
    </row>
    <row r="15242" spans="2:11" ht="12.75">
      <c r="B15242" s="4"/>
      <c r="D15242" s="67"/>
      <c r="G15242" s="68"/>
      <c r="K15242" s="68"/>
    </row>
    <row r="15243" spans="2:11" ht="12.75">
      <c r="B15243" s="4"/>
      <c r="D15243" s="67"/>
      <c r="G15243" s="68"/>
      <c r="K15243" s="68"/>
    </row>
    <row r="15244" spans="2:11" ht="12.75">
      <c r="B15244" s="4"/>
      <c r="D15244" s="67"/>
      <c r="G15244" s="68"/>
      <c r="K15244" s="68"/>
    </row>
    <row r="15245" spans="2:11" ht="12.75">
      <c r="B15245" s="4"/>
      <c r="D15245" s="67"/>
      <c r="G15245" s="68"/>
      <c r="K15245" s="68"/>
    </row>
    <row r="15246" spans="2:11" ht="12.75">
      <c r="B15246" s="4"/>
      <c r="D15246" s="67"/>
      <c r="G15246" s="68"/>
      <c r="K15246" s="68"/>
    </row>
    <row r="15247" spans="2:11" ht="12.75">
      <c r="B15247" s="4"/>
      <c r="D15247" s="67"/>
      <c r="G15247" s="68"/>
      <c r="K15247" s="68"/>
    </row>
    <row r="15248" spans="2:11" ht="12.75">
      <c r="B15248" s="4"/>
      <c r="D15248" s="67"/>
      <c r="G15248" s="68"/>
      <c r="K15248" s="68"/>
    </row>
    <row r="15249" spans="2:11" ht="12.75">
      <c r="B15249" s="4"/>
      <c r="D15249" s="67"/>
      <c r="G15249" s="68"/>
      <c r="K15249" s="68"/>
    </row>
    <row r="15250" spans="2:11" ht="12.75">
      <c r="B15250" s="4"/>
      <c r="D15250" s="67"/>
      <c r="G15250" s="68"/>
      <c r="K15250" s="68"/>
    </row>
    <row r="15251" spans="2:11" ht="12.75">
      <c r="B15251" s="4"/>
      <c r="D15251" s="67"/>
      <c r="G15251" s="68"/>
      <c r="K15251" s="68"/>
    </row>
    <row r="15252" spans="2:11" ht="12.75">
      <c r="B15252" s="4"/>
      <c r="D15252" s="67"/>
      <c r="G15252" s="68"/>
      <c r="K15252" s="68"/>
    </row>
    <row r="15253" spans="2:11" ht="12.75">
      <c r="B15253" s="4"/>
      <c r="D15253" s="67"/>
      <c r="G15253" s="68"/>
      <c r="K15253" s="68"/>
    </row>
    <row r="15254" spans="2:11" ht="12.75">
      <c r="B15254" s="4"/>
      <c r="D15254" s="67"/>
      <c r="G15254" s="68"/>
      <c r="K15254" s="68"/>
    </row>
    <row r="15255" spans="2:11" ht="12.75">
      <c r="B15255" s="4"/>
      <c r="D15255" s="67"/>
      <c r="G15255" s="68"/>
      <c r="K15255" s="68"/>
    </row>
    <row r="15256" spans="2:11" ht="12.75">
      <c r="B15256" s="4"/>
      <c r="D15256" s="67"/>
      <c r="G15256" s="68"/>
      <c r="K15256" s="68"/>
    </row>
    <row r="15257" spans="2:11" ht="12.75">
      <c r="B15257" s="4"/>
      <c r="D15257" s="67"/>
      <c r="G15257" s="68"/>
      <c r="K15257" s="68"/>
    </row>
    <row r="15258" spans="2:11" ht="12.75">
      <c r="B15258" s="4"/>
      <c r="D15258" s="67"/>
      <c r="G15258" s="68"/>
      <c r="K15258" s="68"/>
    </row>
    <row r="15259" spans="2:11" ht="12.75">
      <c r="B15259" s="4"/>
      <c r="D15259" s="67"/>
      <c r="G15259" s="68"/>
      <c r="K15259" s="68"/>
    </row>
    <row r="15260" spans="2:11" ht="12.75">
      <c r="B15260" s="4"/>
      <c r="D15260" s="67"/>
      <c r="G15260" s="68"/>
      <c r="K15260" s="68"/>
    </row>
    <row r="15261" spans="2:11" ht="12.75">
      <c r="B15261" s="4"/>
      <c r="D15261" s="67"/>
      <c r="G15261" s="68"/>
      <c r="K15261" s="68"/>
    </row>
    <row r="15262" spans="2:11" ht="12.75">
      <c r="B15262" s="4"/>
      <c r="D15262" s="67"/>
      <c r="G15262" s="68"/>
      <c r="K15262" s="68"/>
    </row>
    <row r="15263" spans="2:11" ht="12.75">
      <c r="B15263" s="4"/>
      <c r="D15263" s="67"/>
      <c r="G15263" s="68"/>
      <c r="K15263" s="68"/>
    </row>
    <row r="15264" spans="2:11" ht="12.75">
      <c r="B15264" s="4"/>
      <c r="D15264" s="67"/>
      <c r="G15264" s="68"/>
      <c r="K15264" s="68"/>
    </row>
    <row r="15265" spans="2:11" ht="12.75">
      <c r="B15265" s="4"/>
      <c r="D15265" s="67"/>
      <c r="G15265" s="68"/>
      <c r="K15265" s="68"/>
    </row>
    <row r="15266" spans="2:11" ht="12.75">
      <c r="B15266" s="4"/>
      <c r="D15266" s="67"/>
      <c r="G15266" s="68"/>
      <c r="K15266" s="68"/>
    </row>
    <row r="15267" spans="2:11" ht="12.75">
      <c r="B15267" s="4"/>
      <c r="D15267" s="67"/>
      <c r="G15267" s="68"/>
      <c r="K15267" s="68"/>
    </row>
    <row r="15268" spans="2:11" ht="12.75">
      <c r="B15268" s="4"/>
      <c r="D15268" s="67"/>
      <c r="G15268" s="68"/>
      <c r="K15268" s="68"/>
    </row>
    <row r="15269" spans="2:11" ht="12.75">
      <c r="B15269" s="4"/>
      <c r="D15269" s="67"/>
      <c r="G15269" s="68"/>
      <c r="K15269" s="68"/>
    </row>
    <row r="15270" spans="2:11" ht="12.75">
      <c r="B15270" s="4"/>
      <c r="D15270" s="67"/>
      <c r="G15270" s="68"/>
      <c r="K15270" s="68"/>
    </row>
    <row r="15271" spans="2:11" ht="12.75">
      <c r="B15271" s="4"/>
      <c r="D15271" s="67"/>
      <c r="G15271" s="68"/>
      <c r="K15271" s="68"/>
    </row>
    <row r="15272" spans="2:11" ht="12.75">
      <c r="B15272" s="4"/>
      <c r="D15272" s="67"/>
      <c r="G15272" s="68"/>
      <c r="K15272" s="68"/>
    </row>
    <row r="15273" spans="2:11" ht="12.75">
      <c r="B15273" s="4"/>
      <c r="D15273" s="67"/>
      <c r="G15273" s="68"/>
      <c r="K15273" s="68"/>
    </row>
    <row r="15274" spans="2:11" ht="12.75">
      <c r="B15274" s="4"/>
      <c r="D15274" s="67"/>
      <c r="G15274" s="68"/>
      <c r="K15274" s="68"/>
    </row>
    <row r="15275" spans="2:11" ht="12.75">
      <c r="B15275" s="4"/>
      <c r="D15275" s="67"/>
      <c r="G15275" s="68"/>
      <c r="K15275" s="68"/>
    </row>
    <row r="15276" spans="2:11" ht="12.75">
      <c r="B15276" s="4"/>
      <c r="D15276" s="67"/>
      <c r="G15276" s="68"/>
      <c r="K15276" s="68"/>
    </row>
    <row r="15277" spans="2:11" ht="12.75">
      <c r="B15277" s="4"/>
      <c r="D15277" s="67"/>
      <c r="G15277" s="68"/>
      <c r="K15277" s="68"/>
    </row>
    <row r="15278" spans="2:11" ht="12.75">
      <c r="B15278" s="4"/>
      <c r="D15278" s="67"/>
      <c r="G15278" s="68"/>
      <c r="K15278" s="68"/>
    </row>
    <row r="15279" spans="2:11" ht="12.75">
      <c r="B15279" s="4"/>
      <c r="D15279" s="67"/>
      <c r="G15279" s="68"/>
      <c r="K15279" s="68"/>
    </row>
    <row r="15280" spans="2:11" ht="12.75">
      <c r="B15280" s="4"/>
      <c r="D15280" s="67"/>
      <c r="G15280" s="68"/>
      <c r="K15280" s="68"/>
    </row>
    <row r="15281" spans="2:11" ht="12.75">
      <c r="B15281" s="4"/>
      <c r="D15281" s="67"/>
      <c r="G15281" s="68"/>
      <c r="K15281" s="68"/>
    </row>
    <row r="15282" spans="2:11" ht="12.75">
      <c r="B15282" s="4"/>
      <c r="D15282" s="67"/>
      <c r="G15282" s="68"/>
      <c r="K15282" s="68"/>
    </row>
    <row r="15283" spans="2:11" ht="12.75">
      <c r="B15283" s="4"/>
      <c r="D15283" s="67"/>
      <c r="G15283" s="68"/>
      <c r="K15283" s="68"/>
    </row>
    <row r="15284" spans="2:11" ht="12.75">
      <c r="B15284" s="4"/>
      <c r="D15284" s="67"/>
      <c r="G15284" s="68"/>
      <c r="K15284" s="68"/>
    </row>
    <row r="15285" spans="2:11" ht="12.75">
      <c r="B15285" s="4"/>
      <c r="D15285" s="67"/>
      <c r="G15285" s="68"/>
      <c r="K15285" s="68"/>
    </row>
    <row r="15286" spans="2:11" ht="12.75">
      <c r="B15286" s="4"/>
      <c r="D15286" s="67"/>
      <c r="G15286" s="68"/>
      <c r="K15286" s="68"/>
    </row>
    <row r="15287" spans="2:11" ht="12.75">
      <c r="B15287" s="4"/>
      <c r="D15287" s="67"/>
      <c r="G15287" s="68"/>
      <c r="K15287" s="68"/>
    </row>
    <row r="15288" spans="2:11" ht="12.75">
      <c r="B15288" s="4"/>
      <c r="D15288" s="67"/>
      <c r="G15288" s="68"/>
      <c r="K15288" s="68"/>
    </row>
    <row r="15289" spans="2:11" ht="12.75">
      <c r="B15289" s="4"/>
      <c r="D15289" s="67"/>
      <c r="G15289" s="68"/>
      <c r="K15289" s="68"/>
    </row>
    <row r="15290" spans="2:11" ht="12.75">
      <c r="B15290" s="4"/>
      <c r="D15290" s="67"/>
      <c r="G15290" s="68"/>
      <c r="K15290" s="68"/>
    </row>
    <row r="15291" spans="2:11" ht="12.75">
      <c r="B15291" s="4"/>
      <c r="D15291" s="67"/>
      <c r="G15291" s="68"/>
      <c r="K15291" s="68"/>
    </row>
    <row r="15292" spans="2:11" ht="12.75">
      <c r="B15292" s="4"/>
      <c r="D15292" s="67"/>
      <c r="G15292" s="68"/>
      <c r="K15292" s="68"/>
    </row>
    <row r="15293" spans="2:11" ht="12.75">
      <c r="B15293" s="4"/>
      <c r="D15293" s="67"/>
      <c r="G15293" s="68"/>
      <c r="K15293" s="68"/>
    </row>
    <row r="15294" spans="2:11" ht="12.75">
      <c r="B15294" s="4"/>
      <c r="D15294" s="67"/>
      <c r="G15294" s="68"/>
      <c r="K15294" s="68"/>
    </row>
    <row r="15295" spans="2:11" ht="12.75">
      <c r="B15295" s="4"/>
      <c r="D15295" s="67"/>
      <c r="G15295" s="68"/>
      <c r="K15295" s="68"/>
    </row>
    <row r="15296" spans="2:11" ht="12.75">
      <c r="B15296" s="4"/>
      <c r="D15296" s="67"/>
      <c r="G15296" s="68"/>
      <c r="K15296" s="68"/>
    </row>
    <row r="15297" spans="2:11" ht="12.75">
      <c r="B15297" s="4"/>
      <c r="D15297" s="67"/>
      <c r="G15297" s="68"/>
      <c r="K15297" s="68"/>
    </row>
    <row r="15298" spans="2:11" ht="12.75">
      <c r="B15298" s="4"/>
      <c r="D15298" s="67"/>
      <c r="G15298" s="68"/>
      <c r="K15298" s="68"/>
    </row>
    <row r="15299" spans="2:11" ht="12.75">
      <c r="B15299" s="4"/>
      <c r="D15299" s="67"/>
      <c r="G15299" s="68"/>
      <c r="K15299" s="68"/>
    </row>
    <row r="15300" spans="2:11" ht="12.75">
      <c r="B15300" s="4"/>
      <c r="D15300" s="67"/>
      <c r="G15300" s="68"/>
      <c r="K15300" s="68"/>
    </row>
    <row r="15301" spans="2:11" ht="12.75">
      <c r="B15301" s="4"/>
      <c r="D15301" s="67"/>
      <c r="G15301" s="68"/>
      <c r="K15301" s="68"/>
    </row>
    <row r="15302" spans="2:11" ht="12.75">
      <c r="B15302" s="4"/>
      <c r="D15302" s="67"/>
      <c r="G15302" s="68"/>
      <c r="K15302" s="68"/>
    </row>
    <row r="15303" spans="2:11" ht="12.75">
      <c r="B15303" s="4"/>
      <c r="D15303" s="67"/>
      <c r="G15303" s="68"/>
      <c r="K15303" s="68"/>
    </row>
    <row r="15304" spans="2:11" ht="12.75">
      <c r="B15304" s="4"/>
      <c r="D15304" s="67"/>
      <c r="G15304" s="68"/>
      <c r="K15304" s="68"/>
    </row>
    <row r="15305" spans="2:11" ht="12.75">
      <c r="B15305" s="4"/>
      <c r="D15305" s="67"/>
      <c r="G15305" s="68"/>
      <c r="K15305" s="68"/>
    </row>
    <row r="15306" spans="2:11" ht="12.75">
      <c r="B15306" s="4"/>
      <c r="D15306" s="67"/>
      <c r="G15306" s="68"/>
      <c r="K15306" s="68"/>
    </row>
    <row r="15307" spans="2:11" ht="12.75">
      <c r="B15307" s="4"/>
      <c r="D15307" s="67"/>
      <c r="G15307" s="68"/>
      <c r="K15307" s="68"/>
    </row>
    <row r="15308" spans="2:11" ht="12.75">
      <c r="B15308" s="4"/>
      <c r="D15308" s="67"/>
      <c r="G15308" s="68"/>
      <c r="K15308" s="68"/>
    </row>
    <row r="15309" spans="2:11" ht="12.75">
      <c r="B15309" s="4"/>
      <c r="D15309" s="67"/>
      <c r="G15309" s="68"/>
      <c r="K15309" s="68"/>
    </row>
    <row r="15310" spans="2:11" ht="12.75">
      <c r="B15310" s="4"/>
      <c r="D15310" s="67"/>
      <c r="G15310" s="68"/>
      <c r="K15310" s="68"/>
    </row>
    <row r="15311" spans="2:11" ht="12.75">
      <c r="B15311" s="4"/>
      <c r="D15311" s="67"/>
      <c r="G15311" s="68"/>
      <c r="K15311" s="68"/>
    </row>
    <row r="15312" spans="2:11" ht="12.75">
      <c r="B15312" s="4"/>
      <c r="D15312" s="67"/>
      <c r="G15312" s="68"/>
      <c r="K15312" s="68"/>
    </row>
    <row r="15313" spans="2:11" ht="12.75">
      <c r="B15313" s="4"/>
      <c r="D15313" s="67"/>
      <c r="G15313" s="68"/>
      <c r="K15313" s="68"/>
    </row>
    <row r="15314" spans="2:11" ht="12.75">
      <c r="B15314" s="4"/>
      <c r="D15314" s="67"/>
      <c r="G15314" s="68"/>
      <c r="K15314" s="68"/>
    </row>
    <row r="15315" spans="2:11" ht="12.75">
      <c r="B15315" s="4"/>
      <c r="D15315" s="67"/>
      <c r="G15315" s="68"/>
      <c r="K15315" s="68"/>
    </row>
    <row r="15316" spans="2:11" ht="12.75">
      <c r="B15316" s="4"/>
      <c r="D15316" s="67"/>
      <c r="G15316" s="68"/>
      <c r="K15316" s="68"/>
    </row>
    <row r="15317" spans="2:11" ht="12.75">
      <c r="B15317" s="4"/>
      <c r="D15317" s="67"/>
      <c r="G15317" s="68"/>
      <c r="K15317" s="68"/>
    </row>
    <row r="15318" spans="2:11" ht="12.75">
      <c r="B15318" s="4"/>
      <c r="D15318" s="67"/>
      <c r="G15318" s="68"/>
      <c r="K15318" s="68"/>
    </row>
    <row r="15319" spans="2:11" ht="12.75">
      <c r="B15319" s="4"/>
      <c r="D15319" s="67"/>
      <c r="G15319" s="68"/>
      <c r="K15319" s="68"/>
    </row>
    <row r="15320" spans="2:11" ht="12.75">
      <c r="B15320" s="4"/>
      <c r="D15320" s="67"/>
      <c r="G15320" s="68"/>
      <c r="K15320" s="68"/>
    </row>
    <row r="15321" spans="2:11" ht="12.75">
      <c r="B15321" s="4"/>
      <c r="D15321" s="67"/>
      <c r="G15321" s="68"/>
      <c r="K15321" s="68"/>
    </row>
    <row r="15322" spans="2:11" ht="12.75">
      <c r="B15322" s="4"/>
      <c r="D15322" s="67"/>
      <c r="G15322" s="68"/>
      <c r="K15322" s="68"/>
    </row>
    <row r="15323" spans="2:11" ht="12.75">
      <c r="B15323" s="4"/>
      <c r="D15323" s="67"/>
      <c r="G15323" s="68"/>
      <c r="K15323" s="68"/>
    </row>
    <row r="15324" spans="2:11" ht="12.75">
      <c r="B15324" s="4"/>
      <c r="D15324" s="67"/>
      <c r="G15324" s="68"/>
      <c r="K15324" s="68"/>
    </row>
    <row r="15325" spans="2:11" ht="12.75">
      <c r="B15325" s="4"/>
      <c r="D15325" s="67"/>
      <c r="G15325" s="68"/>
      <c r="K15325" s="68"/>
    </row>
    <row r="15326" spans="2:11" ht="12.75">
      <c r="B15326" s="4"/>
      <c r="D15326" s="67"/>
      <c r="G15326" s="68"/>
      <c r="K15326" s="68"/>
    </row>
    <row r="15327" spans="2:11" ht="12.75">
      <c r="B15327" s="4"/>
      <c r="D15327" s="67"/>
      <c r="G15327" s="68"/>
      <c r="K15327" s="68"/>
    </row>
    <row r="15328" spans="2:11" ht="12.75">
      <c r="B15328" s="4"/>
      <c r="D15328" s="67"/>
      <c r="G15328" s="68"/>
      <c r="K15328" s="68"/>
    </row>
    <row r="15329" spans="2:11" ht="12.75">
      <c r="B15329" s="4"/>
      <c r="D15329" s="67"/>
      <c r="G15329" s="68"/>
      <c r="K15329" s="68"/>
    </row>
    <row r="15330" spans="2:11" ht="12.75">
      <c r="B15330" s="4"/>
      <c r="D15330" s="67"/>
      <c r="G15330" s="68"/>
      <c r="K15330" s="68"/>
    </row>
    <row r="15331" spans="2:11" ht="12.75">
      <c r="B15331" s="4"/>
      <c r="D15331" s="67"/>
      <c r="G15331" s="68"/>
      <c r="K15331" s="68"/>
    </row>
    <row r="15332" spans="2:11" ht="12.75">
      <c r="B15332" s="4"/>
      <c r="D15332" s="67"/>
      <c r="G15332" s="68"/>
      <c r="K15332" s="68"/>
    </row>
    <row r="15333" spans="2:11" ht="12.75">
      <c r="B15333" s="4"/>
      <c r="D15333" s="67"/>
      <c r="G15333" s="68"/>
      <c r="K15333" s="68"/>
    </row>
    <row r="15334" spans="2:11" ht="12.75">
      <c r="B15334" s="4"/>
      <c r="D15334" s="67"/>
      <c r="G15334" s="68"/>
      <c r="K15334" s="68"/>
    </row>
    <row r="15335" spans="2:11" ht="12.75">
      <c r="B15335" s="4"/>
      <c r="D15335" s="67"/>
      <c r="G15335" s="68"/>
      <c r="K15335" s="68"/>
    </row>
    <row r="15336" spans="2:11" ht="12.75">
      <c r="B15336" s="4"/>
      <c r="D15336" s="67"/>
      <c r="G15336" s="68"/>
      <c r="K15336" s="68"/>
    </row>
    <row r="15337" spans="2:11" ht="12.75">
      <c r="B15337" s="4"/>
      <c r="D15337" s="67"/>
      <c r="G15337" s="68"/>
      <c r="K15337" s="68"/>
    </row>
    <row r="15338" spans="2:11" ht="12.75">
      <c r="B15338" s="4"/>
      <c r="D15338" s="67"/>
      <c r="G15338" s="68"/>
      <c r="K15338" s="68"/>
    </row>
    <row r="15339" spans="2:11" ht="12.75">
      <c r="B15339" s="4"/>
      <c r="D15339" s="67"/>
      <c r="G15339" s="68"/>
      <c r="K15339" s="68"/>
    </row>
    <row r="15340" spans="2:11" ht="12.75">
      <c r="B15340" s="4"/>
      <c r="D15340" s="67"/>
      <c r="G15340" s="68"/>
      <c r="K15340" s="68"/>
    </row>
    <row r="15341" spans="2:11" ht="12.75">
      <c r="B15341" s="4"/>
      <c r="D15341" s="67"/>
      <c r="G15341" s="68"/>
      <c r="K15341" s="68"/>
    </row>
    <row r="15342" spans="2:11" ht="12.75">
      <c r="B15342" s="4"/>
      <c r="D15342" s="67"/>
      <c r="G15342" s="68"/>
      <c r="K15342" s="68"/>
    </row>
    <row r="15343" spans="2:11" ht="12.75">
      <c r="B15343" s="4"/>
      <c r="D15343" s="67"/>
      <c r="G15343" s="68"/>
      <c r="K15343" s="68"/>
    </row>
    <row r="15344" spans="2:11" ht="12.75">
      <c r="B15344" s="4"/>
      <c r="D15344" s="67"/>
      <c r="G15344" s="68"/>
      <c r="K15344" s="68"/>
    </row>
    <row r="15345" spans="2:11" ht="12.75">
      <c r="B15345" s="4"/>
      <c r="D15345" s="67"/>
      <c r="G15345" s="68"/>
      <c r="K15345" s="68"/>
    </row>
    <row r="15346" spans="2:11" ht="12.75">
      <c r="B15346" s="4"/>
      <c r="D15346" s="67"/>
      <c r="G15346" s="68"/>
      <c r="K15346" s="68"/>
    </row>
    <row r="15347" spans="2:11" ht="12.75">
      <c r="B15347" s="4"/>
      <c r="D15347" s="67"/>
      <c r="G15347" s="68"/>
      <c r="K15347" s="68"/>
    </row>
    <row r="15348" spans="2:11" ht="12.75">
      <c r="B15348" s="4"/>
      <c r="D15348" s="67"/>
      <c r="G15348" s="68"/>
      <c r="K15348" s="68"/>
    </row>
    <row r="15349" spans="2:11" ht="12.75">
      <c r="B15349" s="4"/>
      <c r="D15349" s="67"/>
      <c r="G15349" s="68"/>
      <c r="K15349" s="68"/>
    </row>
    <row r="15350" spans="2:11" ht="12.75">
      <c r="B15350" s="4"/>
      <c r="D15350" s="67"/>
      <c r="G15350" s="68"/>
      <c r="K15350" s="68"/>
    </row>
    <row r="15351" spans="2:11" ht="12.75">
      <c r="B15351" s="4"/>
      <c r="D15351" s="67"/>
      <c r="G15351" s="68"/>
      <c r="K15351" s="68"/>
    </row>
    <row r="15352" spans="2:11" ht="12.75">
      <c r="B15352" s="4"/>
      <c r="D15352" s="67"/>
      <c r="G15352" s="68"/>
      <c r="K15352" s="68"/>
    </row>
    <row r="15353" spans="2:11" ht="12.75">
      <c r="B15353" s="4"/>
      <c r="D15353" s="67"/>
      <c r="G15353" s="68"/>
      <c r="K15353" s="68"/>
    </row>
    <row r="15354" spans="2:11" ht="12.75">
      <c r="B15354" s="4"/>
      <c r="D15354" s="67"/>
      <c r="G15354" s="68"/>
      <c r="K15354" s="68"/>
    </row>
    <row r="15355" spans="2:11" ht="12.75">
      <c r="B15355" s="4"/>
      <c r="D15355" s="67"/>
      <c r="G15355" s="68"/>
      <c r="K15355" s="68"/>
    </row>
    <row r="15356" spans="2:11" ht="12.75">
      <c r="B15356" s="4"/>
      <c r="D15356" s="67"/>
      <c r="G15356" s="68"/>
      <c r="K15356" s="68"/>
    </row>
    <row r="15357" spans="2:11" ht="12.75">
      <c r="B15357" s="4"/>
      <c r="D15357" s="67"/>
      <c r="G15357" s="68"/>
      <c r="K15357" s="68"/>
    </row>
    <row r="15358" spans="2:11" ht="12.75">
      <c r="B15358" s="4"/>
      <c r="D15358" s="67"/>
      <c r="G15358" s="68"/>
      <c r="K15358" s="68"/>
    </row>
    <row r="15359" spans="2:11" ht="12.75">
      <c r="B15359" s="4"/>
      <c r="D15359" s="67"/>
      <c r="G15359" s="68"/>
      <c r="K15359" s="68"/>
    </row>
    <row r="15360" spans="2:11" ht="12.75">
      <c r="B15360" s="4"/>
      <c r="D15360" s="67"/>
      <c r="G15360" s="68"/>
      <c r="K15360" s="68"/>
    </row>
    <row r="15361" spans="2:11" ht="12.75">
      <c r="B15361" s="4"/>
      <c r="D15361" s="67"/>
      <c r="G15361" s="68"/>
      <c r="K15361" s="68"/>
    </row>
    <row r="15362" spans="2:11" ht="12.75">
      <c r="B15362" s="4"/>
      <c r="D15362" s="67"/>
      <c r="G15362" s="68"/>
      <c r="K15362" s="68"/>
    </row>
    <row r="15363" spans="2:11" ht="12.75">
      <c r="B15363" s="4"/>
      <c r="D15363" s="67"/>
      <c r="G15363" s="68"/>
      <c r="K15363" s="68"/>
    </row>
    <row r="15364" spans="2:11" ht="12.75">
      <c r="B15364" s="4"/>
      <c r="D15364" s="67"/>
      <c r="G15364" s="68"/>
      <c r="K15364" s="68"/>
    </row>
    <row r="15365" spans="2:11" ht="12.75">
      <c r="B15365" s="4"/>
      <c r="D15365" s="67"/>
      <c r="G15365" s="68"/>
      <c r="K15365" s="68"/>
    </row>
    <row r="15366" spans="2:11" ht="12.75">
      <c r="B15366" s="4"/>
      <c r="D15366" s="67"/>
      <c r="G15366" s="68"/>
      <c r="K15366" s="68"/>
    </row>
    <row r="15367" spans="2:11" ht="12.75">
      <c r="B15367" s="4"/>
      <c r="D15367" s="67"/>
      <c r="G15367" s="68"/>
      <c r="K15367" s="68"/>
    </row>
    <row r="15368" spans="2:11" ht="12.75">
      <c r="B15368" s="4"/>
      <c r="D15368" s="67"/>
      <c r="G15368" s="68"/>
      <c r="K15368" s="68"/>
    </row>
    <row r="15369" spans="2:11" ht="12.75">
      <c r="B15369" s="4"/>
      <c r="D15369" s="67"/>
      <c r="G15369" s="68"/>
      <c r="K15369" s="68"/>
    </row>
    <row r="15370" spans="2:11" ht="12.75">
      <c r="B15370" s="4"/>
      <c r="D15370" s="67"/>
      <c r="G15370" s="68"/>
      <c r="K15370" s="68"/>
    </row>
    <row r="15371" spans="2:11" ht="12.75">
      <c r="B15371" s="4"/>
      <c r="D15371" s="67"/>
      <c r="G15371" s="68"/>
      <c r="K15371" s="68"/>
    </row>
    <row r="15372" spans="2:11" ht="12.75">
      <c r="B15372" s="4"/>
      <c r="D15372" s="67"/>
      <c r="G15372" s="68"/>
      <c r="K15372" s="68"/>
    </row>
    <row r="15373" spans="2:11" ht="12.75">
      <c r="B15373" s="4"/>
      <c r="D15373" s="67"/>
      <c r="G15373" s="68"/>
      <c r="K15373" s="68"/>
    </row>
    <row r="15374" spans="2:11" ht="12.75">
      <c r="B15374" s="4"/>
      <c r="D15374" s="67"/>
      <c r="G15374" s="68"/>
      <c r="K15374" s="68"/>
    </row>
    <row r="15375" spans="2:11" ht="12.75">
      <c r="B15375" s="4"/>
      <c r="D15375" s="67"/>
      <c r="G15375" s="68"/>
      <c r="K15375" s="68"/>
    </row>
    <row r="15376" spans="2:11" ht="12.75">
      <c r="B15376" s="4"/>
      <c r="D15376" s="67"/>
      <c r="G15376" s="68"/>
      <c r="K15376" s="68"/>
    </row>
    <row r="15377" spans="2:11" ht="12.75">
      <c r="B15377" s="4"/>
      <c r="D15377" s="67"/>
      <c r="G15377" s="68"/>
      <c r="K15377" s="68"/>
    </row>
    <row r="15378" spans="2:11" ht="12.75">
      <c r="B15378" s="4"/>
      <c r="D15378" s="67"/>
      <c r="G15378" s="68"/>
      <c r="K15378" s="68"/>
    </row>
    <row r="15379" spans="2:11" ht="12.75">
      <c r="B15379" s="4"/>
      <c r="D15379" s="67"/>
      <c r="G15379" s="68"/>
      <c r="K15379" s="68"/>
    </row>
    <row r="15380" spans="2:11" ht="12.75">
      <c r="B15380" s="4"/>
      <c r="D15380" s="67"/>
      <c r="G15380" s="68"/>
      <c r="K15380" s="68"/>
    </row>
    <row r="15381" spans="2:11" ht="12.75">
      <c r="B15381" s="4"/>
      <c r="D15381" s="67"/>
      <c r="G15381" s="68"/>
      <c r="K15381" s="68"/>
    </row>
    <row r="15382" spans="2:11" ht="12.75">
      <c r="B15382" s="4"/>
      <c r="D15382" s="67"/>
      <c r="G15382" s="68"/>
      <c r="K15382" s="68"/>
    </row>
    <row r="15383" spans="2:11" ht="12.75">
      <c r="B15383" s="4"/>
      <c r="D15383" s="67"/>
      <c r="G15383" s="68"/>
      <c r="K15383" s="68"/>
    </row>
    <row r="15384" spans="2:11" ht="12.75">
      <c r="B15384" s="4"/>
      <c r="D15384" s="67"/>
      <c r="G15384" s="68"/>
      <c r="K15384" s="68"/>
    </row>
    <row r="15385" spans="2:11" ht="12.75">
      <c r="B15385" s="4"/>
      <c r="D15385" s="67"/>
      <c r="G15385" s="68"/>
      <c r="K15385" s="68"/>
    </row>
    <row r="15386" spans="2:11" ht="12.75">
      <c r="B15386" s="4"/>
      <c r="D15386" s="67"/>
      <c r="G15386" s="68"/>
      <c r="K15386" s="68"/>
    </row>
    <row r="15387" spans="2:11" ht="12.75">
      <c r="B15387" s="4"/>
      <c r="D15387" s="67"/>
      <c r="G15387" s="68"/>
      <c r="K15387" s="68"/>
    </row>
    <row r="15388" spans="2:11" ht="12.75">
      <c r="B15388" s="4"/>
      <c r="D15388" s="67"/>
      <c r="G15388" s="68"/>
      <c r="K15388" s="68"/>
    </row>
    <row r="15389" spans="2:11" ht="12.75">
      <c r="B15389" s="4"/>
      <c r="D15389" s="67"/>
      <c r="G15389" s="68"/>
      <c r="K15389" s="68"/>
    </row>
    <row r="15390" spans="2:11" ht="12.75">
      <c r="B15390" s="4"/>
      <c r="D15390" s="67"/>
      <c r="G15390" s="68"/>
      <c r="K15390" s="68"/>
    </row>
    <row r="15391" spans="2:11" ht="12.75">
      <c r="B15391" s="4"/>
      <c r="D15391" s="67"/>
      <c r="G15391" s="68"/>
      <c r="K15391" s="68"/>
    </row>
    <row r="15392" spans="2:11" ht="12.75">
      <c r="B15392" s="4"/>
      <c r="D15392" s="67"/>
      <c r="G15392" s="68"/>
      <c r="K15392" s="68"/>
    </row>
    <row r="15393" spans="2:11" ht="12.75">
      <c r="B15393" s="4"/>
      <c r="D15393" s="67"/>
      <c r="G15393" s="68"/>
      <c r="K15393" s="68"/>
    </row>
    <row r="15394" spans="2:11" ht="12.75">
      <c r="B15394" s="4"/>
      <c r="D15394" s="67"/>
      <c r="G15394" s="68"/>
      <c r="K15394" s="68"/>
    </row>
    <row r="15395" spans="2:11" ht="12.75">
      <c r="B15395" s="4"/>
      <c r="D15395" s="67"/>
      <c r="G15395" s="68"/>
      <c r="K15395" s="68"/>
    </row>
    <row r="15396" spans="2:11" ht="12.75">
      <c r="B15396" s="4"/>
      <c r="D15396" s="67"/>
      <c r="G15396" s="68"/>
      <c r="K15396" s="68"/>
    </row>
    <row r="15397" spans="2:11" ht="12.75">
      <c r="B15397" s="4"/>
      <c r="D15397" s="67"/>
      <c r="G15397" s="68"/>
      <c r="K15397" s="68"/>
    </row>
    <row r="15398" spans="2:11" ht="12.75">
      <c r="B15398" s="4"/>
      <c r="D15398" s="67"/>
      <c r="G15398" s="68"/>
      <c r="K15398" s="68"/>
    </row>
    <row r="15399" spans="2:11" ht="12.75">
      <c r="B15399" s="4"/>
      <c r="D15399" s="67"/>
      <c r="G15399" s="68"/>
      <c r="K15399" s="68"/>
    </row>
    <row r="15400" spans="2:11" ht="12.75">
      <c r="B15400" s="4"/>
      <c r="D15400" s="67"/>
      <c r="G15400" s="68"/>
      <c r="K15400" s="68"/>
    </row>
    <row r="15401" spans="2:11" ht="12.75">
      <c r="B15401" s="4"/>
      <c r="D15401" s="67"/>
      <c r="G15401" s="68"/>
      <c r="K15401" s="68"/>
    </row>
    <row r="15402" spans="2:11" ht="12.75">
      <c r="B15402" s="4"/>
      <c r="D15402" s="67"/>
      <c r="G15402" s="68"/>
      <c r="K15402" s="68"/>
    </row>
    <row r="15403" spans="2:11" ht="12.75">
      <c r="B15403" s="4"/>
      <c r="D15403" s="67"/>
      <c r="G15403" s="68"/>
      <c r="K15403" s="68"/>
    </row>
    <row r="15404" spans="2:11" ht="12.75">
      <c r="B15404" s="4"/>
      <c r="D15404" s="67"/>
      <c r="G15404" s="68"/>
      <c r="K15404" s="68"/>
    </row>
    <row r="15405" spans="2:11" ht="12.75">
      <c r="B15405" s="4"/>
      <c r="D15405" s="67"/>
      <c r="G15405" s="68"/>
      <c r="K15405" s="68"/>
    </row>
    <row r="15406" spans="2:11" ht="12.75">
      <c r="B15406" s="4"/>
      <c r="D15406" s="67"/>
      <c r="G15406" s="68"/>
      <c r="K15406" s="68"/>
    </row>
    <row r="15407" spans="2:11" ht="12.75">
      <c r="B15407" s="4"/>
      <c r="D15407" s="67"/>
      <c r="G15407" s="68"/>
      <c r="K15407" s="68"/>
    </row>
    <row r="15408" spans="2:11" ht="12.75">
      <c r="B15408" s="4"/>
      <c r="D15408" s="67"/>
      <c r="G15408" s="68"/>
      <c r="K15408" s="68"/>
    </row>
    <row r="15409" spans="2:11" ht="12.75">
      <c r="B15409" s="4"/>
      <c r="D15409" s="67"/>
      <c r="G15409" s="68"/>
      <c r="K15409" s="68"/>
    </row>
    <row r="15410" spans="2:11" ht="12.75">
      <c r="B15410" s="4"/>
      <c r="D15410" s="67"/>
      <c r="G15410" s="68"/>
      <c r="K15410" s="68"/>
    </row>
    <row r="15411" spans="2:11" ht="12.75">
      <c r="B15411" s="4"/>
      <c r="D15411" s="67"/>
      <c r="G15411" s="68"/>
      <c r="K15411" s="68"/>
    </row>
    <row r="15412" spans="2:11" ht="12.75">
      <c r="B15412" s="4"/>
      <c r="D15412" s="67"/>
      <c r="G15412" s="68"/>
      <c r="K15412" s="68"/>
    </row>
    <row r="15413" spans="2:11" ht="12.75">
      <c r="B15413" s="4"/>
      <c r="D15413" s="67"/>
      <c r="G15413" s="68"/>
      <c r="K15413" s="68"/>
    </row>
    <row r="15414" spans="2:11" ht="12.75">
      <c r="B15414" s="4"/>
      <c r="D15414" s="67"/>
      <c r="G15414" s="68"/>
      <c r="K15414" s="68"/>
    </row>
    <row r="15415" spans="2:11" ht="12.75">
      <c r="B15415" s="4"/>
      <c r="D15415" s="67"/>
      <c r="G15415" s="68"/>
      <c r="K15415" s="68"/>
    </row>
    <row r="15416" spans="2:11" ht="12.75">
      <c r="B15416" s="4"/>
      <c r="D15416" s="67"/>
      <c r="G15416" s="68"/>
      <c r="K15416" s="68"/>
    </row>
    <row r="15417" spans="2:11" ht="12.75">
      <c r="B15417" s="4"/>
      <c r="D15417" s="67"/>
      <c r="G15417" s="68"/>
      <c r="K15417" s="68"/>
    </row>
    <row r="15418" spans="2:11" ht="12.75">
      <c r="B15418" s="4"/>
      <c r="D15418" s="67"/>
      <c r="G15418" s="68"/>
      <c r="K15418" s="68"/>
    </row>
    <row r="15419" spans="2:11" ht="12.75">
      <c r="B15419" s="4"/>
      <c r="D15419" s="67"/>
      <c r="G15419" s="68"/>
      <c r="K15419" s="68"/>
    </row>
    <row r="15420" spans="2:11" ht="12.75">
      <c r="B15420" s="4"/>
      <c r="D15420" s="67"/>
      <c r="G15420" s="68"/>
      <c r="K15420" s="68"/>
    </row>
    <row r="15421" spans="2:11" ht="12.75">
      <c r="B15421" s="4"/>
      <c r="D15421" s="67"/>
      <c r="G15421" s="68"/>
      <c r="K15421" s="68"/>
    </row>
    <row r="15422" spans="2:11" ht="12.75">
      <c r="B15422" s="4"/>
      <c r="D15422" s="67"/>
      <c r="G15422" s="68"/>
      <c r="K15422" s="68"/>
    </row>
    <row r="15423" spans="2:11" ht="12.75">
      <c r="B15423" s="4"/>
      <c r="D15423" s="67"/>
      <c r="G15423" s="68"/>
      <c r="K15423" s="68"/>
    </row>
    <row r="15424" spans="2:11" ht="12.75">
      <c r="B15424" s="4"/>
      <c r="D15424" s="67"/>
      <c r="G15424" s="68"/>
      <c r="K15424" s="68"/>
    </row>
    <row r="15425" spans="2:11" ht="12.75">
      <c r="B15425" s="4"/>
      <c r="D15425" s="67"/>
      <c r="G15425" s="68"/>
      <c r="K15425" s="68"/>
    </row>
    <row r="15426" spans="2:11" ht="12.75">
      <c r="B15426" s="4"/>
      <c r="D15426" s="67"/>
      <c r="G15426" s="68"/>
      <c r="K15426" s="68"/>
    </row>
    <row r="15427" spans="2:11" ht="12.75">
      <c r="B15427" s="4"/>
      <c r="D15427" s="67"/>
      <c r="G15427" s="68"/>
      <c r="K15427" s="68"/>
    </row>
    <row r="15428" spans="2:11" ht="12.75">
      <c r="B15428" s="4"/>
      <c r="D15428" s="67"/>
      <c r="G15428" s="68"/>
      <c r="K15428" s="68"/>
    </row>
    <row r="15429" spans="2:11" ht="12.75">
      <c r="B15429" s="4"/>
      <c r="D15429" s="67"/>
      <c r="G15429" s="68"/>
      <c r="K15429" s="68"/>
    </row>
    <row r="15430" spans="2:11" ht="12.75">
      <c r="B15430" s="4"/>
      <c r="D15430" s="67"/>
      <c r="G15430" s="68"/>
      <c r="K15430" s="68"/>
    </row>
    <row r="15431" spans="2:11" ht="12.75">
      <c r="B15431" s="4"/>
      <c r="D15431" s="67"/>
      <c r="G15431" s="68"/>
      <c r="K15431" s="68"/>
    </row>
    <row r="15432" spans="2:11" ht="12.75">
      <c r="B15432" s="4"/>
      <c r="D15432" s="67"/>
      <c r="G15432" s="68"/>
      <c r="K15432" s="68"/>
    </row>
    <row r="15433" spans="2:11" ht="12.75">
      <c r="B15433" s="4"/>
      <c r="D15433" s="67"/>
      <c r="G15433" s="68"/>
      <c r="K15433" s="68"/>
    </row>
    <row r="15434" spans="2:11" ht="12.75">
      <c r="B15434" s="4"/>
      <c r="D15434" s="67"/>
      <c r="G15434" s="68"/>
      <c r="K15434" s="68"/>
    </row>
    <row r="15435" spans="2:11" ht="12.75">
      <c r="B15435" s="4"/>
      <c r="D15435" s="67"/>
      <c r="G15435" s="68"/>
      <c r="K15435" s="68"/>
    </row>
    <row r="15436" spans="2:11" ht="12.75">
      <c r="B15436" s="4"/>
      <c r="D15436" s="67"/>
      <c r="G15436" s="68"/>
      <c r="K15436" s="68"/>
    </row>
    <row r="15437" spans="2:11" ht="12.75">
      <c r="B15437" s="4"/>
      <c r="D15437" s="67"/>
      <c r="G15437" s="68"/>
      <c r="K15437" s="68"/>
    </row>
    <row r="15438" spans="2:11" ht="12.75">
      <c r="B15438" s="4"/>
      <c r="D15438" s="67"/>
      <c r="G15438" s="68"/>
      <c r="K15438" s="68"/>
    </row>
    <row r="15439" spans="2:11" ht="12.75">
      <c r="B15439" s="4"/>
      <c r="D15439" s="67"/>
      <c r="G15439" s="68"/>
      <c r="K15439" s="68"/>
    </row>
    <row r="15440" spans="2:11" ht="12.75">
      <c r="B15440" s="4"/>
      <c r="D15440" s="67"/>
      <c r="G15440" s="68"/>
      <c r="K15440" s="68"/>
    </row>
    <row r="15441" spans="2:11" ht="12.75">
      <c r="B15441" s="4"/>
      <c r="D15441" s="67"/>
      <c r="G15441" s="68"/>
      <c r="K15441" s="68"/>
    </row>
    <row r="15442" spans="2:11" ht="12.75">
      <c r="B15442" s="4"/>
      <c r="D15442" s="67"/>
      <c r="G15442" s="68"/>
      <c r="K15442" s="68"/>
    </row>
    <row r="15443" spans="2:11" ht="12.75">
      <c r="B15443" s="4"/>
      <c r="D15443" s="67"/>
      <c r="G15443" s="68"/>
      <c r="K15443" s="68"/>
    </row>
    <row r="15444" spans="2:11" ht="12.75">
      <c r="B15444" s="4"/>
      <c r="D15444" s="67"/>
      <c r="G15444" s="68"/>
      <c r="K15444" s="68"/>
    </row>
    <row r="15445" spans="2:11" ht="12.75">
      <c r="B15445" s="4"/>
      <c r="D15445" s="67"/>
      <c r="G15445" s="68"/>
      <c r="K15445" s="68"/>
    </row>
    <row r="15446" spans="2:11" ht="12.75">
      <c r="B15446" s="4"/>
      <c r="D15446" s="67"/>
      <c r="G15446" s="68"/>
      <c r="K15446" s="68"/>
    </row>
    <row r="15447" spans="2:11" ht="12.75">
      <c r="B15447" s="4"/>
      <c r="D15447" s="67"/>
      <c r="G15447" s="68"/>
      <c r="K15447" s="68"/>
    </row>
    <row r="15448" spans="2:11" ht="12.75">
      <c r="B15448" s="4"/>
      <c r="D15448" s="67"/>
      <c r="G15448" s="68"/>
      <c r="K15448" s="68"/>
    </row>
    <row r="15449" spans="2:11" ht="12.75">
      <c r="B15449" s="4"/>
      <c r="D15449" s="67"/>
      <c r="G15449" s="68"/>
      <c r="K15449" s="68"/>
    </row>
    <row r="15450" spans="2:11" ht="12.75">
      <c r="B15450" s="4"/>
      <c r="D15450" s="67"/>
      <c r="G15450" s="68"/>
      <c r="K15450" s="68"/>
    </row>
    <row r="15451" spans="2:11" ht="12.75">
      <c r="B15451" s="4"/>
      <c r="D15451" s="67"/>
      <c r="G15451" s="68"/>
      <c r="K15451" s="68"/>
    </row>
    <row r="15452" spans="2:11" ht="12.75">
      <c r="B15452" s="4"/>
      <c r="D15452" s="67"/>
      <c r="G15452" s="68"/>
      <c r="K15452" s="68"/>
    </row>
    <row r="15453" spans="2:11" ht="12.75">
      <c r="B15453" s="4"/>
      <c r="D15453" s="67"/>
      <c r="G15453" s="68"/>
      <c r="K15453" s="68"/>
    </row>
    <row r="15454" spans="2:11" ht="12.75">
      <c r="B15454" s="4"/>
      <c r="D15454" s="67"/>
      <c r="G15454" s="68"/>
      <c r="K15454" s="68"/>
    </row>
    <row r="15455" spans="2:11" ht="12.75">
      <c r="B15455" s="4"/>
      <c r="D15455" s="67"/>
      <c r="G15455" s="68"/>
      <c r="K15455" s="68"/>
    </row>
    <row r="15456" spans="2:11" ht="12.75">
      <c r="B15456" s="4"/>
      <c r="D15456" s="67"/>
      <c r="G15456" s="68"/>
      <c r="K15456" s="68"/>
    </row>
    <row r="15457" spans="2:11" ht="12.75">
      <c r="B15457" s="4"/>
      <c r="D15457" s="67"/>
      <c r="G15457" s="68"/>
      <c r="K15457" s="68"/>
    </row>
    <row r="15458" spans="2:11" ht="12.75">
      <c r="B15458" s="4"/>
      <c r="D15458" s="67"/>
      <c r="G15458" s="68"/>
      <c r="K15458" s="68"/>
    </row>
    <row r="15459" spans="2:11" ht="12.75">
      <c r="B15459" s="4"/>
      <c r="D15459" s="67"/>
      <c r="G15459" s="68"/>
      <c r="K15459" s="68"/>
    </row>
    <row r="15460" spans="2:11" ht="12.75">
      <c r="B15460" s="4"/>
      <c r="D15460" s="67"/>
      <c r="G15460" s="68"/>
      <c r="K15460" s="68"/>
    </row>
    <row r="15461" spans="2:11" ht="12.75">
      <c r="B15461" s="4"/>
      <c r="D15461" s="67"/>
      <c r="G15461" s="68"/>
      <c r="K15461" s="68"/>
    </row>
    <row r="15462" spans="2:11" ht="12.75">
      <c r="B15462" s="4"/>
      <c r="D15462" s="67"/>
      <c r="G15462" s="68"/>
      <c r="K15462" s="68"/>
    </row>
    <row r="15463" spans="2:11" ht="12.75">
      <c r="B15463" s="4"/>
      <c r="D15463" s="67"/>
      <c r="G15463" s="68"/>
      <c r="K15463" s="68"/>
    </row>
    <row r="15464" spans="2:11" ht="12.75">
      <c r="B15464" s="4"/>
      <c r="D15464" s="67"/>
      <c r="G15464" s="68"/>
      <c r="K15464" s="68"/>
    </row>
    <row r="15465" spans="2:11" ht="12.75">
      <c r="B15465" s="4"/>
      <c r="D15465" s="67"/>
      <c r="G15465" s="68"/>
      <c r="K15465" s="68"/>
    </row>
    <row r="15466" spans="2:11" ht="12.75">
      <c r="B15466" s="4"/>
      <c r="D15466" s="67"/>
      <c r="G15466" s="68"/>
      <c r="K15466" s="68"/>
    </row>
    <row r="15467" spans="2:11" ht="12.75">
      <c r="B15467" s="4"/>
      <c r="D15467" s="67"/>
      <c r="G15467" s="68"/>
      <c r="K15467" s="68"/>
    </row>
    <row r="15468" spans="2:11" ht="12.75">
      <c r="B15468" s="4"/>
      <c r="D15468" s="67"/>
      <c r="G15468" s="68"/>
      <c r="K15468" s="68"/>
    </row>
    <row r="15469" spans="2:11" ht="12.75">
      <c r="B15469" s="4"/>
      <c r="D15469" s="67"/>
      <c r="G15469" s="68"/>
      <c r="K15469" s="68"/>
    </row>
    <row r="15470" spans="2:11" ht="12.75">
      <c r="B15470" s="4"/>
      <c r="D15470" s="67"/>
      <c r="G15470" s="68"/>
      <c r="K15470" s="68"/>
    </row>
    <row r="15471" spans="2:11" ht="12.75">
      <c r="B15471" s="4"/>
      <c r="D15471" s="67"/>
      <c r="G15471" s="68"/>
      <c r="K15471" s="68"/>
    </row>
    <row r="15472" spans="2:11" ht="12.75">
      <c r="B15472" s="4"/>
      <c r="D15472" s="67"/>
      <c r="G15472" s="68"/>
      <c r="K15472" s="68"/>
    </row>
    <row r="15473" spans="2:11" ht="12.75">
      <c r="B15473" s="4"/>
      <c r="D15473" s="67"/>
      <c r="G15473" s="68"/>
      <c r="K15473" s="68"/>
    </row>
    <row r="15474" spans="2:11" ht="12.75">
      <c r="B15474" s="4"/>
      <c r="D15474" s="67"/>
      <c r="G15474" s="68"/>
      <c r="K15474" s="68"/>
    </row>
    <row r="15475" spans="2:11" ht="12.75">
      <c r="B15475" s="4"/>
      <c r="D15475" s="67"/>
      <c r="G15475" s="68"/>
      <c r="K15475" s="68"/>
    </row>
    <row r="15476" spans="2:11" ht="12.75">
      <c r="B15476" s="4"/>
      <c r="D15476" s="67"/>
      <c r="G15476" s="68"/>
      <c r="K15476" s="68"/>
    </row>
    <row r="15477" spans="2:11" ht="12.75">
      <c r="B15477" s="4"/>
      <c r="D15477" s="67"/>
      <c r="G15477" s="68"/>
      <c r="K15477" s="68"/>
    </row>
    <row r="15478" spans="2:11" ht="12.75">
      <c r="B15478" s="4"/>
      <c r="D15478" s="67"/>
      <c r="G15478" s="68"/>
      <c r="K15478" s="68"/>
    </row>
    <row r="15479" spans="2:11" ht="12.75">
      <c r="B15479" s="4"/>
      <c r="D15479" s="67"/>
      <c r="G15479" s="68"/>
      <c r="K15479" s="68"/>
    </row>
    <row r="15480" spans="2:11" ht="12.75">
      <c r="B15480" s="4"/>
      <c r="D15480" s="67"/>
      <c r="G15480" s="68"/>
      <c r="K15480" s="68"/>
    </row>
    <row r="15481" spans="2:11" ht="12.75">
      <c r="B15481" s="4"/>
      <c r="D15481" s="67"/>
      <c r="G15481" s="68"/>
      <c r="K15481" s="68"/>
    </row>
    <row r="15482" spans="2:11" ht="12.75">
      <c r="B15482" s="4"/>
      <c r="D15482" s="67"/>
      <c r="G15482" s="68"/>
      <c r="K15482" s="68"/>
    </row>
    <row r="15483" spans="2:11" ht="12.75">
      <c r="B15483" s="4"/>
      <c r="D15483" s="67"/>
      <c r="G15483" s="68"/>
      <c r="K15483" s="68"/>
    </row>
    <row r="15484" spans="2:11" ht="12.75">
      <c r="B15484" s="4"/>
      <c r="D15484" s="67"/>
      <c r="G15484" s="68"/>
      <c r="K15484" s="68"/>
    </row>
    <row r="15485" spans="2:11" ht="12.75">
      <c r="B15485" s="4"/>
      <c r="D15485" s="67"/>
      <c r="G15485" s="68"/>
      <c r="K15485" s="68"/>
    </row>
    <row r="15486" spans="2:11" ht="12.75">
      <c r="B15486" s="4"/>
      <c r="D15486" s="67"/>
      <c r="G15486" s="68"/>
      <c r="K15486" s="68"/>
    </row>
    <row r="15487" spans="2:11" ht="12.75">
      <c r="B15487" s="4"/>
      <c r="D15487" s="67"/>
      <c r="G15487" s="68"/>
      <c r="K15487" s="68"/>
    </row>
    <row r="15488" spans="2:11" ht="12.75">
      <c r="B15488" s="4"/>
      <c r="D15488" s="67"/>
      <c r="G15488" s="68"/>
      <c r="K15488" s="68"/>
    </row>
    <row r="15489" spans="2:11" ht="12.75">
      <c r="B15489" s="4"/>
      <c r="D15489" s="67"/>
      <c r="G15489" s="68"/>
      <c r="K15489" s="68"/>
    </row>
    <row r="15490" spans="2:11" ht="12.75">
      <c r="B15490" s="4"/>
      <c r="D15490" s="67"/>
      <c r="G15490" s="68"/>
      <c r="K15490" s="68"/>
    </row>
    <row r="15491" spans="2:11" ht="12.75">
      <c r="B15491" s="4"/>
      <c r="D15491" s="67"/>
      <c r="G15491" s="68"/>
      <c r="K15491" s="68"/>
    </row>
    <row r="15492" spans="2:11" ht="12.75">
      <c r="B15492" s="4"/>
      <c r="D15492" s="67"/>
      <c r="G15492" s="68"/>
      <c r="K15492" s="68"/>
    </row>
    <row r="15493" spans="2:11" ht="12.75">
      <c r="B15493" s="4"/>
      <c r="D15493" s="67"/>
      <c r="G15493" s="68"/>
      <c r="K15493" s="68"/>
    </row>
    <row r="15494" spans="2:11" ht="12.75">
      <c r="B15494" s="4"/>
      <c r="D15494" s="67"/>
      <c r="G15494" s="68"/>
      <c r="K15494" s="68"/>
    </row>
    <row r="15495" spans="2:11" ht="12.75">
      <c r="B15495" s="4"/>
      <c r="D15495" s="67"/>
      <c r="G15495" s="68"/>
      <c r="K15495" s="68"/>
    </row>
    <row r="15496" spans="2:11" ht="12.75">
      <c r="B15496" s="4"/>
      <c r="D15496" s="67"/>
      <c r="G15496" s="68"/>
      <c r="K15496" s="68"/>
    </row>
    <row r="15497" spans="2:11" ht="12.75">
      <c r="B15497" s="4"/>
      <c r="D15497" s="67"/>
      <c r="G15497" s="68"/>
      <c r="K15497" s="68"/>
    </row>
    <row r="15498" spans="2:11" ht="12.75">
      <c r="B15498" s="4"/>
      <c r="D15498" s="67"/>
      <c r="G15498" s="68"/>
      <c r="K15498" s="68"/>
    </row>
    <row r="15499" spans="2:11" ht="12.75">
      <c r="B15499" s="4"/>
      <c r="D15499" s="67"/>
      <c r="G15499" s="68"/>
      <c r="K15499" s="68"/>
    </row>
    <row r="15500" spans="2:11" ht="12.75">
      <c r="B15500" s="4"/>
      <c r="D15500" s="67"/>
      <c r="G15500" s="68"/>
      <c r="K15500" s="68"/>
    </row>
    <row r="15501" spans="2:11" ht="12.75">
      <c r="B15501" s="4"/>
      <c r="D15501" s="67"/>
      <c r="G15501" s="68"/>
      <c r="K15501" s="68"/>
    </row>
    <row r="15502" spans="2:11" ht="12.75">
      <c r="B15502" s="4"/>
      <c r="D15502" s="67"/>
      <c r="G15502" s="68"/>
      <c r="K15502" s="68"/>
    </row>
    <row r="15503" spans="2:11" ht="12.75">
      <c r="B15503" s="4"/>
      <c r="D15503" s="67"/>
      <c r="G15503" s="68"/>
      <c r="K15503" s="68"/>
    </row>
    <row r="15504" spans="2:11" ht="12.75">
      <c r="B15504" s="4"/>
      <c r="D15504" s="67"/>
      <c r="G15504" s="68"/>
      <c r="K15504" s="68"/>
    </row>
    <row r="15505" spans="2:11" ht="12.75">
      <c r="B15505" s="4"/>
      <c r="D15505" s="67"/>
      <c r="G15505" s="68"/>
      <c r="K15505" s="68"/>
    </row>
    <row r="15506" spans="2:11" ht="12.75">
      <c r="B15506" s="4"/>
      <c r="D15506" s="67"/>
      <c r="G15506" s="68"/>
      <c r="K15506" s="68"/>
    </row>
    <row r="15507" spans="2:11" ht="12.75">
      <c r="B15507" s="4"/>
      <c r="D15507" s="67"/>
      <c r="G15507" s="68"/>
      <c r="K15507" s="68"/>
    </row>
    <row r="15508" spans="2:11" ht="12.75">
      <c r="B15508" s="4"/>
      <c r="D15508" s="67"/>
      <c r="G15508" s="68"/>
      <c r="K15508" s="68"/>
    </row>
    <row r="15509" spans="2:11" ht="12.75">
      <c r="B15509" s="4"/>
      <c r="D15509" s="67"/>
      <c r="G15509" s="68"/>
      <c r="K15509" s="68"/>
    </row>
    <row r="15510" spans="2:11" ht="12.75">
      <c r="B15510" s="4"/>
      <c r="D15510" s="67"/>
      <c r="G15510" s="68"/>
      <c r="K15510" s="68"/>
    </row>
    <row r="15511" spans="2:11" ht="12.75">
      <c r="B15511" s="4"/>
      <c r="D15511" s="67"/>
      <c r="G15511" s="68"/>
      <c r="K15511" s="68"/>
    </row>
    <row r="15512" spans="2:11" ht="12.75">
      <c r="B15512" s="4"/>
      <c r="D15512" s="67"/>
      <c r="G15512" s="68"/>
      <c r="K15512" s="68"/>
    </row>
    <row r="15513" spans="2:11" ht="12.75">
      <c r="B15513" s="4"/>
      <c r="D15513" s="67"/>
      <c r="G15513" s="68"/>
      <c r="K15513" s="68"/>
    </row>
    <row r="15514" spans="2:11" ht="12.75">
      <c r="B15514" s="4"/>
      <c r="D15514" s="67"/>
      <c r="G15514" s="68"/>
      <c r="K15514" s="68"/>
    </row>
    <row r="15515" spans="2:11" ht="12.75">
      <c r="B15515" s="4"/>
      <c r="D15515" s="67"/>
      <c r="G15515" s="68"/>
      <c r="K15515" s="68"/>
    </row>
    <row r="15516" spans="2:11" ht="12.75">
      <c r="B15516" s="4"/>
      <c r="D15516" s="67"/>
      <c r="G15516" s="68"/>
      <c r="K15516" s="68"/>
    </row>
    <row r="15517" spans="2:11" ht="12.75">
      <c r="B15517" s="4"/>
      <c r="D15517" s="67"/>
      <c r="G15517" s="68"/>
      <c r="K15517" s="68"/>
    </row>
    <row r="15518" spans="2:11" ht="12.75">
      <c r="B15518" s="4"/>
      <c r="D15518" s="67"/>
      <c r="G15518" s="68"/>
      <c r="K15518" s="68"/>
    </row>
    <row r="15519" spans="2:11" ht="12.75">
      <c r="B15519" s="4"/>
      <c r="D15519" s="67"/>
      <c r="G15519" s="68"/>
      <c r="K15519" s="68"/>
    </row>
    <row r="15520" spans="2:11" ht="12.75">
      <c r="B15520" s="4"/>
      <c r="D15520" s="67"/>
      <c r="G15520" s="68"/>
      <c r="K15520" s="68"/>
    </row>
    <row r="15521" spans="2:11" ht="12.75">
      <c r="B15521" s="4"/>
      <c r="D15521" s="67"/>
      <c r="G15521" s="68"/>
      <c r="K15521" s="68"/>
    </row>
    <row r="15522" spans="2:11" ht="12.75">
      <c r="B15522" s="4"/>
      <c r="D15522" s="67"/>
      <c r="G15522" s="68"/>
      <c r="K15522" s="68"/>
    </row>
    <row r="15523" spans="2:11" ht="12.75">
      <c r="B15523" s="4"/>
      <c r="D15523" s="67"/>
      <c r="G15523" s="68"/>
      <c r="K15523" s="68"/>
    </row>
    <row r="15524" spans="2:11" ht="12.75">
      <c r="B15524" s="4"/>
      <c r="D15524" s="67"/>
      <c r="G15524" s="68"/>
      <c r="K15524" s="68"/>
    </row>
    <row r="15525" spans="2:11" ht="12.75">
      <c r="B15525" s="4"/>
      <c r="D15525" s="67"/>
      <c r="G15525" s="68"/>
      <c r="K15525" s="68"/>
    </row>
    <row r="15526" spans="2:11" ht="12.75">
      <c r="B15526" s="4"/>
      <c r="D15526" s="67"/>
      <c r="G15526" s="68"/>
      <c r="K15526" s="68"/>
    </row>
    <row r="15527" spans="2:11" ht="12.75">
      <c r="B15527" s="4"/>
      <c r="D15527" s="67"/>
      <c r="G15527" s="68"/>
      <c r="K15527" s="68"/>
    </row>
    <row r="15528" spans="2:11" ht="12.75">
      <c r="B15528" s="4"/>
      <c r="D15528" s="67"/>
      <c r="G15528" s="68"/>
      <c r="K15528" s="68"/>
    </row>
    <row r="15529" spans="2:11" ht="12.75">
      <c r="B15529" s="4"/>
      <c r="D15529" s="67"/>
      <c r="G15529" s="68"/>
      <c r="K15529" s="68"/>
    </row>
    <row r="15530" spans="2:11" ht="12.75">
      <c r="B15530" s="4"/>
      <c r="D15530" s="67"/>
      <c r="G15530" s="68"/>
      <c r="K15530" s="68"/>
    </row>
    <row r="15531" spans="2:11" ht="12.75">
      <c r="B15531" s="4"/>
      <c r="D15531" s="67"/>
      <c r="G15531" s="68"/>
      <c r="K15531" s="68"/>
    </row>
    <row r="15532" spans="2:11" ht="12.75">
      <c r="B15532" s="4"/>
      <c r="D15532" s="67"/>
      <c r="G15532" s="68"/>
      <c r="K15532" s="68"/>
    </row>
    <row r="15533" spans="2:11" ht="12.75">
      <c r="B15533" s="4"/>
      <c r="D15533" s="67"/>
      <c r="G15533" s="68"/>
      <c r="K15533" s="68"/>
    </row>
    <row r="15534" spans="2:11" ht="12.75">
      <c r="B15534" s="4"/>
      <c r="D15534" s="67"/>
      <c r="G15534" s="68"/>
      <c r="K15534" s="68"/>
    </row>
    <row r="15535" spans="2:11" ht="12.75">
      <c r="B15535" s="4"/>
      <c r="D15535" s="67"/>
      <c r="G15535" s="68"/>
      <c r="K15535" s="68"/>
    </row>
    <row r="15536" spans="2:11" ht="12.75">
      <c r="B15536" s="4"/>
      <c r="D15536" s="67"/>
      <c r="G15536" s="68"/>
      <c r="K15536" s="68"/>
    </row>
    <row r="15537" spans="2:11" ht="12.75">
      <c r="B15537" s="4"/>
      <c r="D15537" s="67"/>
      <c r="G15537" s="68"/>
      <c r="K15537" s="68"/>
    </row>
    <row r="15538" spans="2:11" ht="12.75">
      <c r="B15538" s="4"/>
      <c r="D15538" s="67"/>
      <c r="G15538" s="68"/>
      <c r="K15538" s="68"/>
    </row>
    <row r="15539" spans="2:11" ht="12.75">
      <c r="B15539" s="4"/>
      <c r="D15539" s="67"/>
      <c r="G15539" s="68"/>
      <c r="K15539" s="68"/>
    </row>
    <row r="15540" spans="2:11" ht="12.75">
      <c r="B15540" s="4"/>
      <c r="D15540" s="67"/>
      <c r="G15540" s="68"/>
      <c r="K15540" s="68"/>
    </row>
    <row r="15541" spans="2:11" ht="12.75">
      <c r="B15541" s="4"/>
      <c r="D15541" s="67"/>
      <c r="G15541" s="68"/>
      <c r="K15541" s="68"/>
    </row>
    <row r="15542" spans="2:11" ht="12.75">
      <c r="B15542" s="4"/>
      <c r="D15542" s="67"/>
      <c r="G15542" s="68"/>
      <c r="K15542" s="68"/>
    </row>
    <row r="15543" spans="2:11" ht="12.75">
      <c r="B15543" s="4"/>
      <c r="D15543" s="67"/>
      <c r="G15543" s="68"/>
      <c r="K15543" s="68"/>
    </row>
    <row r="15544" spans="2:11" ht="12.75">
      <c r="B15544" s="4"/>
      <c r="D15544" s="67"/>
      <c r="G15544" s="68"/>
      <c r="K15544" s="68"/>
    </row>
    <row r="15545" spans="2:11" ht="12.75">
      <c r="B15545" s="4"/>
      <c r="D15545" s="67"/>
      <c r="G15545" s="68"/>
      <c r="K15545" s="68"/>
    </row>
    <row r="15546" spans="2:11" ht="12.75">
      <c r="B15546" s="4"/>
      <c r="D15546" s="67"/>
      <c r="G15546" s="68"/>
      <c r="K15546" s="68"/>
    </row>
    <row r="15547" spans="2:11" ht="12.75">
      <c r="B15547" s="4"/>
      <c r="D15547" s="67"/>
      <c r="G15547" s="68"/>
      <c r="K15547" s="68"/>
    </row>
    <row r="15548" spans="2:11" ht="12.75">
      <c r="B15548" s="4"/>
      <c r="D15548" s="67"/>
      <c r="G15548" s="68"/>
      <c r="K15548" s="68"/>
    </row>
    <row r="15549" spans="2:11" ht="12.75">
      <c r="B15549" s="4"/>
      <c r="D15549" s="67"/>
      <c r="G15549" s="68"/>
      <c r="K15549" s="68"/>
    </row>
    <row r="15550" spans="2:11" ht="12.75">
      <c r="B15550" s="4"/>
      <c r="D15550" s="67"/>
      <c r="G15550" s="68"/>
      <c r="K15550" s="68"/>
    </row>
    <row r="15551" spans="2:11" ht="12.75">
      <c r="B15551" s="4"/>
      <c r="D15551" s="67"/>
      <c r="G15551" s="68"/>
      <c r="K15551" s="68"/>
    </row>
    <row r="15552" spans="2:11" ht="12.75">
      <c r="B15552" s="4"/>
      <c r="D15552" s="67"/>
      <c r="G15552" s="68"/>
      <c r="K15552" s="68"/>
    </row>
    <row r="15553" spans="2:11" ht="12.75">
      <c r="B15553" s="4"/>
      <c r="D15553" s="67"/>
      <c r="G15553" s="68"/>
      <c r="K15553" s="68"/>
    </row>
    <row r="15554" spans="2:11" ht="12.75">
      <c r="B15554" s="4"/>
      <c r="D15554" s="67"/>
      <c r="G15554" s="68"/>
      <c r="K15554" s="68"/>
    </row>
    <row r="15555" spans="2:11" ht="12.75">
      <c r="B15555" s="4"/>
      <c r="D15555" s="67"/>
      <c r="G15555" s="68"/>
      <c r="K15555" s="68"/>
    </row>
    <row r="15556" spans="2:11" ht="12.75">
      <c r="B15556" s="4"/>
      <c r="D15556" s="67"/>
      <c r="G15556" s="68"/>
      <c r="K15556" s="68"/>
    </row>
    <row r="15557" spans="2:11" ht="12.75">
      <c r="B15557" s="4"/>
      <c r="D15557" s="67"/>
      <c r="G15557" s="68"/>
      <c r="K15557" s="68"/>
    </row>
    <row r="15558" spans="2:11" ht="12.75">
      <c r="B15558" s="4"/>
      <c r="D15558" s="67"/>
      <c r="G15558" s="68"/>
      <c r="K15558" s="68"/>
    </row>
    <row r="15559" spans="2:11" ht="12.75">
      <c r="B15559" s="4"/>
      <c r="D15559" s="67"/>
      <c r="G15559" s="68"/>
      <c r="K15559" s="68"/>
    </row>
    <row r="15560" spans="2:11" ht="12.75">
      <c r="B15560" s="4"/>
      <c r="D15560" s="67"/>
      <c r="G15560" s="68"/>
      <c r="K15560" s="68"/>
    </row>
    <row r="15561" spans="2:11" ht="12.75">
      <c r="B15561" s="4"/>
      <c r="D15561" s="67"/>
      <c r="G15561" s="68"/>
      <c r="K15561" s="68"/>
    </row>
    <row r="15562" spans="2:11" ht="12.75">
      <c r="B15562" s="4"/>
      <c r="D15562" s="67"/>
      <c r="G15562" s="68"/>
      <c r="K15562" s="68"/>
    </row>
    <row r="15563" spans="2:11" ht="12.75">
      <c r="B15563" s="4"/>
      <c r="D15563" s="67"/>
      <c r="G15563" s="68"/>
      <c r="K15563" s="68"/>
    </row>
    <row r="15564" spans="2:11" ht="12.75">
      <c r="B15564" s="4"/>
      <c r="D15564" s="67"/>
      <c r="G15564" s="68"/>
      <c r="K15564" s="68"/>
    </row>
    <row r="15565" spans="2:11" ht="12.75">
      <c r="B15565" s="4"/>
      <c r="D15565" s="67"/>
      <c r="G15565" s="68"/>
      <c r="K15565" s="68"/>
    </row>
    <row r="15566" spans="2:11" ht="12.75">
      <c r="B15566" s="4"/>
      <c r="D15566" s="67"/>
      <c r="G15566" s="68"/>
      <c r="K15566" s="68"/>
    </row>
    <row r="15567" spans="2:11" ht="12.75">
      <c r="B15567" s="4"/>
      <c r="D15567" s="67"/>
      <c r="G15567" s="68"/>
      <c r="K15567" s="68"/>
    </row>
    <row r="15568" spans="2:11" ht="12.75">
      <c r="B15568" s="4"/>
      <c r="D15568" s="67"/>
      <c r="G15568" s="68"/>
      <c r="K15568" s="68"/>
    </row>
    <row r="15569" spans="2:11" ht="12.75">
      <c r="B15569" s="4"/>
      <c r="D15569" s="67"/>
      <c r="G15569" s="68"/>
      <c r="K15569" s="68"/>
    </row>
    <row r="15570" spans="2:11" ht="12.75">
      <c r="B15570" s="4"/>
      <c r="D15570" s="67"/>
      <c r="G15570" s="68"/>
      <c r="K15570" s="68"/>
    </row>
    <row r="15571" spans="2:11" ht="12.75">
      <c r="B15571" s="4"/>
      <c r="D15571" s="67"/>
      <c r="G15571" s="68"/>
      <c r="K15571" s="68"/>
    </row>
    <row r="15572" spans="2:11" ht="12.75">
      <c r="B15572" s="4"/>
      <c r="D15572" s="67"/>
      <c r="G15572" s="68"/>
      <c r="K15572" s="68"/>
    </row>
    <row r="15573" spans="2:11" ht="12.75">
      <c r="B15573" s="4"/>
      <c r="D15573" s="67"/>
      <c r="G15573" s="68"/>
      <c r="K15573" s="68"/>
    </row>
    <row r="15574" spans="2:11" ht="12.75">
      <c r="B15574" s="4"/>
      <c r="D15574" s="67"/>
      <c r="G15574" s="68"/>
      <c r="K15574" s="68"/>
    </row>
    <row r="15575" spans="2:11" ht="12.75">
      <c r="B15575" s="4"/>
      <c r="D15575" s="67"/>
      <c r="G15575" s="68"/>
      <c r="K15575" s="68"/>
    </row>
    <row r="15576" spans="2:11" ht="12.75">
      <c r="B15576" s="4"/>
      <c r="D15576" s="67"/>
      <c r="G15576" s="68"/>
      <c r="K15576" s="68"/>
    </row>
    <row r="15577" spans="2:11" ht="12.75">
      <c r="B15577" s="4"/>
      <c r="D15577" s="67"/>
      <c r="G15577" s="68"/>
      <c r="K15577" s="68"/>
    </row>
    <row r="15578" spans="2:11" ht="12.75">
      <c r="B15578" s="4"/>
      <c r="D15578" s="67"/>
      <c r="G15578" s="68"/>
      <c r="K15578" s="68"/>
    </row>
    <row r="15579" spans="2:11" ht="12.75">
      <c r="B15579" s="4"/>
      <c r="D15579" s="67"/>
      <c r="G15579" s="68"/>
      <c r="K15579" s="68"/>
    </row>
    <row r="15580" spans="2:11" ht="12.75">
      <c r="B15580" s="4"/>
      <c r="D15580" s="67"/>
      <c r="G15580" s="68"/>
      <c r="K15580" s="68"/>
    </row>
    <row r="15581" spans="2:11" ht="12.75">
      <c r="B15581" s="4"/>
      <c r="D15581" s="67"/>
      <c r="G15581" s="68"/>
      <c r="K15581" s="68"/>
    </row>
    <row r="15582" spans="2:11" ht="12.75">
      <c r="B15582" s="4"/>
      <c r="D15582" s="67"/>
      <c r="G15582" s="68"/>
      <c r="K15582" s="68"/>
    </row>
    <row r="15583" spans="2:11" ht="12.75">
      <c r="B15583" s="4"/>
      <c r="D15583" s="67"/>
      <c r="G15583" s="68"/>
      <c r="K15583" s="68"/>
    </row>
    <row r="15584" spans="2:11" ht="12.75">
      <c r="B15584" s="4"/>
      <c r="D15584" s="67"/>
      <c r="G15584" s="68"/>
      <c r="K15584" s="68"/>
    </row>
    <row r="15585" spans="2:11" ht="12.75">
      <c r="B15585" s="4"/>
      <c r="D15585" s="67"/>
      <c r="G15585" s="68"/>
      <c r="K15585" s="68"/>
    </row>
    <row r="15586" spans="2:11" ht="12.75">
      <c r="B15586" s="4"/>
      <c r="D15586" s="67"/>
      <c r="G15586" s="68"/>
      <c r="K15586" s="68"/>
    </row>
    <row r="15587" spans="2:11" ht="12.75">
      <c r="B15587" s="4"/>
      <c r="D15587" s="67"/>
      <c r="G15587" s="68"/>
      <c r="K15587" s="68"/>
    </row>
    <row r="15588" spans="2:11" ht="12.75">
      <c r="B15588" s="4"/>
      <c r="D15588" s="67"/>
      <c r="G15588" s="68"/>
      <c r="K15588" s="68"/>
    </row>
    <row r="15589" spans="2:11" ht="12.75">
      <c r="B15589" s="4"/>
      <c r="D15589" s="67"/>
      <c r="G15589" s="68"/>
      <c r="K15589" s="68"/>
    </row>
    <row r="15590" spans="2:11" ht="12.75">
      <c r="B15590" s="4"/>
      <c r="D15590" s="67"/>
      <c r="G15590" s="68"/>
      <c r="K15590" s="68"/>
    </row>
    <row r="15591" spans="2:11" ht="12.75">
      <c r="B15591" s="4"/>
      <c r="D15591" s="67"/>
      <c r="G15591" s="68"/>
      <c r="K15591" s="68"/>
    </row>
    <row r="15592" spans="2:11" ht="12.75">
      <c r="B15592" s="4"/>
      <c r="D15592" s="67"/>
      <c r="G15592" s="68"/>
      <c r="K15592" s="68"/>
    </row>
    <row r="15593" spans="2:11" ht="12.75">
      <c r="B15593" s="4"/>
      <c r="D15593" s="67"/>
      <c r="G15593" s="68"/>
      <c r="K15593" s="68"/>
    </row>
    <row r="15594" spans="2:11" ht="12.75">
      <c r="B15594" s="4"/>
      <c r="D15594" s="67"/>
      <c r="G15594" s="68"/>
      <c r="K15594" s="68"/>
    </row>
    <row r="15595" spans="2:11" ht="12.75">
      <c r="B15595" s="4"/>
      <c r="D15595" s="67"/>
      <c r="G15595" s="68"/>
      <c r="K15595" s="68"/>
    </row>
    <row r="15596" spans="2:11" ht="12.75">
      <c r="B15596" s="4"/>
      <c r="D15596" s="67"/>
      <c r="G15596" s="68"/>
      <c r="K15596" s="68"/>
    </row>
    <row r="15597" spans="2:11" ht="12.75">
      <c r="B15597" s="4"/>
      <c r="D15597" s="67"/>
      <c r="G15597" s="68"/>
      <c r="K15597" s="68"/>
    </row>
    <row r="15598" spans="2:11" ht="12.75">
      <c r="B15598" s="4"/>
      <c r="D15598" s="67"/>
      <c r="G15598" s="68"/>
      <c r="K15598" s="68"/>
    </row>
    <row r="15599" spans="2:11" ht="12.75">
      <c r="B15599" s="4"/>
      <c r="D15599" s="67"/>
      <c r="G15599" s="68"/>
      <c r="K15599" s="68"/>
    </row>
    <row r="15600" spans="2:11" ht="12.75">
      <c r="B15600" s="4"/>
      <c r="D15600" s="67"/>
      <c r="G15600" s="68"/>
      <c r="K15600" s="68"/>
    </row>
    <row r="15601" spans="2:11" ht="12.75">
      <c r="B15601" s="4"/>
      <c r="D15601" s="67"/>
      <c r="G15601" s="68"/>
      <c r="K15601" s="68"/>
    </row>
    <row r="15602" spans="2:11" ht="12.75">
      <c r="B15602" s="4"/>
      <c r="D15602" s="67"/>
      <c r="G15602" s="68"/>
      <c r="K15602" s="68"/>
    </row>
    <row r="15603" spans="2:11" ht="12.75">
      <c r="B15603" s="4"/>
      <c r="D15603" s="67"/>
      <c r="G15603" s="68"/>
      <c r="K15603" s="68"/>
    </row>
    <row r="15604" spans="2:11" ht="12.75">
      <c r="B15604" s="4"/>
      <c r="D15604" s="67"/>
      <c r="G15604" s="68"/>
      <c r="K15604" s="68"/>
    </row>
    <row r="15605" spans="2:11" ht="12.75">
      <c r="B15605" s="4"/>
      <c r="D15605" s="67"/>
      <c r="G15605" s="68"/>
      <c r="K15605" s="68"/>
    </row>
    <row r="15606" spans="2:11" ht="12.75">
      <c r="B15606" s="4"/>
      <c r="D15606" s="67"/>
      <c r="G15606" s="68"/>
      <c r="K15606" s="68"/>
    </row>
    <row r="15607" spans="2:11" ht="12.75">
      <c r="B15607" s="4"/>
      <c r="D15607" s="67"/>
      <c r="G15607" s="68"/>
      <c r="K15607" s="68"/>
    </row>
    <row r="15608" spans="2:11" ht="12.75">
      <c r="B15608" s="4"/>
      <c r="D15608" s="67"/>
      <c r="G15608" s="68"/>
      <c r="K15608" s="68"/>
    </row>
    <row r="15609" spans="2:11" ht="12.75">
      <c r="B15609" s="4"/>
      <c r="D15609" s="67"/>
      <c r="G15609" s="68"/>
      <c r="K15609" s="68"/>
    </row>
    <row r="15610" spans="2:11" ht="12.75">
      <c r="B15610" s="4"/>
      <c r="D15610" s="67"/>
      <c r="G15610" s="68"/>
      <c r="K15610" s="68"/>
    </row>
    <row r="15611" spans="2:11" ht="12.75">
      <c r="B15611" s="4"/>
      <c r="D15611" s="67"/>
      <c r="G15611" s="68"/>
      <c r="K15611" s="68"/>
    </row>
    <row r="15612" spans="2:11" ht="12.75">
      <c r="B15612" s="4"/>
      <c r="D15612" s="67"/>
      <c r="G15612" s="68"/>
      <c r="K15612" s="68"/>
    </row>
    <row r="15613" spans="2:11" ht="12.75">
      <c r="B15613" s="4"/>
      <c r="D15613" s="67"/>
      <c r="G15613" s="68"/>
      <c r="K15613" s="68"/>
    </row>
    <row r="15614" spans="2:11" ht="12.75">
      <c r="B15614" s="4"/>
      <c r="D15614" s="67"/>
      <c r="G15614" s="68"/>
      <c r="K15614" s="68"/>
    </row>
    <row r="15615" spans="2:11" ht="12.75">
      <c r="B15615" s="4"/>
      <c r="D15615" s="67"/>
      <c r="G15615" s="68"/>
      <c r="K15615" s="68"/>
    </row>
    <row r="15616" spans="2:11" ht="12.75">
      <c r="B15616" s="4"/>
      <c r="D15616" s="67"/>
      <c r="G15616" s="68"/>
      <c r="K15616" s="68"/>
    </row>
    <row r="15617" spans="2:11" ht="12.75">
      <c r="B15617" s="4"/>
      <c r="D15617" s="67"/>
      <c r="G15617" s="68"/>
      <c r="K15617" s="68"/>
    </row>
    <row r="15618" spans="2:11" ht="12.75">
      <c r="B15618" s="4"/>
      <c r="D15618" s="67"/>
      <c r="G15618" s="68"/>
      <c r="K15618" s="68"/>
    </row>
    <row r="15619" spans="2:11" ht="12.75">
      <c r="B15619" s="4"/>
      <c r="D15619" s="67"/>
      <c r="G15619" s="68"/>
      <c r="K15619" s="68"/>
    </row>
    <row r="15620" spans="2:11" ht="12.75">
      <c r="B15620" s="4"/>
      <c r="D15620" s="67"/>
      <c r="G15620" s="68"/>
      <c r="K15620" s="68"/>
    </row>
    <row r="15621" spans="2:11" ht="12.75">
      <c r="B15621" s="4"/>
      <c r="D15621" s="67"/>
      <c r="G15621" s="68"/>
      <c r="K15621" s="68"/>
    </row>
    <row r="15622" spans="2:11" ht="12.75">
      <c r="B15622" s="4"/>
      <c r="D15622" s="67"/>
      <c r="G15622" s="68"/>
      <c r="K15622" s="68"/>
    </row>
    <row r="15623" spans="2:11" ht="12.75">
      <c r="B15623" s="4"/>
      <c r="D15623" s="67"/>
      <c r="G15623" s="68"/>
      <c r="K15623" s="68"/>
    </row>
    <row r="15624" spans="2:11" ht="12.75">
      <c r="B15624" s="4"/>
      <c r="D15624" s="67"/>
      <c r="G15624" s="68"/>
      <c r="K15624" s="68"/>
    </row>
    <row r="15625" spans="2:11" ht="12.75">
      <c r="B15625" s="4"/>
      <c r="D15625" s="67"/>
      <c r="G15625" s="68"/>
      <c r="K15625" s="68"/>
    </row>
    <row r="15626" spans="2:11" ht="12.75">
      <c r="B15626" s="4"/>
      <c r="D15626" s="67"/>
      <c r="G15626" s="68"/>
      <c r="K15626" s="68"/>
    </row>
    <row r="15627" spans="2:11" ht="12.75">
      <c r="B15627" s="4"/>
      <c r="D15627" s="67"/>
      <c r="G15627" s="68"/>
      <c r="K15627" s="68"/>
    </row>
    <row r="15628" spans="2:11" ht="12.75">
      <c r="B15628" s="4"/>
      <c r="D15628" s="67"/>
      <c r="G15628" s="68"/>
      <c r="K15628" s="68"/>
    </row>
    <row r="15629" spans="2:11" ht="12.75">
      <c r="B15629" s="4"/>
      <c r="D15629" s="67"/>
      <c r="G15629" s="68"/>
      <c r="K15629" s="68"/>
    </row>
    <row r="15630" spans="2:11" ht="12.75">
      <c r="B15630" s="4"/>
      <c r="D15630" s="67"/>
      <c r="G15630" s="68"/>
      <c r="K15630" s="68"/>
    </row>
    <row r="15631" spans="2:11" ht="12.75">
      <c r="B15631" s="4"/>
      <c r="D15631" s="67"/>
      <c r="G15631" s="68"/>
      <c r="K15631" s="68"/>
    </row>
    <row r="15632" spans="2:11" ht="12.75">
      <c r="B15632" s="4"/>
      <c r="D15632" s="67"/>
      <c r="G15632" s="68"/>
      <c r="K15632" s="68"/>
    </row>
    <row r="15633" spans="2:11" ht="12.75">
      <c r="B15633" s="4"/>
      <c r="D15633" s="67"/>
      <c r="G15633" s="68"/>
      <c r="K15633" s="68"/>
    </row>
    <row r="15634" spans="2:11" ht="12.75">
      <c r="B15634" s="4"/>
      <c r="D15634" s="67"/>
      <c r="G15634" s="68"/>
      <c r="K15634" s="68"/>
    </row>
    <row r="15635" spans="2:11" ht="12.75">
      <c r="B15635" s="4"/>
      <c r="D15635" s="67"/>
      <c r="G15635" s="68"/>
      <c r="K15635" s="68"/>
    </row>
    <row r="15636" spans="2:11" ht="12.75">
      <c r="B15636" s="4"/>
      <c r="D15636" s="67"/>
      <c r="G15636" s="68"/>
      <c r="K15636" s="68"/>
    </row>
    <row r="15637" spans="2:11" ht="12.75">
      <c r="B15637" s="4"/>
      <c r="D15637" s="67"/>
      <c r="G15637" s="68"/>
      <c r="K15637" s="68"/>
    </row>
    <row r="15638" spans="2:11" ht="12.75">
      <c r="B15638" s="4"/>
      <c r="D15638" s="67"/>
      <c r="G15638" s="68"/>
      <c r="K15638" s="68"/>
    </row>
    <row r="15639" spans="2:11" ht="12.75">
      <c r="B15639" s="4"/>
      <c r="D15639" s="67"/>
      <c r="G15639" s="68"/>
      <c r="K15639" s="68"/>
    </row>
    <row r="15640" spans="2:11" ht="12.75">
      <c r="B15640" s="4"/>
      <c r="D15640" s="67"/>
      <c r="G15640" s="68"/>
      <c r="K15640" s="68"/>
    </row>
    <row r="15641" spans="2:11" ht="12.75">
      <c r="B15641" s="4"/>
      <c r="D15641" s="67"/>
      <c r="G15641" s="68"/>
      <c r="K15641" s="68"/>
    </row>
    <row r="15642" spans="2:11" ht="12.75">
      <c r="B15642" s="4"/>
      <c r="D15642" s="67"/>
      <c r="G15642" s="68"/>
      <c r="K15642" s="68"/>
    </row>
    <row r="15643" spans="2:11" ht="12.75">
      <c r="B15643" s="4"/>
      <c r="D15643" s="67"/>
      <c r="G15643" s="68"/>
      <c r="K15643" s="68"/>
    </row>
    <row r="15644" spans="2:11" ht="12.75">
      <c r="B15644" s="4"/>
      <c r="D15644" s="67"/>
      <c r="G15644" s="68"/>
      <c r="K15644" s="68"/>
    </row>
    <row r="15645" spans="2:11" ht="12.75">
      <c r="B15645" s="4"/>
      <c r="D15645" s="67"/>
      <c r="G15645" s="68"/>
      <c r="K15645" s="68"/>
    </row>
    <row r="15646" spans="2:11" ht="12.75">
      <c r="B15646" s="4"/>
      <c r="D15646" s="67"/>
      <c r="G15646" s="68"/>
      <c r="K15646" s="68"/>
    </row>
    <row r="15647" spans="2:11" ht="12.75">
      <c r="B15647" s="4"/>
      <c r="D15647" s="67"/>
      <c r="G15647" s="68"/>
      <c r="K15647" s="68"/>
    </row>
    <row r="15648" spans="2:11" ht="12.75">
      <c r="B15648" s="4"/>
      <c r="D15648" s="67"/>
      <c r="G15648" s="68"/>
      <c r="K15648" s="68"/>
    </row>
    <row r="15649" spans="2:11" ht="12.75">
      <c r="B15649" s="4"/>
      <c r="D15649" s="67"/>
      <c r="G15649" s="68"/>
      <c r="K15649" s="68"/>
    </row>
    <row r="15650" spans="2:11" ht="12.75">
      <c r="B15650" s="4"/>
      <c r="D15650" s="67"/>
      <c r="G15650" s="68"/>
      <c r="K15650" s="68"/>
    </row>
    <row r="15651" spans="2:11" ht="12.75">
      <c r="B15651" s="4"/>
      <c r="D15651" s="67"/>
      <c r="G15651" s="68"/>
      <c r="K15651" s="68"/>
    </row>
    <row r="15652" spans="2:11" ht="12.75">
      <c r="B15652" s="4"/>
      <c r="D15652" s="67"/>
      <c r="G15652" s="68"/>
      <c r="K15652" s="68"/>
    </row>
    <row r="15653" spans="2:11" ht="12.75">
      <c r="B15653" s="4"/>
      <c r="D15653" s="67"/>
      <c r="G15653" s="68"/>
      <c r="K15653" s="68"/>
    </row>
    <row r="15654" spans="2:11" ht="12.75">
      <c r="B15654" s="4"/>
      <c r="D15654" s="67"/>
      <c r="G15654" s="68"/>
      <c r="K15654" s="68"/>
    </row>
    <row r="15655" spans="2:11" ht="12.75">
      <c r="B15655" s="4"/>
      <c r="D15655" s="67"/>
      <c r="G15655" s="68"/>
      <c r="K15655" s="68"/>
    </row>
    <row r="15656" spans="2:11" ht="12.75">
      <c r="B15656" s="4"/>
      <c r="D15656" s="67"/>
      <c r="G15656" s="68"/>
      <c r="K15656" s="68"/>
    </row>
    <row r="15657" spans="2:11" ht="12.75">
      <c r="B15657" s="4"/>
      <c r="D15657" s="67"/>
      <c r="G15657" s="68"/>
      <c r="K15657" s="68"/>
    </row>
    <row r="15658" spans="2:11" ht="12.75">
      <c r="B15658" s="4"/>
      <c r="D15658" s="67"/>
      <c r="G15658" s="68"/>
      <c r="K15658" s="68"/>
    </row>
    <row r="15659" spans="2:11" ht="12.75">
      <c r="B15659" s="4"/>
      <c r="D15659" s="67"/>
      <c r="G15659" s="68"/>
      <c r="K15659" s="68"/>
    </row>
    <row r="15660" spans="2:11" ht="12.75">
      <c r="B15660" s="4"/>
      <c r="D15660" s="67"/>
      <c r="G15660" s="68"/>
      <c r="K15660" s="68"/>
    </row>
    <row r="15661" spans="2:11" ht="12.75">
      <c r="B15661" s="4"/>
      <c r="D15661" s="67"/>
      <c r="G15661" s="68"/>
      <c r="K15661" s="68"/>
    </row>
    <row r="15662" spans="2:11" ht="12.75">
      <c r="B15662" s="4"/>
      <c r="D15662" s="67"/>
      <c r="G15662" s="68"/>
      <c r="K15662" s="68"/>
    </row>
    <row r="15663" spans="2:11" ht="12.75">
      <c r="B15663" s="4"/>
      <c r="D15663" s="67"/>
      <c r="G15663" s="68"/>
      <c r="K15663" s="68"/>
    </row>
    <row r="15664" spans="2:11" ht="12.75">
      <c r="B15664" s="4"/>
      <c r="D15664" s="67"/>
      <c r="G15664" s="68"/>
      <c r="K15664" s="68"/>
    </row>
    <row r="15665" spans="2:11" ht="12.75">
      <c r="B15665" s="4"/>
      <c r="D15665" s="67"/>
      <c r="G15665" s="68"/>
      <c r="K15665" s="68"/>
    </row>
    <row r="15666" spans="2:11" ht="12.75">
      <c r="B15666" s="4"/>
      <c r="D15666" s="67"/>
      <c r="G15666" s="68"/>
      <c r="K15666" s="68"/>
    </row>
    <row r="15667" spans="2:11" ht="12.75">
      <c r="B15667" s="4"/>
      <c r="D15667" s="67"/>
      <c r="G15667" s="68"/>
      <c r="K15667" s="68"/>
    </row>
    <row r="15668" spans="2:11" ht="12.75">
      <c r="B15668" s="4"/>
      <c r="D15668" s="67"/>
      <c r="G15668" s="68"/>
      <c r="K15668" s="68"/>
    </row>
    <row r="15669" spans="2:11" ht="12.75">
      <c r="B15669" s="4"/>
      <c r="D15669" s="67"/>
      <c r="G15669" s="68"/>
      <c r="K15669" s="68"/>
    </row>
    <row r="15670" spans="2:11" ht="12.75">
      <c r="B15670" s="4"/>
      <c r="D15670" s="67"/>
      <c r="G15670" s="68"/>
      <c r="K15670" s="68"/>
    </row>
    <row r="15671" spans="2:11" ht="12.75">
      <c r="B15671" s="4"/>
      <c r="D15671" s="67"/>
      <c r="G15671" s="68"/>
      <c r="K15671" s="68"/>
    </row>
    <row r="15672" spans="2:11" ht="12.75">
      <c r="B15672" s="4"/>
      <c r="D15672" s="67"/>
      <c r="G15672" s="68"/>
      <c r="K15672" s="68"/>
    </row>
    <row r="15673" spans="2:11" ht="12.75">
      <c r="B15673" s="4"/>
      <c r="D15673" s="67"/>
      <c r="G15673" s="68"/>
      <c r="K15673" s="68"/>
    </row>
    <row r="15674" spans="2:11" ht="12.75">
      <c r="B15674" s="4"/>
      <c r="D15674" s="67"/>
      <c r="G15674" s="68"/>
      <c r="K15674" s="68"/>
    </row>
    <row r="15675" spans="2:11" ht="12.75">
      <c r="B15675" s="4"/>
      <c r="D15675" s="67"/>
      <c r="G15675" s="68"/>
      <c r="K15675" s="68"/>
    </row>
    <row r="15676" spans="2:11" ht="12.75">
      <c r="B15676" s="4"/>
      <c r="D15676" s="67"/>
      <c r="G15676" s="68"/>
      <c r="K15676" s="68"/>
    </row>
    <row r="15677" spans="2:11" ht="12.75">
      <c r="B15677" s="4"/>
      <c r="D15677" s="67"/>
      <c r="G15677" s="68"/>
      <c r="K15677" s="68"/>
    </row>
    <row r="15678" spans="2:11" ht="12.75">
      <c r="B15678" s="4"/>
      <c r="D15678" s="67"/>
      <c r="G15678" s="68"/>
      <c r="K15678" s="68"/>
    </row>
    <row r="15679" spans="2:11" ht="12.75">
      <c r="B15679" s="4"/>
      <c r="D15679" s="67"/>
      <c r="G15679" s="68"/>
      <c r="K15679" s="68"/>
    </row>
    <row r="15680" spans="2:11" ht="12.75">
      <c r="B15680" s="4"/>
      <c r="D15680" s="67"/>
      <c r="G15680" s="68"/>
      <c r="K15680" s="68"/>
    </row>
    <row r="15681" spans="2:11" ht="12.75">
      <c r="B15681" s="4"/>
      <c r="D15681" s="67"/>
      <c r="G15681" s="68"/>
      <c r="K15681" s="68"/>
    </row>
    <row r="15682" spans="2:11" ht="12.75">
      <c r="B15682" s="4"/>
      <c r="D15682" s="67"/>
      <c r="G15682" s="68"/>
      <c r="K15682" s="68"/>
    </row>
    <row r="15683" spans="2:11" ht="12.75">
      <c r="B15683" s="4"/>
      <c r="D15683" s="67"/>
      <c r="G15683" s="68"/>
      <c r="K15683" s="68"/>
    </row>
    <row r="15684" spans="2:11" ht="12.75">
      <c r="B15684" s="4"/>
      <c r="D15684" s="67"/>
      <c r="G15684" s="68"/>
      <c r="K15684" s="68"/>
    </row>
    <row r="15685" spans="2:11" ht="12.75">
      <c r="B15685" s="4"/>
      <c r="D15685" s="67"/>
      <c r="G15685" s="68"/>
      <c r="K15685" s="68"/>
    </row>
    <row r="15686" spans="2:11" ht="12.75">
      <c r="B15686" s="4"/>
      <c r="D15686" s="67"/>
      <c r="G15686" s="68"/>
      <c r="K15686" s="68"/>
    </row>
    <row r="15687" spans="2:11" ht="12.75">
      <c r="B15687" s="4"/>
      <c r="D15687" s="67"/>
      <c r="G15687" s="68"/>
      <c r="K15687" s="68"/>
    </row>
    <row r="15688" spans="2:11" ht="12.75">
      <c r="B15688" s="4"/>
      <c r="D15688" s="67"/>
      <c r="G15688" s="68"/>
      <c r="K15688" s="68"/>
    </row>
    <row r="15689" spans="2:11" ht="12.75">
      <c r="B15689" s="4"/>
      <c r="D15689" s="67"/>
      <c r="G15689" s="68"/>
      <c r="K15689" s="68"/>
    </row>
    <row r="15690" spans="2:11" ht="12.75">
      <c r="B15690" s="4"/>
      <c r="D15690" s="67"/>
      <c r="G15690" s="68"/>
      <c r="K15690" s="68"/>
    </row>
    <row r="15691" spans="2:11" ht="12.75">
      <c r="B15691" s="4"/>
      <c r="D15691" s="67"/>
      <c r="G15691" s="68"/>
      <c r="K15691" s="68"/>
    </row>
    <row r="15692" spans="2:11" ht="12.75">
      <c r="B15692" s="4"/>
      <c r="D15692" s="67"/>
      <c r="G15692" s="68"/>
      <c r="K15692" s="68"/>
    </row>
    <row r="15693" spans="2:11" ht="12.75">
      <c r="B15693" s="4"/>
      <c r="D15693" s="67"/>
      <c r="G15693" s="68"/>
      <c r="K15693" s="68"/>
    </row>
    <row r="15694" spans="2:11" ht="12.75">
      <c r="B15694" s="4"/>
      <c r="D15694" s="67"/>
      <c r="G15694" s="68"/>
      <c r="K15694" s="68"/>
    </row>
    <row r="15695" spans="2:11" ht="12.75">
      <c r="B15695" s="4"/>
      <c r="D15695" s="67"/>
      <c r="G15695" s="68"/>
      <c r="K15695" s="68"/>
    </row>
    <row r="15696" spans="2:11" ht="12.75">
      <c r="B15696" s="4"/>
      <c r="D15696" s="67"/>
      <c r="G15696" s="68"/>
      <c r="K15696" s="68"/>
    </row>
    <row r="15697" spans="2:11" ht="12.75">
      <c r="B15697" s="4"/>
      <c r="D15697" s="67"/>
      <c r="G15697" s="68"/>
      <c r="K15697" s="68"/>
    </row>
    <row r="15698" spans="2:11" ht="12.75">
      <c r="B15698" s="4"/>
      <c r="D15698" s="67"/>
      <c r="G15698" s="68"/>
      <c r="K15698" s="68"/>
    </row>
    <row r="15699" spans="2:11" ht="12.75">
      <c r="B15699" s="4"/>
      <c r="D15699" s="67"/>
      <c r="G15699" s="68"/>
      <c r="K15699" s="68"/>
    </row>
    <row r="15700" spans="2:11" ht="12.75">
      <c r="B15700" s="4"/>
      <c r="D15700" s="67"/>
      <c r="G15700" s="68"/>
      <c r="K15700" s="68"/>
    </row>
    <row r="15701" spans="2:11" ht="12.75">
      <c r="B15701" s="4"/>
      <c r="D15701" s="67"/>
      <c r="G15701" s="68"/>
      <c r="K15701" s="68"/>
    </row>
    <row r="15702" spans="2:11" ht="12.75">
      <c r="B15702" s="4"/>
      <c r="D15702" s="67"/>
      <c r="G15702" s="68"/>
      <c r="K15702" s="68"/>
    </row>
    <row r="15703" spans="2:11" ht="12.75">
      <c r="B15703" s="4"/>
      <c r="D15703" s="67"/>
      <c r="G15703" s="68"/>
      <c r="K15703" s="68"/>
    </row>
    <row r="15704" spans="2:11" ht="12.75">
      <c r="B15704" s="4"/>
      <c r="D15704" s="67"/>
      <c r="G15704" s="68"/>
      <c r="K15704" s="68"/>
    </row>
    <row r="15705" spans="2:11" ht="12.75">
      <c r="B15705" s="4"/>
      <c r="D15705" s="67"/>
      <c r="G15705" s="68"/>
      <c r="K15705" s="68"/>
    </row>
    <row r="15706" spans="2:11" ht="12.75">
      <c r="B15706" s="4"/>
      <c r="D15706" s="67"/>
      <c r="G15706" s="68"/>
      <c r="K15706" s="68"/>
    </row>
    <row r="15707" spans="2:11" ht="12.75">
      <c r="B15707" s="4"/>
      <c r="D15707" s="67"/>
      <c r="G15707" s="68"/>
      <c r="K15707" s="68"/>
    </row>
    <row r="15708" spans="2:11" ht="12.75">
      <c r="B15708" s="4"/>
      <c r="D15708" s="67"/>
      <c r="G15708" s="68"/>
      <c r="K15708" s="68"/>
    </row>
    <row r="15709" spans="2:11" ht="12.75">
      <c r="B15709" s="4"/>
      <c r="D15709" s="67"/>
      <c r="G15709" s="68"/>
      <c r="K15709" s="68"/>
    </row>
    <row r="15710" spans="2:11" ht="12.75">
      <c r="B15710" s="4"/>
      <c r="D15710" s="67"/>
      <c r="G15710" s="68"/>
      <c r="K15710" s="68"/>
    </row>
    <row r="15711" spans="2:11" ht="12.75">
      <c r="B15711" s="4"/>
      <c r="D15711" s="67"/>
      <c r="G15711" s="68"/>
      <c r="K15711" s="68"/>
    </row>
    <row r="15712" spans="2:11" ht="12.75">
      <c r="B15712" s="4"/>
      <c r="D15712" s="67"/>
      <c r="G15712" s="68"/>
      <c r="K15712" s="68"/>
    </row>
    <row r="15713" spans="2:11" ht="12.75">
      <c r="B15713" s="4"/>
      <c r="D15713" s="67"/>
      <c r="G15713" s="68"/>
      <c r="K15713" s="68"/>
    </row>
    <row r="15714" spans="2:11" ht="12.75">
      <c r="B15714" s="4"/>
      <c r="D15714" s="67"/>
      <c r="G15714" s="68"/>
      <c r="K15714" s="68"/>
    </row>
    <row r="15715" spans="2:11" ht="12.75">
      <c r="B15715" s="4"/>
      <c r="D15715" s="67"/>
      <c r="G15715" s="68"/>
      <c r="K15715" s="68"/>
    </row>
    <row r="15716" spans="2:11" ht="12.75">
      <c r="B15716" s="4"/>
      <c r="D15716" s="67"/>
      <c r="G15716" s="68"/>
      <c r="K15716" s="68"/>
    </row>
    <row r="15717" spans="2:11" ht="12.75">
      <c r="B15717" s="4"/>
      <c r="D15717" s="67"/>
      <c r="G15717" s="68"/>
      <c r="K15717" s="68"/>
    </row>
    <row r="15718" spans="2:11" ht="12.75">
      <c r="B15718" s="4"/>
      <c r="D15718" s="67"/>
      <c r="G15718" s="68"/>
      <c r="K15718" s="68"/>
    </row>
    <row r="15719" spans="2:11" ht="12.75">
      <c r="B15719" s="4"/>
      <c r="D15719" s="67"/>
      <c r="G15719" s="68"/>
      <c r="K15719" s="68"/>
    </row>
    <row r="15720" spans="2:11" ht="12.75">
      <c r="B15720" s="4"/>
      <c r="D15720" s="67"/>
      <c r="G15720" s="68"/>
      <c r="K15720" s="68"/>
    </row>
    <row r="15721" spans="2:11" ht="12.75">
      <c r="B15721" s="4"/>
      <c r="D15721" s="67"/>
      <c r="G15721" s="68"/>
      <c r="K15721" s="68"/>
    </row>
    <row r="15722" spans="2:11" ht="12.75">
      <c r="B15722" s="4"/>
      <c r="D15722" s="67"/>
      <c r="G15722" s="68"/>
      <c r="K15722" s="68"/>
    </row>
    <row r="15723" spans="2:11" ht="12.75">
      <c r="B15723" s="4"/>
      <c r="D15723" s="67"/>
      <c r="G15723" s="68"/>
      <c r="K15723" s="68"/>
    </row>
    <row r="15724" spans="2:11" ht="12.75">
      <c r="B15724" s="4"/>
      <c r="D15724" s="67"/>
      <c r="G15724" s="68"/>
      <c r="K15724" s="68"/>
    </row>
    <row r="15725" spans="2:11" ht="12.75">
      <c r="B15725" s="4"/>
      <c r="D15725" s="67"/>
      <c r="G15725" s="68"/>
      <c r="K15725" s="68"/>
    </row>
    <row r="15726" spans="2:11" ht="12.75">
      <c r="B15726" s="4"/>
      <c r="D15726" s="67"/>
      <c r="G15726" s="68"/>
      <c r="K15726" s="68"/>
    </row>
    <row r="15727" spans="2:11" ht="12.75">
      <c r="B15727" s="4"/>
      <c r="D15727" s="67"/>
      <c r="G15727" s="68"/>
      <c r="K15727" s="68"/>
    </row>
    <row r="15728" spans="2:11" ht="12.75">
      <c r="B15728" s="4"/>
      <c r="D15728" s="67"/>
      <c r="G15728" s="68"/>
      <c r="K15728" s="68"/>
    </row>
    <row r="15729" spans="2:11" ht="12.75">
      <c r="B15729" s="4"/>
      <c r="D15729" s="67"/>
      <c r="G15729" s="68"/>
      <c r="K15729" s="68"/>
    </row>
    <row r="15730" spans="2:11" ht="12.75">
      <c r="B15730" s="4"/>
      <c r="D15730" s="67"/>
      <c r="G15730" s="68"/>
      <c r="K15730" s="68"/>
    </row>
    <row r="15731" spans="2:11" ht="12.75">
      <c r="B15731" s="4"/>
      <c r="D15731" s="67"/>
      <c r="G15731" s="68"/>
      <c r="K15731" s="68"/>
    </row>
    <row r="15732" spans="2:11" ht="12.75">
      <c r="B15732" s="4"/>
      <c r="D15732" s="67"/>
      <c r="G15732" s="68"/>
      <c r="K15732" s="68"/>
    </row>
    <row r="15733" spans="2:11" ht="12.75">
      <c r="B15733" s="4"/>
      <c r="D15733" s="67"/>
      <c r="G15733" s="68"/>
      <c r="K15733" s="68"/>
    </row>
    <row r="15734" spans="2:11" ht="12.75">
      <c r="B15734" s="4"/>
      <c r="D15734" s="67"/>
      <c r="G15734" s="68"/>
      <c r="K15734" s="68"/>
    </row>
    <row r="15735" spans="2:11" ht="12.75">
      <c r="B15735" s="4"/>
      <c r="D15735" s="67"/>
      <c r="G15735" s="68"/>
      <c r="K15735" s="68"/>
    </row>
    <row r="15736" spans="2:11" ht="12.75">
      <c r="B15736" s="4"/>
      <c r="D15736" s="67"/>
      <c r="G15736" s="68"/>
      <c r="K15736" s="68"/>
    </row>
    <row r="15737" spans="2:11" ht="12.75">
      <c r="B15737" s="4"/>
      <c r="D15737" s="67"/>
      <c r="G15737" s="68"/>
      <c r="K15737" s="68"/>
    </row>
    <row r="15738" spans="2:11" ht="12.75">
      <c r="B15738" s="4"/>
      <c r="D15738" s="67"/>
      <c r="G15738" s="68"/>
      <c r="K15738" s="68"/>
    </row>
    <row r="15739" spans="2:11" ht="12.75">
      <c r="B15739" s="4"/>
      <c r="D15739" s="67"/>
      <c r="G15739" s="68"/>
      <c r="K15739" s="68"/>
    </row>
    <row r="15740" spans="2:11" ht="12.75">
      <c r="B15740" s="4"/>
      <c r="D15740" s="67"/>
      <c r="G15740" s="68"/>
      <c r="K15740" s="68"/>
    </row>
    <row r="15741" spans="2:11" ht="12.75">
      <c r="B15741" s="4"/>
      <c r="D15741" s="67"/>
      <c r="G15741" s="68"/>
      <c r="K15741" s="68"/>
    </row>
    <row r="15742" spans="2:11" ht="12.75">
      <c r="B15742" s="4"/>
      <c r="D15742" s="67"/>
      <c r="G15742" s="68"/>
      <c r="K15742" s="68"/>
    </row>
    <row r="15743" spans="2:11" ht="12.75">
      <c r="B15743" s="4"/>
      <c r="D15743" s="67"/>
      <c r="G15743" s="68"/>
      <c r="K15743" s="68"/>
    </row>
    <row r="15744" spans="2:11" ht="12.75">
      <c r="B15744" s="4"/>
      <c r="D15744" s="67"/>
      <c r="G15744" s="68"/>
      <c r="K15744" s="68"/>
    </row>
    <row r="15745" spans="2:11" ht="12.75">
      <c r="B15745" s="4"/>
      <c r="D15745" s="67"/>
      <c r="G15745" s="68"/>
      <c r="K15745" s="68"/>
    </row>
    <row r="15746" spans="2:11" ht="12.75">
      <c r="B15746" s="4"/>
      <c r="D15746" s="67"/>
      <c r="G15746" s="68"/>
      <c r="K15746" s="68"/>
    </row>
    <row r="15747" spans="2:11" ht="12.75">
      <c r="B15747" s="4"/>
      <c r="D15747" s="67"/>
      <c r="G15747" s="68"/>
      <c r="K15747" s="68"/>
    </row>
    <row r="15748" spans="2:11" ht="12.75">
      <c r="B15748" s="4"/>
      <c r="D15748" s="67"/>
      <c r="G15748" s="68"/>
      <c r="K15748" s="68"/>
    </row>
    <row r="15749" spans="2:11" ht="12.75">
      <c r="B15749" s="4"/>
      <c r="D15749" s="67"/>
      <c r="G15749" s="68"/>
      <c r="K15749" s="68"/>
    </row>
    <row r="15750" spans="2:11" ht="12.75">
      <c r="B15750" s="4"/>
      <c r="D15750" s="67"/>
      <c r="G15750" s="68"/>
      <c r="K15750" s="68"/>
    </row>
    <row r="15751" spans="2:11" ht="12.75">
      <c r="B15751" s="4"/>
      <c r="D15751" s="67"/>
      <c r="G15751" s="68"/>
      <c r="K15751" s="68"/>
    </row>
    <row r="15752" spans="2:11" ht="12.75">
      <c r="B15752" s="4"/>
      <c r="D15752" s="67"/>
      <c r="G15752" s="68"/>
      <c r="K15752" s="68"/>
    </row>
    <row r="15753" spans="2:11" ht="12.75">
      <c r="B15753" s="4"/>
      <c r="D15753" s="67"/>
      <c r="G15753" s="68"/>
      <c r="K15753" s="68"/>
    </row>
    <row r="15754" spans="2:11" ht="12.75">
      <c r="B15754" s="4"/>
      <c r="D15754" s="67"/>
      <c r="G15754" s="68"/>
      <c r="K15754" s="68"/>
    </row>
    <row r="15755" spans="2:11" ht="12.75">
      <c r="B15755" s="4"/>
      <c r="D15755" s="67"/>
      <c r="G15755" s="68"/>
      <c r="K15755" s="68"/>
    </row>
    <row r="15756" spans="2:11" ht="12.75">
      <c r="B15756" s="4"/>
      <c r="D15756" s="67"/>
      <c r="G15756" s="68"/>
      <c r="K15756" s="68"/>
    </row>
    <row r="15757" spans="2:11" ht="12.75">
      <c r="B15757" s="4"/>
      <c r="D15757" s="67"/>
      <c r="G15757" s="68"/>
      <c r="K15757" s="68"/>
    </row>
    <row r="15758" spans="2:11" ht="12.75">
      <c r="B15758" s="4"/>
      <c r="D15758" s="67"/>
      <c r="G15758" s="68"/>
      <c r="K15758" s="68"/>
    </row>
    <row r="15759" spans="2:11" ht="12.75">
      <c r="B15759" s="4"/>
      <c r="D15759" s="67"/>
      <c r="G15759" s="68"/>
      <c r="K15759" s="68"/>
    </row>
    <row r="15760" spans="2:11" ht="12.75">
      <c r="B15760" s="4"/>
      <c r="D15760" s="67"/>
      <c r="G15760" s="68"/>
      <c r="K15760" s="68"/>
    </row>
    <row r="15761" spans="2:11" ht="12.75">
      <c r="B15761" s="4"/>
      <c r="D15761" s="67"/>
      <c r="G15761" s="68"/>
      <c r="K15761" s="68"/>
    </row>
    <row r="15762" spans="2:11" ht="12.75">
      <c r="B15762" s="4"/>
      <c r="D15762" s="67"/>
      <c r="G15762" s="68"/>
      <c r="K15762" s="68"/>
    </row>
    <row r="15763" spans="2:11" ht="12.75">
      <c r="B15763" s="4"/>
      <c r="D15763" s="67"/>
      <c r="G15763" s="68"/>
      <c r="K15763" s="68"/>
    </row>
    <row r="15764" spans="2:11" ht="12.75">
      <c r="B15764" s="4"/>
      <c r="D15764" s="67"/>
      <c r="G15764" s="68"/>
      <c r="K15764" s="68"/>
    </row>
    <row r="15765" spans="2:11" ht="12.75">
      <c r="B15765" s="4"/>
      <c r="D15765" s="67"/>
      <c r="G15765" s="68"/>
      <c r="K15765" s="68"/>
    </row>
    <row r="15766" spans="2:11" ht="12.75">
      <c r="B15766" s="4"/>
      <c r="D15766" s="67"/>
      <c r="G15766" s="68"/>
      <c r="K15766" s="68"/>
    </row>
    <row r="15767" spans="2:11" ht="12.75">
      <c r="B15767" s="4"/>
      <c r="D15767" s="67"/>
      <c r="G15767" s="68"/>
      <c r="K15767" s="68"/>
    </row>
    <row r="15768" spans="2:11" ht="12.75">
      <c r="B15768" s="4"/>
      <c r="D15768" s="67"/>
      <c r="G15768" s="68"/>
      <c r="K15768" s="68"/>
    </row>
    <row r="15769" spans="2:11" ht="12.75">
      <c r="B15769" s="4"/>
      <c r="D15769" s="67"/>
      <c r="G15769" s="68"/>
      <c r="K15769" s="68"/>
    </row>
    <row r="15770" spans="2:11" ht="12.75">
      <c r="B15770" s="4"/>
      <c r="D15770" s="67"/>
      <c r="G15770" s="68"/>
      <c r="K15770" s="68"/>
    </row>
    <row r="15771" spans="2:11" ht="12.75">
      <c r="B15771" s="4"/>
      <c r="D15771" s="67"/>
      <c r="G15771" s="68"/>
      <c r="K15771" s="68"/>
    </row>
    <row r="15772" spans="2:11" ht="12.75">
      <c r="B15772" s="4"/>
      <c r="D15772" s="67"/>
      <c r="G15772" s="68"/>
      <c r="K15772" s="68"/>
    </row>
    <row r="15773" spans="2:11" ht="12.75">
      <c r="B15773" s="4"/>
      <c r="D15773" s="67"/>
      <c r="G15773" s="68"/>
      <c r="K15773" s="68"/>
    </row>
    <row r="15774" spans="2:11" ht="12.75">
      <c r="B15774" s="4"/>
      <c r="D15774" s="67"/>
      <c r="G15774" s="68"/>
      <c r="K15774" s="68"/>
    </row>
    <row r="15775" spans="2:11" ht="12.75">
      <c r="B15775" s="4"/>
      <c r="D15775" s="67"/>
      <c r="G15775" s="68"/>
      <c r="K15775" s="68"/>
    </row>
    <row r="15776" spans="2:11" ht="12.75">
      <c r="B15776" s="4"/>
      <c r="D15776" s="67"/>
      <c r="G15776" s="68"/>
      <c r="K15776" s="68"/>
    </row>
    <row r="15777" spans="2:11" ht="12.75">
      <c r="B15777" s="4"/>
      <c r="D15777" s="67"/>
      <c r="G15777" s="68"/>
      <c r="K15777" s="68"/>
    </row>
    <row r="15778" spans="2:11" ht="12.75">
      <c r="B15778" s="4"/>
      <c r="D15778" s="67"/>
      <c r="G15778" s="68"/>
      <c r="K15778" s="68"/>
    </row>
    <row r="15779" spans="2:11" ht="12.75">
      <c r="B15779" s="4"/>
      <c r="D15779" s="67"/>
      <c r="G15779" s="68"/>
      <c r="K15779" s="68"/>
    </row>
    <row r="15780" spans="2:11" ht="12.75">
      <c r="B15780" s="4"/>
      <c r="D15780" s="67"/>
      <c r="G15780" s="68"/>
      <c r="K15780" s="68"/>
    </row>
    <row r="15781" spans="2:11" ht="12.75">
      <c r="B15781" s="4"/>
      <c r="D15781" s="67"/>
      <c r="G15781" s="68"/>
      <c r="K15781" s="68"/>
    </row>
    <row r="15782" spans="2:11" ht="12.75">
      <c r="B15782" s="4"/>
      <c r="D15782" s="67"/>
      <c r="G15782" s="68"/>
      <c r="K15782" s="68"/>
    </row>
    <row r="15783" spans="2:11" ht="12.75">
      <c r="B15783" s="4"/>
      <c r="D15783" s="67"/>
      <c r="G15783" s="68"/>
      <c r="K15783" s="68"/>
    </row>
    <row r="15784" spans="2:11" ht="12.75">
      <c r="B15784" s="4"/>
      <c r="D15784" s="67"/>
      <c r="G15784" s="68"/>
      <c r="K15784" s="68"/>
    </row>
    <row r="15785" spans="2:11" ht="12.75">
      <c r="B15785" s="4"/>
      <c r="D15785" s="67"/>
      <c r="G15785" s="68"/>
      <c r="K15785" s="68"/>
    </row>
    <row r="15786" spans="2:11" ht="12.75">
      <c r="B15786" s="4"/>
      <c r="D15786" s="67"/>
      <c r="G15786" s="68"/>
      <c r="K15786" s="68"/>
    </row>
    <row r="15787" spans="2:11" ht="12.75">
      <c r="B15787" s="4"/>
      <c r="D15787" s="67"/>
      <c r="G15787" s="68"/>
      <c r="K15787" s="68"/>
    </row>
    <row r="15788" spans="2:11" ht="12.75">
      <c r="B15788" s="4"/>
      <c r="D15788" s="67"/>
      <c r="G15788" s="68"/>
      <c r="K15788" s="68"/>
    </row>
    <row r="15789" spans="2:11" ht="12.75">
      <c r="B15789" s="4"/>
      <c r="D15789" s="67"/>
      <c r="G15789" s="68"/>
      <c r="K15789" s="68"/>
    </row>
    <row r="15790" spans="2:11" ht="12.75">
      <c r="B15790" s="4"/>
      <c r="D15790" s="67"/>
      <c r="G15790" s="68"/>
      <c r="K15790" s="68"/>
    </row>
    <row r="15791" spans="2:11" ht="12.75">
      <c r="B15791" s="4"/>
      <c r="D15791" s="67"/>
      <c r="G15791" s="68"/>
      <c r="K15791" s="68"/>
    </row>
    <row r="15792" spans="2:11" ht="12.75">
      <c r="B15792" s="4"/>
      <c r="D15792" s="67"/>
      <c r="G15792" s="68"/>
      <c r="K15792" s="68"/>
    </row>
    <row r="15793" spans="2:11" ht="12.75">
      <c r="B15793" s="4"/>
      <c r="D15793" s="67"/>
      <c r="G15793" s="68"/>
      <c r="K15793" s="68"/>
    </row>
    <row r="15794" spans="2:11" ht="12.75">
      <c r="B15794" s="4"/>
      <c r="D15794" s="67"/>
      <c r="G15794" s="68"/>
      <c r="K15794" s="68"/>
    </row>
    <row r="15795" spans="2:11" ht="12.75">
      <c r="B15795" s="4"/>
      <c r="D15795" s="67"/>
      <c r="G15795" s="68"/>
      <c r="K15795" s="68"/>
    </row>
    <row r="15796" spans="2:11" ht="12.75">
      <c r="B15796" s="4"/>
      <c r="D15796" s="67"/>
      <c r="G15796" s="68"/>
      <c r="K15796" s="68"/>
    </row>
    <row r="15797" spans="2:11" ht="12.75">
      <c r="B15797" s="4"/>
      <c r="D15797" s="67"/>
      <c r="G15797" s="68"/>
      <c r="K15797" s="68"/>
    </row>
    <row r="15798" spans="2:11" ht="12.75">
      <c r="B15798" s="4"/>
      <c r="D15798" s="67"/>
      <c r="G15798" s="68"/>
      <c r="K15798" s="68"/>
    </row>
    <row r="15799" spans="2:11" ht="12.75">
      <c r="B15799" s="4"/>
      <c r="D15799" s="67"/>
      <c r="G15799" s="68"/>
      <c r="K15799" s="68"/>
    </row>
    <row r="15800" spans="2:11" ht="12.75">
      <c r="B15800" s="4"/>
      <c r="D15800" s="67"/>
      <c r="G15800" s="68"/>
      <c r="K15800" s="68"/>
    </row>
    <row r="15801" spans="2:11" ht="12.75">
      <c r="B15801" s="4"/>
      <c r="D15801" s="67"/>
      <c r="G15801" s="68"/>
      <c r="K15801" s="68"/>
    </row>
    <row r="15802" spans="2:11" ht="12.75">
      <c r="B15802" s="4"/>
      <c r="D15802" s="67"/>
      <c r="G15802" s="68"/>
      <c r="K15802" s="68"/>
    </row>
    <row r="15803" spans="2:11" ht="12.75">
      <c r="B15803" s="4"/>
      <c r="D15803" s="67"/>
      <c r="G15803" s="68"/>
      <c r="K15803" s="68"/>
    </row>
    <row r="15804" spans="2:11" ht="12.75">
      <c r="B15804" s="4"/>
      <c r="D15804" s="67"/>
      <c r="G15804" s="68"/>
      <c r="K15804" s="68"/>
    </row>
    <row r="15805" spans="2:11" ht="12.75">
      <c r="B15805" s="4"/>
      <c r="D15805" s="67"/>
      <c r="G15805" s="68"/>
      <c r="K15805" s="68"/>
    </row>
    <row r="15806" spans="2:11" ht="12.75">
      <c r="B15806" s="4"/>
      <c r="D15806" s="67"/>
      <c r="G15806" s="68"/>
      <c r="K15806" s="68"/>
    </row>
    <row r="15807" spans="2:11" ht="12.75">
      <c r="B15807" s="4"/>
      <c r="D15807" s="67"/>
      <c r="G15807" s="68"/>
      <c r="K15807" s="68"/>
    </row>
    <row r="15808" spans="2:11" ht="12.75">
      <c r="B15808" s="4"/>
      <c r="D15808" s="67"/>
      <c r="G15808" s="68"/>
      <c r="K15808" s="68"/>
    </row>
    <row r="15809" spans="2:11" ht="12.75">
      <c r="B15809" s="4"/>
      <c r="D15809" s="67"/>
      <c r="G15809" s="68"/>
      <c r="K15809" s="68"/>
    </row>
    <row r="15810" spans="2:11" ht="12.75">
      <c r="B15810" s="4"/>
      <c r="D15810" s="67"/>
      <c r="G15810" s="68"/>
      <c r="K15810" s="68"/>
    </row>
    <row r="15811" spans="2:11" ht="12.75">
      <c r="B15811" s="4"/>
      <c r="D15811" s="67"/>
      <c r="G15811" s="68"/>
      <c r="K15811" s="68"/>
    </row>
    <row r="15812" spans="2:11" ht="12.75">
      <c r="B15812" s="4"/>
      <c r="D15812" s="67"/>
      <c r="G15812" s="68"/>
      <c r="K15812" s="68"/>
    </row>
    <row r="15813" spans="2:11" ht="12.75">
      <c r="B15813" s="4"/>
      <c r="D15813" s="67"/>
      <c r="G15813" s="68"/>
      <c r="K15813" s="68"/>
    </row>
    <row r="15814" spans="2:11" ht="12.75">
      <c r="B15814" s="4"/>
      <c r="D15814" s="67"/>
      <c r="G15814" s="68"/>
      <c r="K15814" s="68"/>
    </row>
    <row r="15815" spans="2:11" ht="12.75">
      <c r="B15815" s="4"/>
      <c r="D15815" s="67"/>
      <c r="G15815" s="68"/>
      <c r="K15815" s="68"/>
    </row>
    <row r="15816" spans="2:11" ht="12.75">
      <c r="B15816" s="4"/>
      <c r="D15816" s="67"/>
      <c r="G15816" s="68"/>
      <c r="K15816" s="68"/>
    </row>
    <row r="15817" spans="2:11" ht="12.75">
      <c r="B15817" s="4"/>
      <c r="D15817" s="67"/>
      <c r="G15817" s="68"/>
      <c r="K15817" s="68"/>
    </row>
    <row r="15818" spans="2:11" ht="12.75">
      <c r="B15818" s="4"/>
      <c r="D15818" s="67"/>
      <c r="G15818" s="68"/>
      <c r="K15818" s="68"/>
    </row>
    <row r="15819" spans="2:11" ht="12.75">
      <c r="B15819" s="4"/>
      <c r="D15819" s="67"/>
      <c r="G15819" s="68"/>
      <c r="K15819" s="68"/>
    </row>
    <row r="15820" spans="2:11" ht="12.75">
      <c r="B15820" s="4"/>
      <c r="D15820" s="67"/>
      <c r="G15820" s="68"/>
      <c r="K15820" s="68"/>
    </row>
    <row r="15821" spans="2:11" ht="12.75">
      <c r="B15821" s="4"/>
      <c r="D15821" s="67"/>
      <c r="G15821" s="68"/>
      <c r="K15821" s="68"/>
    </row>
    <row r="15822" spans="2:11" ht="12.75">
      <c r="B15822" s="4"/>
      <c r="D15822" s="67"/>
      <c r="G15822" s="68"/>
      <c r="K15822" s="68"/>
    </row>
    <row r="15823" spans="2:11" ht="12.75">
      <c r="B15823" s="4"/>
      <c r="D15823" s="67"/>
      <c r="G15823" s="68"/>
      <c r="K15823" s="68"/>
    </row>
    <row r="15824" spans="2:11" ht="12.75">
      <c r="B15824" s="4"/>
      <c r="D15824" s="67"/>
      <c r="G15824" s="68"/>
      <c r="K15824" s="68"/>
    </row>
    <row r="15825" spans="2:11" ht="12.75">
      <c r="B15825" s="4"/>
      <c r="D15825" s="67"/>
      <c r="G15825" s="68"/>
      <c r="K15825" s="68"/>
    </row>
    <row r="15826" spans="2:11" ht="12.75">
      <c r="B15826" s="4"/>
      <c r="D15826" s="67"/>
      <c r="G15826" s="68"/>
      <c r="K15826" s="68"/>
    </row>
    <row r="15827" spans="2:11" ht="12.75">
      <c r="B15827" s="4"/>
      <c r="D15827" s="67"/>
      <c r="G15827" s="68"/>
      <c r="K15827" s="68"/>
    </row>
    <row r="15828" spans="2:11" ht="12.75">
      <c r="B15828" s="4"/>
      <c r="D15828" s="67"/>
      <c r="G15828" s="68"/>
      <c r="K15828" s="68"/>
    </row>
    <row r="15829" spans="2:11" ht="12.75">
      <c r="B15829" s="4"/>
      <c r="D15829" s="67"/>
      <c r="G15829" s="68"/>
      <c r="K15829" s="68"/>
    </row>
    <row r="15830" spans="2:11" ht="12.75">
      <c r="B15830" s="4"/>
      <c r="D15830" s="67"/>
      <c r="G15830" s="68"/>
      <c r="K15830" s="68"/>
    </row>
    <row r="15831" spans="2:11" ht="12.75">
      <c r="B15831" s="4"/>
      <c r="D15831" s="67"/>
      <c r="G15831" s="68"/>
      <c r="K15831" s="68"/>
    </row>
    <row r="15832" spans="2:11" ht="12.75">
      <c r="B15832" s="4"/>
      <c r="D15832" s="67"/>
      <c r="G15832" s="68"/>
      <c r="K15832" s="68"/>
    </row>
    <row r="15833" spans="2:11" ht="12.75">
      <c r="B15833" s="4"/>
      <c r="D15833" s="67"/>
      <c r="G15833" s="68"/>
      <c r="K15833" s="68"/>
    </row>
    <row r="15834" spans="2:11" ht="12.75">
      <c r="B15834" s="4"/>
      <c r="D15834" s="67"/>
      <c r="G15834" s="68"/>
      <c r="K15834" s="68"/>
    </row>
    <row r="15835" spans="2:11" ht="12.75">
      <c r="B15835" s="4"/>
      <c r="D15835" s="67"/>
      <c r="G15835" s="68"/>
      <c r="K15835" s="68"/>
    </row>
    <row r="15836" spans="2:11" ht="12.75">
      <c r="B15836" s="4"/>
      <c r="D15836" s="67"/>
      <c r="G15836" s="68"/>
      <c r="K15836" s="68"/>
    </row>
    <row r="15837" spans="2:11" ht="12.75">
      <c r="B15837" s="4"/>
      <c r="D15837" s="67"/>
      <c r="G15837" s="68"/>
      <c r="K15837" s="68"/>
    </row>
    <row r="15838" spans="2:11" ht="12.75">
      <c r="B15838" s="4"/>
      <c r="D15838" s="67"/>
      <c r="G15838" s="68"/>
      <c r="K15838" s="68"/>
    </row>
    <row r="15839" spans="2:11" ht="12.75">
      <c r="B15839" s="4"/>
      <c r="D15839" s="67"/>
      <c r="G15839" s="68"/>
      <c r="K15839" s="68"/>
    </row>
    <row r="15840" spans="2:11" ht="12.75">
      <c r="B15840" s="4"/>
      <c r="D15840" s="67"/>
      <c r="G15840" s="68"/>
      <c r="K15840" s="68"/>
    </row>
    <row r="15841" spans="2:11" ht="12.75">
      <c r="B15841" s="4"/>
      <c r="D15841" s="67"/>
      <c r="G15841" s="68"/>
      <c r="K15841" s="68"/>
    </row>
    <row r="15842" spans="2:11" ht="12.75">
      <c r="B15842" s="4"/>
      <c r="D15842" s="67"/>
      <c r="G15842" s="68"/>
      <c r="K15842" s="68"/>
    </row>
    <row r="15843" spans="2:11" ht="12.75">
      <c r="B15843" s="4"/>
      <c r="D15843" s="67"/>
      <c r="G15843" s="68"/>
      <c r="K15843" s="68"/>
    </row>
    <row r="15844" spans="2:11" ht="12.75">
      <c r="B15844" s="4"/>
      <c r="D15844" s="67"/>
      <c r="G15844" s="68"/>
      <c r="K15844" s="68"/>
    </row>
    <row r="15845" spans="2:11" ht="12.75">
      <c r="B15845" s="4"/>
      <c r="D15845" s="67"/>
      <c r="G15845" s="68"/>
      <c r="K15845" s="68"/>
    </row>
    <row r="15846" spans="2:11" ht="12.75">
      <c r="B15846" s="4"/>
      <c r="D15846" s="67"/>
      <c r="G15846" s="68"/>
      <c r="K15846" s="68"/>
    </row>
    <row r="15847" spans="2:11" ht="12.75">
      <c r="B15847" s="4"/>
      <c r="D15847" s="67"/>
      <c r="G15847" s="68"/>
      <c r="K15847" s="68"/>
    </row>
    <row r="15848" spans="2:11" ht="12.75">
      <c r="B15848" s="4"/>
      <c r="D15848" s="67"/>
      <c r="G15848" s="68"/>
      <c r="K15848" s="68"/>
    </row>
    <row r="15849" spans="2:11" ht="12.75">
      <c r="B15849" s="4"/>
      <c r="D15849" s="67"/>
      <c r="G15849" s="68"/>
      <c r="K15849" s="68"/>
    </row>
    <row r="15850" spans="2:11" ht="12.75">
      <c r="B15850" s="4"/>
      <c r="D15850" s="67"/>
      <c r="G15850" s="68"/>
      <c r="K15850" s="68"/>
    </row>
    <row r="15851" spans="2:11" ht="12.75">
      <c r="B15851" s="4"/>
      <c r="D15851" s="67"/>
      <c r="G15851" s="68"/>
      <c r="K15851" s="68"/>
    </row>
    <row r="15852" spans="2:11" ht="12.75">
      <c r="B15852" s="4"/>
      <c r="D15852" s="67"/>
      <c r="G15852" s="68"/>
      <c r="K15852" s="68"/>
    </row>
    <row r="15853" spans="2:11" ht="12.75">
      <c r="B15853" s="4"/>
      <c r="D15853" s="67"/>
      <c r="G15853" s="68"/>
      <c r="K15853" s="68"/>
    </row>
    <row r="15854" spans="2:11" ht="12.75">
      <c r="B15854" s="4"/>
      <c r="D15854" s="67"/>
      <c r="G15854" s="68"/>
      <c r="K15854" s="68"/>
    </row>
    <row r="15855" spans="2:11" ht="12.75">
      <c r="B15855" s="4"/>
      <c r="D15855" s="67"/>
      <c r="G15855" s="68"/>
      <c r="K15855" s="68"/>
    </row>
    <row r="15856" spans="2:11" ht="12.75">
      <c r="B15856" s="4"/>
      <c r="D15856" s="67"/>
      <c r="G15856" s="68"/>
      <c r="K15856" s="68"/>
    </row>
    <row r="15857" spans="2:11" ht="12.75">
      <c r="B15857" s="4"/>
      <c r="D15857" s="67"/>
      <c r="G15857" s="68"/>
      <c r="K15857" s="68"/>
    </row>
    <row r="15858" spans="2:11" ht="12.75">
      <c r="B15858" s="4"/>
      <c r="D15858" s="67"/>
      <c r="G15858" s="68"/>
      <c r="K15858" s="68"/>
    </row>
    <row r="15859" spans="2:11" ht="12.75">
      <c r="B15859" s="4"/>
      <c r="D15859" s="67"/>
      <c r="G15859" s="68"/>
      <c r="K15859" s="68"/>
    </row>
    <row r="15860" spans="2:11" ht="12.75">
      <c r="B15860" s="4"/>
      <c r="D15860" s="67"/>
      <c r="G15860" s="68"/>
      <c r="K15860" s="68"/>
    </row>
    <row r="15861" spans="2:11" ht="12.75">
      <c r="B15861" s="4"/>
      <c r="D15861" s="67"/>
      <c r="G15861" s="68"/>
      <c r="K15861" s="68"/>
    </row>
    <row r="15862" spans="2:11" ht="12.75">
      <c r="B15862" s="4"/>
      <c r="D15862" s="67"/>
      <c r="G15862" s="68"/>
      <c r="K15862" s="68"/>
    </row>
    <row r="15863" spans="2:11" ht="12.75">
      <c r="B15863" s="4"/>
      <c r="D15863" s="67"/>
      <c r="G15863" s="68"/>
      <c r="K15863" s="68"/>
    </row>
    <row r="15864" spans="2:11" ht="12.75">
      <c r="B15864" s="4"/>
      <c r="D15864" s="67"/>
      <c r="G15864" s="68"/>
      <c r="K15864" s="68"/>
    </row>
    <row r="15865" spans="2:11" ht="12.75">
      <c r="B15865" s="4"/>
      <c r="D15865" s="67"/>
      <c r="G15865" s="68"/>
      <c r="K15865" s="68"/>
    </row>
    <row r="15866" spans="2:11" ht="12.75">
      <c r="B15866" s="4"/>
      <c r="D15866" s="67"/>
      <c r="G15866" s="68"/>
      <c r="K15866" s="68"/>
    </row>
    <row r="15867" spans="2:11" ht="12.75">
      <c r="B15867" s="4"/>
      <c r="D15867" s="67"/>
      <c r="G15867" s="68"/>
      <c r="K15867" s="68"/>
    </row>
    <row r="15868" spans="2:11" ht="12.75">
      <c r="B15868" s="4"/>
      <c r="D15868" s="67"/>
      <c r="G15868" s="68"/>
      <c r="K15868" s="68"/>
    </row>
    <row r="15869" spans="2:11" ht="12.75">
      <c r="B15869" s="4"/>
      <c r="D15869" s="67"/>
      <c r="G15869" s="68"/>
      <c r="K15869" s="68"/>
    </row>
    <row r="15870" spans="2:11" ht="12.75">
      <c r="B15870" s="4"/>
      <c r="D15870" s="67"/>
      <c r="G15870" s="68"/>
      <c r="K15870" s="68"/>
    </row>
    <row r="15871" spans="2:11" ht="12.75">
      <c r="B15871" s="4"/>
      <c r="D15871" s="67"/>
      <c r="G15871" s="68"/>
      <c r="K15871" s="68"/>
    </row>
    <row r="15872" spans="2:11" ht="12.75">
      <c r="B15872" s="4"/>
      <c r="D15872" s="67"/>
      <c r="G15872" s="68"/>
      <c r="K15872" s="68"/>
    </row>
    <row r="15873" spans="2:11" ht="12.75">
      <c r="B15873" s="4"/>
      <c r="D15873" s="67"/>
      <c r="G15873" s="68"/>
      <c r="K15873" s="68"/>
    </row>
    <row r="15874" spans="2:11" ht="12.75">
      <c r="B15874" s="4"/>
      <c r="D15874" s="67"/>
      <c r="G15874" s="68"/>
      <c r="K15874" s="68"/>
    </row>
    <row r="15875" spans="2:11" ht="12.75">
      <c r="B15875" s="4"/>
      <c r="D15875" s="67"/>
      <c r="G15875" s="68"/>
      <c r="K15875" s="68"/>
    </row>
    <row r="15876" spans="2:11" ht="12.75">
      <c r="B15876" s="4"/>
      <c r="D15876" s="67"/>
      <c r="G15876" s="68"/>
      <c r="K15876" s="68"/>
    </row>
    <row r="15877" spans="2:11" ht="12.75">
      <c r="B15877" s="4"/>
      <c r="D15877" s="67"/>
      <c r="G15877" s="68"/>
      <c r="K15877" s="68"/>
    </row>
    <row r="15878" spans="2:11" ht="12.75">
      <c r="B15878" s="4"/>
      <c r="D15878" s="67"/>
      <c r="G15878" s="68"/>
      <c r="K15878" s="68"/>
    </row>
    <row r="15879" spans="2:11" ht="12.75">
      <c r="B15879" s="4"/>
      <c r="D15879" s="67"/>
      <c r="G15879" s="68"/>
      <c r="K15879" s="68"/>
    </row>
    <row r="15880" spans="2:11" ht="12.75">
      <c r="B15880" s="4"/>
      <c r="D15880" s="67"/>
      <c r="G15880" s="68"/>
      <c r="K15880" s="68"/>
    </row>
    <row r="15881" spans="2:11" ht="12.75">
      <c r="B15881" s="4"/>
      <c r="D15881" s="67"/>
      <c r="G15881" s="68"/>
      <c r="K15881" s="68"/>
    </row>
    <row r="15882" spans="2:11" ht="12.75">
      <c r="B15882" s="4"/>
      <c r="D15882" s="67"/>
      <c r="G15882" s="68"/>
      <c r="K15882" s="68"/>
    </row>
    <row r="15883" spans="2:11" ht="12.75">
      <c r="B15883" s="4"/>
      <c r="D15883" s="67"/>
      <c r="G15883" s="68"/>
      <c r="K15883" s="68"/>
    </row>
    <row r="15884" spans="2:11" ht="12.75">
      <c r="B15884" s="4"/>
      <c r="D15884" s="67"/>
      <c r="G15884" s="68"/>
      <c r="K15884" s="68"/>
    </row>
    <row r="15885" spans="2:11" ht="12.75">
      <c r="B15885" s="4"/>
      <c r="D15885" s="67"/>
      <c r="G15885" s="68"/>
      <c r="K15885" s="68"/>
    </row>
    <row r="15886" spans="2:11" ht="12.75">
      <c r="B15886" s="4"/>
      <c r="D15886" s="67"/>
      <c r="G15886" s="68"/>
      <c r="K15886" s="68"/>
    </row>
    <row r="15887" spans="2:11" ht="12.75">
      <c r="B15887" s="4"/>
      <c r="D15887" s="67"/>
      <c r="G15887" s="68"/>
      <c r="K15887" s="68"/>
    </row>
    <row r="15888" spans="2:11" ht="12.75">
      <c r="B15888" s="4"/>
      <c r="D15888" s="67"/>
      <c r="G15888" s="68"/>
      <c r="K15888" s="68"/>
    </row>
    <row r="15889" spans="2:11" ht="12.75">
      <c r="B15889" s="4"/>
      <c r="D15889" s="67"/>
      <c r="G15889" s="68"/>
      <c r="K15889" s="68"/>
    </row>
    <row r="15890" spans="2:11" ht="12.75">
      <c r="B15890" s="4"/>
      <c r="D15890" s="67"/>
      <c r="G15890" s="68"/>
      <c r="K15890" s="68"/>
    </row>
    <row r="15891" spans="2:11" ht="12.75">
      <c r="B15891" s="4"/>
      <c r="D15891" s="67"/>
      <c r="G15891" s="68"/>
      <c r="K15891" s="68"/>
    </row>
    <row r="15892" spans="2:11" ht="12.75">
      <c r="B15892" s="4"/>
      <c r="D15892" s="67"/>
      <c r="G15892" s="68"/>
      <c r="K15892" s="68"/>
    </row>
    <row r="15893" spans="2:11" ht="12.75">
      <c r="B15893" s="4"/>
      <c r="D15893" s="67"/>
      <c r="G15893" s="68"/>
      <c r="K15893" s="68"/>
    </row>
    <row r="15894" spans="2:11" ht="12.75">
      <c r="B15894" s="4"/>
      <c r="D15894" s="67"/>
      <c r="G15894" s="68"/>
      <c r="K15894" s="68"/>
    </row>
    <row r="15895" spans="2:11" ht="12.75">
      <c r="B15895" s="4"/>
      <c r="D15895" s="67"/>
      <c r="G15895" s="68"/>
      <c r="K15895" s="68"/>
    </row>
    <row r="15896" spans="2:11" ht="12.75">
      <c r="B15896" s="4"/>
      <c r="D15896" s="67"/>
      <c r="G15896" s="68"/>
      <c r="K15896" s="68"/>
    </row>
    <row r="15897" spans="2:11" ht="12.75">
      <c r="B15897" s="4"/>
      <c r="D15897" s="67"/>
      <c r="G15897" s="68"/>
      <c r="K15897" s="68"/>
    </row>
    <row r="15898" spans="2:11" ht="12.75">
      <c r="B15898" s="4"/>
      <c r="D15898" s="67"/>
      <c r="G15898" s="68"/>
      <c r="K15898" s="68"/>
    </row>
    <row r="15899" spans="2:11" ht="12.75">
      <c r="B15899" s="4"/>
      <c r="D15899" s="67"/>
      <c r="G15899" s="68"/>
      <c r="K15899" s="68"/>
    </row>
    <row r="15900" spans="2:11" ht="12.75">
      <c r="B15900" s="4"/>
      <c r="D15900" s="67"/>
      <c r="G15900" s="68"/>
      <c r="K15900" s="68"/>
    </row>
    <row r="15901" spans="2:11" ht="12.75">
      <c r="B15901" s="4"/>
      <c r="D15901" s="67"/>
      <c r="G15901" s="68"/>
      <c r="K15901" s="68"/>
    </row>
    <row r="15902" spans="2:11" ht="12.75">
      <c r="B15902" s="4"/>
      <c r="D15902" s="67"/>
      <c r="G15902" s="68"/>
      <c r="K15902" s="68"/>
    </row>
    <row r="15903" spans="2:11" ht="12.75">
      <c r="B15903" s="4"/>
      <c r="D15903" s="67"/>
      <c r="G15903" s="68"/>
      <c r="K15903" s="68"/>
    </row>
    <row r="15904" spans="2:11" ht="12.75">
      <c r="B15904" s="4"/>
      <c r="D15904" s="67"/>
      <c r="G15904" s="68"/>
      <c r="K15904" s="68"/>
    </row>
    <row r="15905" spans="2:11" ht="12.75">
      <c r="B15905" s="4"/>
      <c r="D15905" s="67"/>
      <c r="G15905" s="68"/>
      <c r="K15905" s="68"/>
    </row>
    <row r="15906" spans="2:11" ht="12.75">
      <c r="B15906" s="4"/>
      <c r="D15906" s="67"/>
      <c r="G15906" s="68"/>
      <c r="K15906" s="68"/>
    </row>
    <row r="15907" spans="2:11" ht="12.75">
      <c r="B15907" s="4"/>
      <c r="D15907" s="67"/>
      <c r="G15907" s="68"/>
      <c r="K15907" s="68"/>
    </row>
    <row r="15908" spans="2:11" ht="12.75">
      <c r="B15908" s="4"/>
      <c r="D15908" s="67"/>
      <c r="G15908" s="68"/>
      <c r="K15908" s="68"/>
    </row>
    <row r="15909" spans="2:11" ht="12.75">
      <c r="B15909" s="4"/>
      <c r="D15909" s="67"/>
      <c r="G15909" s="68"/>
      <c r="K15909" s="68"/>
    </row>
    <row r="15910" spans="2:11" ht="12.75">
      <c r="B15910" s="4"/>
      <c r="D15910" s="67"/>
      <c r="G15910" s="68"/>
      <c r="K15910" s="68"/>
    </row>
    <row r="15911" spans="2:11" ht="12.75">
      <c r="B15911" s="4"/>
      <c r="D15911" s="67"/>
      <c r="G15911" s="68"/>
      <c r="K15911" s="68"/>
    </row>
    <row r="15912" spans="2:11" ht="12.75">
      <c r="B15912" s="4"/>
      <c r="D15912" s="67"/>
      <c r="G15912" s="68"/>
      <c r="K15912" s="68"/>
    </row>
    <row r="15913" spans="2:11" ht="12.75">
      <c r="B15913" s="4"/>
      <c r="D15913" s="67"/>
      <c r="G15913" s="68"/>
      <c r="K15913" s="68"/>
    </row>
    <row r="15914" spans="2:11" ht="12.75">
      <c r="B15914" s="4"/>
      <c r="D15914" s="67"/>
      <c r="G15914" s="68"/>
      <c r="K15914" s="68"/>
    </row>
    <row r="15915" spans="2:11" ht="12.75">
      <c r="B15915" s="4"/>
      <c r="D15915" s="67"/>
      <c r="G15915" s="68"/>
      <c r="K15915" s="68"/>
    </row>
    <row r="15916" spans="2:11" ht="12.75">
      <c r="B15916" s="4"/>
      <c r="D15916" s="67"/>
      <c r="G15916" s="68"/>
      <c r="K15916" s="68"/>
    </row>
    <row r="15917" spans="2:11" ht="12.75">
      <c r="B15917" s="4"/>
      <c r="D15917" s="67"/>
      <c r="G15917" s="68"/>
      <c r="K15917" s="68"/>
    </row>
    <row r="15918" spans="2:11" ht="12.75">
      <c r="B15918" s="4"/>
      <c r="D15918" s="67"/>
      <c r="G15918" s="68"/>
      <c r="K15918" s="68"/>
    </row>
    <row r="15919" spans="2:11" ht="12.75">
      <c r="B15919" s="4"/>
      <c r="D15919" s="67"/>
      <c r="G15919" s="68"/>
      <c r="K15919" s="68"/>
    </row>
    <row r="15920" spans="2:11" ht="12.75">
      <c r="B15920" s="4"/>
      <c r="D15920" s="67"/>
      <c r="G15920" s="68"/>
      <c r="K15920" s="68"/>
    </row>
    <row r="15921" spans="2:11" ht="12.75">
      <c r="B15921" s="4"/>
      <c r="D15921" s="67"/>
      <c r="G15921" s="68"/>
      <c r="K15921" s="68"/>
    </row>
    <row r="15922" spans="2:11" ht="12.75">
      <c r="B15922" s="4"/>
      <c r="D15922" s="67"/>
      <c r="G15922" s="68"/>
      <c r="K15922" s="68"/>
    </row>
    <row r="15923" spans="2:11" ht="12.75">
      <c r="B15923" s="4"/>
      <c r="D15923" s="67"/>
      <c r="G15923" s="68"/>
      <c r="K15923" s="68"/>
    </row>
    <row r="15924" spans="2:11" ht="12.75">
      <c r="B15924" s="4"/>
      <c r="D15924" s="67"/>
      <c r="G15924" s="68"/>
      <c r="K15924" s="68"/>
    </row>
    <row r="15925" spans="2:11" ht="12.75">
      <c r="B15925" s="4"/>
      <c r="D15925" s="67"/>
      <c r="G15925" s="68"/>
      <c r="K15925" s="68"/>
    </row>
    <row r="15926" spans="2:11" ht="12.75">
      <c r="B15926" s="4"/>
      <c r="D15926" s="67"/>
      <c r="G15926" s="68"/>
      <c r="K15926" s="68"/>
    </row>
    <row r="15927" spans="2:11" ht="12.75">
      <c r="B15927" s="4"/>
      <c r="D15927" s="67"/>
      <c r="G15927" s="68"/>
      <c r="K15927" s="68"/>
    </row>
    <row r="15928" spans="2:11" ht="12.75">
      <c r="B15928" s="4"/>
      <c r="D15928" s="67"/>
      <c r="G15928" s="68"/>
      <c r="K15928" s="68"/>
    </row>
    <row r="15929" spans="2:11" ht="12.75">
      <c r="B15929" s="4"/>
      <c r="D15929" s="67"/>
      <c r="G15929" s="68"/>
      <c r="K15929" s="68"/>
    </row>
    <row r="15930" spans="2:11" ht="12.75">
      <c r="B15930" s="4"/>
      <c r="D15930" s="67"/>
      <c r="G15930" s="68"/>
      <c r="K15930" s="68"/>
    </row>
    <row r="15931" spans="2:11" ht="12.75">
      <c r="B15931" s="4"/>
      <c r="D15931" s="67"/>
      <c r="G15931" s="68"/>
      <c r="K15931" s="68"/>
    </row>
    <row r="15932" spans="2:11" ht="12.75">
      <c r="B15932" s="4"/>
      <c r="D15932" s="67"/>
      <c r="G15932" s="68"/>
      <c r="K15932" s="68"/>
    </row>
    <row r="15933" spans="2:11" ht="12.75">
      <c r="B15933" s="4"/>
      <c r="D15933" s="67"/>
      <c r="G15933" s="68"/>
      <c r="K15933" s="68"/>
    </row>
    <row r="15934" spans="2:11" ht="12.75">
      <c r="B15934" s="4"/>
      <c r="D15934" s="67"/>
      <c r="G15934" s="68"/>
      <c r="K15934" s="68"/>
    </row>
    <row r="15935" spans="2:11" ht="12.75">
      <c r="B15935" s="4"/>
      <c r="D15935" s="67"/>
      <c r="G15935" s="68"/>
      <c r="K15935" s="68"/>
    </row>
    <row r="15936" spans="2:11" ht="12.75">
      <c r="B15936" s="4"/>
      <c r="D15936" s="67"/>
      <c r="G15936" s="68"/>
      <c r="K15936" s="68"/>
    </row>
    <row r="15937" spans="2:11" ht="12.75">
      <c r="B15937" s="4"/>
      <c r="D15937" s="67"/>
      <c r="G15937" s="68"/>
      <c r="K15937" s="68"/>
    </row>
    <row r="15938" spans="2:11" ht="12.75">
      <c r="B15938" s="4"/>
      <c r="D15938" s="67"/>
      <c r="G15938" s="68"/>
      <c r="K15938" s="68"/>
    </row>
    <row r="15939" spans="2:11" ht="12.75">
      <c r="B15939" s="4"/>
      <c r="D15939" s="67"/>
      <c r="G15939" s="68"/>
      <c r="K15939" s="68"/>
    </row>
    <row r="15940" spans="2:11" ht="12.75">
      <c r="B15940" s="4"/>
      <c r="D15940" s="67"/>
      <c r="G15940" s="68"/>
      <c r="K15940" s="68"/>
    </row>
    <row r="15941" spans="2:11" ht="12.75">
      <c r="B15941" s="4"/>
      <c r="D15941" s="67"/>
      <c r="G15941" s="68"/>
      <c r="K15941" s="68"/>
    </row>
    <row r="15942" spans="2:11" ht="12.75">
      <c r="B15942" s="4"/>
      <c r="D15942" s="67"/>
      <c r="G15942" s="68"/>
      <c r="K15942" s="68"/>
    </row>
    <row r="15943" spans="2:11" ht="12.75">
      <c r="B15943" s="4"/>
      <c r="D15943" s="67"/>
      <c r="G15943" s="68"/>
      <c r="K15943" s="68"/>
    </row>
    <row r="15944" spans="2:11" ht="12.75">
      <c r="B15944" s="4"/>
      <c r="D15944" s="67"/>
      <c r="G15944" s="68"/>
      <c r="K15944" s="68"/>
    </row>
    <row r="15945" spans="2:11" ht="12.75">
      <c r="B15945" s="4"/>
      <c r="D15945" s="67"/>
      <c r="G15945" s="68"/>
      <c r="K15945" s="68"/>
    </row>
    <row r="15946" spans="2:11" ht="12.75">
      <c r="B15946" s="4"/>
      <c r="D15946" s="67"/>
      <c r="G15946" s="68"/>
      <c r="K15946" s="68"/>
    </row>
    <row r="15947" spans="2:11" ht="12.75">
      <c r="B15947" s="4"/>
      <c r="D15947" s="67"/>
      <c r="G15947" s="68"/>
      <c r="K15947" s="68"/>
    </row>
    <row r="15948" spans="2:11" ht="12.75">
      <c r="B15948" s="4"/>
      <c r="D15948" s="67"/>
      <c r="G15948" s="68"/>
      <c r="K15948" s="68"/>
    </row>
    <row r="15949" spans="2:11" ht="12.75">
      <c r="B15949" s="4"/>
      <c r="D15949" s="67"/>
      <c r="G15949" s="68"/>
      <c r="K15949" s="68"/>
    </row>
    <row r="15950" spans="2:11" ht="12.75">
      <c r="B15950" s="4"/>
      <c r="D15950" s="67"/>
      <c r="G15950" s="68"/>
      <c r="K15950" s="68"/>
    </row>
    <row r="15951" spans="2:11" ht="12.75">
      <c r="B15951" s="4"/>
      <c r="D15951" s="67"/>
      <c r="G15951" s="68"/>
      <c r="K15951" s="68"/>
    </row>
    <row r="15952" spans="2:11" ht="12.75">
      <c r="B15952" s="4"/>
      <c r="D15952" s="67"/>
      <c r="G15952" s="68"/>
      <c r="K15952" s="68"/>
    </row>
    <row r="15953" spans="2:11" ht="12.75">
      <c r="B15953" s="4"/>
      <c r="D15953" s="67"/>
      <c r="G15953" s="68"/>
      <c r="K15953" s="68"/>
    </row>
    <row r="15954" spans="2:11" ht="12.75">
      <c r="B15954" s="4"/>
      <c r="D15954" s="67"/>
      <c r="G15954" s="68"/>
      <c r="K15954" s="68"/>
    </row>
    <row r="15955" spans="2:11" ht="12.75">
      <c r="B15955" s="4"/>
      <c r="D15955" s="67"/>
      <c r="G15955" s="68"/>
      <c r="K15955" s="68"/>
    </row>
    <row r="15956" spans="2:11" ht="12.75">
      <c r="B15956" s="4"/>
      <c r="D15956" s="67"/>
      <c r="G15956" s="68"/>
      <c r="K15956" s="68"/>
    </row>
    <row r="15957" spans="2:11" ht="12.75">
      <c r="B15957" s="4"/>
      <c r="D15957" s="67"/>
      <c r="G15957" s="68"/>
      <c r="K15957" s="68"/>
    </row>
    <row r="15958" spans="2:11" ht="12.75">
      <c r="B15958" s="4"/>
      <c r="D15958" s="67"/>
      <c r="G15958" s="68"/>
      <c r="K15958" s="68"/>
    </row>
    <row r="15959" spans="2:11" ht="12.75">
      <c r="B15959" s="4"/>
      <c r="D15959" s="67"/>
      <c r="G15959" s="68"/>
      <c r="K15959" s="68"/>
    </row>
    <row r="15960" spans="2:11" ht="12.75">
      <c r="B15960" s="4"/>
      <c r="D15960" s="67"/>
      <c r="G15960" s="68"/>
      <c r="K15960" s="68"/>
    </row>
    <row r="15961" spans="2:11" ht="12.75">
      <c r="B15961" s="4"/>
      <c r="D15961" s="67"/>
      <c r="G15961" s="68"/>
      <c r="K15961" s="68"/>
    </row>
    <row r="15962" spans="2:11" ht="12.75">
      <c r="B15962" s="4"/>
      <c r="D15962" s="67"/>
      <c r="G15962" s="68"/>
      <c r="K15962" s="68"/>
    </row>
    <row r="15963" spans="2:11" ht="12.75">
      <c r="B15963" s="4"/>
      <c r="D15963" s="67"/>
      <c r="G15963" s="68"/>
      <c r="K15963" s="68"/>
    </row>
    <row r="15964" spans="2:11" ht="12.75">
      <c r="B15964" s="4"/>
      <c r="D15964" s="67"/>
      <c r="G15964" s="68"/>
      <c r="K15964" s="68"/>
    </row>
    <row r="15965" spans="2:11" ht="12.75">
      <c r="B15965" s="4"/>
      <c r="D15965" s="67"/>
      <c r="G15965" s="68"/>
      <c r="K15965" s="68"/>
    </row>
    <row r="15966" spans="2:11" ht="12.75">
      <c r="B15966" s="4"/>
      <c r="D15966" s="67"/>
      <c r="G15966" s="68"/>
      <c r="K15966" s="68"/>
    </row>
    <row r="15967" spans="2:11" ht="12.75">
      <c r="B15967" s="4"/>
      <c r="D15967" s="67"/>
      <c r="G15967" s="68"/>
      <c r="K15967" s="68"/>
    </row>
    <row r="15968" spans="2:11" ht="12.75">
      <c r="B15968" s="4"/>
      <c r="D15968" s="67"/>
      <c r="G15968" s="68"/>
      <c r="K15968" s="68"/>
    </row>
    <row r="15969" spans="2:11" ht="12.75">
      <c r="B15969" s="4"/>
      <c r="D15969" s="67"/>
      <c r="G15969" s="68"/>
      <c r="K15969" s="68"/>
    </row>
    <row r="15970" spans="2:11" ht="12.75">
      <c r="B15970" s="4"/>
      <c r="D15970" s="67"/>
      <c r="G15970" s="68"/>
      <c r="K15970" s="68"/>
    </row>
    <row r="15971" spans="2:11" ht="12.75">
      <c r="B15971" s="4"/>
      <c r="D15971" s="67"/>
      <c r="G15971" s="68"/>
      <c r="K15971" s="68"/>
    </row>
    <row r="15972" spans="2:11" ht="12.75">
      <c r="B15972" s="4"/>
      <c r="D15972" s="67"/>
      <c r="G15972" s="68"/>
      <c r="K15972" s="68"/>
    </row>
    <row r="15973" spans="2:11" ht="12.75">
      <c r="B15973" s="4"/>
      <c r="D15973" s="67"/>
      <c r="G15973" s="68"/>
      <c r="K15973" s="68"/>
    </row>
    <row r="15974" spans="2:11" ht="12.75">
      <c r="B15974" s="4"/>
      <c r="D15974" s="67"/>
      <c r="G15974" s="68"/>
      <c r="K15974" s="68"/>
    </row>
    <row r="15975" spans="2:11" ht="12.75">
      <c r="B15975" s="4"/>
      <c r="D15975" s="67"/>
      <c r="G15975" s="68"/>
      <c r="K15975" s="68"/>
    </row>
    <row r="15976" spans="2:11" ht="12.75">
      <c r="B15976" s="4"/>
      <c r="D15976" s="67"/>
      <c r="G15976" s="68"/>
      <c r="K15976" s="68"/>
    </row>
    <row r="15977" spans="2:11" ht="12.75">
      <c r="B15977" s="4"/>
      <c r="D15977" s="67"/>
      <c r="G15977" s="68"/>
      <c r="K15977" s="68"/>
    </row>
    <row r="15978" spans="2:11" ht="12.75">
      <c r="B15978" s="4"/>
      <c r="D15978" s="67"/>
      <c r="G15978" s="68"/>
      <c r="K15978" s="68"/>
    </row>
    <row r="15979" spans="2:11" ht="12.75">
      <c r="B15979" s="4"/>
      <c r="D15979" s="67"/>
      <c r="G15979" s="68"/>
      <c r="K15979" s="68"/>
    </row>
    <row r="15980" spans="2:11" ht="12.75">
      <c r="B15980" s="4"/>
      <c r="D15980" s="67"/>
      <c r="G15980" s="68"/>
      <c r="K15980" s="68"/>
    </row>
    <row r="15981" spans="2:11" ht="12.75">
      <c r="B15981" s="4"/>
      <c r="D15981" s="67"/>
      <c r="G15981" s="68"/>
      <c r="K15981" s="68"/>
    </row>
    <row r="15982" spans="2:11" ht="12.75">
      <c r="B15982" s="4"/>
      <c r="D15982" s="67"/>
      <c r="G15982" s="68"/>
      <c r="K15982" s="68"/>
    </row>
    <row r="15983" spans="2:11" ht="12.75">
      <c r="B15983" s="4"/>
      <c r="D15983" s="67"/>
      <c r="G15983" s="68"/>
      <c r="K15983" s="68"/>
    </row>
    <row r="15984" spans="2:11" ht="12.75">
      <c r="B15984" s="4"/>
      <c r="D15984" s="67"/>
      <c r="G15984" s="68"/>
      <c r="K15984" s="68"/>
    </row>
    <row r="15985" spans="2:11" ht="12.75">
      <c r="B15985" s="4"/>
      <c r="D15985" s="67"/>
      <c r="G15985" s="68"/>
      <c r="K15985" s="68"/>
    </row>
    <row r="15986" spans="2:11" ht="12.75">
      <c r="B15986" s="4"/>
      <c r="D15986" s="67"/>
      <c r="G15986" s="68"/>
      <c r="K15986" s="68"/>
    </row>
    <row r="15987" spans="2:11" ht="12.75">
      <c r="B15987" s="4"/>
      <c r="D15987" s="67"/>
      <c r="G15987" s="68"/>
      <c r="K15987" s="68"/>
    </row>
    <row r="15988" spans="2:11" ht="12.75">
      <c r="B15988" s="4"/>
      <c r="D15988" s="67"/>
      <c r="G15988" s="68"/>
      <c r="K15988" s="68"/>
    </row>
    <row r="15989" spans="2:11" ht="12.75">
      <c r="B15989" s="4"/>
      <c r="D15989" s="67"/>
      <c r="G15989" s="68"/>
      <c r="K15989" s="68"/>
    </row>
    <row r="15990" spans="2:11" ht="12.75">
      <c r="B15990" s="4"/>
      <c r="D15990" s="67"/>
      <c r="G15990" s="68"/>
      <c r="K15990" s="68"/>
    </row>
    <row r="15991" spans="2:11" ht="12.75">
      <c r="B15991" s="4"/>
      <c r="D15991" s="67"/>
      <c r="G15991" s="68"/>
      <c r="K15991" s="68"/>
    </row>
    <row r="15992" spans="2:11" ht="12.75">
      <c r="B15992" s="4"/>
      <c r="D15992" s="67"/>
      <c r="G15992" s="68"/>
      <c r="K15992" s="68"/>
    </row>
    <row r="15993" spans="2:11" ht="12.75">
      <c r="B15993" s="4"/>
      <c r="D15993" s="67"/>
      <c r="G15993" s="68"/>
      <c r="K15993" s="68"/>
    </row>
    <row r="15994" spans="2:11" ht="12.75">
      <c r="B15994" s="4"/>
      <c r="D15994" s="67"/>
      <c r="G15994" s="68"/>
      <c r="K15994" s="68"/>
    </row>
    <row r="15995" spans="2:11" ht="12.75">
      <c r="B15995" s="4"/>
      <c r="D15995" s="67"/>
      <c r="G15995" s="68"/>
      <c r="K15995" s="68"/>
    </row>
    <row r="15996" spans="2:11" ht="12.75">
      <c r="B15996" s="4"/>
      <c r="D15996" s="67"/>
      <c r="G15996" s="68"/>
      <c r="K15996" s="68"/>
    </row>
    <row r="15997" spans="2:11" ht="12.75">
      <c r="B15997" s="4"/>
      <c r="D15997" s="67"/>
      <c r="G15997" s="68"/>
      <c r="K15997" s="68"/>
    </row>
    <row r="15998" spans="2:11" ht="12.75">
      <c r="B15998" s="4"/>
      <c r="D15998" s="67"/>
      <c r="G15998" s="68"/>
      <c r="K15998" s="68"/>
    </row>
    <row r="15999" spans="2:11" ht="12.75">
      <c r="B15999" s="4"/>
      <c r="D15999" s="67"/>
      <c r="G15999" s="68"/>
      <c r="K15999" s="68"/>
    </row>
    <row r="16000" spans="2:11" ht="12.75">
      <c r="B16000" s="4"/>
      <c r="D16000" s="67"/>
      <c r="G16000" s="68"/>
      <c r="K16000" s="68"/>
    </row>
    <row r="16001" spans="2:11" ht="12.75">
      <c r="B16001" s="4"/>
      <c r="D16001" s="67"/>
      <c r="G16001" s="68"/>
      <c r="K16001" s="68"/>
    </row>
    <row r="16002" spans="2:11" ht="12.75">
      <c r="B16002" s="4"/>
      <c r="D16002" s="67"/>
      <c r="G16002" s="68"/>
      <c r="K16002" s="68"/>
    </row>
    <row r="16003" spans="2:11" ht="12.75">
      <c r="B16003" s="4"/>
      <c r="D16003" s="67"/>
      <c r="G16003" s="68"/>
      <c r="K16003" s="68"/>
    </row>
    <row r="16004" spans="2:11" ht="12.75">
      <c r="B16004" s="4"/>
      <c r="D16004" s="67"/>
      <c r="G16004" s="68"/>
      <c r="K16004" s="68"/>
    </row>
    <row r="16005" spans="2:11" ht="12.75">
      <c r="B16005" s="4"/>
      <c r="D16005" s="67"/>
      <c r="G16005" s="68"/>
      <c r="K16005" s="68"/>
    </row>
    <row r="16006" spans="2:11" ht="12.75">
      <c r="B16006" s="4"/>
      <c r="D16006" s="67"/>
      <c r="G16006" s="68"/>
      <c r="K16006" s="68"/>
    </row>
    <row r="16007" spans="2:11" ht="12.75">
      <c r="B16007" s="4"/>
      <c r="D16007" s="67"/>
      <c r="G16007" s="68"/>
      <c r="K16007" s="68"/>
    </row>
    <row r="16008" spans="2:11" ht="12.75">
      <c r="B16008" s="4"/>
      <c r="D16008" s="67"/>
      <c r="G16008" s="68"/>
      <c r="K16008" s="68"/>
    </row>
    <row r="16009" spans="2:11" ht="12.75">
      <c r="B16009" s="4"/>
      <c r="D16009" s="67"/>
      <c r="G16009" s="68"/>
      <c r="K16009" s="68"/>
    </row>
    <row r="16010" spans="2:11" ht="12.75">
      <c r="B16010" s="4"/>
      <c r="D16010" s="67"/>
      <c r="G16010" s="68"/>
      <c r="K16010" s="68"/>
    </row>
    <row r="16011" spans="2:11" ht="12.75">
      <c r="B16011" s="4"/>
      <c r="D16011" s="67"/>
      <c r="G16011" s="68"/>
      <c r="K16011" s="68"/>
    </row>
    <row r="16012" spans="2:11" ht="12.75">
      <c r="B16012" s="4"/>
      <c r="D16012" s="67"/>
      <c r="G16012" s="68"/>
      <c r="K16012" s="68"/>
    </row>
    <row r="16013" spans="2:11" ht="12.75">
      <c r="B16013" s="4"/>
      <c r="D16013" s="67"/>
      <c r="G16013" s="68"/>
      <c r="K16013" s="68"/>
    </row>
    <row r="16014" spans="2:11" ht="12.75">
      <c r="B16014" s="4"/>
      <c r="D16014" s="67"/>
      <c r="G16014" s="68"/>
      <c r="K16014" s="68"/>
    </row>
    <row r="16015" spans="2:11" ht="12.75">
      <c r="B16015" s="4"/>
      <c r="D16015" s="67"/>
      <c r="G16015" s="68"/>
      <c r="K16015" s="68"/>
    </row>
    <row r="16016" spans="2:11" ht="12.75">
      <c r="B16016" s="4"/>
      <c r="D16016" s="67"/>
      <c r="G16016" s="68"/>
      <c r="K16016" s="68"/>
    </row>
    <row r="16017" spans="2:11" ht="12.75">
      <c r="B16017" s="4"/>
      <c r="D16017" s="67"/>
      <c r="G16017" s="68"/>
      <c r="K16017" s="68"/>
    </row>
    <row r="16018" spans="2:11" ht="12.75">
      <c r="B16018" s="4"/>
      <c r="D16018" s="67"/>
      <c r="G16018" s="68"/>
      <c r="K16018" s="68"/>
    </row>
    <row r="16019" spans="2:11" ht="12.75">
      <c r="B16019" s="4"/>
      <c r="D16019" s="67"/>
      <c r="G16019" s="68"/>
      <c r="K16019" s="68"/>
    </row>
    <row r="16020" spans="2:11" ht="12.75">
      <c r="B16020" s="4"/>
      <c r="D16020" s="67"/>
      <c r="G16020" s="68"/>
      <c r="K16020" s="68"/>
    </row>
    <row r="16021" spans="2:11" ht="12.75">
      <c r="B16021" s="4"/>
      <c r="D16021" s="67"/>
      <c r="G16021" s="68"/>
      <c r="K16021" s="68"/>
    </row>
    <row r="16022" spans="2:11" ht="12.75">
      <c r="B16022" s="4"/>
      <c r="D16022" s="67"/>
      <c r="G16022" s="68"/>
      <c r="K16022" s="68"/>
    </row>
    <row r="16023" spans="2:11" ht="12.75">
      <c r="B16023" s="4"/>
      <c r="D16023" s="67"/>
      <c r="G16023" s="68"/>
      <c r="K16023" s="68"/>
    </row>
    <row r="16024" spans="2:11" ht="12.75">
      <c r="B16024" s="4"/>
      <c r="D16024" s="67"/>
      <c r="G16024" s="68"/>
      <c r="K16024" s="68"/>
    </row>
    <row r="16025" spans="2:11" ht="12.75">
      <c r="B16025" s="4"/>
      <c r="D16025" s="67"/>
      <c r="G16025" s="68"/>
      <c r="K16025" s="68"/>
    </row>
    <row r="16026" spans="2:11" ht="12.75">
      <c r="B16026" s="4"/>
      <c r="D16026" s="67"/>
      <c r="G16026" s="68"/>
      <c r="K16026" s="68"/>
    </row>
    <row r="16027" spans="2:11" ht="12.75">
      <c r="B16027" s="4"/>
      <c r="D16027" s="67"/>
      <c r="G16027" s="68"/>
      <c r="K16027" s="68"/>
    </row>
    <row r="16028" spans="2:11" ht="12.75">
      <c r="B16028" s="4"/>
      <c r="D16028" s="67"/>
      <c r="G16028" s="68"/>
      <c r="K16028" s="68"/>
    </row>
    <row r="16029" spans="2:11" ht="12.75">
      <c r="B16029" s="4"/>
      <c r="D16029" s="67"/>
      <c r="G16029" s="68"/>
      <c r="K16029" s="68"/>
    </row>
    <row r="16030" spans="2:11" ht="12.75">
      <c r="B16030" s="4"/>
      <c r="D16030" s="67"/>
      <c r="G16030" s="68"/>
      <c r="K16030" s="68"/>
    </row>
    <row r="16031" spans="2:11" ht="12.75">
      <c r="B16031" s="4"/>
      <c r="D16031" s="67"/>
      <c r="G16031" s="68"/>
      <c r="K16031" s="68"/>
    </row>
    <row r="16032" spans="2:11" ht="12.75">
      <c r="B16032" s="4"/>
      <c r="D16032" s="67"/>
      <c r="G16032" s="68"/>
      <c r="K16032" s="68"/>
    </row>
    <row r="16033" spans="2:11" ht="12.75">
      <c r="B16033" s="4"/>
      <c r="D16033" s="67"/>
      <c r="G16033" s="68"/>
      <c r="K16033" s="68"/>
    </row>
    <row r="16034" spans="2:11" ht="12.75">
      <c r="B16034" s="4"/>
      <c r="D16034" s="67"/>
      <c r="G16034" s="68"/>
      <c r="K16034" s="68"/>
    </row>
    <row r="16035" spans="2:11" ht="12.75">
      <c r="B16035" s="4"/>
      <c r="D16035" s="67"/>
      <c r="G16035" s="68"/>
      <c r="K16035" s="68"/>
    </row>
    <row r="16036" spans="2:11" ht="12.75">
      <c r="B16036" s="4"/>
      <c r="D16036" s="67"/>
      <c r="G16036" s="68"/>
      <c r="K16036" s="68"/>
    </row>
    <row r="16037" spans="2:11" ht="12.75">
      <c r="B16037" s="4"/>
      <c r="D16037" s="67"/>
      <c r="G16037" s="68"/>
      <c r="K16037" s="68"/>
    </row>
    <row r="16038" spans="2:11" ht="12.75">
      <c r="B16038" s="4"/>
      <c r="D16038" s="67"/>
      <c r="G16038" s="68"/>
      <c r="K16038" s="68"/>
    </row>
    <row r="16039" spans="2:11" ht="12.75">
      <c r="B16039" s="4"/>
      <c r="D16039" s="67"/>
      <c r="G16039" s="68"/>
      <c r="K16039" s="68"/>
    </row>
    <row r="16040" spans="2:11" ht="12.75">
      <c r="B16040" s="4"/>
      <c r="D16040" s="67"/>
      <c r="G16040" s="68"/>
      <c r="K16040" s="68"/>
    </row>
    <row r="16041" spans="2:11" ht="12.75">
      <c r="B16041" s="4"/>
      <c r="D16041" s="67"/>
      <c r="G16041" s="68"/>
      <c r="K16041" s="68"/>
    </row>
    <row r="16042" spans="2:11" ht="12.75">
      <c r="B16042" s="4"/>
      <c r="D16042" s="67"/>
      <c r="G16042" s="68"/>
      <c r="K16042" s="68"/>
    </row>
    <row r="16043" spans="2:11" ht="12.75">
      <c r="B16043" s="4"/>
      <c r="D16043" s="67"/>
      <c r="G16043" s="68"/>
      <c r="K16043" s="68"/>
    </row>
    <row r="16044" spans="2:11" ht="12.75">
      <c r="B16044" s="4"/>
      <c r="D16044" s="67"/>
      <c r="G16044" s="68"/>
      <c r="K16044" s="68"/>
    </row>
    <row r="16045" spans="2:11" ht="12.75">
      <c r="B16045" s="4"/>
      <c r="D16045" s="67"/>
      <c r="G16045" s="68"/>
      <c r="K16045" s="68"/>
    </row>
    <row r="16046" spans="2:11" ht="12.75">
      <c r="B16046" s="4"/>
      <c r="D16046" s="67"/>
      <c r="G16046" s="68"/>
      <c r="K16046" s="68"/>
    </row>
    <row r="16047" spans="2:11" ht="12.75">
      <c r="B16047" s="4"/>
      <c r="D16047" s="67"/>
      <c r="G16047" s="68"/>
      <c r="K16047" s="68"/>
    </row>
    <row r="16048" spans="2:11" ht="12.75">
      <c r="B16048" s="4"/>
      <c r="D16048" s="67"/>
      <c r="G16048" s="68"/>
      <c r="K16048" s="68"/>
    </row>
    <row r="16049" spans="2:11" ht="12.75">
      <c r="B16049" s="4"/>
      <c r="D16049" s="67"/>
      <c r="G16049" s="68"/>
      <c r="K16049" s="68"/>
    </row>
    <row r="16050" spans="2:11" ht="12.75">
      <c r="B16050" s="4"/>
      <c r="D16050" s="67"/>
      <c r="G16050" s="68"/>
      <c r="K16050" s="68"/>
    </row>
    <row r="16051" spans="2:11" ht="12.75">
      <c r="B16051" s="4"/>
      <c r="D16051" s="67"/>
      <c r="G16051" s="68"/>
      <c r="K16051" s="68"/>
    </row>
    <row r="16052" spans="2:11" ht="12.75">
      <c r="B16052" s="4"/>
      <c r="D16052" s="67"/>
      <c r="G16052" s="68"/>
      <c r="K16052" s="68"/>
    </row>
    <row r="16053" spans="2:11" ht="12.75">
      <c r="B16053" s="4"/>
      <c r="D16053" s="67"/>
      <c r="G16053" s="68"/>
      <c r="K16053" s="68"/>
    </row>
    <row r="16054" spans="2:11" ht="12.75">
      <c r="B16054" s="4"/>
      <c r="D16054" s="67"/>
      <c r="G16054" s="68"/>
      <c r="K16054" s="68"/>
    </row>
    <row r="16055" spans="2:11" ht="12.75">
      <c r="B16055" s="4"/>
      <c r="D16055" s="67"/>
      <c r="G16055" s="68"/>
      <c r="K16055" s="68"/>
    </row>
    <row r="16056" spans="2:11" ht="12.75">
      <c r="B16056" s="4"/>
      <c r="D16056" s="67"/>
      <c r="G16056" s="68"/>
      <c r="K16056" s="68"/>
    </row>
    <row r="16057" spans="2:11" ht="12.75">
      <c r="B16057" s="4"/>
      <c r="D16057" s="67"/>
      <c r="G16057" s="68"/>
      <c r="K16057" s="68"/>
    </row>
    <row r="16058" spans="2:11" ht="12.75">
      <c r="B16058" s="4"/>
      <c r="D16058" s="67"/>
      <c r="G16058" s="68"/>
      <c r="K16058" s="68"/>
    </row>
    <row r="16059" spans="2:11" ht="12.75">
      <c r="B16059" s="4"/>
      <c r="D16059" s="67"/>
      <c r="G16059" s="68"/>
      <c r="K16059" s="68"/>
    </row>
    <row r="16060" spans="2:11" ht="12.75">
      <c r="B16060" s="4"/>
      <c r="D16060" s="67"/>
      <c r="G16060" s="68"/>
      <c r="K16060" s="68"/>
    </row>
    <row r="16061" spans="2:11" ht="12.75">
      <c r="B16061" s="4"/>
      <c r="D16061" s="67"/>
      <c r="G16061" s="68"/>
      <c r="K16061" s="68"/>
    </row>
    <row r="16062" spans="2:11" ht="12.75">
      <c r="B16062" s="4"/>
      <c r="D16062" s="67"/>
      <c r="G16062" s="68"/>
      <c r="K16062" s="68"/>
    </row>
    <row r="16063" spans="2:11" ht="12.75">
      <c r="B16063" s="4"/>
      <c r="D16063" s="67"/>
      <c r="G16063" s="68"/>
      <c r="K16063" s="68"/>
    </row>
    <row r="16064" spans="2:11" ht="12.75">
      <c r="B16064" s="4"/>
      <c r="D16064" s="67"/>
      <c r="G16064" s="68"/>
      <c r="K16064" s="68"/>
    </row>
    <row r="16065" spans="2:11" ht="12.75">
      <c r="B16065" s="4"/>
      <c r="D16065" s="67"/>
      <c r="G16065" s="68"/>
      <c r="K16065" s="68"/>
    </row>
    <row r="16066" spans="2:11" ht="12.75">
      <c r="B16066" s="4"/>
      <c r="D16066" s="67"/>
      <c r="G16066" s="68"/>
      <c r="K16066" s="68"/>
    </row>
    <row r="16067" spans="2:11" ht="12.75">
      <c r="B16067" s="4"/>
      <c r="D16067" s="67"/>
      <c r="G16067" s="68"/>
      <c r="K16067" s="68"/>
    </row>
    <row r="16068" spans="2:11" ht="12.75">
      <c r="B16068" s="4"/>
      <c r="D16068" s="67"/>
      <c r="G16068" s="68"/>
      <c r="K16068" s="68"/>
    </row>
    <row r="16069" spans="2:11" ht="12.75">
      <c r="B16069" s="4"/>
      <c r="D16069" s="67"/>
      <c r="G16069" s="68"/>
      <c r="K16069" s="68"/>
    </row>
    <row r="16070" spans="2:11" ht="12.75">
      <c r="B16070" s="4"/>
      <c r="D16070" s="67"/>
      <c r="G16070" s="68"/>
      <c r="K16070" s="68"/>
    </row>
    <row r="16071" spans="2:11" ht="12.75">
      <c r="B16071" s="4"/>
      <c r="D16071" s="67"/>
      <c r="G16071" s="68"/>
      <c r="K16071" s="68"/>
    </row>
    <row r="16072" spans="2:11" ht="12.75">
      <c r="B16072" s="4"/>
      <c r="D16072" s="67"/>
      <c r="G16072" s="68"/>
      <c r="K16072" s="68"/>
    </row>
    <row r="16073" spans="2:11" ht="12.75">
      <c r="B16073" s="4"/>
      <c r="D16073" s="67"/>
      <c r="G16073" s="68"/>
      <c r="K16073" s="68"/>
    </row>
    <row r="16074" spans="2:11" ht="12.75">
      <c r="B16074" s="4"/>
      <c r="D16074" s="67"/>
      <c r="G16074" s="68"/>
      <c r="K16074" s="68"/>
    </row>
    <row r="16075" spans="2:11" ht="12.75">
      <c r="B16075" s="4"/>
      <c r="D16075" s="67"/>
      <c r="G16075" s="68"/>
      <c r="K16075" s="68"/>
    </row>
    <row r="16076" spans="2:11" ht="12.75">
      <c r="B16076" s="4"/>
      <c r="D16076" s="67"/>
      <c r="G16076" s="68"/>
      <c r="K16076" s="68"/>
    </row>
    <row r="16077" spans="2:11" ht="12.75">
      <c r="B16077" s="4"/>
      <c r="D16077" s="67"/>
      <c r="G16077" s="68"/>
      <c r="K16077" s="68"/>
    </row>
    <row r="16078" spans="2:11" ht="12.75">
      <c r="B16078" s="4"/>
      <c r="D16078" s="67"/>
      <c r="G16078" s="68"/>
      <c r="K16078" s="68"/>
    </row>
    <row r="16079" spans="2:11" ht="12.75">
      <c r="B16079" s="4"/>
      <c r="D16079" s="67"/>
      <c r="G16079" s="68"/>
      <c r="K16079" s="68"/>
    </row>
    <row r="16080" spans="2:11" ht="12.75">
      <c r="B16080" s="4"/>
      <c r="D16080" s="67"/>
      <c r="G16080" s="68"/>
      <c r="K16080" s="68"/>
    </row>
    <row r="16081" spans="2:11" ht="12.75">
      <c r="B16081" s="4"/>
      <c r="D16081" s="67"/>
      <c r="G16081" s="68"/>
      <c r="K16081" s="68"/>
    </row>
    <row r="16082" spans="2:11" ht="12.75">
      <c r="B16082" s="4"/>
      <c r="D16082" s="67"/>
      <c r="G16082" s="68"/>
      <c r="K16082" s="68"/>
    </row>
    <row r="16083" spans="2:11" ht="12.75">
      <c r="B16083" s="4"/>
      <c r="D16083" s="67"/>
      <c r="G16083" s="68"/>
      <c r="K16083" s="68"/>
    </row>
    <row r="16084" spans="2:11" ht="12.75">
      <c r="B16084" s="4"/>
      <c r="D16084" s="67"/>
      <c r="G16084" s="68"/>
      <c r="K16084" s="68"/>
    </row>
    <row r="16085" spans="2:11" ht="12.75">
      <c r="B16085" s="4"/>
      <c r="D16085" s="67"/>
      <c r="G16085" s="68"/>
      <c r="K16085" s="68"/>
    </row>
    <row r="16086" spans="2:11" ht="12.75">
      <c r="B16086" s="4"/>
      <c r="D16086" s="67"/>
      <c r="G16086" s="68"/>
      <c r="K16086" s="68"/>
    </row>
    <row r="16087" spans="2:11" ht="12.75">
      <c r="B16087" s="4"/>
      <c r="D16087" s="67"/>
      <c r="G16087" s="68"/>
      <c r="K16087" s="68"/>
    </row>
    <row r="16088" spans="2:11" ht="12.75">
      <c r="B16088" s="4"/>
      <c r="D16088" s="67"/>
      <c r="G16088" s="68"/>
      <c r="K16088" s="68"/>
    </row>
    <row r="16089" spans="2:11" ht="12.75">
      <c r="B16089" s="4"/>
      <c r="D16089" s="67"/>
      <c r="G16089" s="68"/>
      <c r="K16089" s="68"/>
    </row>
    <row r="16090" spans="2:11" ht="12.75">
      <c r="B16090" s="4"/>
      <c r="D16090" s="67"/>
      <c r="G16090" s="68"/>
      <c r="K16090" s="68"/>
    </row>
    <row r="16091" spans="2:11" ht="12.75">
      <c r="B16091" s="4"/>
      <c r="D16091" s="67"/>
      <c r="G16091" s="68"/>
      <c r="K16091" s="68"/>
    </row>
    <row r="16092" spans="2:11" ht="12.75">
      <c r="B16092" s="4"/>
      <c r="D16092" s="67"/>
      <c r="G16092" s="68"/>
      <c r="K16092" s="68"/>
    </row>
    <row r="16093" spans="2:11" ht="12.75">
      <c r="B16093" s="4"/>
      <c r="D16093" s="67"/>
      <c r="G16093" s="68"/>
      <c r="K16093" s="68"/>
    </row>
    <row r="16094" spans="2:11" ht="12.75">
      <c r="B16094" s="4"/>
      <c r="D16094" s="67"/>
      <c r="G16094" s="68"/>
      <c r="K16094" s="68"/>
    </row>
    <row r="16095" spans="2:11" ht="12.75">
      <c r="B16095" s="4"/>
      <c r="D16095" s="67"/>
      <c r="G16095" s="68"/>
      <c r="K16095" s="68"/>
    </row>
    <row r="16096" spans="2:11" ht="12.75">
      <c r="B16096" s="4"/>
      <c r="D16096" s="67"/>
      <c r="G16096" s="68"/>
      <c r="K16096" s="68"/>
    </row>
    <row r="16097" spans="2:11" ht="12.75">
      <c r="B16097" s="4"/>
      <c r="D16097" s="67"/>
      <c r="G16097" s="68"/>
      <c r="K16097" s="68"/>
    </row>
    <row r="16098" spans="2:11" ht="12.75">
      <c r="B16098" s="4"/>
      <c r="D16098" s="67"/>
      <c r="G16098" s="68"/>
      <c r="K16098" s="68"/>
    </row>
    <row r="16099" spans="2:11" ht="12.75">
      <c r="B16099" s="4"/>
      <c r="D16099" s="67"/>
      <c r="G16099" s="68"/>
      <c r="K16099" s="68"/>
    </row>
    <row r="16100" spans="2:11" ht="12.75">
      <c r="B16100" s="4"/>
      <c r="D16100" s="67"/>
      <c r="G16100" s="68"/>
      <c r="K16100" s="68"/>
    </row>
    <row r="16101" spans="2:11" ht="12.75">
      <c r="B16101" s="4"/>
      <c r="D16101" s="67"/>
      <c r="G16101" s="68"/>
      <c r="K16101" s="68"/>
    </row>
    <row r="16102" spans="2:11" ht="12.75">
      <c r="B16102" s="4"/>
      <c r="D16102" s="67"/>
      <c r="G16102" s="68"/>
      <c r="K16102" s="68"/>
    </row>
    <row r="16103" spans="2:11" ht="12.75">
      <c r="B16103" s="4"/>
      <c r="D16103" s="67"/>
      <c r="G16103" s="68"/>
      <c r="K16103" s="68"/>
    </row>
    <row r="16104" spans="2:11" ht="12.75">
      <c r="B16104" s="4"/>
      <c r="D16104" s="67"/>
      <c r="G16104" s="68"/>
      <c r="K16104" s="68"/>
    </row>
    <row r="16105" spans="2:11" ht="12.75">
      <c r="B16105" s="4"/>
      <c r="D16105" s="67"/>
      <c r="G16105" s="68"/>
      <c r="K16105" s="68"/>
    </row>
    <row r="16106" spans="2:11" ht="12.75">
      <c r="B16106" s="4"/>
      <c r="D16106" s="67"/>
      <c r="G16106" s="68"/>
      <c r="K16106" s="68"/>
    </row>
    <row r="16107" spans="2:11" ht="12.75">
      <c r="B16107" s="4"/>
      <c r="D16107" s="67"/>
      <c r="G16107" s="68"/>
      <c r="K16107" s="68"/>
    </row>
    <row r="16108" spans="2:11" ht="12.75">
      <c r="B16108" s="4"/>
      <c r="D16108" s="67"/>
      <c r="G16108" s="68"/>
      <c r="K16108" s="68"/>
    </row>
    <row r="16109" spans="2:11" ht="12.75">
      <c r="B16109" s="4"/>
      <c r="D16109" s="67"/>
      <c r="G16109" s="68"/>
      <c r="K16109" s="68"/>
    </row>
    <row r="16110" spans="2:11" ht="12.75">
      <c r="B16110" s="4"/>
      <c r="D16110" s="67"/>
      <c r="G16110" s="68"/>
      <c r="K16110" s="68"/>
    </row>
    <row r="16111" spans="2:11" ht="12.75">
      <c r="B16111" s="4"/>
      <c r="D16111" s="67"/>
      <c r="G16111" s="68"/>
      <c r="K16111" s="68"/>
    </row>
    <row r="16112" spans="2:11" ht="12.75">
      <c r="B16112" s="4"/>
      <c r="D16112" s="67"/>
      <c r="G16112" s="68"/>
      <c r="K16112" s="68"/>
    </row>
    <row r="16113" spans="2:11" ht="12.75">
      <c r="B16113" s="4"/>
      <c r="D16113" s="67"/>
      <c r="G16113" s="68"/>
      <c r="K16113" s="68"/>
    </row>
    <row r="16114" spans="2:11" ht="12.75">
      <c r="B16114" s="4"/>
      <c r="D16114" s="67"/>
      <c r="G16114" s="68"/>
      <c r="K16114" s="68"/>
    </row>
    <row r="16115" spans="2:11" ht="12.75">
      <c r="B16115" s="4"/>
      <c r="D16115" s="67"/>
      <c r="G16115" s="68"/>
      <c r="K16115" s="68"/>
    </row>
    <row r="16116" spans="2:11" ht="12.75">
      <c r="B16116" s="4"/>
      <c r="D16116" s="67"/>
      <c r="G16116" s="68"/>
      <c r="K16116" s="68"/>
    </row>
    <row r="16117" spans="2:11" ht="12.75">
      <c r="B16117" s="4"/>
      <c r="D16117" s="67"/>
      <c r="G16117" s="68"/>
      <c r="K16117" s="68"/>
    </row>
    <row r="16118" spans="2:11" ht="12.75">
      <c r="B16118" s="4"/>
      <c r="D16118" s="67"/>
      <c r="G16118" s="68"/>
      <c r="K16118" s="68"/>
    </row>
    <row r="16119" spans="2:11" ht="12.75">
      <c r="B16119" s="4"/>
      <c r="D16119" s="67"/>
      <c r="G16119" s="68"/>
      <c r="K16119" s="68"/>
    </row>
    <row r="16120" spans="2:11" ht="12.75">
      <c r="B16120" s="4"/>
      <c r="D16120" s="67"/>
      <c r="G16120" s="68"/>
      <c r="K16120" s="68"/>
    </row>
    <row r="16121" spans="2:11" ht="12.75">
      <c r="B16121" s="4"/>
      <c r="D16121" s="67"/>
      <c r="G16121" s="68"/>
      <c r="K16121" s="68"/>
    </row>
    <row r="16122" spans="2:11" ht="12.75">
      <c r="B16122" s="4"/>
      <c r="D16122" s="67"/>
      <c r="G16122" s="68"/>
      <c r="K16122" s="68"/>
    </row>
    <row r="16123" spans="2:11" ht="12.75">
      <c r="B16123" s="4"/>
      <c r="D16123" s="67"/>
      <c r="G16123" s="68"/>
      <c r="K16123" s="68"/>
    </row>
    <row r="16124" spans="2:11" ht="12.75">
      <c r="B16124" s="4"/>
      <c r="D16124" s="67"/>
      <c r="G16124" s="68"/>
      <c r="K16124" s="68"/>
    </row>
    <row r="16125" spans="2:11" ht="12.75">
      <c r="B16125" s="4"/>
      <c r="D16125" s="67"/>
      <c r="G16125" s="68"/>
      <c r="K16125" s="68"/>
    </row>
    <row r="16126" spans="2:11" ht="12.75">
      <c r="B16126" s="4"/>
      <c r="D16126" s="67"/>
      <c r="G16126" s="68"/>
      <c r="K16126" s="68"/>
    </row>
    <row r="16127" spans="2:11" ht="12.75">
      <c r="B16127" s="4"/>
      <c r="D16127" s="67"/>
      <c r="G16127" s="68"/>
      <c r="K16127" s="68"/>
    </row>
    <row r="16128" spans="2:11" ht="12.75">
      <c r="B16128" s="4"/>
      <c r="D16128" s="67"/>
      <c r="G16128" s="68"/>
      <c r="K16128" s="68"/>
    </row>
    <row r="16129" spans="2:11" ht="12.75">
      <c r="B16129" s="4"/>
      <c r="D16129" s="67"/>
      <c r="G16129" s="68"/>
      <c r="K16129" s="68"/>
    </row>
    <row r="16130" spans="2:11" ht="12.75">
      <c r="B16130" s="4"/>
      <c r="D16130" s="67"/>
      <c r="G16130" s="68"/>
      <c r="K16130" s="68"/>
    </row>
    <row r="16131" spans="2:11" ht="12.75">
      <c r="B16131" s="4"/>
      <c r="D16131" s="67"/>
      <c r="G16131" s="68"/>
      <c r="K16131" s="68"/>
    </row>
    <row r="16132" spans="2:11" ht="12.75">
      <c r="B16132" s="4"/>
      <c r="D16132" s="67"/>
      <c r="G16132" s="68"/>
      <c r="K16132" s="68"/>
    </row>
    <row r="16133" spans="2:11" ht="12.75">
      <c r="B16133" s="4"/>
      <c r="D16133" s="67"/>
      <c r="G16133" s="68"/>
      <c r="K16133" s="68"/>
    </row>
    <row r="16134" spans="2:11" ht="12.75">
      <c r="B16134" s="4"/>
      <c r="D16134" s="67"/>
      <c r="G16134" s="68"/>
      <c r="K16134" s="68"/>
    </row>
    <row r="16135" spans="2:11" ht="12.75">
      <c r="B16135" s="4"/>
      <c r="D16135" s="67"/>
      <c r="G16135" s="68"/>
      <c r="K16135" s="68"/>
    </row>
    <row r="16136" spans="2:11" ht="12.75">
      <c r="B16136" s="4"/>
      <c r="D16136" s="67"/>
      <c r="G16136" s="68"/>
      <c r="K16136" s="68"/>
    </row>
    <row r="16137" spans="2:11" ht="12.75">
      <c r="B16137" s="4"/>
      <c r="D16137" s="67"/>
      <c r="G16137" s="68"/>
      <c r="K16137" s="68"/>
    </row>
    <row r="16138" spans="2:11" ht="12.75">
      <c r="B16138" s="4"/>
      <c r="D16138" s="67"/>
      <c r="G16138" s="68"/>
      <c r="K16138" s="68"/>
    </row>
    <row r="16139" spans="2:11" ht="12.75">
      <c r="B16139" s="4"/>
      <c r="D16139" s="67"/>
      <c r="G16139" s="68"/>
      <c r="K16139" s="68"/>
    </row>
    <row r="16140" spans="2:11" ht="12.75">
      <c r="B16140" s="4"/>
      <c r="D16140" s="67"/>
      <c r="G16140" s="68"/>
      <c r="K16140" s="68"/>
    </row>
    <row r="16141" spans="2:11" ht="12.75">
      <c r="B16141" s="4"/>
      <c r="D16141" s="67"/>
      <c r="G16141" s="68"/>
      <c r="K16141" s="68"/>
    </row>
    <row r="16142" spans="2:11" ht="12.75">
      <c r="B16142" s="4"/>
      <c r="D16142" s="67"/>
      <c r="G16142" s="68"/>
      <c r="K16142" s="68"/>
    </row>
    <row r="16143" spans="2:11" ht="12.75">
      <c r="B16143" s="4"/>
      <c r="D16143" s="67"/>
      <c r="G16143" s="68"/>
      <c r="K16143" s="68"/>
    </row>
    <row r="16144" spans="2:11" ht="12.75">
      <c r="B16144" s="4"/>
      <c r="D16144" s="67"/>
      <c r="G16144" s="68"/>
      <c r="K16144" s="68"/>
    </row>
    <row r="16145" spans="2:11" ht="12.75">
      <c r="B16145" s="4"/>
      <c r="D16145" s="67"/>
      <c r="G16145" s="68"/>
      <c r="K16145" s="68"/>
    </row>
    <row r="16146" spans="2:11" ht="12.75">
      <c r="B16146" s="4"/>
      <c r="D16146" s="67"/>
      <c r="G16146" s="68"/>
      <c r="K16146" s="68"/>
    </row>
    <row r="16147" spans="2:11" ht="12.75">
      <c r="B16147" s="4"/>
      <c r="D16147" s="67"/>
      <c r="G16147" s="68"/>
      <c r="K16147" s="68"/>
    </row>
    <row r="16148" spans="2:11" ht="12.75">
      <c r="B16148" s="4"/>
      <c r="D16148" s="67"/>
      <c r="G16148" s="68"/>
      <c r="K16148" s="68"/>
    </row>
    <row r="16149" spans="2:11" ht="12.75">
      <c r="B16149" s="4"/>
      <c r="D16149" s="67"/>
      <c r="G16149" s="68"/>
      <c r="K16149" s="68"/>
    </row>
    <row r="16150" spans="2:11" ht="12.75">
      <c r="B16150" s="4"/>
      <c r="D16150" s="67"/>
      <c r="G16150" s="68"/>
      <c r="K16150" s="68"/>
    </row>
    <row r="16151" spans="2:11" ht="12.75">
      <c r="B16151" s="4"/>
      <c r="D16151" s="67"/>
      <c r="G16151" s="68"/>
      <c r="K16151" s="68"/>
    </row>
    <row r="16152" spans="2:11" ht="12.75">
      <c r="B16152" s="4"/>
      <c r="D16152" s="67"/>
      <c r="G16152" s="68"/>
      <c r="K16152" s="68"/>
    </row>
    <row r="16153" spans="2:11" ht="12.75">
      <c r="B16153" s="4"/>
      <c r="D16153" s="67"/>
      <c r="G16153" s="68"/>
      <c r="K16153" s="68"/>
    </row>
    <row r="16154" spans="2:11" ht="12.75">
      <c r="B16154" s="4"/>
      <c r="D16154" s="67"/>
      <c r="G16154" s="68"/>
      <c r="K16154" s="68"/>
    </row>
    <row r="16155" spans="2:11" ht="12.75">
      <c r="B16155" s="4"/>
      <c r="D16155" s="67"/>
      <c r="G16155" s="68"/>
      <c r="K16155" s="68"/>
    </row>
    <row r="16156" spans="2:11" ht="12.75">
      <c r="B16156" s="4"/>
      <c r="D16156" s="67"/>
      <c r="G16156" s="68"/>
      <c r="K16156" s="68"/>
    </row>
    <row r="16157" spans="2:11" ht="12.75">
      <c r="B16157" s="4"/>
      <c r="D16157" s="67"/>
      <c r="G16157" s="68"/>
      <c r="K16157" s="68"/>
    </row>
    <row r="16158" spans="2:11" ht="12.75">
      <c r="B16158" s="4"/>
      <c r="D16158" s="67"/>
      <c r="G16158" s="68"/>
      <c r="K16158" s="68"/>
    </row>
    <row r="16159" spans="2:11" ht="12.75">
      <c r="B16159" s="4"/>
      <c r="D16159" s="67"/>
      <c r="G16159" s="68"/>
      <c r="K16159" s="68"/>
    </row>
    <row r="16160" spans="2:11" ht="12.75">
      <c r="B16160" s="4"/>
      <c r="D16160" s="67"/>
      <c r="G16160" s="68"/>
      <c r="K16160" s="68"/>
    </row>
    <row r="16161" spans="2:11" ht="12.75">
      <c r="B16161" s="4"/>
      <c r="D16161" s="67"/>
      <c r="G16161" s="68"/>
      <c r="K16161" s="68"/>
    </row>
    <row r="16162" spans="2:11" ht="12.75">
      <c r="B16162" s="4"/>
      <c r="D16162" s="67"/>
      <c r="G16162" s="68"/>
      <c r="K16162" s="68"/>
    </row>
    <row r="16163" spans="2:11" ht="12.75">
      <c r="B16163" s="4"/>
      <c r="D16163" s="67"/>
      <c r="G16163" s="68"/>
      <c r="K16163" s="68"/>
    </row>
    <row r="16164" spans="2:11" ht="12.75">
      <c r="B16164" s="4"/>
      <c r="D16164" s="67"/>
      <c r="G16164" s="68"/>
      <c r="K16164" s="68"/>
    </row>
    <row r="16165" spans="2:11" ht="12.75">
      <c r="B16165" s="4"/>
      <c r="D16165" s="67"/>
      <c r="G16165" s="68"/>
      <c r="K16165" s="68"/>
    </row>
    <row r="16166" spans="2:11" ht="12.75">
      <c r="B16166" s="4"/>
      <c r="D16166" s="67"/>
      <c r="G16166" s="68"/>
      <c r="K16166" s="68"/>
    </row>
    <row r="16167" spans="2:11" ht="12.75">
      <c r="B16167" s="4"/>
      <c r="D16167" s="67"/>
      <c r="G16167" s="68"/>
      <c r="K16167" s="68"/>
    </row>
    <row r="16168" spans="2:11" ht="12.75">
      <c r="B16168" s="4"/>
      <c r="D16168" s="67"/>
      <c r="G16168" s="68"/>
      <c r="K16168" s="68"/>
    </row>
    <row r="16169" spans="2:11" ht="12.75">
      <c r="B16169" s="4"/>
      <c r="D16169" s="67"/>
      <c r="G16169" s="68"/>
      <c r="K16169" s="68"/>
    </row>
    <row r="16170" spans="2:11" ht="12.75">
      <c r="B16170" s="4"/>
      <c r="D16170" s="67"/>
      <c r="G16170" s="68"/>
      <c r="K16170" s="68"/>
    </row>
    <row r="16171" spans="2:11" ht="12.75">
      <c r="B16171" s="4"/>
      <c r="D16171" s="67"/>
      <c r="G16171" s="68"/>
      <c r="K16171" s="68"/>
    </row>
    <row r="16172" spans="2:11" ht="12.75">
      <c r="B16172" s="4"/>
      <c r="D16172" s="67"/>
      <c r="G16172" s="68"/>
      <c r="K16172" s="68"/>
    </row>
    <row r="16173" spans="2:11" ht="12.75">
      <c r="B16173" s="4"/>
      <c r="D16173" s="67"/>
      <c r="G16173" s="68"/>
      <c r="K16173" s="68"/>
    </row>
    <row r="16174" spans="2:11" ht="12.75">
      <c r="B16174" s="4"/>
      <c r="D16174" s="67"/>
      <c r="G16174" s="68"/>
      <c r="K16174" s="68"/>
    </row>
    <row r="16175" spans="2:11" ht="12.75">
      <c r="B16175" s="4"/>
      <c r="D16175" s="67"/>
      <c r="G16175" s="68"/>
      <c r="K16175" s="68"/>
    </row>
    <row r="16176" spans="2:11" ht="12.75">
      <c r="B16176" s="4"/>
      <c r="D16176" s="67"/>
      <c r="G16176" s="68"/>
      <c r="K16176" s="68"/>
    </row>
    <row r="16177" spans="2:11" ht="12.75">
      <c r="B16177" s="4"/>
      <c r="D16177" s="67"/>
      <c r="G16177" s="68"/>
      <c r="K16177" s="68"/>
    </row>
    <row r="16178" spans="2:11" ht="12.75">
      <c r="B16178" s="4"/>
      <c r="D16178" s="67"/>
      <c r="G16178" s="68"/>
      <c r="K16178" s="68"/>
    </row>
    <row r="16179" spans="2:11" ht="12.75">
      <c r="B16179" s="4"/>
      <c r="D16179" s="67"/>
      <c r="G16179" s="68"/>
      <c r="K16179" s="68"/>
    </row>
    <row r="16180" spans="2:11" ht="12.75">
      <c r="B16180" s="4"/>
      <c r="D16180" s="67"/>
      <c r="G16180" s="68"/>
      <c r="K16180" s="68"/>
    </row>
    <row r="16181" spans="2:11" ht="12.75">
      <c r="B16181" s="4"/>
      <c r="D16181" s="67"/>
      <c r="G16181" s="68"/>
      <c r="K16181" s="68"/>
    </row>
    <row r="16182" spans="2:11" ht="12.75">
      <c r="B16182" s="4"/>
      <c r="D16182" s="67"/>
      <c r="G16182" s="68"/>
      <c r="K16182" s="68"/>
    </row>
    <row r="16183" spans="2:11" ht="12.75">
      <c r="B16183" s="4"/>
      <c r="D16183" s="67"/>
      <c r="G16183" s="68"/>
      <c r="K16183" s="68"/>
    </row>
    <row r="16184" spans="2:11" ht="12.75">
      <c r="B16184" s="4"/>
      <c r="D16184" s="67"/>
      <c r="G16184" s="68"/>
      <c r="K16184" s="68"/>
    </row>
    <row r="16185" spans="2:11" ht="12.75">
      <c r="B16185" s="4"/>
      <c r="D16185" s="67"/>
      <c r="G16185" s="68"/>
      <c r="K16185" s="68"/>
    </row>
    <row r="16186" spans="2:11" ht="12.75">
      <c r="B16186" s="4"/>
      <c r="D16186" s="67"/>
      <c r="G16186" s="68"/>
      <c r="K16186" s="68"/>
    </row>
    <row r="16187" spans="2:11" ht="12.75">
      <c r="B16187" s="4"/>
      <c r="D16187" s="67"/>
      <c r="G16187" s="68"/>
      <c r="K16187" s="68"/>
    </row>
    <row r="16188" spans="2:11" ht="12.75">
      <c r="B16188" s="4"/>
      <c r="D16188" s="67"/>
      <c r="G16188" s="68"/>
      <c r="K16188" s="68"/>
    </row>
    <row r="16189" spans="2:11" ht="12.75">
      <c r="B16189" s="4"/>
      <c r="D16189" s="67"/>
      <c r="G16189" s="68"/>
      <c r="K16189" s="68"/>
    </row>
    <row r="16190" spans="2:11" ht="12.75">
      <c r="B16190" s="4"/>
      <c r="D16190" s="67"/>
      <c r="G16190" s="68"/>
      <c r="K16190" s="68"/>
    </row>
    <row r="16191" spans="2:11" ht="12.75">
      <c r="B16191" s="4"/>
      <c r="D16191" s="67"/>
      <c r="G16191" s="68"/>
      <c r="K16191" s="68"/>
    </row>
    <row r="16192" spans="2:11" ht="12.75">
      <c r="B16192" s="4"/>
      <c r="D16192" s="67"/>
      <c r="G16192" s="68"/>
      <c r="K16192" s="68"/>
    </row>
    <row r="16193" spans="2:11" ht="12.75">
      <c r="B16193" s="4"/>
      <c r="D16193" s="67"/>
      <c r="G16193" s="68"/>
      <c r="K16193" s="68"/>
    </row>
    <row r="16194" spans="2:11" ht="12.75">
      <c r="B16194" s="4"/>
      <c r="D16194" s="67"/>
      <c r="G16194" s="68"/>
      <c r="K16194" s="68"/>
    </row>
    <row r="16195" spans="2:11" ht="12.75">
      <c r="B16195" s="4"/>
      <c r="D16195" s="67"/>
      <c r="G16195" s="68"/>
      <c r="K16195" s="68"/>
    </row>
    <row r="16196" spans="2:11" ht="12.75">
      <c r="B16196" s="4"/>
      <c r="D16196" s="67"/>
      <c r="G16196" s="68"/>
      <c r="K16196" s="68"/>
    </row>
    <row r="16197" spans="2:11" ht="12.75">
      <c r="B16197" s="4"/>
      <c r="D16197" s="67"/>
      <c r="G16197" s="68"/>
      <c r="K16197" s="68"/>
    </row>
    <row r="16198" spans="2:11" ht="12.75">
      <c r="B16198" s="4"/>
      <c r="D16198" s="67"/>
      <c r="G16198" s="68"/>
      <c r="K16198" s="68"/>
    </row>
    <row r="16199" spans="2:11" ht="12.75">
      <c r="B16199" s="4"/>
      <c r="D16199" s="67"/>
      <c r="G16199" s="68"/>
      <c r="K16199" s="68"/>
    </row>
    <row r="16200" spans="2:11" ht="12.75">
      <c r="B16200" s="4"/>
      <c r="D16200" s="67"/>
      <c r="G16200" s="68"/>
      <c r="K16200" s="68"/>
    </row>
    <row r="16201" spans="2:11" ht="12.75">
      <c r="B16201" s="4"/>
      <c r="D16201" s="67"/>
      <c r="G16201" s="68"/>
      <c r="K16201" s="68"/>
    </row>
    <row r="16202" spans="2:11" ht="12.75">
      <c r="B16202" s="4"/>
      <c r="D16202" s="67"/>
      <c r="G16202" s="68"/>
      <c r="K16202" s="68"/>
    </row>
    <row r="16203" spans="2:11" ht="12.75">
      <c r="B16203" s="4"/>
      <c r="D16203" s="67"/>
      <c r="G16203" s="68"/>
      <c r="K16203" s="68"/>
    </row>
    <row r="16204" spans="2:11" ht="12.75">
      <c r="B16204" s="4"/>
      <c r="D16204" s="67"/>
      <c r="G16204" s="68"/>
      <c r="K16204" s="68"/>
    </row>
    <row r="16205" spans="2:11" ht="12.75">
      <c r="B16205" s="4"/>
      <c r="D16205" s="67"/>
      <c r="G16205" s="68"/>
      <c r="K16205" s="68"/>
    </row>
    <row r="16206" spans="2:11" ht="12.75">
      <c r="B16206" s="4"/>
      <c r="D16206" s="67"/>
      <c r="G16206" s="68"/>
      <c r="K16206" s="68"/>
    </row>
    <row r="16207" spans="2:11" ht="12.75">
      <c r="B16207" s="4"/>
      <c r="D16207" s="67"/>
      <c r="G16207" s="68"/>
      <c r="K16207" s="68"/>
    </row>
    <row r="16208" spans="2:11" ht="12.75">
      <c r="B16208" s="4"/>
      <c r="D16208" s="67"/>
      <c r="G16208" s="68"/>
      <c r="K16208" s="68"/>
    </row>
    <row r="16209" spans="2:11" ht="12.75">
      <c r="B16209" s="4"/>
      <c r="D16209" s="67"/>
      <c r="G16209" s="68"/>
      <c r="K16209" s="68"/>
    </row>
    <row r="16210" spans="2:11" ht="12.75">
      <c r="B16210" s="4"/>
      <c r="D16210" s="67"/>
      <c r="G16210" s="68"/>
      <c r="K16210" s="68"/>
    </row>
    <row r="16211" spans="2:11" ht="12.75">
      <c r="B16211" s="4"/>
      <c r="D16211" s="67"/>
      <c r="G16211" s="68"/>
      <c r="K16211" s="68"/>
    </row>
    <row r="16212" spans="2:11" ht="12.75">
      <c r="B16212" s="4"/>
      <c r="D16212" s="67"/>
      <c r="G16212" s="68"/>
      <c r="K16212" s="68"/>
    </row>
    <row r="16213" spans="2:11" ht="12.75">
      <c r="B16213" s="4"/>
      <c r="D16213" s="67"/>
      <c r="G16213" s="68"/>
      <c r="K16213" s="68"/>
    </row>
    <row r="16214" spans="2:11" ht="12.75">
      <c r="B16214" s="4"/>
      <c r="D16214" s="67"/>
      <c r="G16214" s="68"/>
      <c r="K16214" s="68"/>
    </row>
    <row r="16215" spans="2:11" ht="12.75">
      <c r="B16215" s="4"/>
      <c r="D16215" s="67"/>
      <c r="G16215" s="68"/>
      <c r="K16215" s="68"/>
    </row>
    <row r="16216" spans="2:11" ht="12.75">
      <c r="B16216" s="4"/>
      <c r="D16216" s="67"/>
      <c r="G16216" s="68"/>
      <c r="K16216" s="68"/>
    </row>
    <row r="16217" spans="2:11" ht="12.75">
      <c r="B16217" s="4"/>
      <c r="D16217" s="67"/>
      <c r="G16217" s="68"/>
      <c r="K16217" s="68"/>
    </row>
    <row r="16218" spans="2:11" ht="12.75">
      <c r="B16218" s="4"/>
      <c r="D16218" s="67"/>
      <c r="G16218" s="68"/>
      <c r="K16218" s="68"/>
    </row>
    <row r="16219" spans="2:11" ht="12.75">
      <c r="B16219" s="4"/>
      <c r="D16219" s="67"/>
      <c r="G16219" s="68"/>
      <c r="K16219" s="68"/>
    </row>
    <row r="16220" spans="2:11" ht="12.75">
      <c r="B16220" s="4"/>
      <c r="D16220" s="67"/>
      <c r="G16220" s="68"/>
      <c r="K16220" s="68"/>
    </row>
    <row r="16221" spans="2:11" ht="12.75">
      <c r="B16221" s="4"/>
      <c r="D16221" s="67"/>
      <c r="G16221" s="68"/>
      <c r="K16221" s="68"/>
    </row>
    <row r="16222" spans="2:11" ht="12.75">
      <c r="B16222" s="4"/>
      <c r="D16222" s="67"/>
      <c r="G16222" s="68"/>
      <c r="K16222" s="68"/>
    </row>
    <row r="16223" spans="2:11" ht="12.75">
      <c r="B16223" s="4"/>
      <c r="D16223" s="67"/>
      <c r="G16223" s="68"/>
      <c r="K16223" s="68"/>
    </row>
    <row r="16224" spans="2:11" ht="12.75">
      <c r="B16224" s="4"/>
      <c r="D16224" s="67"/>
      <c r="G16224" s="68"/>
      <c r="K16224" s="68"/>
    </row>
    <row r="16225" spans="2:11" ht="12.75">
      <c r="B16225" s="4"/>
      <c r="D16225" s="67"/>
      <c r="G16225" s="68"/>
      <c r="K16225" s="68"/>
    </row>
    <row r="16226" spans="2:11" ht="12.75">
      <c r="B16226" s="4"/>
      <c r="D16226" s="67"/>
      <c r="G16226" s="68"/>
      <c r="K16226" s="68"/>
    </row>
    <row r="16227" spans="2:11" ht="12.75">
      <c r="B16227" s="4"/>
      <c r="D16227" s="67"/>
      <c r="G16227" s="68"/>
      <c r="K16227" s="68"/>
    </row>
    <row r="16228" spans="2:11" ht="12.75">
      <c r="B16228" s="4"/>
      <c r="D16228" s="67"/>
      <c r="G16228" s="68"/>
      <c r="K16228" s="68"/>
    </row>
    <row r="16229" spans="2:11" ht="12.75">
      <c r="B16229" s="4"/>
      <c r="D16229" s="67"/>
      <c r="G16229" s="68"/>
      <c r="K16229" s="68"/>
    </row>
    <row r="16230" spans="2:11" ht="12.75">
      <c r="B16230" s="4"/>
      <c r="D16230" s="67"/>
      <c r="G16230" s="68"/>
      <c r="K16230" s="68"/>
    </row>
    <row r="16231" spans="2:11" ht="12.75">
      <c r="B16231" s="4"/>
      <c r="D16231" s="67"/>
      <c r="G16231" s="68"/>
      <c r="K16231" s="68"/>
    </row>
    <row r="16232" spans="2:11" ht="12.75">
      <c r="B16232" s="4"/>
      <c r="D16232" s="67"/>
      <c r="G16232" s="68"/>
      <c r="K16232" s="68"/>
    </row>
    <row r="16233" spans="2:11" ht="12.75">
      <c r="B16233" s="4"/>
      <c r="D16233" s="67"/>
      <c r="G16233" s="68"/>
      <c r="K16233" s="68"/>
    </row>
    <row r="16234" spans="2:11" ht="12.75">
      <c r="B16234" s="4"/>
      <c r="D16234" s="67"/>
      <c r="G16234" s="68"/>
      <c r="K16234" s="68"/>
    </row>
    <row r="16235" spans="2:11" ht="12.75">
      <c r="B16235" s="4"/>
      <c r="D16235" s="67"/>
      <c r="G16235" s="68"/>
      <c r="K16235" s="68"/>
    </row>
    <row r="16236" spans="2:11" ht="12.75">
      <c r="B16236" s="4"/>
      <c r="D16236" s="67"/>
      <c r="G16236" s="68"/>
      <c r="K16236" s="68"/>
    </row>
    <row r="16237" spans="2:11" ht="12.75">
      <c r="B16237" s="4"/>
      <c r="D16237" s="67"/>
      <c r="G16237" s="68"/>
      <c r="K16237" s="68"/>
    </row>
    <row r="16238" spans="2:11" ht="12.75">
      <c r="B16238" s="4"/>
      <c r="D16238" s="67"/>
      <c r="G16238" s="68"/>
      <c r="K16238" s="68"/>
    </row>
    <row r="16239" spans="2:11" ht="12.75">
      <c r="B16239" s="4"/>
      <c r="D16239" s="67"/>
      <c r="G16239" s="68"/>
      <c r="K16239" s="68"/>
    </row>
    <row r="16240" spans="2:11" ht="12.75">
      <c r="B16240" s="4"/>
      <c r="D16240" s="67"/>
      <c r="G16240" s="68"/>
      <c r="K16240" s="68"/>
    </row>
    <row r="16241" spans="2:11" ht="12.75">
      <c r="B16241" s="4"/>
      <c r="D16241" s="67"/>
      <c r="G16241" s="68"/>
      <c r="K16241" s="68"/>
    </row>
    <row r="16242" spans="2:11" ht="12.75">
      <c r="B16242" s="4"/>
      <c r="D16242" s="67"/>
      <c r="G16242" s="68"/>
      <c r="K16242" s="68"/>
    </row>
    <row r="16243" spans="2:11" ht="12.75">
      <c r="B16243" s="4"/>
      <c r="D16243" s="67"/>
      <c r="G16243" s="68"/>
      <c r="K16243" s="68"/>
    </row>
    <row r="16244" spans="2:11" ht="12.75">
      <c r="B16244" s="4"/>
      <c r="D16244" s="67"/>
      <c r="G16244" s="68"/>
      <c r="K16244" s="68"/>
    </row>
    <row r="16245" spans="2:11" ht="12.75">
      <c r="B16245" s="4"/>
      <c r="D16245" s="67"/>
      <c r="G16245" s="68"/>
      <c r="K16245" s="68"/>
    </row>
    <row r="16246" spans="2:11" ht="12.75">
      <c r="B16246" s="4"/>
      <c r="D16246" s="67"/>
      <c r="G16246" s="68"/>
      <c r="K16246" s="68"/>
    </row>
    <row r="16247" spans="2:11" ht="12.75">
      <c r="B16247" s="4"/>
      <c r="D16247" s="67"/>
      <c r="G16247" s="68"/>
      <c r="K16247" s="68"/>
    </row>
    <row r="16248" spans="2:11" ht="12.75">
      <c r="B16248" s="4"/>
      <c r="D16248" s="67"/>
      <c r="G16248" s="68"/>
      <c r="K16248" s="68"/>
    </row>
    <row r="16249" spans="2:11" ht="12.75">
      <c r="B16249" s="4"/>
      <c r="D16249" s="67"/>
      <c r="G16249" s="68"/>
      <c r="K16249" s="68"/>
    </row>
    <row r="16250" spans="2:11" ht="12.75">
      <c r="B16250" s="4"/>
      <c r="D16250" s="67"/>
      <c r="G16250" s="68"/>
      <c r="K16250" s="68"/>
    </row>
    <row r="16251" spans="2:11" ht="12.75">
      <c r="B16251" s="4"/>
      <c r="D16251" s="67"/>
      <c r="G16251" s="68"/>
      <c r="K16251" s="68"/>
    </row>
    <row r="16252" spans="2:11" ht="12.75">
      <c r="B16252" s="4"/>
      <c r="D16252" s="67"/>
      <c r="G16252" s="68"/>
      <c r="K16252" s="68"/>
    </row>
    <row r="16253" spans="2:11" ht="12.75">
      <c r="B16253" s="4"/>
      <c r="D16253" s="67"/>
      <c r="G16253" s="68"/>
      <c r="K16253" s="68"/>
    </row>
    <row r="16254" spans="2:11" ht="12.75">
      <c r="B16254" s="4"/>
      <c r="D16254" s="67"/>
      <c r="G16254" s="68"/>
      <c r="K16254" s="68"/>
    </row>
    <row r="16255" spans="2:11" ht="12.75">
      <c r="B16255" s="4"/>
      <c r="D16255" s="67"/>
      <c r="G16255" s="68"/>
      <c r="K16255" s="68"/>
    </row>
    <row r="16256" spans="2:11" ht="12.75">
      <c r="B16256" s="4"/>
      <c r="D16256" s="67"/>
      <c r="G16256" s="68"/>
      <c r="K16256" s="68"/>
    </row>
    <row r="16257" spans="2:11" ht="12.75">
      <c r="B16257" s="4"/>
      <c r="D16257" s="67"/>
      <c r="G16257" s="68"/>
      <c r="K16257" s="68"/>
    </row>
    <row r="16258" spans="2:11" ht="12.75">
      <c r="B16258" s="4"/>
      <c r="D16258" s="67"/>
      <c r="G16258" s="68"/>
      <c r="K16258" s="68"/>
    </row>
    <row r="16259" spans="2:11" ht="12.75">
      <c r="B16259" s="4"/>
      <c r="D16259" s="67"/>
      <c r="G16259" s="68"/>
      <c r="K16259" s="68"/>
    </row>
    <row r="16260" spans="2:11" ht="12.75">
      <c r="B16260" s="4"/>
      <c r="D16260" s="67"/>
      <c r="G16260" s="68"/>
      <c r="K16260" s="68"/>
    </row>
    <row r="16261" spans="2:11" ht="12.75">
      <c r="B16261" s="4"/>
      <c r="D16261" s="67"/>
      <c r="G16261" s="68"/>
      <c r="K16261" s="68"/>
    </row>
    <row r="16262" spans="2:11" ht="12.75">
      <c r="B16262" s="4"/>
      <c r="D16262" s="67"/>
      <c r="G16262" s="68"/>
      <c r="K16262" s="68"/>
    </row>
    <row r="16263" spans="2:11" ht="12.75">
      <c r="B16263" s="4"/>
      <c r="D16263" s="67"/>
      <c r="G16263" s="68"/>
      <c r="K16263" s="68"/>
    </row>
    <row r="16264" spans="2:11" ht="12.75">
      <c r="B16264" s="4"/>
      <c r="D16264" s="67"/>
      <c r="G16264" s="68"/>
      <c r="K16264" s="68"/>
    </row>
    <row r="16265" spans="2:11" ht="12.75">
      <c r="B16265" s="4"/>
      <c r="D16265" s="67"/>
      <c r="G16265" s="68"/>
      <c r="K16265" s="68"/>
    </row>
    <row r="16266" spans="2:11" ht="12.75">
      <c r="B16266" s="4"/>
      <c r="D16266" s="67"/>
      <c r="G16266" s="68"/>
      <c r="K16266" s="68"/>
    </row>
    <row r="16267" spans="2:11" ht="12.75">
      <c r="B16267" s="4"/>
      <c r="D16267" s="67"/>
      <c r="G16267" s="68"/>
      <c r="K16267" s="68"/>
    </row>
    <row r="16268" spans="2:11" ht="12.75">
      <c r="B16268" s="4"/>
      <c r="D16268" s="67"/>
      <c r="G16268" s="68"/>
      <c r="K16268" s="68"/>
    </row>
    <row r="16269" spans="2:11" ht="12.75">
      <c r="B16269" s="4"/>
      <c r="D16269" s="67"/>
      <c r="G16269" s="68"/>
      <c r="K16269" s="68"/>
    </row>
    <row r="16270" spans="2:11" ht="12.75">
      <c r="B16270" s="4"/>
      <c r="D16270" s="67"/>
      <c r="G16270" s="68"/>
      <c r="K16270" s="68"/>
    </row>
    <row r="16271" spans="2:11" ht="12.75">
      <c r="B16271" s="4"/>
      <c r="D16271" s="67"/>
      <c r="G16271" s="68"/>
      <c r="K16271" s="68"/>
    </row>
    <row r="16272" spans="2:11" ht="12.75">
      <c r="B16272" s="4"/>
      <c r="D16272" s="67"/>
      <c r="G16272" s="68"/>
      <c r="K16272" s="68"/>
    </row>
    <row r="16273" spans="2:11" ht="12.75">
      <c r="B16273" s="4"/>
      <c r="D16273" s="67"/>
      <c r="G16273" s="68"/>
      <c r="K16273" s="68"/>
    </row>
    <row r="16274" spans="2:11" ht="12.75">
      <c r="B16274" s="4"/>
      <c r="D16274" s="67"/>
      <c r="G16274" s="68"/>
      <c r="K16274" s="68"/>
    </row>
    <row r="16275" spans="2:11" ht="12.75">
      <c r="B16275" s="4"/>
      <c r="D16275" s="67"/>
      <c r="G16275" s="68"/>
      <c r="K16275" s="68"/>
    </row>
    <row r="16276" spans="2:11" ht="12.75">
      <c r="B16276" s="4"/>
      <c r="D16276" s="67"/>
      <c r="G16276" s="68"/>
      <c r="K16276" s="68"/>
    </row>
    <row r="16277" spans="2:11" ht="12.75">
      <c r="B16277" s="4"/>
      <c r="D16277" s="67"/>
      <c r="G16277" s="68"/>
      <c r="K16277" s="68"/>
    </row>
    <row r="16278" spans="2:11" ht="12.75">
      <c r="B16278" s="4"/>
      <c r="D16278" s="67"/>
      <c r="G16278" s="68"/>
      <c r="K16278" s="68"/>
    </row>
    <row r="16279" spans="2:11" ht="12.75">
      <c r="B16279" s="4"/>
      <c r="D16279" s="67"/>
      <c r="G16279" s="68"/>
      <c r="K16279" s="68"/>
    </row>
    <row r="16280" spans="2:11" ht="12.75">
      <c r="B16280" s="4"/>
      <c r="D16280" s="67"/>
      <c r="G16280" s="68"/>
      <c r="K16280" s="68"/>
    </row>
    <row r="16281" spans="2:11" ht="12.75">
      <c r="B16281" s="4"/>
      <c r="D16281" s="67"/>
      <c r="G16281" s="68"/>
      <c r="K16281" s="68"/>
    </row>
    <row r="16282" spans="2:11" ht="12.75">
      <c r="B16282" s="4"/>
      <c r="D16282" s="67"/>
      <c r="G16282" s="68"/>
      <c r="K16282" s="68"/>
    </row>
    <row r="16283" spans="2:11" ht="12.75">
      <c r="B16283" s="4"/>
      <c r="D16283" s="67"/>
      <c r="G16283" s="68"/>
      <c r="K16283" s="68"/>
    </row>
    <row r="16284" spans="2:11" ht="12.75">
      <c r="B16284" s="4"/>
      <c r="D16284" s="67"/>
      <c r="G16284" s="68"/>
      <c r="K16284" s="68"/>
    </row>
    <row r="16285" spans="2:11" ht="12.75">
      <c r="B16285" s="4"/>
      <c r="D16285" s="67"/>
      <c r="G16285" s="68"/>
      <c r="K16285" s="68"/>
    </row>
    <row r="16286" spans="2:11" ht="12.75">
      <c r="B16286" s="4"/>
      <c r="D16286" s="67"/>
      <c r="G16286" s="68"/>
      <c r="K16286" s="68"/>
    </row>
    <row r="16287" spans="2:11" ht="12.75">
      <c r="B16287" s="4"/>
      <c r="D16287" s="67"/>
      <c r="G16287" s="68"/>
      <c r="K16287" s="68"/>
    </row>
    <row r="16288" spans="2:11" ht="12.75">
      <c r="B16288" s="4"/>
      <c r="D16288" s="67"/>
      <c r="G16288" s="68"/>
      <c r="K16288" s="68"/>
    </row>
    <row r="16289" spans="2:11" ht="12.75">
      <c r="B16289" s="4"/>
      <c r="D16289" s="67"/>
      <c r="G16289" s="68"/>
      <c r="K16289" s="68"/>
    </row>
    <row r="16290" spans="2:11" ht="12.75">
      <c r="B16290" s="4"/>
      <c r="D16290" s="67"/>
      <c r="G16290" s="68"/>
      <c r="K16290" s="68"/>
    </row>
    <row r="16291" spans="2:11" ht="12.75">
      <c r="B16291" s="4"/>
      <c r="D16291" s="67"/>
      <c r="G16291" s="68"/>
      <c r="K16291" s="68"/>
    </row>
    <row r="16292" spans="2:11" ht="12.75">
      <c r="B16292" s="4"/>
      <c r="D16292" s="67"/>
      <c r="G16292" s="68"/>
      <c r="K16292" s="68"/>
    </row>
    <row r="16293" spans="2:11" ht="12.75">
      <c r="B16293" s="4"/>
      <c r="D16293" s="67"/>
      <c r="G16293" s="68"/>
      <c r="K16293" s="68"/>
    </row>
    <row r="16294" spans="2:11" ht="12.75">
      <c r="B16294" s="4"/>
      <c r="D16294" s="67"/>
      <c r="G16294" s="68"/>
      <c r="K16294" s="68"/>
    </row>
    <row r="16295" spans="2:11" ht="12.75">
      <c r="B16295" s="4"/>
      <c r="D16295" s="67"/>
      <c r="G16295" s="68"/>
      <c r="K16295" s="68"/>
    </row>
    <row r="16296" spans="2:11" ht="12.75">
      <c r="B16296" s="4"/>
      <c r="D16296" s="67"/>
      <c r="G16296" s="68"/>
      <c r="K16296" s="68"/>
    </row>
    <row r="16297" spans="2:11" ht="12.75">
      <c r="B16297" s="4"/>
      <c r="D16297" s="67"/>
      <c r="G16297" s="68"/>
      <c r="K16297" s="68"/>
    </row>
    <row r="16298" spans="2:11" ht="12.75">
      <c r="B16298" s="4"/>
      <c r="D16298" s="67"/>
      <c r="G16298" s="68"/>
      <c r="K16298" s="68"/>
    </row>
    <row r="16299" spans="2:11" ht="12.75">
      <c r="B16299" s="4"/>
      <c r="D16299" s="67"/>
      <c r="G16299" s="68"/>
      <c r="K16299" s="68"/>
    </row>
    <row r="16300" spans="2:11" ht="12.75">
      <c r="B16300" s="4"/>
      <c r="D16300" s="67"/>
      <c r="G16300" s="68"/>
      <c r="K16300" s="68"/>
    </row>
    <row r="16301" spans="2:11" ht="12.75">
      <c r="B16301" s="4"/>
      <c r="D16301" s="67"/>
      <c r="G16301" s="68"/>
      <c r="K16301" s="68"/>
    </row>
    <row r="16302" spans="2:11" ht="12.75">
      <c r="B16302" s="4"/>
      <c r="D16302" s="67"/>
      <c r="G16302" s="68"/>
      <c r="K16302" s="68"/>
    </row>
    <row r="16303" spans="2:11" ht="12.75">
      <c r="B16303" s="4"/>
      <c r="D16303" s="67"/>
      <c r="G16303" s="68"/>
      <c r="K16303" s="68"/>
    </row>
    <row r="16304" spans="2:11" ht="12.75">
      <c r="B16304" s="4"/>
      <c r="D16304" s="67"/>
      <c r="G16304" s="68"/>
      <c r="K16304" s="68"/>
    </row>
    <row r="16305" spans="2:11" ht="12.75">
      <c r="B16305" s="4"/>
      <c r="D16305" s="67"/>
      <c r="G16305" s="68"/>
      <c r="K16305" s="68"/>
    </row>
    <row r="16306" spans="2:11" ht="12.75">
      <c r="B16306" s="4"/>
      <c r="D16306" s="67"/>
      <c r="G16306" s="68"/>
      <c r="K16306" s="68"/>
    </row>
    <row r="16307" spans="2:11" ht="12.75">
      <c r="B16307" s="4"/>
      <c r="D16307" s="67"/>
      <c r="G16307" s="68"/>
      <c r="K16307" s="68"/>
    </row>
    <row r="16308" spans="2:11" ht="12.75">
      <c r="B16308" s="4"/>
      <c r="D16308" s="67"/>
      <c r="G16308" s="68"/>
      <c r="K16308" s="68"/>
    </row>
    <row r="16309" spans="2:11" ht="12.75">
      <c r="B16309" s="4"/>
      <c r="D16309" s="67"/>
      <c r="G16309" s="68"/>
      <c r="K16309" s="68"/>
    </row>
    <row r="16310" spans="2:11" ht="12.75">
      <c r="B16310" s="4"/>
      <c r="D16310" s="67"/>
      <c r="G16310" s="68"/>
      <c r="K16310" s="68"/>
    </row>
    <row r="16311" spans="2:11" ht="12.75">
      <c r="B16311" s="4"/>
      <c r="D16311" s="67"/>
      <c r="G16311" s="68"/>
      <c r="K16311" s="68"/>
    </row>
    <row r="16312" spans="2:11" ht="12.75">
      <c r="B16312" s="4"/>
      <c r="D16312" s="67"/>
      <c r="G16312" s="68"/>
      <c r="K16312" s="68"/>
    </row>
    <row r="16313" spans="2:11" ht="12.75">
      <c r="B16313" s="4"/>
      <c r="D16313" s="67"/>
      <c r="G16313" s="68"/>
      <c r="K16313" s="68"/>
    </row>
    <row r="16314" spans="2:11" ht="12.75">
      <c r="B16314" s="4"/>
      <c r="D16314" s="67"/>
      <c r="G16314" s="68"/>
      <c r="K16314" s="68"/>
    </row>
    <row r="16315" spans="2:11" ht="12.75">
      <c r="B16315" s="4"/>
      <c r="D16315" s="67"/>
      <c r="G16315" s="68"/>
      <c r="K16315" s="68"/>
    </row>
    <row r="16316" spans="2:11" ht="12.75">
      <c r="B16316" s="4"/>
      <c r="D16316" s="67"/>
      <c r="G16316" s="68"/>
      <c r="K16316" s="68"/>
    </row>
    <row r="16317" spans="2:11" ht="12.75">
      <c r="B16317" s="4"/>
      <c r="D16317" s="67"/>
      <c r="G16317" s="68"/>
      <c r="K16317" s="68"/>
    </row>
    <row r="16318" spans="2:11" ht="12.75">
      <c r="B16318" s="4"/>
      <c r="D16318" s="67"/>
      <c r="G16318" s="68"/>
      <c r="K16318" s="68"/>
    </row>
    <row r="16319" spans="2:11" ht="12.75">
      <c r="B16319" s="4"/>
      <c r="D16319" s="67"/>
      <c r="G16319" s="68"/>
      <c r="K16319" s="68"/>
    </row>
    <row r="16320" spans="2:11" ht="12.75">
      <c r="B16320" s="4"/>
      <c r="D16320" s="67"/>
      <c r="G16320" s="68"/>
      <c r="K16320" s="68"/>
    </row>
    <row r="16321" spans="2:11" ht="12.75">
      <c r="B16321" s="4"/>
      <c r="D16321" s="67"/>
      <c r="G16321" s="68"/>
      <c r="K16321" s="68"/>
    </row>
    <row r="16322" spans="2:11" ht="12.75">
      <c r="B16322" s="4"/>
      <c r="D16322" s="67"/>
      <c r="G16322" s="68"/>
      <c r="K16322" s="68"/>
    </row>
    <row r="16323" spans="2:11" ht="12.75">
      <c r="B16323" s="4"/>
      <c r="D16323" s="67"/>
      <c r="G16323" s="68"/>
      <c r="K16323" s="68"/>
    </row>
    <row r="16324" spans="2:11" ht="12.75">
      <c r="B16324" s="4"/>
      <c r="D16324" s="67"/>
      <c r="G16324" s="68"/>
      <c r="K16324" s="68"/>
    </row>
    <row r="16325" spans="2:11" ht="12.75">
      <c r="B16325" s="4"/>
      <c r="D16325" s="67"/>
      <c r="G16325" s="68"/>
      <c r="K16325" s="68"/>
    </row>
    <row r="16326" spans="2:11" ht="12.75">
      <c r="B16326" s="4"/>
      <c r="D16326" s="67"/>
      <c r="G16326" s="68"/>
      <c r="K16326" s="68"/>
    </row>
    <row r="16327" spans="2:11" ht="12.75">
      <c r="B16327" s="4"/>
      <c r="D16327" s="67"/>
      <c r="G16327" s="68"/>
      <c r="K16327" s="68"/>
    </row>
    <row r="16328" spans="2:11" ht="12.75">
      <c r="B16328" s="4"/>
      <c r="D16328" s="67"/>
      <c r="G16328" s="68"/>
      <c r="K16328" s="68"/>
    </row>
    <row r="16329" spans="2:11" ht="12.75">
      <c r="B16329" s="4"/>
      <c r="D16329" s="67"/>
      <c r="G16329" s="68"/>
      <c r="K16329" s="68"/>
    </row>
    <row r="16330" spans="2:11" ht="12.75">
      <c r="B16330" s="4"/>
      <c r="D16330" s="67"/>
      <c r="G16330" s="68"/>
      <c r="K16330" s="68"/>
    </row>
    <row r="16331" spans="2:11" ht="12.75">
      <c r="B16331" s="4"/>
      <c r="D16331" s="67"/>
      <c r="G16331" s="68"/>
      <c r="K16331" s="68"/>
    </row>
    <row r="16332" spans="2:11" ht="12.75">
      <c r="B16332" s="4"/>
      <c r="D16332" s="67"/>
      <c r="G16332" s="68"/>
      <c r="K16332" s="68"/>
    </row>
    <row r="16333" spans="2:11" ht="12.75">
      <c r="B16333" s="4"/>
      <c r="D16333" s="67"/>
      <c r="G16333" s="68"/>
      <c r="K16333" s="68"/>
    </row>
    <row r="16334" spans="2:11" ht="12.75">
      <c r="B16334" s="4"/>
      <c r="D16334" s="67"/>
      <c r="G16334" s="68"/>
      <c r="K16334" s="68"/>
    </row>
    <row r="16335" spans="2:11" ht="12.75">
      <c r="B16335" s="4"/>
      <c r="D16335" s="67"/>
      <c r="G16335" s="68"/>
      <c r="K16335" s="68"/>
    </row>
    <row r="16336" spans="2:11" ht="12.75">
      <c r="B16336" s="4"/>
      <c r="D16336" s="67"/>
      <c r="G16336" s="68"/>
      <c r="K16336" s="68"/>
    </row>
    <row r="16337" spans="2:11" ht="12.75">
      <c r="B16337" s="4"/>
      <c r="D16337" s="67"/>
      <c r="G16337" s="68"/>
      <c r="K16337" s="68"/>
    </row>
    <row r="16338" spans="2:11" ht="12.75">
      <c r="B16338" s="4"/>
      <c r="D16338" s="67"/>
      <c r="G16338" s="68"/>
      <c r="K16338" s="68"/>
    </row>
    <row r="16339" spans="2:11" ht="12.75">
      <c r="B16339" s="4"/>
      <c r="D16339" s="67"/>
      <c r="G16339" s="68"/>
      <c r="K16339" s="68"/>
    </row>
    <row r="16340" spans="2:11" ht="12.75">
      <c r="B16340" s="4"/>
      <c r="D16340" s="67"/>
      <c r="G16340" s="68"/>
      <c r="K16340" s="68"/>
    </row>
    <row r="16341" spans="2:11" ht="12.75">
      <c r="B16341" s="4"/>
      <c r="D16341" s="67"/>
      <c r="G16341" s="68"/>
      <c r="K16341" s="68"/>
    </row>
    <row r="16342" spans="2:11" ht="12.75">
      <c r="B16342" s="4"/>
      <c r="D16342" s="67"/>
      <c r="G16342" s="68"/>
      <c r="K16342" s="68"/>
    </row>
    <row r="16343" spans="2:11" ht="12.75">
      <c r="B16343" s="4"/>
      <c r="D16343" s="67"/>
      <c r="G16343" s="68"/>
      <c r="K16343" s="68"/>
    </row>
    <row r="16344" spans="2:11" ht="12.75">
      <c r="B16344" s="4"/>
      <c r="D16344" s="67"/>
      <c r="G16344" s="68"/>
      <c r="K16344" s="68"/>
    </row>
    <row r="16345" spans="2:11" ht="12.75">
      <c r="B16345" s="4"/>
      <c r="D16345" s="67"/>
      <c r="G16345" s="68"/>
      <c r="K16345" s="68"/>
    </row>
    <row r="16346" spans="2:11" ht="12.75">
      <c r="B16346" s="4"/>
      <c r="D16346" s="67"/>
      <c r="G16346" s="68"/>
      <c r="K16346" s="68"/>
    </row>
    <row r="16347" spans="2:11" ht="12.75">
      <c r="B16347" s="4"/>
      <c r="D16347" s="67"/>
      <c r="G16347" s="68"/>
      <c r="K16347" s="68"/>
    </row>
    <row r="16348" spans="2:11" ht="12.75">
      <c r="B16348" s="4"/>
      <c r="D16348" s="67"/>
      <c r="G16348" s="68"/>
      <c r="K16348" s="68"/>
    </row>
    <row r="16349" spans="2:11" ht="12.75">
      <c r="B16349" s="4"/>
      <c r="D16349" s="67"/>
      <c r="G16349" s="68"/>
      <c r="K16349" s="68"/>
    </row>
    <row r="16350" spans="2:11" ht="12.75">
      <c r="B16350" s="4"/>
      <c r="D16350" s="67"/>
      <c r="G16350" s="68"/>
      <c r="K16350" s="68"/>
    </row>
    <row r="16351" spans="2:11" ht="12.75">
      <c r="B16351" s="4"/>
      <c r="D16351" s="67"/>
      <c r="G16351" s="68"/>
      <c r="K16351" s="68"/>
    </row>
    <row r="16352" spans="2:11" ht="12.75">
      <c r="B16352" s="4"/>
      <c r="D16352" s="67"/>
      <c r="G16352" s="68"/>
      <c r="K16352" s="68"/>
    </row>
    <row r="16353" spans="2:11" ht="12.75">
      <c r="B16353" s="4"/>
      <c r="D16353" s="67"/>
      <c r="G16353" s="68"/>
      <c r="K16353" s="68"/>
    </row>
    <row r="16354" spans="2:11" ht="12.75">
      <c r="B16354" s="4"/>
      <c r="D16354" s="67"/>
      <c r="G16354" s="68"/>
      <c r="K16354" s="68"/>
    </row>
    <row r="16355" spans="2:11" ht="12.75">
      <c r="B16355" s="4"/>
      <c r="D16355" s="67"/>
      <c r="G16355" s="68"/>
      <c r="K16355" s="68"/>
    </row>
    <row r="16356" spans="2:11" ht="12.75">
      <c r="B16356" s="4"/>
      <c r="D16356" s="67"/>
      <c r="G16356" s="68"/>
      <c r="K16356" s="68"/>
    </row>
    <row r="16357" spans="2:11" ht="12.75">
      <c r="B16357" s="4"/>
      <c r="D16357" s="67"/>
      <c r="G16357" s="68"/>
      <c r="K16357" s="68"/>
    </row>
    <row r="16358" spans="2:11" ht="12.75">
      <c r="B16358" s="4"/>
      <c r="D16358" s="67"/>
      <c r="G16358" s="68"/>
      <c r="K16358" s="68"/>
    </row>
    <row r="16359" spans="2:11" ht="12.75">
      <c r="B16359" s="4"/>
      <c r="D16359" s="67"/>
      <c r="G16359" s="68"/>
      <c r="K16359" s="68"/>
    </row>
    <row r="16360" spans="2:11" ht="12.75">
      <c r="B16360" s="4"/>
      <c r="D16360" s="67"/>
      <c r="G16360" s="68"/>
      <c r="K16360" s="68"/>
    </row>
    <row r="16361" spans="2:11" ht="12.75">
      <c r="B16361" s="4"/>
      <c r="D16361" s="67"/>
      <c r="G16361" s="68"/>
      <c r="K16361" s="68"/>
    </row>
    <row r="16362" spans="2:11" ht="12.75">
      <c r="B16362" s="4"/>
      <c r="D16362" s="67"/>
      <c r="G16362" s="68"/>
      <c r="K16362" s="68"/>
    </row>
    <row r="16363" spans="2:11" ht="12.75">
      <c r="B16363" s="4"/>
      <c r="D16363" s="67"/>
      <c r="G16363" s="68"/>
      <c r="K16363" s="68"/>
    </row>
    <row r="16364" spans="2:11" ht="12.75">
      <c r="B16364" s="4"/>
      <c r="D16364" s="67"/>
      <c r="G16364" s="68"/>
      <c r="K16364" s="68"/>
    </row>
    <row r="16365" spans="2:11" ht="12.75">
      <c r="B16365" s="4"/>
      <c r="D16365" s="67"/>
      <c r="G16365" s="68"/>
      <c r="K16365" s="68"/>
    </row>
    <row r="16366" spans="2:11" ht="12.75">
      <c r="B16366" s="4"/>
      <c r="D16366" s="67"/>
      <c r="G16366" s="68"/>
      <c r="K16366" s="68"/>
    </row>
    <row r="16367" spans="2:11" ht="12.75">
      <c r="B16367" s="4"/>
      <c r="D16367" s="67"/>
      <c r="G16367" s="68"/>
      <c r="K16367" s="68"/>
    </row>
    <row r="16368" spans="2:11" ht="12.75">
      <c r="B16368" s="4"/>
      <c r="D16368" s="67"/>
      <c r="G16368" s="68"/>
      <c r="K16368" s="68"/>
    </row>
    <row r="16369" spans="2:11" ht="12.75">
      <c r="B16369" s="4"/>
      <c r="D16369" s="67"/>
      <c r="G16369" s="68"/>
      <c r="K16369" s="68"/>
    </row>
    <row r="16370" spans="2:11" ht="12.75">
      <c r="B16370" s="4"/>
      <c r="D16370" s="67"/>
      <c r="G16370" s="68"/>
      <c r="K16370" s="68"/>
    </row>
    <row r="16371" spans="2:11" ht="12.75">
      <c r="B16371" s="4"/>
      <c r="D16371" s="67"/>
      <c r="G16371" s="68"/>
      <c r="K16371" s="68"/>
    </row>
    <row r="16372" spans="2:11" ht="12.75">
      <c r="B16372" s="4"/>
      <c r="D16372" s="67"/>
      <c r="G16372" s="68"/>
      <c r="K16372" s="68"/>
    </row>
    <row r="16373" spans="2:11" ht="12.75">
      <c r="B16373" s="4"/>
      <c r="D16373" s="67"/>
      <c r="G16373" s="68"/>
      <c r="K16373" s="68"/>
    </row>
    <row r="16374" spans="2:11" ht="12.75">
      <c r="B16374" s="4"/>
      <c r="D16374" s="67"/>
      <c r="G16374" s="68"/>
      <c r="K16374" s="68"/>
    </row>
    <row r="16375" spans="2:11" ht="12.75">
      <c r="B16375" s="4"/>
      <c r="D16375" s="67"/>
      <c r="G16375" s="68"/>
      <c r="K16375" s="68"/>
    </row>
    <row r="16376" spans="2:11" ht="12.75">
      <c r="B16376" s="4"/>
      <c r="D16376" s="67"/>
      <c r="G16376" s="68"/>
      <c r="K16376" s="68"/>
    </row>
    <row r="16377" spans="2:11" ht="12.75">
      <c r="B16377" s="4"/>
      <c r="D16377" s="67"/>
      <c r="G16377" s="68"/>
      <c r="K16377" s="68"/>
    </row>
    <row r="16378" spans="2:11" ht="12.75">
      <c r="B16378" s="4"/>
      <c r="D16378" s="67"/>
      <c r="G16378" s="68"/>
      <c r="K16378" s="68"/>
    </row>
    <row r="16379" spans="2:11" ht="12.75">
      <c r="B16379" s="4"/>
      <c r="D16379" s="67"/>
      <c r="G16379" s="68"/>
      <c r="K16379" s="68"/>
    </row>
    <row r="16380" spans="2:11" ht="12.75">
      <c r="B16380" s="4"/>
      <c r="D16380" s="67"/>
      <c r="G16380" s="68"/>
      <c r="K16380" s="68"/>
    </row>
    <row r="16381" spans="2:11" ht="12.75">
      <c r="B16381" s="4"/>
      <c r="D16381" s="67"/>
      <c r="G16381" s="68"/>
      <c r="K16381" s="68"/>
    </row>
    <row r="16382" spans="2:11" ht="12.75">
      <c r="B16382" s="4"/>
      <c r="D16382" s="67"/>
      <c r="G16382" s="68"/>
      <c r="K16382" s="68"/>
    </row>
    <row r="16383" spans="2:11" ht="12.75">
      <c r="B16383" s="4"/>
      <c r="D16383" s="67"/>
      <c r="G16383" s="68"/>
      <c r="K16383" s="68"/>
    </row>
    <row r="16384" spans="2:11" ht="12.75">
      <c r="B16384" s="4"/>
      <c r="D16384" s="67"/>
      <c r="G16384" s="68"/>
      <c r="K16384" s="68"/>
    </row>
    <row r="16385" spans="2:11" ht="12.75">
      <c r="B16385" s="4"/>
      <c r="D16385" s="67"/>
      <c r="G16385" s="68"/>
      <c r="K16385" s="68"/>
    </row>
    <row r="16386" spans="2:11" ht="12.75">
      <c r="B16386" s="4"/>
      <c r="D16386" s="67"/>
      <c r="G16386" s="68"/>
      <c r="K16386" s="68"/>
    </row>
    <row r="16387" spans="2:11" ht="12.75">
      <c r="B16387" s="4"/>
      <c r="D16387" s="67"/>
      <c r="G16387" s="68"/>
      <c r="K16387" s="68"/>
    </row>
    <row r="16388" spans="2:11" ht="12.75">
      <c r="B16388" s="4"/>
      <c r="D16388" s="67"/>
      <c r="G16388" s="68"/>
      <c r="K16388" s="68"/>
    </row>
    <row r="16389" spans="2:11" ht="12.75">
      <c r="B16389" s="4"/>
      <c r="D16389" s="67"/>
      <c r="G16389" s="68"/>
      <c r="K16389" s="68"/>
    </row>
    <row r="16390" spans="2:11" ht="12.75">
      <c r="B16390" s="4"/>
      <c r="D16390" s="67"/>
      <c r="G16390" s="68"/>
      <c r="K16390" s="68"/>
    </row>
    <row r="16391" spans="2:11" ht="12.75">
      <c r="B16391" s="4"/>
      <c r="D16391" s="67"/>
      <c r="G16391" s="68"/>
      <c r="K16391" s="68"/>
    </row>
    <row r="16392" spans="2:11" ht="12.75">
      <c r="B16392" s="4"/>
      <c r="D16392" s="67"/>
      <c r="G16392" s="68"/>
      <c r="K16392" s="68"/>
    </row>
    <row r="16393" spans="2:11" ht="12.75">
      <c r="B16393" s="4"/>
      <c r="D16393" s="67"/>
      <c r="G16393" s="68"/>
      <c r="K16393" s="68"/>
    </row>
    <row r="16394" spans="2:11" ht="12.75">
      <c r="B16394" s="4"/>
      <c r="D16394" s="67"/>
      <c r="G16394" s="68"/>
      <c r="K16394" s="68"/>
    </row>
    <row r="16395" spans="2:11" ht="12.75">
      <c r="B16395" s="4"/>
      <c r="D16395" s="67"/>
      <c r="G16395" s="68"/>
      <c r="K16395" s="68"/>
    </row>
    <row r="16396" spans="2:11" ht="12.75">
      <c r="B16396" s="4"/>
      <c r="D16396" s="67"/>
      <c r="G16396" s="68"/>
      <c r="K16396" s="68"/>
    </row>
    <row r="16397" spans="2:11" ht="12.75">
      <c r="B16397" s="4"/>
      <c r="D16397" s="67"/>
      <c r="G16397" s="68"/>
      <c r="K16397" s="68"/>
    </row>
    <row r="16398" spans="2:11" ht="12.75">
      <c r="B16398" s="4"/>
      <c r="D16398" s="67"/>
      <c r="G16398" s="68"/>
      <c r="K16398" s="68"/>
    </row>
    <row r="16399" spans="2:11" ht="12.75">
      <c r="B16399" s="4"/>
      <c r="D16399" s="67"/>
      <c r="G16399" s="68"/>
      <c r="K16399" s="68"/>
    </row>
    <row r="16400" spans="2:11" ht="12.75">
      <c r="B16400" s="4"/>
      <c r="D16400" s="67"/>
      <c r="G16400" s="68"/>
      <c r="K16400" s="68"/>
    </row>
    <row r="16401" spans="2:11" ht="12.75">
      <c r="B16401" s="4"/>
      <c r="D16401" s="67"/>
      <c r="G16401" s="68"/>
      <c r="K16401" s="68"/>
    </row>
    <row r="16402" spans="2:11" ht="12.75">
      <c r="B16402" s="4"/>
      <c r="D16402" s="67"/>
      <c r="G16402" s="68"/>
      <c r="K16402" s="68"/>
    </row>
    <row r="16403" spans="2:11" ht="12.75">
      <c r="B16403" s="4"/>
      <c r="D16403" s="67"/>
      <c r="G16403" s="68"/>
      <c r="K16403" s="68"/>
    </row>
    <row r="16404" spans="2:11" ht="12.75">
      <c r="B16404" s="4"/>
      <c r="D16404" s="67"/>
      <c r="G16404" s="68"/>
      <c r="K16404" s="68"/>
    </row>
    <row r="16405" spans="2:11" ht="12.75">
      <c r="B16405" s="4"/>
      <c r="D16405" s="67"/>
      <c r="G16405" s="68"/>
      <c r="K16405" s="68"/>
    </row>
    <row r="16406" spans="2:11" ht="12.75">
      <c r="B16406" s="4"/>
      <c r="D16406" s="67"/>
      <c r="G16406" s="68"/>
      <c r="K16406" s="68"/>
    </row>
    <row r="16407" spans="2:11" ht="12.75">
      <c r="B16407" s="4"/>
      <c r="D16407" s="67"/>
      <c r="G16407" s="68"/>
      <c r="K16407" s="68"/>
    </row>
    <row r="16408" spans="2:11" ht="12.75">
      <c r="B16408" s="4"/>
      <c r="D16408" s="67"/>
      <c r="G16408" s="68"/>
      <c r="K16408" s="68"/>
    </row>
    <row r="16409" spans="2:11" ht="12.75">
      <c r="B16409" s="4"/>
      <c r="D16409" s="67"/>
      <c r="G16409" s="68"/>
      <c r="K16409" s="68"/>
    </row>
    <row r="16410" spans="2:11" ht="12.75">
      <c r="B16410" s="4"/>
      <c r="D16410" s="67"/>
      <c r="G16410" s="68"/>
      <c r="K16410" s="68"/>
    </row>
    <row r="16411" spans="2:11" ht="12.75">
      <c r="B16411" s="4"/>
      <c r="D16411" s="67"/>
      <c r="G16411" s="68"/>
      <c r="K16411" s="68"/>
    </row>
    <row r="16412" spans="2:11" ht="12.75">
      <c r="B16412" s="4"/>
      <c r="D16412" s="67"/>
      <c r="G16412" s="68"/>
      <c r="K16412" s="68"/>
    </row>
    <row r="16413" spans="2:11" ht="12.75">
      <c r="B16413" s="4"/>
      <c r="D16413" s="67"/>
      <c r="G16413" s="68"/>
      <c r="K16413" s="68"/>
    </row>
    <row r="16414" spans="2:11" ht="12.75">
      <c r="B16414" s="4"/>
      <c r="D16414" s="67"/>
      <c r="G16414" s="68"/>
      <c r="K16414" s="68"/>
    </row>
    <row r="16415" spans="2:11" ht="12.75">
      <c r="B16415" s="4"/>
      <c r="D16415" s="67"/>
      <c r="G16415" s="68"/>
      <c r="K16415" s="68"/>
    </row>
    <row r="16416" spans="2:11" ht="12.75">
      <c r="B16416" s="4"/>
      <c r="D16416" s="67"/>
      <c r="G16416" s="68"/>
      <c r="K16416" s="68"/>
    </row>
    <row r="16417" spans="2:11" ht="12.75">
      <c r="B16417" s="4"/>
      <c r="D16417" s="67"/>
      <c r="G16417" s="68"/>
      <c r="K16417" s="68"/>
    </row>
    <row r="16418" spans="2:11" ht="12.75">
      <c r="B16418" s="4"/>
      <c r="D16418" s="67"/>
      <c r="G16418" s="68"/>
      <c r="K16418" s="68"/>
    </row>
    <row r="16419" spans="2:11" ht="12.75">
      <c r="B16419" s="4"/>
      <c r="D16419" s="67"/>
      <c r="G16419" s="68"/>
      <c r="K16419" s="68"/>
    </row>
    <row r="16420" spans="2:11" ht="12.75">
      <c r="B16420" s="4"/>
      <c r="D16420" s="67"/>
      <c r="G16420" s="68"/>
      <c r="K16420" s="68"/>
    </row>
    <row r="16421" spans="2:11" ht="12.75">
      <c r="B16421" s="4"/>
      <c r="D16421" s="67"/>
      <c r="G16421" s="68"/>
      <c r="K16421" s="68"/>
    </row>
    <row r="16422" spans="2:11" ht="12.75">
      <c r="B16422" s="4"/>
      <c r="D16422" s="67"/>
      <c r="G16422" s="68"/>
      <c r="K16422" s="68"/>
    </row>
    <row r="16423" spans="2:11" ht="12.75">
      <c r="B16423" s="4"/>
      <c r="D16423" s="67"/>
      <c r="G16423" s="68"/>
      <c r="K16423" s="68"/>
    </row>
    <row r="16424" spans="2:11" ht="12.75">
      <c r="B16424" s="4"/>
      <c r="D16424" s="67"/>
      <c r="G16424" s="68"/>
      <c r="K16424" s="68"/>
    </row>
    <row r="16425" spans="2:11" ht="12.75">
      <c r="B16425" s="4"/>
      <c r="D16425" s="67"/>
      <c r="G16425" s="68"/>
      <c r="K16425" s="68"/>
    </row>
    <row r="16426" spans="2:11" ht="12.75">
      <c r="B16426" s="4"/>
      <c r="D16426" s="67"/>
      <c r="G16426" s="68"/>
      <c r="K16426" s="68"/>
    </row>
    <row r="16427" spans="2:11" ht="12.75">
      <c r="B16427" s="4"/>
      <c r="D16427" s="67"/>
      <c r="G16427" s="68"/>
      <c r="K16427" s="68"/>
    </row>
    <row r="16428" spans="2:11" ht="12.75">
      <c r="B16428" s="4"/>
      <c r="D16428" s="67"/>
      <c r="G16428" s="68"/>
      <c r="K16428" s="68"/>
    </row>
    <row r="16429" spans="2:11" ht="12.75">
      <c r="B16429" s="4"/>
      <c r="D16429" s="67"/>
      <c r="G16429" s="68"/>
      <c r="K16429" s="68"/>
    </row>
    <row r="16430" spans="2:11" ht="12.75">
      <c r="B16430" s="4"/>
      <c r="D16430" s="67"/>
      <c r="G16430" s="68"/>
      <c r="K16430" s="68"/>
    </row>
    <row r="16431" spans="2:11" ht="12.75">
      <c r="B16431" s="4"/>
      <c r="D16431" s="67"/>
      <c r="G16431" s="68"/>
      <c r="K16431" s="68"/>
    </row>
    <row r="16432" spans="2:11" ht="12.75">
      <c r="B16432" s="4"/>
      <c r="D16432" s="67"/>
      <c r="G16432" s="68"/>
      <c r="K16432" s="68"/>
    </row>
    <row r="16433" spans="2:11" ht="12.75">
      <c r="B16433" s="4"/>
      <c r="D16433" s="67"/>
      <c r="G16433" s="68"/>
      <c r="K16433" s="68"/>
    </row>
    <row r="16434" spans="2:11" ht="12.75">
      <c r="B16434" s="4"/>
      <c r="D16434" s="67"/>
      <c r="G16434" s="68"/>
      <c r="K16434" s="68"/>
    </row>
    <row r="16435" spans="2:11" ht="12.75">
      <c r="B16435" s="4"/>
      <c r="D16435" s="67"/>
      <c r="G16435" s="68"/>
      <c r="K16435" s="68"/>
    </row>
    <row r="16436" spans="2:11" ht="12.75">
      <c r="B16436" s="4"/>
      <c r="D16436" s="67"/>
      <c r="G16436" s="68"/>
      <c r="K16436" s="68"/>
    </row>
    <row r="16437" spans="2:11" ht="12.75">
      <c r="B16437" s="4"/>
      <c r="D16437" s="67"/>
      <c r="G16437" s="68"/>
      <c r="K16437" s="68"/>
    </row>
    <row r="16438" spans="2:11" ht="12.75">
      <c r="B16438" s="4"/>
      <c r="D16438" s="67"/>
      <c r="G16438" s="68"/>
      <c r="K16438" s="68"/>
    </row>
    <row r="16439" spans="2:11" ht="12.75">
      <c r="B16439" s="4"/>
      <c r="D16439" s="67"/>
      <c r="G16439" s="68"/>
      <c r="K16439" s="68"/>
    </row>
    <row r="16440" spans="2:11" ht="12.75">
      <c r="B16440" s="4"/>
      <c r="D16440" s="67"/>
      <c r="G16440" s="68"/>
      <c r="K16440" s="68"/>
    </row>
    <row r="16441" spans="2:11" ht="12.75">
      <c r="B16441" s="4"/>
      <c r="D16441" s="67"/>
      <c r="G16441" s="68"/>
      <c r="K16441" s="68"/>
    </row>
    <row r="16442" spans="2:11" ht="12.75">
      <c r="B16442" s="4"/>
      <c r="D16442" s="67"/>
      <c r="G16442" s="68"/>
      <c r="K16442" s="68"/>
    </row>
    <row r="16443" spans="2:11" ht="12.75">
      <c r="B16443" s="4"/>
      <c r="D16443" s="67"/>
      <c r="G16443" s="68"/>
      <c r="K16443" s="68"/>
    </row>
    <row r="16444" spans="2:11" ht="12.75">
      <c r="B16444" s="4"/>
      <c r="D16444" s="67"/>
      <c r="G16444" s="68"/>
      <c r="K16444" s="68"/>
    </row>
    <row r="16445" spans="2:11" ht="12.75">
      <c r="B16445" s="4"/>
      <c r="D16445" s="67"/>
      <c r="G16445" s="68"/>
      <c r="K16445" s="68"/>
    </row>
    <row r="16446" spans="2:11" ht="12.75">
      <c r="B16446" s="4"/>
      <c r="D16446" s="67"/>
      <c r="G16446" s="68"/>
      <c r="K16446" s="68"/>
    </row>
    <row r="16447" spans="2:11" ht="12.75">
      <c r="B16447" s="4"/>
      <c r="D16447" s="67"/>
      <c r="G16447" s="68"/>
      <c r="K16447" s="68"/>
    </row>
    <row r="16448" spans="2:11" ht="12.75">
      <c r="B16448" s="4"/>
      <c r="D16448" s="67"/>
      <c r="G16448" s="68"/>
      <c r="K16448" s="68"/>
    </row>
    <row r="16449" spans="2:11" ht="12.75">
      <c r="B16449" s="4"/>
      <c r="D16449" s="67"/>
      <c r="G16449" s="68"/>
      <c r="K16449" s="68"/>
    </row>
    <row r="16450" spans="2:11" ht="12.75">
      <c r="B16450" s="4"/>
      <c r="D16450" s="67"/>
      <c r="G16450" s="68"/>
      <c r="K16450" s="68"/>
    </row>
    <row r="16451" spans="2:11" ht="12.75">
      <c r="B16451" s="4"/>
      <c r="D16451" s="67"/>
      <c r="G16451" s="68"/>
      <c r="K16451" s="68"/>
    </row>
    <row r="16452" spans="2:11" ht="12.75">
      <c r="B16452" s="4"/>
      <c r="D16452" s="67"/>
      <c r="G16452" s="68"/>
      <c r="K16452" s="68"/>
    </row>
    <row r="16453" spans="2:11" ht="12.75">
      <c r="B16453" s="4"/>
      <c r="D16453" s="67"/>
      <c r="G16453" s="68"/>
      <c r="K16453" s="68"/>
    </row>
    <row r="16454" spans="2:11" ht="12.75">
      <c r="B16454" s="4"/>
      <c r="D16454" s="67"/>
      <c r="G16454" s="68"/>
      <c r="K16454" s="68"/>
    </row>
    <row r="16455" spans="2:11" ht="12.75">
      <c r="B16455" s="4"/>
      <c r="D16455" s="67"/>
      <c r="G16455" s="68"/>
      <c r="K16455" s="68"/>
    </row>
    <row r="16456" spans="2:11" ht="12.75">
      <c r="B16456" s="4"/>
      <c r="D16456" s="67"/>
      <c r="G16456" s="68"/>
      <c r="K16456" s="68"/>
    </row>
    <row r="16457" spans="2:11" ht="12.75">
      <c r="B16457" s="4"/>
      <c r="D16457" s="67"/>
      <c r="G16457" s="68"/>
      <c r="K16457" s="68"/>
    </row>
    <row r="16458" spans="2:11" ht="12.75">
      <c r="B16458" s="4"/>
      <c r="D16458" s="67"/>
      <c r="G16458" s="68"/>
      <c r="K16458" s="68"/>
    </row>
    <row r="16459" spans="2:11" ht="12.75">
      <c r="B16459" s="4"/>
      <c r="D16459" s="67"/>
      <c r="G16459" s="68"/>
      <c r="K16459" s="68"/>
    </row>
    <row r="16460" spans="2:11" ht="12.75">
      <c r="B16460" s="4"/>
      <c r="D16460" s="67"/>
      <c r="G16460" s="68"/>
      <c r="K16460" s="68"/>
    </row>
    <row r="16461" spans="2:11" ht="12.75">
      <c r="B16461" s="4"/>
      <c r="D16461" s="67"/>
      <c r="G16461" s="68"/>
      <c r="K16461" s="68"/>
    </row>
    <row r="16462" spans="2:11" ht="12.75">
      <c r="B16462" s="4"/>
      <c r="D16462" s="67"/>
      <c r="G16462" s="68"/>
      <c r="K16462" s="68"/>
    </row>
    <row r="16463" spans="2:11" ht="12.75">
      <c r="B16463" s="4"/>
      <c r="D16463" s="67"/>
      <c r="G16463" s="68"/>
      <c r="K16463" s="68"/>
    </row>
    <row r="16464" spans="2:11" ht="12.75">
      <c r="B16464" s="4"/>
      <c r="D16464" s="67"/>
      <c r="G16464" s="68"/>
      <c r="K16464" s="68"/>
    </row>
    <row r="16465" spans="2:11" ht="12.75">
      <c r="B16465" s="4"/>
      <c r="D16465" s="67"/>
      <c r="G16465" s="68"/>
      <c r="K16465" s="68"/>
    </row>
    <row r="16466" spans="2:11" ht="12.75">
      <c r="B16466" s="4"/>
      <c r="D16466" s="67"/>
      <c r="G16466" s="68"/>
      <c r="K16466" s="68"/>
    </row>
    <row r="16467" spans="2:11" ht="12.75">
      <c r="B16467" s="4"/>
      <c r="D16467" s="67"/>
      <c r="G16467" s="68"/>
      <c r="K16467" s="68"/>
    </row>
    <row r="16468" spans="2:11" ht="12.75">
      <c r="B16468" s="4"/>
      <c r="D16468" s="67"/>
      <c r="G16468" s="68"/>
      <c r="K16468" s="68"/>
    </row>
    <row r="16469" spans="2:11" ht="12.75">
      <c r="B16469" s="4"/>
      <c r="D16469" s="67"/>
      <c r="G16469" s="68"/>
      <c r="K16469" s="68"/>
    </row>
    <row r="16470" spans="2:11" ht="12.75">
      <c r="B16470" s="4"/>
      <c r="D16470" s="67"/>
      <c r="G16470" s="68"/>
      <c r="K16470" s="68"/>
    </row>
    <row r="16471" spans="2:11" ht="12.75">
      <c r="B16471" s="4"/>
      <c r="D16471" s="67"/>
      <c r="G16471" s="68"/>
      <c r="K16471" s="68"/>
    </row>
    <row r="16472" spans="2:11" ht="12.75">
      <c r="B16472" s="4"/>
      <c r="D16472" s="67"/>
      <c r="G16472" s="68"/>
      <c r="K16472" s="68"/>
    </row>
    <row r="16473" spans="2:11" ht="12.75">
      <c r="B16473" s="4"/>
      <c r="D16473" s="67"/>
      <c r="G16473" s="68"/>
      <c r="K16473" s="68"/>
    </row>
    <row r="16474" spans="2:11" ht="12.75">
      <c r="B16474" s="4"/>
      <c r="D16474" s="67"/>
      <c r="G16474" s="68"/>
      <c r="K16474" s="68"/>
    </row>
    <row r="16475" spans="2:11" ht="12.75">
      <c r="B16475" s="4"/>
      <c r="D16475" s="67"/>
      <c r="G16475" s="68"/>
      <c r="K16475" s="68"/>
    </row>
    <row r="16476" spans="2:11" ht="12.75">
      <c r="B16476" s="4"/>
      <c r="D16476" s="67"/>
      <c r="G16476" s="68"/>
      <c r="K16476" s="68"/>
    </row>
    <row r="16477" spans="2:11" ht="12.75">
      <c r="B16477" s="4"/>
      <c r="D16477" s="67"/>
      <c r="G16477" s="68"/>
      <c r="K16477" s="68"/>
    </row>
    <row r="16478" spans="2:11" ht="12.75">
      <c r="B16478" s="4"/>
      <c r="D16478" s="67"/>
      <c r="G16478" s="68"/>
      <c r="K16478" s="68"/>
    </row>
    <row r="16479" spans="2:11" ht="12.75">
      <c r="B16479" s="4"/>
      <c r="D16479" s="67"/>
      <c r="G16479" s="68"/>
      <c r="K16479" s="68"/>
    </row>
    <row r="16480" spans="2:11" ht="12.75">
      <c r="B16480" s="4"/>
      <c r="D16480" s="67"/>
      <c r="G16480" s="68"/>
      <c r="K16480" s="68"/>
    </row>
    <row r="16481" spans="2:11" ht="12.75">
      <c r="B16481" s="4"/>
      <c r="D16481" s="67"/>
      <c r="G16481" s="68"/>
      <c r="K16481" s="68"/>
    </row>
    <row r="16482" spans="2:11" ht="12.75">
      <c r="B16482" s="4"/>
      <c r="D16482" s="67"/>
      <c r="G16482" s="68"/>
      <c r="K16482" s="68"/>
    </row>
    <row r="16483" spans="2:11" ht="12.75">
      <c r="B16483" s="4"/>
      <c r="D16483" s="67"/>
      <c r="G16483" s="68"/>
      <c r="K16483" s="68"/>
    </row>
    <row r="16484" spans="2:11" ht="12.75">
      <c r="B16484" s="4"/>
      <c r="D16484" s="67"/>
      <c r="G16484" s="68"/>
      <c r="K16484" s="68"/>
    </row>
    <row r="16485" spans="2:11" ht="12.75">
      <c r="B16485" s="4"/>
      <c r="D16485" s="67"/>
      <c r="G16485" s="68"/>
      <c r="K16485" s="68"/>
    </row>
    <row r="16486" spans="2:11" ht="12.75">
      <c r="B16486" s="4"/>
      <c r="D16486" s="67"/>
      <c r="G16486" s="68"/>
      <c r="K16486" s="68"/>
    </row>
    <row r="16487" spans="2:11" ht="12.75">
      <c r="B16487" s="4"/>
      <c r="D16487" s="67"/>
      <c r="G16487" s="68"/>
      <c r="K16487" s="68"/>
    </row>
    <row r="16488" spans="2:11" ht="12.75">
      <c r="B16488" s="4"/>
      <c r="D16488" s="67"/>
      <c r="G16488" s="68"/>
      <c r="K16488" s="68"/>
    </row>
    <row r="16489" spans="2:11" ht="12.75">
      <c r="B16489" s="4"/>
      <c r="D16489" s="67"/>
      <c r="G16489" s="68"/>
      <c r="K16489" s="68"/>
    </row>
    <row r="16490" spans="2:11" ht="12.75">
      <c r="B16490" s="4"/>
      <c r="D16490" s="67"/>
      <c r="G16490" s="68"/>
      <c r="K16490" s="68"/>
    </row>
    <row r="16491" spans="2:11" ht="12.75">
      <c r="B16491" s="4"/>
      <c r="D16491" s="67"/>
      <c r="G16491" s="68"/>
      <c r="K16491" s="68"/>
    </row>
    <row r="16492" spans="2:11" ht="12.75">
      <c r="B16492" s="4"/>
      <c r="D16492" s="67"/>
      <c r="G16492" s="68"/>
      <c r="K16492" s="68"/>
    </row>
    <row r="16493" spans="2:11" ht="12.75">
      <c r="B16493" s="4"/>
      <c r="D16493" s="67"/>
      <c r="G16493" s="68"/>
      <c r="K16493" s="68"/>
    </row>
    <row r="16494" spans="2:11" ht="12.75">
      <c r="B16494" s="4"/>
      <c r="D16494" s="67"/>
      <c r="G16494" s="68"/>
      <c r="K16494" s="68"/>
    </row>
    <row r="16495" spans="2:11" ht="12.75">
      <c r="B16495" s="4"/>
      <c r="D16495" s="67"/>
      <c r="G16495" s="68"/>
      <c r="K16495" s="68"/>
    </row>
    <row r="16496" spans="2:11" ht="12.75">
      <c r="B16496" s="4"/>
      <c r="D16496" s="67"/>
      <c r="G16496" s="68"/>
      <c r="K16496" s="68"/>
    </row>
    <row r="16497" spans="2:11" ht="12.75">
      <c r="B16497" s="4"/>
      <c r="D16497" s="67"/>
      <c r="G16497" s="68"/>
      <c r="K16497" s="68"/>
    </row>
    <row r="16498" spans="2:11" ht="12.75">
      <c r="B16498" s="4"/>
      <c r="D16498" s="67"/>
      <c r="G16498" s="68"/>
      <c r="K16498" s="68"/>
    </row>
    <row r="16499" spans="2:11" ht="12.75">
      <c r="B16499" s="4"/>
      <c r="D16499" s="67"/>
      <c r="G16499" s="68"/>
      <c r="K16499" s="68"/>
    </row>
    <row r="16500" spans="2:11" ht="12.75">
      <c r="B16500" s="4"/>
      <c r="D16500" s="67"/>
      <c r="G16500" s="68"/>
      <c r="K16500" s="68"/>
    </row>
    <row r="16501" spans="2:11" ht="12.75">
      <c r="B16501" s="4"/>
      <c r="D16501" s="67"/>
      <c r="G16501" s="68"/>
      <c r="K16501" s="68"/>
    </row>
    <row r="16502" spans="2:11" ht="12.75">
      <c r="B16502" s="4"/>
      <c r="D16502" s="67"/>
      <c r="G16502" s="68"/>
      <c r="K16502" s="68"/>
    </row>
    <row r="16503" spans="2:11" ht="12.75">
      <c r="B16503" s="4"/>
      <c r="D16503" s="67"/>
      <c r="G16503" s="68"/>
      <c r="K16503" s="68"/>
    </row>
    <row r="16504" spans="2:11" ht="12.75">
      <c r="B16504" s="4"/>
      <c r="D16504" s="67"/>
      <c r="G16504" s="68"/>
      <c r="K16504" s="68"/>
    </row>
    <row r="16505" spans="2:11" ht="12.75">
      <c r="B16505" s="4"/>
      <c r="D16505" s="67"/>
      <c r="G16505" s="68"/>
      <c r="K16505" s="68"/>
    </row>
    <row r="16506" spans="2:11" ht="12.75">
      <c r="B16506" s="4"/>
      <c r="D16506" s="67"/>
      <c r="G16506" s="68"/>
      <c r="K16506" s="68"/>
    </row>
    <row r="16507" spans="2:11" ht="12.75">
      <c r="B16507" s="4"/>
      <c r="D16507" s="67"/>
      <c r="G16507" s="68"/>
      <c r="K16507" s="68"/>
    </row>
    <row r="16508" spans="2:11" ht="12.75">
      <c r="B16508" s="4"/>
      <c r="D16508" s="67"/>
      <c r="G16508" s="68"/>
      <c r="K16508" s="68"/>
    </row>
    <row r="16509" spans="2:11" ht="12.75">
      <c r="B16509" s="4"/>
      <c r="D16509" s="67"/>
      <c r="G16509" s="68"/>
      <c r="K16509" s="68"/>
    </row>
    <row r="16510" spans="2:11" ht="12.75">
      <c r="B16510" s="4"/>
      <c r="D16510" s="67"/>
      <c r="G16510" s="68"/>
      <c r="K16510" s="68"/>
    </row>
    <row r="16511" spans="2:11" ht="12.75">
      <c r="B16511" s="4"/>
      <c r="D16511" s="67"/>
      <c r="G16511" s="68"/>
      <c r="K16511" s="68"/>
    </row>
    <row r="16512" spans="2:11" ht="12.75">
      <c r="B16512" s="4"/>
      <c r="D16512" s="67"/>
      <c r="G16512" s="68"/>
      <c r="K16512" s="68"/>
    </row>
    <row r="16513" spans="2:11" ht="12.75">
      <c r="B16513" s="4"/>
      <c r="D16513" s="67"/>
      <c r="G16513" s="68"/>
      <c r="K16513" s="68"/>
    </row>
    <row r="16514" spans="2:11" ht="12.75">
      <c r="B16514" s="4"/>
      <c r="D16514" s="67"/>
      <c r="G16514" s="68"/>
      <c r="K16514" s="68"/>
    </row>
    <row r="16515" spans="2:11" ht="12.75">
      <c r="B16515" s="4"/>
      <c r="D16515" s="67"/>
      <c r="G16515" s="68"/>
      <c r="K16515" s="68"/>
    </row>
    <row r="16516" spans="2:11" ht="12.75">
      <c r="B16516" s="4"/>
      <c r="D16516" s="67"/>
      <c r="G16516" s="68"/>
      <c r="K16516" s="68"/>
    </row>
    <row r="16517" spans="2:11" ht="12.75">
      <c r="B16517" s="4"/>
      <c r="D16517" s="67"/>
      <c r="G16517" s="68"/>
      <c r="K16517" s="68"/>
    </row>
    <row r="16518" spans="2:11" ht="12.75">
      <c r="B16518" s="4"/>
      <c r="D16518" s="67"/>
      <c r="G16518" s="68"/>
      <c r="K16518" s="68"/>
    </row>
    <row r="16519" spans="2:11" ht="12.75">
      <c r="B16519" s="4"/>
      <c r="D16519" s="67"/>
      <c r="G16519" s="68"/>
      <c r="K16519" s="68"/>
    </row>
    <row r="16520" spans="2:11" ht="12.75">
      <c r="B16520" s="4"/>
      <c r="D16520" s="67"/>
      <c r="G16520" s="68"/>
      <c r="K16520" s="68"/>
    </row>
    <row r="16521" spans="2:11" ht="12.75">
      <c r="B16521" s="4"/>
      <c r="D16521" s="67"/>
      <c r="G16521" s="68"/>
      <c r="K16521" s="68"/>
    </row>
    <row r="16522" spans="2:11" ht="12.75">
      <c r="B16522" s="4"/>
      <c r="D16522" s="67"/>
      <c r="G16522" s="68"/>
      <c r="K16522" s="68"/>
    </row>
    <row r="16523" spans="2:11" ht="12.75">
      <c r="B16523" s="4"/>
      <c r="D16523" s="67"/>
      <c r="G16523" s="68"/>
      <c r="K16523" s="68"/>
    </row>
    <row r="16524" spans="2:11" ht="12.75">
      <c r="B16524" s="4"/>
      <c r="D16524" s="67"/>
      <c r="G16524" s="68"/>
      <c r="K16524" s="68"/>
    </row>
    <row r="16525" spans="2:11" ht="12.75">
      <c r="B16525" s="4"/>
      <c r="D16525" s="67"/>
      <c r="G16525" s="68"/>
      <c r="K16525" s="68"/>
    </row>
    <row r="16526" spans="2:11" ht="12.75">
      <c r="B16526" s="4"/>
      <c r="D16526" s="67"/>
      <c r="G16526" s="68"/>
      <c r="K16526" s="68"/>
    </row>
    <row r="16527" spans="2:11" ht="12.75">
      <c r="B16527" s="4"/>
      <c r="D16527" s="67"/>
      <c r="G16527" s="68"/>
      <c r="K16527" s="68"/>
    </row>
    <row r="16528" spans="2:11" ht="12.75">
      <c r="B16528" s="4"/>
      <c r="D16528" s="67"/>
      <c r="G16528" s="68"/>
      <c r="K16528" s="68"/>
    </row>
    <row r="16529" spans="2:11" ht="12.75">
      <c r="B16529" s="4"/>
      <c r="D16529" s="67"/>
      <c r="G16529" s="68"/>
      <c r="K16529" s="68"/>
    </row>
    <row r="16530" spans="2:11" ht="12.75">
      <c r="B16530" s="4"/>
      <c r="D16530" s="67"/>
      <c r="G16530" s="68"/>
      <c r="K16530" s="68"/>
    </row>
    <row r="16531" spans="2:11" ht="12.75">
      <c r="B16531" s="4"/>
      <c r="D16531" s="67"/>
      <c r="G16531" s="68"/>
      <c r="K16531" s="68"/>
    </row>
    <row r="16532" spans="2:11" ht="12.75">
      <c r="B16532" s="4"/>
      <c r="D16532" s="67"/>
      <c r="G16532" s="68"/>
      <c r="K16532" s="68"/>
    </row>
    <row r="16533" spans="2:11" ht="12.75">
      <c r="B16533" s="4"/>
      <c r="D16533" s="67"/>
      <c r="G16533" s="68"/>
      <c r="K16533" s="68"/>
    </row>
    <row r="16534" spans="2:11" ht="12.75">
      <c r="B16534" s="4"/>
      <c r="D16534" s="67"/>
      <c r="G16534" s="68"/>
      <c r="K16534" s="68"/>
    </row>
    <row r="16535" spans="2:11" ht="12.75">
      <c r="B16535" s="4"/>
      <c r="D16535" s="67"/>
      <c r="G16535" s="68"/>
      <c r="K16535" s="68"/>
    </row>
    <row r="16536" spans="2:11" ht="12.75">
      <c r="B16536" s="4"/>
      <c r="D16536" s="67"/>
      <c r="G16536" s="68"/>
      <c r="K16536" s="68"/>
    </row>
    <row r="16537" spans="2:11" ht="12.75">
      <c r="B16537" s="4"/>
      <c r="D16537" s="67"/>
      <c r="G16537" s="68"/>
      <c r="K16537" s="68"/>
    </row>
    <row r="16538" spans="2:11" ht="12.75">
      <c r="B16538" s="4"/>
      <c r="D16538" s="67"/>
      <c r="G16538" s="68"/>
      <c r="K16538" s="68"/>
    </row>
    <row r="16539" spans="2:11" ht="12.75">
      <c r="B16539" s="4"/>
      <c r="D16539" s="67"/>
      <c r="G16539" s="68"/>
      <c r="K16539" s="68"/>
    </row>
    <row r="16540" spans="2:11" ht="12.75">
      <c r="B16540" s="4"/>
      <c r="D16540" s="67"/>
      <c r="G16540" s="68"/>
      <c r="K16540" s="68"/>
    </row>
    <row r="16541" spans="2:11" ht="12.75">
      <c r="B16541" s="4"/>
      <c r="D16541" s="67"/>
      <c r="G16541" s="68"/>
      <c r="K16541" s="68"/>
    </row>
    <row r="16542" spans="2:11" ht="12.75">
      <c r="B16542" s="4"/>
      <c r="D16542" s="67"/>
      <c r="G16542" s="68"/>
      <c r="K16542" s="68"/>
    </row>
    <row r="16543" spans="2:11" ht="12.75">
      <c r="B16543" s="4"/>
      <c r="D16543" s="67"/>
      <c r="G16543" s="68"/>
      <c r="K16543" s="68"/>
    </row>
    <row r="16544" spans="2:11" ht="12.75">
      <c r="B16544" s="4"/>
      <c r="D16544" s="67"/>
      <c r="G16544" s="68"/>
      <c r="K16544" s="68"/>
    </row>
    <row r="16545" spans="2:11" ht="12.75">
      <c r="B16545" s="4"/>
      <c r="D16545" s="67"/>
      <c r="G16545" s="68"/>
      <c r="K16545" s="68"/>
    </row>
    <row r="16546" spans="2:11" ht="12.75">
      <c r="B16546" s="4"/>
      <c r="D16546" s="67"/>
      <c r="G16546" s="68"/>
      <c r="K16546" s="68"/>
    </row>
    <row r="16547" spans="2:11" ht="12.75">
      <c r="B16547" s="4"/>
      <c r="D16547" s="67"/>
      <c r="G16547" s="68"/>
      <c r="K16547" s="68"/>
    </row>
    <row r="16548" spans="2:11" ht="12.75">
      <c r="B16548" s="4"/>
      <c r="D16548" s="67"/>
      <c r="G16548" s="68"/>
      <c r="K16548" s="68"/>
    </row>
    <row r="16549" spans="2:11" ht="12.75">
      <c r="B16549" s="4"/>
      <c r="D16549" s="67"/>
      <c r="G16549" s="68"/>
      <c r="K16549" s="68"/>
    </row>
    <row r="16550" spans="2:11" ht="12.75">
      <c r="B16550" s="4"/>
      <c r="D16550" s="67"/>
      <c r="G16550" s="68"/>
      <c r="K16550" s="68"/>
    </row>
    <row r="16551" spans="2:11" ht="12.75">
      <c r="B16551" s="4"/>
      <c r="D16551" s="67"/>
      <c r="G16551" s="68"/>
      <c r="K16551" s="68"/>
    </row>
    <row r="16552" spans="2:11" ht="12.75">
      <c r="B16552" s="4"/>
      <c r="D16552" s="67"/>
      <c r="G16552" s="68"/>
      <c r="K16552" s="68"/>
    </row>
    <row r="16553" spans="2:11" ht="12.75">
      <c r="B16553" s="4"/>
      <c r="D16553" s="67"/>
      <c r="G16553" s="68"/>
      <c r="K16553" s="68"/>
    </row>
    <row r="16554" spans="2:11" ht="12.75">
      <c r="B16554" s="4"/>
      <c r="D16554" s="67"/>
      <c r="G16554" s="68"/>
      <c r="K16554" s="68"/>
    </row>
    <row r="16555" spans="2:11" ht="12.75">
      <c r="B16555" s="4"/>
      <c r="D16555" s="67"/>
      <c r="G16555" s="68"/>
      <c r="K16555" s="68"/>
    </row>
    <row r="16556" spans="2:11" ht="12.75">
      <c r="B16556" s="4"/>
      <c r="D16556" s="67"/>
      <c r="G16556" s="68"/>
      <c r="K16556" s="68"/>
    </row>
    <row r="16557" spans="2:11" ht="12.75">
      <c r="B16557" s="4"/>
      <c r="D16557" s="67"/>
      <c r="G16557" s="68"/>
      <c r="K16557" s="68"/>
    </row>
    <row r="16558" spans="2:11" ht="12.75">
      <c r="B16558" s="4"/>
      <c r="D16558" s="67"/>
      <c r="G16558" s="68"/>
      <c r="K16558" s="68"/>
    </row>
    <row r="16559" spans="2:11" ht="12.75">
      <c r="B16559" s="4"/>
      <c r="D16559" s="67"/>
      <c r="G16559" s="68"/>
      <c r="K16559" s="68"/>
    </row>
    <row r="16560" spans="2:11" ht="12.75">
      <c r="B16560" s="4"/>
      <c r="D16560" s="67"/>
      <c r="G16560" s="68"/>
      <c r="K16560" s="68"/>
    </row>
    <row r="16561" spans="2:11" ht="12.75">
      <c r="B16561" s="4"/>
      <c r="D16561" s="67"/>
      <c r="G16561" s="68"/>
      <c r="K16561" s="68"/>
    </row>
    <row r="16562" spans="2:11" ht="12.75">
      <c r="B16562" s="4"/>
      <c r="D16562" s="67"/>
      <c r="G16562" s="68"/>
      <c r="K16562" s="68"/>
    </row>
    <row r="16563" spans="2:11" ht="12.75">
      <c r="B16563" s="4"/>
      <c r="D16563" s="67"/>
      <c r="G16563" s="68"/>
      <c r="K16563" s="68"/>
    </row>
    <row r="16564" spans="2:11" ht="12.75">
      <c r="B16564" s="4"/>
      <c r="D16564" s="67"/>
      <c r="G16564" s="68"/>
      <c r="K16564" s="68"/>
    </row>
    <row r="16565" spans="2:11" ht="12.75">
      <c r="B16565" s="4"/>
      <c r="D16565" s="67"/>
      <c r="G16565" s="68"/>
      <c r="K16565" s="68"/>
    </row>
    <row r="16566" spans="2:11" ht="12.75">
      <c r="B16566" s="4"/>
      <c r="D16566" s="67"/>
      <c r="G16566" s="68"/>
      <c r="K16566" s="68"/>
    </row>
    <row r="16567" spans="2:11" ht="12.75">
      <c r="B16567" s="4"/>
      <c r="D16567" s="67"/>
      <c r="G16567" s="68"/>
      <c r="K16567" s="68"/>
    </row>
    <row r="16568" spans="2:11" ht="12.75">
      <c r="B16568" s="4"/>
      <c r="D16568" s="67"/>
      <c r="G16568" s="68"/>
      <c r="K16568" s="68"/>
    </row>
    <row r="16569" spans="2:11" ht="12.75">
      <c r="B16569" s="4"/>
      <c r="D16569" s="67"/>
      <c r="G16569" s="68"/>
      <c r="K16569" s="68"/>
    </row>
    <row r="16570" spans="2:11" ht="12.75">
      <c r="B16570" s="4"/>
      <c r="D16570" s="67"/>
      <c r="G16570" s="68"/>
      <c r="K16570" s="68"/>
    </row>
    <row r="16571" spans="2:11" ht="12.75">
      <c r="B16571" s="4"/>
      <c r="D16571" s="67"/>
      <c r="G16571" s="68"/>
      <c r="K16571" s="68"/>
    </row>
    <row r="16572" spans="2:11" ht="12.75">
      <c r="B16572" s="4"/>
      <c r="D16572" s="67"/>
      <c r="G16572" s="68"/>
      <c r="K16572" s="68"/>
    </row>
    <row r="16573" spans="2:11" ht="12.75">
      <c r="B16573" s="4"/>
      <c r="D16573" s="67"/>
      <c r="G16573" s="68"/>
      <c r="K16573" s="68"/>
    </row>
    <row r="16574" spans="2:11" ht="12.75">
      <c r="B16574" s="4"/>
      <c r="D16574" s="67"/>
      <c r="G16574" s="68"/>
      <c r="K16574" s="68"/>
    </row>
    <row r="16575" spans="2:11" ht="12.75">
      <c r="B16575" s="4"/>
      <c r="D16575" s="67"/>
      <c r="G16575" s="68"/>
      <c r="K16575" s="68"/>
    </row>
    <row r="16576" spans="2:11" ht="12.75">
      <c r="B16576" s="4"/>
      <c r="D16576" s="67"/>
      <c r="G16576" s="68"/>
      <c r="K16576" s="68"/>
    </row>
    <row r="16577" spans="2:11" ht="12.75">
      <c r="B16577" s="4"/>
      <c r="D16577" s="67"/>
      <c r="G16577" s="68"/>
      <c r="K16577" s="68"/>
    </row>
    <row r="16578" spans="2:11" ht="12.75">
      <c r="B16578" s="4"/>
      <c r="D16578" s="67"/>
      <c r="G16578" s="68"/>
      <c r="K16578" s="68"/>
    </row>
    <row r="16579" spans="2:11" ht="12.75">
      <c r="B16579" s="4"/>
      <c r="D16579" s="67"/>
      <c r="G16579" s="68"/>
      <c r="K16579" s="68"/>
    </row>
    <row r="16580" spans="2:11" ht="12.75">
      <c r="B16580" s="4"/>
      <c r="D16580" s="67"/>
      <c r="G16580" s="68"/>
      <c r="K16580" s="68"/>
    </row>
    <row r="16581" spans="2:11" ht="12.75">
      <c r="B16581" s="4"/>
      <c r="D16581" s="67"/>
      <c r="G16581" s="68"/>
      <c r="K16581" s="68"/>
    </row>
    <row r="16582" spans="2:11" ht="12.75">
      <c r="B16582" s="4"/>
      <c r="D16582" s="67"/>
      <c r="G16582" s="68"/>
      <c r="K16582" s="68"/>
    </row>
    <row r="16583" spans="2:11" ht="12.75">
      <c r="B16583" s="4"/>
      <c r="D16583" s="67"/>
      <c r="G16583" s="68"/>
      <c r="K16583" s="68"/>
    </row>
    <row r="16584" spans="2:11" ht="12.75">
      <c r="B16584" s="4"/>
      <c r="D16584" s="67"/>
      <c r="G16584" s="68"/>
      <c r="K16584" s="68"/>
    </row>
    <row r="16585" spans="2:11" ht="12.75">
      <c r="B16585" s="4"/>
      <c r="D16585" s="67"/>
      <c r="G16585" s="68"/>
      <c r="K16585" s="68"/>
    </row>
    <row r="16586" spans="2:11" ht="12.75">
      <c r="B16586" s="4"/>
      <c r="D16586" s="67"/>
      <c r="G16586" s="68"/>
      <c r="K16586" s="68"/>
    </row>
    <row r="16587" spans="2:11" ht="12.75">
      <c r="B16587" s="4"/>
      <c r="D16587" s="67"/>
      <c r="G16587" s="68"/>
      <c r="K16587" s="68"/>
    </row>
    <row r="16588" spans="2:11" ht="12.75">
      <c r="B16588" s="4"/>
      <c r="D16588" s="67"/>
      <c r="G16588" s="68"/>
      <c r="K16588" s="68"/>
    </row>
    <row r="16589" spans="2:11" ht="12.75">
      <c r="B16589" s="4"/>
      <c r="D16589" s="67"/>
      <c r="G16589" s="68"/>
      <c r="K16589" s="68"/>
    </row>
    <row r="16590" spans="2:11" ht="12.75">
      <c r="B16590" s="4"/>
      <c r="D16590" s="67"/>
      <c r="G16590" s="68"/>
      <c r="K16590" s="68"/>
    </row>
    <row r="16591" spans="2:11" ht="12.75">
      <c r="B16591" s="4"/>
      <c r="D16591" s="67"/>
      <c r="G16591" s="68"/>
      <c r="K16591" s="68"/>
    </row>
    <row r="16592" spans="2:11" ht="12.75">
      <c r="B16592" s="4"/>
      <c r="D16592" s="67"/>
      <c r="G16592" s="68"/>
      <c r="K16592" s="68"/>
    </row>
    <row r="16593" spans="2:11" ht="12.75">
      <c r="B16593" s="4"/>
      <c r="D16593" s="67"/>
      <c r="G16593" s="68"/>
      <c r="K16593" s="68"/>
    </row>
    <row r="16594" spans="2:11" ht="12.75">
      <c r="B16594" s="4"/>
      <c r="D16594" s="67"/>
      <c r="G16594" s="68"/>
      <c r="K16594" s="68"/>
    </row>
    <row r="16595" spans="2:11" ht="12.75">
      <c r="B16595" s="4"/>
      <c r="D16595" s="67"/>
      <c r="G16595" s="68"/>
      <c r="K16595" s="68"/>
    </row>
    <row r="16596" spans="2:11" ht="12.75">
      <c r="B16596" s="4"/>
      <c r="D16596" s="67"/>
      <c r="G16596" s="68"/>
      <c r="K16596" s="68"/>
    </row>
    <row r="16597" spans="2:11" ht="12.75">
      <c r="B16597" s="4"/>
      <c r="D16597" s="67"/>
      <c r="G16597" s="68"/>
      <c r="K16597" s="68"/>
    </row>
    <row r="16598" spans="2:11" ht="12.75">
      <c r="B16598" s="4"/>
      <c r="D16598" s="67"/>
      <c r="G16598" s="68"/>
      <c r="K16598" s="68"/>
    </row>
    <row r="16599" spans="2:11" ht="12.75">
      <c r="B16599" s="4"/>
      <c r="D16599" s="67"/>
      <c r="G16599" s="68"/>
      <c r="K16599" s="68"/>
    </row>
    <row r="16600" spans="2:11" ht="12.75">
      <c r="B16600" s="4"/>
      <c r="D16600" s="67"/>
      <c r="G16600" s="68"/>
      <c r="K16600" s="68"/>
    </row>
    <row r="16601" spans="2:11" ht="12.75">
      <c r="B16601" s="4"/>
      <c r="D16601" s="67"/>
      <c r="G16601" s="68"/>
      <c r="K16601" s="68"/>
    </row>
    <row r="16602" spans="2:11" ht="12.75">
      <c r="B16602" s="4"/>
      <c r="D16602" s="67"/>
      <c r="G16602" s="68"/>
      <c r="K16602" s="68"/>
    </row>
    <row r="16603" spans="2:11" ht="12.75">
      <c r="B16603" s="4"/>
      <c r="D16603" s="67"/>
      <c r="G16603" s="68"/>
      <c r="K16603" s="68"/>
    </row>
    <row r="16604" spans="2:11" ht="12.75">
      <c r="B16604" s="4"/>
      <c r="D16604" s="67"/>
      <c r="G16604" s="68"/>
      <c r="K16604" s="68"/>
    </row>
    <row r="16605" spans="2:11" ht="12.75">
      <c r="B16605" s="4"/>
      <c r="D16605" s="67"/>
      <c r="G16605" s="68"/>
      <c r="K16605" s="68"/>
    </row>
    <row r="16606" spans="2:11" ht="12.75">
      <c r="B16606" s="4"/>
      <c r="D16606" s="67"/>
      <c r="G16606" s="68"/>
      <c r="K16606" s="68"/>
    </row>
    <row r="16607" spans="2:11" ht="12.75">
      <c r="B16607" s="4"/>
      <c r="D16607" s="67"/>
      <c r="G16607" s="68"/>
      <c r="K16607" s="68"/>
    </row>
    <row r="16608" spans="2:11" ht="12.75">
      <c r="B16608" s="4"/>
      <c r="D16608" s="67"/>
      <c r="G16608" s="68"/>
      <c r="K16608" s="68"/>
    </row>
    <row r="16609" spans="2:11" ht="12.75">
      <c r="B16609" s="4"/>
      <c r="D16609" s="67"/>
      <c r="G16609" s="68"/>
      <c r="K16609" s="68"/>
    </row>
    <row r="16610" spans="2:11" ht="12.75">
      <c r="B16610" s="4"/>
      <c r="D16610" s="67"/>
      <c r="G16610" s="68"/>
      <c r="K16610" s="68"/>
    </row>
    <row r="16611" spans="2:11" ht="12.75">
      <c r="B16611" s="4"/>
      <c r="D16611" s="67"/>
      <c r="G16611" s="68"/>
      <c r="K16611" s="68"/>
    </row>
    <row r="16612" spans="2:11" ht="12.75">
      <c r="B16612" s="4"/>
      <c r="D16612" s="67"/>
      <c r="G16612" s="68"/>
      <c r="K16612" s="68"/>
    </row>
    <row r="16613" spans="2:11" ht="12.75">
      <c r="B16613" s="4"/>
      <c r="D16613" s="67"/>
      <c r="G16613" s="68"/>
      <c r="K16613" s="68"/>
    </row>
    <row r="16614" spans="2:11" ht="12.75">
      <c r="B16614" s="4"/>
      <c r="D16614" s="67"/>
      <c r="G16614" s="68"/>
      <c r="K16614" s="68"/>
    </row>
    <row r="16615" spans="2:11" ht="12.75">
      <c r="B16615" s="4"/>
      <c r="D16615" s="67"/>
      <c r="G16615" s="68"/>
      <c r="K16615" s="68"/>
    </row>
    <row r="16616" spans="2:11" ht="12.75">
      <c r="B16616" s="4"/>
      <c r="D16616" s="67"/>
      <c r="G16616" s="68"/>
      <c r="K16616" s="68"/>
    </row>
    <row r="16617" spans="2:11" ht="12.75">
      <c r="B16617" s="4"/>
      <c r="D16617" s="67"/>
      <c r="G16617" s="68"/>
      <c r="K16617" s="68"/>
    </row>
    <row r="16618" spans="2:11" ht="12.75">
      <c r="B16618" s="4"/>
      <c r="D16618" s="67"/>
      <c r="G16618" s="68"/>
      <c r="K16618" s="68"/>
    </row>
    <row r="16619" spans="2:11" ht="12.75">
      <c r="B16619" s="4"/>
      <c r="D16619" s="67"/>
      <c r="G16619" s="68"/>
      <c r="K16619" s="68"/>
    </row>
    <row r="16620" spans="2:11" ht="12.75">
      <c r="B16620" s="4"/>
      <c r="D16620" s="67"/>
      <c r="G16620" s="68"/>
      <c r="K16620" s="68"/>
    </row>
    <row r="16621" spans="2:11" ht="12.75">
      <c r="B16621" s="4"/>
      <c r="D16621" s="67"/>
      <c r="G16621" s="68"/>
      <c r="K16621" s="68"/>
    </row>
    <row r="16622" spans="2:11" ht="12.75">
      <c r="B16622" s="4"/>
      <c r="D16622" s="67"/>
      <c r="G16622" s="68"/>
      <c r="K16622" s="68"/>
    </row>
    <row r="16623" spans="2:11" ht="12.75">
      <c r="B16623" s="4"/>
      <c r="D16623" s="67"/>
      <c r="G16623" s="68"/>
      <c r="K16623" s="68"/>
    </row>
    <row r="16624" spans="2:11" ht="12.75">
      <c r="B16624" s="4"/>
      <c r="D16624" s="67"/>
      <c r="G16624" s="68"/>
      <c r="K16624" s="68"/>
    </row>
    <row r="16625" spans="2:11" ht="12.75">
      <c r="B16625" s="4"/>
      <c r="D16625" s="67"/>
      <c r="G16625" s="68"/>
      <c r="K16625" s="68"/>
    </row>
    <row r="16626" spans="2:11" ht="12.75">
      <c r="B16626" s="4"/>
      <c r="D16626" s="67"/>
      <c r="G16626" s="68"/>
      <c r="K16626" s="68"/>
    </row>
    <row r="16627" spans="2:11" ht="12.75">
      <c r="B16627" s="4"/>
      <c r="D16627" s="67"/>
      <c r="G16627" s="68"/>
      <c r="K16627" s="68"/>
    </row>
    <row r="16628" spans="2:11" ht="12.75">
      <c r="B16628" s="4"/>
      <c r="D16628" s="67"/>
      <c r="G16628" s="68"/>
      <c r="K16628" s="68"/>
    </row>
    <row r="16629" spans="2:11" ht="12.75">
      <c r="B16629" s="4"/>
      <c r="D16629" s="67"/>
      <c r="G16629" s="68"/>
      <c r="K16629" s="68"/>
    </row>
    <row r="16630" spans="2:11" ht="12.75">
      <c r="B16630" s="4"/>
      <c r="D16630" s="67"/>
      <c r="G16630" s="68"/>
      <c r="K16630" s="68"/>
    </row>
    <row r="16631" spans="2:11" ht="12.75">
      <c r="B16631" s="4"/>
      <c r="D16631" s="67"/>
      <c r="G16631" s="68"/>
      <c r="K16631" s="68"/>
    </row>
    <row r="16632" spans="2:11" ht="12.75">
      <c r="B16632" s="4"/>
      <c r="D16632" s="67"/>
      <c r="G16632" s="68"/>
      <c r="K16632" s="68"/>
    </row>
    <row r="16633" spans="2:11" ht="12.75">
      <c r="B16633" s="4"/>
      <c r="D16633" s="67"/>
      <c r="G16633" s="68"/>
      <c r="K16633" s="68"/>
    </row>
    <row r="16634" spans="2:11" ht="12.75">
      <c r="B16634" s="4"/>
      <c r="D16634" s="67"/>
      <c r="G16634" s="68"/>
      <c r="K16634" s="68"/>
    </row>
    <row r="16635" spans="2:11" ht="12.75">
      <c r="B16635" s="4"/>
      <c r="D16635" s="67"/>
      <c r="G16635" s="68"/>
      <c r="K16635" s="68"/>
    </row>
    <row r="16636" spans="2:11" ht="12.75">
      <c r="B16636" s="4"/>
      <c r="D16636" s="67"/>
      <c r="G16636" s="68"/>
      <c r="K16636" s="68"/>
    </row>
    <row r="16637" spans="2:11" ht="12.75">
      <c r="B16637" s="4"/>
      <c r="D16637" s="67"/>
      <c r="G16637" s="68"/>
      <c r="K16637" s="68"/>
    </row>
    <row r="16638" spans="2:11" ht="12.75">
      <c r="B16638" s="4"/>
      <c r="D16638" s="67"/>
      <c r="G16638" s="68"/>
      <c r="K16638" s="68"/>
    </row>
    <row r="16639" spans="2:11" ht="12.75">
      <c r="B16639" s="4"/>
      <c r="D16639" s="67"/>
      <c r="G16639" s="68"/>
      <c r="K16639" s="68"/>
    </row>
    <row r="16640" spans="2:11" ht="12.75">
      <c r="B16640" s="4"/>
      <c r="D16640" s="67"/>
      <c r="G16640" s="68"/>
      <c r="K16640" s="68"/>
    </row>
    <row r="16641" spans="2:11" ht="12.75">
      <c r="B16641" s="4"/>
      <c r="D16641" s="67"/>
      <c r="G16641" s="68"/>
      <c r="K16641" s="68"/>
    </row>
    <row r="16642" spans="2:11" ht="12.75">
      <c r="B16642" s="4"/>
      <c r="D16642" s="67"/>
      <c r="G16642" s="68"/>
      <c r="K16642" s="68"/>
    </row>
    <row r="16643" spans="2:11" ht="12.75">
      <c r="B16643" s="4"/>
      <c r="D16643" s="67"/>
      <c r="G16643" s="68"/>
      <c r="K16643" s="68"/>
    </row>
    <row r="16644" spans="2:11" ht="12.75">
      <c r="B16644" s="4"/>
      <c r="D16644" s="67"/>
      <c r="G16644" s="68"/>
      <c r="K16644" s="68"/>
    </row>
    <row r="16645" spans="2:11" ht="12.75">
      <c r="B16645" s="4"/>
      <c r="D16645" s="67"/>
      <c r="G16645" s="68"/>
      <c r="K16645" s="68"/>
    </row>
    <row r="16646" spans="2:11" ht="12.75">
      <c r="B16646" s="4"/>
      <c r="D16646" s="67"/>
      <c r="G16646" s="68"/>
      <c r="K16646" s="68"/>
    </row>
    <row r="16647" spans="2:11" ht="12.75">
      <c r="B16647" s="4"/>
      <c r="D16647" s="67"/>
      <c r="G16647" s="68"/>
      <c r="K16647" s="68"/>
    </row>
    <row r="16648" spans="2:11" ht="12.75">
      <c r="B16648" s="4"/>
      <c r="D16648" s="67"/>
      <c r="G16648" s="68"/>
      <c r="K16648" s="68"/>
    </row>
    <row r="16649" spans="2:11" ht="12.75">
      <c r="B16649" s="4"/>
      <c r="D16649" s="67"/>
      <c r="G16649" s="68"/>
      <c r="K16649" s="68"/>
    </row>
    <row r="16650" spans="2:11" ht="12.75">
      <c r="B16650" s="4"/>
      <c r="D16650" s="67"/>
      <c r="G16650" s="68"/>
      <c r="K16650" s="68"/>
    </row>
    <row r="16651" spans="2:11" ht="12.75">
      <c r="B16651" s="4"/>
      <c r="D16651" s="67"/>
      <c r="G16651" s="68"/>
      <c r="K16651" s="68"/>
    </row>
    <row r="16652" spans="2:11" ht="12.75">
      <c r="B16652" s="4"/>
      <c r="D16652" s="67"/>
      <c r="G16652" s="68"/>
      <c r="K16652" s="68"/>
    </row>
    <row r="16653" spans="2:11" ht="12.75">
      <c r="B16653" s="4"/>
      <c r="D16653" s="67"/>
      <c r="G16653" s="68"/>
      <c r="K16653" s="68"/>
    </row>
    <row r="16654" spans="2:11" ht="12.75">
      <c r="B16654" s="4"/>
      <c r="D16654" s="67"/>
      <c r="G16654" s="68"/>
      <c r="K16654" s="68"/>
    </row>
    <row r="16655" spans="2:11" ht="12.75">
      <c r="B16655" s="4"/>
      <c r="D16655" s="67"/>
      <c r="G16655" s="68"/>
      <c r="K16655" s="68"/>
    </row>
    <row r="16656" spans="2:11" ht="12.75">
      <c r="B16656" s="4"/>
      <c r="D16656" s="67"/>
      <c r="G16656" s="68"/>
      <c r="K16656" s="68"/>
    </row>
    <row r="16657" spans="2:11" ht="12.75">
      <c r="B16657" s="4"/>
      <c r="D16657" s="67"/>
      <c r="G16657" s="68"/>
      <c r="K16657" s="68"/>
    </row>
    <row r="16658" spans="2:11" ht="12.75">
      <c r="B16658" s="4"/>
      <c r="D16658" s="67"/>
      <c r="G16658" s="68"/>
      <c r="K16658" s="68"/>
    </row>
    <row r="16659" spans="2:11" ht="12.75">
      <c r="B16659" s="4"/>
      <c r="D16659" s="67"/>
      <c r="G16659" s="68"/>
      <c r="K16659" s="68"/>
    </row>
    <row r="16660" spans="2:11" ht="12.75">
      <c r="B16660" s="4"/>
      <c r="D16660" s="67"/>
      <c r="G16660" s="68"/>
      <c r="K16660" s="68"/>
    </row>
    <row r="16661" spans="2:11" ht="12.75">
      <c r="B16661" s="4"/>
      <c r="D16661" s="67"/>
      <c r="G16661" s="68"/>
      <c r="K16661" s="68"/>
    </row>
    <row r="16662" spans="2:11" ht="12.75">
      <c r="B16662" s="4"/>
      <c r="D16662" s="67"/>
      <c r="G16662" s="68"/>
      <c r="K16662" s="68"/>
    </row>
    <row r="16663" spans="2:11" ht="12.75">
      <c r="B16663" s="4"/>
      <c r="D16663" s="67"/>
      <c r="G16663" s="68"/>
      <c r="K16663" s="68"/>
    </row>
    <row r="16664" spans="2:11" ht="12.75">
      <c r="B16664" s="4"/>
      <c r="D16664" s="67"/>
      <c r="G16664" s="68"/>
      <c r="K16664" s="68"/>
    </row>
    <row r="16665" spans="2:11" ht="12.75">
      <c r="B16665" s="4"/>
      <c r="D16665" s="67"/>
      <c r="G16665" s="68"/>
      <c r="K16665" s="68"/>
    </row>
    <row r="16666" spans="2:11" ht="12.75">
      <c r="B16666" s="4"/>
      <c r="D16666" s="67"/>
      <c r="G16666" s="68"/>
      <c r="K16666" s="68"/>
    </row>
    <row r="16667" spans="2:11" ht="12.75">
      <c r="B16667" s="4"/>
      <c r="D16667" s="67"/>
      <c r="G16667" s="68"/>
      <c r="K16667" s="68"/>
    </row>
    <row r="16668" spans="2:11" ht="12.75">
      <c r="B16668" s="4"/>
      <c r="D16668" s="67"/>
      <c r="G16668" s="68"/>
      <c r="K16668" s="68"/>
    </row>
    <row r="16669" spans="2:11" ht="12.75">
      <c r="B16669" s="4"/>
      <c r="D16669" s="67"/>
      <c r="G16669" s="68"/>
      <c r="K16669" s="68"/>
    </row>
    <row r="16670" spans="2:11" ht="12.75">
      <c r="B16670" s="4"/>
      <c r="D16670" s="67"/>
      <c r="G16670" s="68"/>
      <c r="K16670" s="68"/>
    </row>
    <row r="16671" spans="2:11" ht="12.75">
      <c r="B16671" s="4"/>
      <c r="D16671" s="67"/>
      <c r="G16671" s="68"/>
      <c r="K16671" s="68"/>
    </row>
    <row r="16672" spans="2:11" ht="12.75">
      <c r="B16672" s="4"/>
      <c r="D16672" s="67"/>
      <c r="G16672" s="68"/>
      <c r="K16672" s="68"/>
    </row>
    <row r="16673" spans="2:11" ht="12.75">
      <c r="B16673" s="4"/>
      <c r="D16673" s="67"/>
      <c r="G16673" s="68"/>
      <c r="K16673" s="68"/>
    </row>
    <row r="16674" spans="2:11" ht="12.75">
      <c r="B16674" s="4"/>
      <c r="D16674" s="67"/>
      <c r="G16674" s="68"/>
      <c r="K16674" s="68"/>
    </row>
    <row r="16675" spans="2:11" ht="12.75">
      <c r="B16675" s="4"/>
      <c r="D16675" s="67"/>
      <c r="G16675" s="68"/>
      <c r="K16675" s="68"/>
    </row>
    <row r="16676" spans="2:11" ht="12.75">
      <c r="B16676" s="4"/>
      <c r="D16676" s="67"/>
      <c r="G16676" s="68"/>
      <c r="K16676" s="68"/>
    </row>
    <row r="16677" spans="2:11" ht="12.75">
      <c r="B16677" s="4"/>
      <c r="D16677" s="67"/>
      <c r="G16677" s="68"/>
      <c r="K16677" s="68"/>
    </row>
    <row r="16678" spans="2:11" ht="12.75">
      <c r="B16678" s="4"/>
      <c r="D16678" s="67"/>
      <c r="G16678" s="68"/>
      <c r="K16678" s="68"/>
    </row>
    <row r="16679" spans="2:11" ht="12.75">
      <c r="B16679" s="4"/>
      <c r="D16679" s="67"/>
      <c r="G16679" s="68"/>
      <c r="K16679" s="68"/>
    </row>
    <row r="16680" spans="2:11" ht="12.75">
      <c r="B16680" s="4"/>
      <c r="D16680" s="67"/>
      <c r="G16680" s="68"/>
      <c r="K16680" s="68"/>
    </row>
    <row r="16681" spans="2:11" ht="12.75">
      <c r="B16681" s="4"/>
      <c r="D16681" s="67"/>
      <c r="G16681" s="68"/>
      <c r="K16681" s="68"/>
    </row>
    <row r="16682" spans="2:11" ht="12.75">
      <c r="B16682" s="4"/>
      <c r="D16682" s="67"/>
      <c r="G16682" s="68"/>
      <c r="K16682" s="68"/>
    </row>
    <row r="16683" spans="2:11" ht="12.75">
      <c r="B16683" s="4"/>
      <c r="D16683" s="67"/>
      <c r="G16683" s="68"/>
      <c r="K16683" s="68"/>
    </row>
    <row r="16684" spans="2:11" ht="12.75">
      <c r="B16684" s="4"/>
      <c r="D16684" s="67"/>
      <c r="G16684" s="68"/>
      <c r="K16684" s="68"/>
    </row>
    <row r="16685" spans="2:11" ht="12.75">
      <c r="B16685" s="4"/>
      <c r="D16685" s="67"/>
      <c r="G16685" s="68"/>
      <c r="K16685" s="68"/>
    </row>
    <row r="16686" spans="2:11" ht="12.75">
      <c r="B16686" s="4"/>
      <c r="D16686" s="67"/>
      <c r="G16686" s="68"/>
      <c r="K16686" s="68"/>
    </row>
    <row r="16687" spans="2:11" ht="12.75">
      <c r="B16687" s="4"/>
      <c r="D16687" s="67"/>
      <c r="G16687" s="68"/>
      <c r="K16687" s="68"/>
    </row>
    <row r="16688" spans="2:11" ht="12.75">
      <c r="B16688" s="4"/>
      <c r="D16688" s="67"/>
      <c r="G16688" s="68"/>
      <c r="K16688" s="68"/>
    </row>
    <row r="16689" spans="2:11" ht="12.75">
      <c r="B16689" s="4"/>
      <c r="D16689" s="67"/>
      <c r="G16689" s="68"/>
      <c r="K16689" s="68"/>
    </row>
    <row r="16690" spans="2:11" ht="12.75">
      <c r="B16690" s="4"/>
      <c r="D16690" s="67"/>
      <c r="G16690" s="68"/>
      <c r="K16690" s="68"/>
    </row>
    <row r="16691" spans="2:11" ht="12.75">
      <c r="B16691" s="4"/>
      <c r="D16691" s="67"/>
      <c r="G16691" s="68"/>
      <c r="K16691" s="68"/>
    </row>
    <row r="16692" spans="2:11" ht="12.75">
      <c r="B16692" s="4"/>
      <c r="D16692" s="67"/>
      <c r="G16692" s="68"/>
      <c r="K16692" s="68"/>
    </row>
    <row r="16693" spans="2:11" ht="12.75">
      <c r="B16693" s="4"/>
      <c r="D16693" s="67"/>
      <c r="G16693" s="68"/>
      <c r="K16693" s="68"/>
    </row>
    <row r="16694" spans="2:11" ht="12.75">
      <c r="B16694" s="4"/>
      <c r="D16694" s="67"/>
      <c r="G16694" s="68"/>
      <c r="K16694" s="68"/>
    </row>
    <row r="16695" spans="2:11" ht="12.75">
      <c r="B16695" s="4"/>
      <c r="D16695" s="67"/>
      <c r="G16695" s="68"/>
      <c r="K16695" s="68"/>
    </row>
    <row r="16696" spans="2:11" ht="12.75">
      <c r="B16696" s="4"/>
      <c r="D16696" s="67"/>
      <c r="G16696" s="68"/>
      <c r="K16696" s="68"/>
    </row>
    <row r="16697" spans="2:11" ht="12.75">
      <c r="B16697" s="4"/>
      <c r="D16697" s="67"/>
      <c r="G16697" s="68"/>
      <c r="K16697" s="68"/>
    </row>
    <row r="16698" spans="2:11" ht="12.75">
      <c r="B16698" s="4"/>
      <c r="D16698" s="67"/>
      <c r="G16698" s="68"/>
      <c r="K16698" s="68"/>
    </row>
    <row r="16699" spans="2:11" ht="12.75">
      <c r="B16699" s="4"/>
      <c r="D16699" s="67"/>
      <c r="G16699" s="68"/>
      <c r="K16699" s="68"/>
    </row>
    <row r="16700" spans="2:11" ht="12.75">
      <c r="B16700" s="4"/>
      <c r="D16700" s="67"/>
      <c r="G16700" s="68"/>
      <c r="K16700" s="68"/>
    </row>
    <row r="16701" spans="2:11" ht="12.75">
      <c r="B16701" s="4"/>
      <c r="D16701" s="67"/>
      <c r="G16701" s="68"/>
      <c r="K16701" s="68"/>
    </row>
    <row r="16702" spans="2:11" ht="12.75">
      <c r="B16702" s="4"/>
      <c r="D16702" s="67"/>
      <c r="G16702" s="68"/>
      <c r="K16702" s="68"/>
    </row>
    <row r="16703" spans="2:11" ht="12.75">
      <c r="B16703" s="4"/>
      <c r="D16703" s="67"/>
      <c r="G16703" s="68"/>
      <c r="K16703" s="68"/>
    </row>
    <row r="16704" spans="2:11" ht="12.75">
      <c r="B16704" s="4"/>
      <c r="D16704" s="67"/>
      <c r="G16704" s="68"/>
      <c r="K16704" s="68"/>
    </row>
    <row r="16705" spans="2:11" ht="12.75">
      <c r="B16705" s="4"/>
      <c r="D16705" s="67"/>
      <c r="G16705" s="68"/>
      <c r="K16705" s="68"/>
    </row>
    <row r="16706" spans="2:11" ht="12.75">
      <c r="B16706" s="4"/>
      <c r="D16706" s="67"/>
      <c r="G16706" s="68"/>
      <c r="K16706" s="68"/>
    </row>
    <row r="16707" spans="2:11" ht="12.75">
      <c r="B16707" s="4"/>
      <c r="D16707" s="67"/>
      <c r="G16707" s="68"/>
      <c r="K16707" s="68"/>
    </row>
    <row r="16708" spans="2:11" ht="12.75">
      <c r="B16708" s="4"/>
      <c r="D16708" s="67"/>
      <c r="G16708" s="68"/>
      <c r="K16708" s="68"/>
    </row>
    <row r="16709" spans="2:11" ht="12.75">
      <c r="B16709" s="4"/>
      <c r="D16709" s="67"/>
      <c r="G16709" s="68"/>
      <c r="K16709" s="68"/>
    </row>
    <row r="16710" spans="2:11" ht="12.75">
      <c r="B16710" s="4"/>
      <c r="D16710" s="67"/>
      <c r="G16710" s="68"/>
      <c r="K16710" s="68"/>
    </row>
    <row r="16711" spans="2:11" ht="12.75">
      <c r="B16711" s="4"/>
      <c r="D16711" s="67"/>
      <c r="G16711" s="68"/>
      <c r="K16711" s="68"/>
    </row>
    <row r="16712" spans="2:11" ht="12.75">
      <c r="B16712" s="4"/>
      <c r="D16712" s="67"/>
      <c r="G16712" s="68"/>
      <c r="K16712" s="68"/>
    </row>
    <row r="16713" spans="2:11" ht="12.75">
      <c r="B16713" s="4"/>
      <c r="D16713" s="67"/>
      <c r="G16713" s="68"/>
      <c r="K16713" s="68"/>
    </row>
    <row r="16714" spans="2:11" ht="12.75">
      <c r="B16714" s="4"/>
      <c r="D16714" s="67"/>
      <c r="G16714" s="68"/>
      <c r="K16714" s="68"/>
    </row>
    <row r="16715" spans="2:11" ht="12.75">
      <c r="B16715" s="4"/>
      <c r="D16715" s="67"/>
      <c r="G16715" s="68"/>
      <c r="K16715" s="68"/>
    </row>
    <row r="16716" spans="2:11" ht="12.75">
      <c r="B16716" s="4"/>
      <c r="D16716" s="67"/>
      <c r="G16716" s="68"/>
      <c r="K16716" s="68"/>
    </row>
    <row r="16717" spans="2:11" ht="12.75">
      <c r="B16717" s="4"/>
      <c r="D16717" s="67"/>
      <c r="G16717" s="68"/>
      <c r="K16717" s="68"/>
    </row>
    <row r="16718" spans="2:11" ht="12.75">
      <c r="B16718" s="4"/>
      <c r="D16718" s="67"/>
      <c r="G16718" s="68"/>
      <c r="K16718" s="68"/>
    </row>
    <row r="16719" spans="2:11" ht="12.75">
      <c r="B16719" s="4"/>
      <c r="D16719" s="67"/>
      <c r="G16719" s="68"/>
      <c r="K16719" s="68"/>
    </row>
    <row r="16720" spans="2:11" ht="12.75">
      <c r="B16720" s="4"/>
      <c r="D16720" s="67"/>
      <c r="G16720" s="68"/>
      <c r="K16720" s="68"/>
    </row>
    <row r="16721" spans="2:11" ht="12.75">
      <c r="B16721" s="4"/>
      <c r="D16721" s="67"/>
      <c r="G16721" s="68"/>
      <c r="K16721" s="68"/>
    </row>
    <row r="16722" spans="2:11" ht="12.75">
      <c r="B16722" s="4"/>
      <c r="D16722" s="67"/>
      <c r="G16722" s="68"/>
      <c r="K16722" s="68"/>
    </row>
    <row r="16723" spans="2:11" ht="12.75">
      <c r="B16723" s="4"/>
      <c r="D16723" s="67"/>
      <c r="G16723" s="68"/>
      <c r="K16723" s="68"/>
    </row>
    <row r="16724" spans="2:11" ht="12.75">
      <c r="B16724" s="4"/>
      <c r="D16724" s="67"/>
      <c r="G16724" s="68"/>
      <c r="K16724" s="68"/>
    </row>
    <row r="16725" spans="2:11" ht="12.75">
      <c r="B16725" s="4"/>
      <c r="D16725" s="67"/>
      <c r="G16725" s="68"/>
      <c r="K16725" s="68"/>
    </row>
    <row r="16726" spans="2:11" ht="12.75">
      <c r="B16726" s="4"/>
      <c r="D16726" s="67"/>
      <c r="G16726" s="68"/>
      <c r="K16726" s="68"/>
    </row>
    <row r="16727" spans="2:11" ht="12.75">
      <c r="B16727" s="4"/>
      <c r="D16727" s="67"/>
      <c r="G16727" s="68"/>
      <c r="K16727" s="68"/>
    </row>
    <row r="16728" spans="2:11" ht="12.75">
      <c r="B16728" s="4"/>
      <c r="D16728" s="67"/>
      <c r="G16728" s="68"/>
      <c r="K16728" s="68"/>
    </row>
    <row r="16729" spans="2:11" ht="12.75">
      <c r="B16729" s="4"/>
      <c r="D16729" s="67"/>
      <c r="G16729" s="68"/>
      <c r="K16729" s="68"/>
    </row>
    <row r="16730" spans="2:11" ht="12.75">
      <c r="B16730" s="4"/>
      <c r="D16730" s="67"/>
      <c r="G16730" s="68"/>
      <c r="K16730" s="68"/>
    </row>
    <row r="16731" spans="2:11" ht="12.75">
      <c r="B16731" s="4"/>
      <c r="D16731" s="67"/>
      <c r="G16731" s="68"/>
      <c r="K16731" s="68"/>
    </row>
    <row r="16732" spans="2:11" ht="12.75">
      <c r="B16732" s="4"/>
      <c r="D16732" s="67"/>
      <c r="G16732" s="68"/>
      <c r="K16732" s="68"/>
    </row>
    <row r="16733" spans="2:11" ht="12.75">
      <c r="B16733" s="4"/>
      <c r="D16733" s="67"/>
      <c r="G16733" s="68"/>
      <c r="K16733" s="68"/>
    </row>
    <row r="16734" spans="2:11" ht="12.75">
      <c r="B16734" s="4"/>
      <c r="D16734" s="67"/>
      <c r="G16734" s="68"/>
      <c r="K16734" s="68"/>
    </row>
    <row r="16735" spans="2:11" ht="12.75">
      <c r="B16735" s="4"/>
      <c r="D16735" s="67"/>
      <c r="G16735" s="68"/>
      <c r="K16735" s="68"/>
    </row>
    <row r="16736" spans="2:11" ht="12.75">
      <c r="B16736" s="4"/>
      <c r="D16736" s="67"/>
      <c r="G16736" s="68"/>
      <c r="K16736" s="68"/>
    </row>
    <row r="16737" spans="2:11" ht="12.75">
      <c r="B16737" s="4"/>
      <c r="D16737" s="67"/>
      <c r="G16737" s="68"/>
      <c r="K16737" s="68"/>
    </row>
    <row r="16738" spans="2:11" ht="12.75">
      <c r="B16738" s="4"/>
      <c r="D16738" s="67"/>
      <c r="G16738" s="68"/>
      <c r="K16738" s="68"/>
    </row>
    <row r="16739" spans="2:11" ht="12.75">
      <c r="B16739" s="4"/>
      <c r="D16739" s="67"/>
      <c r="G16739" s="68"/>
      <c r="K16739" s="68"/>
    </row>
    <row r="16740" spans="2:11" ht="12.75">
      <c r="B16740" s="4"/>
      <c r="D16740" s="67"/>
      <c r="G16740" s="68"/>
      <c r="K16740" s="68"/>
    </row>
    <row r="16741" spans="2:11" ht="12.75">
      <c r="B16741" s="4"/>
      <c r="D16741" s="67"/>
      <c r="G16741" s="68"/>
      <c r="K16741" s="68"/>
    </row>
    <row r="16742" spans="2:11" ht="12.75">
      <c r="B16742" s="4"/>
      <c r="D16742" s="67"/>
      <c r="G16742" s="68"/>
      <c r="K16742" s="68"/>
    </row>
    <row r="16743" spans="2:11" ht="12.75">
      <c r="B16743" s="4"/>
      <c r="D16743" s="67"/>
      <c r="G16743" s="68"/>
      <c r="K16743" s="68"/>
    </row>
    <row r="16744" spans="2:11" ht="12.75">
      <c r="B16744" s="4"/>
      <c r="D16744" s="67"/>
      <c r="G16744" s="68"/>
      <c r="K16744" s="68"/>
    </row>
    <row r="16745" spans="2:11" ht="12.75">
      <c r="B16745" s="4"/>
      <c r="D16745" s="67"/>
      <c r="G16745" s="68"/>
      <c r="K16745" s="68"/>
    </row>
    <row r="16746" spans="2:11" ht="12.75">
      <c r="B16746" s="4"/>
      <c r="D16746" s="67"/>
      <c r="G16746" s="68"/>
      <c r="K16746" s="68"/>
    </row>
    <row r="16747" spans="2:11" ht="12.75">
      <c r="B16747" s="4"/>
      <c r="D16747" s="67"/>
      <c r="G16747" s="68"/>
      <c r="K16747" s="68"/>
    </row>
    <row r="16748" spans="2:11" ht="12.75">
      <c r="B16748" s="4"/>
      <c r="D16748" s="67"/>
      <c r="G16748" s="68"/>
      <c r="K16748" s="68"/>
    </row>
    <row r="16749" spans="2:11" ht="12.75">
      <c r="B16749" s="4"/>
      <c r="D16749" s="67"/>
      <c r="G16749" s="68"/>
      <c r="K16749" s="68"/>
    </row>
    <row r="16750" spans="2:11" ht="12.75">
      <c r="B16750" s="4"/>
      <c r="D16750" s="67"/>
      <c r="G16750" s="68"/>
      <c r="K16750" s="68"/>
    </row>
    <row r="16751" spans="2:11" ht="12.75">
      <c r="B16751" s="4"/>
      <c r="D16751" s="67"/>
      <c r="G16751" s="68"/>
      <c r="K16751" s="68"/>
    </row>
    <row r="16752" spans="2:11" ht="12.75">
      <c r="B16752" s="4"/>
      <c r="D16752" s="67"/>
      <c r="G16752" s="68"/>
      <c r="K16752" s="68"/>
    </row>
    <row r="16753" spans="2:11" ht="12.75">
      <c r="B16753" s="4"/>
      <c r="D16753" s="67"/>
      <c r="G16753" s="68"/>
      <c r="K16753" s="68"/>
    </row>
    <row r="16754" spans="2:11" ht="12.75">
      <c r="B16754" s="4"/>
      <c r="D16754" s="67"/>
      <c r="G16754" s="68"/>
      <c r="K16754" s="68"/>
    </row>
    <row r="16755" spans="2:11" ht="12.75">
      <c r="B16755" s="4"/>
      <c r="D16755" s="67"/>
      <c r="G16755" s="68"/>
      <c r="K16755" s="68"/>
    </row>
    <row r="16756" spans="2:11" ht="12.75">
      <c r="B16756" s="4"/>
      <c r="D16756" s="67"/>
      <c r="G16756" s="68"/>
      <c r="K16756" s="68"/>
    </row>
    <row r="16757" spans="2:11" ht="12.75">
      <c r="B16757" s="4"/>
      <c r="D16757" s="67"/>
      <c r="G16757" s="68"/>
      <c r="K16757" s="68"/>
    </row>
    <row r="16758" spans="2:11" ht="12.75">
      <c r="B16758" s="4"/>
      <c r="D16758" s="67"/>
      <c r="G16758" s="68"/>
      <c r="K16758" s="68"/>
    </row>
    <row r="16759" spans="2:11" ht="12.75">
      <c r="B16759" s="4"/>
      <c r="D16759" s="67"/>
      <c r="G16759" s="68"/>
      <c r="K16759" s="68"/>
    </row>
    <row r="16760" spans="2:11" ht="12.75">
      <c r="B16760" s="4"/>
      <c r="D16760" s="67"/>
      <c r="G16760" s="68"/>
      <c r="K16760" s="68"/>
    </row>
    <row r="16761" spans="2:11" ht="12.75">
      <c r="B16761" s="4"/>
      <c r="D16761" s="67"/>
      <c r="G16761" s="68"/>
      <c r="K16761" s="68"/>
    </row>
    <row r="16762" spans="2:11" ht="12.75">
      <c r="B16762" s="4"/>
      <c r="D16762" s="67"/>
      <c r="G16762" s="68"/>
      <c r="K16762" s="68"/>
    </row>
    <row r="16763" spans="2:11" ht="12.75">
      <c r="B16763" s="4"/>
      <c r="D16763" s="67"/>
      <c r="G16763" s="68"/>
      <c r="K16763" s="68"/>
    </row>
    <row r="16764" spans="2:11" ht="12.75">
      <c r="B16764" s="4"/>
      <c r="D16764" s="67"/>
      <c r="G16764" s="68"/>
      <c r="K16764" s="68"/>
    </row>
    <row r="16765" spans="2:11" ht="12.75">
      <c r="B16765" s="4"/>
      <c r="D16765" s="67"/>
      <c r="G16765" s="68"/>
      <c r="K16765" s="68"/>
    </row>
    <row r="16766" spans="2:11" ht="12.75">
      <c r="B16766" s="4"/>
      <c r="D16766" s="67"/>
      <c r="G16766" s="68"/>
      <c r="K16766" s="68"/>
    </row>
    <row r="16767" spans="2:11" ht="12.75">
      <c r="B16767" s="4"/>
      <c r="D16767" s="67"/>
      <c r="G16767" s="68"/>
      <c r="K16767" s="68"/>
    </row>
    <row r="16768" spans="2:11" ht="12.75">
      <c r="B16768" s="4"/>
      <c r="D16768" s="67"/>
      <c r="G16768" s="68"/>
      <c r="K16768" s="68"/>
    </row>
    <row r="16769" spans="2:11" ht="12.75">
      <c r="B16769" s="4"/>
      <c r="D16769" s="67"/>
      <c r="G16769" s="68"/>
      <c r="K16769" s="68"/>
    </row>
    <row r="16770" spans="2:11" ht="12.75">
      <c r="B16770" s="4"/>
      <c r="D16770" s="67"/>
      <c r="G16770" s="68"/>
      <c r="K16770" s="68"/>
    </row>
    <row r="16771" spans="2:11" ht="12.75">
      <c r="B16771" s="4"/>
      <c r="D16771" s="67"/>
      <c r="G16771" s="68"/>
      <c r="K16771" s="68"/>
    </row>
    <row r="16772" spans="2:11" ht="12.75">
      <c r="B16772" s="4"/>
      <c r="D16772" s="67"/>
      <c r="G16772" s="68"/>
      <c r="K16772" s="68"/>
    </row>
    <row r="16773" spans="2:11" ht="12.75">
      <c r="B16773" s="4"/>
      <c r="D16773" s="67"/>
      <c r="G16773" s="68"/>
      <c r="K16773" s="68"/>
    </row>
    <row r="16774" spans="2:11" ht="12.75">
      <c r="B16774" s="4"/>
      <c r="D16774" s="67"/>
      <c r="G16774" s="68"/>
      <c r="K16774" s="68"/>
    </row>
    <row r="16775" spans="2:11" ht="12.75">
      <c r="B16775" s="4"/>
      <c r="D16775" s="67"/>
      <c r="G16775" s="68"/>
      <c r="K16775" s="68"/>
    </row>
    <row r="16776" spans="2:11" ht="12.75">
      <c r="B16776" s="4"/>
      <c r="D16776" s="67"/>
      <c r="G16776" s="68"/>
      <c r="K16776" s="68"/>
    </row>
    <row r="16777" spans="2:11" ht="12.75">
      <c r="B16777" s="4"/>
      <c r="D16777" s="67"/>
      <c r="G16777" s="68"/>
      <c r="K16777" s="68"/>
    </row>
    <row r="16778" spans="2:11" ht="12.75">
      <c r="B16778" s="4"/>
      <c r="D16778" s="67"/>
      <c r="G16778" s="68"/>
      <c r="K16778" s="68"/>
    </row>
    <row r="16779" spans="2:11" ht="12.75">
      <c r="B16779" s="4"/>
      <c r="D16779" s="67"/>
      <c r="G16779" s="68"/>
      <c r="K16779" s="68"/>
    </row>
    <row r="16780" spans="2:11" ht="12.75">
      <c r="B16780" s="4"/>
      <c r="D16780" s="67"/>
      <c r="G16780" s="68"/>
      <c r="K16780" s="68"/>
    </row>
    <row r="16781" spans="2:11" ht="12.75">
      <c r="B16781" s="4"/>
      <c r="D16781" s="67"/>
      <c r="G16781" s="68"/>
      <c r="K16781" s="68"/>
    </row>
    <row r="16782" spans="2:11" ht="12.75">
      <c r="B16782" s="4"/>
      <c r="D16782" s="67"/>
      <c r="G16782" s="68"/>
      <c r="K16782" s="68"/>
    </row>
    <row r="16783" spans="2:11" ht="12.75">
      <c r="B16783" s="4"/>
      <c r="D16783" s="67"/>
      <c r="G16783" s="68"/>
      <c r="K16783" s="68"/>
    </row>
    <row r="16784" spans="2:11" ht="12.75">
      <c r="B16784" s="4"/>
      <c r="D16784" s="67"/>
      <c r="G16784" s="68"/>
      <c r="K16784" s="68"/>
    </row>
    <row r="16785" spans="2:11" ht="12.75">
      <c r="B16785" s="4"/>
      <c r="D16785" s="67"/>
      <c r="G16785" s="68"/>
      <c r="K16785" s="68"/>
    </row>
    <row r="16786" spans="2:11" ht="12.75">
      <c r="B16786" s="4"/>
      <c r="D16786" s="67"/>
      <c r="G16786" s="68"/>
      <c r="K16786" s="68"/>
    </row>
    <row r="16787" spans="2:11" ht="12.75">
      <c r="B16787" s="4"/>
      <c r="D16787" s="67"/>
      <c r="G16787" s="68"/>
      <c r="K16787" s="68"/>
    </row>
    <row r="16788" spans="2:11" ht="12.75">
      <c r="B16788" s="4"/>
      <c r="D16788" s="67"/>
      <c r="G16788" s="68"/>
      <c r="K16788" s="68"/>
    </row>
    <row r="16789" spans="2:11" ht="12.75">
      <c r="B16789" s="4"/>
      <c r="D16789" s="67"/>
      <c r="G16789" s="68"/>
      <c r="K16789" s="68"/>
    </row>
    <row r="16790" spans="2:11" ht="12.75">
      <c r="B16790" s="4"/>
      <c r="D16790" s="67"/>
      <c r="G16790" s="68"/>
      <c r="K16790" s="68"/>
    </row>
    <row r="16791" spans="2:11" ht="12.75">
      <c r="B16791" s="4"/>
      <c r="D16791" s="67"/>
      <c r="G16791" s="68"/>
      <c r="K16791" s="68"/>
    </row>
    <row r="16792" spans="2:11" ht="12.75">
      <c r="B16792" s="4"/>
      <c r="D16792" s="67"/>
      <c r="G16792" s="68"/>
      <c r="K16792" s="68"/>
    </row>
    <row r="16793" spans="2:11" ht="12.75">
      <c r="B16793" s="4"/>
      <c r="D16793" s="67"/>
      <c r="G16793" s="68"/>
      <c r="K16793" s="68"/>
    </row>
    <row r="16794" spans="2:11" ht="12.75">
      <c r="B16794" s="4"/>
      <c r="D16794" s="67"/>
      <c r="G16794" s="68"/>
      <c r="K16794" s="68"/>
    </row>
    <row r="16795" spans="2:11" ht="12.75">
      <c r="B16795" s="4"/>
      <c r="D16795" s="67"/>
      <c r="G16795" s="68"/>
      <c r="K16795" s="68"/>
    </row>
    <row r="16796" spans="2:11" ht="12.75">
      <c r="B16796" s="4"/>
      <c r="D16796" s="67"/>
      <c r="G16796" s="68"/>
      <c r="K16796" s="68"/>
    </row>
    <row r="16797" spans="2:11" ht="12.75">
      <c r="B16797" s="4"/>
      <c r="D16797" s="67"/>
      <c r="G16797" s="68"/>
      <c r="K16797" s="68"/>
    </row>
    <row r="16798" spans="2:11" ht="12.75">
      <c r="B16798" s="4"/>
      <c r="D16798" s="67"/>
      <c r="G16798" s="68"/>
      <c r="K16798" s="68"/>
    </row>
    <row r="16799" spans="2:11" ht="12.75">
      <c r="B16799" s="4"/>
      <c r="D16799" s="67"/>
      <c r="G16799" s="68"/>
      <c r="K16799" s="68"/>
    </row>
    <row r="16800" spans="2:11" ht="12.75">
      <c r="B16800" s="4"/>
      <c r="D16800" s="67"/>
      <c r="G16800" s="68"/>
      <c r="K16800" s="68"/>
    </row>
    <row r="16801" spans="2:11" ht="12.75">
      <c r="B16801" s="4"/>
      <c r="D16801" s="67"/>
      <c r="G16801" s="68"/>
      <c r="K16801" s="68"/>
    </row>
    <row r="16802" spans="2:11" ht="12.75">
      <c r="B16802" s="4"/>
      <c r="D16802" s="67"/>
      <c r="G16802" s="68"/>
      <c r="K16802" s="68"/>
    </row>
    <row r="16803" spans="2:11" ht="12.75">
      <c r="B16803" s="4"/>
      <c r="D16803" s="67"/>
      <c r="G16803" s="68"/>
      <c r="K16803" s="68"/>
    </row>
    <row r="16804" spans="2:11" ht="12.75">
      <c r="B16804" s="4"/>
      <c r="D16804" s="67"/>
      <c r="G16804" s="68"/>
      <c r="K16804" s="68"/>
    </row>
    <row r="16805" spans="2:11" ht="12.75">
      <c r="B16805" s="4"/>
      <c r="D16805" s="67"/>
      <c r="G16805" s="68"/>
      <c r="K16805" s="68"/>
    </row>
    <row r="16806" spans="2:11" ht="12.75">
      <c r="B16806" s="4"/>
      <c r="D16806" s="67"/>
      <c r="G16806" s="68"/>
      <c r="K16806" s="68"/>
    </row>
    <row r="16807" spans="2:11" ht="12.75">
      <c r="B16807" s="4"/>
      <c r="D16807" s="67"/>
      <c r="G16807" s="68"/>
      <c r="K16807" s="68"/>
    </row>
    <row r="16808" spans="2:11" ht="12.75">
      <c r="B16808" s="4"/>
      <c r="D16808" s="67"/>
      <c r="G16808" s="68"/>
      <c r="K16808" s="68"/>
    </row>
    <row r="16809" spans="2:11" ht="12.75">
      <c r="B16809" s="4"/>
      <c r="D16809" s="67"/>
      <c r="G16809" s="68"/>
      <c r="K16809" s="68"/>
    </row>
    <row r="16810" spans="2:11" ht="12.75">
      <c r="B16810" s="4"/>
      <c r="D16810" s="67"/>
      <c r="G16810" s="68"/>
      <c r="K16810" s="68"/>
    </row>
    <row r="16811" spans="2:11" ht="12.75">
      <c r="B16811" s="4"/>
      <c r="D16811" s="67"/>
      <c r="G16811" s="68"/>
      <c r="K16811" s="68"/>
    </row>
    <row r="16812" spans="2:11" ht="12.75">
      <c r="B16812" s="4"/>
      <c r="D16812" s="67"/>
      <c r="G16812" s="68"/>
      <c r="K16812" s="68"/>
    </row>
    <row r="16813" spans="2:11" ht="12.75">
      <c r="B16813" s="4"/>
      <c r="D16813" s="67"/>
      <c r="G16813" s="68"/>
      <c r="K16813" s="68"/>
    </row>
    <row r="16814" spans="2:11" ht="12.75">
      <c r="B16814" s="4"/>
      <c r="D16814" s="67"/>
      <c r="G16814" s="68"/>
      <c r="K16814" s="68"/>
    </row>
    <row r="16815" spans="2:11" ht="12.75">
      <c r="B16815" s="4"/>
      <c r="D16815" s="67"/>
      <c r="G16815" s="68"/>
      <c r="K16815" s="68"/>
    </row>
    <row r="16816" spans="2:11" ht="12.75">
      <c r="B16816" s="4"/>
      <c r="D16816" s="67"/>
      <c r="G16816" s="68"/>
      <c r="K16816" s="68"/>
    </row>
    <row r="16817" spans="2:11" ht="12.75">
      <c r="B16817" s="4"/>
      <c r="D16817" s="67"/>
      <c r="G16817" s="68"/>
      <c r="K16817" s="68"/>
    </row>
    <row r="16818" spans="2:11" ht="12.75">
      <c r="B16818" s="4"/>
      <c r="D16818" s="67"/>
      <c r="G16818" s="68"/>
      <c r="K16818" s="68"/>
    </row>
    <row r="16819" spans="2:11" ht="12.75">
      <c r="B16819" s="4"/>
      <c r="D16819" s="67"/>
      <c r="G16819" s="68"/>
      <c r="K16819" s="68"/>
    </row>
    <row r="16820" spans="2:11" ht="12.75">
      <c r="B16820" s="4"/>
      <c r="D16820" s="67"/>
      <c r="G16820" s="68"/>
      <c r="K16820" s="68"/>
    </row>
    <row r="16821" spans="2:11" ht="12.75">
      <c r="B16821" s="4"/>
      <c r="D16821" s="67"/>
      <c r="G16821" s="68"/>
      <c r="K16821" s="68"/>
    </row>
    <row r="16822" spans="2:11" ht="12.75">
      <c r="B16822" s="4"/>
      <c r="D16822" s="67"/>
      <c r="G16822" s="68"/>
      <c r="K16822" s="68"/>
    </row>
    <row r="16823" spans="2:11" ht="12.75">
      <c r="B16823" s="4"/>
      <c r="D16823" s="67"/>
      <c r="G16823" s="68"/>
      <c r="K16823" s="68"/>
    </row>
    <row r="16824" spans="2:11" ht="12.75">
      <c r="B16824" s="4"/>
      <c r="D16824" s="67"/>
      <c r="G16824" s="68"/>
      <c r="K16824" s="68"/>
    </row>
    <row r="16825" spans="2:11" ht="12.75">
      <c r="B16825" s="4"/>
      <c r="D16825" s="67"/>
      <c r="G16825" s="68"/>
      <c r="K16825" s="68"/>
    </row>
    <row r="16826" spans="2:11" ht="12.75">
      <c r="B16826" s="4"/>
      <c r="D16826" s="67"/>
      <c r="G16826" s="68"/>
      <c r="K16826" s="68"/>
    </row>
    <row r="16827" spans="2:11" ht="12.75">
      <c r="B16827" s="4"/>
      <c r="D16827" s="67"/>
      <c r="G16827" s="68"/>
      <c r="K16827" s="68"/>
    </row>
    <row r="16828" spans="2:11" ht="12.75">
      <c r="B16828" s="4"/>
      <c r="D16828" s="67"/>
      <c r="G16828" s="68"/>
      <c r="K16828" s="68"/>
    </row>
    <row r="16829" spans="2:11" ht="12.75">
      <c r="B16829" s="4"/>
      <c r="D16829" s="67"/>
      <c r="G16829" s="68"/>
      <c r="K16829" s="68"/>
    </row>
    <row r="16830" spans="2:11" ht="12.75">
      <c r="B16830" s="4"/>
      <c r="D16830" s="67"/>
      <c r="G16830" s="68"/>
      <c r="K16830" s="68"/>
    </row>
    <row r="16831" spans="2:11" ht="12.75">
      <c r="B16831" s="4"/>
      <c r="D16831" s="67"/>
      <c r="G16831" s="68"/>
      <c r="K16831" s="68"/>
    </row>
    <row r="16832" spans="2:11" ht="12.75">
      <c r="B16832" s="4"/>
      <c r="D16832" s="67"/>
      <c r="G16832" s="68"/>
      <c r="K16832" s="68"/>
    </row>
    <row r="16833" spans="2:11" ht="12.75">
      <c r="B16833" s="4"/>
      <c r="D16833" s="67"/>
      <c r="G16833" s="68"/>
      <c r="K16833" s="68"/>
    </row>
    <row r="16834" spans="2:11" ht="12.75">
      <c r="B16834" s="4"/>
      <c r="D16834" s="67"/>
      <c r="G16834" s="68"/>
      <c r="K16834" s="68"/>
    </row>
    <row r="16835" spans="2:11" ht="12.75">
      <c r="B16835" s="4"/>
      <c r="D16835" s="67"/>
      <c r="G16835" s="68"/>
      <c r="K16835" s="68"/>
    </row>
    <row r="16836" spans="2:11" ht="12.75">
      <c r="B16836" s="4"/>
      <c r="D16836" s="67"/>
      <c r="G16836" s="68"/>
      <c r="K16836" s="68"/>
    </row>
    <row r="16837" spans="2:11" ht="12.75">
      <c r="B16837" s="4"/>
      <c r="D16837" s="67"/>
      <c r="G16837" s="68"/>
      <c r="K16837" s="68"/>
    </row>
    <row r="16838" spans="2:11" ht="12.75">
      <c r="B16838" s="4"/>
      <c r="D16838" s="67"/>
      <c r="G16838" s="68"/>
      <c r="K16838" s="68"/>
    </row>
    <row r="16839" spans="2:11" ht="12.75">
      <c r="B16839" s="4"/>
      <c r="D16839" s="67"/>
      <c r="G16839" s="68"/>
      <c r="K16839" s="68"/>
    </row>
    <row r="16840" spans="2:11" ht="12.75">
      <c r="B16840" s="4"/>
      <c r="D16840" s="67"/>
      <c r="G16840" s="68"/>
      <c r="K16840" s="68"/>
    </row>
    <row r="16841" spans="2:11" ht="12.75">
      <c r="B16841" s="4"/>
      <c r="D16841" s="67"/>
      <c r="G16841" s="68"/>
      <c r="K16841" s="68"/>
    </row>
    <row r="16842" spans="2:11" ht="12.75">
      <c r="B16842" s="4"/>
      <c r="D16842" s="67"/>
      <c r="G16842" s="68"/>
      <c r="K16842" s="68"/>
    </row>
    <row r="16843" spans="2:11" ht="12.75">
      <c r="B16843" s="4"/>
      <c r="D16843" s="67"/>
      <c r="G16843" s="68"/>
      <c r="K16843" s="68"/>
    </row>
    <row r="16844" spans="2:11" ht="12.75">
      <c r="B16844" s="4"/>
      <c r="D16844" s="67"/>
      <c r="G16844" s="68"/>
      <c r="K16844" s="68"/>
    </row>
    <row r="16845" spans="2:11" ht="12.75">
      <c r="B16845" s="4"/>
      <c r="D16845" s="67"/>
      <c r="G16845" s="68"/>
      <c r="K16845" s="68"/>
    </row>
    <row r="16846" spans="2:11" ht="12.75">
      <c r="B16846" s="4"/>
      <c r="D16846" s="67"/>
      <c r="G16846" s="68"/>
      <c r="K16846" s="68"/>
    </row>
    <row r="16847" spans="2:11" ht="12.75">
      <c r="B16847" s="4"/>
      <c r="D16847" s="67"/>
      <c r="G16847" s="68"/>
      <c r="K16847" s="68"/>
    </row>
    <row r="16848" spans="2:11" ht="12.75">
      <c r="B16848" s="4"/>
      <c r="D16848" s="67"/>
      <c r="G16848" s="68"/>
      <c r="K16848" s="68"/>
    </row>
    <row r="16849" spans="2:11" ht="12.75">
      <c r="B16849" s="4"/>
      <c r="D16849" s="67"/>
      <c r="G16849" s="68"/>
      <c r="K16849" s="68"/>
    </row>
    <row r="16850" spans="2:11" ht="12.75">
      <c r="B16850" s="4"/>
      <c r="D16850" s="67"/>
      <c r="G16850" s="68"/>
      <c r="K16850" s="68"/>
    </row>
    <row r="16851" spans="2:11" ht="12.75">
      <c r="B16851" s="4"/>
      <c r="D16851" s="67"/>
      <c r="G16851" s="68"/>
      <c r="K16851" s="68"/>
    </row>
    <row r="16852" spans="2:11" ht="12.75">
      <c r="B16852" s="4"/>
      <c r="D16852" s="67"/>
      <c r="G16852" s="68"/>
      <c r="K16852" s="68"/>
    </row>
    <row r="16853" spans="2:11" ht="12.75">
      <c r="B16853" s="4"/>
      <c r="D16853" s="67"/>
      <c r="G16853" s="68"/>
      <c r="K16853" s="68"/>
    </row>
    <row r="16854" spans="2:11" ht="12.75">
      <c r="B16854" s="4"/>
      <c r="D16854" s="67"/>
      <c r="G16854" s="68"/>
      <c r="K16854" s="68"/>
    </row>
    <row r="16855" spans="2:11" ht="12.75">
      <c r="B16855" s="4"/>
      <c r="D16855" s="67"/>
      <c r="G16855" s="68"/>
      <c r="K16855" s="68"/>
    </row>
    <row r="16856" spans="2:11" ht="12.75">
      <c r="B16856" s="4"/>
      <c r="D16856" s="67"/>
      <c r="G16856" s="68"/>
      <c r="K16856" s="68"/>
    </row>
    <row r="16857" spans="2:11" ht="12.75">
      <c r="B16857" s="4"/>
      <c r="D16857" s="67"/>
      <c r="G16857" s="68"/>
      <c r="K16857" s="68"/>
    </row>
    <row r="16858" spans="2:11" ht="12.75">
      <c r="B16858" s="4"/>
      <c r="D16858" s="67"/>
      <c r="G16858" s="68"/>
      <c r="K16858" s="68"/>
    </row>
    <row r="16859" spans="2:11" ht="12.75">
      <c r="B16859" s="4"/>
      <c r="D16859" s="67"/>
      <c r="G16859" s="68"/>
      <c r="K16859" s="68"/>
    </row>
    <row r="16860" spans="2:11" ht="12.75">
      <c r="B16860" s="4"/>
      <c r="D16860" s="67"/>
      <c r="G16860" s="68"/>
      <c r="K16860" s="68"/>
    </row>
    <row r="16861" spans="2:11" ht="12.75">
      <c r="B16861" s="4"/>
      <c r="D16861" s="67"/>
      <c r="G16861" s="68"/>
      <c r="K16861" s="68"/>
    </row>
    <row r="16862" spans="2:11" ht="12.75">
      <c r="B16862" s="4"/>
      <c r="D16862" s="67"/>
      <c r="G16862" s="68"/>
      <c r="K16862" s="68"/>
    </row>
    <row r="16863" spans="2:11" ht="12.75">
      <c r="B16863" s="4"/>
      <c r="D16863" s="67"/>
      <c r="G16863" s="68"/>
      <c r="K16863" s="68"/>
    </row>
    <row r="16864" spans="2:11" ht="12.75">
      <c r="B16864" s="4"/>
      <c r="D16864" s="67"/>
      <c r="G16864" s="68"/>
      <c r="K16864" s="68"/>
    </row>
    <row r="16865" spans="2:11" ht="12.75">
      <c r="B16865" s="4"/>
      <c r="D16865" s="67"/>
      <c r="G16865" s="68"/>
      <c r="K16865" s="68"/>
    </row>
    <row r="16866" spans="2:11" ht="12.75">
      <c r="B16866" s="4"/>
      <c r="D16866" s="67"/>
      <c r="G16866" s="68"/>
      <c r="K16866" s="68"/>
    </row>
    <row r="16867" spans="2:11" ht="12.75">
      <c r="B16867" s="4"/>
      <c r="D16867" s="67"/>
      <c r="G16867" s="68"/>
      <c r="K16867" s="68"/>
    </row>
    <row r="16868" spans="2:11" ht="12.75">
      <c r="B16868" s="4"/>
      <c r="D16868" s="67"/>
      <c r="G16868" s="68"/>
      <c r="K16868" s="68"/>
    </row>
    <row r="16869" spans="2:11" ht="12.75">
      <c r="B16869" s="4"/>
      <c r="D16869" s="67"/>
      <c r="G16869" s="68"/>
      <c r="K16869" s="68"/>
    </row>
    <row r="16870" spans="2:11" ht="12.75">
      <c r="B16870" s="4"/>
      <c r="D16870" s="67"/>
      <c r="G16870" s="68"/>
      <c r="K16870" s="68"/>
    </row>
    <row r="16871" spans="2:11" ht="12.75">
      <c r="B16871" s="4"/>
      <c r="D16871" s="67"/>
      <c r="G16871" s="68"/>
      <c r="K16871" s="68"/>
    </row>
    <row r="16872" spans="2:11" ht="12.75">
      <c r="B16872" s="4"/>
      <c r="D16872" s="67"/>
      <c r="G16872" s="68"/>
      <c r="K16872" s="68"/>
    </row>
    <row r="16873" spans="2:11" ht="12.75">
      <c r="B16873" s="4"/>
      <c r="D16873" s="67"/>
      <c r="G16873" s="68"/>
      <c r="K16873" s="68"/>
    </row>
    <row r="16874" spans="2:11" ht="12.75">
      <c r="B16874" s="4"/>
      <c r="D16874" s="67"/>
      <c r="G16874" s="68"/>
      <c r="K16874" s="68"/>
    </row>
    <row r="16875" spans="2:11" ht="12.75">
      <c r="B16875" s="4"/>
      <c r="D16875" s="67"/>
      <c r="G16875" s="68"/>
      <c r="K16875" s="68"/>
    </row>
    <row r="16876" spans="2:11" ht="12.75">
      <c r="B16876" s="4"/>
      <c r="D16876" s="67"/>
      <c r="G16876" s="68"/>
      <c r="K16876" s="68"/>
    </row>
    <row r="16877" spans="2:11" ht="12.75">
      <c r="B16877" s="4"/>
      <c r="D16877" s="67"/>
      <c r="G16877" s="68"/>
      <c r="K16877" s="68"/>
    </row>
    <row r="16878" spans="2:11" ht="12.75">
      <c r="B16878" s="4"/>
      <c r="D16878" s="67"/>
      <c r="G16878" s="68"/>
      <c r="K16878" s="68"/>
    </row>
    <row r="16879" spans="2:11" ht="12.75">
      <c r="B16879" s="4"/>
      <c r="D16879" s="67"/>
      <c r="G16879" s="68"/>
      <c r="K16879" s="68"/>
    </row>
    <row r="16880" spans="2:11" ht="12.75">
      <c r="B16880" s="4"/>
      <c r="D16880" s="67"/>
      <c r="G16880" s="68"/>
      <c r="K16880" s="68"/>
    </row>
    <row r="16881" spans="2:11" ht="12.75">
      <c r="B16881" s="4"/>
      <c r="D16881" s="67"/>
      <c r="G16881" s="68"/>
      <c r="K16881" s="68"/>
    </row>
    <row r="16882" spans="2:11" ht="12.75">
      <c r="B16882" s="4"/>
      <c r="D16882" s="67"/>
      <c r="G16882" s="68"/>
      <c r="K16882" s="68"/>
    </row>
    <row r="16883" spans="2:11" ht="12.75">
      <c r="B16883" s="4"/>
      <c r="D16883" s="67"/>
      <c r="G16883" s="68"/>
      <c r="K16883" s="68"/>
    </row>
    <row r="16884" spans="2:11" ht="12.75">
      <c r="B16884" s="4"/>
      <c r="D16884" s="67"/>
      <c r="G16884" s="68"/>
      <c r="K16884" s="68"/>
    </row>
    <row r="16885" spans="2:11" ht="12.75">
      <c r="B16885" s="4"/>
      <c r="D16885" s="67"/>
      <c r="G16885" s="68"/>
      <c r="K16885" s="68"/>
    </row>
    <row r="16886" spans="2:11" ht="12.75">
      <c r="B16886" s="4"/>
      <c r="D16886" s="67"/>
      <c r="G16886" s="68"/>
      <c r="K16886" s="68"/>
    </row>
    <row r="16887" spans="2:11" ht="12.75">
      <c r="B16887" s="4"/>
      <c r="D16887" s="67"/>
      <c r="G16887" s="68"/>
      <c r="K16887" s="68"/>
    </row>
    <row r="16888" spans="2:11" ht="12.75">
      <c r="B16888" s="4"/>
      <c r="D16888" s="67"/>
      <c r="G16888" s="68"/>
      <c r="K16888" s="68"/>
    </row>
    <row r="16889" spans="2:11" ht="12.75">
      <c r="B16889" s="4"/>
      <c r="D16889" s="67"/>
      <c r="G16889" s="68"/>
      <c r="K16889" s="68"/>
    </row>
    <row r="16890" spans="2:11" ht="12.75">
      <c r="B16890" s="4"/>
      <c r="D16890" s="67"/>
      <c r="G16890" s="68"/>
      <c r="K16890" s="68"/>
    </row>
    <row r="16891" spans="2:11" ht="12.75">
      <c r="B16891" s="4"/>
      <c r="D16891" s="67"/>
      <c r="G16891" s="68"/>
      <c r="K16891" s="68"/>
    </row>
    <row r="16892" spans="2:11" ht="12.75">
      <c r="B16892" s="4"/>
      <c r="D16892" s="67"/>
      <c r="G16892" s="68"/>
      <c r="K16892" s="68"/>
    </row>
    <row r="16893" spans="2:11" ht="12.75">
      <c r="B16893" s="4"/>
      <c r="D16893" s="67"/>
      <c r="G16893" s="68"/>
      <c r="K16893" s="68"/>
    </row>
    <row r="16894" spans="2:11" ht="12.75">
      <c r="B16894" s="4"/>
      <c r="D16894" s="67"/>
      <c r="G16894" s="68"/>
      <c r="K16894" s="68"/>
    </row>
    <row r="16895" spans="2:11" ht="12.75">
      <c r="B16895" s="4"/>
      <c r="D16895" s="67"/>
      <c r="G16895" s="68"/>
      <c r="K16895" s="68"/>
    </row>
    <row r="16896" spans="2:11" ht="12.75">
      <c r="B16896" s="4"/>
      <c r="D16896" s="67"/>
      <c r="G16896" s="68"/>
      <c r="K16896" s="68"/>
    </row>
    <row r="16897" spans="2:11" ht="12.75">
      <c r="B16897" s="4"/>
      <c r="D16897" s="67"/>
      <c r="G16897" s="68"/>
      <c r="K16897" s="68"/>
    </row>
    <row r="16898" spans="2:11" ht="12.75">
      <c r="B16898" s="4"/>
      <c r="D16898" s="67"/>
      <c r="G16898" s="68"/>
      <c r="K16898" s="68"/>
    </row>
    <row r="16899" spans="2:11" ht="12.75">
      <c r="B16899" s="4"/>
      <c r="D16899" s="67"/>
      <c r="G16899" s="68"/>
      <c r="K16899" s="68"/>
    </row>
    <row r="16900" spans="2:11" ht="12.75">
      <c r="B16900" s="4"/>
      <c r="D16900" s="67"/>
      <c r="G16900" s="68"/>
      <c r="K16900" s="68"/>
    </row>
    <row r="16901" spans="2:11" ht="12.75">
      <c r="B16901" s="4"/>
      <c r="D16901" s="67"/>
      <c r="G16901" s="68"/>
      <c r="K16901" s="68"/>
    </row>
    <row r="16902" spans="2:11" ht="12.75">
      <c r="B16902" s="4"/>
      <c r="D16902" s="67"/>
      <c r="G16902" s="68"/>
      <c r="K16902" s="68"/>
    </row>
    <row r="16903" spans="2:11" ht="12.75">
      <c r="B16903" s="4"/>
      <c r="D16903" s="67"/>
      <c r="G16903" s="68"/>
      <c r="K16903" s="68"/>
    </row>
    <row r="16904" spans="2:11" ht="12.75">
      <c r="B16904" s="4"/>
      <c r="D16904" s="67"/>
      <c r="G16904" s="68"/>
      <c r="K16904" s="68"/>
    </row>
    <row r="16905" spans="2:11" ht="12.75">
      <c r="B16905" s="4"/>
      <c r="D16905" s="67"/>
      <c r="G16905" s="68"/>
      <c r="K16905" s="68"/>
    </row>
    <row r="16906" spans="2:11" ht="12.75">
      <c r="B16906" s="4"/>
      <c r="D16906" s="67"/>
      <c r="G16906" s="68"/>
      <c r="K16906" s="68"/>
    </row>
    <row r="16907" spans="2:11" ht="12.75">
      <c r="B16907" s="4"/>
      <c r="D16907" s="67"/>
      <c r="G16907" s="68"/>
      <c r="K16907" s="68"/>
    </row>
    <row r="16908" spans="2:11" ht="12.75">
      <c r="B16908" s="4"/>
      <c r="D16908" s="67"/>
      <c r="G16908" s="68"/>
      <c r="K16908" s="68"/>
    </row>
    <row r="16909" spans="2:11" ht="12.75">
      <c r="B16909" s="4"/>
      <c r="D16909" s="67"/>
      <c r="G16909" s="68"/>
      <c r="K16909" s="68"/>
    </row>
    <row r="16910" spans="2:11" ht="12.75">
      <c r="B16910" s="4"/>
      <c r="D16910" s="67"/>
      <c r="G16910" s="68"/>
      <c r="K16910" s="68"/>
    </row>
    <row r="16911" spans="2:11" ht="12.75">
      <c r="B16911" s="4"/>
      <c r="D16911" s="67"/>
      <c r="G16911" s="68"/>
      <c r="K16911" s="68"/>
    </row>
    <row r="16912" spans="2:11" ht="12.75">
      <c r="B16912" s="4"/>
      <c r="D16912" s="67"/>
      <c r="G16912" s="68"/>
      <c r="K16912" s="68"/>
    </row>
    <row r="16913" spans="2:11" ht="12.75">
      <c r="B16913" s="4"/>
      <c r="D16913" s="67"/>
      <c r="G16913" s="68"/>
      <c r="K16913" s="68"/>
    </row>
    <row r="16914" spans="2:11" ht="12.75">
      <c r="B16914" s="4"/>
      <c r="D16914" s="67"/>
      <c r="G16914" s="68"/>
      <c r="K16914" s="68"/>
    </row>
    <row r="16915" spans="2:11" ht="12.75">
      <c r="B16915" s="4"/>
      <c r="D16915" s="67"/>
      <c r="G16915" s="68"/>
      <c r="K16915" s="68"/>
    </row>
    <row r="16916" spans="2:11" ht="12.75">
      <c r="B16916" s="4"/>
      <c r="D16916" s="67"/>
      <c r="G16916" s="68"/>
      <c r="K16916" s="68"/>
    </row>
    <row r="16917" spans="2:11" ht="12.75">
      <c r="B16917" s="4"/>
      <c r="D16917" s="67"/>
      <c r="G16917" s="68"/>
      <c r="K16917" s="68"/>
    </row>
    <row r="16918" spans="2:11" ht="12.75">
      <c r="B16918" s="4"/>
      <c r="D16918" s="67"/>
      <c r="G16918" s="68"/>
      <c r="K16918" s="68"/>
    </row>
    <row r="16919" spans="2:11" ht="12.75">
      <c r="B16919" s="4"/>
      <c r="D16919" s="67"/>
      <c r="G16919" s="68"/>
      <c r="K16919" s="68"/>
    </row>
    <row r="16920" spans="2:11" ht="12.75">
      <c r="B16920" s="4"/>
      <c r="D16920" s="67"/>
      <c r="G16920" s="68"/>
      <c r="K16920" s="68"/>
    </row>
    <row r="16921" spans="2:11" ht="12.75">
      <c r="B16921" s="4"/>
      <c r="D16921" s="67"/>
      <c r="G16921" s="68"/>
      <c r="K16921" s="68"/>
    </row>
    <row r="16922" spans="2:11" ht="12.75">
      <c r="B16922" s="4"/>
      <c r="D16922" s="67"/>
      <c r="G16922" s="68"/>
      <c r="K16922" s="68"/>
    </row>
    <row r="16923" spans="2:11" ht="12.75">
      <c r="B16923" s="4"/>
      <c r="D16923" s="67"/>
      <c r="G16923" s="68"/>
      <c r="K16923" s="68"/>
    </row>
    <row r="16924" spans="2:11" ht="12.75">
      <c r="B16924" s="4"/>
      <c r="D16924" s="67"/>
      <c r="G16924" s="68"/>
      <c r="K16924" s="68"/>
    </row>
    <row r="16925" spans="2:11" ht="12.75">
      <c r="B16925" s="4"/>
      <c r="D16925" s="67"/>
      <c r="G16925" s="68"/>
      <c r="K16925" s="68"/>
    </row>
    <row r="16926" spans="2:11" ht="12.75">
      <c r="B16926" s="4"/>
      <c r="D16926" s="67"/>
      <c r="G16926" s="68"/>
      <c r="K16926" s="68"/>
    </row>
    <row r="16927" spans="2:11" ht="12.75">
      <c r="B16927" s="4"/>
      <c r="D16927" s="67"/>
      <c r="G16927" s="68"/>
      <c r="K16927" s="68"/>
    </row>
    <row r="16928" spans="2:11" ht="12.75">
      <c r="B16928" s="4"/>
      <c r="D16928" s="67"/>
      <c r="G16928" s="68"/>
      <c r="K16928" s="68"/>
    </row>
    <row r="16929" spans="2:11" ht="12.75">
      <c r="B16929" s="4"/>
      <c r="D16929" s="67"/>
      <c r="G16929" s="68"/>
      <c r="K16929" s="68"/>
    </row>
    <row r="16930" spans="2:11" ht="12.75">
      <c r="B16930" s="4"/>
      <c r="D16930" s="67"/>
      <c r="G16930" s="68"/>
      <c r="K16930" s="68"/>
    </row>
    <row r="16931" spans="2:11" ht="12.75">
      <c r="B16931" s="4"/>
      <c r="D16931" s="67"/>
      <c r="G16931" s="68"/>
      <c r="K16931" s="68"/>
    </row>
    <row r="16932" spans="2:11" ht="12.75">
      <c r="B16932" s="4"/>
      <c r="D16932" s="67"/>
      <c r="G16932" s="68"/>
      <c r="K16932" s="68"/>
    </row>
    <row r="16933" spans="2:11" ht="12.75">
      <c r="B16933" s="4"/>
      <c r="D16933" s="67"/>
      <c r="G16933" s="68"/>
      <c r="K16933" s="68"/>
    </row>
    <row r="16934" spans="2:11" ht="12.75">
      <c r="B16934" s="4"/>
      <c r="D16934" s="67"/>
      <c r="G16934" s="68"/>
      <c r="K16934" s="68"/>
    </row>
    <row r="16935" spans="2:11" ht="12.75">
      <c r="B16935" s="4"/>
      <c r="D16935" s="67"/>
      <c r="G16935" s="68"/>
      <c r="K16935" s="68"/>
    </row>
    <row r="16936" spans="2:11" ht="12.75">
      <c r="B16936" s="4"/>
      <c r="D16936" s="67"/>
      <c r="G16936" s="68"/>
      <c r="K16936" s="68"/>
    </row>
    <row r="16937" spans="2:11" ht="12.75">
      <c r="B16937" s="4"/>
      <c r="D16937" s="67"/>
      <c r="G16937" s="68"/>
      <c r="K16937" s="68"/>
    </row>
    <row r="16938" spans="2:11" ht="12.75">
      <c r="B16938" s="4"/>
      <c r="D16938" s="67"/>
      <c r="G16938" s="68"/>
      <c r="K16938" s="68"/>
    </row>
    <row r="16939" spans="2:11" ht="12.75">
      <c r="B16939" s="4"/>
      <c r="D16939" s="67"/>
      <c r="G16939" s="68"/>
      <c r="K16939" s="68"/>
    </row>
    <row r="16940" spans="2:11" ht="12.75">
      <c r="B16940" s="4"/>
      <c r="D16940" s="67"/>
      <c r="G16940" s="68"/>
      <c r="K16940" s="68"/>
    </row>
    <row r="16941" spans="2:11" ht="12.75">
      <c r="B16941" s="4"/>
      <c r="D16941" s="67"/>
      <c r="G16941" s="68"/>
      <c r="K16941" s="68"/>
    </row>
    <row r="16942" spans="2:11" ht="12.75">
      <c r="B16942" s="4"/>
      <c r="D16942" s="67"/>
      <c r="G16942" s="68"/>
      <c r="K16942" s="68"/>
    </row>
    <row r="16943" spans="2:11" ht="12.75">
      <c r="B16943" s="4"/>
      <c r="D16943" s="67"/>
      <c r="G16943" s="68"/>
      <c r="K16943" s="68"/>
    </row>
    <row r="16944" spans="2:11" ht="12.75">
      <c r="B16944" s="4"/>
      <c r="D16944" s="67"/>
      <c r="G16944" s="68"/>
      <c r="K16944" s="68"/>
    </row>
    <row r="16945" spans="2:11" ht="12.75">
      <c r="B16945" s="4"/>
      <c r="D16945" s="67"/>
      <c r="G16945" s="68"/>
      <c r="K16945" s="68"/>
    </row>
    <row r="16946" spans="2:11" ht="12.75">
      <c r="B16946" s="4"/>
      <c r="D16946" s="67"/>
      <c r="G16946" s="68"/>
      <c r="K16946" s="68"/>
    </row>
    <row r="16947" spans="2:11" ht="12.75">
      <c r="B16947" s="4"/>
      <c r="D16947" s="67"/>
      <c r="G16947" s="68"/>
      <c r="K16947" s="68"/>
    </row>
    <row r="16948" spans="2:11" ht="12.75">
      <c r="B16948" s="4"/>
      <c r="D16948" s="67"/>
      <c r="G16948" s="68"/>
      <c r="K16948" s="68"/>
    </row>
    <row r="16949" spans="2:11" ht="12.75">
      <c r="B16949" s="4"/>
      <c r="D16949" s="67"/>
      <c r="G16949" s="68"/>
      <c r="K16949" s="68"/>
    </row>
    <row r="16950" spans="2:11" ht="12.75">
      <c r="B16950" s="4"/>
      <c r="D16950" s="67"/>
      <c r="G16950" s="68"/>
      <c r="K16950" s="68"/>
    </row>
    <row r="16951" spans="2:11" ht="12.75">
      <c r="B16951" s="4"/>
      <c r="D16951" s="67"/>
      <c r="G16951" s="68"/>
      <c r="K16951" s="68"/>
    </row>
    <row r="16952" spans="2:11" ht="12.75">
      <c r="B16952" s="4"/>
      <c r="D16952" s="67"/>
      <c r="G16952" s="68"/>
      <c r="K16952" s="68"/>
    </row>
    <row r="16953" spans="2:11" ht="12.75">
      <c r="B16953" s="4"/>
      <c r="D16953" s="67"/>
      <c r="G16953" s="68"/>
      <c r="K16953" s="68"/>
    </row>
    <row r="16954" spans="2:11" ht="12.75">
      <c r="B16954" s="4"/>
      <c r="D16954" s="67"/>
      <c r="G16954" s="68"/>
      <c r="K16954" s="68"/>
    </row>
    <row r="16955" spans="2:11" ht="12.75">
      <c r="B16955" s="4"/>
      <c r="D16955" s="67"/>
      <c r="G16955" s="68"/>
      <c r="K16955" s="68"/>
    </row>
    <row r="16956" spans="2:11" ht="12.75">
      <c r="B16956" s="4"/>
      <c r="D16956" s="67"/>
      <c r="G16956" s="68"/>
      <c r="K16956" s="68"/>
    </row>
    <row r="16957" spans="2:11" ht="12.75">
      <c r="B16957" s="4"/>
      <c r="D16957" s="67"/>
      <c r="G16957" s="68"/>
      <c r="K16957" s="68"/>
    </row>
    <row r="16958" spans="2:11" ht="12.75">
      <c r="B16958" s="4"/>
      <c r="D16958" s="67"/>
      <c r="G16958" s="68"/>
      <c r="K16958" s="68"/>
    </row>
    <row r="16959" spans="2:11" ht="12.75">
      <c r="B16959" s="4"/>
      <c r="D16959" s="67"/>
      <c r="G16959" s="68"/>
      <c r="K16959" s="68"/>
    </row>
    <row r="16960" spans="2:11" ht="12.75">
      <c r="B16960" s="4"/>
      <c r="D16960" s="67"/>
      <c r="G16960" s="68"/>
      <c r="K16960" s="68"/>
    </row>
    <row r="16961" spans="2:11" ht="12.75">
      <c r="B16961" s="4"/>
      <c r="D16961" s="67"/>
      <c r="G16961" s="68"/>
      <c r="K16961" s="68"/>
    </row>
    <row r="16962" spans="2:11" ht="12.75">
      <c r="B16962" s="4"/>
      <c r="D16962" s="67"/>
      <c r="G16962" s="68"/>
      <c r="K16962" s="68"/>
    </row>
    <row r="16963" spans="2:11" ht="12.75">
      <c r="B16963" s="4"/>
      <c r="D16963" s="67"/>
      <c r="G16963" s="68"/>
      <c r="K16963" s="68"/>
    </row>
    <row r="16964" spans="2:11" ht="12.75">
      <c r="B16964" s="4"/>
      <c r="D16964" s="67"/>
      <c r="G16964" s="68"/>
      <c r="K16964" s="68"/>
    </row>
    <row r="16965" spans="2:11" ht="12.75">
      <c r="B16965" s="4"/>
      <c r="D16965" s="67"/>
      <c r="G16965" s="68"/>
      <c r="K16965" s="68"/>
    </row>
    <row r="16966" spans="2:11" ht="12.75">
      <c r="B16966" s="4"/>
      <c r="D16966" s="67"/>
      <c r="G16966" s="68"/>
      <c r="K16966" s="68"/>
    </row>
    <row r="16967" spans="2:11" ht="12.75">
      <c r="B16967" s="4"/>
      <c r="D16967" s="67"/>
      <c r="G16967" s="68"/>
      <c r="K16967" s="68"/>
    </row>
    <row r="16968" spans="2:11" ht="12.75">
      <c r="B16968" s="4"/>
      <c r="D16968" s="67"/>
      <c r="G16968" s="68"/>
      <c r="K16968" s="68"/>
    </row>
    <row r="16969" spans="2:11" ht="12.75">
      <c r="B16969" s="4"/>
      <c r="D16969" s="67"/>
      <c r="G16969" s="68"/>
      <c r="K16969" s="68"/>
    </row>
    <row r="16970" spans="2:11" ht="12.75">
      <c r="B16970" s="4"/>
      <c r="D16970" s="67"/>
      <c r="G16970" s="68"/>
      <c r="K16970" s="68"/>
    </row>
    <row r="16971" spans="2:11" ht="12.75">
      <c r="B16971" s="4"/>
      <c r="D16971" s="67"/>
      <c r="G16971" s="68"/>
      <c r="K16971" s="68"/>
    </row>
    <row r="16972" spans="2:11" ht="12.75">
      <c r="B16972" s="4"/>
      <c r="D16972" s="67"/>
      <c r="G16972" s="68"/>
      <c r="K16972" s="68"/>
    </row>
    <row r="16973" spans="2:11" ht="12.75">
      <c r="B16973" s="4"/>
      <c r="D16973" s="67"/>
      <c r="G16973" s="68"/>
      <c r="K16973" s="68"/>
    </row>
    <row r="16974" spans="2:11" ht="12.75">
      <c r="B16974" s="4"/>
      <c r="D16974" s="67"/>
      <c r="G16974" s="68"/>
      <c r="K16974" s="68"/>
    </row>
    <row r="16975" spans="2:11" ht="12.75">
      <c r="B16975" s="4"/>
      <c r="D16975" s="67"/>
      <c r="G16975" s="68"/>
      <c r="K16975" s="68"/>
    </row>
    <row r="16976" spans="2:11" ht="12.75">
      <c r="B16976" s="4"/>
      <c r="D16976" s="67"/>
      <c r="G16976" s="68"/>
      <c r="K16976" s="68"/>
    </row>
    <row r="16977" spans="2:11" ht="12.75">
      <c r="B16977" s="4"/>
      <c r="D16977" s="67"/>
      <c r="G16977" s="68"/>
      <c r="K16977" s="68"/>
    </row>
    <row r="16978" spans="2:11" ht="12.75">
      <c r="B16978" s="4"/>
      <c r="D16978" s="67"/>
      <c r="G16978" s="68"/>
      <c r="K16978" s="68"/>
    </row>
    <row r="16979" spans="2:11" ht="12.75">
      <c r="B16979" s="4"/>
      <c r="D16979" s="67"/>
      <c r="G16979" s="68"/>
      <c r="K16979" s="68"/>
    </row>
    <row r="16980" spans="2:11" ht="12.75">
      <c r="B16980" s="4"/>
      <c r="D16980" s="67"/>
      <c r="G16980" s="68"/>
      <c r="K16980" s="68"/>
    </row>
    <row r="16981" spans="2:11" ht="12.75">
      <c r="B16981" s="4"/>
      <c r="D16981" s="67"/>
      <c r="G16981" s="68"/>
      <c r="K16981" s="68"/>
    </row>
    <row r="16982" spans="2:11" ht="12.75">
      <c r="B16982" s="4"/>
      <c r="D16982" s="67"/>
      <c r="G16982" s="68"/>
      <c r="K16982" s="68"/>
    </row>
    <row r="16983" spans="2:11" ht="12.75">
      <c r="B16983" s="4"/>
      <c r="D16983" s="67"/>
      <c r="G16983" s="68"/>
      <c r="K16983" s="68"/>
    </row>
    <row r="16984" spans="2:11" ht="12.75">
      <c r="B16984" s="4"/>
      <c r="D16984" s="67"/>
      <c r="G16984" s="68"/>
      <c r="K16984" s="68"/>
    </row>
    <row r="16985" spans="2:11" ht="12.75">
      <c r="B16985" s="4"/>
      <c r="D16985" s="67"/>
      <c r="G16985" s="68"/>
      <c r="K16985" s="68"/>
    </row>
    <row r="16986" spans="2:11" ht="12.75">
      <c r="B16986" s="4"/>
      <c r="D16986" s="67"/>
      <c r="G16986" s="68"/>
      <c r="K16986" s="68"/>
    </row>
    <row r="16987" spans="2:11" ht="12.75">
      <c r="B16987" s="4"/>
      <c r="D16987" s="67"/>
      <c r="G16987" s="68"/>
      <c r="K16987" s="68"/>
    </row>
    <row r="16988" spans="2:11" ht="12.75">
      <c r="B16988" s="4"/>
      <c r="D16988" s="67"/>
      <c r="G16988" s="68"/>
      <c r="K16988" s="68"/>
    </row>
    <row r="16989" spans="2:11" ht="12.75">
      <c r="B16989" s="4"/>
      <c r="D16989" s="67"/>
      <c r="G16989" s="68"/>
      <c r="K16989" s="68"/>
    </row>
    <row r="16990" spans="2:11" ht="12.75">
      <c r="B16990" s="4"/>
      <c r="D16990" s="67"/>
      <c r="G16990" s="68"/>
      <c r="K16990" s="68"/>
    </row>
    <row r="16991" spans="2:11" ht="12.75">
      <c r="B16991" s="4"/>
      <c r="D16991" s="67"/>
      <c r="G16991" s="68"/>
      <c r="K16991" s="68"/>
    </row>
    <row r="16992" spans="2:11" ht="12.75">
      <c r="B16992" s="4"/>
      <c r="D16992" s="67"/>
      <c r="G16992" s="68"/>
      <c r="K16992" s="68"/>
    </row>
    <row r="16993" spans="2:11" ht="12.75">
      <c r="B16993" s="4"/>
      <c r="D16993" s="67"/>
      <c r="G16993" s="68"/>
      <c r="K16993" s="68"/>
    </row>
    <row r="16994" spans="2:11" ht="12.75">
      <c r="B16994" s="4"/>
      <c r="D16994" s="67"/>
      <c r="G16994" s="68"/>
      <c r="K16994" s="68"/>
    </row>
    <row r="16995" spans="2:11" ht="12.75">
      <c r="B16995" s="4"/>
      <c r="D16995" s="67"/>
      <c r="G16995" s="68"/>
      <c r="K16995" s="68"/>
    </row>
    <row r="16996" spans="2:11" ht="12.75">
      <c r="B16996" s="4"/>
      <c r="D16996" s="67"/>
      <c r="G16996" s="68"/>
      <c r="K16996" s="68"/>
    </row>
    <row r="16997" spans="2:11" ht="12.75">
      <c r="B16997" s="4"/>
      <c r="D16997" s="67"/>
      <c r="G16997" s="68"/>
      <c r="K16997" s="68"/>
    </row>
    <row r="16998" spans="2:11" ht="12.75">
      <c r="B16998" s="4"/>
      <c r="D16998" s="67"/>
      <c r="G16998" s="68"/>
      <c r="K16998" s="68"/>
    </row>
    <row r="16999" spans="2:11" ht="12.75">
      <c r="B16999" s="4"/>
      <c r="D16999" s="67"/>
      <c r="G16999" s="68"/>
      <c r="K16999" s="68"/>
    </row>
    <row r="17000" spans="2:11" ht="12.75">
      <c r="B17000" s="4"/>
      <c r="D17000" s="67"/>
      <c r="G17000" s="68"/>
      <c r="K17000" s="68"/>
    </row>
    <row r="17001" spans="2:11" ht="12.75">
      <c r="B17001" s="4"/>
      <c r="D17001" s="67"/>
      <c r="G17001" s="68"/>
      <c r="K17001" s="68"/>
    </row>
    <row r="17002" spans="2:11" ht="12.75">
      <c r="B17002" s="4"/>
      <c r="D17002" s="67"/>
      <c r="G17002" s="68"/>
      <c r="K17002" s="68"/>
    </row>
    <row r="17003" spans="2:11" ht="12.75">
      <c r="B17003" s="4"/>
      <c r="D17003" s="67"/>
      <c r="G17003" s="68"/>
      <c r="K17003" s="68"/>
    </row>
    <row r="17004" spans="2:11" ht="12.75">
      <c r="B17004" s="4"/>
      <c r="D17004" s="67"/>
      <c r="G17004" s="68"/>
      <c r="K17004" s="68"/>
    </row>
    <row r="17005" spans="2:11" ht="12.75">
      <c r="B17005" s="4"/>
      <c r="D17005" s="67"/>
      <c r="G17005" s="68"/>
      <c r="K17005" s="68"/>
    </row>
    <row r="17006" spans="2:11" ht="12.75">
      <c r="B17006" s="4"/>
      <c r="D17006" s="67"/>
      <c r="G17006" s="68"/>
      <c r="K17006" s="68"/>
    </row>
    <row r="17007" spans="2:11" ht="12.75">
      <c r="B17007" s="4"/>
      <c r="D17007" s="67"/>
      <c r="G17007" s="68"/>
      <c r="K17007" s="68"/>
    </row>
    <row r="17008" spans="2:11" ht="12.75">
      <c r="B17008" s="4"/>
      <c r="D17008" s="67"/>
      <c r="G17008" s="68"/>
      <c r="K17008" s="68"/>
    </row>
    <row r="17009" spans="2:11" ht="12.75">
      <c r="B17009" s="4"/>
      <c r="D17009" s="67"/>
      <c r="G17009" s="68"/>
      <c r="K17009" s="68"/>
    </row>
    <row r="17010" spans="2:11" ht="12.75">
      <c r="B17010" s="4"/>
      <c r="D17010" s="67"/>
      <c r="G17010" s="68"/>
      <c r="K17010" s="68"/>
    </row>
    <row r="17011" spans="2:11" ht="12.75">
      <c r="B17011" s="4"/>
      <c r="D17011" s="67"/>
      <c r="G17011" s="68"/>
      <c r="K17011" s="68"/>
    </row>
    <row r="17012" spans="2:11" ht="12.75">
      <c r="B17012" s="4"/>
      <c r="D17012" s="67"/>
      <c r="G17012" s="68"/>
      <c r="K17012" s="68"/>
    </row>
    <row r="17013" spans="2:11" ht="12.75">
      <c r="B17013" s="4"/>
      <c r="D17013" s="67"/>
      <c r="G17013" s="68"/>
      <c r="K17013" s="68"/>
    </row>
    <row r="17014" spans="2:11" ht="12.75">
      <c r="B17014" s="4"/>
      <c r="D17014" s="67"/>
      <c r="G17014" s="68"/>
      <c r="K17014" s="68"/>
    </row>
    <row r="17015" spans="2:11" ht="12.75">
      <c r="B17015" s="4"/>
      <c r="D17015" s="67"/>
      <c r="G17015" s="68"/>
      <c r="K17015" s="68"/>
    </row>
    <row r="17016" spans="2:11" ht="12.75">
      <c r="B17016" s="4"/>
      <c r="D17016" s="67"/>
      <c r="G17016" s="68"/>
      <c r="K17016" s="68"/>
    </row>
    <row r="17017" spans="2:11" ht="12.75">
      <c r="B17017" s="4"/>
      <c r="D17017" s="67"/>
      <c r="G17017" s="68"/>
      <c r="K17017" s="68"/>
    </row>
    <row r="17018" spans="2:11" ht="12.75">
      <c r="B17018" s="4"/>
      <c r="D17018" s="67"/>
      <c r="G17018" s="68"/>
      <c r="K17018" s="68"/>
    </row>
    <row r="17019" spans="2:11" ht="12.75">
      <c r="B17019" s="4"/>
      <c r="D17019" s="67"/>
      <c r="G17019" s="68"/>
      <c r="K17019" s="68"/>
    </row>
    <row r="17020" spans="2:11" ht="12.75">
      <c r="B17020" s="4"/>
      <c r="D17020" s="67"/>
      <c r="G17020" s="68"/>
      <c r="K17020" s="68"/>
    </row>
    <row r="17021" spans="2:11" ht="12.75">
      <c r="B17021" s="4"/>
      <c r="D17021" s="67"/>
      <c r="G17021" s="68"/>
      <c r="K17021" s="68"/>
    </row>
    <row r="17022" spans="2:11" ht="12.75">
      <c r="B17022" s="4"/>
      <c r="D17022" s="67"/>
      <c r="G17022" s="68"/>
      <c r="K17022" s="68"/>
    </row>
    <row r="17023" spans="2:11" ht="12.75">
      <c r="B17023" s="4"/>
      <c r="D17023" s="67"/>
      <c r="G17023" s="68"/>
      <c r="K17023" s="68"/>
    </row>
    <row r="17024" spans="2:11" ht="12.75">
      <c r="B17024" s="4"/>
      <c r="D17024" s="67"/>
      <c r="G17024" s="68"/>
      <c r="K17024" s="68"/>
    </row>
    <row r="17025" spans="2:11" ht="12.75">
      <c r="B17025" s="4"/>
      <c r="D17025" s="67"/>
      <c r="G17025" s="68"/>
      <c r="K17025" s="68"/>
    </row>
    <row r="17026" spans="2:11" ht="12.75">
      <c r="B17026" s="4"/>
      <c r="D17026" s="67"/>
      <c r="G17026" s="68"/>
      <c r="K17026" s="68"/>
    </row>
    <row r="17027" spans="2:11" ht="12.75">
      <c r="B17027" s="4"/>
      <c r="D17027" s="67"/>
      <c r="G17027" s="68"/>
      <c r="K17027" s="68"/>
    </row>
    <row r="17028" spans="2:11" ht="12.75">
      <c r="B17028" s="4"/>
      <c r="D17028" s="67"/>
      <c r="G17028" s="68"/>
      <c r="K17028" s="68"/>
    </row>
    <row r="17029" spans="2:11" ht="12.75">
      <c r="B17029" s="4"/>
      <c r="D17029" s="67"/>
      <c r="G17029" s="68"/>
      <c r="K17029" s="68"/>
    </row>
    <row r="17030" spans="2:11" ht="12.75">
      <c r="B17030" s="4"/>
      <c r="D17030" s="67"/>
      <c r="G17030" s="68"/>
      <c r="K17030" s="68"/>
    </row>
    <row r="17031" spans="2:11" ht="12.75">
      <c r="B17031" s="4"/>
      <c r="D17031" s="67"/>
      <c r="G17031" s="68"/>
      <c r="K17031" s="68"/>
    </row>
    <row r="17032" spans="2:11" ht="12.75">
      <c r="B17032" s="4"/>
      <c r="D17032" s="67"/>
      <c r="G17032" s="68"/>
      <c r="K17032" s="68"/>
    </row>
    <row r="17033" spans="2:11" ht="12.75">
      <c r="B17033" s="4"/>
      <c r="D17033" s="67"/>
      <c r="G17033" s="68"/>
      <c r="K17033" s="68"/>
    </row>
    <row r="17034" spans="2:11" ht="12.75">
      <c r="B17034" s="4"/>
      <c r="D17034" s="67"/>
      <c r="G17034" s="68"/>
      <c r="K17034" s="68"/>
    </row>
    <row r="17035" spans="2:11" ht="12.75">
      <c r="B17035" s="4"/>
      <c r="D17035" s="67"/>
      <c r="G17035" s="68"/>
      <c r="K17035" s="68"/>
    </row>
    <row r="17036" spans="2:11" ht="12.75">
      <c r="B17036" s="4"/>
      <c r="D17036" s="67"/>
      <c r="G17036" s="68"/>
      <c r="K17036" s="68"/>
    </row>
    <row r="17037" spans="2:11" ht="12.75">
      <c r="B17037" s="4"/>
      <c r="D17037" s="67"/>
      <c r="G17037" s="68"/>
      <c r="K17037" s="68"/>
    </row>
    <row r="17038" spans="2:11" ht="12.75">
      <c r="B17038" s="4"/>
      <c r="D17038" s="67"/>
      <c r="G17038" s="68"/>
      <c r="K17038" s="68"/>
    </row>
    <row r="17039" spans="2:11" ht="12.75">
      <c r="B17039" s="4"/>
      <c r="D17039" s="67"/>
      <c r="G17039" s="68"/>
      <c r="K17039" s="68"/>
    </row>
    <row r="17040" spans="2:11" ht="12.75">
      <c r="B17040" s="4"/>
      <c r="D17040" s="67"/>
      <c r="G17040" s="68"/>
      <c r="K17040" s="68"/>
    </row>
    <row r="17041" spans="2:11" ht="12.75">
      <c r="B17041" s="4"/>
      <c r="D17041" s="67"/>
      <c r="G17041" s="68"/>
      <c r="K17041" s="68"/>
    </row>
    <row r="17042" spans="2:11" ht="12.75">
      <c r="B17042" s="4"/>
      <c r="D17042" s="67"/>
      <c r="G17042" s="68"/>
      <c r="K17042" s="68"/>
    </row>
    <row r="17043" spans="2:11" ht="12.75">
      <c r="B17043" s="4"/>
      <c r="D17043" s="67"/>
      <c r="G17043" s="68"/>
      <c r="K17043" s="68"/>
    </row>
    <row r="17044" spans="2:11" ht="12.75">
      <c r="B17044" s="4"/>
      <c r="D17044" s="67"/>
      <c r="G17044" s="68"/>
      <c r="K17044" s="68"/>
    </row>
    <row r="17045" spans="2:11" ht="12.75">
      <c r="B17045" s="4"/>
      <c r="D17045" s="67"/>
      <c r="G17045" s="68"/>
      <c r="K17045" s="68"/>
    </row>
    <row r="17046" spans="2:11" ht="12.75">
      <c r="B17046" s="4"/>
      <c r="D17046" s="67"/>
      <c r="G17046" s="68"/>
      <c r="K17046" s="68"/>
    </row>
    <row r="17047" spans="2:11" ht="12.75">
      <c r="B17047" s="4"/>
      <c r="D17047" s="67"/>
      <c r="G17047" s="68"/>
      <c r="K17047" s="68"/>
    </row>
    <row r="17048" spans="2:11" ht="12.75">
      <c r="B17048" s="4"/>
      <c r="D17048" s="67"/>
      <c r="G17048" s="68"/>
      <c r="K17048" s="68"/>
    </row>
    <row r="17049" spans="2:11" ht="12.75">
      <c r="B17049" s="4"/>
      <c r="D17049" s="67"/>
      <c r="G17049" s="68"/>
      <c r="K17049" s="68"/>
    </row>
    <row r="17050" spans="2:11" ht="12.75">
      <c r="B17050" s="4"/>
      <c r="D17050" s="67"/>
      <c r="G17050" s="68"/>
      <c r="K17050" s="68"/>
    </row>
    <row r="17051" spans="2:11" ht="12.75">
      <c r="B17051" s="4"/>
      <c r="D17051" s="67"/>
      <c r="G17051" s="68"/>
      <c r="K17051" s="68"/>
    </row>
    <row r="17052" spans="2:11" ht="12.75">
      <c r="B17052" s="4"/>
      <c r="D17052" s="67"/>
      <c r="G17052" s="68"/>
      <c r="K17052" s="68"/>
    </row>
    <row r="17053" spans="2:11" ht="12.75">
      <c r="B17053" s="4"/>
      <c r="D17053" s="67"/>
      <c r="G17053" s="68"/>
      <c r="K17053" s="68"/>
    </row>
    <row r="17054" spans="2:11" ht="12.75">
      <c r="B17054" s="4"/>
      <c r="D17054" s="67"/>
      <c r="G17054" s="68"/>
      <c r="K17054" s="68"/>
    </row>
    <row r="17055" spans="2:11" ht="12.75">
      <c r="B17055" s="4"/>
      <c r="D17055" s="67"/>
      <c r="G17055" s="68"/>
      <c r="K17055" s="68"/>
    </row>
    <row r="17056" spans="2:11" ht="12.75">
      <c r="B17056" s="4"/>
      <c r="D17056" s="67"/>
      <c r="G17056" s="68"/>
      <c r="K17056" s="68"/>
    </row>
    <row r="17057" spans="2:11" ht="12.75">
      <c r="B17057" s="4"/>
      <c r="D17057" s="67"/>
      <c r="G17057" s="68"/>
      <c r="K17057" s="68"/>
    </row>
    <row r="17058" spans="2:11" ht="12.75">
      <c r="B17058" s="4"/>
      <c r="D17058" s="67"/>
      <c r="G17058" s="68"/>
      <c r="K17058" s="68"/>
    </row>
    <row r="17059" spans="2:11" ht="12.75">
      <c r="B17059" s="4"/>
      <c r="D17059" s="67"/>
      <c r="G17059" s="68"/>
      <c r="K17059" s="68"/>
    </row>
    <row r="17060" spans="2:11" ht="12.75">
      <c r="B17060" s="4"/>
      <c r="D17060" s="67"/>
      <c r="G17060" s="68"/>
      <c r="K17060" s="68"/>
    </row>
    <row r="17061" spans="2:11" ht="12.75">
      <c r="B17061" s="4"/>
      <c r="D17061" s="67"/>
      <c r="G17061" s="68"/>
      <c r="K17061" s="68"/>
    </row>
    <row r="17062" spans="2:11" ht="12.75">
      <c r="B17062" s="4"/>
      <c r="D17062" s="67"/>
      <c r="G17062" s="68"/>
      <c r="K17062" s="68"/>
    </row>
    <row r="17063" spans="2:11" ht="12.75">
      <c r="B17063" s="4"/>
      <c r="D17063" s="67"/>
      <c r="G17063" s="68"/>
      <c r="K17063" s="68"/>
    </row>
    <row r="17064" spans="2:11" ht="12.75">
      <c r="B17064" s="4"/>
      <c r="D17064" s="67"/>
      <c r="G17064" s="68"/>
      <c r="K17064" s="68"/>
    </row>
    <row r="17065" spans="2:11" ht="12.75">
      <c r="B17065" s="4"/>
      <c r="D17065" s="67"/>
      <c r="G17065" s="68"/>
      <c r="K17065" s="68"/>
    </row>
    <row r="17066" spans="2:11" ht="12.75">
      <c r="B17066" s="4"/>
      <c r="D17066" s="67"/>
      <c r="G17066" s="68"/>
      <c r="K17066" s="68"/>
    </row>
    <row r="17067" spans="2:11" ht="12.75">
      <c r="B17067" s="4"/>
      <c r="D17067" s="67"/>
      <c r="G17067" s="68"/>
      <c r="K17067" s="68"/>
    </row>
    <row r="17068" spans="2:11" ht="12.75">
      <c r="B17068" s="4"/>
      <c r="D17068" s="67"/>
      <c r="G17068" s="68"/>
      <c r="K17068" s="68"/>
    </row>
    <row r="17069" spans="2:11" ht="12.75">
      <c r="B17069" s="4"/>
      <c r="D17069" s="67"/>
      <c r="G17069" s="68"/>
      <c r="K17069" s="68"/>
    </row>
    <row r="17070" spans="2:11" ht="12.75">
      <c r="B17070" s="4"/>
      <c r="D17070" s="67"/>
      <c r="G17070" s="68"/>
      <c r="K17070" s="68"/>
    </row>
    <row r="17071" spans="2:11" ht="12.75">
      <c r="B17071" s="4"/>
      <c r="D17071" s="67"/>
      <c r="G17071" s="68"/>
      <c r="K17071" s="68"/>
    </row>
    <row r="17072" spans="2:11" ht="12.75">
      <c r="B17072" s="4"/>
      <c r="D17072" s="67"/>
      <c r="G17072" s="68"/>
      <c r="K17072" s="68"/>
    </row>
    <row r="17073" spans="2:11" ht="12.75">
      <c r="B17073" s="4"/>
      <c r="D17073" s="67"/>
      <c r="G17073" s="68"/>
      <c r="K17073" s="68"/>
    </row>
    <row r="17074" spans="2:11" ht="12.75">
      <c r="B17074" s="4"/>
      <c r="D17074" s="67"/>
      <c r="G17074" s="68"/>
      <c r="K17074" s="68"/>
    </row>
    <row r="17075" spans="2:11" ht="12.75">
      <c r="B17075" s="4"/>
      <c r="D17075" s="67"/>
      <c r="G17075" s="68"/>
      <c r="K17075" s="68"/>
    </row>
    <row r="17076" spans="2:11" ht="12.75">
      <c r="B17076" s="4"/>
      <c r="D17076" s="67"/>
      <c r="G17076" s="68"/>
      <c r="K17076" s="68"/>
    </row>
    <row r="17077" spans="2:11" ht="12.75">
      <c r="B17077" s="4"/>
      <c r="D17077" s="67"/>
      <c r="G17077" s="68"/>
      <c r="K17077" s="68"/>
    </row>
    <row r="17078" spans="2:11" ht="12.75">
      <c r="B17078" s="4"/>
      <c r="D17078" s="67"/>
      <c r="G17078" s="68"/>
      <c r="K17078" s="68"/>
    </row>
    <row r="17079" spans="2:11" ht="12.75">
      <c r="B17079" s="4"/>
      <c r="D17079" s="67"/>
      <c r="G17079" s="68"/>
      <c r="K17079" s="68"/>
    </row>
    <row r="17080" spans="2:11" ht="12.75">
      <c r="B17080" s="4"/>
      <c r="D17080" s="67"/>
      <c r="G17080" s="68"/>
      <c r="K17080" s="68"/>
    </row>
    <row r="17081" spans="2:11" ht="12.75">
      <c r="B17081" s="4"/>
      <c r="D17081" s="67"/>
      <c r="G17081" s="68"/>
      <c r="K17081" s="68"/>
    </row>
    <row r="17082" spans="2:11" ht="12.75">
      <c r="B17082" s="4"/>
      <c r="D17082" s="67"/>
      <c r="G17082" s="68"/>
      <c r="K17082" s="68"/>
    </row>
    <row r="17083" spans="2:11" ht="12.75">
      <c r="B17083" s="4"/>
      <c r="D17083" s="67"/>
      <c r="G17083" s="68"/>
      <c r="K17083" s="68"/>
    </row>
    <row r="17084" spans="2:11" ht="12.75">
      <c r="B17084" s="4"/>
      <c r="D17084" s="67"/>
      <c r="G17084" s="68"/>
      <c r="K17084" s="68"/>
    </row>
    <row r="17085" spans="2:11" ht="12.75">
      <c r="B17085" s="4"/>
      <c r="D17085" s="67"/>
      <c r="G17085" s="68"/>
      <c r="K17085" s="68"/>
    </row>
    <row r="17086" spans="2:11" ht="12.75">
      <c r="B17086" s="4"/>
      <c r="D17086" s="67"/>
      <c r="G17086" s="68"/>
      <c r="K17086" s="68"/>
    </row>
    <row r="17087" spans="2:11" ht="12.75">
      <c r="B17087" s="4"/>
      <c r="D17087" s="67"/>
      <c r="G17087" s="68"/>
      <c r="K17087" s="68"/>
    </row>
    <row r="17088" spans="2:11" ht="12.75">
      <c r="B17088" s="4"/>
      <c r="D17088" s="67"/>
      <c r="G17088" s="68"/>
      <c r="K17088" s="68"/>
    </row>
    <row r="17089" spans="2:11" ht="12.75">
      <c r="B17089" s="4"/>
      <c r="D17089" s="67"/>
      <c r="G17089" s="68"/>
      <c r="K17089" s="68"/>
    </row>
    <row r="17090" spans="2:11" ht="12.75">
      <c r="B17090" s="4"/>
      <c r="D17090" s="67"/>
      <c r="G17090" s="68"/>
      <c r="K17090" s="68"/>
    </row>
    <row r="17091" spans="2:11" ht="12.75">
      <c r="B17091" s="4"/>
      <c r="D17091" s="67"/>
      <c r="G17091" s="68"/>
      <c r="K17091" s="68"/>
    </row>
    <row r="17092" spans="2:11" ht="12.75">
      <c r="B17092" s="4"/>
      <c r="D17092" s="67"/>
      <c r="G17092" s="68"/>
      <c r="K17092" s="68"/>
    </row>
    <row r="17093" spans="2:11" ht="12.75">
      <c r="B17093" s="4"/>
      <c r="D17093" s="67"/>
      <c r="G17093" s="68"/>
      <c r="K17093" s="68"/>
    </row>
    <row r="17094" spans="2:11" ht="12.75">
      <c r="B17094" s="4"/>
      <c r="D17094" s="67"/>
      <c r="G17094" s="68"/>
      <c r="K17094" s="68"/>
    </row>
    <row r="17095" spans="2:11" ht="12.75">
      <c r="B17095" s="4"/>
      <c r="D17095" s="67"/>
      <c r="G17095" s="68"/>
      <c r="K17095" s="68"/>
    </row>
    <row r="17096" spans="2:11" ht="12.75">
      <c r="B17096" s="4"/>
      <c r="D17096" s="67"/>
      <c r="G17096" s="68"/>
      <c r="K17096" s="68"/>
    </row>
    <row r="17097" spans="2:11" ht="12.75">
      <c r="B17097" s="4"/>
      <c r="D17097" s="67"/>
      <c r="G17097" s="68"/>
      <c r="K17097" s="68"/>
    </row>
    <row r="17098" spans="2:11" ht="12.75">
      <c r="B17098" s="4"/>
      <c r="D17098" s="67"/>
      <c r="G17098" s="68"/>
      <c r="K17098" s="68"/>
    </row>
    <row r="17099" spans="2:11" ht="12.75">
      <c r="B17099" s="4"/>
      <c r="D17099" s="67"/>
      <c r="G17099" s="68"/>
      <c r="K17099" s="68"/>
    </row>
    <row r="17100" spans="2:11" ht="12.75">
      <c r="B17100" s="4"/>
      <c r="D17100" s="67"/>
      <c r="G17100" s="68"/>
      <c r="K17100" s="68"/>
    </row>
    <row r="17101" spans="2:11" ht="12.75">
      <c r="B17101" s="4"/>
      <c r="D17101" s="67"/>
      <c r="G17101" s="68"/>
      <c r="K17101" s="68"/>
    </row>
    <row r="17102" spans="2:11" ht="12.75">
      <c r="B17102" s="4"/>
      <c r="D17102" s="67"/>
      <c r="G17102" s="68"/>
      <c r="K17102" s="68"/>
    </row>
    <row r="17103" spans="2:11" ht="12.75">
      <c r="B17103" s="4"/>
      <c r="D17103" s="67"/>
      <c r="G17103" s="68"/>
      <c r="K17103" s="68"/>
    </row>
    <row r="17104" spans="2:11" ht="12.75">
      <c r="B17104" s="4"/>
      <c r="D17104" s="67"/>
      <c r="G17104" s="68"/>
      <c r="K17104" s="68"/>
    </row>
    <row r="17105" spans="2:11" ht="12.75">
      <c r="B17105" s="4"/>
      <c r="D17105" s="67"/>
      <c r="G17105" s="68"/>
      <c r="K17105" s="68"/>
    </row>
    <row r="17106" spans="2:11" ht="12.75">
      <c r="B17106" s="4"/>
      <c r="D17106" s="67"/>
      <c r="G17106" s="68"/>
      <c r="K17106" s="68"/>
    </row>
    <row r="17107" spans="2:11" ht="12.75">
      <c r="B17107" s="4"/>
      <c r="D17107" s="67"/>
      <c r="G17107" s="68"/>
      <c r="K17107" s="68"/>
    </row>
    <row r="17108" spans="2:11" ht="12.75">
      <c r="B17108" s="4"/>
      <c r="D17108" s="67"/>
      <c r="G17108" s="68"/>
      <c r="K17108" s="68"/>
    </row>
    <row r="17109" spans="2:11" ht="12.75">
      <c r="B17109" s="4"/>
      <c r="D17109" s="67"/>
      <c r="G17109" s="68"/>
      <c r="K17109" s="68"/>
    </row>
    <row r="17110" spans="2:11" ht="12.75">
      <c r="B17110" s="4"/>
      <c r="D17110" s="67"/>
      <c r="G17110" s="68"/>
      <c r="K17110" s="68"/>
    </row>
    <row r="17111" spans="2:11" ht="12.75">
      <c r="B17111" s="4"/>
      <c r="D17111" s="67"/>
      <c r="G17111" s="68"/>
      <c r="K17111" s="68"/>
    </row>
    <row r="17112" spans="2:11" ht="12.75">
      <c r="B17112" s="4"/>
      <c r="D17112" s="67"/>
      <c r="G17112" s="68"/>
      <c r="K17112" s="68"/>
    </row>
    <row r="17113" spans="2:11" ht="12.75">
      <c r="B17113" s="4"/>
      <c r="D17113" s="67"/>
      <c r="G17113" s="68"/>
      <c r="K17113" s="68"/>
    </row>
    <row r="17114" spans="2:11" ht="12.75">
      <c r="B17114" s="4"/>
      <c r="D17114" s="67"/>
      <c r="G17114" s="68"/>
      <c r="K17114" s="68"/>
    </row>
    <row r="17115" spans="2:11" ht="12.75">
      <c r="B17115" s="4"/>
      <c r="D17115" s="67"/>
      <c r="G17115" s="68"/>
      <c r="K17115" s="68"/>
    </row>
    <row r="17116" spans="2:11" ht="12.75">
      <c r="B17116" s="4"/>
      <c r="D17116" s="67"/>
      <c r="G17116" s="68"/>
      <c r="K17116" s="68"/>
    </row>
    <row r="17117" spans="2:11" ht="12.75">
      <c r="B17117" s="4"/>
      <c r="D17117" s="67"/>
      <c r="G17117" s="68"/>
      <c r="K17117" s="68"/>
    </row>
    <row r="17118" spans="2:11" ht="12.75">
      <c r="B17118" s="4"/>
      <c r="D17118" s="67"/>
      <c r="G17118" s="68"/>
      <c r="K17118" s="68"/>
    </row>
    <row r="17119" spans="2:11" ht="12.75">
      <c r="B17119" s="4"/>
      <c r="D17119" s="67"/>
      <c r="G17119" s="68"/>
      <c r="K17119" s="68"/>
    </row>
    <row r="17120" spans="2:11" ht="12.75">
      <c r="B17120" s="4"/>
      <c r="D17120" s="67"/>
      <c r="G17120" s="68"/>
      <c r="K17120" s="68"/>
    </row>
    <row r="17121" spans="2:11" ht="12.75">
      <c r="B17121" s="4"/>
      <c r="D17121" s="67"/>
      <c r="G17121" s="68"/>
      <c r="K17121" s="68"/>
    </row>
    <row r="17122" spans="2:11" ht="12.75">
      <c r="B17122" s="4"/>
      <c r="D17122" s="67"/>
      <c r="G17122" s="68"/>
      <c r="K17122" s="68"/>
    </row>
    <row r="17123" spans="2:11" ht="12.75">
      <c r="B17123" s="4"/>
      <c r="D17123" s="67"/>
      <c r="G17123" s="68"/>
      <c r="K17123" s="68"/>
    </row>
    <row r="17124" spans="2:11" ht="12.75">
      <c r="B17124" s="4"/>
      <c r="D17124" s="67"/>
      <c r="G17124" s="68"/>
      <c r="K17124" s="68"/>
    </row>
    <row r="17125" spans="2:11" ht="12.75">
      <c r="B17125" s="4"/>
      <c r="D17125" s="67"/>
      <c r="G17125" s="68"/>
      <c r="K17125" s="68"/>
    </row>
    <row r="17126" spans="2:11" ht="12.75">
      <c r="B17126" s="4"/>
      <c r="D17126" s="67"/>
      <c r="G17126" s="68"/>
      <c r="K17126" s="68"/>
    </row>
    <row r="17127" spans="2:11" ht="12.75">
      <c r="B17127" s="4"/>
      <c r="D17127" s="67"/>
      <c r="G17127" s="68"/>
      <c r="K17127" s="68"/>
    </row>
    <row r="17128" spans="2:11" ht="12.75">
      <c r="B17128" s="4"/>
      <c r="D17128" s="67"/>
      <c r="G17128" s="68"/>
      <c r="K17128" s="68"/>
    </row>
    <row r="17129" spans="2:11" ht="12.75">
      <c r="B17129" s="4"/>
      <c r="D17129" s="67"/>
      <c r="G17129" s="68"/>
      <c r="K17129" s="68"/>
    </row>
    <row r="17130" spans="2:11" ht="12.75">
      <c r="B17130" s="4"/>
      <c r="D17130" s="67"/>
      <c r="G17130" s="68"/>
      <c r="K17130" s="68"/>
    </row>
    <row r="17131" spans="2:11" ht="12.75">
      <c r="B17131" s="4"/>
      <c r="D17131" s="67"/>
      <c r="G17131" s="68"/>
      <c r="K17131" s="68"/>
    </row>
    <row r="17132" spans="2:11" ht="12.75">
      <c r="B17132" s="4"/>
      <c r="D17132" s="67"/>
      <c r="G17132" s="68"/>
      <c r="K17132" s="68"/>
    </row>
    <row r="17133" spans="2:11" ht="12.75">
      <c r="B17133" s="4"/>
      <c r="D17133" s="67"/>
      <c r="G17133" s="68"/>
      <c r="K17133" s="68"/>
    </row>
    <row r="17134" spans="2:11" ht="12.75">
      <c r="B17134" s="4"/>
      <c r="D17134" s="67"/>
      <c r="G17134" s="68"/>
      <c r="K17134" s="68"/>
    </row>
    <row r="17135" spans="2:11" ht="12.75">
      <c r="B17135" s="4"/>
      <c r="D17135" s="67"/>
      <c r="G17135" s="68"/>
      <c r="K17135" s="68"/>
    </row>
    <row r="17136" spans="2:11" ht="12.75">
      <c r="B17136" s="4"/>
      <c r="D17136" s="67"/>
      <c r="G17136" s="68"/>
      <c r="K17136" s="68"/>
    </row>
    <row r="17137" spans="2:11" ht="12.75">
      <c r="B17137" s="4"/>
      <c r="D17137" s="67"/>
      <c r="G17137" s="68"/>
      <c r="K17137" s="68"/>
    </row>
    <row r="17138" spans="2:11" ht="12.75">
      <c r="B17138" s="4"/>
      <c r="D17138" s="67"/>
      <c r="G17138" s="68"/>
      <c r="K17138" s="68"/>
    </row>
    <row r="17139" spans="2:11" ht="12.75">
      <c r="B17139" s="4"/>
      <c r="D17139" s="67"/>
      <c r="G17139" s="68"/>
      <c r="K17139" s="68"/>
    </row>
    <row r="17140" spans="2:11" ht="12.75">
      <c r="B17140" s="4"/>
      <c r="D17140" s="67"/>
      <c r="G17140" s="68"/>
      <c r="K17140" s="68"/>
    </row>
    <row r="17141" spans="2:11" ht="12.75">
      <c r="B17141" s="4"/>
      <c r="D17141" s="67"/>
      <c r="G17141" s="68"/>
      <c r="K17141" s="68"/>
    </row>
    <row r="17142" spans="2:11" ht="12.75">
      <c r="B17142" s="4"/>
      <c r="D17142" s="67"/>
      <c r="G17142" s="68"/>
      <c r="K17142" s="68"/>
    </row>
    <row r="17143" spans="2:11" ht="12.75">
      <c r="B17143" s="4"/>
      <c r="D17143" s="67"/>
      <c r="G17143" s="68"/>
      <c r="K17143" s="68"/>
    </row>
    <row r="17144" spans="2:11" ht="12.75">
      <c r="B17144" s="4"/>
      <c r="D17144" s="67"/>
      <c r="G17144" s="68"/>
      <c r="K17144" s="68"/>
    </row>
    <row r="17145" spans="2:11" ht="12.75">
      <c r="B17145" s="4"/>
      <c r="D17145" s="67"/>
      <c r="G17145" s="68"/>
      <c r="K17145" s="68"/>
    </row>
    <row r="17146" spans="2:11" ht="12.75">
      <c r="B17146" s="4"/>
      <c r="D17146" s="67"/>
      <c r="G17146" s="68"/>
      <c r="K17146" s="68"/>
    </row>
    <row r="17147" spans="2:11" ht="12.75">
      <c r="B17147" s="4"/>
      <c r="D17147" s="67"/>
      <c r="G17147" s="68"/>
      <c r="K17147" s="68"/>
    </row>
    <row r="17148" spans="2:11" ht="12.75">
      <c r="B17148" s="4"/>
      <c r="D17148" s="67"/>
      <c r="G17148" s="68"/>
      <c r="K17148" s="68"/>
    </row>
    <row r="17149" spans="2:11" ht="12.75">
      <c r="B17149" s="4"/>
      <c r="D17149" s="67"/>
      <c r="G17149" s="68"/>
      <c r="K17149" s="68"/>
    </row>
    <row r="17150" spans="2:11" ht="12.75">
      <c r="B17150" s="4"/>
      <c r="D17150" s="67"/>
      <c r="G17150" s="68"/>
      <c r="K17150" s="68"/>
    </row>
    <row r="17151" spans="2:11" ht="12.75">
      <c r="B17151" s="4"/>
      <c r="D17151" s="67"/>
      <c r="G17151" s="68"/>
      <c r="K17151" s="68"/>
    </row>
    <row r="17152" spans="2:11" ht="12.75">
      <c r="B17152" s="4"/>
      <c r="D17152" s="67"/>
      <c r="G17152" s="68"/>
      <c r="K17152" s="68"/>
    </row>
    <row r="17153" spans="2:11" ht="12.75">
      <c r="B17153" s="4"/>
      <c r="D17153" s="67"/>
      <c r="G17153" s="68"/>
      <c r="K17153" s="68"/>
    </row>
    <row r="17154" spans="2:11" ht="12.75">
      <c r="B17154" s="4"/>
      <c r="D17154" s="67"/>
      <c r="G17154" s="68"/>
      <c r="K17154" s="68"/>
    </row>
    <row r="17155" spans="2:11" ht="12.75">
      <c r="B17155" s="4"/>
      <c r="D17155" s="67"/>
      <c r="G17155" s="68"/>
      <c r="K17155" s="68"/>
    </row>
    <row r="17156" spans="2:11" ht="12.75">
      <c r="B17156" s="4"/>
      <c r="D17156" s="67"/>
      <c r="G17156" s="68"/>
      <c r="K17156" s="68"/>
    </row>
    <row r="17157" spans="2:11" ht="12.75">
      <c r="B17157" s="4"/>
      <c r="D17157" s="67"/>
      <c r="G17157" s="68"/>
      <c r="K17157" s="68"/>
    </row>
    <row r="17158" spans="2:11" ht="12.75">
      <c r="B17158" s="4"/>
      <c r="D17158" s="67"/>
      <c r="G17158" s="68"/>
      <c r="K17158" s="68"/>
    </row>
    <row r="17159" spans="2:11" ht="12.75">
      <c r="B17159" s="4"/>
      <c r="D17159" s="67"/>
      <c r="G17159" s="68"/>
      <c r="K17159" s="68"/>
    </row>
    <row r="17160" spans="2:11" ht="12.75">
      <c r="B17160" s="4"/>
      <c r="D17160" s="67"/>
      <c r="G17160" s="68"/>
      <c r="K17160" s="68"/>
    </row>
    <row r="17161" spans="2:11" ht="12.75">
      <c r="B17161" s="4"/>
      <c r="D17161" s="67"/>
      <c r="G17161" s="68"/>
      <c r="K17161" s="68"/>
    </row>
    <row r="17162" spans="2:11" ht="12.75">
      <c r="B17162" s="4"/>
      <c r="D17162" s="67"/>
      <c r="G17162" s="68"/>
      <c r="K17162" s="68"/>
    </row>
    <row r="17163" spans="2:11" ht="12.75">
      <c r="B17163" s="4"/>
      <c r="D17163" s="67"/>
      <c r="G17163" s="68"/>
      <c r="K17163" s="68"/>
    </row>
    <row r="17164" spans="2:11" ht="12.75">
      <c r="B17164" s="4"/>
      <c r="D17164" s="67"/>
      <c r="G17164" s="68"/>
      <c r="K17164" s="68"/>
    </row>
    <row r="17165" spans="2:11" ht="12.75">
      <c r="B17165" s="4"/>
      <c r="D17165" s="67"/>
      <c r="G17165" s="68"/>
      <c r="K17165" s="68"/>
    </row>
    <row r="17166" spans="2:11" ht="12.75">
      <c r="B17166" s="4"/>
      <c r="D17166" s="67"/>
      <c r="G17166" s="68"/>
      <c r="K17166" s="68"/>
    </row>
    <row r="17167" spans="2:11" ht="12.75">
      <c r="B17167" s="4"/>
      <c r="D17167" s="67"/>
      <c r="G17167" s="68"/>
      <c r="K17167" s="68"/>
    </row>
    <row r="17168" spans="2:11" ht="12.75">
      <c r="B17168" s="4"/>
      <c r="D17168" s="67"/>
      <c r="G17168" s="68"/>
      <c r="K17168" s="68"/>
    </row>
    <row r="17169" spans="2:11" ht="12.75">
      <c r="B17169" s="4"/>
      <c r="D17169" s="67"/>
      <c r="G17169" s="68"/>
      <c r="K17169" s="68"/>
    </row>
    <row r="17170" spans="2:11" ht="12.75">
      <c r="B17170" s="4"/>
      <c r="D17170" s="67"/>
      <c r="G17170" s="68"/>
      <c r="K17170" s="68"/>
    </row>
    <row r="17171" spans="2:11" ht="12.75">
      <c r="B17171" s="4"/>
      <c r="D17171" s="67"/>
      <c r="G17171" s="68"/>
      <c r="K17171" s="68"/>
    </row>
    <row r="17172" spans="2:11" ht="12.75">
      <c r="B17172" s="4"/>
      <c r="D17172" s="67"/>
      <c r="G17172" s="68"/>
      <c r="K17172" s="68"/>
    </row>
    <row r="17173" spans="2:11" ht="12.75">
      <c r="B17173" s="4"/>
      <c r="D17173" s="67"/>
      <c r="G17173" s="68"/>
      <c r="K17173" s="68"/>
    </row>
    <row r="17174" spans="2:11" ht="12.75">
      <c r="B17174" s="4"/>
      <c r="D17174" s="67"/>
      <c r="G17174" s="68"/>
      <c r="K17174" s="68"/>
    </row>
    <row r="17175" spans="2:11" ht="12.75">
      <c r="B17175" s="4"/>
      <c r="D17175" s="67"/>
      <c r="G17175" s="68"/>
      <c r="K17175" s="68"/>
    </row>
    <row r="17176" spans="2:11" ht="12.75">
      <c r="B17176" s="4"/>
      <c r="D17176" s="67"/>
      <c r="G17176" s="68"/>
      <c r="K17176" s="68"/>
    </row>
    <row r="17177" spans="2:11" ht="12.75">
      <c r="B17177" s="4"/>
      <c r="D17177" s="67"/>
      <c r="G17177" s="68"/>
      <c r="K17177" s="68"/>
    </row>
    <row r="17178" spans="2:11" ht="12.75">
      <c r="B17178" s="4"/>
      <c r="D17178" s="67"/>
      <c r="G17178" s="68"/>
      <c r="K17178" s="68"/>
    </row>
    <row r="17179" spans="2:11" ht="12.75">
      <c r="B17179" s="4"/>
      <c r="D17179" s="67"/>
      <c r="G17179" s="68"/>
      <c r="K17179" s="68"/>
    </row>
    <row r="17180" spans="2:11" ht="12.75">
      <c r="B17180" s="4"/>
      <c r="D17180" s="67"/>
      <c r="G17180" s="68"/>
      <c r="K17180" s="68"/>
    </row>
    <row r="17181" spans="2:11" ht="12.75">
      <c r="B17181" s="4"/>
      <c r="D17181" s="67"/>
      <c r="G17181" s="68"/>
      <c r="K17181" s="68"/>
    </row>
    <row r="17182" spans="2:11" ht="12.75">
      <c r="B17182" s="4"/>
      <c r="D17182" s="67"/>
      <c r="G17182" s="68"/>
      <c r="K17182" s="68"/>
    </row>
    <row r="17183" spans="2:11" ht="12.75">
      <c r="B17183" s="4"/>
      <c r="D17183" s="67"/>
      <c r="G17183" s="68"/>
      <c r="K17183" s="68"/>
    </row>
    <row r="17184" spans="2:11" ht="12.75">
      <c r="B17184" s="4"/>
      <c r="D17184" s="67"/>
      <c r="G17184" s="68"/>
      <c r="K17184" s="68"/>
    </row>
    <row r="17185" spans="2:11" ht="12.75">
      <c r="B17185" s="4"/>
      <c r="D17185" s="67"/>
      <c r="G17185" s="68"/>
      <c r="K17185" s="68"/>
    </row>
    <row r="17186" spans="2:11" ht="12.75">
      <c r="B17186" s="4"/>
      <c r="D17186" s="67"/>
      <c r="G17186" s="68"/>
      <c r="K17186" s="68"/>
    </row>
    <row r="17187" spans="2:11" ht="12.75">
      <c r="B17187" s="4"/>
      <c r="D17187" s="67"/>
      <c r="G17187" s="68"/>
      <c r="K17187" s="68"/>
    </row>
    <row r="17188" spans="2:11" ht="12.75">
      <c r="B17188" s="4"/>
      <c r="D17188" s="67"/>
      <c r="G17188" s="68"/>
      <c r="K17188" s="68"/>
    </row>
    <row r="17189" spans="2:11" ht="12.75">
      <c r="B17189" s="4"/>
      <c r="D17189" s="67"/>
      <c r="G17189" s="68"/>
      <c r="K17189" s="68"/>
    </row>
    <row r="17190" spans="2:11" ht="12.75">
      <c r="B17190" s="4"/>
      <c r="D17190" s="67"/>
      <c r="G17190" s="68"/>
      <c r="K17190" s="68"/>
    </row>
    <row r="17191" spans="2:11" ht="12.75">
      <c r="B17191" s="4"/>
      <c r="D17191" s="67"/>
      <c r="G17191" s="68"/>
      <c r="K17191" s="68"/>
    </row>
    <row r="17192" spans="2:11" ht="12.75">
      <c r="B17192" s="4"/>
      <c r="D17192" s="67"/>
      <c r="G17192" s="68"/>
      <c r="K17192" s="68"/>
    </row>
    <row r="17193" spans="2:11" ht="12.75">
      <c r="B17193" s="4"/>
      <c r="D17193" s="67"/>
      <c r="G17193" s="68"/>
      <c r="K17193" s="68"/>
    </row>
    <row r="17194" spans="2:11" ht="12.75">
      <c r="B17194" s="4"/>
      <c r="D17194" s="67"/>
      <c r="G17194" s="68"/>
      <c r="K17194" s="68"/>
    </row>
    <row r="17195" spans="2:11" ht="12.75">
      <c r="B17195" s="4"/>
      <c r="D17195" s="67"/>
      <c r="G17195" s="68"/>
      <c r="K17195" s="68"/>
    </row>
    <row r="17196" spans="2:11" ht="12.75">
      <c r="B17196" s="4"/>
      <c r="D17196" s="67"/>
      <c r="G17196" s="68"/>
      <c r="K17196" s="68"/>
    </row>
    <row r="17197" spans="2:11" ht="12.75">
      <c r="B17197" s="4"/>
      <c r="D17197" s="67"/>
      <c r="G17197" s="68"/>
      <c r="K17197" s="68"/>
    </row>
    <row r="17198" spans="2:11" ht="12.75">
      <c r="B17198" s="4"/>
      <c r="D17198" s="67"/>
      <c r="G17198" s="68"/>
      <c r="K17198" s="68"/>
    </row>
    <row r="17199" spans="2:11" ht="12.75">
      <c r="B17199" s="4"/>
      <c r="D17199" s="67"/>
      <c r="G17199" s="68"/>
      <c r="K17199" s="68"/>
    </row>
    <row r="17200" spans="2:11" ht="12.75">
      <c r="B17200" s="4"/>
      <c r="D17200" s="67"/>
      <c r="G17200" s="68"/>
      <c r="K17200" s="68"/>
    </row>
    <row r="17201" spans="2:11" ht="12.75">
      <c r="B17201" s="4"/>
      <c r="D17201" s="67"/>
      <c r="G17201" s="68"/>
      <c r="K17201" s="68"/>
    </row>
    <row r="17202" spans="2:11" ht="12.75">
      <c r="B17202" s="4"/>
      <c r="D17202" s="67"/>
      <c r="G17202" s="68"/>
      <c r="K17202" s="68"/>
    </row>
    <row r="17203" spans="2:11" ht="12.75">
      <c r="B17203" s="4"/>
      <c r="D17203" s="67"/>
      <c r="G17203" s="68"/>
      <c r="K17203" s="68"/>
    </row>
    <row r="17204" spans="2:11" ht="12.75">
      <c r="B17204" s="4"/>
      <c r="D17204" s="67"/>
      <c r="G17204" s="68"/>
      <c r="K17204" s="68"/>
    </row>
    <row r="17205" spans="2:11" ht="12.75">
      <c r="B17205" s="4"/>
      <c r="D17205" s="67"/>
      <c r="G17205" s="68"/>
      <c r="K17205" s="68"/>
    </row>
    <row r="17206" spans="2:11" ht="12.75">
      <c r="B17206" s="4"/>
      <c r="D17206" s="67"/>
      <c r="G17206" s="68"/>
      <c r="K17206" s="68"/>
    </row>
    <row r="17207" spans="2:11" ht="12.75">
      <c r="B17207" s="4"/>
      <c r="D17207" s="67"/>
      <c r="G17207" s="68"/>
      <c r="K17207" s="68"/>
    </row>
    <row r="17208" spans="2:11" ht="12.75">
      <c r="B17208" s="4"/>
      <c r="D17208" s="67"/>
      <c r="G17208" s="68"/>
      <c r="K17208" s="68"/>
    </row>
    <row r="17209" spans="2:11" ht="12.75">
      <c r="B17209" s="4"/>
      <c r="D17209" s="67"/>
      <c r="G17209" s="68"/>
      <c r="K17209" s="68"/>
    </row>
    <row r="17210" spans="2:11" ht="12.75">
      <c r="B17210" s="4"/>
      <c r="D17210" s="67"/>
      <c r="G17210" s="68"/>
      <c r="K17210" s="68"/>
    </row>
    <row r="17211" spans="2:11" ht="12.75">
      <c r="B17211" s="4"/>
      <c r="D17211" s="67"/>
      <c r="G17211" s="68"/>
      <c r="K17211" s="68"/>
    </row>
    <row r="17212" spans="2:11" ht="12.75">
      <c r="B17212" s="4"/>
      <c r="D17212" s="67"/>
      <c r="G17212" s="68"/>
      <c r="K17212" s="68"/>
    </row>
    <row r="17213" spans="2:11" ht="12.75">
      <c r="B17213" s="4"/>
      <c r="D17213" s="67"/>
      <c r="G17213" s="68"/>
      <c r="K17213" s="68"/>
    </row>
    <row r="17214" spans="2:11" ht="12.75">
      <c r="B17214" s="4"/>
      <c r="D17214" s="67"/>
      <c r="G17214" s="68"/>
      <c r="K17214" s="68"/>
    </row>
    <row r="17215" spans="2:11" ht="12.75">
      <c r="B17215" s="4"/>
      <c r="D17215" s="67"/>
      <c r="G17215" s="68"/>
      <c r="K17215" s="68"/>
    </row>
    <row r="17216" spans="2:11" ht="12.75">
      <c r="B17216" s="4"/>
      <c r="D17216" s="67"/>
      <c r="G17216" s="68"/>
      <c r="K17216" s="68"/>
    </row>
    <row r="17217" spans="2:11" ht="12.75">
      <c r="B17217" s="4"/>
      <c r="D17217" s="67"/>
      <c r="G17217" s="68"/>
      <c r="K17217" s="68"/>
    </row>
    <row r="17218" spans="2:11" ht="12.75">
      <c r="B17218" s="4"/>
      <c r="D17218" s="67"/>
      <c r="G17218" s="68"/>
      <c r="K17218" s="68"/>
    </row>
    <row r="17219" spans="2:11" ht="12.75">
      <c r="B17219" s="4"/>
      <c r="D17219" s="67"/>
      <c r="G17219" s="68"/>
      <c r="K17219" s="68"/>
    </row>
    <row r="17220" spans="2:11" ht="12.75">
      <c r="B17220" s="4"/>
      <c r="D17220" s="67"/>
      <c r="G17220" s="68"/>
      <c r="K17220" s="68"/>
    </row>
    <row r="17221" spans="2:11" ht="12.75">
      <c r="B17221" s="4"/>
      <c r="D17221" s="67"/>
      <c r="G17221" s="68"/>
      <c r="K17221" s="68"/>
    </row>
    <row r="17222" spans="2:11" ht="12.75">
      <c r="B17222" s="4"/>
      <c r="D17222" s="67"/>
      <c r="G17222" s="68"/>
      <c r="K17222" s="68"/>
    </row>
    <row r="17223" spans="2:11" ht="12.75">
      <c r="B17223" s="4"/>
      <c r="D17223" s="67"/>
      <c r="G17223" s="68"/>
      <c r="K17223" s="68"/>
    </row>
    <row r="17224" spans="2:11" ht="12.75">
      <c r="B17224" s="4"/>
      <c r="D17224" s="67"/>
      <c r="G17224" s="68"/>
      <c r="K17224" s="68"/>
    </row>
    <row r="17225" spans="2:11" ht="12.75">
      <c r="B17225" s="4"/>
      <c r="D17225" s="67"/>
      <c r="G17225" s="68"/>
      <c r="K17225" s="68"/>
    </row>
    <row r="17226" spans="2:11" ht="12.75">
      <c r="B17226" s="4"/>
      <c r="D17226" s="67"/>
      <c r="G17226" s="68"/>
      <c r="K17226" s="68"/>
    </row>
    <row r="17227" spans="2:11" ht="12.75">
      <c r="B17227" s="4"/>
      <c r="D17227" s="67"/>
      <c r="G17227" s="68"/>
      <c r="K17227" s="68"/>
    </row>
    <row r="17228" spans="2:11" ht="12.75">
      <c r="B17228" s="4"/>
      <c r="D17228" s="67"/>
      <c r="G17228" s="68"/>
      <c r="K17228" s="68"/>
    </row>
    <row r="17229" spans="2:11" ht="12.75">
      <c r="B17229" s="4"/>
      <c r="D17229" s="67"/>
      <c r="G17229" s="68"/>
      <c r="K17229" s="68"/>
    </row>
    <row r="17230" spans="2:11" ht="12.75">
      <c r="B17230" s="4"/>
      <c r="D17230" s="67"/>
      <c r="G17230" s="68"/>
      <c r="K17230" s="68"/>
    </row>
    <row r="17231" spans="2:11" ht="12.75">
      <c r="B17231" s="4"/>
      <c r="D17231" s="67"/>
      <c r="G17231" s="68"/>
      <c r="K17231" s="68"/>
    </row>
    <row r="17232" spans="2:11" ht="12.75">
      <c r="B17232" s="4"/>
      <c r="D17232" s="67"/>
      <c r="G17232" s="68"/>
      <c r="K17232" s="68"/>
    </row>
    <row r="17233" spans="2:11" ht="12.75">
      <c r="B17233" s="4"/>
      <c r="D17233" s="67"/>
      <c r="G17233" s="68"/>
      <c r="K17233" s="68"/>
    </row>
    <row r="17234" spans="2:11" ht="12.75">
      <c r="B17234" s="4"/>
      <c r="D17234" s="67"/>
      <c r="G17234" s="68"/>
      <c r="K17234" s="68"/>
    </row>
    <row r="17235" spans="2:11" ht="12.75">
      <c r="B17235" s="4"/>
      <c r="D17235" s="67"/>
      <c r="G17235" s="68"/>
      <c r="K17235" s="68"/>
    </row>
    <row r="17236" spans="2:11" ht="12.75">
      <c r="B17236" s="4"/>
      <c r="D17236" s="67"/>
      <c r="G17236" s="68"/>
      <c r="K17236" s="68"/>
    </row>
    <row r="17237" spans="2:11" ht="12.75">
      <c r="B17237" s="4"/>
      <c r="D17237" s="67"/>
      <c r="G17237" s="68"/>
      <c r="K17237" s="68"/>
    </row>
    <row r="17238" spans="2:11" ht="12.75">
      <c r="B17238" s="4"/>
      <c r="D17238" s="67"/>
      <c r="G17238" s="68"/>
      <c r="K17238" s="68"/>
    </row>
    <row r="17239" spans="2:11" ht="12.75">
      <c r="B17239" s="4"/>
      <c r="D17239" s="67"/>
      <c r="G17239" s="68"/>
      <c r="K17239" s="68"/>
    </row>
    <row r="17240" spans="2:11" ht="12.75">
      <c r="B17240" s="4"/>
      <c r="D17240" s="67"/>
      <c r="G17240" s="68"/>
      <c r="K17240" s="68"/>
    </row>
    <row r="17241" spans="2:11" ht="12.75">
      <c r="B17241" s="4"/>
      <c r="D17241" s="67"/>
      <c r="G17241" s="68"/>
      <c r="K17241" s="68"/>
    </row>
    <row r="17242" spans="2:11" ht="12.75">
      <c r="B17242" s="4"/>
      <c r="D17242" s="67"/>
      <c r="G17242" s="68"/>
      <c r="K17242" s="68"/>
    </row>
    <row r="17243" spans="2:11" ht="12.75">
      <c r="B17243" s="4"/>
      <c r="D17243" s="67"/>
      <c r="G17243" s="68"/>
      <c r="K17243" s="68"/>
    </row>
    <row r="17244" spans="2:11" ht="12.75">
      <c r="B17244" s="4"/>
      <c r="D17244" s="67"/>
      <c r="G17244" s="68"/>
      <c r="K17244" s="68"/>
    </row>
    <row r="17245" spans="2:11" ht="12.75">
      <c r="B17245" s="4"/>
      <c r="D17245" s="67"/>
      <c r="G17245" s="68"/>
      <c r="K17245" s="68"/>
    </row>
    <row r="17246" spans="2:11" ht="12.75">
      <c r="B17246" s="4"/>
      <c r="D17246" s="67"/>
      <c r="G17246" s="68"/>
      <c r="K17246" s="68"/>
    </row>
    <row r="17247" spans="2:11" ht="12.75">
      <c r="B17247" s="4"/>
      <c r="D17247" s="67"/>
      <c r="G17247" s="68"/>
      <c r="K17247" s="68"/>
    </row>
    <row r="17248" spans="2:11" ht="12.75">
      <c r="B17248" s="4"/>
      <c r="D17248" s="67"/>
      <c r="G17248" s="68"/>
      <c r="K17248" s="68"/>
    </row>
    <row r="17249" spans="2:11" ht="12.75">
      <c r="B17249" s="4"/>
      <c r="D17249" s="67"/>
      <c r="G17249" s="68"/>
      <c r="K17249" s="68"/>
    </row>
    <row r="17250" spans="2:11" ht="12.75">
      <c r="B17250" s="4"/>
      <c r="D17250" s="67"/>
      <c r="G17250" s="68"/>
      <c r="K17250" s="68"/>
    </row>
    <row r="17251" spans="2:11" ht="12.75">
      <c r="B17251" s="4"/>
      <c r="D17251" s="67"/>
      <c r="G17251" s="68"/>
      <c r="K17251" s="68"/>
    </row>
    <row r="17252" spans="2:11" ht="12.75">
      <c r="B17252" s="4"/>
      <c r="D17252" s="67"/>
      <c r="G17252" s="68"/>
      <c r="K17252" s="68"/>
    </row>
    <row r="17253" spans="2:11" ht="12.75">
      <c r="B17253" s="4"/>
      <c r="D17253" s="67"/>
      <c r="G17253" s="68"/>
      <c r="K17253" s="68"/>
    </row>
    <row r="17254" spans="2:11" ht="12.75">
      <c r="B17254" s="4"/>
      <c r="D17254" s="67"/>
      <c r="G17254" s="68"/>
      <c r="K17254" s="68"/>
    </row>
    <row r="17255" spans="2:11" ht="12.75">
      <c r="B17255" s="4"/>
      <c r="D17255" s="67"/>
      <c r="G17255" s="68"/>
      <c r="K17255" s="68"/>
    </row>
    <row r="17256" spans="2:11" ht="12.75">
      <c r="B17256" s="4"/>
      <c r="D17256" s="67"/>
      <c r="G17256" s="68"/>
      <c r="K17256" s="68"/>
    </row>
    <row r="17257" spans="2:11" ht="12.75">
      <c r="B17257" s="4"/>
      <c r="D17257" s="67"/>
      <c r="G17257" s="68"/>
      <c r="K17257" s="68"/>
    </row>
    <row r="17258" spans="2:11" ht="12.75">
      <c r="B17258" s="4"/>
      <c r="D17258" s="67"/>
      <c r="G17258" s="68"/>
      <c r="K17258" s="68"/>
    </row>
    <row r="17259" spans="2:11" ht="12.75">
      <c r="B17259" s="4"/>
      <c r="D17259" s="67"/>
      <c r="G17259" s="68"/>
      <c r="K17259" s="68"/>
    </row>
    <row r="17260" spans="2:11" ht="12.75">
      <c r="B17260" s="4"/>
      <c r="D17260" s="67"/>
      <c r="G17260" s="68"/>
      <c r="K17260" s="68"/>
    </row>
    <row r="17261" spans="2:11" ht="12.75">
      <c r="B17261" s="4"/>
      <c r="D17261" s="67"/>
      <c r="G17261" s="68"/>
      <c r="K17261" s="68"/>
    </row>
    <row r="17262" spans="2:11" ht="12.75">
      <c r="B17262" s="4"/>
      <c r="D17262" s="67"/>
      <c r="G17262" s="68"/>
      <c r="K17262" s="68"/>
    </row>
    <row r="17263" spans="2:11" ht="12.75">
      <c r="B17263" s="4"/>
      <c r="D17263" s="67"/>
      <c r="G17263" s="68"/>
      <c r="K17263" s="68"/>
    </row>
    <row r="17264" spans="2:11" ht="12.75">
      <c r="B17264" s="4"/>
      <c r="D17264" s="67"/>
      <c r="G17264" s="68"/>
      <c r="K17264" s="68"/>
    </row>
    <row r="17265" spans="2:11" ht="12.75">
      <c r="B17265" s="4"/>
      <c r="D17265" s="67"/>
      <c r="G17265" s="68"/>
      <c r="K17265" s="68"/>
    </row>
    <row r="17266" spans="2:11" ht="12.75">
      <c r="B17266" s="4"/>
      <c r="D17266" s="67"/>
      <c r="G17266" s="68"/>
      <c r="K17266" s="68"/>
    </row>
    <row r="17267" spans="2:11" ht="12.75">
      <c r="B17267" s="4"/>
      <c r="D17267" s="67"/>
      <c r="G17267" s="68"/>
      <c r="K17267" s="68"/>
    </row>
    <row r="17268" spans="2:11" ht="12.75">
      <c r="B17268" s="4"/>
      <c r="D17268" s="67"/>
      <c r="G17268" s="68"/>
      <c r="K17268" s="68"/>
    </row>
    <row r="17269" spans="2:11" ht="12.75">
      <c r="B17269" s="4"/>
      <c r="D17269" s="67"/>
      <c r="G17269" s="68"/>
      <c r="K17269" s="68"/>
    </row>
    <row r="17270" spans="2:11" ht="12.75">
      <c r="B17270" s="4"/>
      <c r="D17270" s="67"/>
      <c r="G17270" s="68"/>
      <c r="K17270" s="68"/>
    </row>
    <row r="17271" spans="2:11" ht="12.75">
      <c r="B17271" s="4"/>
      <c r="D17271" s="67"/>
      <c r="G17271" s="68"/>
      <c r="K17271" s="68"/>
    </row>
    <row r="17272" spans="2:11" ht="12.75">
      <c r="B17272" s="4"/>
      <c r="D17272" s="67"/>
      <c r="G17272" s="68"/>
      <c r="K17272" s="68"/>
    </row>
    <row r="17273" spans="2:11" ht="12.75">
      <c r="B17273" s="4"/>
      <c r="D17273" s="67"/>
      <c r="G17273" s="68"/>
      <c r="K17273" s="68"/>
    </row>
    <row r="17274" spans="2:11" ht="12.75">
      <c r="B17274" s="4"/>
      <c r="D17274" s="67"/>
      <c r="G17274" s="68"/>
      <c r="K17274" s="68"/>
    </row>
    <row r="17275" spans="2:11" ht="12.75">
      <c r="B17275" s="4"/>
      <c r="D17275" s="67"/>
      <c r="G17275" s="68"/>
      <c r="K17275" s="68"/>
    </row>
    <row r="17276" spans="2:11" ht="12.75">
      <c r="B17276" s="4"/>
      <c r="D17276" s="67"/>
      <c r="G17276" s="68"/>
      <c r="K17276" s="68"/>
    </row>
    <row r="17277" spans="2:11" ht="12.75">
      <c r="B17277" s="4"/>
      <c r="D17277" s="67"/>
      <c r="G17277" s="68"/>
      <c r="K17277" s="68"/>
    </row>
    <row r="17278" spans="2:11" ht="12.75">
      <c r="B17278" s="4"/>
      <c r="D17278" s="67"/>
      <c r="G17278" s="68"/>
      <c r="K17278" s="68"/>
    </row>
    <row r="17279" spans="2:11" ht="12.75">
      <c r="B17279" s="4"/>
      <c r="D17279" s="67"/>
      <c r="G17279" s="68"/>
      <c r="K17279" s="68"/>
    </row>
    <row r="17280" spans="2:11" ht="12.75">
      <c r="B17280" s="4"/>
      <c r="D17280" s="67"/>
      <c r="G17280" s="68"/>
      <c r="K17280" s="68"/>
    </row>
    <row r="17281" spans="2:11" ht="12.75">
      <c r="B17281" s="4"/>
      <c r="D17281" s="67"/>
      <c r="G17281" s="68"/>
      <c r="K17281" s="68"/>
    </row>
    <row r="17282" spans="2:11" ht="12.75">
      <c r="B17282" s="4"/>
      <c r="D17282" s="67"/>
      <c r="G17282" s="68"/>
      <c r="K17282" s="68"/>
    </row>
    <row r="17283" spans="2:11" ht="12.75">
      <c r="B17283" s="4"/>
      <c r="D17283" s="67"/>
      <c r="G17283" s="68"/>
      <c r="K17283" s="68"/>
    </row>
    <row r="17284" spans="2:11" ht="12.75">
      <c r="B17284" s="4"/>
      <c r="D17284" s="67"/>
      <c r="G17284" s="68"/>
      <c r="K17284" s="68"/>
    </row>
    <row r="17285" spans="2:11" ht="12.75">
      <c r="B17285" s="4"/>
      <c r="D17285" s="67"/>
      <c r="G17285" s="68"/>
      <c r="K17285" s="68"/>
    </row>
    <row r="17286" spans="2:11" ht="12.75">
      <c r="B17286" s="4"/>
      <c r="D17286" s="67"/>
      <c r="G17286" s="68"/>
      <c r="K17286" s="68"/>
    </row>
    <row r="17287" spans="2:11" ht="12.75">
      <c r="B17287" s="4"/>
      <c r="D17287" s="67"/>
      <c r="G17287" s="68"/>
      <c r="K17287" s="68"/>
    </row>
    <row r="17288" spans="2:11" ht="12.75">
      <c r="B17288" s="4"/>
      <c r="D17288" s="67"/>
      <c r="G17288" s="68"/>
      <c r="K17288" s="68"/>
    </row>
    <row r="17289" spans="2:11" ht="12.75">
      <c r="B17289" s="4"/>
      <c r="D17289" s="67"/>
      <c r="G17289" s="68"/>
      <c r="K17289" s="68"/>
    </row>
    <row r="17290" spans="2:11" ht="12.75">
      <c r="B17290" s="4"/>
      <c r="D17290" s="67"/>
      <c r="G17290" s="68"/>
      <c r="K17290" s="68"/>
    </row>
    <row r="17291" spans="2:11" ht="12.75">
      <c r="B17291" s="4"/>
      <c r="D17291" s="67"/>
      <c r="G17291" s="68"/>
      <c r="K17291" s="68"/>
    </row>
    <row r="17292" spans="2:11" ht="12.75">
      <c r="B17292" s="4"/>
      <c r="D17292" s="67"/>
      <c r="G17292" s="68"/>
      <c r="K17292" s="68"/>
    </row>
    <row r="17293" spans="2:11" ht="12.75">
      <c r="B17293" s="4"/>
      <c r="D17293" s="67"/>
      <c r="G17293" s="68"/>
      <c r="K17293" s="68"/>
    </row>
    <row r="17294" spans="2:11" ht="12.75">
      <c r="B17294" s="4"/>
      <c r="D17294" s="67"/>
      <c r="G17294" s="68"/>
      <c r="K17294" s="68"/>
    </row>
    <row r="17295" spans="2:11" ht="12.75">
      <c r="B17295" s="4"/>
      <c r="D17295" s="67"/>
      <c r="G17295" s="68"/>
      <c r="K17295" s="68"/>
    </row>
    <row r="17296" spans="2:11" ht="12.75">
      <c r="B17296" s="4"/>
      <c r="D17296" s="67"/>
      <c r="G17296" s="68"/>
      <c r="K17296" s="68"/>
    </row>
    <row r="17297" spans="2:11" ht="12.75">
      <c r="B17297" s="4"/>
      <c r="D17297" s="67"/>
      <c r="G17297" s="68"/>
      <c r="K17297" s="68"/>
    </row>
    <row r="17298" spans="2:11" ht="12.75">
      <c r="B17298" s="4"/>
      <c r="D17298" s="67"/>
      <c r="G17298" s="68"/>
      <c r="K17298" s="68"/>
    </row>
    <row r="17299" spans="2:11" ht="12.75">
      <c r="B17299" s="4"/>
      <c r="D17299" s="67"/>
      <c r="G17299" s="68"/>
      <c r="K17299" s="68"/>
    </row>
    <row r="17300" spans="2:11" ht="12.75">
      <c r="B17300" s="4"/>
      <c r="D17300" s="67"/>
      <c r="G17300" s="68"/>
      <c r="K17300" s="68"/>
    </row>
    <row r="17301" spans="2:11" ht="12.75">
      <c r="B17301" s="4"/>
      <c r="D17301" s="67"/>
      <c r="G17301" s="68"/>
      <c r="K17301" s="68"/>
    </row>
    <row r="17302" spans="2:11" ht="12.75">
      <c r="B17302" s="4"/>
      <c r="D17302" s="67"/>
      <c r="G17302" s="68"/>
      <c r="K17302" s="68"/>
    </row>
    <row r="17303" spans="2:11" ht="12.75">
      <c r="B17303" s="4"/>
      <c r="D17303" s="67"/>
      <c r="G17303" s="68"/>
      <c r="K17303" s="68"/>
    </row>
    <row r="17304" spans="2:11" ht="12.75">
      <c r="B17304" s="4"/>
      <c r="D17304" s="67"/>
      <c r="G17304" s="68"/>
      <c r="K17304" s="68"/>
    </row>
    <row r="17305" spans="2:11" ht="12.75">
      <c r="B17305" s="4"/>
      <c r="D17305" s="67"/>
      <c r="G17305" s="68"/>
      <c r="K17305" s="68"/>
    </row>
    <row r="17306" spans="2:11" ht="12.75">
      <c r="B17306" s="4"/>
      <c r="D17306" s="67"/>
      <c r="G17306" s="68"/>
      <c r="K17306" s="68"/>
    </row>
    <row r="17307" spans="2:11" ht="12.75">
      <c r="B17307" s="4"/>
      <c r="D17307" s="67"/>
      <c r="G17307" s="68"/>
      <c r="K17307" s="68"/>
    </row>
    <row r="17308" spans="2:11" ht="12.75">
      <c r="B17308" s="4"/>
      <c r="D17308" s="67"/>
      <c r="G17308" s="68"/>
      <c r="K17308" s="68"/>
    </row>
    <row r="17309" spans="2:11" ht="12.75">
      <c r="B17309" s="4"/>
      <c r="D17309" s="67"/>
      <c r="G17309" s="68"/>
      <c r="K17309" s="68"/>
    </row>
    <row r="17310" spans="2:11" ht="12.75">
      <c r="B17310" s="4"/>
      <c r="D17310" s="67"/>
      <c r="G17310" s="68"/>
      <c r="K17310" s="68"/>
    </row>
    <row r="17311" spans="2:11" ht="12.75">
      <c r="B17311" s="4"/>
      <c r="D17311" s="67"/>
      <c r="G17311" s="68"/>
      <c r="K17311" s="68"/>
    </row>
    <row r="17312" spans="2:11" ht="12.75">
      <c r="B17312" s="4"/>
      <c r="D17312" s="67"/>
      <c r="G17312" s="68"/>
      <c r="K17312" s="68"/>
    </row>
    <row r="17313" spans="2:11" ht="12.75">
      <c r="B17313" s="4"/>
      <c r="D17313" s="67"/>
      <c r="G17313" s="68"/>
      <c r="K17313" s="68"/>
    </row>
    <row r="17314" spans="2:11" ht="12.75">
      <c r="B17314" s="4"/>
      <c r="D17314" s="67"/>
      <c r="G17314" s="68"/>
      <c r="K17314" s="68"/>
    </row>
    <row r="17315" spans="2:11" ht="12.75">
      <c r="B17315" s="4"/>
      <c r="D17315" s="67"/>
      <c r="G17315" s="68"/>
      <c r="K17315" s="68"/>
    </row>
    <row r="17316" spans="2:11" ht="12.75">
      <c r="B17316" s="4"/>
      <c r="D17316" s="67"/>
      <c r="G17316" s="68"/>
      <c r="K17316" s="68"/>
    </row>
    <row r="17317" spans="2:11" ht="12.75">
      <c r="B17317" s="4"/>
      <c r="D17317" s="67"/>
      <c r="G17317" s="68"/>
      <c r="K17317" s="68"/>
    </row>
    <row r="17318" spans="2:11" ht="12.75">
      <c r="B17318" s="4"/>
      <c r="D17318" s="67"/>
      <c r="G17318" s="68"/>
      <c r="K17318" s="68"/>
    </row>
    <row r="17319" spans="2:11" ht="12.75">
      <c r="B17319" s="4"/>
      <c r="D17319" s="67"/>
      <c r="G17319" s="68"/>
      <c r="K17319" s="68"/>
    </row>
    <row r="17320" spans="2:11" ht="12.75">
      <c r="B17320" s="4"/>
      <c r="D17320" s="67"/>
      <c r="G17320" s="68"/>
      <c r="K17320" s="68"/>
    </row>
    <row r="17321" spans="2:11" ht="12.75">
      <c r="B17321" s="4"/>
      <c r="D17321" s="67"/>
      <c r="G17321" s="68"/>
      <c r="K17321" s="68"/>
    </row>
    <row r="17322" spans="2:11" ht="12.75">
      <c r="B17322" s="4"/>
      <c r="D17322" s="67"/>
      <c r="G17322" s="68"/>
      <c r="K17322" s="68"/>
    </row>
    <row r="17323" spans="2:11" ht="12.75">
      <c r="B17323" s="4"/>
      <c r="D17323" s="67"/>
      <c r="G17323" s="68"/>
      <c r="K17323" s="68"/>
    </row>
    <row r="17324" spans="2:11" ht="12.75">
      <c r="B17324" s="4"/>
      <c r="D17324" s="67"/>
      <c r="G17324" s="68"/>
      <c r="K17324" s="68"/>
    </row>
    <row r="17325" spans="2:11" ht="12.75">
      <c r="B17325" s="4"/>
      <c r="D17325" s="67"/>
      <c r="G17325" s="68"/>
      <c r="K17325" s="68"/>
    </row>
    <row r="17326" spans="2:11" ht="12.75">
      <c r="B17326" s="4"/>
      <c r="D17326" s="67"/>
      <c r="G17326" s="68"/>
      <c r="K17326" s="68"/>
    </row>
    <row r="17327" spans="2:11" ht="12.75">
      <c r="B17327" s="4"/>
      <c r="D17327" s="67"/>
      <c r="G17327" s="68"/>
      <c r="K17327" s="68"/>
    </row>
    <row r="17328" spans="2:11" ht="12.75">
      <c r="B17328" s="4"/>
      <c r="D17328" s="67"/>
      <c r="G17328" s="68"/>
      <c r="K17328" s="68"/>
    </row>
    <row r="17329" spans="2:11" ht="12.75">
      <c r="B17329" s="4"/>
      <c r="D17329" s="67"/>
      <c r="G17329" s="68"/>
      <c r="K17329" s="68"/>
    </row>
    <row r="17330" spans="2:11" ht="12.75">
      <c r="B17330" s="4"/>
      <c r="D17330" s="67"/>
      <c r="G17330" s="68"/>
      <c r="K17330" s="68"/>
    </row>
    <row r="17331" spans="2:11" ht="12.75">
      <c r="B17331" s="4"/>
      <c r="D17331" s="67"/>
      <c r="G17331" s="68"/>
      <c r="K17331" s="68"/>
    </row>
    <row r="17332" spans="2:11" ht="12.75">
      <c r="B17332" s="4"/>
      <c r="D17332" s="67"/>
      <c r="G17332" s="68"/>
      <c r="K17332" s="68"/>
    </row>
    <row r="17333" spans="2:11" ht="12.75">
      <c r="B17333" s="4"/>
      <c r="D17333" s="67"/>
      <c r="G17333" s="68"/>
      <c r="K17333" s="68"/>
    </row>
    <row r="17334" spans="2:11" ht="12.75">
      <c r="B17334" s="4"/>
      <c r="D17334" s="67"/>
      <c r="G17334" s="68"/>
      <c r="K17334" s="68"/>
    </row>
    <row r="17335" spans="2:11" ht="12.75">
      <c r="B17335" s="4"/>
      <c r="D17335" s="67"/>
      <c r="G17335" s="68"/>
      <c r="K17335" s="68"/>
    </row>
    <row r="17336" spans="2:11" ht="12.75">
      <c r="B17336" s="4"/>
      <c r="D17336" s="67"/>
      <c r="G17336" s="68"/>
      <c r="K17336" s="68"/>
    </row>
    <row r="17337" spans="2:11" ht="12.75">
      <c r="B17337" s="4"/>
      <c r="D17337" s="67"/>
      <c r="G17337" s="68"/>
      <c r="K17337" s="68"/>
    </row>
    <row r="17338" spans="2:11" ht="12.75">
      <c r="B17338" s="4"/>
      <c r="D17338" s="67"/>
      <c r="G17338" s="68"/>
      <c r="K17338" s="68"/>
    </row>
    <row r="17339" spans="2:11" ht="12.75">
      <c r="B17339" s="4"/>
      <c r="D17339" s="67"/>
      <c r="G17339" s="68"/>
      <c r="K17339" s="68"/>
    </row>
    <row r="17340" spans="2:11" ht="12.75">
      <c r="B17340" s="4"/>
      <c r="D17340" s="67"/>
      <c r="G17340" s="68"/>
      <c r="K17340" s="68"/>
    </row>
    <row r="17341" spans="2:11" ht="12.75">
      <c r="B17341" s="4"/>
      <c r="D17341" s="67"/>
      <c r="G17341" s="68"/>
      <c r="K17341" s="68"/>
    </row>
    <row r="17342" spans="2:11" ht="12.75">
      <c r="B17342" s="4"/>
      <c r="D17342" s="67"/>
      <c r="G17342" s="68"/>
      <c r="K17342" s="68"/>
    </row>
    <row r="17343" spans="2:11" ht="12.75">
      <c r="B17343" s="4"/>
      <c r="D17343" s="67"/>
      <c r="G17343" s="68"/>
      <c r="K17343" s="68"/>
    </row>
    <row r="17344" spans="2:11" ht="12.75">
      <c r="B17344" s="4"/>
      <c r="D17344" s="67"/>
      <c r="G17344" s="68"/>
      <c r="K17344" s="68"/>
    </row>
    <row r="17345" spans="2:11" ht="12.75">
      <c r="B17345" s="4"/>
      <c r="D17345" s="67"/>
      <c r="G17345" s="68"/>
      <c r="K17345" s="68"/>
    </row>
    <row r="17346" spans="2:11" ht="12.75">
      <c r="B17346" s="4"/>
      <c r="D17346" s="67"/>
      <c r="G17346" s="68"/>
      <c r="K17346" s="68"/>
    </row>
    <row r="17347" spans="2:11" ht="12.75">
      <c r="B17347" s="4"/>
      <c r="D17347" s="67"/>
      <c r="G17347" s="68"/>
      <c r="K17347" s="68"/>
    </row>
    <row r="17348" spans="2:11" ht="12.75">
      <c r="B17348" s="4"/>
      <c r="D17348" s="67"/>
      <c r="G17348" s="68"/>
      <c r="K17348" s="68"/>
    </row>
    <row r="17349" spans="2:11" ht="12.75">
      <c r="B17349" s="4"/>
      <c r="D17349" s="67"/>
      <c r="G17349" s="68"/>
      <c r="K17349" s="68"/>
    </row>
    <row r="17350" spans="2:11" ht="12.75">
      <c r="B17350" s="4"/>
      <c r="D17350" s="67"/>
      <c r="G17350" s="68"/>
      <c r="K17350" s="68"/>
    </row>
    <row r="17351" spans="2:11" ht="12.75">
      <c r="B17351" s="4"/>
      <c r="D17351" s="67"/>
      <c r="G17351" s="68"/>
      <c r="K17351" s="68"/>
    </row>
    <row r="17352" spans="2:11" ht="12.75">
      <c r="B17352" s="4"/>
      <c r="D17352" s="67"/>
      <c r="G17352" s="68"/>
      <c r="K17352" s="68"/>
    </row>
    <row r="17353" spans="2:11" ht="12.75">
      <c r="B17353" s="4"/>
      <c r="D17353" s="67"/>
      <c r="G17353" s="68"/>
      <c r="K17353" s="68"/>
    </row>
    <row r="17354" spans="2:11" ht="12.75">
      <c r="B17354" s="4"/>
      <c r="D17354" s="67"/>
      <c r="G17354" s="68"/>
      <c r="K17354" s="68"/>
    </row>
    <row r="17355" spans="2:11" ht="12.75">
      <c r="B17355" s="4"/>
      <c r="D17355" s="67"/>
      <c r="G17355" s="68"/>
      <c r="K17355" s="68"/>
    </row>
    <row r="17356" spans="2:11" ht="12.75">
      <c r="B17356" s="4"/>
      <c r="D17356" s="67"/>
      <c r="G17356" s="68"/>
      <c r="K17356" s="68"/>
    </row>
    <row r="17357" spans="2:11" ht="12.75">
      <c r="B17357" s="4"/>
      <c r="D17357" s="67"/>
      <c r="G17357" s="68"/>
      <c r="K17357" s="68"/>
    </row>
    <row r="17358" spans="2:11" ht="12.75">
      <c r="B17358" s="4"/>
      <c r="D17358" s="67"/>
      <c r="G17358" s="68"/>
      <c r="K17358" s="68"/>
    </row>
    <row r="17359" spans="2:11" ht="12.75">
      <c r="B17359" s="4"/>
      <c r="D17359" s="67"/>
      <c r="G17359" s="68"/>
      <c r="K17359" s="68"/>
    </row>
    <row r="17360" spans="2:11" ht="12.75">
      <c r="B17360" s="4"/>
      <c r="D17360" s="67"/>
      <c r="G17360" s="68"/>
      <c r="K17360" s="68"/>
    </row>
    <row r="17361" spans="2:11" ht="12.75">
      <c r="B17361" s="4"/>
      <c r="D17361" s="67"/>
      <c r="G17361" s="68"/>
      <c r="K17361" s="68"/>
    </row>
    <row r="17362" spans="2:11" ht="12.75">
      <c r="B17362" s="4"/>
      <c r="D17362" s="67"/>
      <c r="G17362" s="68"/>
      <c r="K17362" s="68"/>
    </row>
    <row r="17363" spans="2:11" ht="12.75">
      <c r="B17363" s="4"/>
      <c r="D17363" s="67"/>
      <c r="G17363" s="68"/>
      <c r="K17363" s="68"/>
    </row>
    <row r="17364" spans="2:11" ht="12.75">
      <c r="B17364" s="4"/>
      <c r="D17364" s="67"/>
      <c r="G17364" s="68"/>
      <c r="K17364" s="68"/>
    </row>
    <row r="17365" spans="2:11" ht="12.75">
      <c r="B17365" s="4"/>
      <c r="D17365" s="67"/>
      <c r="G17365" s="68"/>
      <c r="K17365" s="68"/>
    </row>
    <row r="17366" spans="2:11" ht="12.75">
      <c r="B17366" s="4"/>
      <c r="D17366" s="67"/>
      <c r="G17366" s="68"/>
      <c r="K17366" s="68"/>
    </row>
    <row r="17367" spans="2:11" ht="12.75">
      <c r="B17367" s="4"/>
      <c r="D17367" s="67"/>
      <c r="G17367" s="68"/>
      <c r="K17367" s="68"/>
    </row>
    <row r="17368" spans="2:11" ht="12.75">
      <c r="B17368" s="4"/>
      <c r="D17368" s="67"/>
      <c r="G17368" s="68"/>
      <c r="K17368" s="68"/>
    </row>
    <row r="17369" spans="2:11" ht="12.75">
      <c r="B17369" s="4"/>
      <c r="D17369" s="67"/>
      <c r="G17369" s="68"/>
      <c r="K17369" s="68"/>
    </row>
    <row r="17370" spans="2:11" ht="12.75">
      <c r="B17370" s="4"/>
      <c r="D17370" s="67"/>
      <c r="G17370" s="68"/>
      <c r="K17370" s="68"/>
    </row>
    <row r="17371" spans="2:11" ht="12.75">
      <c r="B17371" s="4"/>
      <c r="D17371" s="67"/>
      <c r="G17371" s="68"/>
      <c r="K17371" s="68"/>
    </row>
    <row r="17372" spans="2:11" ht="12.75">
      <c r="B17372" s="4"/>
      <c r="D17372" s="67"/>
      <c r="G17372" s="68"/>
      <c r="K17372" s="68"/>
    </row>
    <row r="17373" spans="2:11" ht="12.75">
      <c r="B17373" s="4"/>
      <c r="D17373" s="67"/>
      <c r="G17373" s="68"/>
      <c r="K17373" s="68"/>
    </row>
    <row r="17374" spans="2:11" ht="12.75">
      <c r="B17374" s="4"/>
      <c r="D17374" s="67"/>
      <c r="G17374" s="68"/>
      <c r="K17374" s="68"/>
    </row>
    <row r="17375" spans="2:11" ht="12.75">
      <c r="B17375" s="4"/>
      <c r="D17375" s="67"/>
      <c r="G17375" s="68"/>
      <c r="K17375" s="68"/>
    </row>
    <row r="17376" spans="2:11" ht="12.75">
      <c r="B17376" s="4"/>
      <c r="D17376" s="67"/>
      <c r="G17376" s="68"/>
      <c r="K17376" s="68"/>
    </row>
    <row r="17377" spans="2:11" ht="12.75">
      <c r="B17377" s="4"/>
      <c r="D17377" s="67"/>
      <c r="G17377" s="68"/>
      <c r="K17377" s="68"/>
    </row>
    <row r="17378" spans="2:11" ht="12.75">
      <c r="B17378" s="4"/>
      <c r="D17378" s="67"/>
      <c r="G17378" s="68"/>
      <c r="K17378" s="68"/>
    </row>
    <row r="17379" spans="2:11" ht="12.75">
      <c r="B17379" s="4"/>
      <c r="D17379" s="67"/>
      <c r="G17379" s="68"/>
      <c r="K17379" s="68"/>
    </row>
    <row r="17380" spans="2:11" ht="12.75">
      <c r="B17380" s="4"/>
      <c r="D17380" s="67"/>
      <c r="G17380" s="68"/>
      <c r="K17380" s="68"/>
    </row>
    <row r="17381" spans="2:11" ht="12.75">
      <c r="B17381" s="4"/>
      <c r="D17381" s="67"/>
      <c r="G17381" s="68"/>
      <c r="K17381" s="68"/>
    </row>
    <row r="17382" spans="2:11" ht="12.75">
      <c r="B17382" s="4"/>
      <c r="D17382" s="67"/>
      <c r="G17382" s="68"/>
      <c r="K17382" s="68"/>
    </row>
    <row r="17383" spans="2:11" ht="12.75">
      <c r="B17383" s="4"/>
      <c r="D17383" s="67"/>
      <c r="G17383" s="68"/>
      <c r="K17383" s="68"/>
    </row>
    <row r="17384" spans="2:11" ht="12.75">
      <c r="B17384" s="4"/>
      <c r="D17384" s="67"/>
      <c r="G17384" s="68"/>
      <c r="K17384" s="68"/>
    </row>
    <row r="17385" spans="2:11" ht="12.75">
      <c r="B17385" s="4"/>
      <c r="D17385" s="67"/>
      <c r="G17385" s="68"/>
      <c r="K17385" s="68"/>
    </row>
    <row r="17386" spans="2:11" ht="12.75">
      <c r="B17386" s="4"/>
      <c r="D17386" s="67"/>
      <c r="G17386" s="68"/>
      <c r="K17386" s="68"/>
    </row>
    <row r="17387" spans="2:11" ht="12.75">
      <c r="B17387" s="4"/>
      <c r="D17387" s="67"/>
      <c r="G17387" s="68"/>
      <c r="K17387" s="68"/>
    </row>
    <row r="17388" spans="2:11" ht="12.75">
      <c r="B17388" s="4"/>
      <c r="D17388" s="67"/>
      <c r="G17388" s="68"/>
      <c r="K17388" s="68"/>
    </row>
    <row r="17389" spans="2:11" ht="12.75">
      <c r="B17389" s="4"/>
      <c r="D17389" s="67"/>
      <c r="G17389" s="68"/>
      <c r="K17389" s="68"/>
    </row>
    <row r="17390" spans="2:11" ht="12.75">
      <c r="B17390" s="4"/>
      <c r="D17390" s="67"/>
      <c r="G17390" s="68"/>
      <c r="K17390" s="68"/>
    </row>
    <row r="17391" spans="2:11" ht="12.75">
      <c r="B17391" s="4"/>
      <c r="D17391" s="67"/>
      <c r="G17391" s="68"/>
      <c r="K17391" s="68"/>
    </row>
    <row r="17392" spans="2:11" ht="12.75">
      <c r="B17392" s="4"/>
      <c r="D17392" s="67"/>
      <c r="G17392" s="68"/>
      <c r="K17392" s="68"/>
    </row>
    <row r="17393" spans="2:11" ht="12.75">
      <c r="B17393" s="4"/>
      <c r="D17393" s="67"/>
      <c r="G17393" s="68"/>
      <c r="K17393" s="68"/>
    </row>
    <row r="17394" spans="2:11" ht="12.75">
      <c r="B17394" s="4"/>
      <c r="D17394" s="67"/>
      <c r="G17394" s="68"/>
      <c r="K17394" s="68"/>
    </row>
    <row r="17395" spans="2:11" ht="12.75">
      <c r="B17395" s="4"/>
      <c r="D17395" s="67"/>
      <c r="G17395" s="68"/>
      <c r="K17395" s="68"/>
    </row>
    <row r="17396" spans="2:11" ht="12.75">
      <c r="B17396" s="4"/>
      <c r="D17396" s="67"/>
      <c r="G17396" s="68"/>
      <c r="K17396" s="68"/>
    </row>
    <row r="17397" spans="2:11" ht="12.75">
      <c r="B17397" s="4"/>
      <c r="D17397" s="67"/>
      <c r="G17397" s="68"/>
      <c r="K17397" s="68"/>
    </row>
    <row r="17398" spans="2:11" ht="12.75">
      <c r="B17398" s="4"/>
      <c r="D17398" s="67"/>
      <c r="G17398" s="68"/>
      <c r="K17398" s="68"/>
    </row>
    <row r="17399" spans="2:11" ht="12.75">
      <c r="B17399" s="4"/>
      <c r="D17399" s="67"/>
      <c r="G17399" s="68"/>
      <c r="K17399" s="68"/>
    </row>
    <row r="17400" spans="2:11" ht="12.75">
      <c r="B17400" s="4"/>
      <c r="D17400" s="67"/>
      <c r="G17400" s="68"/>
      <c r="K17400" s="68"/>
    </row>
    <row r="17401" spans="2:11" ht="12.75">
      <c r="B17401" s="4"/>
      <c r="D17401" s="67"/>
      <c r="G17401" s="68"/>
      <c r="K17401" s="68"/>
    </row>
    <row r="17402" spans="2:11" ht="12.75">
      <c r="B17402" s="4"/>
      <c r="D17402" s="67"/>
      <c r="G17402" s="68"/>
      <c r="K17402" s="68"/>
    </row>
    <row r="17403" spans="2:11" ht="12.75">
      <c r="B17403" s="4"/>
      <c r="D17403" s="67"/>
      <c r="G17403" s="68"/>
      <c r="K17403" s="68"/>
    </row>
    <row r="17404" spans="2:11" ht="12.75">
      <c r="B17404" s="4"/>
      <c r="D17404" s="67"/>
      <c r="G17404" s="68"/>
      <c r="K17404" s="68"/>
    </row>
    <row r="17405" spans="2:11" ht="12.75">
      <c r="B17405" s="4"/>
      <c r="D17405" s="67"/>
      <c r="G17405" s="68"/>
      <c r="K17405" s="68"/>
    </row>
    <row r="17406" spans="2:11" ht="12.75">
      <c r="B17406" s="4"/>
      <c r="D17406" s="67"/>
      <c r="G17406" s="68"/>
      <c r="K17406" s="68"/>
    </row>
    <row r="17407" spans="2:11" ht="12.75">
      <c r="B17407" s="4"/>
      <c r="D17407" s="67"/>
      <c r="G17407" s="68"/>
      <c r="K17407" s="68"/>
    </row>
    <row r="17408" spans="2:11" ht="12.75">
      <c r="B17408" s="4"/>
      <c r="D17408" s="67"/>
      <c r="G17408" s="68"/>
      <c r="K17408" s="68"/>
    </row>
    <row r="17409" spans="2:11" ht="12.75">
      <c r="B17409" s="4"/>
      <c r="D17409" s="67"/>
      <c r="G17409" s="68"/>
      <c r="K17409" s="68"/>
    </row>
    <row r="17410" spans="2:11" ht="12.75">
      <c r="B17410" s="4"/>
      <c r="D17410" s="67"/>
      <c r="G17410" s="68"/>
      <c r="K17410" s="68"/>
    </row>
    <row r="17411" spans="2:11" ht="12.75">
      <c r="B17411" s="4"/>
      <c r="D17411" s="67"/>
      <c r="G17411" s="68"/>
      <c r="K17411" s="68"/>
    </row>
    <row r="17412" spans="2:11" ht="12.75">
      <c r="B17412" s="4"/>
      <c r="D17412" s="67"/>
      <c r="G17412" s="68"/>
      <c r="K17412" s="68"/>
    </row>
    <row r="17413" spans="2:11" ht="12.75">
      <c r="B17413" s="4"/>
      <c r="D17413" s="67"/>
      <c r="G17413" s="68"/>
      <c r="K17413" s="68"/>
    </row>
    <row r="17414" spans="2:11" ht="12.75">
      <c r="B17414" s="4"/>
      <c r="D17414" s="67"/>
      <c r="G17414" s="68"/>
      <c r="K17414" s="68"/>
    </row>
    <row r="17415" spans="2:11" ht="12.75">
      <c r="B17415" s="4"/>
      <c r="D17415" s="67"/>
      <c r="G17415" s="68"/>
      <c r="K17415" s="68"/>
    </row>
    <row r="17416" spans="2:11" ht="12.75">
      <c r="B17416" s="4"/>
      <c r="D17416" s="67"/>
      <c r="G17416" s="68"/>
      <c r="K17416" s="68"/>
    </row>
    <row r="17417" spans="2:11" ht="12.75">
      <c r="B17417" s="4"/>
      <c r="D17417" s="67"/>
      <c r="G17417" s="68"/>
      <c r="K17417" s="68"/>
    </row>
    <row r="17418" spans="2:11" ht="12.75">
      <c r="B17418" s="4"/>
      <c r="D17418" s="67"/>
      <c r="G17418" s="68"/>
      <c r="K17418" s="68"/>
    </row>
    <row r="17419" spans="2:11" ht="12.75">
      <c r="B17419" s="4"/>
      <c r="D17419" s="67"/>
      <c r="G17419" s="68"/>
      <c r="K17419" s="68"/>
    </row>
    <row r="17420" spans="2:11" ht="12.75">
      <c r="B17420" s="4"/>
      <c r="D17420" s="67"/>
      <c r="G17420" s="68"/>
      <c r="K17420" s="68"/>
    </row>
    <row r="17421" spans="2:11" ht="12.75">
      <c r="B17421" s="4"/>
      <c r="D17421" s="67"/>
      <c r="G17421" s="68"/>
      <c r="K17421" s="68"/>
    </row>
    <row r="17422" spans="2:11" ht="12.75">
      <c r="B17422" s="4"/>
      <c r="D17422" s="67"/>
      <c r="G17422" s="68"/>
      <c r="K17422" s="68"/>
    </row>
    <row r="17423" spans="2:11" ht="12.75">
      <c r="B17423" s="4"/>
      <c r="D17423" s="67"/>
      <c r="G17423" s="68"/>
      <c r="K17423" s="68"/>
    </row>
    <row r="17424" spans="2:11" ht="12.75">
      <c r="B17424" s="4"/>
      <c r="D17424" s="67"/>
      <c r="G17424" s="68"/>
      <c r="K17424" s="68"/>
    </row>
    <row r="17425" spans="2:11" ht="12.75">
      <c r="B17425" s="4"/>
      <c r="D17425" s="67"/>
      <c r="G17425" s="68"/>
      <c r="K17425" s="68"/>
    </row>
    <row r="17426" spans="2:11" ht="12.75">
      <c r="B17426" s="4"/>
      <c r="D17426" s="67"/>
      <c r="G17426" s="68"/>
      <c r="K17426" s="68"/>
    </row>
    <row r="17427" spans="2:11" ht="12.75">
      <c r="B17427" s="4"/>
      <c r="D17427" s="67"/>
      <c r="G17427" s="68"/>
      <c r="K17427" s="68"/>
    </row>
    <row r="17428" spans="2:11" ht="12.75">
      <c r="B17428" s="4"/>
      <c r="D17428" s="67"/>
      <c r="G17428" s="68"/>
      <c r="K17428" s="68"/>
    </row>
    <row r="17429" spans="2:11" ht="12.75">
      <c r="B17429" s="4"/>
      <c r="D17429" s="67"/>
      <c r="G17429" s="68"/>
      <c r="K17429" s="68"/>
    </row>
    <row r="17430" spans="2:11" ht="12.75">
      <c r="B17430" s="4"/>
      <c r="D17430" s="67"/>
      <c r="G17430" s="68"/>
      <c r="K17430" s="68"/>
    </row>
    <row r="17431" spans="2:11" ht="12.75">
      <c r="B17431" s="4"/>
      <c r="D17431" s="67"/>
      <c r="G17431" s="68"/>
      <c r="K17431" s="68"/>
    </row>
    <row r="17432" spans="2:11" ht="12.75">
      <c r="B17432" s="4"/>
      <c r="D17432" s="67"/>
      <c r="G17432" s="68"/>
      <c r="K17432" s="68"/>
    </row>
    <row r="17433" spans="2:11" ht="12.75">
      <c r="B17433" s="4"/>
      <c r="D17433" s="67"/>
      <c r="G17433" s="68"/>
      <c r="K17433" s="68"/>
    </row>
    <row r="17434" spans="2:11" ht="12.75">
      <c r="B17434" s="4"/>
      <c r="D17434" s="67"/>
      <c r="G17434" s="68"/>
      <c r="K17434" s="68"/>
    </row>
    <row r="17435" spans="2:11" ht="12.75">
      <c r="B17435" s="4"/>
      <c r="D17435" s="67"/>
      <c r="G17435" s="68"/>
      <c r="K17435" s="68"/>
    </row>
    <row r="17436" spans="2:11" ht="12.75">
      <c r="B17436" s="4"/>
      <c r="D17436" s="67"/>
      <c r="G17436" s="68"/>
      <c r="K17436" s="68"/>
    </row>
    <row r="17437" spans="2:11" ht="12.75">
      <c r="B17437" s="4"/>
      <c r="D17437" s="67"/>
      <c r="G17437" s="68"/>
      <c r="K17437" s="68"/>
    </row>
    <row r="17438" spans="2:11" ht="12.75">
      <c r="B17438" s="4"/>
      <c r="D17438" s="67"/>
      <c r="G17438" s="68"/>
      <c r="K17438" s="68"/>
    </row>
    <row r="17439" spans="2:11" ht="12.75">
      <c r="B17439" s="4"/>
      <c r="D17439" s="67"/>
      <c r="G17439" s="68"/>
      <c r="K17439" s="68"/>
    </row>
    <row r="17440" spans="2:11" ht="12.75">
      <c r="B17440" s="4"/>
      <c r="D17440" s="67"/>
      <c r="G17440" s="68"/>
      <c r="K17440" s="68"/>
    </row>
    <row r="17441" spans="2:11" ht="12.75">
      <c r="B17441" s="4"/>
      <c r="D17441" s="67"/>
      <c r="G17441" s="68"/>
      <c r="K17441" s="68"/>
    </row>
    <row r="17442" spans="2:11" ht="12.75">
      <c r="B17442" s="4"/>
      <c r="D17442" s="67"/>
      <c r="G17442" s="68"/>
      <c r="K17442" s="68"/>
    </row>
    <row r="17443" spans="2:11" ht="12.75">
      <c r="B17443" s="4"/>
      <c r="D17443" s="67"/>
      <c r="G17443" s="68"/>
      <c r="K17443" s="68"/>
    </row>
    <row r="17444" spans="2:11" ht="12.75">
      <c r="B17444" s="4"/>
      <c r="D17444" s="67"/>
      <c r="G17444" s="68"/>
      <c r="K17444" s="68"/>
    </row>
    <row r="17445" spans="2:11" ht="12.75">
      <c r="B17445" s="4"/>
      <c r="D17445" s="67"/>
      <c r="G17445" s="68"/>
      <c r="K17445" s="68"/>
    </row>
    <row r="17446" spans="2:11" ht="12.75">
      <c r="B17446" s="4"/>
      <c r="D17446" s="67"/>
      <c r="G17446" s="68"/>
      <c r="K17446" s="68"/>
    </row>
    <row r="17447" spans="2:11" ht="12.75">
      <c r="B17447" s="4"/>
      <c r="D17447" s="67"/>
      <c r="G17447" s="68"/>
      <c r="K17447" s="68"/>
    </row>
    <row r="17448" spans="2:11" ht="12.75">
      <c r="B17448" s="4"/>
      <c r="D17448" s="67"/>
      <c r="G17448" s="68"/>
      <c r="K17448" s="68"/>
    </row>
    <row r="17449" spans="2:11" ht="12.75">
      <c r="B17449" s="4"/>
      <c r="D17449" s="67"/>
      <c r="G17449" s="68"/>
      <c r="K17449" s="68"/>
    </row>
    <row r="17450" spans="2:11" ht="12.75">
      <c r="B17450" s="4"/>
      <c r="D17450" s="67"/>
      <c r="G17450" s="68"/>
      <c r="K17450" s="68"/>
    </row>
    <row r="17451" spans="2:11" ht="12.75">
      <c r="B17451" s="4"/>
      <c r="D17451" s="67"/>
      <c r="G17451" s="68"/>
      <c r="K17451" s="68"/>
    </row>
    <row r="17452" spans="2:11" ht="12.75">
      <c r="B17452" s="4"/>
      <c r="D17452" s="67"/>
      <c r="G17452" s="68"/>
      <c r="K17452" s="68"/>
    </row>
    <row r="17453" spans="2:11" ht="12.75">
      <c r="B17453" s="4"/>
      <c r="D17453" s="67"/>
      <c r="G17453" s="68"/>
      <c r="K17453" s="68"/>
    </row>
    <row r="17454" spans="2:11" ht="12.75">
      <c r="B17454" s="4"/>
      <c r="D17454" s="67"/>
      <c r="G17454" s="68"/>
      <c r="K17454" s="68"/>
    </row>
    <row r="17455" spans="2:11" ht="12.75">
      <c r="B17455" s="4"/>
      <c r="D17455" s="67"/>
      <c r="G17455" s="68"/>
      <c r="K17455" s="68"/>
    </row>
    <row r="17456" spans="2:11" ht="12.75">
      <c r="B17456" s="4"/>
      <c r="D17456" s="67"/>
      <c r="G17456" s="68"/>
      <c r="K17456" s="68"/>
    </row>
    <row r="17457" spans="2:11" ht="12.75">
      <c r="B17457" s="4"/>
      <c r="D17457" s="67"/>
      <c r="G17457" s="68"/>
      <c r="K17457" s="68"/>
    </row>
    <row r="17458" spans="2:11" ht="12.75">
      <c r="B17458" s="4"/>
      <c r="D17458" s="67"/>
      <c r="G17458" s="68"/>
      <c r="K17458" s="68"/>
    </row>
    <row r="17459" spans="2:11" ht="12.75">
      <c r="B17459" s="4"/>
      <c r="D17459" s="67"/>
      <c r="G17459" s="68"/>
      <c r="K17459" s="68"/>
    </row>
    <row r="17460" spans="2:11" ht="12.75">
      <c r="B17460" s="4"/>
      <c r="D17460" s="67"/>
      <c r="G17460" s="68"/>
      <c r="K17460" s="68"/>
    </row>
    <row r="17461" spans="2:11" ht="12.75">
      <c r="B17461" s="4"/>
      <c r="D17461" s="67"/>
      <c r="G17461" s="68"/>
      <c r="K17461" s="68"/>
    </row>
    <row r="17462" spans="2:11" ht="12.75">
      <c r="B17462" s="4"/>
      <c r="D17462" s="67"/>
      <c r="G17462" s="68"/>
      <c r="K17462" s="68"/>
    </row>
    <row r="17463" spans="2:11" ht="12.75">
      <c r="B17463" s="4"/>
      <c r="D17463" s="67"/>
      <c r="G17463" s="68"/>
      <c r="K17463" s="68"/>
    </row>
    <row r="17464" spans="2:11" ht="12.75">
      <c r="B17464" s="4"/>
      <c r="D17464" s="67"/>
      <c r="G17464" s="68"/>
      <c r="K17464" s="68"/>
    </row>
    <row r="17465" spans="2:11" ht="12.75">
      <c r="B17465" s="4"/>
      <c r="D17465" s="67"/>
      <c r="G17465" s="68"/>
      <c r="K17465" s="68"/>
    </row>
    <row r="17466" spans="2:11" ht="12.75">
      <c r="B17466" s="4"/>
      <c r="D17466" s="67"/>
      <c r="G17466" s="68"/>
      <c r="K17466" s="68"/>
    </row>
    <row r="17467" spans="2:11" ht="12.75">
      <c r="B17467" s="4"/>
      <c r="D17467" s="67"/>
      <c r="G17467" s="68"/>
      <c r="K17467" s="68"/>
    </row>
    <row r="17468" spans="2:11" ht="12.75">
      <c r="B17468" s="4"/>
      <c r="D17468" s="67"/>
      <c r="G17468" s="68"/>
      <c r="K17468" s="68"/>
    </row>
    <row r="17469" spans="2:11" ht="12.75">
      <c r="B17469" s="4"/>
      <c r="D17469" s="67"/>
      <c r="G17469" s="68"/>
      <c r="K17469" s="68"/>
    </row>
    <row r="17470" spans="2:11" ht="12.75">
      <c r="B17470" s="4"/>
      <c r="D17470" s="67"/>
      <c r="G17470" s="68"/>
      <c r="K17470" s="68"/>
    </row>
    <row r="17471" spans="2:11" ht="12.75">
      <c r="B17471" s="4"/>
      <c r="D17471" s="67"/>
      <c r="G17471" s="68"/>
      <c r="K17471" s="68"/>
    </row>
    <row r="17472" spans="2:11" ht="12.75">
      <c r="B17472" s="4"/>
      <c r="D17472" s="67"/>
      <c r="G17472" s="68"/>
      <c r="K17472" s="68"/>
    </row>
    <row r="17473" spans="2:11" ht="12.75">
      <c r="B17473" s="4"/>
      <c r="D17473" s="67"/>
      <c r="G17473" s="68"/>
      <c r="K17473" s="68"/>
    </row>
    <row r="17474" spans="2:11" ht="12.75">
      <c r="B17474" s="4"/>
      <c r="D17474" s="67"/>
      <c r="G17474" s="68"/>
      <c r="K17474" s="68"/>
    </row>
    <row r="17475" spans="2:11" ht="12.75">
      <c r="B17475" s="4"/>
      <c r="D17475" s="67"/>
      <c r="G17475" s="68"/>
      <c r="K17475" s="68"/>
    </row>
    <row r="17476" spans="2:11" ht="12.75">
      <c r="B17476" s="4"/>
      <c r="D17476" s="67"/>
      <c r="G17476" s="68"/>
      <c r="K17476" s="68"/>
    </row>
    <row r="17477" spans="2:11" ht="12.75">
      <c r="B17477" s="4"/>
      <c r="D17477" s="67"/>
      <c r="G17477" s="68"/>
      <c r="K17477" s="68"/>
    </row>
    <row r="17478" spans="2:11" ht="12.75">
      <c r="B17478" s="4"/>
      <c r="D17478" s="67"/>
      <c r="G17478" s="68"/>
      <c r="K17478" s="68"/>
    </row>
    <row r="17479" spans="2:11" ht="12.75">
      <c r="B17479" s="4"/>
      <c r="D17479" s="67"/>
      <c r="G17479" s="68"/>
      <c r="K17479" s="68"/>
    </row>
    <row r="17480" spans="2:11" ht="12.75">
      <c r="B17480" s="4"/>
      <c r="D17480" s="67"/>
      <c r="G17480" s="68"/>
      <c r="K17480" s="68"/>
    </row>
    <row r="17481" spans="2:11" ht="12.75">
      <c r="B17481" s="4"/>
      <c r="D17481" s="67"/>
      <c r="G17481" s="68"/>
      <c r="K17481" s="68"/>
    </row>
    <row r="17482" spans="2:11" ht="12.75">
      <c r="B17482" s="4"/>
      <c r="D17482" s="67"/>
      <c r="G17482" s="68"/>
      <c r="K17482" s="68"/>
    </row>
    <row r="17483" spans="2:11" ht="12.75">
      <c r="B17483" s="4"/>
      <c r="D17483" s="67"/>
      <c r="G17483" s="68"/>
      <c r="K17483" s="68"/>
    </row>
    <row r="17484" spans="2:11" ht="12.75">
      <c r="B17484" s="4"/>
      <c r="D17484" s="67"/>
      <c r="G17484" s="68"/>
      <c r="K17484" s="68"/>
    </row>
    <row r="17485" spans="2:11" ht="12.75">
      <c r="B17485" s="4"/>
      <c r="D17485" s="67"/>
      <c r="G17485" s="68"/>
      <c r="K17485" s="68"/>
    </row>
    <row r="17486" spans="2:11" ht="12.75">
      <c r="B17486" s="4"/>
      <c r="D17486" s="67"/>
      <c r="G17486" s="68"/>
      <c r="K17486" s="68"/>
    </row>
    <row r="17487" spans="2:11" ht="12.75">
      <c r="B17487" s="4"/>
      <c r="D17487" s="67"/>
      <c r="G17487" s="68"/>
      <c r="K17487" s="68"/>
    </row>
    <row r="17488" spans="2:11" ht="12.75">
      <c r="B17488" s="4"/>
      <c r="D17488" s="67"/>
      <c r="G17488" s="68"/>
      <c r="K17488" s="68"/>
    </row>
    <row r="17489" spans="2:11" ht="12.75">
      <c r="B17489" s="4"/>
      <c r="D17489" s="67"/>
      <c r="G17489" s="68"/>
      <c r="K17489" s="68"/>
    </row>
    <row r="17490" spans="2:11" ht="12.75">
      <c r="B17490" s="4"/>
      <c r="D17490" s="67"/>
      <c r="G17490" s="68"/>
      <c r="K17490" s="68"/>
    </row>
    <row r="17491" spans="2:11" ht="12.75">
      <c r="B17491" s="4"/>
      <c r="D17491" s="67"/>
      <c r="G17491" s="68"/>
      <c r="K17491" s="68"/>
    </row>
    <row r="17492" spans="2:11" ht="12.75">
      <c r="B17492" s="4"/>
      <c r="D17492" s="67"/>
      <c r="G17492" s="68"/>
      <c r="K17492" s="68"/>
    </row>
    <row r="17493" spans="2:11" ht="12.75">
      <c r="B17493" s="4"/>
      <c r="D17493" s="67"/>
      <c r="G17493" s="68"/>
      <c r="K17493" s="68"/>
    </row>
    <row r="17494" spans="2:11" ht="12.75">
      <c r="B17494" s="4"/>
      <c r="D17494" s="67"/>
      <c r="G17494" s="68"/>
      <c r="K17494" s="68"/>
    </row>
    <row r="17495" spans="2:11" ht="12.75">
      <c r="B17495" s="4"/>
      <c r="D17495" s="67"/>
      <c r="G17495" s="68"/>
      <c r="K17495" s="68"/>
    </row>
    <row r="17496" spans="2:11" ht="12.75">
      <c r="B17496" s="4"/>
      <c r="D17496" s="67"/>
      <c r="G17496" s="68"/>
      <c r="K17496" s="68"/>
    </row>
    <row r="17497" spans="2:11" ht="12.75">
      <c r="B17497" s="4"/>
      <c r="D17497" s="67"/>
      <c r="G17497" s="68"/>
      <c r="K17497" s="68"/>
    </row>
    <row r="17498" spans="2:11" ht="12.75">
      <c r="B17498" s="4"/>
      <c r="D17498" s="67"/>
      <c r="G17498" s="68"/>
      <c r="K17498" s="68"/>
    </row>
    <row r="17499" spans="2:11" ht="12.75">
      <c r="B17499" s="4"/>
      <c r="D17499" s="67"/>
      <c r="G17499" s="68"/>
      <c r="K17499" s="68"/>
    </row>
    <row r="17500" spans="2:11" ht="12.75">
      <c r="B17500" s="4"/>
      <c r="D17500" s="67"/>
      <c r="G17500" s="68"/>
      <c r="K17500" s="68"/>
    </row>
    <row r="17501" spans="2:11" ht="12.75">
      <c r="B17501" s="4"/>
      <c r="D17501" s="67"/>
      <c r="G17501" s="68"/>
      <c r="K17501" s="68"/>
    </row>
    <row r="17502" spans="2:11" ht="12.75">
      <c r="B17502" s="4"/>
      <c r="D17502" s="67"/>
      <c r="G17502" s="68"/>
      <c r="K17502" s="68"/>
    </row>
    <row r="17503" spans="2:11" ht="12.75">
      <c r="B17503" s="4"/>
      <c r="D17503" s="67"/>
      <c r="G17503" s="68"/>
      <c r="K17503" s="68"/>
    </row>
    <row r="17504" spans="2:11" ht="12.75">
      <c r="B17504" s="4"/>
      <c r="D17504" s="67"/>
      <c r="G17504" s="68"/>
      <c r="K17504" s="68"/>
    </row>
    <row r="17505" spans="2:11" ht="12.75">
      <c r="B17505" s="4"/>
      <c r="D17505" s="67"/>
      <c r="G17505" s="68"/>
      <c r="K17505" s="68"/>
    </row>
    <row r="17506" spans="2:11" ht="12.75">
      <c r="B17506" s="4"/>
      <c r="D17506" s="67"/>
      <c r="G17506" s="68"/>
      <c r="K17506" s="68"/>
    </row>
    <row r="17507" spans="2:11" ht="12.75">
      <c r="B17507" s="4"/>
      <c r="D17507" s="67"/>
      <c r="G17507" s="68"/>
      <c r="K17507" s="68"/>
    </row>
    <row r="17508" spans="2:11" ht="12.75">
      <c r="B17508" s="4"/>
      <c r="D17508" s="67"/>
      <c r="G17508" s="68"/>
      <c r="K17508" s="68"/>
    </row>
    <row r="17509" spans="2:11" ht="12.75">
      <c r="B17509" s="4"/>
      <c r="D17509" s="67"/>
      <c r="G17509" s="68"/>
      <c r="K17509" s="68"/>
    </row>
    <row r="17510" spans="2:11" ht="12.75">
      <c r="B17510" s="4"/>
      <c r="D17510" s="67"/>
      <c r="G17510" s="68"/>
      <c r="K17510" s="68"/>
    </row>
    <row r="17511" spans="2:11" ht="12.75">
      <c r="B17511" s="4"/>
      <c r="D17511" s="67"/>
      <c r="G17511" s="68"/>
      <c r="K17511" s="68"/>
    </row>
    <row r="17512" spans="2:11" ht="12.75">
      <c r="B17512" s="4"/>
      <c r="D17512" s="67"/>
      <c r="G17512" s="68"/>
      <c r="K17512" s="68"/>
    </row>
    <row r="17513" spans="2:11" ht="12.75">
      <c r="B17513" s="4"/>
      <c r="D17513" s="67"/>
      <c r="G17513" s="68"/>
      <c r="K17513" s="68"/>
    </row>
    <row r="17514" spans="2:11" ht="12.75">
      <c r="B17514" s="4"/>
      <c r="D17514" s="67"/>
      <c r="G17514" s="68"/>
      <c r="K17514" s="68"/>
    </row>
    <row r="17515" spans="2:11" ht="12.75">
      <c r="B17515" s="4"/>
      <c r="D17515" s="67"/>
      <c r="G17515" s="68"/>
      <c r="K17515" s="68"/>
    </row>
    <row r="17516" spans="2:11" ht="12.75">
      <c r="B17516" s="4"/>
      <c r="D17516" s="67"/>
      <c r="G17516" s="68"/>
      <c r="K17516" s="68"/>
    </row>
    <row r="17517" spans="2:11" ht="12.75">
      <c r="B17517" s="4"/>
      <c r="D17517" s="67"/>
      <c r="G17517" s="68"/>
      <c r="K17517" s="68"/>
    </row>
    <row r="17518" spans="2:11" ht="12.75">
      <c r="B17518" s="4"/>
      <c r="D17518" s="67"/>
      <c r="G17518" s="68"/>
      <c r="K17518" s="68"/>
    </row>
    <row r="17519" spans="2:11" ht="12.75">
      <c r="B17519" s="4"/>
      <c r="D17519" s="67"/>
      <c r="G17519" s="68"/>
      <c r="K17519" s="68"/>
    </row>
    <row r="17520" spans="2:11" ht="12.75">
      <c r="B17520" s="4"/>
      <c r="D17520" s="67"/>
      <c r="G17520" s="68"/>
      <c r="K17520" s="68"/>
    </row>
    <row r="17521" spans="2:11" ht="12.75">
      <c r="B17521" s="4"/>
      <c r="D17521" s="67"/>
      <c r="G17521" s="68"/>
      <c r="K17521" s="68"/>
    </row>
    <row r="17522" spans="2:11" ht="12.75">
      <c r="B17522" s="4"/>
      <c r="D17522" s="67"/>
      <c r="G17522" s="68"/>
      <c r="K17522" s="68"/>
    </row>
    <row r="17523" spans="2:11" ht="12.75">
      <c r="B17523" s="4"/>
      <c r="D17523" s="67"/>
      <c r="G17523" s="68"/>
      <c r="K17523" s="68"/>
    </row>
    <row r="17524" spans="2:11" ht="12.75">
      <c r="B17524" s="4"/>
      <c r="D17524" s="67"/>
      <c r="G17524" s="68"/>
      <c r="K17524" s="68"/>
    </row>
    <row r="17525" spans="2:11" ht="12.75">
      <c r="B17525" s="4"/>
      <c r="D17525" s="67"/>
      <c r="G17525" s="68"/>
      <c r="K17525" s="68"/>
    </row>
    <row r="17526" spans="2:11" ht="12.75">
      <c r="B17526" s="4"/>
      <c r="D17526" s="67"/>
      <c r="G17526" s="68"/>
      <c r="K17526" s="68"/>
    </row>
    <row r="17527" spans="2:11" ht="12.75">
      <c r="B17527" s="4"/>
      <c r="D17527" s="67"/>
      <c r="G17527" s="68"/>
      <c r="K17527" s="68"/>
    </row>
    <row r="17528" spans="2:11" ht="12.75">
      <c r="B17528" s="4"/>
      <c r="D17528" s="67"/>
      <c r="G17528" s="68"/>
      <c r="K17528" s="68"/>
    </row>
    <row r="17529" spans="2:11" ht="12.75">
      <c r="B17529" s="4"/>
      <c r="D17529" s="67"/>
      <c r="G17529" s="68"/>
      <c r="K17529" s="68"/>
    </row>
    <row r="17530" spans="2:11" ht="12.75">
      <c r="B17530" s="4"/>
      <c r="D17530" s="67"/>
      <c r="G17530" s="68"/>
      <c r="K17530" s="68"/>
    </row>
    <row r="17531" spans="2:11" ht="12.75">
      <c r="B17531" s="4"/>
      <c r="D17531" s="67"/>
      <c r="G17531" s="68"/>
      <c r="K17531" s="68"/>
    </row>
    <row r="17532" spans="2:11" ht="12.75">
      <c r="B17532" s="4"/>
      <c r="D17532" s="67"/>
      <c r="G17532" s="68"/>
      <c r="K17532" s="68"/>
    </row>
    <row r="17533" spans="2:11" ht="12.75">
      <c r="B17533" s="4"/>
      <c r="D17533" s="67"/>
      <c r="G17533" s="68"/>
      <c r="K17533" s="68"/>
    </row>
    <row r="17534" spans="2:11" ht="12.75">
      <c r="B17534" s="4"/>
      <c r="D17534" s="67"/>
      <c r="G17534" s="68"/>
      <c r="K17534" s="68"/>
    </row>
    <row r="17535" spans="2:11" ht="12.75">
      <c r="B17535" s="4"/>
      <c r="D17535" s="67"/>
      <c r="G17535" s="68"/>
      <c r="K17535" s="68"/>
    </row>
    <row r="17536" spans="2:11" ht="12.75">
      <c r="B17536" s="4"/>
      <c r="D17536" s="67"/>
      <c r="G17536" s="68"/>
      <c r="K17536" s="68"/>
    </row>
    <row r="17537" spans="2:11" ht="12.75">
      <c r="B17537" s="4"/>
      <c r="D17537" s="67"/>
      <c r="G17537" s="68"/>
      <c r="K17537" s="68"/>
    </row>
    <row r="17538" spans="2:11" ht="12.75">
      <c r="B17538" s="4"/>
      <c r="D17538" s="67"/>
      <c r="G17538" s="68"/>
      <c r="K17538" s="68"/>
    </row>
    <row r="17539" spans="2:11" ht="12.75">
      <c r="B17539" s="4"/>
      <c r="D17539" s="67"/>
      <c r="G17539" s="68"/>
      <c r="K17539" s="68"/>
    </row>
    <row r="17540" spans="2:11" ht="12.75">
      <c r="B17540" s="4"/>
      <c r="D17540" s="67"/>
      <c r="G17540" s="68"/>
      <c r="K17540" s="68"/>
    </row>
    <row r="17541" spans="2:11" ht="12.75">
      <c r="B17541" s="4"/>
      <c r="D17541" s="67"/>
      <c r="G17541" s="68"/>
      <c r="K17541" s="68"/>
    </row>
    <row r="17542" spans="2:11" ht="12.75">
      <c r="B17542" s="4"/>
      <c r="D17542" s="67"/>
      <c r="G17542" s="68"/>
      <c r="K17542" s="68"/>
    </row>
    <row r="17543" spans="2:11" ht="12.75">
      <c r="B17543" s="4"/>
      <c r="D17543" s="67"/>
      <c r="G17543" s="68"/>
      <c r="K17543" s="68"/>
    </row>
    <row r="17544" spans="2:11" ht="12.75">
      <c r="B17544" s="4"/>
      <c r="D17544" s="67"/>
      <c r="G17544" s="68"/>
      <c r="K17544" s="68"/>
    </row>
    <row r="17545" spans="2:11" ht="12.75">
      <c r="B17545" s="4"/>
      <c r="D17545" s="67"/>
      <c r="G17545" s="68"/>
      <c r="K17545" s="68"/>
    </row>
    <row r="17546" spans="2:11" ht="12.75">
      <c r="B17546" s="4"/>
      <c r="D17546" s="67"/>
      <c r="G17546" s="68"/>
      <c r="K17546" s="68"/>
    </row>
    <row r="17547" spans="2:11" ht="12.75">
      <c r="B17547" s="4"/>
      <c r="D17547" s="67"/>
      <c r="G17547" s="68"/>
      <c r="K17547" s="68"/>
    </row>
    <row r="17548" spans="2:11" ht="12.75">
      <c r="B17548" s="4"/>
      <c r="D17548" s="67"/>
      <c r="G17548" s="68"/>
      <c r="K17548" s="68"/>
    </row>
    <row r="17549" spans="2:11" ht="12.75">
      <c r="B17549" s="4"/>
      <c r="D17549" s="67"/>
      <c r="G17549" s="68"/>
      <c r="K17549" s="68"/>
    </row>
    <row r="17550" spans="2:11" ht="12.75">
      <c r="B17550" s="4"/>
      <c r="D17550" s="67"/>
      <c r="G17550" s="68"/>
      <c r="K17550" s="68"/>
    </row>
    <row r="17551" spans="2:11" ht="12.75">
      <c r="B17551" s="4"/>
      <c r="D17551" s="67"/>
      <c r="G17551" s="68"/>
      <c r="K17551" s="68"/>
    </row>
    <row r="17552" spans="2:11" ht="12.75">
      <c r="B17552" s="4"/>
      <c r="D17552" s="67"/>
      <c r="G17552" s="68"/>
      <c r="K17552" s="68"/>
    </row>
    <row r="17553" spans="2:11" ht="12.75">
      <c r="B17553" s="4"/>
      <c r="D17553" s="67"/>
      <c r="G17553" s="68"/>
      <c r="K17553" s="68"/>
    </row>
    <row r="17554" spans="2:11" ht="12.75">
      <c r="B17554" s="4"/>
      <c r="D17554" s="67"/>
      <c r="G17554" s="68"/>
      <c r="K17554" s="68"/>
    </row>
    <row r="17555" spans="2:11" ht="12.75">
      <c r="B17555" s="4"/>
      <c r="D17555" s="67"/>
      <c r="G17555" s="68"/>
      <c r="K17555" s="68"/>
    </row>
    <row r="17556" spans="2:11" ht="12.75">
      <c r="B17556" s="4"/>
      <c r="D17556" s="67"/>
      <c r="G17556" s="68"/>
      <c r="K17556" s="68"/>
    </row>
    <row r="17557" spans="2:11" ht="12.75">
      <c r="B17557" s="4"/>
      <c r="D17557" s="67"/>
      <c r="G17557" s="68"/>
      <c r="K17557" s="68"/>
    </row>
    <row r="17558" spans="2:11" ht="12.75">
      <c r="B17558" s="4"/>
      <c r="D17558" s="67"/>
      <c r="G17558" s="68"/>
      <c r="K17558" s="68"/>
    </row>
    <row r="17559" spans="2:11" ht="12.75">
      <c r="B17559" s="4"/>
      <c r="D17559" s="67"/>
      <c r="G17559" s="68"/>
      <c r="K17559" s="68"/>
    </row>
    <row r="17560" spans="2:11" ht="12.75">
      <c r="B17560" s="4"/>
      <c r="D17560" s="67"/>
      <c r="G17560" s="68"/>
      <c r="K17560" s="68"/>
    </row>
    <row r="17561" spans="2:11" ht="12.75">
      <c r="B17561" s="4"/>
      <c r="D17561" s="67"/>
      <c r="G17561" s="68"/>
      <c r="K17561" s="68"/>
    </row>
    <row r="17562" spans="2:11" ht="12.75">
      <c r="B17562" s="4"/>
      <c r="D17562" s="67"/>
      <c r="G17562" s="68"/>
      <c r="K17562" s="68"/>
    </row>
    <row r="17563" spans="2:11" ht="12.75">
      <c r="B17563" s="4"/>
      <c r="D17563" s="67"/>
      <c r="G17563" s="68"/>
      <c r="K17563" s="68"/>
    </row>
    <row r="17564" spans="2:11" ht="12.75">
      <c r="B17564" s="4"/>
      <c r="D17564" s="67"/>
      <c r="G17564" s="68"/>
      <c r="K17564" s="68"/>
    </row>
    <row r="17565" spans="2:11" ht="12.75">
      <c r="B17565" s="4"/>
      <c r="D17565" s="67"/>
      <c r="G17565" s="68"/>
      <c r="K17565" s="68"/>
    </row>
    <row r="17566" spans="2:11" ht="12.75">
      <c r="B17566" s="4"/>
      <c r="D17566" s="67"/>
      <c r="G17566" s="68"/>
      <c r="K17566" s="68"/>
    </row>
    <row r="17567" spans="2:11" ht="12.75">
      <c r="B17567" s="4"/>
      <c r="D17567" s="67"/>
      <c r="G17567" s="68"/>
      <c r="K17567" s="68"/>
    </row>
    <row r="17568" spans="2:11" ht="12.75">
      <c r="B17568" s="4"/>
      <c r="D17568" s="67"/>
      <c r="G17568" s="68"/>
      <c r="K17568" s="68"/>
    </row>
    <row r="17569" spans="2:11" ht="12.75">
      <c r="B17569" s="4"/>
      <c r="D17569" s="67"/>
      <c r="G17569" s="68"/>
      <c r="K17569" s="68"/>
    </row>
    <row r="17570" spans="2:11" ht="12.75">
      <c r="B17570" s="4"/>
      <c r="D17570" s="67"/>
      <c r="G17570" s="68"/>
      <c r="K17570" s="68"/>
    </row>
    <row r="17571" spans="2:11" ht="12.75">
      <c r="B17571" s="4"/>
      <c r="D17571" s="67"/>
      <c r="G17571" s="68"/>
      <c r="K17571" s="68"/>
    </row>
    <row r="17572" spans="2:11" ht="12.75">
      <c r="B17572" s="4"/>
      <c r="D17572" s="67"/>
      <c r="G17572" s="68"/>
      <c r="K17572" s="68"/>
    </row>
    <row r="17573" spans="2:11" ht="12.75">
      <c r="B17573" s="4"/>
      <c r="D17573" s="67"/>
      <c r="G17573" s="68"/>
      <c r="K17573" s="68"/>
    </row>
    <row r="17574" spans="2:11" ht="12.75">
      <c r="B17574" s="4"/>
      <c r="D17574" s="67"/>
      <c r="G17574" s="68"/>
      <c r="K17574" s="68"/>
    </row>
    <row r="17575" spans="2:11" ht="12.75">
      <c r="B17575" s="4"/>
      <c r="D17575" s="67"/>
      <c r="G17575" s="68"/>
      <c r="K17575" s="68"/>
    </row>
    <row r="17576" spans="2:11" ht="12.75">
      <c r="B17576" s="4"/>
      <c r="D17576" s="67"/>
      <c r="G17576" s="68"/>
      <c r="K17576" s="68"/>
    </row>
    <row r="17577" spans="2:11" ht="12.75">
      <c r="B17577" s="4"/>
      <c r="D17577" s="67"/>
      <c r="G17577" s="68"/>
      <c r="K17577" s="68"/>
    </row>
    <row r="17578" spans="2:11" ht="12.75">
      <c r="B17578" s="4"/>
      <c r="D17578" s="67"/>
      <c r="G17578" s="68"/>
      <c r="K17578" s="68"/>
    </row>
    <row r="17579" spans="2:11" ht="12.75">
      <c r="B17579" s="4"/>
      <c r="D17579" s="67"/>
      <c r="G17579" s="68"/>
      <c r="K17579" s="68"/>
    </row>
    <row r="17580" spans="2:11" ht="12.75">
      <c r="B17580" s="4"/>
      <c r="D17580" s="67"/>
      <c r="G17580" s="68"/>
      <c r="K17580" s="68"/>
    </row>
    <row r="17581" spans="2:11" ht="12.75">
      <c r="B17581" s="4"/>
      <c r="D17581" s="67"/>
      <c r="G17581" s="68"/>
      <c r="K17581" s="68"/>
    </row>
    <row r="17582" spans="2:11" ht="12.75">
      <c r="B17582" s="4"/>
      <c r="D17582" s="67"/>
      <c r="G17582" s="68"/>
      <c r="K17582" s="68"/>
    </row>
    <row r="17583" spans="2:11" ht="12.75">
      <c r="B17583" s="4"/>
      <c r="D17583" s="67"/>
      <c r="G17583" s="68"/>
      <c r="K17583" s="68"/>
    </row>
    <row r="17584" spans="2:11" ht="12.75">
      <c r="B17584" s="4"/>
      <c r="D17584" s="67"/>
      <c r="G17584" s="68"/>
      <c r="K17584" s="68"/>
    </row>
    <row r="17585" spans="2:11" ht="12.75">
      <c r="B17585" s="4"/>
      <c r="D17585" s="67"/>
      <c r="G17585" s="68"/>
      <c r="K17585" s="68"/>
    </row>
    <row r="17586" spans="2:11" ht="12.75">
      <c r="B17586" s="4"/>
      <c r="D17586" s="67"/>
      <c r="G17586" s="68"/>
      <c r="K17586" s="68"/>
    </row>
    <row r="17587" spans="2:11" ht="12.75">
      <c r="B17587" s="4"/>
      <c r="D17587" s="67"/>
      <c r="G17587" s="68"/>
      <c r="K17587" s="68"/>
    </row>
    <row r="17588" spans="2:11" ht="12.75">
      <c r="B17588" s="4"/>
      <c r="D17588" s="67"/>
      <c r="G17588" s="68"/>
      <c r="K17588" s="68"/>
    </row>
    <row r="17589" spans="2:11" ht="12.75">
      <c r="B17589" s="4"/>
      <c r="D17589" s="67"/>
      <c r="G17589" s="68"/>
      <c r="K17589" s="68"/>
    </row>
    <row r="17590" spans="2:11" ht="12.75">
      <c r="B17590" s="4"/>
      <c r="D17590" s="67"/>
      <c r="G17590" s="68"/>
      <c r="K17590" s="68"/>
    </row>
    <row r="17591" spans="2:11" ht="12.75">
      <c r="B17591" s="4"/>
      <c r="D17591" s="67"/>
      <c r="G17591" s="68"/>
      <c r="K17591" s="68"/>
    </row>
    <row r="17592" spans="2:11" ht="12.75">
      <c r="B17592" s="4"/>
      <c r="D17592" s="67"/>
      <c r="G17592" s="68"/>
      <c r="K17592" s="68"/>
    </row>
    <row r="17593" spans="2:11" ht="12.75">
      <c r="B17593" s="4"/>
      <c r="D17593" s="67"/>
      <c r="G17593" s="68"/>
      <c r="K17593" s="68"/>
    </row>
    <row r="17594" spans="2:11" ht="12.75">
      <c r="B17594" s="4"/>
      <c r="D17594" s="67"/>
      <c r="G17594" s="68"/>
      <c r="K17594" s="68"/>
    </row>
    <row r="17595" spans="2:11" ht="12.75">
      <c r="B17595" s="4"/>
      <c r="D17595" s="67"/>
      <c r="G17595" s="68"/>
      <c r="K17595" s="68"/>
    </row>
    <row r="17596" spans="2:11" ht="12.75">
      <c r="B17596" s="4"/>
      <c r="D17596" s="67"/>
      <c r="G17596" s="68"/>
      <c r="K17596" s="68"/>
    </row>
    <row r="17597" spans="2:11" ht="12.75">
      <c r="B17597" s="4"/>
      <c r="D17597" s="67"/>
      <c r="G17597" s="68"/>
      <c r="K17597" s="68"/>
    </row>
    <row r="17598" spans="2:11" ht="12.75">
      <c r="B17598" s="4"/>
      <c r="D17598" s="67"/>
      <c r="G17598" s="68"/>
      <c r="K17598" s="68"/>
    </row>
    <row r="17599" spans="2:11" ht="12.75">
      <c r="B17599" s="4"/>
      <c r="D17599" s="67"/>
      <c r="G17599" s="68"/>
      <c r="K17599" s="68"/>
    </row>
    <row r="17600" spans="2:11" ht="12.75">
      <c r="B17600" s="4"/>
      <c r="D17600" s="67"/>
      <c r="G17600" s="68"/>
      <c r="K17600" s="68"/>
    </row>
    <row r="17601" spans="2:11" ht="12.75">
      <c r="B17601" s="4"/>
      <c r="D17601" s="67"/>
      <c r="G17601" s="68"/>
      <c r="K17601" s="68"/>
    </row>
    <row r="17602" spans="2:11" ht="12.75">
      <c r="B17602" s="4"/>
      <c r="D17602" s="67"/>
      <c r="G17602" s="68"/>
      <c r="K17602" s="68"/>
    </row>
    <row r="17603" spans="2:11" ht="12.75">
      <c r="B17603" s="4"/>
      <c r="D17603" s="67"/>
      <c r="G17603" s="68"/>
      <c r="K17603" s="68"/>
    </row>
    <row r="17604" spans="2:11" ht="12.75">
      <c r="B17604" s="4"/>
      <c r="D17604" s="67"/>
      <c r="G17604" s="68"/>
      <c r="K17604" s="68"/>
    </row>
    <row r="17605" spans="2:11" ht="12.75">
      <c r="B17605" s="4"/>
      <c r="D17605" s="67"/>
      <c r="G17605" s="68"/>
      <c r="K17605" s="68"/>
    </row>
    <row r="17606" spans="2:11" ht="12.75">
      <c r="B17606" s="4"/>
      <c r="D17606" s="67"/>
      <c r="G17606" s="68"/>
      <c r="K17606" s="68"/>
    </row>
    <row r="17607" spans="2:11" ht="12.75">
      <c r="B17607" s="4"/>
      <c r="D17607" s="67"/>
      <c r="G17607" s="68"/>
      <c r="K17607" s="68"/>
    </row>
    <row r="17608" spans="2:11" ht="12.75">
      <c r="B17608" s="4"/>
      <c r="D17608" s="67"/>
      <c r="G17608" s="68"/>
      <c r="K17608" s="68"/>
    </row>
    <row r="17609" spans="2:11" ht="12.75">
      <c r="B17609" s="4"/>
      <c r="D17609" s="67"/>
      <c r="G17609" s="68"/>
      <c r="K17609" s="68"/>
    </row>
    <row r="17610" spans="2:11" ht="12.75">
      <c r="B17610" s="4"/>
      <c r="D17610" s="67"/>
      <c r="G17610" s="68"/>
      <c r="K17610" s="68"/>
    </row>
    <row r="17611" spans="2:11" ht="12.75">
      <c r="B17611" s="4"/>
      <c r="D17611" s="67"/>
      <c r="G17611" s="68"/>
      <c r="K17611" s="68"/>
    </row>
    <row r="17612" spans="2:11" ht="12.75">
      <c r="B17612" s="4"/>
      <c r="D17612" s="67"/>
      <c r="G17612" s="68"/>
      <c r="K17612" s="68"/>
    </row>
    <row r="17613" spans="2:11" ht="12.75">
      <c r="B17613" s="4"/>
      <c r="D17613" s="67"/>
      <c r="G17613" s="68"/>
      <c r="K17613" s="68"/>
    </row>
    <row r="17614" spans="2:11" ht="12.75">
      <c r="B17614" s="4"/>
      <c r="D17614" s="67"/>
      <c r="G17614" s="68"/>
      <c r="K17614" s="68"/>
    </row>
    <row r="17615" spans="2:11" ht="12.75">
      <c r="B17615" s="4"/>
      <c r="D17615" s="67"/>
      <c r="G17615" s="68"/>
      <c r="K17615" s="68"/>
    </row>
    <row r="17616" spans="2:11" ht="12.75">
      <c r="B17616" s="4"/>
      <c r="D17616" s="67"/>
      <c r="G17616" s="68"/>
      <c r="K17616" s="68"/>
    </row>
    <row r="17617" spans="2:11" ht="12.75">
      <c r="B17617" s="4"/>
      <c r="D17617" s="67"/>
      <c r="G17617" s="68"/>
      <c r="K17617" s="68"/>
    </row>
    <row r="17618" spans="2:11" ht="12.75">
      <c r="B17618" s="4"/>
      <c r="D17618" s="67"/>
      <c r="G17618" s="68"/>
      <c r="K17618" s="68"/>
    </row>
    <row r="17619" spans="2:11" ht="12.75">
      <c r="B17619" s="4"/>
      <c r="D17619" s="67"/>
      <c r="G17619" s="68"/>
      <c r="K17619" s="68"/>
    </row>
    <row r="17620" spans="2:11" ht="12.75">
      <c r="B17620" s="4"/>
      <c r="D17620" s="67"/>
      <c r="G17620" s="68"/>
      <c r="K17620" s="68"/>
    </row>
    <row r="17621" spans="2:11" ht="12.75">
      <c r="B17621" s="4"/>
      <c r="D17621" s="67"/>
      <c r="G17621" s="68"/>
      <c r="K17621" s="68"/>
    </row>
    <row r="17622" spans="2:11" ht="12.75">
      <c r="B17622" s="4"/>
      <c r="D17622" s="67"/>
      <c r="G17622" s="68"/>
      <c r="K17622" s="68"/>
    </row>
    <row r="17623" spans="2:11" ht="12.75">
      <c r="B17623" s="4"/>
      <c r="D17623" s="67"/>
      <c r="G17623" s="68"/>
      <c r="K17623" s="68"/>
    </row>
    <row r="17624" spans="2:11" ht="12.75">
      <c r="B17624" s="4"/>
      <c r="D17624" s="67"/>
      <c r="G17624" s="68"/>
      <c r="K17624" s="68"/>
    </row>
    <row r="17625" spans="2:11" ht="12.75">
      <c r="B17625" s="4"/>
      <c r="D17625" s="67"/>
      <c r="G17625" s="68"/>
      <c r="K17625" s="68"/>
    </row>
    <row r="17626" spans="2:11" ht="12.75">
      <c r="B17626" s="4"/>
      <c r="D17626" s="67"/>
      <c r="G17626" s="68"/>
      <c r="K17626" s="68"/>
    </row>
    <row r="17627" spans="2:11" ht="12.75">
      <c r="B17627" s="4"/>
      <c r="D17627" s="67"/>
      <c r="G17627" s="68"/>
      <c r="K17627" s="68"/>
    </row>
    <row r="17628" spans="2:11" ht="12.75">
      <c r="B17628" s="4"/>
      <c r="D17628" s="67"/>
      <c r="G17628" s="68"/>
      <c r="K17628" s="68"/>
    </row>
    <row r="17629" spans="2:11" ht="12.75">
      <c r="B17629" s="4"/>
      <c r="D17629" s="67"/>
      <c r="G17629" s="68"/>
      <c r="K17629" s="68"/>
    </row>
    <row r="17630" spans="2:11" ht="12.75">
      <c r="B17630" s="4"/>
      <c r="D17630" s="67"/>
      <c r="G17630" s="68"/>
      <c r="K17630" s="68"/>
    </row>
    <row r="17631" spans="2:11" ht="12.75">
      <c r="B17631" s="4"/>
      <c r="D17631" s="67"/>
      <c r="G17631" s="68"/>
      <c r="K17631" s="68"/>
    </row>
    <row r="17632" spans="2:11" ht="12.75">
      <c r="B17632" s="4"/>
      <c r="D17632" s="67"/>
      <c r="G17632" s="68"/>
      <c r="K17632" s="68"/>
    </row>
    <row r="17633" spans="2:11" ht="12.75">
      <c r="B17633" s="4"/>
      <c r="D17633" s="67"/>
      <c r="G17633" s="68"/>
      <c r="K17633" s="68"/>
    </row>
    <row r="17634" spans="2:11" ht="12.75">
      <c r="B17634" s="4"/>
      <c r="D17634" s="67"/>
      <c r="G17634" s="68"/>
      <c r="K17634" s="68"/>
    </row>
    <row r="17635" spans="2:11" ht="12.75">
      <c r="B17635" s="4"/>
      <c r="D17635" s="67"/>
      <c r="G17635" s="68"/>
      <c r="K17635" s="68"/>
    </row>
    <row r="17636" spans="2:11" ht="12.75">
      <c r="B17636" s="4"/>
      <c r="D17636" s="67"/>
      <c r="G17636" s="68"/>
      <c r="K17636" s="68"/>
    </row>
    <row r="17637" spans="2:11" ht="12.75">
      <c r="B17637" s="4"/>
      <c r="D17637" s="67"/>
      <c r="G17637" s="68"/>
      <c r="K17637" s="68"/>
    </row>
    <row r="17638" spans="2:11" ht="12.75">
      <c r="B17638" s="4"/>
      <c r="D17638" s="67"/>
      <c r="G17638" s="68"/>
      <c r="K17638" s="68"/>
    </row>
    <row r="17639" spans="2:11" ht="12.75">
      <c r="B17639" s="4"/>
      <c r="D17639" s="67"/>
      <c r="G17639" s="68"/>
      <c r="K17639" s="68"/>
    </row>
    <row r="17640" spans="2:11" ht="12.75">
      <c r="B17640" s="4"/>
      <c r="D17640" s="67"/>
      <c r="G17640" s="68"/>
      <c r="K17640" s="68"/>
    </row>
    <row r="17641" spans="2:11" ht="12.75">
      <c r="B17641" s="4"/>
      <c r="D17641" s="67"/>
      <c r="G17641" s="68"/>
      <c r="K17641" s="68"/>
    </row>
    <row r="17642" spans="2:11" ht="12.75">
      <c r="B17642" s="4"/>
      <c r="D17642" s="67"/>
      <c r="G17642" s="68"/>
      <c r="K17642" s="68"/>
    </row>
    <row r="17643" spans="2:11" ht="12.75">
      <c r="B17643" s="4"/>
      <c r="D17643" s="67"/>
      <c r="G17643" s="68"/>
      <c r="K17643" s="68"/>
    </row>
    <row r="17644" spans="2:11" ht="12.75">
      <c r="B17644" s="4"/>
      <c r="D17644" s="67"/>
      <c r="G17644" s="68"/>
      <c r="K17644" s="68"/>
    </row>
    <row r="17645" spans="2:11" ht="12.75">
      <c r="B17645" s="4"/>
      <c r="D17645" s="67"/>
      <c r="G17645" s="68"/>
      <c r="K17645" s="68"/>
    </row>
    <row r="17646" spans="2:11" ht="12.75">
      <c r="B17646" s="4"/>
      <c r="D17646" s="67"/>
      <c r="G17646" s="68"/>
      <c r="K17646" s="68"/>
    </row>
    <row r="17647" spans="2:11" ht="12.75">
      <c r="B17647" s="4"/>
      <c r="D17647" s="67"/>
      <c r="G17647" s="68"/>
      <c r="K17647" s="68"/>
    </row>
    <row r="17648" spans="2:11" ht="12.75">
      <c r="B17648" s="4"/>
      <c r="D17648" s="67"/>
      <c r="G17648" s="68"/>
      <c r="K17648" s="68"/>
    </row>
    <row r="17649" spans="2:11" ht="12.75">
      <c r="B17649" s="4"/>
      <c r="D17649" s="67"/>
      <c r="G17649" s="68"/>
      <c r="K17649" s="68"/>
    </row>
    <row r="17650" spans="2:11" ht="12.75">
      <c r="B17650" s="4"/>
      <c r="D17650" s="67"/>
      <c r="G17650" s="68"/>
      <c r="K17650" s="68"/>
    </row>
    <row r="17651" spans="2:11" ht="12.75">
      <c r="B17651" s="4"/>
      <c r="D17651" s="67"/>
      <c r="G17651" s="68"/>
      <c r="K17651" s="68"/>
    </row>
    <row r="17652" spans="2:11" ht="12.75">
      <c r="B17652" s="4"/>
      <c r="D17652" s="67"/>
      <c r="G17652" s="68"/>
      <c r="K17652" s="68"/>
    </row>
    <row r="17653" spans="2:11" ht="12.75">
      <c r="B17653" s="4"/>
      <c r="D17653" s="67"/>
      <c r="G17653" s="68"/>
      <c r="K17653" s="68"/>
    </row>
    <row r="17654" spans="2:11" ht="12.75">
      <c r="B17654" s="4"/>
      <c r="D17654" s="67"/>
      <c r="G17654" s="68"/>
      <c r="K17654" s="68"/>
    </row>
    <row r="17655" spans="2:11" ht="12.75">
      <c r="B17655" s="4"/>
      <c r="D17655" s="67"/>
      <c r="G17655" s="68"/>
      <c r="K17655" s="68"/>
    </row>
    <row r="17656" spans="2:11" ht="12.75">
      <c r="B17656" s="4"/>
      <c r="D17656" s="67"/>
      <c r="G17656" s="68"/>
      <c r="K17656" s="68"/>
    </row>
    <row r="17657" spans="2:11" ht="12.75">
      <c r="B17657" s="4"/>
      <c r="D17657" s="67"/>
      <c r="G17657" s="68"/>
      <c r="K17657" s="68"/>
    </row>
    <row r="17658" spans="2:11" ht="12.75">
      <c r="B17658" s="4"/>
      <c r="D17658" s="67"/>
      <c r="G17658" s="68"/>
      <c r="K17658" s="68"/>
    </row>
    <row r="17659" spans="2:11" ht="12.75">
      <c r="B17659" s="4"/>
      <c r="D17659" s="67"/>
      <c r="G17659" s="68"/>
      <c r="K17659" s="68"/>
    </row>
    <row r="17660" spans="2:11" ht="12.75">
      <c r="B17660" s="4"/>
      <c r="D17660" s="67"/>
      <c r="G17660" s="68"/>
      <c r="K17660" s="68"/>
    </row>
    <row r="17661" spans="2:11" ht="12.75">
      <c r="B17661" s="4"/>
      <c r="D17661" s="67"/>
      <c r="G17661" s="68"/>
      <c r="K17661" s="68"/>
    </row>
    <row r="17662" spans="2:11" ht="12.75">
      <c r="B17662" s="4"/>
      <c r="D17662" s="67"/>
      <c r="G17662" s="68"/>
      <c r="K17662" s="68"/>
    </row>
    <row r="17663" spans="2:11" ht="12.75">
      <c r="B17663" s="4"/>
      <c r="D17663" s="67"/>
      <c r="G17663" s="68"/>
      <c r="K17663" s="68"/>
    </row>
    <row r="17664" spans="2:11" ht="12.75">
      <c r="B17664" s="4"/>
      <c r="D17664" s="67"/>
      <c r="G17664" s="68"/>
      <c r="K17664" s="68"/>
    </row>
    <row r="17665" spans="2:11" ht="12.75">
      <c r="B17665" s="4"/>
      <c r="D17665" s="67"/>
      <c r="G17665" s="68"/>
      <c r="K17665" s="68"/>
    </row>
    <row r="17666" spans="2:11" ht="12.75">
      <c r="B17666" s="4"/>
      <c r="D17666" s="67"/>
      <c r="G17666" s="68"/>
      <c r="K17666" s="68"/>
    </row>
    <row r="17667" spans="2:11" ht="12.75">
      <c r="B17667" s="4"/>
      <c r="D17667" s="67"/>
      <c r="G17667" s="68"/>
      <c r="K17667" s="68"/>
    </row>
    <row r="17668" spans="2:11" ht="12.75">
      <c r="B17668" s="4"/>
      <c r="D17668" s="67"/>
      <c r="G17668" s="68"/>
      <c r="K17668" s="68"/>
    </row>
    <row r="17669" spans="2:11" ht="12.75">
      <c r="B17669" s="4"/>
      <c r="D17669" s="67"/>
      <c r="G17669" s="68"/>
      <c r="K17669" s="68"/>
    </row>
    <row r="17670" spans="2:11" ht="12.75">
      <c r="B17670" s="4"/>
      <c r="D17670" s="67"/>
      <c r="G17670" s="68"/>
      <c r="K17670" s="68"/>
    </row>
    <row r="17671" spans="2:11" ht="12.75">
      <c r="B17671" s="4"/>
      <c r="D17671" s="67"/>
      <c r="G17671" s="68"/>
      <c r="K17671" s="68"/>
    </row>
    <row r="17672" spans="2:11" ht="12.75">
      <c r="B17672" s="4"/>
      <c r="D17672" s="67"/>
      <c r="G17672" s="68"/>
      <c r="K17672" s="68"/>
    </row>
    <row r="17673" spans="2:11" ht="12.75">
      <c r="B17673" s="4"/>
      <c r="D17673" s="67"/>
      <c r="G17673" s="68"/>
      <c r="K17673" s="68"/>
    </row>
    <row r="17674" spans="2:11" ht="12.75">
      <c r="B17674" s="4"/>
      <c r="D17674" s="67"/>
      <c r="G17674" s="68"/>
      <c r="K17674" s="68"/>
    </row>
    <row r="17675" spans="2:11" ht="12.75">
      <c r="B17675" s="4"/>
      <c r="D17675" s="67"/>
      <c r="G17675" s="68"/>
      <c r="K17675" s="68"/>
    </row>
    <row r="17676" spans="2:11" ht="12.75">
      <c r="B17676" s="4"/>
      <c r="D17676" s="67"/>
      <c r="G17676" s="68"/>
      <c r="K17676" s="68"/>
    </row>
    <row r="17677" spans="2:11" ht="12.75">
      <c r="B17677" s="4"/>
      <c r="D17677" s="67"/>
      <c r="G17677" s="68"/>
      <c r="K17677" s="68"/>
    </row>
    <row r="17678" spans="2:11" ht="12.75">
      <c r="B17678" s="4"/>
      <c r="D17678" s="67"/>
      <c r="G17678" s="68"/>
      <c r="K17678" s="68"/>
    </row>
    <row r="17679" spans="2:11" ht="12.75">
      <c r="B17679" s="4"/>
      <c r="D17679" s="67"/>
      <c r="G17679" s="68"/>
      <c r="K17679" s="68"/>
    </row>
    <row r="17680" spans="2:11" ht="12.75">
      <c r="B17680" s="4"/>
      <c r="D17680" s="67"/>
      <c r="G17680" s="68"/>
      <c r="K17680" s="68"/>
    </row>
    <row r="17681" spans="2:11" ht="12.75">
      <c r="B17681" s="4"/>
      <c r="D17681" s="67"/>
      <c r="G17681" s="68"/>
      <c r="K17681" s="68"/>
    </row>
    <row r="17682" spans="2:11" ht="12.75">
      <c r="B17682" s="4"/>
      <c r="D17682" s="67"/>
      <c r="G17682" s="68"/>
      <c r="K17682" s="68"/>
    </row>
    <row r="17683" spans="2:11" ht="12.75">
      <c r="B17683" s="4"/>
      <c r="D17683" s="67"/>
      <c r="G17683" s="68"/>
      <c r="K17683" s="68"/>
    </row>
    <row r="17684" spans="2:11" ht="12.75">
      <c r="B17684" s="4"/>
      <c r="D17684" s="67"/>
      <c r="G17684" s="68"/>
      <c r="K17684" s="68"/>
    </row>
    <row r="17685" spans="2:11" ht="12.75">
      <c r="B17685" s="4"/>
      <c r="D17685" s="67"/>
      <c r="G17685" s="68"/>
      <c r="K17685" s="68"/>
    </row>
    <row r="17686" spans="2:11" ht="12.75">
      <c r="B17686" s="4"/>
      <c r="D17686" s="67"/>
      <c r="G17686" s="68"/>
      <c r="K17686" s="68"/>
    </row>
    <row r="17687" spans="2:11" ht="12.75">
      <c r="B17687" s="4"/>
      <c r="D17687" s="67"/>
      <c r="G17687" s="68"/>
      <c r="K17687" s="68"/>
    </row>
    <row r="17688" spans="2:11" ht="12.75">
      <c r="B17688" s="4"/>
      <c r="D17688" s="67"/>
      <c r="G17688" s="68"/>
      <c r="K17688" s="68"/>
    </row>
    <row r="17689" spans="2:11" ht="12.75">
      <c r="B17689" s="4"/>
      <c r="D17689" s="67"/>
      <c r="G17689" s="68"/>
      <c r="K17689" s="68"/>
    </row>
    <row r="17690" spans="2:11" ht="12.75">
      <c r="B17690" s="4"/>
      <c r="D17690" s="67"/>
      <c r="G17690" s="68"/>
      <c r="K17690" s="68"/>
    </row>
    <row r="17691" spans="2:11" ht="12.75">
      <c r="B17691" s="4"/>
      <c r="D17691" s="67"/>
      <c r="G17691" s="68"/>
      <c r="K17691" s="68"/>
    </row>
    <row r="17692" spans="2:11" ht="12.75">
      <c r="B17692" s="4"/>
      <c r="D17692" s="67"/>
      <c r="G17692" s="68"/>
      <c r="K17692" s="68"/>
    </row>
    <row r="17693" spans="2:11" ht="12.75">
      <c r="B17693" s="4"/>
      <c r="D17693" s="67"/>
      <c r="G17693" s="68"/>
      <c r="K17693" s="68"/>
    </row>
    <row r="17694" spans="2:11" ht="12.75">
      <c r="B17694" s="4"/>
      <c r="D17694" s="67"/>
      <c r="G17694" s="68"/>
      <c r="K17694" s="68"/>
    </row>
    <row r="17695" spans="2:11" ht="12.75">
      <c r="B17695" s="4"/>
      <c r="D17695" s="67"/>
      <c r="G17695" s="68"/>
      <c r="K17695" s="68"/>
    </row>
    <row r="17696" spans="2:11" ht="12.75">
      <c r="B17696" s="4"/>
      <c r="D17696" s="67"/>
      <c r="G17696" s="68"/>
      <c r="K17696" s="68"/>
    </row>
    <row r="17697" spans="2:11" ht="12.75">
      <c r="B17697" s="4"/>
      <c r="D17697" s="67"/>
      <c r="G17697" s="68"/>
      <c r="K17697" s="68"/>
    </row>
    <row r="17698" spans="2:11" ht="12.75">
      <c r="B17698" s="4"/>
      <c r="D17698" s="67"/>
      <c r="G17698" s="68"/>
      <c r="K17698" s="68"/>
    </row>
    <row r="17699" spans="2:11" ht="12.75">
      <c r="B17699" s="4"/>
      <c r="D17699" s="67"/>
      <c r="G17699" s="68"/>
      <c r="K17699" s="68"/>
    </row>
    <row r="17700" spans="2:11" ht="12.75">
      <c r="B17700" s="4"/>
      <c r="D17700" s="67"/>
      <c r="G17700" s="68"/>
      <c r="K17700" s="68"/>
    </row>
    <row r="17701" spans="2:11" ht="12.75">
      <c r="B17701" s="4"/>
      <c r="D17701" s="67"/>
      <c r="G17701" s="68"/>
      <c r="K17701" s="68"/>
    </row>
    <row r="17702" spans="2:11" ht="12.75">
      <c r="B17702" s="4"/>
      <c r="D17702" s="67"/>
      <c r="G17702" s="68"/>
      <c r="K17702" s="68"/>
    </row>
    <row r="17703" spans="2:11" ht="12.75">
      <c r="B17703" s="4"/>
      <c r="D17703" s="67"/>
      <c r="G17703" s="68"/>
      <c r="K17703" s="68"/>
    </row>
    <row r="17704" spans="2:11" ht="12.75">
      <c r="B17704" s="4"/>
      <c r="D17704" s="67"/>
      <c r="G17704" s="68"/>
      <c r="K17704" s="68"/>
    </row>
    <row r="17705" spans="2:11" ht="12.75">
      <c r="B17705" s="4"/>
      <c r="D17705" s="67"/>
      <c r="G17705" s="68"/>
      <c r="K17705" s="68"/>
    </row>
    <row r="17706" spans="2:11" ht="12.75">
      <c r="B17706" s="4"/>
      <c r="D17706" s="67"/>
      <c r="G17706" s="68"/>
      <c r="K17706" s="68"/>
    </row>
    <row r="17707" spans="2:11" ht="12.75">
      <c r="B17707" s="4"/>
      <c r="D17707" s="67"/>
      <c r="G17707" s="68"/>
      <c r="K17707" s="68"/>
    </row>
    <row r="17708" spans="2:11" ht="12.75">
      <c r="B17708" s="4"/>
      <c r="D17708" s="67"/>
      <c r="G17708" s="68"/>
      <c r="K17708" s="68"/>
    </row>
    <row r="17709" spans="2:11" ht="12.75">
      <c r="B17709" s="4"/>
      <c r="D17709" s="67"/>
      <c r="G17709" s="68"/>
      <c r="K17709" s="68"/>
    </row>
    <row r="17710" spans="2:11" ht="12.75">
      <c r="B17710" s="4"/>
      <c r="D17710" s="67"/>
      <c r="G17710" s="68"/>
      <c r="K17710" s="68"/>
    </row>
    <row r="17711" spans="2:11" ht="12.75">
      <c r="B17711" s="4"/>
      <c r="D17711" s="67"/>
      <c r="G17711" s="68"/>
      <c r="K17711" s="68"/>
    </row>
    <row r="17712" spans="2:11" ht="12.75">
      <c r="B17712" s="4"/>
      <c r="D17712" s="67"/>
      <c r="G17712" s="68"/>
      <c r="K17712" s="68"/>
    </row>
    <row r="17713" spans="2:11" ht="12.75">
      <c r="B17713" s="4"/>
      <c r="D17713" s="67"/>
      <c r="G17713" s="68"/>
      <c r="K17713" s="68"/>
    </row>
    <row r="17714" spans="2:11" ht="12.75">
      <c r="B17714" s="4"/>
      <c r="D17714" s="67"/>
      <c r="G17714" s="68"/>
      <c r="K17714" s="68"/>
    </row>
    <row r="17715" spans="2:11" ht="12.75">
      <c r="B17715" s="4"/>
      <c r="D17715" s="67"/>
      <c r="G17715" s="68"/>
      <c r="K17715" s="68"/>
    </row>
    <row r="17716" spans="2:11" ht="12.75">
      <c r="B17716" s="4"/>
      <c r="D17716" s="67"/>
      <c r="G17716" s="68"/>
      <c r="K17716" s="68"/>
    </row>
    <row r="17717" spans="2:11" ht="12.75">
      <c r="B17717" s="4"/>
      <c r="D17717" s="67"/>
      <c r="G17717" s="68"/>
      <c r="K17717" s="68"/>
    </row>
    <row r="17718" spans="2:11" ht="12.75">
      <c r="B17718" s="4"/>
      <c r="D17718" s="67"/>
      <c r="G17718" s="68"/>
      <c r="K17718" s="68"/>
    </row>
    <row r="17719" spans="2:11" ht="12.75">
      <c r="B17719" s="4"/>
      <c r="D17719" s="67"/>
      <c r="G17719" s="68"/>
      <c r="K17719" s="68"/>
    </row>
    <row r="17720" spans="2:11" ht="12.75">
      <c r="B17720" s="4"/>
      <c r="D17720" s="67"/>
      <c r="G17720" s="68"/>
      <c r="K17720" s="68"/>
    </row>
    <row r="17721" spans="2:11" ht="12.75">
      <c r="B17721" s="4"/>
      <c r="D17721" s="67"/>
      <c r="G17721" s="68"/>
      <c r="K17721" s="68"/>
    </row>
    <row r="17722" spans="2:11" ht="12.75">
      <c r="B17722" s="4"/>
      <c r="D17722" s="67"/>
      <c r="G17722" s="68"/>
      <c r="K17722" s="68"/>
    </row>
    <row r="17723" spans="2:11" ht="12.75">
      <c r="B17723" s="4"/>
      <c r="D17723" s="67"/>
      <c r="G17723" s="68"/>
      <c r="K17723" s="68"/>
    </row>
    <row r="17724" spans="2:11" ht="12.75">
      <c r="B17724" s="4"/>
      <c r="D17724" s="67"/>
      <c r="G17724" s="68"/>
      <c r="K17724" s="68"/>
    </row>
    <row r="17725" spans="2:11" ht="12.75">
      <c r="B17725" s="4"/>
      <c r="D17725" s="67"/>
      <c r="G17725" s="68"/>
      <c r="K17725" s="68"/>
    </row>
    <row r="17726" spans="2:11" ht="12.75">
      <c r="B17726" s="4"/>
      <c r="D17726" s="67"/>
      <c r="G17726" s="68"/>
      <c r="K17726" s="68"/>
    </row>
    <row r="17727" spans="2:11" ht="12.75">
      <c r="B17727" s="4"/>
      <c r="D17727" s="67"/>
      <c r="G17727" s="68"/>
      <c r="K17727" s="68"/>
    </row>
    <row r="17728" spans="2:11" ht="12.75">
      <c r="B17728" s="4"/>
      <c r="D17728" s="67"/>
      <c r="G17728" s="68"/>
      <c r="K17728" s="68"/>
    </row>
    <row r="17729" spans="2:11" ht="12.75">
      <c r="B17729" s="4"/>
      <c r="D17729" s="67"/>
      <c r="G17729" s="68"/>
      <c r="K17729" s="68"/>
    </row>
    <row r="17730" spans="2:11" ht="12.75">
      <c r="B17730" s="4"/>
      <c r="D17730" s="67"/>
      <c r="G17730" s="68"/>
      <c r="K17730" s="68"/>
    </row>
    <row r="17731" spans="2:11" ht="12.75">
      <c r="B17731" s="4"/>
      <c r="D17731" s="67"/>
      <c r="G17731" s="68"/>
      <c r="K17731" s="68"/>
    </row>
    <row r="17732" spans="2:11" ht="12.75">
      <c r="B17732" s="4"/>
      <c r="D17732" s="67"/>
      <c r="G17732" s="68"/>
      <c r="K17732" s="68"/>
    </row>
    <row r="17733" spans="2:11" ht="12.75">
      <c r="B17733" s="4"/>
      <c r="D17733" s="67"/>
      <c r="G17733" s="68"/>
      <c r="K17733" s="68"/>
    </row>
    <row r="17734" spans="2:11" ht="12.75">
      <c r="B17734" s="4"/>
      <c r="D17734" s="67"/>
      <c r="G17734" s="68"/>
      <c r="K17734" s="68"/>
    </row>
    <row r="17735" spans="2:11" ht="12.75">
      <c r="B17735" s="4"/>
      <c r="D17735" s="67"/>
      <c r="G17735" s="68"/>
      <c r="K17735" s="68"/>
    </row>
    <row r="17736" spans="2:11" ht="12.75">
      <c r="B17736" s="4"/>
      <c r="D17736" s="67"/>
      <c r="G17736" s="68"/>
      <c r="K17736" s="68"/>
    </row>
    <row r="17737" spans="2:11" ht="12.75">
      <c r="B17737" s="4"/>
      <c r="D17737" s="67"/>
      <c r="G17737" s="68"/>
      <c r="K17737" s="68"/>
    </row>
    <row r="17738" spans="2:11" ht="12.75">
      <c r="B17738" s="4"/>
      <c r="D17738" s="67"/>
      <c r="G17738" s="68"/>
      <c r="K17738" s="68"/>
    </row>
    <row r="17739" spans="2:11" ht="12.75">
      <c r="B17739" s="4"/>
      <c r="D17739" s="67"/>
      <c r="G17739" s="68"/>
      <c r="K17739" s="68"/>
    </row>
    <row r="17740" spans="2:11" ht="12.75">
      <c r="B17740" s="4"/>
      <c r="D17740" s="67"/>
      <c r="G17740" s="68"/>
      <c r="K17740" s="68"/>
    </row>
    <row r="17741" spans="2:11" ht="12.75">
      <c r="B17741" s="4"/>
      <c r="D17741" s="67"/>
      <c r="G17741" s="68"/>
      <c r="K17741" s="68"/>
    </row>
    <row r="17742" spans="2:11" ht="12.75">
      <c r="B17742" s="4"/>
      <c r="D17742" s="67"/>
      <c r="G17742" s="68"/>
      <c r="K17742" s="68"/>
    </row>
    <row r="17743" spans="2:11" ht="12.75">
      <c r="B17743" s="4"/>
      <c r="D17743" s="67"/>
      <c r="G17743" s="68"/>
      <c r="K17743" s="68"/>
    </row>
    <row r="17744" spans="2:11" ht="12.75">
      <c r="B17744" s="4"/>
      <c r="D17744" s="67"/>
      <c r="G17744" s="68"/>
      <c r="K17744" s="68"/>
    </row>
    <row r="17745" spans="2:11" ht="12.75">
      <c r="B17745" s="4"/>
      <c r="D17745" s="67"/>
      <c r="G17745" s="68"/>
      <c r="K17745" s="68"/>
    </row>
    <row r="17746" spans="2:11" ht="12.75">
      <c r="B17746" s="4"/>
      <c r="D17746" s="67"/>
      <c r="G17746" s="68"/>
      <c r="K17746" s="68"/>
    </row>
    <row r="17747" spans="2:11" ht="12.75">
      <c r="B17747" s="4"/>
      <c r="D17747" s="67"/>
      <c r="G17747" s="68"/>
      <c r="K17747" s="68"/>
    </row>
    <row r="17748" spans="2:11" ht="12.75">
      <c r="B17748" s="4"/>
      <c r="D17748" s="67"/>
      <c r="G17748" s="68"/>
      <c r="K17748" s="68"/>
    </row>
    <row r="17749" spans="2:11" ht="12.75">
      <c r="B17749" s="4"/>
      <c r="D17749" s="67"/>
      <c r="G17749" s="68"/>
      <c r="K17749" s="68"/>
    </row>
    <row r="17750" spans="2:11" ht="12.75">
      <c r="B17750" s="4"/>
      <c r="D17750" s="67"/>
      <c r="G17750" s="68"/>
      <c r="K17750" s="68"/>
    </row>
    <row r="17751" spans="2:11" ht="12.75">
      <c r="B17751" s="4"/>
      <c r="D17751" s="67"/>
      <c r="G17751" s="68"/>
      <c r="K17751" s="68"/>
    </row>
    <row r="17752" spans="2:11" ht="12.75">
      <c r="B17752" s="4"/>
      <c r="D17752" s="67"/>
      <c r="G17752" s="68"/>
      <c r="K17752" s="68"/>
    </row>
    <row r="17753" spans="2:11" ht="12.75">
      <c r="B17753" s="4"/>
      <c r="D17753" s="67"/>
      <c r="G17753" s="68"/>
      <c r="K17753" s="68"/>
    </row>
    <row r="17754" spans="2:11" ht="12.75">
      <c r="B17754" s="4"/>
      <c r="D17754" s="67"/>
      <c r="G17754" s="68"/>
      <c r="K17754" s="68"/>
    </row>
    <row r="17755" spans="2:11" ht="12.75">
      <c r="B17755" s="4"/>
      <c r="D17755" s="67"/>
      <c r="G17755" s="68"/>
      <c r="K17755" s="68"/>
    </row>
    <row r="17756" spans="2:11" ht="12.75">
      <c r="B17756" s="4"/>
      <c r="D17756" s="67"/>
      <c r="G17756" s="68"/>
      <c r="K17756" s="68"/>
    </row>
    <row r="17757" spans="2:11" ht="12.75">
      <c r="B17757" s="4"/>
      <c r="D17757" s="67"/>
      <c r="G17757" s="68"/>
      <c r="K17757" s="68"/>
    </row>
    <row r="17758" spans="2:11" ht="12.75">
      <c r="B17758" s="4"/>
      <c r="D17758" s="67"/>
      <c r="G17758" s="68"/>
      <c r="K17758" s="68"/>
    </row>
    <row r="17759" spans="2:11" ht="12.75">
      <c r="B17759" s="4"/>
      <c r="D17759" s="67"/>
      <c r="G17759" s="68"/>
      <c r="K17759" s="68"/>
    </row>
    <row r="17760" spans="2:11" ht="12.75">
      <c r="B17760" s="4"/>
      <c r="D17760" s="67"/>
      <c r="G17760" s="68"/>
      <c r="K17760" s="68"/>
    </row>
    <row r="17761" spans="2:11" ht="12.75">
      <c r="B17761" s="4"/>
      <c r="D17761" s="67"/>
      <c r="G17761" s="68"/>
      <c r="K17761" s="68"/>
    </row>
    <row r="17762" spans="2:11" ht="12.75">
      <c r="B17762" s="4"/>
      <c r="D17762" s="67"/>
      <c r="G17762" s="68"/>
      <c r="K17762" s="68"/>
    </row>
    <row r="17763" spans="2:11" ht="12.75">
      <c r="B17763" s="4"/>
      <c r="D17763" s="67"/>
      <c r="G17763" s="68"/>
      <c r="K17763" s="68"/>
    </row>
    <row r="17764" spans="2:11" ht="12.75">
      <c r="B17764" s="4"/>
      <c r="D17764" s="67"/>
      <c r="G17764" s="68"/>
      <c r="K17764" s="68"/>
    </row>
    <row r="17765" spans="2:11" ht="12.75">
      <c r="B17765" s="4"/>
      <c r="D17765" s="67"/>
      <c r="G17765" s="68"/>
      <c r="K17765" s="68"/>
    </row>
    <row r="17766" spans="2:11" ht="12.75">
      <c r="B17766" s="4"/>
      <c r="D17766" s="67"/>
      <c r="G17766" s="68"/>
      <c r="K17766" s="68"/>
    </row>
    <row r="17767" spans="2:11" ht="12.75">
      <c r="B17767" s="4"/>
      <c r="D17767" s="67"/>
      <c r="G17767" s="68"/>
      <c r="K17767" s="68"/>
    </row>
    <row r="17768" spans="2:11" ht="12.75">
      <c r="B17768" s="4"/>
      <c r="D17768" s="67"/>
      <c r="G17768" s="68"/>
      <c r="K17768" s="68"/>
    </row>
    <row r="17769" spans="2:11" ht="12.75">
      <c r="B17769" s="4"/>
      <c r="D17769" s="67"/>
      <c r="G17769" s="68"/>
      <c r="K17769" s="68"/>
    </row>
    <row r="17770" spans="2:11" ht="12.75">
      <c r="B17770" s="4"/>
      <c r="D17770" s="67"/>
      <c r="G17770" s="68"/>
      <c r="K17770" s="68"/>
    </row>
    <row r="17771" spans="2:11" ht="12.75">
      <c r="B17771" s="4"/>
      <c r="D17771" s="67"/>
      <c r="G17771" s="68"/>
      <c r="K17771" s="68"/>
    </row>
    <row r="17772" spans="2:11" ht="12.75">
      <c r="B17772" s="4"/>
      <c r="D17772" s="67"/>
      <c r="G17772" s="68"/>
      <c r="K17772" s="68"/>
    </row>
    <row r="17773" spans="2:11" ht="12.75">
      <c r="B17773" s="4"/>
      <c r="D17773" s="67"/>
      <c r="G17773" s="68"/>
      <c r="K17773" s="68"/>
    </row>
    <row r="17774" spans="2:11" ht="12.75">
      <c r="B17774" s="4"/>
      <c r="D17774" s="67"/>
      <c r="G17774" s="68"/>
      <c r="K17774" s="68"/>
    </row>
    <row r="17775" spans="2:11" ht="12.75">
      <c r="B17775" s="4"/>
      <c r="D17775" s="67"/>
      <c r="G17775" s="68"/>
      <c r="K17775" s="68"/>
    </row>
    <row r="17776" spans="2:11" ht="12.75">
      <c r="B17776" s="4"/>
      <c r="D17776" s="67"/>
      <c r="G17776" s="68"/>
      <c r="K17776" s="68"/>
    </row>
    <row r="17777" spans="2:11" ht="12.75">
      <c r="B17777" s="4"/>
      <c r="D17777" s="67"/>
      <c r="G17777" s="68"/>
      <c r="K17777" s="68"/>
    </row>
    <row r="17778" spans="2:11" ht="12.75">
      <c r="B17778" s="4"/>
      <c r="D17778" s="67"/>
      <c r="G17778" s="68"/>
      <c r="K17778" s="68"/>
    </row>
    <row r="17779" spans="2:11" ht="12.75">
      <c r="B17779" s="4"/>
      <c r="D17779" s="67"/>
      <c r="G17779" s="68"/>
      <c r="K17779" s="68"/>
    </row>
    <row r="17780" spans="2:11" ht="12.75">
      <c r="B17780" s="4"/>
      <c r="D17780" s="67"/>
      <c r="G17780" s="68"/>
      <c r="K17780" s="68"/>
    </row>
    <row r="17781" spans="2:11" ht="12.75">
      <c r="B17781" s="4"/>
      <c r="D17781" s="67"/>
      <c r="G17781" s="68"/>
      <c r="K17781" s="68"/>
    </row>
    <row r="17782" spans="2:11" ht="12.75">
      <c r="B17782" s="4"/>
      <c r="D17782" s="67"/>
      <c r="G17782" s="68"/>
      <c r="K17782" s="68"/>
    </row>
    <row r="17783" spans="2:11" ht="12.75">
      <c r="B17783" s="4"/>
      <c r="D17783" s="67"/>
      <c r="G17783" s="68"/>
      <c r="K17783" s="68"/>
    </row>
    <row r="17784" spans="2:11" ht="12.75">
      <c r="B17784" s="4"/>
      <c r="D17784" s="67"/>
      <c r="G17784" s="68"/>
      <c r="K17784" s="68"/>
    </row>
    <row r="17785" spans="2:11" ht="12.75">
      <c r="B17785" s="4"/>
      <c r="D17785" s="67"/>
      <c r="G17785" s="68"/>
      <c r="K17785" s="68"/>
    </row>
    <row r="17786" spans="2:11" ht="12.75">
      <c r="B17786" s="4"/>
      <c r="D17786" s="67"/>
      <c r="G17786" s="68"/>
      <c r="K17786" s="68"/>
    </row>
    <row r="17787" spans="2:11" ht="12.75">
      <c r="B17787" s="4"/>
      <c r="D17787" s="67"/>
      <c r="G17787" s="68"/>
      <c r="K17787" s="68"/>
    </row>
    <row r="17788" spans="2:11" ht="12.75">
      <c r="B17788" s="4"/>
      <c r="D17788" s="67"/>
      <c r="G17788" s="68"/>
      <c r="K17788" s="68"/>
    </row>
    <row r="17789" spans="2:11" ht="12.75">
      <c r="B17789" s="4"/>
      <c r="D17789" s="67"/>
      <c r="G17789" s="68"/>
      <c r="K17789" s="68"/>
    </row>
    <row r="17790" spans="2:11" ht="12.75">
      <c r="B17790" s="4"/>
      <c r="D17790" s="67"/>
      <c r="G17790" s="68"/>
      <c r="K17790" s="68"/>
    </row>
    <row r="17791" spans="2:11" ht="12.75">
      <c r="B17791" s="4"/>
      <c r="D17791" s="67"/>
      <c r="G17791" s="68"/>
      <c r="K17791" s="68"/>
    </row>
    <row r="17792" spans="2:11" ht="12.75">
      <c r="B17792" s="4"/>
      <c r="D17792" s="67"/>
      <c r="G17792" s="68"/>
      <c r="K17792" s="68"/>
    </row>
    <row r="17793" spans="2:11" ht="12.75">
      <c r="B17793" s="4"/>
      <c r="D17793" s="67"/>
      <c r="G17793" s="68"/>
      <c r="K17793" s="68"/>
    </row>
    <row r="17794" spans="2:11" ht="12.75">
      <c r="B17794" s="4"/>
      <c r="D17794" s="67"/>
      <c r="G17794" s="68"/>
      <c r="K17794" s="68"/>
    </row>
    <row r="17795" spans="2:11" ht="12.75">
      <c r="B17795" s="4"/>
      <c r="D17795" s="67"/>
      <c r="G17795" s="68"/>
      <c r="K17795" s="68"/>
    </row>
    <row r="17796" spans="2:11" ht="12.75">
      <c r="B17796" s="4"/>
      <c r="D17796" s="67"/>
      <c r="G17796" s="68"/>
      <c r="K17796" s="68"/>
    </row>
    <row r="17797" spans="2:11" ht="12.75">
      <c r="B17797" s="4"/>
      <c r="D17797" s="67"/>
      <c r="G17797" s="68"/>
      <c r="K17797" s="68"/>
    </row>
    <row r="17798" spans="2:11" ht="12.75">
      <c r="B17798" s="4"/>
      <c r="D17798" s="67"/>
      <c r="G17798" s="68"/>
      <c r="K17798" s="68"/>
    </row>
    <row r="17799" spans="2:11" ht="12.75">
      <c r="B17799" s="4"/>
      <c r="D17799" s="67"/>
      <c r="G17799" s="68"/>
      <c r="K17799" s="68"/>
    </row>
    <row r="17800" spans="2:11" ht="12.75">
      <c r="B17800" s="4"/>
      <c r="D17800" s="67"/>
      <c r="G17800" s="68"/>
      <c r="K17800" s="68"/>
    </row>
    <row r="17801" spans="2:11" ht="12.75">
      <c r="B17801" s="4"/>
      <c r="D17801" s="67"/>
      <c r="G17801" s="68"/>
      <c r="K17801" s="68"/>
    </row>
    <row r="17802" spans="2:11" ht="12.75">
      <c r="B17802" s="4"/>
      <c r="D17802" s="67"/>
      <c r="G17802" s="68"/>
      <c r="K17802" s="68"/>
    </row>
    <row r="17803" spans="2:11" ht="12.75">
      <c r="B17803" s="4"/>
      <c r="D17803" s="67"/>
      <c r="G17803" s="68"/>
      <c r="K17803" s="68"/>
    </row>
    <row r="17804" spans="2:11" ht="12.75">
      <c r="B17804" s="4"/>
      <c r="D17804" s="67"/>
      <c r="G17804" s="68"/>
      <c r="K17804" s="68"/>
    </row>
    <row r="17805" spans="2:11" ht="12.75">
      <c r="B17805" s="4"/>
      <c r="D17805" s="67"/>
      <c r="G17805" s="68"/>
      <c r="K17805" s="68"/>
    </row>
    <row r="17806" spans="2:11" ht="12.75">
      <c r="B17806" s="4"/>
      <c r="D17806" s="67"/>
      <c r="G17806" s="68"/>
      <c r="K17806" s="68"/>
    </row>
    <row r="17807" spans="2:11" ht="12.75">
      <c r="B17807" s="4"/>
      <c r="D17807" s="67"/>
      <c r="G17807" s="68"/>
      <c r="K17807" s="68"/>
    </row>
    <row r="17808" spans="2:11" ht="12.75">
      <c r="B17808" s="4"/>
      <c r="D17808" s="67"/>
      <c r="G17808" s="68"/>
      <c r="K17808" s="68"/>
    </row>
    <row r="17809" spans="2:11" ht="12.75">
      <c r="B17809" s="4"/>
      <c r="D17809" s="67"/>
      <c r="G17809" s="68"/>
      <c r="K17809" s="68"/>
    </row>
    <row r="17810" spans="2:11" ht="12.75">
      <c r="B17810" s="4"/>
      <c r="D17810" s="67"/>
      <c r="G17810" s="68"/>
      <c r="K17810" s="68"/>
    </row>
    <row r="17811" spans="2:11" ht="12.75">
      <c r="B17811" s="4"/>
      <c r="D17811" s="67"/>
      <c r="G17811" s="68"/>
      <c r="K17811" s="68"/>
    </row>
    <row r="17812" spans="2:11" ht="12.75">
      <c r="B17812" s="4"/>
      <c r="D17812" s="67"/>
      <c r="G17812" s="68"/>
      <c r="K17812" s="68"/>
    </row>
    <row r="17813" spans="2:11" ht="12.75">
      <c r="B17813" s="4"/>
      <c r="D17813" s="67"/>
      <c r="G17813" s="68"/>
      <c r="K17813" s="68"/>
    </row>
    <row r="17814" spans="2:11" ht="12.75">
      <c r="B17814" s="4"/>
      <c r="D17814" s="67"/>
      <c r="G17814" s="68"/>
      <c r="K17814" s="68"/>
    </row>
    <row r="17815" spans="2:11" ht="12.75">
      <c r="B17815" s="4"/>
      <c r="D17815" s="67"/>
      <c r="G17815" s="68"/>
      <c r="K17815" s="68"/>
    </row>
    <row r="17816" spans="2:11" ht="12.75">
      <c r="B17816" s="4"/>
      <c r="D17816" s="67"/>
      <c r="G17816" s="68"/>
      <c r="K17816" s="68"/>
    </row>
    <row r="17817" spans="2:11" ht="12.75">
      <c r="B17817" s="4"/>
      <c r="D17817" s="67"/>
      <c r="G17817" s="68"/>
      <c r="K17817" s="68"/>
    </row>
    <row r="17818" spans="2:11" ht="12.75">
      <c r="B17818" s="4"/>
      <c r="D17818" s="67"/>
      <c r="G17818" s="68"/>
      <c r="K17818" s="68"/>
    </row>
    <row r="17819" spans="2:11" ht="12.75">
      <c r="B17819" s="4"/>
      <c r="D17819" s="67"/>
      <c r="G17819" s="68"/>
      <c r="K17819" s="68"/>
    </row>
    <row r="17820" spans="2:11" ht="12.75">
      <c r="B17820" s="4"/>
      <c r="D17820" s="67"/>
      <c r="G17820" s="68"/>
      <c r="K17820" s="68"/>
    </row>
    <row r="17821" spans="2:11" ht="12.75">
      <c r="B17821" s="4"/>
      <c r="D17821" s="67"/>
      <c r="G17821" s="68"/>
      <c r="K17821" s="68"/>
    </row>
    <row r="17822" spans="2:11" ht="12.75">
      <c r="B17822" s="4"/>
      <c r="D17822" s="67"/>
      <c r="G17822" s="68"/>
      <c r="K17822" s="68"/>
    </row>
    <row r="17823" spans="2:11" ht="12.75">
      <c r="B17823" s="4"/>
      <c r="D17823" s="67"/>
      <c r="G17823" s="68"/>
      <c r="K17823" s="68"/>
    </row>
    <row r="17824" spans="2:11" ht="12.75">
      <c r="B17824" s="4"/>
      <c r="D17824" s="67"/>
      <c r="G17824" s="68"/>
      <c r="K17824" s="68"/>
    </row>
    <row r="17825" spans="2:11" ht="12.75">
      <c r="B17825" s="4"/>
      <c r="D17825" s="67"/>
      <c r="G17825" s="68"/>
      <c r="K17825" s="68"/>
    </row>
    <row r="17826" spans="2:11" ht="12.75">
      <c r="B17826" s="4"/>
      <c r="D17826" s="67"/>
      <c r="G17826" s="68"/>
      <c r="K17826" s="68"/>
    </row>
    <row r="17827" spans="2:11" ht="12.75">
      <c r="B17827" s="4"/>
      <c r="D17827" s="67"/>
      <c r="G17827" s="68"/>
      <c r="K17827" s="68"/>
    </row>
    <row r="17828" spans="2:11" ht="12.75">
      <c r="B17828" s="4"/>
      <c r="D17828" s="67"/>
      <c r="G17828" s="68"/>
      <c r="K17828" s="68"/>
    </row>
    <row r="17829" spans="2:11" ht="12.75">
      <c r="B17829" s="4"/>
      <c r="D17829" s="67"/>
      <c r="G17829" s="68"/>
      <c r="K17829" s="68"/>
    </row>
    <row r="17830" spans="2:11" ht="12.75">
      <c r="B17830" s="4"/>
      <c r="D17830" s="67"/>
      <c r="G17830" s="68"/>
      <c r="K17830" s="68"/>
    </row>
    <row r="17831" spans="2:11" ht="12.75">
      <c r="B17831" s="4"/>
      <c r="D17831" s="67"/>
      <c r="G17831" s="68"/>
      <c r="K17831" s="68"/>
    </row>
    <row r="17832" spans="2:11" ht="12.75">
      <c r="B17832" s="4"/>
      <c r="D17832" s="67"/>
      <c r="G17832" s="68"/>
      <c r="K17832" s="68"/>
    </row>
    <row r="17833" spans="2:11" ht="12.75">
      <c r="B17833" s="4"/>
      <c r="D17833" s="67"/>
      <c r="G17833" s="68"/>
      <c r="K17833" s="68"/>
    </row>
    <row r="17834" spans="2:11" ht="12.75">
      <c r="B17834" s="4"/>
      <c r="D17834" s="67"/>
      <c r="G17834" s="68"/>
      <c r="K17834" s="68"/>
    </row>
    <row r="17835" spans="2:11" ht="12.75">
      <c r="B17835" s="4"/>
      <c r="D17835" s="67"/>
      <c r="G17835" s="68"/>
      <c r="K17835" s="68"/>
    </row>
    <row r="17836" spans="2:11" ht="12.75">
      <c r="B17836" s="4"/>
      <c r="D17836" s="67"/>
      <c r="G17836" s="68"/>
      <c r="K17836" s="68"/>
    </row>
    <row r="17837" spans="2:11" ht="12.75">
      <c r="B17837" s="4"/>
      <c r="D17837" s="67"/>
      <c r="G17837" s="68"/>
      <c r="K17837" s="68"/>
    </row>
    <row r="17838" spans="2:11" ht="12.75">
      <c r="B17838" s="4"/>
      <c r="D17838" s="67"/>
      <c r="G17838" s="68"/>
      <c r="K17838" s="68"/>
    </row>
    <row r="17839" spans="2:11" ht="12.75">
      <c r="B17839" s="4"/>
      <c r="D17839" s="67"/>
      <c r="G17839" s="68"/>
      <c r="K17839" s="68"/>
    </row>
    <row r="17840" spans="2:11" ht="12.75">
      <c r="B17840" s="4"/>
      <c r="D17840" s="67"/>
      <c r="G17840" s="68"/>
      <c r="K17840" s="68"/>
    </row>
    <row r="17841" spans="2:11" ht="12.75">
      <c r="B17841" s="4"/>
      <c r="D17841" s="67"/>
      <c r="G17841" s="68"/>
      <c r="K17841" s="68"/>
    </row>
    <row r="17842" spans="2:11" ht="12.75">
      <c r="B17842" s="4"/>
      <c r="D17842" s="67"/>
      <c r="G17842" s="68"/>
      <c r="K17842" s="68"/>
    </row>
    <row r="17843" spans="2:11" ht="12.75">
      <c r="B17843" s="4"/>
      <c r="D17843" s="67"/>
      <c r="G17843" s="68"/>
      <c r="K17843" s="68"/>
    </row>
    <row r="17844" spans="2:11" ht="12.75">
      <c r="B17844" s="4"/>
      <c r="D17844" s="67"/>
      <c r="G17844" s="68"/>
      <c r="K17844" s="68"/>
    </row>
    <row r="17845" spans="2:11" ht="12.75">
      <c r="B17845" s="4"/>
      <c r="D17845" s="67"/>
      <c r="G17845" s="68"/>
      <c r="K17845" s="68"/>
    </row>
    <row r="17846" spans="2:11" ht="12.75">
      <c r="B17846" s="4"/>
      <c r="D17846" s="67"/>
      <c r="G17846" s="68"/>
      <c r="K17846" s="68"/>
    </row>
    <row r="17847" spans="2:11" ht="12.75">
      <c r="B17847" s="4"/>
      <c r="D17847" s="67"/>
      <c r="G17847" s="68"/>
      <c r="K17847" s="68"/>
    </row>
    <row r="17848" spans="2:11" ht="12.75">
      <c r="B17848" s="4"/>
      <c r="D17848" s="67"/>
      <c r="G17848" s="68"/>
      <c r="K17848" s="68"/>
    </row>
    <row r="17849" spans="2:11" ht="12.75">
      <c r="B17849" s="4"/>
      <c r="D17849" s="67"/>
      <c r="G17849" s="68"/>
      <c r="K17849" s="68"/>
    </row>
    <row r="17850" spans="2:11" ht="12.75">
      <c r="B17850" s="4"/>
      <c r="D17850" s="67"/>
      <c r="G17850" s="68"/>
      <c r="K17850" s="68"/>
    </row>
    <row r="17851" spans="2:11" ht="12.75">
      <c r="B17851" s="4"/>
      <c r="D17851" s="67"/>
      <c r="G17851" s="68"/>
      <c r="K17851" s="68"/>
    </row>
    <row r="17852" spans="2:11" ht="12.75">
      <c r="B17852" s="4"/>
      <c r="D17852" s="67"/>
      <c r="G17852" s="68"/>
      <c r="K17852" s="68"/>
    </row>
    <row r="17853" spans="2:11" ht="12.75">
      <c r="B17853" s="4"/>
      <c r="D17853" s="67"/>
      <c r="G17853" s="68"/>
      <c r="K17853" s="68"/>
    </row>
    <row r="17854" spans="2:11" ht="12.75">
      <c r="B17854" s="4"/>
      <c r="D17854" s="67"/>
      <c r="G17854" s="68"/>
      <c r="K17854" s="68"/>
    </row>
    <row r="17855" spans="2:11" ht="12.75">
      <c r="B17855" s="4"/>
      <c r="D17855" s="67"/>
      <c r="G17855" s="68"/>
      <c r="K17855" s="68"/>
    </row>
    <row r="17856" spans="2:11" ht="12.75">
      <c r="B17856" s="4"/>
      <c r="D17856" s="67"/>
      <c r="G17856" s="68"/>
      <c r="K17856" s="68"/>
    </row>
    <row r="17857" spans="2:11" ht="12.75">
      <c r="B17857" s="4"/>
      <c r="D17857" s="67"/>
      <c r="G17857" s="68"/>
      <c r="K17857" s="68"/>
    </row>
    <row r="17858" spans="2:11" ht="12.75">
      <c r="B17858" s="4"/>
      <c r="D17858" s="67"/>
      <c r="G17858" s="68"/>
      <c r="K17858" s="68"/>
    </row>
    <row r="17859" spans="2:11" ht="12.75">
      <c r="B17859" s="4"/>
      <c r="D17859" s="67"/>
      <c r="G17859" s="68"/>
      <c r="K17859" s="68"/>
    </row>
    <row r="17860" spans="2:11" ht="12.75">
      <c r="B17860" s="4"/>
      <c r="D17860" s="67"/>
      <c r="G17860" s="68"/>
      <c r="K17860" s="68"/>
    </row>
    <row r="17861" spans="2:11" ht="12.75">
      <c r="B17861" s="4"/>
      <c r="D17861" s="67"/>
      <c r="G17861" s="68"/>
      <c r="K17861" s="68"/>
    </row>
    <row r="17862" spans="2:11" ht="12.75">
      <c r="B17862" s="4"/>
      <c r="D17862" s="67"/>
      <c r="G17862" s="68"/>
      <c r="K17862" s="68"/>
    </row>
    <row r="17863" spans="2:11" ht="12.75">
      <c r="B17863" s="4"/>
      <c r="D17863" s="67"/>
      <c r="G17863" s="68"/>
      <c r="K17863" s="68"/>
    </row>
    <row r="17864" spans="2:11" ht="12.75">
      <c r="B17864" s="4"/>
      <c r="D17864" s="67"/>
      <c r="G17864" s="68"/>
      <c r="K17864" s="68"/>
    </row>
    <row r="17865" spans="2:11" ht="12.75">
      <c r="B17865" s="4"/>
      <c r="D17865" s="67"/>
      <c r="G17865" s="68"/>
      <c r="K17865" s="68"/>
    </row>
    <row r="17866" spans="2:11" ht="12.75">
      <c r="B17866" s="4"/>
      <c r="D17866" s="67"/>
      <c r="G17866" s="68"/>
      <c r="K17866" s="68"/>
    </row>
    <row r="17867" spans="2:11" ht="12.75">
      <c r="B17867" s="4"/>
      <c r="D17867" s="67"/>
      <c r="G17867" s="68"/>
      <c r="K17867" s="68"/>
    </row>
    <row r="17868" spans="2:11" ht="12.75">
      <c r="B17868" s="4"/>
      <c r="D17868" s="67"/>
      <c r="G17868" s="68"/>
      <c r="K17868" s="68"/>
    </row>
    <row r="17869" spans="2:11" ht="12.75">
      <c r="B17869" s="4"/>
      <c r="D17869" s="67"/>
      <c r="G17869" s="68"/>
      <c r="K17869" s="68"/>
    </row>
    <row r="17870" spans="2:11" ht="12.75">
      <c r="B17870" s="4"/>
      <c r="D17870" s="67"/>
      <c r="G17870" s="68"/>
      <c r="K17870" s="68"/>
    </row>
    <row r="17871" spans="2:11" ht="12.75">
      <c r="B17871" s="4"/>
      <c r="D17871" s="67"/>
      <c r="G17871" s="68"/>
      <c r="K17871" s="68"/>
    </row>
    <row r="17872" spans="2:11" ht="12.75">
      <c r="B17872" s="4"/>
      <c r="D17872" s="67"/>
      <c r="G17872" s="68"/>
      <c r="K17872" s="68"/>
    </row>
    <row r="17873" spans="2:11" ht="12.75">
      <c r="B17873" s="4"/>
      <c r="D17873" s="67"/>
      <c r="G17873" s="68"/>
      <c r="K17873" s="68"/>
    </row>
    <row r="17874" spans="2:11" ht="12.75">
      <c r="B17874" s="4"/>
      <c r="D17874" s="67"/>
      <c r="G17874" s="68"/>
      <c r="K17874" s="68"/>
    </row>
    <row r="17875" spans="2:11" ht="12.75">
      <c r="B17875" s="4"/>
      <c r="D17875" s="67"/>
      <c r="G17875" s="68"/>
      <c r="K17875" s="68"/>
    </row>
    <row r="17876" spans="2:11" ht="12.75">
      <c r="B17876" s="4"/>
      <c r="D17876" s="67"/>
      <c r="G17876" s="68"/>
      <c r="K17876" s="68"/>
    </row>
    <row r="17877" spans="2:11" ht="12.75">
      <c r="B17877" s="4"/>
      <c r="D17877" s="67"/>
      <c r="G17877" s="68"/>
      <c r="K17877" s="68"/>
    </row>
    <row r="17878" spans="2:11" ht="12.75">
      <c r="B17878" s="4"/>
      <c r="D17878" s="67"/>
      <c r="G17878" s="68"/>
      <c r="K17878" s="68"/>
    </row>
    <row r="17879" spans="2:11" ht="12.75">
      <c r="B17879" s="4"/>
      <c r="D17879" s="67"/>
      <c r="G17879" s="68"/>
      <c r="K17879" s="68"/>
    </row>
    <row r="17880" spans="2:11" ht="12.75">
      <c r="B17880" s="4"/>
      <c r="D17880" s="67"/>
      <c r="G17880" s="68"/>
      <c r="K17880" s="68"/>
    </row>
    <row r="17881" spans="2:11" ht="12.75">
      <c r="B17881" s="4"/>
      <c r="D17881" s="67"/>
      <c r="G17881" s="68"/>
      <c r="K17881" s="68"/>
    </row>
    <row r="17882" spans="2:11" ht="12.75">
      <c r="B17882" s="4"/>
      <c r="D17882" s="67"/>
      <c r="G17882" s="68"/>
      <c r="K17882" s="68"/>
    </row>
    <row r="17883" spans="2:11" ht="12.75">
      <c r="B17883" s="4"/>
      <c r="D17883" s="67"/>
      <c r="G17883" s="68"/>
      <c r="K17883" s="68"/>
    </row>
    <row r="17884" spans="2:11" ht="12.75">
      <c r="B17884" s="4"/>
      <c r="D17884" s="67"/>
      <c r="G17884" s="68"/>
      <c r="K17884" s="68"/>
    </row>
    <row r="17885" spans="2:11" ht="12.75">
      <c r="B17885" s="4"/>
      <c r="D17885" s="67"/>
      <c r="G17885" s="68"/>
      <c r="K17885" s="68"/>
    </row>
    <row r="17886" spans="2:11" ht="12.75">
      <c r="B17886" s="4"/>
      <c r="D17886" s="67"/>
      <c r="G17886" s="68"/>
      <c r="K17886" s="68"/>
    </row>
    <row r="17887" spans="2:11" ht="12.75">
      <c r="B17887" s="4"/>
      <c r="D17887" s="67"/>
      <c r="G17887" s="68"/>
      <c r="K17887" s="68"/>
    </row>
    <row r="17888" spans="2:11" ht="12.75">
      <c r="B17888" s="4"/>
      <c r="D17888" s="67"/>
      <c r="G17888" s="68"/>
      <c r="K17888" s="68"/>
    </row>
    <row r="17889" spans="2:11" ht="12.75">
      <c r="B17889" s="4"/>
      <c r="D17889" s="67"/>
      <c r="G17889" s="68"/>
      <c r="K17889" s="68"/>
    </row>
    <row r="17890" spans="2:11" ht="12.75">
      <c r="B17890" s="4"/>
      <c r="D17890" s="67"/>
      <c r="G17890" s="68"/>
      <c r="K17890" s="68"/>
    </row>
    <row r="17891" spans="2:11" ht="12.75">
      <c r="B17891" s="4"/>
      <c r="D17891" s="67"/>
      <c r="G17891" s="68"/>
      <c r="K17891" s="68"/>
    </row>
    <row r="17892" spans="2:11" ht="12.75">
      <c r="B17892" s="4"/>
      <c r="D17892" s="67"/>
      <c r="G17892" s="68"/>
      <c r="K17892" s="68"/>
    </row>
    <row r="17893" spans="2:11" ht="12.75">
      <c r="B17893" s="4"/>
      <c r="D17893" s="67"/>
      <c r="G17893" s="68"/>
      <c r="K17893" s="68"/>
    </row>
    <row r="17894" spans="2:11" ht="12.75">
      <c r="B17894" s="4"/>
      <c r="D17894" s="67"/>
      <c r="G17894" s="68"/>
      <c r="K17894" s="68"/>
    </row>
    <row r="17895" spans="2:11" ht="12.75">
      <c r="B17895" s="4"/>
      <c r="D17895" s="67"/>
      <c r="G17895" s="68"/>
      <c r="K17895" s="68"/>
    </row>
    <row r="17896" spans="2:11" ht="12.75">
      <c r="B17896" s="4"/>
      <c r="D17896" s="67"/>
      <c r="G17896" s="68"/>
      <c r="K17896" s="68"/>
    </row>
    <row r="17897" spans="2:11" ht="12.75">
      <c r="B17897" s="4"/>
      <c r="D17897" s="67"/>
      <c r="G17897" s="68"/>
      <c r="K17897" s="68"/>
    </row>
    <row r="17898" spans="2:11" ht="12.75">
      <c r="B17898" s="4"/>
      <c r="D17898" s="67"/>
      <c r="G17898" s="68"/>
      <c r="K17898" s="68"/>
    </row>
    <row r="17899" spans="2:11" ht="12.75">
      <c r="B17899" s="4"/>
      <c r="D17899" s="67"/>
      <c r="G17899" s="68"/>
      <c r="K17899" s="68"/>
    </row>
    <row r="17900" spans="2:11" ht="12.75">
      <c r="B17900" s="4"/>
      <c r="D17900" s="67"/>
      <c r="G17900" s="68"/>
      <c r="K17900" s="68"/>
    </row>
    <row r="17901" spans="2:11" ht="12.75">
      <c r="B17901" s="4"/>
      <c r="D17901" s="67"/>
      <c r="G17901" s="68"/>
      <c r="K17901" s="68"/>
    </row>
    <row r="17902" spans="2:11" ht="12.75">
      <c r="B17902" s="4"/>
      <c r="D17902" s="67"/>
      <c r="G17902" s="68"/>
      <c r="K17902" s="68"/>
    </row>
    <row r="17903" spans="2:11" ht="12.75">
      <c r="B17903" s="4"/>
      <c r="D17903" s="67"/>
      <c r="G17903" s="68"/>
      <c r="K17903" s="68"/>
    </row>
    <row r="17904" spans="2:11" ht="12.75">
      <c r="B17904" s="4"/>
      <c r="D17904" s="67"/>
      <c r="G17904" s="68"/>
      <c r="K17904" s="68"/>
    </row>
    <row r="17905" spans="2:11" ht="12.75">
      <c r="B17905" s="4"/>
      <c r="D17905" s="67"/>
      <c r="G17905" s="68"/>
      <c r="K17905" s="68"/>
    </row>
    <row r="17906" spans="2:11" ht="12.75">
      <c r="B17906" s="4"/>
      <c r="D17906" s="67"/>
      <c r="G17906" s="68"/>
      <c r="K17906" s="68"/>
    </row>
    <row r="17907" spans="2:11" ht="12.75">
      <c r="B17907" s="4"/>
      <c r="D17907" s="67"/>
      <c r="G17907" s="68"/>
      <c r="K17907" s="68"/>
    </row>
    <row r="17908" spans="2:11" ht="12.75">
      <c r="B17908" s="4"/>
      <c r="D17908" s="67"/>
      <c r="G17908" s="68"/>
      <c r="K17908" s="68"/>
    </row>
    <row r="17909" spans="2:11" ht="12.75">
      <c r="B17909" s="4"/>
      <c r="D17909" s="67"/>
      <c r="G17909" s="68"/>
      <c r="K17909" s="68"/>
    </row>
    <row r="17910" spans="2:11" ht="12.75">
      <c r="B17910" s="4"/>
      <c r="D17910" s="67"/>
      <c r="G17910" s="68"/>
      <c r="K17910" s="68"/>
    </row>
    <row r="17911" spans="2:11" ht="12.75">
      <c r="B17911" s="4"/>
      <c r="D17911" s="67"/>
      <c r="G17911" s="68"/>
      <c r="K17911" s="68"/>
    </row>
    <row r="17912" spans="2:11" ht="12.75">
      <c r="B17912" s="4"/>
      <c r="D17912" s="67"/>
      <c r="G17912" s="68"/>
      <c r="K17912" s="68"/>
    </row>
    <row r="17913" spans="2:11" ht="12.75">
      <c r="B17913" s="4"/>
      <c r="D17913" s="67"/>
      <c r="G17913" s="68"/>
      <c r="K17913" s="68"/>
    </row>
    <row r="17914" spans="2:11" ht="12.75">
      <c r="B17914" s="4"/>
      <c r="D17914" s="67"/>
      <c r="G17914" s="68"/>
      <c r="K17914" s="68"/>
    </row>
    <row r="17915" spans="2:11" ht="12.75">
      <c r="B17915" s="4"/>
      <c r="D17915" s="67"/>
      <c r="G17915" s="68"/>
      <c r="K17915" s="68"/>
    </row>
    <row r="17916" spans="2:11" ht="12.75">
      <c r="B17916" s="4"/>
      <c r="D17916" s="67"/>
      <c r="G17916" s="68"/>
      <c r="K17916" s="68"/>
    </row>
    <row r="17917" spans="2:11" ht="12.75">
      <c r="B17917" s="4"/>
      <c r="D17917" s="67"/>
      <c r="G17917" s="68"/>
      <c r="K17917" s="68"/>
    </row>
    <row r="17918" spans="2:11" ht="12.75">
      <c r="B17918" s="4"/>
      <c r="D17918" s="67"/>
      <c r="G17918" s="68"/>
      <c r="K17918" s="68"/>
    </row>
    <row r="17919" spans="2:11" ht="12.75">
      <c r="B17919" s="4"/>
      <c r="D17919" s="67"/>
      <c r="G17919" s="68"/>
      <c r="K17919" s="68"/>
    </row>
    <row r="17920" spans="2:11" ht="12.75">
      <c r="B17920" s="4"/>
      <c r="D17920" s="67"/>
      <c r="G17920" s="68"/>
      <c r="K17920" s="68"/>
    </row>
    <row r="17921" spans="2:11" ht="12.75">
      <c r="B17921" s="4"/>
      <c r="D17921" s="67"/>
      <c r="G17921" s="68"/>
      <c r="K17921" s="68"/>
    </row>
    <row r="17922" spans="2:11" ht="12.75">
      <c r="B17922" s="4"/>
      <c r="D17922" s="67"/>
      <c r="G17922" s="68"/>
      <c r="K17922" s="68"/>
    </row>
    <row r="17923" spans="2:11" ht="12.75">
      <c r="B17923" s="4"/>
      <c r="D17923" s="67"/>
      <c r="G17923" s="68"/>
      <c r="K17923" s="68"/>
    </row>
    <row r="17924" spans="2:11" ht="12.75">
      <c r="B17924" s="4"/>
      <c r="D17924" s="67"/>
      <c r="G17924" s="68"/>
      <c r="K17924" s="68"/>
    </row>
    <row r="17925" spans="2:11" ht="12.75">
      <c r="B17925" s="4"/>
      <c r="D17925" s="67"/>
      <c r="G17925" s="68"/>
      <c r="K17925" s="68"/>
    </row>
    <row r="17926" spans="2:11" ht="12.75">
      <c r="B17926" s="4"/>
      <c r="D17926" s="67"/>
      <c r="G17926" s="68"/>
      <c r="K17926" s="68"/>
    </row>
    <row r="17927" spans="2:11" ht="12.75">
      <c r="B17927" s="4"/>
      <c r="D17927" s="67"/>
      <c r="G17927" s="68"/>
      <c r="K17927" s="68"/>
    </row>
    <row r="17928" spans="2:11" ht="12.75">
      <c r="B17928" s="4"/>
      <c r="D17928" s="67"/>
      <c r="G17928" s="68"/>
      <c r="K17928" s="68"/>
    </row>
    <row r="17929" spans="2:11" ht="12.75">
      <c r="B17929" s="4"/>
      <c r="D17929" s="67"/>
      <c r="G17929" s="68"/>
      <c r="K17929" s="68"/>
    </row>
    <row r="17930" spans="2:11" ht="12.75">
      <c r="B17930" s="4"/>
      <c r="D17930" s="67"/>
      <c r="G17930" s="68"/>
      <c r="K17930" s="68"/>
    </row>
    <row r="17931" spans="2:11" ht="12.75">
      <c r="B17931" s="4"/>
      <c r="D17931" s="67"/>
      <c r="G17931" s="68"/>
      <c r="K17931" s="68"/>
    </row>
    <row r="17932" spans="2:11" ht="12.75">
      <c r="B17932" s="4"/>
      <c r="D17932" s="67"/>
      <c r="G17932" s="68"/>
      <c r="K17932" s="68"/>
    </row>
    <row r="17933" spans="2:11" ht="12.75">
      <c r="B17933" s="4"/>
      <c r="D17933" s="67"/>
      <c r="G17933" s="68"/>
      <c r="K17933" s="68"/>
    </row>
    <row r="17934" spans="2:11" ht="12.75">
      <c r="B17934" s="4"/>
      <c r="D17934" s="67"/>
      <c r="G17934" s="68"/>
      <c r="K17934" s="68"/>
    </row>
    <row r="17935" spans="2:11" ht="12.75">
      <c r="B17935" s="4"/>
      <c r="D17935" s="67"/>
      <c r="G17935" s="68"/>
      <c r="K17935" s="68"/>
    </row>
    <row r="17936" spans="2:11" ht="12.75">
      <c r="B17936" s="4"/>
      <c r="D17936" s="67"/>
      <c r="G17936" s="68"/>
      <c r="K17936" s="68"/>
    </row>
    <row r="17937" spans="2:11" ht="12.75">
      <c r="B17937" s="4"/>
      <c r="D17937" s="67"/>
      <c r="G17937" s="68"/>
      <c r="K17937" s="68"/>
    </row>
    <row r="17938" spans="2:11" ht="12.75">
      <c r="B17938" s="4"/>
      <c r="D17938" s="67"/>
      <c r="G17938" s="68"/>
      <c r="K17938" s="68"/>
    </row>
    <row r="17939" spans="2:11" ht="12.75">
      <c r="B17939" s="4"/>
      <c r="D17939" s="67"/>
      <c r="G17939" s="68"/>
      <c r="K17939" s="68"/>
    </row>
    <row r="17940" spans="2:11" ht="12.75">
      <c r="B17940" s="4"/>
      <c r="D17940" s="67"/>
      <c r="G17940" s="68"/>
      <c r="K17940" s="68"/>
    </row>
    <row r="17941" spans="2:11" ht="12.75">
      <c r="B17941" s="4"/>
      <c r="D17941" s="67"/>
      <c r="G17941" s="68"/>
      <c r="K17941" s="68"/>
    </row>
    <row r="17942" spans="2:11" ht="12.75">
      <c r="B17942" s="4"/>
      <c r="D17942" s="67"/>
      <c r="G17942" s="68"/>
      <c r="K17942" s="68"/>
    </row>
    <row r="17943" spans="2:11" ht="12.75">
      <c r="B17943" s="4"/>
      <c r="D17943" s="67"/>
      <c r="G17943" s="68"/>
      <c r="K17943" s="68"/>
    </row>
    <row r="17944" spans="2:11" ht="12.75">
      <c r="B17944" s="4"/>
      <c r="D17944" s="67"/>
      <c r="G17944" s="68"/>
      <c r="K17944" s="68"/>
    </row>
    <row r="17945" spans="2:11" ht="12.75">
      <c r="B17945" s="4"/>
      <c r="D17945" s="67"/>
      <c r="G17945" s="68"/>
      <c r="K17945" s="68"/>
    </row>
    <row r="17946" spans="2:11" ht="12.75">
      <c r="B17946" s="4"/>
      <c r="D17946" s="67"/>
      <c r="G17946" s="68"/>
      <c r="K17946" s="68"/>
    </row>
    <row r="17947" spans="2:11" ht="12.75">
      <c r="B17947" s="4"/>
      <c r="D17947" s="67"/>
      <c r="G17947" s="68"/>
      <c r="K17947" s="68"/>
    </row>
    <row r="17948" spans="2:11" ht="12.75">
      <c r="B17948" s="4"/>
      <c r="D17948" s="67"/>
      <c r="G17948" s="68"/>
      <c r="K17948" s="68"/>
    </row>
    <row r="17949" spans="2:11" ht="12.75">
      <c r="B17949" s="4"/>
      <c r="D17949" s="67"/>
      <c r="G17949" s="68"/>
      <c r="K17949" s="68"/>
    </row>
    <row r="17950" spans="2:11" ht="12.75">
      <c r="B17950" s="4"/>
      <c r="D17950" s="67"/>
      <c r="G17950" s="68"/>
      <c r="K17950" s="68"/>
    </row>
    <row r="17951" spans="2:11" ht="12.75">
      <c r="B17951" s="4"/>
      <c r="D17951" s="67"/>
      <c r="G17951" s="68"/>
      <c r="K17951" s="68"/>
    </row>
    <row r="17952" spans="2:11" ht="12.75">
      <c r="B17952" s="4"/>
      <c r="D17952" s="67"/>
      <c r="G17952" s="68"/>
      <c r="K17952" s="68"/>
    </row>
    <row r="17953" spans="2:11" ht="12.75">
      <c r="B17953" s="4"/>
      <c r="D17953" s="67"/>
      <c r="G17953" s="68"/>
      <c r="K17953" s="68"/>
    </row>
    <row r="17954" spans="2:11" ht="12.75">
      <c r="B17954" s="4"/>
      <c r="D17954" s="67"/>
      <c r="G17954" s="68"/>
      <c r="K17954" s="68"/>
    </row>
    <row r="17955" spans="2:11" ht="12.75">
      <c r="B17955" s="4"/>
      <c r="D17955" s="67"/>
      <c r="G17955" s="68"/>
      <c r="K17955" s="68"/>
    </row>
    <row r="17956" spans="2:11" ht="12.75">
      <c r="B17956" s="4"/>
      <c r="D17956" s="67"/>
      <c r="G17956" s="68"/>
      <c r="K17956" s="68"/>
    </row>
    <row r="17957" spans="2:11" ht="12.75">
      <c r="B17957" s="4"/>
      <c r="D17957" s="67"/>
      <c r="G17957" s="68"/>
      <c r="K17957" s="68"/>
    </row>
    <row r="17958" spans="2:11" ht="12.75">
      <c r="B17958" s="4"/>
      <c r="D17958" s="67"/>
      <c r="G17958" s="68"/>
      <c r="K17958" s="68"/>
    </row>
    <row r="17959" spans="2:11" ht="12.75">
      <c r="B17959" s="4"/>
      <c r="D17959" s="67"/>
      <c r="G17959" s="68"/>
      <c r="K17959" s="68"/>
    </row>
    <row r="17960" spans="2:11" ht="12.75">
      <c r="B17960" s="4"/>
      <c r="D17960" s="67"/>
      <c r="G17960" s="68"/>
      <c r="K17960" s="68"/>
    </row>
    <row r="17961" spans="2:11" ht="12.75">
      <c r="B17961" s="4"/>
      <c r="D17961" s="67"/>
      <c r="G17961" s="68"/>
      <c r="K17961" s="68"/>
    </row>
    <row r="17962" spans="2:11" ht="12.75">
      <c r="B17962" s="4"/>
      <c r="D17962" s="67"/>
      <c r="G17962" s="68"/>
      <c r="K17962" s="68"/>
    </row>
    <row r="17963" spans="2:11" ht="12.75">
      <c r="B17963" s="4"/>
      <c r="D17963" s="67"/>
      <c r="G17963" s="68"/>
      <c r="K17963" s="68"/>
    </row>
    <row r="17964" spans="2:11" ht="12.75">
      <c r="B17964" s="4"/>
      <c r="D17964" s="67"/>
      <c r="G17964" s="68"/>
      <c r="K17964" s="68"/>
    </row>
    <row r="17965" spans="2:11" ht="12.75">
      <c r="B17965" s="4"/>
      <c r="D17965" s="67"/>
      <c r="G17965" s="68"/>
      <c r="K17965" s="68"/>
    </row>
    <row r="17966" spans="2:11" ht="12.75">
      <c r="B17966" s="4"/>
      <c r="D17966" s="67"/>
      <c r="G17966" s="68"/>
      <c r="K17966" s="68"/>
    </row>
    <row r="17967" spans="2:11" ht="12.75">
      <c r="B17967" s="4"/>
      <c r="D17967" s="67"/>
      <c r="G17967" s="68"/>
      <c r="K17967" s="68"/>
    </row>
    <row r="17968" spans="2:11" ht="12.75">
      <c r="B17968" s="4"/>
      <c r="D17968" s="67"/>
      <c r="G17968" s="68"/>
      <c r="K17968" s="68"/>
    </row>
    <row r="17969" spans="2:11" ht="12.75">
      <c r="B17969" s="4"/>
      <c r="D17969" s="67"/>
      <c r="G17969" s="68"/>
      <c r="K17969" s="68"/>
    </row>
    <row r="17970" spans="2:11" ht="12.75">
      <c r="B17970" s="4"/>
      <c r="D17970" s="67"/>
      <c r="G17970" s="68"/>
      <c r="K17970" s="68"/>
    </row>
    <row r="17971" spans="2:11" ht="12.75">
      <c r="B17971" s="4"/>
      <c r="D17971" s="67"/>
      <c r="G17971" s="68"/>
      <c r="K17971" s="68"/>
    </row>
    <row r="17972" spans="2:11" ht="12.75">
      <c r="B17972" s="4"/>
      <c r="D17972" s="67"/>
      <c r="G17972" s="68"/>
      <c r="K17972" s="68"/>
    </row>
    <row r="17973" spans="2:11" ht="12.75">
      <c r="B17973" s="4"/>
      <c r="D17973" s="67"/>
      <c r="G17973" s="68"/>
      <c r="K17973" s="68"/>
    </row>
    <row r="17974" spans="2:11" ht="12.75">
      <c r="B17974" s="4"/>
      <c r="D17974" s="67"/>
      <c r="G17974" s="68"/>
      <c r="K17974" s="68"/>
    </row>
    <row r="17975" spans="2:11" ht="12.75">
      <c r="B17975" s="4"/>
      <c r="D17975" s="67"/>
      <c r="G17975" s="68"/>
      <c r="K17975" s="68"/>
    </row>
    <row r="17976" spans="2:11" ht="12.75">
      <c r="B17976" s="4"/>
      <c r="D17976" s="67"/>
      <c r="G17976" s="68"/>
      <c r="K17976" s="68"/>
    </row>
    <row r="17977" spans="2:11" ht="12.75">
      <c r="B17977" s="4"/>
      <c r="D17977" s="67"/>
      <c r="G17977" s="68"/>
      <c r="K17977" s="68"/>
    </row>
    <row r="17978" spans="2:11" ht="12.75">
      <c r="B17978" s="4"/>
      <c r="D17978" s="67"/>
      <c r="G17978" s="68"/>
      <c r="K17978" s="68"/>
    </row>
    <row r="17979" spans="2:11" ht="12.75">
      <c r="B17979" s="4"/>
      <c r="D17979" s="67"/>
      <c r="G17979" s="68"/>
      <c r="K17979" s="68"/>
    </row>
    <row r="17980" spans="2:11" ht="12.75">
      <c r="B17980" s="4"/>
      <c r="D17980" s="67"/>
      <c r="G17980" s="68"/>
      <c r="K17980" s="68"/>
    </row>
    <row r="17981" spans="2:11" ht="12.75">
      <c r="B17981" s="4"/>
      <c r="D17981" s="67"/>
      <c r="G17981" s="68"/>
      <c r="K17981" s="68"/>
    </row>
    <row r="17982" spans="2:11" ht="12.75">
      <c r="B17982" s="4"/>
      <c r="D17982" s="67"/>
      <c r="G17982" s="68"/>
      <c r="K17982" s="68"/>
    </row>
    <row r="17983" spans="2:11" ht="12.75">
      <c r="B17983" s="4"/>
      <c r="D17983" s="67"/>
      <c r="G17983" s="68"/>
      <c r="K17983" s="68"/>
    </row>
    <row r="17984" spans="2:11" ht="12.75">
      <c r="B17984" s="4"/>
      <c r="D17984" s="67"/>
      <c r="G17984" s="68"/>
      <c r="K17984" s="68"/>
    </row>
    <row r="17985" spans="2:11" ht="12.75">
      <c r="B17985" s="4"/>
      <c r="D17985" s="67"/>
      <c r="G17985" s="68"/>
      <c r="K17985" s="68"/>
    </row>
    <row r="17986" spans="2:11" ht="12.75">
      <c r="B17986" s="4"/>
      <c r="D17986" s="67"/>
      <c r="G17986" s="68"/>
      <c r="K17986" s="68"/>
    </row>
    <row r="17987" spans="2:11" ht="12.75">
      <c r="B17987" s="4"/>
      <c r="D17987" s="67"/>
      <c r="G17987" s="68"/>
      <c r="K17987" s="68"/>
    </row>
    <row r="17988" spans="2:11" ht="12.75">
      <c r="B17988" s="4"/>
      <c r="D17988" s="67"/>
      <c r="G17988" s="68"/>
      <c r="K17988" s="68"/>
    </row>
    <row r="17989" spans="2:11" ht="12.75">
      <c r="B17989" s="4"/>
      <c r="D17989" s="67"/>
      <c r="G17989" s="68"/>
      <c r="K17989" s="68"/>
    </row>
    <row r="17990" spans="2:11" ht="12.75">
      <c r="B17990" s="4"/>
      <c r="D17990" s="67"/>
      <c r="G17990" s="68"/>
      <c r="K17990" s="68"/>
    </row>
    <row r="17991" spans="2:11" ht="12.75">
      <c r="B17991" s="4"/>
      <c r="D17991" s="67"/>
      <c r="G17991" s="68"/>
      <c r="K17991" s="68"/>
    </row>
    <row r="17992" spans="2:11" ht="12.75">
      <c r="B17992" s="4"/>
      <c r="D17992" s="67"/>
      <c r="G17992" s="68"/>
      <c r="K17992" s="68"/>
    </row>
    <row r="17993" spans="2:11" ht="12.75">
      <c r="B17993" s="4"/>
      <c r="D17993" s="67"/>
      <c r="G17993" s="68"/>
      <c r="K17993" s="68"/>
    </row>
    <row r="17994" spans="2:11" ht="12.75">
      <c r="B17994" s="4"/>
      <c r="D17994" s="67"/>
      <c r="G17994" s="68"/>
      <c r="K17994" s="68"/>
    </row>
    <row r="17995" spans="2:11" ht="12.75">
      <c r="B17995" s="4"/>
      <c r="D17995" s="67"/>
      <c r="G17995" s="68"/>
      <c r="K17995" s="68"/>
    </row>
    <row r="17996" spans="2:11" ht="12.75">
      <c r="B17996" s="4"/>
      <c r="D17996" s="67"/>
      <c r="G17996" s="68"/>
      <c r="K17996" s="68"/>
    </row>
    <row r="17997" spans="2:11" ht="12.75">
      <c r="B17997" s="4"/>
      <c r="D17997" s="67"/>
      <c r="G17997" s="68"/>
      <c r="K17997" s="68"/>
    </row>
    <row r="17998" spans="2:11" ht="12.75">
      <c r="B17998" s="4"/>
      <c r="D17998" s="67"/>
      <c r="G17998" s="68"/>
      <c r="K17998" s="68"/>
    </row>
    <row r="17999" spans="2:11" ht="12.75">
      <c r="B17999" s="4"/>
      <c r="D17999" s="67"/>
      <c r="G17999" s="68"/>
      <c r="K17999" s="68"/>
    </row>
    <row r="18000" spans="2:11" ht="12.75">
      <c r="B18000" s="4"/>
      <c r="D18000" s="67"/>
      <c r="G18000" s="68"/>
      <c r="K18000" s="68"/>
    </row>
    <row r="18001" spans="2:11" ht="12.75">
      <c r="B18001" s="4"/>
      <c r="D18001" s="67"/>
      <c r="G18001" s="68"/>
      <c r="K18001" s="68"/>
    </row>
    <row r="18002" spans="2:11" ht="12.75">
      <c r="B18002" s="4"/>
      <c r="D18002" s="67"/>
      <c r="G18002" s="68"/>
      <c r="K18002" s="68"/>
    </row>
    <row r="18003" spans="2:11" ht="12.75">
      <c r="B18003" s="4"/>
      <c r="D18003" s="67"/>
      <c r="G18003" s="68"/>
      <c r="K18003" s="68"/>
    </row>
    <row r="18004" spans="2:11" ht="12.75">
      <c r="B18004" s="4"/>
      <c r="D18004" s="67"/>
      <c r="G18004" s="68"/>
      <c r="K18004" s="68"/>
    </row>
    <row r="18005" spans="2:11" ht="12.75">
      <c r="B18005" s="4"/>
      <c r="D18005" s="67"/>
      <c r="G18005" s="68"/>
      <c r="K18005" s="68"/>
    </row>
    <row r="18006" spans="2:11" ht="12.75">
      <c r="B18006" s="4"/>
      <c r="D18006" s="67"/>
      <c r="G18006" s="68"/>
      <c r="K18006" s="68"/>
    </row>
    <row r="18007" spans="2:11" ht="12.75">
      <c r="B18007" s="4"/>
      <c r="D18007" s="67"/>
      <c r="G18007" s="68"/>
      <c r="K18007" s="68"/>
    </row>
    <row r="18008" spans="2:11" ht="12.75">
      <c r="B18008" s="4"/>
      <c r="D18008" s="67"/>
      <c r="G18008" s="68"/>
      <c r="K18008" s="68"/>
    </row>
    <row r="18009" spans="2:11" ht="12.75">
      <c r="B18009" s="4"/>
      <c r="D18009" s="67"/>
      <c r="G18009" s="68"/>
      <c r="K18009" s="68"/>
    </row>
    <row r="18010" spans="2:11" ht="12.75">
      <c r="B18010" s="4"/>
      <c r="D18010" s="67"/>
      <c r="G18010" s="68"/>
      <c r="K18010" s="68"/>
    </row>
    <row r="18011" spans="2:11" ht="12.75">
      <c r="B18011" s="4"/>
      <c r="D18011" s="67"/>
      <c r="G18011" s="68"/>
      <c r="K18011" s="68"/>
    </row>
    <row r="18012" spans="2:11" ht="12.75">
      <c r="B18012" s="4"/>
      <c r="D18012" s="67"/>
      <c r="G18012" s="68"/>
      <c r="K18012" s="68"/>
    </row>
    <row r="18013" spans="2:11" ht="12.75">
      <c r="B18013" s="4"/>
      <c r="D18013" s="67"/>
      <c r="G18013" s="68"/>
      <c r="K18013" s="68"/>
    </row>
    <row r="18014" spans="2:11" ht="12.75">
      <c r="B18014" s="4"/>
      <c r="D18014" s="67"/>
      <c r="G18014" s="68"/>
      <c r="K18014" s="68"/>
    </row>
    <row r="18015" spans="2:11" ht="12.75">
      <c r="B18015" s="4"/>
      <c r="D18015" s="67"/>
      <c r="G18015" s="68"/>
      <c r="K18015" s="68"/>
    </row>
    <row r="18016" spans="2:11" ht="12.75">
      <c r="B18016" s="4"/>
      <c r="D18016" s="67"/>
      <c r="G18016" s="68"/>
      <c r="K18016" s="68"/>
    </row>
    <row r="18017" spans="2:11" ht="12.75">
      <c r="B18017" s="4"/>
      <c r="D18017" s="67"/>
      <c r="G18017" s="68"/>
      <c r="K18017" s="68"/>
    </row>
    <row r="18018" spans="2:11" ht="12.75">
      <c r="B18018" s="4"/>
      <c r="D18018" s="67"/>
      <c r="G18018" s="68"/>
      <c r="K18018" s="68"/>
    </row>
    <row r="18019" spans="2:11" ht="12.75">
      <c r="B18019" s="4"/>
      <c r="D18019" s="67"/>
      <c r="G18019" s="68"/>
      <c r="K18019" s="68"/>
    </row>
    <row r="18020" spans="2:11" ht="12.75">
      <c r="B18020" s="4"/>
      <c r="D18020" s="67"/>
      <c r="G18020" s="68"/>
      <c r="K18020" s="68"/>
    </row>
    <row r="18021" spans="2:11" ht="12.75">
      <c r="B18021" s="4"/>
      <c r="D18021" s="67"/>
      <c r="G18021" s="68"/>
      <c r="K18021" s="68"/>
    </row>
    <row r="18022" spans="2:11" ht="12.75">
      <c r="B18022" s="4"/>
      <c r="D18022" s="67"/>
      <c r="G18022" s="68"/>
      <c r="K18022" s="68"/>
    </row>
    <row r="18023" spans="2:11" ht="12.75">
      <c r="B18023" s="4"/>
      <c r="D18023" s="67"/>
      <c r="G18023" s="68"/>
      <c r="K18023" s="68"/>
    </row>
    <row r="18024" spans="2:11" ht="12.75">
      <c r="B18024" s="4"/>
      <c r="D18024" s="67"/>
      <c r="G18024" s="68"/>
      <c r="K18024" s="68"/>
    </row>
    <row r="18025" spans="2:11" ht="12.75">
      <c r="B18025" s="4"/>
      <c r="D18025" s="67"/>
      <c r="G18025" s="68"/>
      <c r="K18025" s="68"/>
    </row>
    <row r="18026" spans="2:11" ht="12.75">
      <c r="B18026" s="4"/>
      <c r="D18026" s="67"/>
      <c r="G18026" s="68"/>
      <c r="K18026" s="68"/>
    </row>
    <row r="18027" spans="2:11" ht="12.75">
      <c r="B18027" s="4"/>
      <c r="D18027" s="67"/>
      <c r="G18027" s="68"/>
      <c r="K18027" s="68"/>
    </row>
    <row r="18028" spans="2:11" ht="12.75">
      <c r="B18028" s="4"/>
      <c r="D18028" s="67"/>
      <c r="G18028" s="68"/>
      <c r="K18028" s="68"/>
    </row>
    <row r="18029" spans="2:11" ht="12.75">
      <c r="B18029" s="4"/>
      <c r="D18029" s="67"/>
      <c r="G18029" s="68"/>
      <c r="K18029" s="68"/>
    </row>
    <row r="18030" spans="2:11" ht="12.75">
      <c r="B18030" s="4"/>
      <c r="D18030" s="67"/>
      <c r="G18030" s="68"/>
      <c r="K18030" s="68"/>
    </row>
    <row r="18031" spans="2:11" ht="12.75">
      <c r="B18031" s="4"/>
      <c r="D18031" s="67"/>
      <c r="G18031" s="68"/>
      <c r="K18031" s="68"/>
    </row>
    <row r="18032" spans="2:11" ht="12.75">
      <c r="B18032" s="4"/>
      <c r="D18032" s="67"/>
      <c r="G18032" s="68"/>
      <c r="K18032" s="68"/>
    </row>
    <row r="18033" spans="2:11" ht="12.75">
      <c r="B18033" s="4"/>
      <c r="D18033" s="67"/>
      <c r="G18033" s="68"/>
      <c r="K18033" s="68"/>
    </row>
    <row r="18034" spans="2:11" ht="12.75">
      <c r="B18034" s="4"/>
      <c r="D18034" s="67"/>
      <c r="G18034" s="68"/>
      <c r="K18034" s="68"/>
    </row>
    <row r="18035" spans="2:11" ht="12.75">
      <c r="B18035" s="4"/>
      <c r="D18035" s="67"/>
      <c r="G18035" s="68"/>
      <c r="K18035" s="68"/>
    </row>
    <row r="18036" spans="2:11" ht="12.75">
      <c r="B18036" s="4"/>
      <c r="D18036" s="67"/>
      <c r="G18036" s="68"/>
      <c r="K18036" s="68"/>
    </row>
    <row r="18037" spans="2:11" ht="12.75">
      <c r="B18037" s="4"/>
      <c r="D18037" s="67"/>
      <c r="G18037" s="68"/>
      <c r="K18037" s="68"/>
    </row>
    <row r="18038" spans="2:11" ht="12.75">
      <c r="B18038" s="4"/>
      <c r="D18038" s="67"/>
      <c r="G18038" s="68"/>
      <c r="K18038" s="68"/>
    </row>
    <row r="18039" spans="2:11" ht="12.75">
      <c r="B18039" s="4"/>
      <c r="D18039" s="67"/>
      <c r="G18039" s="68"/>
      <c r="K18039" s="68"/>
    </row>
    <row r="18040" spans="2:11" ht="12.75">
      <c r="B18040" s="4"/>
      <c r="D18040" s="67"/>
      <c r="G18040" s="68"/>
      <c r="K18040" s="68"/>
    </row>
    <row r="18041" spans="2:11" ht="12.75">
      <c r="B18041" s="4"/>
      <c r="D18041" s="67"/>
      <c r="G18041" s="68"/>
      <c r="K18041" s="68"/>
    </row>
    <row r="18042" spans="2:11" ht="12.75">
      <c r="B18042" s="4"/>
      <c r="D18042" s="67"/>
      <c r="G18042" s="68"/>
      <c r="K18042" s="68"/>
    </row>
    <row r="18043" spans="2:11" ht="12.75">
      <c r="B18043" s="4"/>
      <c r="D18043" s="67"/>
      <c r="G18043" s="68"/>
      <c r="K18043" s="68"/>
    </row>
    <row r="18044" spans="2:11" ht="12.75">
      <c r="B18044" s="4"/>
      <c r="D18044" s="67"/>
      <c r="G18044" s="68"/>
      <c r="K18044" s="68"/>
    </row>
    <row r="18045" spans="2:11" ht="12.75">
      <c r="B18045" s="4"/>
      <c r="D18045" s="67"/>
      <c r="G18045" s="68"/>
      <c r="K18045" s="68"/>
    </row>
    <row r="18046" spans="2:11" ht="12.75">
      <c r="B18046" s="4"/>
      <c r="D18046" s="67"/>
      <c r="G18046" s="68"/>
      <c r="K18046" s="68"/>
    </row>
    <row r="18047" spans="2:11" ht="12.75">
      <c r="B18047" s="4"/>
      <c r="D18047" s="67"/>
      <c r="G18047" s="68"/>
      <c r="K18047" s="68"/>
    </row>
    <row r="18048" spans="2:11" ht="12.75">
      <c r="B18048" s="4"/>
      <c r="D18048" s="67"/>
      <c r="G18048" s="68"/>
      <c r="K18048" s="68"/>
    </row>
    <row r="18049" spans="2:11" ht="12.75">
      <c r="B18049" s="4"/>
      <c r="D18049" s="67"/>
      <c r="G18049" s="68"/>
      <c r="K18049" s="68"/>
    </row>
    <row r="18050" spans="2:11" ht="12.75">
      <c r="B18050" s="4"/>
      <c r="D18050" s="67"/>
      <c r="G18050" s="68"/>
      <c r="K18050" s="68"/>
    </row>
    <row r="18051" spans="2:11" ht="12.75">
      <c r="B18051" s="4"/>
      <c r="D18051" s="67"/>
      <c r="G18051" s="68"/>
      <c r="K18051" s="68"/>
    </row>
    <row r="18052" spans="2:11" ht="12.75">
      <c r="B18052" s="4"/>
      <c r="D18052" s="67"/>
      <c r="G18052" s="68"/>
      <c r="K18052" s="68"/>
    </row>
    <row r="18053" spans="2:11" ht="12.75">
      <c r="B18053" s="4"/>
      <c r="D18053" s="67"/>
      <c r="G18053" s="68"/>
      <c r="K18053" s="68"/>
    </row>
    <row r="18054" spans="2:11" ht="12.75">
      <c r="B18054" s="4"/>
      <c r="D18054" s="67"/>
      <c r="G18054" s="68"/>
      <c r="K18054" s="68"/>
    </row>
    <row r="18055" spans="2:11" ht="12.75">
      <c r="B18055" s="4"/>
      <c r="D18055" s="67"/>
      <c r="G18055" s="68"/>
      <c r="K18055" s="68"/>
    </row>
    <row r="18056" spans="2:11" ht="12.75">
      <c r="B18056" s="4"/>
      <c r="D18056" s="67"/>
      <c r="G18056" s="68"/>
      <c r="K18056" s="68"/>
    </row>
    <row r="18057" spans="2:11" ht="12.75">
      <c r="B18057" s="4"/>
      <c r="D18057" s="67"/>
      <c r="G18057" s="68"/>
      <c r="K18057" s="68"/>
    </row>
    <row r="18058" spans="2:11" ht="12.75">
      <c r="B18058" s="4"/>
      <c r="D18058" s="67"/>
      <c r="G18058" s="68"/>
      <c r="K18058" s="68"/>
    </row>
    <row r="18059" spans="2:11" ht="12.75">
      <c r="B18059" s="4"/>
      <c r="D18059" s="67"/>
      <c r="G18059" s="68"/>
      <c r="K18059" s="68"/>
    </row>
    <row r="18060" spans="2:11" ht="12.75">
      <c r="B18060" s="4"/>
      <c r="D18060" s="67"/>
      <c r="G18060" s="68"/>
      <c r="K18060" s="68"/>
    </row>
    <row r="18061" spans="2:11" ht="12.75">
      <c r="B18061" s="4"/>
      <c r="D18061" s="67"/>
      <c r="G18061" s="68"/>
      <c r="K18061" s="68"/>
    </row>
    <row r="18062" spans="2:11" ht="12.75">
      <c r="B18062" s="4"/>
      <c r="D18062" s="67"/>
      <c r="G18062" s="68"/>
      <c r="K18062" s="68"/>
    </row>
    <row r="18063" spans="2:11" ht="12.75">
      <c r="B18063" s="4"/>
      <c r="D18063" s="67"/>
      <c r="G18063" s="68"/>
      <c r="K18063" s="68"/>
    </row>
    <row r="18064" spans="2:11" ht="12.75">
      <c r="B18064" s="4"/>
      <c r="D18064" s="67"/>
      <c r="G18064" s="68"/>
      <c r="K18064" s="68"/>
    </row>
    <row r="18065" spans="2:11" ht="12.75">
      <c r="B18065" s="4"/>
      <c r="D18065" s="67"/>
      <c r="G18065" s="68"/>
      <c r="K18065" s="68"/>
    </row>
    <row r="18066" spans="2:11" ht="12.75">
      <c r="B18066" s="4"/>
      <c r="D18066" s="67"/>
      <c r="G18066" s="68"/>
      <c r="K18066" s="68"/>
    </row>
    <row r="18067" spans="2:11" ht="12.75">
      <c r="B18067" s="4"/>
      <c r="D18067" s="67"/>
      <c r="G18067" s="68"/>
      <c r="K18067" s="68"/>
    </row>
    <row r="18068" spans="2:11" ht="12.75">
      <c r="B18068" s="4"/>
      <c r="D18068" s="67"/>
      <c r="G18068" s="68"/>
      <c r="K18068" s="68"/>
    </row>
    <row r="18069" spans="2:11" ht="12.75">
      <c r="B18069" s="4"/>
      <c r="D18069" s="67"/>
      <c r="G18069" s="68"/>
      <c r="K18069" s="68"/>
    </row>
    <row r="18070" spans="2:11" ht="12.75">
      <c r="B18070" s="4"/>
      <c r="D18070" s="67"/>
      <c r="G18070" s="68"/>
      <c r="K18070" s="68"/>
    </row>
    <row r="18071" spans="2:11" ht="12.75">
      <c r="B18071" s="4"/>
      <c r="D18071" s="67"/>
      <c r="G18071" s="68"/>
      <c r="K18071" s="68"/>
    </row>
    <row r="18072" spans="2:11" ht="12.75">
      <c r="B18072" s="4"/>
      <c r="D18072" s="67"/>
      <c r="G18072" s="68"/>
      <c r="K18072" s="68"/>
    </row>
    <row r="18073" spans="2:11" ht="12.75">
      <c r="B18073" s="4"/>
      <c r="D18073" s="67"/>
      <c r="G18073" s="68"/>
      <c r="K18073" s="68"/>
    </row>
    <row r="18074" spans="2:11" ht="12.75">
      <c r="B18074" s="4"/>
      <c r="D18074" s="67"/>
      <c r="G18074" s="68"/>
      <c r="K18074" s="68"/>
    </row>
    <row r="18075" spans="2:11" ht="12.75">
      <c r="B18075" s="4"/>
      <c r="D18075" s="67"/>
      <c r="G18075" s="68"/>
      <c r="K18075" s="68"/>
    </row>
    <row r="18076" spans="2:11" ht="12.75">
      <c r="B18076" s="4"/>
      <c r="D18076" s="67"/>
      <c r="G18076" s="68"/>
      <c r="K18076" s="68"/>
    </row>
    <row r="18077" spans="2:11" ht="12.75">
      <c r="B18077" s="4"/>
      <c r="D18077" s="67"/>
      <c r="G18077" s="68"/>
      <c r="K18077" s="68"/>
    </row>
    <row r="18078" spans="2:11" ht="12.75">
      <c r="B18078" s="4"/>
      <c r="D18078" s="67"/>
      <c r="G18078" s="68"/>
      <c r="K18078" s="68"/>
    </row>
    <row r="18079" spans="2:11" ht="12.75">
      <c r="B18079" s="4"/>
      <c r="D18079" s="67"/>
      <c r="G18079" s="68"/>
      <c r="K18079" s="68"/>
    </row>
    <row r="18080" spans="2:11" ht="12.75">
      <c r="B18080" s="4"/>
      <c r="D18080" s="67"/>
      <c r="G18080" s="68"/>
      <c r="K18080" s="68"/>
    </row>
    <row r="18081" spans="2:11" ht="12.75">
      <c r="B18081" s="4"/>
      <c r="D18081" s="67"/>
      <c r="G18081" s="68"/>
      <c r="K18081" s="68"/>
    </row>
    <row r="18082" spans="2:11" ht="12.75">
      <c r="B18082" s="4"/>
      <c r="D18082" s="67"/>
      <c r="G18082" s="68"/>
      <c r="K18082" s="68"/>
    </row>
    <row r="18083" spans="2:11" ht="12.75">
      <c r="B18083" s="4"/>
      <c r="D18083" s="67"/>
      <c r="G18083" s="68"/>
      <c r="K18083" s="68"/>
    </row>
    <row r="18084" spans="2:11" ht="12.75">
      <c r="B18084" s="4"/>
      <c r="D18084" s="67"/>
      <c r="G18084" s="68"/>
      <c r="K18084" s="68"/>
    </row>
    <row r="18085" spans="2:11" ht="12.75">
      <c r="B18085" s="4"/>
      <c r="D18085" s="67"/>
      <c r="G18085" s="68"/>
      <c r="K18085" s="68"/>
    </row>
    <row r="18086" spans="2:11" ht="12.75">
      <c r="B18086" s="4"/>
      <c r="D18086" s="67"/>
      <c r="G18086" s="68"/>
      <c r="K18086" s="68"/>
    </row>
    <row r="18087" spans="2:11" ht="12.75">
      <c r="B18087" s="4"/>
      <c r="D18087" s="67"/>
      <c r="G18087" s="68"/>
      <c r="K18087" s="68"/>
    </row>
    <row r="18088" spans="2:11" ht="12.75">
      <c r="B18088" s="4"/>
      <c r="D18088" s="67"/>
      <c r="G18088" s="68"/>
      <c r="K18088" s="68"/>
    </row>
    <row r="18089" spans="2:11" ht="12.75">
      <c r="B18089" s="4"/>
      <c r="D18089" s="67"/>
      <c r="G18089" s="68"/>
      <c r="K18089" s="68"/>
    </row>
    <row r="18090" spans="2:11" ht="12.75">
      <c r="B18090" s="4"/>
      <c r="D18090" s="67"/>
      <c r="G18090" s="68"/>
      <c r="K18090" s="68"/>
    </row>
    <row r="18091" spans="2:11" ht="12.75">
      <c r="B18091" s="4"/>
      <c r="D18091" s="67"/>
      <c r="G18091" s="68"/>
      <c r="K18091" s="68"/>
    </row>
    <row r="18092" spans="2:11" ht="12.75">
      <c r="B18092" s="4"/>
      <c r="D18092" s="67"/>
      <c r="G18092" s="68"/>
      <c r="K18092" s="68"/>
    </row>
    <row r="18093" spans="2:11" ht="12.75">
      <c r="B18093" s="4"/>
      <c r="D18093" s="67"/>
      <c r="G18093" s="68"/>
      <c r="K18093" s="68"/>
    </row>
    <row r="18094" spans="2:11" ht="12.75">
      <c r="B18094" s="4"/>
      <c r="D18094" s="67"/>
      <c r="G18094" s="68"/>
      <c r="K18094" s="68"/>
    </row>
    <row r="18095" spans="2:11" ht="12.75">
      <c r="B18095" s="4"/>
      <c r="D18095" s="67"/>
      <c r="G18095" s="68"/>
      <c r="K18095" s="68"/>
    </row>
    <row r="18096" spans="2:11" ht="12.75">
      <c r="B18096" s="4"/>
      <c r="D18096" s="67"/>
      <c r="G18096" s="68"/>
      <c r="K18096" s="68"/>
    </row>
    <row r="18097" spans="2:11" ht="12.75">
      <c r="B18097" s="4"/>
      <c r="D18097" s="67"/>
      <c r="G18097" s="68"/>
      <c r="K18097" s="68"/>
    </row>
    <row r="18098" spans="2:11" ht="12.75">
      <c r="B18098" s="4"/>
      <c r="D18098" s="67"/>
      <c r="G18098" s="68"/>
      <c r="K18098" s="68"/>
    </row>
    <row r="18099" spans="2:11" ht="12.75">
      <c r="B18099" s="4"/>
      <c r="D18099" s="67"/>
      <c r="G18099" s="68"/>
      <c r="K18099" s="68"/>
    </row>
    <row r="18100" spans="2:11" ht="12.75">
      <c r="B18100" s="4"/>
      <c r="D18100" s="67"/>
      <c r="G18100" s="68"/>
      <c r="K18100" s="68"/>
    </row>
    <row r="18101" spans="2:11" ht="12.75">
      <c r="B18101" s="4"/>
      <c r="D18101" s="67"/>
      <c r="G18101" s="68"/>
      <c r="K18101" s="68"/>
    </row>
    <row r="18102" spans="2:11" ht="12.75">
      <c r="B18102" s="4"/>
      <c r="D18102" s="67"/>
      <c r="G18102" s="68"/>
      <c r="K18102" s="68"/>
    </row>
    <row r="18103" spans="2:11" ht="12.75">
      <c r="B18103" s="4"/>
      <c r="D18103" s="67"/>
      <c r="G18103" s="68"/>
      <c r="K18103" s="68"/>
    </row>
    <row r="18104" spans="2:11" ht="12.75">
      <c r="B18104" s="4"/>
      <c r="D18104" s="67"/>
      <c r="G18104" s="68"/>
      <c r="K18104" s="68"/>
    </row>
    <row r="18105" spans="2:11" ht="12.75">
      <c r="B18105" s="4"/>
      <c r="D18105" s="67"/>
      <c r="G18105" s="68"/>
      <c r="K18105" s="68"/>
    </row>
    <row r="18106" spans="2:11" ht="12.75">
      <c r="B18106" s="4"/>
      <c r="D18106" s="67"/>
      <c r="G18106" s="68"/>
      <c r="K18106" s="68"/>
    </row>
    <row r="18107" spans="2:11" ht="12.75">
      <c r="B18107" s="4"/>
      <c r="D18107" s="67"/>
      <c r="G18107" s="68"/>
      <c r="K18107" s="68"/>
    </row>
    <row r="18108" spans="2:11" ht="12.75">
      <c r="B18108" s="4"/>
      <c r="D18108" s="67"/>
      <c r="G18108" s="68"/>
      <c r="K18108" s="68"/>
    </row>
    <row r="18109" spans="2:11" ht="12.75">
      <c r="B18109" s="4"/>
      <c r="D18109" s="67"/>
      <c r="G18109" s="68"/>
      <c r="K18109" s="68"/>
    </row>
    <row r="18110" spans="2:11" ht="12.75">
      <c r="B18110" s="4"/>
      <c r="D18110" s="67"/>
      <c r="G18110" s="68"/>
      <c r="K18110" s="68"/>
    </row>
    <row r="18111" spans="2:11" ht="12.75">
      <c r="B18111" s="4"/>
      <c r="D18111" s="67"/>
      <c r="G18111" s="68"/>
      <c r="K18111" s="68"/>
    </row>
    <row r="18112" spans="2:11" ht="12.75">
      <c r="B18112" s="4"/>
      <c r="D18112" s="67"/>
      <c r="G18112" s="68"/>
      <c r="K18112" s="68"/>
    </row>
    <row r="18113" spans="2:11" ht="12.75">
      <c r="B18113" s="4"/>
      <c r="D18113" s="67"/>
      <c r="G18113" s="68"/>
      <c r="K18113" s="68"/>
    </row>
    <row r="18114" spans="2:11" ht="12.75">
      <c r="B18114" s="4"/>
      <c r="D18114" s="67"/>
      <c r="G18114" s="68"/>
      <c r="K18114" s="68"/>
    </row>
    <row r="18115" spans="2:11" ht="12.75">
      <c r="B18115" s="4"/>
      <c r="D18115" s="67"/>
      <c r="G18115" s="68"/>
      <c r="K18115" s="68"/>
    </row>
    <row r="18116" spans="2:11" ht="12.75">
      <c r="B18116" s="4"/>
      <c r="D18116" s="67"/>
      <c r="G18116" s="68"/>
      <c r="K18116" s="68"/>
    </row>
    <row r="18117" spans="2:11" ht="12.75">
      <c r="B18117" s="4"/>
      <c r="D18117" s="67"/>
      <c r="G18117" s="68"/>
      <c r="K18117" s="68"/>
    </row>
    <row r="18118" spans="2:11" ht="12.75">
      <c r="B18118" s="4"/>
      <c r="D18118" s="67"/>
      <c r="G18118" s="68"/>
      <c r="K18118" s="68"/>
    </row>
    <row r="18119" spans="2:11" ht="12.75">
      <c r="B18119" s="4"/>
      <c r="D18119" s="67"/>
      <c r="G18119" s="68"/>
      <c r="K18119" s="68"/>
    </row>
    <row r="18120" spans="2:11" ht="12.75">
      <c r="B18120" s="4"/>
      <c r="D18120" s="67"/>
      <c r="G18120" s="68"/>
      <c r="K18120" s="68"/>
    </row>
    <row r="18121" spans="2:11" ht="12.75">
      <c r="B18121" s="4"/>
      <c r="D18121" s="67"/>
      <c r="G18121" s="68"/>
      <c r="K18121" s="68"/>
    </row>
    <row r="18122" spans="2:11" ht="12.75">
      <c r="B18122" s="4"/>
      <c r="D18122" s="67"/>
      <c r="G18122" s="68"/>
      <c r="K18122" s="68"/>
    </row>
    <row r="18123" spans="2:11" ht="12.75">
      <c r="B18123" s="4"/>
      <c r="D18123" s="67"/>
      <c r="G18123" s="68"/>
      <c r="K18123" s="68"/>
    </row>
    <row r="18124" spans="2:11" ht="12.75">
      <c r="B18124" s="4"/>
      <c r="D18124" s="67"/>
      <c r="G18124" s="68"/>
      <c r="K18124" s="68"/>
    </row>
    <row r="18125" spans="2:11" ht="12.75">
      <c r="B18125" s="4"/>
      <c r="D18125" s="67"/>
      <c r="G18125" s="68"/>
      <c r="K18125" s="68"/>
    </row>
    <row r="18126" spans="2:11" ht="12.75">
      <c r="B18126" s="4"/>
      <c r="D18126" s="67"/>
      <c r="G18126" s="68"/>
      <c r="K18126" s="68"/>
    </row>
    <row r="18127" spans="2:11" ht="12.75">
      <c r="B18127" s="4"/>
      <c r="D18127" s="67"/>
      <c r="G18127" s="68"/>
      <c r="K18127" s="68"/>
    </row>
    <row r="18128" spans="2:11" ht="12.75">
      <c r="B18128" s="4"/>
      <c r="D18128" s="67"/>
      <c r="G18128" s="68"/>
      <c r="K18128" s="68"/>
    </row>
    <row r="18129" spans="2:11" ht="12.75">
      <c r="B18129" s="4"/>
      <c r="D18129" s="67"/>
      <c r="G18129" s="68"/>
      <c r="K18129" s="68"/>
    </row>
    <row r="18130" spans="2:11" ht="12.75">
      <c r="B18130" s="4"/>
      <c r="D18130" s="67"/>
      <c r="G18130" s="68"/>
      <c r="K18130" s="68"/>
    </row>
    <row r="18131" spans="2:11" ht="12.75">
      <c r="B18131" s="4"/>
      <c r="D18131" s="67"/>
      <c r="G18131" s="68"/>
      <c r="K18131" s="68"/>
    </row>
    <row r="18132" spans="2:11" ht="12.75">
      <c r="B18132" s="4"/>
      <c r="D18132" s="67"/>
      <c r="G18132" s="68"/>
      <c r="K18132" s="68"/>
    </row>
    <row r="18133" spans="2:11" ht="12.75">
      <c r="B18133" s="4"/>
      <c r="D18133" s="67"/>
      <c r="G18133" s="68"/>
      <c r="K18133" s="68"/>
    </row>
    <row r="18134" spans="2:11" ht="12.75">
      <c r="B18134" s="4"/>
      <c r="D18134" s="67"/>
      <c r="G18134" s="68"/>
      <c r="K18134" s="68"/>
    </row>
    <row r="18135" spans="2:11" ht="12.75">
      <c r="B18135" s="4"/>
      <c r="D18135" s="67"/>
      <c r="G18135" s="68"/>
      <c r="K18135" s="68"/>
    </row>
    <row r="18136" spans="2:11" ht="12.75">
      <c r="B18136" s="4"/>
      <c r="D18136" s="67"/>
      <c r="G18136" s="68"/>
      <c r="K18136" s="68"/>
    </row>
    <row r="18137" spans="2:11" ht="12.75">
      <c r="B18137" s="4"/>
      <c r="D18137" s="67"/>
      <c r="G18137" s="68"/>
      <c r="K18137" s="68"/>
    </row>
    <row r="18138" spans="2:11" ht="12.75">
      <c r="B18138" s="4"/>
      <c r="D18138" s="67"/>
      <c r="G18138" s="68"/>
      <c r="K18138" s="68"/>
    </row>
    <row r="18139" spans="2:11" ht="12.75">
      <c r="B18139" s="4"/>
      <c r="D18139" s="67"/>
      <c r="G18139" s="68"/>
      <c r="K18139" s="68"/>
    </row>
    <row r="18140" spans="2:11" ht="12.75">
      <c r="B18140" s="4"/>
      <c r="D18140" s="67"/>
      <c r="G18140" s="68"/>
      <c r="K18140" s="68"/>
    </row>
    <row r="18141" spans="2:11" ht="12.75">
      <c r="B18141" s="4"/>
      <c r="D18141" s="67"/>
      <c r="G18141" s="68"/>
      <c r="K18141" s="68"/>
    </row>
    <row r="18142" spans="2:11" ht="12.75">
      <c r="B18142" s="4"/>
      <c r="D18142" s="67"/>
      <c r="G18142" s="68"/>
      <c r="K18142" s="68"/>
    </row>
    <row r="18143" spans="2:11" ht="12.75">
      <c r="B18143" s="4"/>
      <c r="D18143" s="67"/>
      <c r="G18143" s="68"/>
      <c r="K18143" s="68"/>
    </row>
    <row r="18144" spans="2:11" ht="12.75">
      <c r="B18144" s="4"/>
      <c r="D18144" s="67"/>
      <c r="G18144" s="68"/>
      <c r="K18144" s="68"/>
    </row>
    <row r="18145" spans="2:11" ht="12.75">
      <c r="B18145" s="4"/>
      <c r="D18145" s="67"/>
      <c r="G18145" s="68"/>
      <c r="K18145" s="68"/>
    </row>
    <row r="18146" spans="2:11" ht="12.75">
      <c r="B18146" s="4"/>
      <c r="D18146" s="67"/>
      <c r="G18146" s="68"/>
      <c r="K18146" s="68"/>
    </row>
    <row r="18147" spans="2:11" ht="12.75">
      <c r="B18147" s="4"/>
      <c r="D18147" s="67"/>
      <c r="G18147" s="68"/>
      <c r="K18147" s="68"/>
    </row>
    <row r="18148" spans="2:11" ht="12.75">
      <c r="B18148" s="4"/>
      <c r="D18148" s="67"/>
      <c r="G18148" s="68"/>
      <c r="K18148" s="68"/>
    </row>
    <row r="18149" spans="2:11" ht="12.75">
      <c r="B18149" s="4"/>
      <c r="D18149" s="67"/>
      <c r="G18149" s="68"/>
      <c r="K18149" s="68"/>
    </row>
    <row r="18150" spans="2:11" ht="12.75">
      <c r="B18150" s="4"/>
      <c r="D18150" s="67"/>
      <c r="G18150" s="68"/>
      <c r="K18150" s="68"/>
    </row>
    <row r="18151" spans="2:11" ht="12.75">
      <c r="B18151" s="4"/>
      <c r="D18151" s="67"/>
      <c r="G18151" s="68"/>
      <c r="K18151" s="68"/>
    </row>
    <row r="18152" spans="2:11" ht="12.75">
      <c r="B18152" s="4"/>
      <c r="D18152" s="67"/>
      <c r="G18152" s="68"/>
      <c r="K18152" s="68"/>
    </row>
    <row r="18153" spans="2:11" ht="12.75">
      <c r="B18153" s="4"/>
      <c r="D18153" s="67"/>
      <c r="G18153" s="68"/>
      <c r="K18153" s="68"/>
    </row>
    <row r="18154" spans="2:11" ht="12.75">
      <c r="B18154" s="4"/>
      <c r="D18154" s="67"/>
      <c r="G18154" s="68"/>
      <c r="K18154" s="68"/>
    </row>
    <row r="18155" spans="2:11" ht="12.75">
      <c r="B18155" s="4"/>
      <c r="D18155" s="67"/>
      <c r="G18155" s="68"/>
      <c r="K18155" s="68"/>
    </row>
    <row r="18156" spans="2:11" ht="12.75">
      <c r="B18156" s="4"/>
      <c r="D18156" s="67"/>
      <c r="G18156" s="68"/>
      <c r="K18156" s="68"/>
    </row>
    <row r="18157" spans="2:11" ht="12.75">
      <c r="B18157" s="4"/>
      <c r="D18157" s="67"/>
      <c r="G18157" s="68"/>
      <c r="K18157" s="68"/>
    </row>
    <row r="18158" spans="2:11" ht="12.75">
      <c r="B18158" s="4"/>
      <c r="D18158" s="67"/>
      <c r="G18158" s="68"/>
      <c r="K18158" s="68"/>
    </row>
    <row r="18159" spans="2:11" ht="12.75">
      <c r="B18159" s="4"/>
      <c r="D18159" s="67"/>
      <c r="G18159" s="68"/>
      <c r="K18159" s="68"/>
    </row>
    <row r="18160" spans="2:11" ht="12.75">
      <c r="B18160" s="4"/>
      <c r="D18160" s="67"/>
      <c r="G18160" s="68"/>
      <c r="K18160" s="68"/>
    </row>
    <row r="18161" spans="2:11" ht="12.75">
      <c r="B18161" s="4"/>
      <c r="D18161" s="67"/>
      <c r="G18161" s="68"/>
      <c r="K18161" s="68"/>
    </row>
    <row r="18162" spans="2:11" ht="12.75">
      <c r="B18162" s="4"/>
      <c r="D18162" s="67"/>
      <c r="G18162" s="68"/>
      <c r="K18162" s="68"/>
    </row>
    <row r="18163" spans="2:11" ht="12.75">
      <c r="B18163" s="4"/>
      <c r="D18163" s="67"/>
      <c r="G18163" s="68"/>
      <c r="K18163" s="68"/>
    </row>
    <row r="18164" spans="2:11" ht="12.75">
      <c r="B18164" s="4"/>
      <c r="D18164" s="67"/>
      <c r="G18164" s="68"/>
      <c r="K18164" s="68"/>
    </row>
    <row r="18165" spans="2:11" ht="12.75">
      <c r="B18165" s="4"/>
      <c r="D18165" s="67"/>
      <c r="G18165" s="68"/>
      <c r="K18165" s="68"/>
    </row>
    <row r="18166" spans="2:11" ht="12.75">
      <c r="B18166" s="4"/>
      <c r="D18166" s="67"/>
      <c r="G18166" s="68"/>
      <c r="K18166" s="68"/>
    </row>
    <row r="18167" spans="2:11" ht="12.75">
      <c r="B18167" s="4"/>
      <c r="D18167" s="67"/>
      <c r="G18167" s="68"/>
      <c r="K18167" s="68"/>
    </row>
    <row r="18168" spans="2:11" ht="12.75">
      <c r="B18168" s="4"/>
      <c r="D18168" s="67"/>
      <c r="G18168" s="68"/>
      <c r="K18168" s="68"/>
    </row>
    <row r="18169" spans="2:11" ht="12.75">
      <c r="B18169" s="4"/>
      <c r="D18169" s="67"/>
      <c r="G18169" s="68"/>
      <c r="K18169" s="68"/>
    </row>
    <row r="18170" spans="2:11" ht="12.75">
      <c r="B18170" s="4"/>
      <c r="D18170" s="67"/>
      <c r="G18170" s="68"/>
      <c r="K18170" s="68"/>
    </row>
    <row r="18171" spans="2:11" ht="12.75">
      <c r="B18171" s="4"/>
      <c r="D18171" s="67"/>
      <c r="G18171" s="68"/>
      <c r="K18171" s="68"/>
    </row>
    <row r="18172" spans="2:11" ht="12.75">
      <c r="B18172" s="4"/>
      <c r="D18172" s="67"/>
      <c r="G18172" s="68"/>
      <c r="K18172" s="68"/>
    </row>
    <row r="18173" spans="2:11" ht="12.75">
      <c r="B18173" s="4"/>
      <c r="D18173" s="67"/>
      <c r="G18173" s="68"/>
      <c r="K18173" s="68"/>
    </row>
    <row r="18174" spans="2:11" ht="12.75">
      <c r="B18174" s="4"/>
      <c r="D18174" s="67"/>
      <c r="G18174" s="68"/>
      <c r="K18174" s="68"/>
    </row>
    <row r="18175" spans="2:11" ht="12.75">
      <c r="B18175" s="4"/>
      <c r="D18175" s="67"/>
      <c r="G18175" s="68"/>
      <c r="K18175" s="68"/>
    </row>
    <row r="18176" spans="2:11" ht="12.75">
      <c r="B18176" s="4"/>
      <c r="D18176" s="67"/>
      <c r="G18176" s="68"/>
      <c r="K18176" s="68"/>
    </row>
    <row r="18177" spans="2:11" ht="12.75">
      <c r="B18177" s="4"/>
      <c r="D18177" s="67"/>
      <c r="G18177" s="68"/>
      <c r="K18177" s="68"/>
    </row>
    <row r="18178" spans="2:11" ht="12.75">
      <c r="B18178" s="4"/>
      <c r="D18178" s="67"/>
      <c r="G18178" s="68"/>
      <c r="K18178" s="68"/>
    </row>
    <row r="18179" spans="2:11" ht="12.75">
      <c r="B18179" s="4"/>
      <c r="D18179" s="67"/>
      <c r="G18179" s="68"/>
      <c r="K18179" s="68"/>
    </row>
    <row r="18180" spans="2:11" ht="12.75">
      <c r="B18180" s="4"/>
      <c r="D18180" s="67"/>
      <c r="G18180" s="68"/>
      <c r="K18180" s="68"/>
    </row>
    <row r="18181" spans="2:11" ht="12.75">
      <c r="B18181" s="4"/>
      <c r="D18181" s="67"/>
      <c r="G18181" s="68"/>
      <c r="K18181" s="68"/>
    </row>
    <row r="18182" spans="2:11" ht="12.75">
      <c r="B18182" s="4"/>
      <c r="D18182" s="67"/>
      <c r="G18182" s="68"/>
      <c r="K18182" s="68"/>
    </row>
    <row r="18183" spans="2:11" ht="12.75">
      <c r="B18183" s="4"/>
      <c r="D18183" s="67"/>
      <c r="G18183" s="68"/>
      <c r="K18183" s="68"/>
    </row>
    <row r="18184" spans="2:11" ht="12.75">
      <c r="B18184" s="4"/>
      <c r="D18184" s="67"/>
      <c r="G18184" s="68"/>
      <c r="K18184" s="68"/>
    </row>
    <row r="18185" spans="2:11" ht="12.75">
      <c r="B18185" s="4"/>
      <c r="D18185" s="67"/>
      <c r="G18185" s="68"/>
      <c r="K18185" s="68"/>
    </row>
    <row r="18186" spans="2:11" ht="12.75">
      <c r="B18186" s="4"/>
      <c r="D18186" s="67"/>
      <c r="G18186" s="68"/>
      <c r="K18186" s="68"/>
    </row>
    <row r="18187" spans="2:11" ht="12.75">
      <c r="B18187" s="4"/>
      <c r="D18187" s="67"/>
      <c r="G18187" s="68"/>
      <c r="K18187" s="68"/>
    </row>
    <row r="18188" spans="2:11" ht="12.75">
      <c r="B18188" s="4"/>
      <c r="D18188" s="67"/>
      <c r="G18188" s="68"/>
      <c r="K18188" s="68"/>
    </row>
    <row r="18189" spans="2:11" ht="12.75">
      <c r="B18189" s="4"/>
      <c r="D18189" s="67"/>
      <c r="G18189" s="68"/>
      <c r="K18189" s="68"/>
    </row>
    <row r="18190" spans="2:11" ht="12.75">
      <c r="B18190" s="4"/>
      <c r="D18190" s="67"/>
      <c r="G18190" s="68"/>
      <c r="K18190" s="68"/>
    </row>
    <row r="18191" spans="2:11" ht="12.75">
      <c r="B18191" s="4"/>
      <c r="D18191" s="67"/>
      <c r="G18191" s="68"/>
      <c r="K18191" s="68"/>
    </row>
    <row r="18192" spans="2:11" ht="12.75">
      <c r="B18192" s="4"/>
      <c r="D18192" s="67"/>
      <c r="G18192" s="68"/>
      <c r="K18192" s="68"/>
    </row>
    <row r="18193" spans="2:11" ht="12.75">
      <c r="B18193" s="4"/>
      <c r="D18193" s="67"/>
      <c r="G18193" s="68"/>
      <c r="K18193" s="68"/>
    </row>
    <row r="18194" spans="2:11" ht="12.75">
      <c r="B18194" s="4"/>
      <c r="D18194" s="67"/>
      <c r="G18194" s="68"/>
      <c r="K18194" s="68"/>
    </row>
    <row r="18195" spans="2:11" ht="12.75">
      <c r="B18195" s="4"/>
      <c r="D18195" s="67"/>
      <c r="G18195" s="68"/>
      <c r="K18195" s="68"/>
    </row>
    <row r="18196" spans="2:11" ht="12.75">
      <c r="B18196" s="4"/>
      <c r="D18196" s="67"/>
      <c r="G18196" s="68"/>
      <c r="K18196" s="68"/>
    </row>
    <row r="18197" spans="2:11" ht="12.75">
      <c r="B18197" s="4"/>
      <c r="D18197" s="67"/>
      <c r="G18197" s="68"/>
      <c r="K18197" s="68"/>
    </row>
    <row r="18198" spans="2:11" ht="12.75">
      <c r="B18198" s="4"/>
      <c r="D18198" s="67"/>
      <c r="G18198" s="68"/>
      <c r="K18198" s="68"/>
    </row>
    <row r="18199" spans="2:11" ht="12.75">
      <c r="B18199" s="4"/>
      <c r="D18199" s="67"/>
      <c r="G18199" s="68"/>
      <c r="K18199" s="68"/>
    </row>
    <row r="18200" spans="2:11" ht="12.75">
      <c r="B18200" s="4"/>
      <c r="D18200" s="67"/>
      <c r="G18200" s="68"/>
      <c r="K18200" s="68"/>
    </row>
    <row r="18201" spans="2:11" ht="12.75">
      <c r="B18201" s="4"/>
      <c r="D18201" s="67"/>
      <c r="G18201" s="68"/>
      <c r="K18201" s="68"/>
    </row>
    <row r="18202" spans="2:11" ht="12.75">
      <c r="B18202" s="4"/>
      <c r="D18202" s="67"/>
      <c r="G18202" s="68"/>
      <c r="K18202" s="68"/>
    </row>
    <row r="18203" spans="2:11" ht="12.75">
      <c r="B18203" s="4"/>
      <c r="D18203" s="67"/>
      <c r="G18203" s="68"/>
      <c r="K18203" s="68"/>
    </row>
    <row r="18204" spans="2:11" ht="12.75">
      <c r="B18204" s="4"/>
      <c r="D18204" s="67"/>
      <c r="G18204" s="68"/>
      <c r="K18204" s="68"/>
    </row>
    <row r="18205" spans="2:11" ht="12.75">
      <c r="B18205" s="4"/>
      <c r="D18205" s="67"/>
      <c r="G18205" s="68"/>
      <c r="K18205" s="68"/>
    </row>
    <row r="18206" spans="2:11" ht="12.75">
      <c r="B18206" s="4"/>
      <c r="D18206" s="67"/>
      <c r="G18206" s="68"/>
      <c r="K18206" s="68"/>
    </row>
    <row r="18207" spans="2:11" ht="12.75">
      <c r="B18207" s="4"/>
      <c r="D18207" s="67"/>
      <c r="G18207" s="68"/>
      <c r="K18207" s="68"/>
    </row>
    <row r="18208" spans="2:11" ht="12.75">
      <c r="B18208" s="4"/>
      <c r="D18208" s="67"/>
      <c r="G18208" s="68"/>
      <c r="K18208" s="68"/>
    </row>
    <row r="18209" spans="2:11" ht="12.75">
      <c r="B18209" s="4"/>
      <c r="D18209" s="67"/>
      <c r="G18209" s="68"/>
      <c r="K18209" s="68"/>
    </row>
    <row r="18210" spans="2:11" ht="12.75">
      <c r="B18210" s="4"/>
      <c r="D18210" s="67"/>
      <c r="G18210" s="68"/>
      <c r="K18210" s="68"/>
    </row>
    <row r="18211" spans="2:11" ht="12.75">
      <c r="B18211" s="4"/>
      <c r="D18211" s="67"/>
      <c r="G18211" s="68"/>
      <c r="K18211" s="68"/>
    </row>
    <row r="18212" spans="2:11" ht="12.75">
      <c r="B18212" s="4"/>
      <c r="D18212" s="67"/>
      <c r="G18212" s="68"/>
      <c r="K18212" s="68"/>
    </row>
    <row r="18213" spans="2:11" ht="12.75">
      <c r="B18213" s="4"/>
      <c r="D18213" s="67"/>
      <c r="G18213" s="68"/>
      <c r="K18213" s="68"/>
    </row>
    <row r="18214" spans="2:11" ht="12.75">
      <c r="B18214" s="4"/>
      <c r="D18214" s="67"/>
      <c r="G18214" s="68"/>
      <c r="K18214" s="68"/>
    </row>
    <row r="18215" spans="2:11" ht="12.75">
      <c r="B18215" s="4"/>
      <c r="D18215" s="67"/>
      <c r="G18215" s="68"/>
      <c r="K18215" s="68"/>
    </row>
    <row r="18216" spans="2:11" ht="12.75">
      <c r="B18216" s="4"/>
      <c r="D18216" s="67"/>
      <c r="G18216" s="68"/>
      <c r="K18216" s="68"/>
    </row>
    <row r="18217" spans="2:11" ht="12.75">
      <c r="B18217" s="4"/>
      <c r="D18217" s="67"/>
      <c r="G18217" s="68"/>
      <c r="K18217" s="68"/>
    </row>
    <row r="18218" spans="2:11" ht="12.75">
      <c r="B18218" s="4"/>
      <c r="D18218" s="67"/>
      <c r="G18218" s="68"/>
      <c r="K18218" s="68"/>
    </row>
    <row r="18219" spans="2:11" ht="12.75">
      <c r="B18219" s="4"/>
      <c r="D18219" s="67"/>
      <c r="G18219" s="68"/>
      <c r="K18219" s="68"/>
    </row>
    <row r="18220" spans="2:11" ht="12.75">
      <c r="B18220" s="4"/>
      <c r="D18220" s="67"/>
      <c r="G18220" s="68"/>
      <c r="K18220" s="68"/>
    </row>
    <row r="18221" spans="2:11" ht="12.75">
      <c r="B18221" s="4"/>
      <c r="D18221" s="67"/>
      <c r="G18221" s="68"/>
      <c r="K18221" s="68"/>
    </row>
    <row r="18222" spans="2:11" ht="12.75">
      <c r="B18222" s="4"/>
      <c r="D18222" s="67"/>
      <c r="G18222" s="68"/>
      <c r="K18222" s="68"/>
    </row>
    <row r="18223" spans="2:11" ht="12.75">
      <c r="B18223" s="4"/>
      <c r="D18223" s="67"/>
      <c r="G18223" s="68"/>
      <c r="K18223" s="68"/>
    </row>
    <row r="18224" spans="2:11" ht="12.75">
      <c r="B18224" s="4"/>
      <c r="D18224" s="67"/>
      <c r="G18224" s="68"/>
      <c r="K18224" s="68"/>
    </row>
    <row r="18225" spans="2:11" ht="12.75">
      <c r="B18225" s="4"/>
      <c r="D18225" s="67"/>
      <c r="G18225" s="68"/>
      <c r="K18225" s="68"/>
    </row>
    <row r="18226" spans="2:11" ht="12.75">
      <c r="B18226" s="4"/>
      <c r="D18226" s="67"/>
      <c r="G18226" s="68"/>
      <c r="K18226" s="68"/>
    </row>
    <row r="18227" spans="2:11" ht="12.75">
      <c r="B18227" s="4"/>
      <c r="D18227" s="67"/>
      <c r="G18227" s="68"/>
      <c r="K18227" s="68"/>
    </row>
    <row r="18228" spans="2:11" ht="12.75">
      <c r="B18228" s="4"/>
      <c r="D18228" s="67"/>
      <c r="G18228" s="68"/>
      <c r="K18228" s="68"/>
    </row>
    <row r="18229" spans="2:11" ht="12.75">
      <c r="B18229" s="4"/>
      <c r="D18229" s="67"/>
      <c r="G18229" s="68"/>
      <c r="K18229" s="68"/>
    </row>
    <row r="18230" spans="2:11" ht="12.75">
      <c r="B18230" s="4"/>
      <c r="D18230" s="67"/>
      <c r="G18230" s="68"/>
      <c r="K18230" s="68"/>
    </row>
    <row r="18231" spans="2:11" ht="12.75">
      <c r="B18231" s="4"/>
      <c r="D18231" s="67"/>
      <c r="G18231" s="68"/>
      <c r="K18231" s="68"/>
    </row>
    <row r="18232" spans="2:11" ht="12.75">
      <c r="B18232" s="4"/>
      <c r="D18232" s="67"/>
      <c r="G18232" s="68"/>
      <c r="K18232" s="68"/>
    </row>
    <row r="18233" spans="2:11" ht="12.75">
      <c r="B18233" s="4"/>
      <c r="D18233" s="67"/>
      <c r="G18233" s="68"/>
      <c r="K18233" s="68"/>
    </row>
    <row r="18234" spans="2:11" ht="12.75">
      <c r="B18234" s="4"/>
      <c r="D18234" s="67"/>
      <c r="G18234" s="68"/>
      <c r="K18234" s="68"/>
    </row>
    <row r="18235" spans="2:11" ht="12.75">
      <c r="B18235" s="4"/>
      <c r="D18235" s="67"/>
      <c r="G18235" s="68"/>
      <c r="K18235" s="68"/>
    </row>
    <row r="18236" spans="2:11" ht="12.75">
      <c r="B18236" s="4"/>
      <c r="D18236" s="67"/>
      <c r="G18236" s="68"/>
      <c r="K18236" s="68"/>
    </row>
    <row r="18237" spans="2:11" ht="12.75">
      <c r="B18237" s="4"/>
      <c r="D18237" s="67"/>
      <c r="G18237" s="68"/>
      <c r="K18237" s="68"/>
    </row>
    <row r="18238" spans="2:11" ht="12.75">
      <c r="B18238" s="4"/>
      <c r="D18238" s="67"/>
      <c r="G18238" s="68"/>
      <c r="K18238" s="68"/>
    </row>
    <row r="18239" spans="2:11" ht="12.75">
      <c r="B18239" s="4"/>
      <c r="D18239" s="67"/>
      <c r="G18239" s="68"/>
      <c r="K18239" s="68"/>
    </row>
    <row r="18240" spans="2:11" ht="12.75">
      <c r="B18240" s="4"/>
      <c r="D18240" s="67"/>
      <c r="G18240" s="68"/>
      <c r="K18240" s="68"/>
    </row>
    <row r="18241" spans="2:11" ht="12.75">
      <c r="B18241" s="4"/>
      <c r="D18241" s="67"/>
      <c r="G18241" s="68"/>
      <c r="K18241" s="68"/>
    </row>
    <row r="18242" spans="2:11" ht="12.75">
      <c r="B18242" s="4"/>
      <c r="D18242" s="67"/>
      <c r="G18242" s="68"/>
      <c r="K18242" s="68"/>
    </row>
    <row r="18243" spans="2:11" ht="12.75">
      <c r="B18243" s="4"/>
      <c r="D18243" s="67"/>
      <c r="G18243" s="68"/>
      <c r="K18243" s="68"/>
    </row>
    <row r="18244" spans="2:11" ht="12.75">
      <c r="B18244" s="4"/>
      <c r="D18244" s="67"/>
      <c r="G18244" s="68"/>
      <c r="K18244" s="68"/>
    </row>
    <row r="18245" spans="2:11" ht="12.75">
      <c r="B18245" s="4"/>
      <c r="D18245" s="67"/>
      <c r="G18245" s="68"/>
      <c r="K18245" s="68"/>
    </row>
    <row r="18246" spans="2:11" ht="12.75">
      <c r="B18246" s="4"/>
      <c r="D18246" s="67"/>
      <c r="G18246" s="68"/>
      <c r="K18246" s="68"/>
    </row>
    <row r="18247" spans="2:11" ht="12.75">
      <c r="B18247" s="4"/>
      <c r="D18247" s="67"/>
      <c r="G18247" s="68"/>
      <c r="K18247" s="68"/>
    </row>
    <row r="18248" spans="2:11" ht="12.75">
      <c r="B18248" s="4"/>
      <c r="D18248" s="67"/>
      <c r="G18248" s="68"/>
      <c r="K18248" s="68"/>
    </row>
    <row r="18249" spans="2:11" ht="12.75">
      <c r="B18249" s="4"/>
      <c r="D18249" s="67"/>
      <c r="G18249" s="68"/>
      <c r="K18249" s="68"/>
    </row>
    <row r="18250" spans="2:11" ht="12.75">
      <c r="B18250" s="4"/>
      <c r="D18250" s="67"/>
      <c r="G18250" s="68"/>
      <c r="K18250" s="68"/>
    </row>
    <row r="18251" spans="2:11" ht="12.75">
      <c r="B18251" s="4"/>
      <c r="D18251" s="67"/>
      <c r="G18251" s="68"/>
      <c r="K18251" s="68"/>
    </row>
    <row r="18252" spans="2:11" ht="12.75">
      <c r="B18252" s="4"/>
      <c r="D18252" s="67"/>
      <c r="G18252" s="68"/>
      <c r="K18252" s="68"/>
    </row>
    <row r="18253" spans="2:11" ht="12.75">
      <c r="B18253" s="4"/>
      <c r="D18253" s="67"/>
      <c r="G18253" s="68"/>
      <c r="K18253" s="68"/>
    </row>
    <row r="18254" spans="2:11" ht="12.75">
      <c r="B18254" s="4"/>
      <c r="D18254" s="67"/>
      <c r="G18254" s="68"/>
      <c r="K18254" s="68"/>
    </row>
    <row r="18255" spans="2:11" ht="12.75">
      <c r="B18255" s="4"/>
      <c r="D18255" s="67"/>
      <c r="G18255" s="68"/>
      <c r="K18255" s="68"/>
    </row>
    <row r="18256" spans="2:11" ht="12.75">
      <c r="B18256" s="4"/>
      <c r="D18256" s="67"/>
      <c r="G18256" s="68"/>
      <c r="K18256" s="68"/>
    </row>
    <row r="18257" spans="2:11" ht="12.75">
      <c r="B18257" s="4"/>
      <c r="D18257" s="67"/>
      <c r="G18257" s="68"/>
      <c r="K18257" s="68"/>
    </row>
    <row r="18258" spans="2:11" ht="12.75">
      <c r="B18258" s="4"/>
      <c r="D18258" s="67"/>
      <c r="G18258" s="68"/>
      <c r="K18258" s="68"/>
    </row>
    <row r="18259" spans="2:11" ht="12.75">
      <c r="B18259" s="4"/>
      <c r="D18259" s="67"/>
      <c r="G18259" s="68"/>
      <c r="K18259" s="68"/>
    </row>
    <row r="18260" spans="2:11" ht="12.75">
      <c r="B18260" s="4"/>
      <c r="D18260" s="67"/>
      <c r="G18260" s="68"/>
      <c r="K18260" s="68"/>
    </row>
    <row r="18261" spans="2:11" ht="12.75">
      <c r="B18261" s="4"/>
      <c r="D18261" s="67"/>
      <c r="G18261" s="68"/>
      <c r="K18261" s="68"/>
    </row>
    <row r="18262" spans="2:11" ht="12.75">
      <c r="B18262" s="4"/>
      <c r="D18262" s="67"/>
      <c r="G18262" s="68"/>
      <c r="K18262" s="68"/>
    </row>
    <row r="18263" spans="2:11" ht="12.75">
      <c r="B18263" s="4"/>
      <c r="D18263" s="67"/>
      <c r="G18263" s="68"/>
      <c r="K18263" s="68"/>
    </row>
    <row r="18264" spans="2:11" ht="12.75">
      <c r="B18264" s="4"/>
      <c r="D18264" s="67"/>
      <c r="G18264" s="68"/>
      <c r="K18264" s="68"/>
    </row>
    <row r="18265" spans="2:11" ht="12.75">
      <c r="B18265" s="4"/>
      <c r="D18265" s="67"/>
      <c r="G18265" s="68"/>
      <c r="K18265" s="68"/>
    </row>
    <row r="18266" spans="2:11" ht="12.75">
      <c r="B18266" s="4"/>
      <c r="D18266" s="67"/>
      <c r="G18266" s="68"/>
      <c r="K18266" s="68"/>
    </row>
    <row r="18267" spans="2:11" ht="12.75">
      <c r="B18267" s="4"/>
      <c r="D18267" s="67"/>
      <c r="G18267" s="68"/>
      <c r="K18267" s="68"/>
    </row>
    <row r="18268" spans="2:11" ht="12.75">
      <c r="B18268" s="4"/>
      <c r="D18268" s="67"/>
      <c r="G18268" s="68"/>
      <c r="K18268" s="68"/>
    </row>
    <row r="18269" spans="2:11" ht="12.75">
      <c r="B18269" s="4"/>
      <c r="D18269" s="67"/>
      <c r="G18269" s="68"/>
      <c r="K18269" s="68"/>
    </row>
    <row r="18270" spans="2:11" ht="12.75">
      <c r="B18270" s="4"/>
      <c r="D18270" s="67"/>
      <c r="G18270" s="68"/>
      <c r="K18270" s="68"/>
    </row>
    <row r="18271" spans="2:11" ht="12.75">
      <c r="B18271" s="4"/>
      <c r="D18271" s="67"/>
      <c r="G18271" s="68"/>
      <c r="K18271" s="68"/>
    </row>
    <row r="18272" spans="2:11" ht="12.75">
      <c r="B18272" s="4"/>
      <c r="D18272" s="67"/>
      <c r="G18272" s="68"/>
      <c r="K18272" s="68"/>
    </row>
    <row r="18273" spans="2:11" ht="12.75">
      <c r="B18273" s="4"/>
      <c r="D18273" s="67"/>
      <c r="G18273" s="68"/>
      <c r="K18273" s="68"/>
    </row>
    <row r="18274" spans="2:11" ht="12.75">
      <c r="B18274" s="4"/>
      <c r="D18274" s="67"/>
      <c r="G18274" s="68"/>
      <c r="K18274" s="68"/>
    </row>
    <row r="18275" spans="2:11" ht="12.75">
      <c r="B18275" s="4"/>
      <c r="D18275" s="67"/>
      <c r="G18275" s="68"/>
      <c r="K18275" s="68"/>
    </row>
    <row r="18276" spans="2:11" ht="12.75">
      <c r="B18276" s="4"/>
      <c r="D18276" s="67"/>
      <c r="G18276" s="68"/>
      <c r="K18276" s="68"/>
    </row>
    <row r="18277" spans="2:11" ht="12.75">
      <c r="B18277" s="4"/>
      <c r="D18277" s="67"/>
      <c r="G18277" s="68"/>
      <c r="K18277" s="68"/>
    </row>
    <row r="18278" spans="2:11" ht="12.75">
      <c r="B18278" s="4"/>
      <c r="D18278" s="67"/>
      <c r="G18278" s="68"/>
      <c r="K18278" s="68"/>
    </row>
    <row r="18279" spans="2:11" ht="12.75">
      <c r="B18279" s="4"/>
      <c r="D18279" s="67"/>
      <c r="G18279" s="68"/>
      <c r="K18279" s="68"/>
    </row>
    <row r="18280" spans="2:11" ht="12.75">
      <c r="B18280" s="4"/>
      <c r="D18280" s="67"/>
      <c r="G18280" s="68"/>
      <c r="K18280" s="68"/>
    </row>
    <row r="18281" spans="2:11" ht="12.75">
      <c r="B18281" s="4"/>
      <c r="D18281" s="67"/>
      <c r="G18281" s="68"/>
      <c r="K18281" s="68"/>
    </row>
    <row r="18282" spans="2:11" ht="12.75">
      <c r="B18282" s="4"/>
      <c r="D18282" s="67"/>
      <c r="G18282" s="68"/>
      <c r="K18282" s="68"/>
    </row>
    <row r="18283" spans="2:11" ht="12.75">
      <c r="B18283" s="4"/>
      <c r="D18283" s="67"/>
      <c r="G18283" s="68"/>
      <c r="K18283" s="68"/>
    </row>
    <row r="18284" spans="2:11" ht="12.75">
      <c r="B18284" s="4"/>
      <c r="D18284" s="67"/>
      <c r="G18284" s="68"/>
      <c r="K18284" s="68"/>
    </row>
    <row r="18285" spans="2:11" ht="12.75">
      <c r="B18285" s="4"/>
      <c r="D18285" s="67"/>
      <c r="G18285" s="68"/>
      <c r="K18285" s="68"/>
    </row>
    <row r="18286" spans="2:11" ht="12.75">
      <c r="B18286" s="4"/>
      <c r="D18286" s="67"/>
      <c r="G18286" s="68"/>
      <c r="K18286" s="68"/>
    </row>
    <row r="18287" spans="2:11" ht="12.75">
      <c r="B18287" s="4"/>
      <c r="D18287" s="67"/>
      <c r="G18287" s="68"/>
      <c r="K18287" s="68"/>
    </row>
    <row r="18288" spans="2:11" ht="12.75">
      <c r="B18288" s="4"/>
      <c r="D18288" s="67"/>
      <c r="G18288" s="68"/>
      <c r="K18288" s="68"/>
    </row>
    <row r="18289" spans="2:11" ht="12.75">
      <c r="B18289" s="4"/>
      <c r="D18289" s="67"/>
      <c r="G18289" s="68"/>
      <c r="K18289" s="68"/>
    </row>
    <row r="18290" spans="2:11" ht="12.75">
      <c r="B18290" s="4"/>
      <c r="D18290" s="67"/>
      <c r="G18290" s="68"/>
      <c r="K18290" s="68"/>
    </row>
    <row r="18291" spans="2:11" ht="12.75">
      <c r="B18291" s="4"/>
      <c r="D18291" s="67"/>
      <c r="G18291" s="68"/>
      <c r="K18291" s="68"/>
    </row>
    <row r="18292" spans="2:11" ht="12.75">
      <c r="B18292" s="4"/>
      <c r="D18292" s="67"/>
      <c r="G18292" s="68"/>
      <c r="K18292" s="68"/>
    </row>
    <row r="18293" spans="2:11" ht="12.75">
      <c r="B18293" s="4"/>
      <c r="D18293" s="67"/>
      <c r="G18293" s="68"/>
      <c r="K18293" s="68"/>
    </row>
    <row r="18294" spans="2:11" ht="12.75">
      <c r="B18294" s="4"/>
      <c r="D18294" s="67"/>
      <c r="G18294" s="68"/>
      <c r="K18294" s="68"/>
    </row>
    <row r="18295" spans="2:11" ht="12.75">
      <c r="B18295" s="4"/>
      <c r="D18295" s="67"/>
      <c r="G18295" s="68"/>
      <c r="K18295" s="68"/>
    </row>
    <row r="18296" spans="2:11" ht="12.75">
      <c r="B18296" s="4"/>
      <c r="D18296" s="67"/>
      <c r="G18296" s="68"/>
      <c r="K18296" s="68"/>
    </row>
    <row r="18297" spans="2:11" ht="12.75">
      <c r="B18297" s="4"/>
      <c r="D18297" s="67"/>
      <c r="G18297" s="68"/>
      <c r="K18297" s="68"/>
    </row>
    <row r="18298" spans="2:11" ht="12.75">
      <c r="B18298" s="4"/>
      <c r="D18298" s="67"/>
      <c r="G18298" s="68"/>
      <c r="K18298" s="68"/>
    </row>
    <row r="18299" spans="2:11" ht="12.75">
      <c r="B18299" s="4"/>
      <c r="D18299" s="67"/>
      <c r="G18299" s="68"/>
      <c r="K18299" s="68"/>
    </row>
    <row r="18300" spans="2:11" ht="12.75">
      <c r="B18300" s="4"/>
      <c r="D18300" s="67"/>
      <c r="G18300" s="68"/>
      <c r="K18300" s="68"/>
    </row>
    <row r="18301" spans="2:11" ht="12.75">
      <c r="B18301" s="4"/>
      <c r="D18301" s="67"/>
      <c r="G18301" s="68"/>
      <c r="K18301" s="68"/>
    </row>
    <row r="18302" spans="2:11" ht="12.75">
      <c r="B18302" s="4"/>
      <c r="D18302" s="67"/>
      <c r="G18302" s="68"/>
      <c r="K18302" s="68"/>
    </row>
    <row r="18303" spans="2:11" ht="12.75">
      <c r="B18303" s="4"/>
      <c r="D18303" s="67"/>
      <c r="G18303" s="68"/>
      <c r="K18303" s="68"/>
    </row>
    <row r="18304" spans="2:11" ht="12.75">
      <c r="B18304" s="4"/>
      <c r="D18304" s="67"/>
      <c r="G18304" s="68"/>
      <c r="K18304" s="68"/>
    </row>
    <row r="18305" spans="2:11" ht="12.75">
      <c r="B18305" s="4"/>
      <c r="D18305" s="67"/>
      <c r="G18305" s="68"/>
      <c r="K18305" s="68"/>
    </row>
    <row r="18306" spans="2:11" ht="12.75">
      <c r="B18306" s="4"/>
      <c r="D18306" s="67"/>
      <c r="G18306" s="68"/>
      <c r="K18306" s="68"/>
    </row>
    <row r="18307" spans="2:11" ht="12.75">
      <c r="B18307" s="4"/>
      <c r="D18307" s="67"/>
      <c r="G18307" s="68"/>
      <c r="K18307" s="68"/>
    </row>
    <row r="18308" spans="2:11" ht="12.75">
      <c r="B18308" s="4"/>
      <c r="D18308" s="67"/>
      <c r="G18308" s="68"/>
      <c r="K18308" s="68"/>
    </row>
    <row r="18309" spans="2:11" ht="12.75">
      <c r="B18309" s="4"/>
      <c r="D18309" s="67"/>
      <c r="G18309" s="68"/>
      <c r="K18309" s="68"/>
    </row>
    <row r="18310" spans="2:11" ht="12.75">
      <c r="B18310" s="4"/>
      <c r="D18310" s="67"/>
      <c r="G18310" s="68"/>
      <c r="K18310" s="68"/>
    </row>
    <row r="18311" spans="2:11" ht="12.75">
      <c r="B18311" s="4"/>
      <c r="D18311" s="67"/>
      <c r="G18311" s="68"/>
      <c r="K18311" s="68"/>
    </row>
    <row r="18312" spans="2:11" ht="12.75">
      <c r="B18312" s="4"/>
      <c r="D18312" s="67"/>
      <c r="G18312" s="68"/>
      <c r="K18312" s="68"/>
    </row>
    <row r="18313" spans="2:11" ht="12.75">
      <c r="B18313" s="4"/>
      <c r="D18313" s="67"/>
      <c r="G18313" s="68"/>
      <c r="K18313" s="68"/>
    </row>
    <row r="18314" spans="2:11" ht="12.75">
      <c r="B18314" s="4"/>
      <c r="D18314" s="67"/>
      <c r="G18314" s="68"/>
      <c r="K18314" s="68"/>
    </row>
    <row r="18315" spans="2:11" ht="12.75">
      <c r="B18315" s="4"/>
      <c r="D18315" s="67"/>
      <c r="G18315" s="68"/>
      <c r="K18315" s="68"/>
    </row>
    <row r="18316" spans="2:11" ht="12.75">
      <c r="B18316" s="4"/>
      <c r="D18316" s="67"/>
      <c r="G18316" s="68"/>
      <c r="K18316" s="68"/>
    </row>
    <row r="18317" spans="2:11" ht="12.75">
      <c r="B18317" s="4"/>
      <c r="D18317" s="67"/>
      <c r="G18317" s="68"/>
      <c r="K18317" s="68"/>
    </row>
    <row r="18318" spans="2:11" ht="12.75">
      <c r="B18318" s="4"/>
      <c r="D18318" s="67"/>
      <c r="G18318" s="68"/>
      <c r="K18318" s="68"/>
    </row>
    <row r="18319" spans="2:11" ht="12.75">
      <c r="B18319" s="4"/>
      <c r="D18319" s="67"/>
      <c r="G18319" s="68"/>
      <c r="K18319" s="68"/>
    </row>
    <row r="18320" spans="2:11" ht="12.75">
      <c r="B18320" s="4"/>
      <c r="D18320" s="67"/>
      <c r="G18320" s="68"/>
      <c r="K18320" s="68"/>
    </row>
    <row r="18321" spans="2:11" ht="12.75">
      <c r="B18321" s="4"/>
      <c r="D18321" s="67"/>
      <c r="G18321" s="68"/>
      <c r="K18321" s="68"/>
    </row>
    <row r="18322" spans="2:11" ht="12.75">
      <c r="B18322" s="4"/>
      <c r="D18322" s="67"/>
      <c r="G18322" s="68"/>
      <c r="K18322" s="68"/>
    </row>
    <row r="18323" spans="2:11" ht="12.75">
      <c r="B18323" s="4"/>
      <c r="D18323" s="67"/>
      <c r="G18323" s="68"/>
      <c r="K18323" s="68"/>
    </row>
    <row r="18324" spans="2:11" ht="12.75">
      <c r="B18324" s="4"/>
      <c r="D18324" s="67"/>
      <c r="G18324" s="68"/>
      <c r="K18324" s="68"/>
    </row>
    <row r="18325" spans="2:11" ht="12.75">
      <c r="B18325" s="4"/>
      <c r="D18325" s="67"/>
      <c r="G18325" s="68"/>
      <c r="K18325" s="68"/>
    </row>
    <row r="18326" spans="2:11" ht="12.75">
      <c r="B18326" s="4"/>
      <c r="D18326" s="67"/>
      <c r="G18326" s="68"/>
      <c r="K18326" s="68"/>
    </row>
    <row r="18327" spans="2:11" ht="12.75">
      <c r="B18327" s="4"/>
      <c r="D18327" s="67"/>
      <c r="G18327" s="68"/>
      <c r="K18327" s="68"/>
    </row>
    <row r="18328" spans="2:11" ht="12.75">
      <c r="B18328" s="4"/>
      <c r="D18328" s="67"/>
      <c r="G18328" s="68"/>
      <c r="K18328" s="68"/>
    </row>
    <row r="18329" spans="2:11" ht="12.75">
      <c r="B18329" s="4"/>
      <c r="D18329" s="67"/>
      <c r="G18329" s="68"/>
      <c r="K18329" s="68"/>
    </row>
    <row r="18330" spans="2:11" ht="12.75">
      <c r="B18330" s="4"/>
      <c r="D18330" s="67"/>
      <c r="G18330" s="68"/>
      <c r="K18330" s="68"/>
    </row>
    <row r="18331" spans="2:11" ht="12.75">
      <c r="B18331" s="4"/>
      <c r="D18331" s="67"/>
      <c r="G18331" s="68"/>
      <c r="K18331" s="68"/>
    </row>
    <row r="18332" spans="2:11" ht="12.75">
      <c r="B18332" s="4"/>
      <c r="D18332" s="67"/>
      <c r="G18332" s="68"/>
      <c r="K18332" s="68"/>
    </row>
    <row r="18333" spans="2:11" ht="12.75">
      <c r="B18333" s="4"/>
      <c r="D18333" s="67"/>
      <c r="G18333" s="68"/>
      <c r="K18333" s="68"/>
    </row>
    <row r="18334" spans="2:11" ht="12.75">
      <c r="B18334" s="4"/>
      <c r="D18334" s="67"/>
      <c r="G18334" s="68"/>
      <c r="K18334" s="68"/>
    </row>
    <row r="18335" spans="2:11" ht="12.75">
      <c r="B18335" s="4"/>
      <c r="D18335" s="67"/>
      <c r="G18335" s="68"/>
      <c r="K18335" s="68"/>
    </row>
    <row r="18336" spans="2:11" ht="12.75">
      <c r="B18336" s="4"/>
      <c r="D18336" s="67"/>
      <c r="G18336" s="68"/>
      <c r="K18336" s="68"/>
    </row>
    <row r="18337" spans="2:11" ht="12.75">
      <c r="B18337" s="4"/>
      <c r="D18337" s="67"/>
      <c r="G18337" s="68"/>
      <c r="K18337" s="68"/>
    </row>
    <row r="18338" spans="2:11" ht="12.75">
      <c r="B18338" s="4"/>
      <c r="D18338" s="67"/>
      <c r="G18338" s="68"/>
      <c r="K18338" s="68"/>
    </row>
    <row r="18339" spans="2:11" ht="12.75">
      <c r="B18339" s="4"/>
      <c r="D18339" s="67"/>
      <c r="G18339" s="68"/>
      <c r="K18339" s="68"/>
    </row>
    <row r="18340" spans="2:11" ht="12.75">
      <c r="B18340" s="4"/>
      <c r="D18340" s="67"/>
      <c r="G18340" s="68"/>
      <c r="K18340" s="68"/>
    </row>
    <row r="18341" spans="2:11" ht="12.75">
      <c r="B18341" s="4"/>
      <c r="D18341" s="67"/>
      <c r="G18341" s="68"/>
      <c r="K18341" s="68"/>
    </row>
    <row r="18342" spans="2:11" ht="12.75">
      <c r="B18342" s="4"/>
      <c r="D18342" s="67"/>
      <c r="G18342" s="68"/>
      <c r="K18342" s="68"/>
    </row>
    <row r="18343" spans="2:11" ht="12.75">
      <c r="B18343" s="4"/>
      <c r="D18343" s="67"/>
      <c r="G18343" s="68"/>
      <c r="K18343" s="68"/>
    </row>
    <row r="18344" spans="2:11" ht="12.75">
      <c r="B18344" s="4"/>
      <c r="D18344" s="67"/>
      <c r="G18344" s="68"/>
      <c r="K18344" s="68"/>
    </row>
    <row r="18345" spans="2:11" ht="12.75">
      <c r="B18345" s="4"/>
      <c r="D18345" s="67"/>
      <c r="G18345" s="68"/>
      <c r="K18345" s="68"/>
    </row>
    <row r="18346" spans="2:11" ht="12.75">
      <c r="B18346" s="4"/>
      <c r="D18346" s="67"/>
      <c r="G18346" s="68"/>
      <c r="K18346" s="68"/>
    </row>
    <row r="18347" spans="2:11" ht="12.75">
      <c r="B18347" s="4"/>
      <c r="D18347" s="67"/>
      <c r="G18347" s="68"/>
      <c r="K18347" s="68"/>
    </row>
    <row r="18348" spans="2:11" ht="12.75">
      <c r="B18348" s="4"/>
      <c r="D18348" s="67"/>
      <c r="G18348" s="68"/>
      <c r="K18348" s="68"/>
    </row>
    <row r="18349" spans="2:11" ht="12.75">
      <c r="B18349" s="4"/>
      <c r="D18349" s="67"/>
      <c r="G18349" s="68"/>
      <c r="K18349" s="68"/>
    </row>
    <row r="18350" spans="2:11" ht="12.75">
      <c r="B18350" s="4"/>
      <c r="D18350" s="67"/>
      <c r="G18350" s="68"/>
      <c r="K18350" s="68"/>
    </row>
    <row r="18351" spans="2:11" ht="12.75">
      <c r="B18351" s="4"/>
      <c r="D18351" s="67"/>
      <c r="G18351" s="68"/>
      <c r="K18351" s="68"/>
    </row>
    <row r="18352" spans="2:11" ht="12.75">
      <c r="B18352" s="4"/>
      <c r="D18352" s="67"/>
      <c r="G18352" s="68"/>
      <c r="K18352" s="68"/>
    </row>
    <row r="18353" spans="2:11" ht="12.75">
      <c r="B18353" s="4"/>
      <c r="D18353" s="67"/>
      <c r="G18353" s="68"/>
      <c r="K18353" s="68"/>
    </row>
    <row r="18354" spans="2:11" ht="12.75">
      <c r="B18354" s="4"/>
      <c r="D18354" s="67"/>
      <c r="G18354" s="68"/>
      <c r="K18354" s="68"/>
    </row>
    <row r="18355" spans="2:11" ht="12.75">
      <c r="B18355" s="4"/>
      <c r="D18355" s="67"/>
      <c r="G18355" s="68"/>
      <c r="K18355" s="68"/>
    </row>
    <row r="18356" spans="2:11" ht="12.75">
      <c r="B18356" s="4"/>
      <c r="D18356" s="67"/>
      <c r="G18356" s="68"/>
      <c r="K18356" s="68"/>
    </row>
    <row r="18357" spans="2:11" ht="12.75">
      <c r="B18357" s="4"/>
      <c r="D18357" s="67"/>
      <c r="G18357" s="68"/>
      <c r="K18357" s="68"/>
    </row>
    <row r="18358" spans="2:11" ht="12.75">
      <c r="B18358" s="4"/>
      <c r="D18358" s="67"/>
      <c r="G18358" s="68"/>
      <c r="K18358" s="68"/>
    </row>
    <row r="18359" spans="2:11" ht="12.75">
      <c r="B18359" s="4"/>
      <c r="D18359" s="67"/>
      <c r="G18359" s="68"/>
      <c r="K18359" s="68"/>
    </row>
    <row r="18360" spans="2:11" ht="12.75">
      <c r="B18360" s="4"/>
      <c r="D18360" s="67"/>
      <c r="G18360" s="68"/>
      <c r="K18360" s="68"/>
    </row>
    <row r="18361" spans="2:11" ht="12.75">
      <c r="B18361" s="4"/>
      <c r="D18361" s="67"/>
      <c r="G18361" s="68"/>
      <c r="K18361" s="68"/>
    </row>
    <row r="18362" spans="2:11" ht="12.75">
      <c r="B18362" s="4"/>
      <c r="D18362" s="67"/>
      <c r="G18362" s="68"/>
      <c r="K18362" s="68"/>
    </row>
    <row r="18363" spans="2:11" ht="12.75">
      <c r="B18363" s="4"/>
      <c r="D18363" s="67"/>
      <c r="G18363" s="68"/>
      <c r="K18363" s="68"/>
    </row>
    <row r="18364" spans="2:11" ht="12.75">
      <c r="B18364" s="4"/>
      <c r="D18364" s="67"/>
      <c r="G18364" s="68"/>
      <c r="K18364" s="68"/>
    </row>
    <row r="18365" spans="2:11" ht="12.75">
      <c r="B18365" s="4"/>
      <c r="D18365" s="67"/>
      <c r="G18365" s="68"/>
      <c r="K18365" s="68"/>
    </row>
    <row r="18366" spans="2:11" ht="12.75">
      <c r="B18366" s="4"/>
      <c r="D18366" s="67"/>
      <c r="G18366" s="68"/>
      <c r="K18366" s="68"/>
    </row>
    <row r="18367" spans="2:11" ht="12.75">
      <c r="B18367" s="4"/>
      <c r="D18367" s="67"/>
      <c r="G18367" s="68"/>
      <c r="K18367" s="68"/>
    </row>
    <row r="18368" spans="2:11" ht="12.75">
      <c r="B18368" s="4"/>
      <c r="D18368" s="67"/>
      <c r="G18368" s="68"/>
      <c r="K18368" s="68"/>
    </row>
    <row r="18369" spans="2:11" ht="12.75">
      <c r="B18369" s="4"/>
      <c r="D18369" s="67"/>
      <c r="G18369" s="68"/>
      <c r="K18369" s="68"/>
    </row>
    <row r="18370" spans="2:11" ht="12.75">
      <c r="B18370" s="4"/>
      <c r="D18370" s="67"/>
      <c r="G18370" s="68"/>
      <c r="K18370" s="68"/>
    </row>
    <row r="18371" spans="2:11" ht="12.75">
      <c r="B18371" s="4"/>
      <c r="D18371" s="67"/>
      <c r="G18371" s="68"/>
      <c r="K18371" s="68"/>
    </row>
    <row r="18372" spans="2:11" ht="12.75">
      <c r="B18372" s="4"/>
      <c r="D18372" s="67"/>
      <c r="G18372" s="68"/>
      <c r="K18372" s="68"/>
    </row>
    <row r="18373" spans="2:11" ht="12.75">
      <c r="B18373" s="4"/>
      <c r="D18373" s="67"/>
      <c r="G18373" s="68"/>
      <c r="K18373" s="68"/>
    </row>
    <row r="18374" spans="2:11" ht="12.75">
      <c r="B18374" s="4"/>
      <c r="D18374" s="67"/>
      <c r="G18374" s="68"/>
      <c r="K18374" s="68"/>
    </row>
    <row r="18375" spans="2:11" ht="12.75">
      <c r="B18375" s="4"/>
      <c r="D18375" s="67"/>
      <c r="G18375" s="68"/>
      <c r="K18375" s="68"/>
    </row>
    <row r="18376" spans="2:11" ht="12.75">
      <c r="B18376" s="4"/>
      <c r="D18376" s="67"/>
      <c r="G18376" s="68"/>
      <c r="K18376" s="68"/>
    </row>
    <row r="18377" spans="2:11" ht="12.75">
      <c r="B18377" s="4"/>
      <c r="D18377" s="67"/>
      <c r="G18377" s="68"/>
      <c r="K18377" s="68"/>
    </row>
    <row r="18378" spans="2:11" ht="12.75">
      <c r="B18378" s="4"/>
      <c r="D18378" s="67"/>
      <c r="G18378" s="68"/>
      <c r="K18378" s="68"/>
    </row>
    <row r="18379" spans="2:11" ht="12.75">
      <c r="B18379" s="4"/>
      <c r="D18379" s="67"/>
      <c r="G18379" s="68"/>
      <c r="K18379" s="68"/>
    </row>
    <row r="18380" spans="2:11" ht="12.75">
      <c r="B18380" s="4"/>
      <c r="D18380" s="67"/>
      <c r="G18380" s="68"/>
      <c r="K18380" s="68"/>
    </row>
    <row r="18381" spans="2:11" ht="12.75">
      <c r="B18381" s="4"/>
      <c r="D18381" s="67"/>
      <c r="G18381" s="68"/>
      <c r="K18381" s="68"/>
    </row>
    <row r="18382" spans="2:11" ht="12.75">
      <c r="B18382" s="4"/>
      <c r="D18382" s="67"/>
      <c r="G18382" s="68"/>
      <c r="K18382" s="68"/>
    </row>
    <row r="18383" spans="2:11" ht="12.75">
      <c r="B18383" s="4"/>
      <c r="D18383" s="67"/>
      <c r="G18383" s="68"/>
      <c r="K18383" s="68"/>
    </row>
    <row r="18384" spans="2:11" ht="12.75">
      <c r="B18384" s="4"/>
      <c r="D18384" s="67"/>
      <c r="G18384" s="68"/>
      <c r="K18384" s="68"/>
    </row>
    <row r="18385" spans="2:11" ht="12.75">
      <c r="B18385" s="4"/>
      <c r="D18385" s="67"/>
      <c r="G18385" s="68"/>
      <c r="K18385" s="68"/>
    </row>
    <row r="18386" spans="2:11" ht="12.75">
      <c r="B18386" s="4"/>
      <c r="D18386" s="67"/>
      <c r="G18386" s="68"/>
      <c r="K18386" s="68"/>
    </row>
    <row r="18387" spans="2:11" ht="12.75">
      <c r="B18387" s="4"/>
      <c r="D18387" s="67"/>
      <c r="G18387" s="68"/>
      <c r="K18387" s="68"/>
    </row>
    <row r="18388" spans="2:11" ht="12.75">
      <c r="B18388" s="4"/>
      <c r="D18388" s="67"/>
      <c r="G18388" s="68"/>
      <c r="K18388" s="68"/>
    </row>
    <row r="18389" spans="2:11" ht="12.75">
      <c r="B18389" s="4"/>
      <c r="D18389" s="67"/>
      <c r="G18389" s="68"/>
      <c r="K18389" s="68"/>
    </row>
    <row r="18390" spans="2:11" ht="12.75">
      <c r="B18390" s="4"/>
      <c r="D18390" s="67"/>
      <c r="G18390" s="68"/>
      <c r="K18390" s="68"/>
    </row>
    <row r="18391" spans="2:11" ht="12.75">
      <c r="B18391" s="4"/>
      <c r="D18391" s="67"/>
      <c r="G18391" s="68"/>
      <c r="K18391" s="68"/>
    </row>
    <row r="18392" spans="2:11" ht="12.75">
      <c r="B18392" s="4"/>
      <c r="D18392" s="67"/>
      <c r="G18392" s="68"/>
      <c r="K18392" s="68"/>
    </row>
    <row r="18393" spans="2:11" ht="12.75">
      <c r="B18393" s="4"/>
      <c r="D18393" s="67"/>
      <c r="G18393" s="68"/>
      <c r="K18393" s="68"/>
    </row>
    <row r="18394" spans="2:11" ht="12.75">
      <c r="B18394" s="4"/>
      <c r="D18394" s="67"/>
      <c r="G18394" s="68"/>
      <c r="K18394" s="68"/>
    </row>
    <row r="18395" spans="2:11" ht="12.75">
      <c r="B18395" s="4"/>
      <c r="D18395" s="67"/>
      <c r="G18395" s="68"/>
      <c r="K18395" s="68"/>
    </row>
    <row r="18396" spans="2:11" ht="12.75">
      <c r="B18396" s="4"/>
      <c r="D18396" s="67"/>
      <c r="G18396" s="68"/>
      <c r="K18396" s="68"/>
    </row>
    <row r="18397" spans="2:11" ht="12.75">
      <c r="B18397" s="4"/>
      <c r="D18397" s="67"/>
      <c r="G18397" s="68"/>
      <c r="K18397" s="68"/>
    </row>
    <row r="18398" spans="2:11" ht="12.75">
      <c r="B18398" s="4"/>
      <c r="D18398" s="67"/>
      <c r="G18398" s="68"/>
      <c r="K18398" s="68"/>
    </row>
    <row r="18399" spans="2:11" ht="12.75">
      <c r="B18399" s="4"/>
      <c r="D18399" s="67"/>
      <c r="G18399" s="68"/>
      <c r="K18399" s="68"/>
    </row>
    <row r="18400" spans="2:11" ht="12.75">
      <c r="B18400" s="4"/>
      <c r="D18400" s="67"/>
      <c r="G18400" s="68"/>
      <c r="K18400" s="68"/>
    </row>
    <row r="18401" spans="2:11" ht="12.75">
      <c r="B18401" s="4"/>
      <c r="D18401" s="67"/>
      <c r="G18401" s="68"/>
      <c r="K18401" s="68"/>
    </row>
    <row r="18402" spans="2:11" ht="12.75">
      <c r="B18402" s="4"/>
      <c r="D18402" s="67"/>
      <c r="G18402" s="68"/>
      <c r="K18402" s="68"/>
    </row>
    <row r="18403" spans="2:11" ht="12.75">
      <c r="B18403" s="4"/>
      <c r="D18403" s="67"/>
      <c r="G18403" s="68"/>
      <c r="K18403" s="68"/>
    </row>
    <row r="18404" spans="2:11" ht="12.75">
      <c r="B18404" s="4"/>
      <c r="D18404" s="67"/>
      <c r="G18404" s="68"/>
      <c r="K18404" s="68"/>
    </row>
    <row r="18405" spans="2:11" ht="12.75">
      <c r="B18405" s="4"/>
      <c r="D18405" s="67"/>
      <c r="G18405" s="68"/>
      <c r="K18405" s="68"/>
    </row>
    <row r="18406" spans="2:11" ht="12.75">
      <c r="B18406" s="4"/>
      <c r="D18406" s="67"/>
      <c r="G18406" s="68"/>
      <c r="K18406" s="68"/>
    </row>
    <row r="18407" spans="2:11" ht="12.75">
      <c r="B18407" s="4"/>
      <c r="D18407" s="67"/>
      <c r="G18407" s="68"/>
      <c r="K18407" s="68"/>
    </row>
    <row r="18408" spans="2:11" ht="12.75">
      <c r="B18408" s="4"/>
      <c r="D18408" s="67"/>
      <c r="G18408" s="68"/>
      <c r="K18408" s="68"/>
    </row>
    <row r="18409" spans="2:11" ht="12.75">
      <c r="B18409" s="4"/>
      <c r="D18409" s="67"/>
      <c r="G18409" s="68"/>
      <c r="K18409" s="68"/>
    </row>
    <row r="18410" spans="2:11" ht="12.75">
      <c r="B18410" s="4"/>
      <c r="D18410" s="67"/>
      <c r="G18410" s="68"/>
      <c r="K18410" s="68"/>
    </row>
    <row r="18411" spans="2:11" ht="12.75">
      <c r="B18411" s="4"/>
      <c r="D18411" s="67"/>
      <c r="G18411" s="68"/>
      <c r="K18411" s="68"/>
    </row>
    <row r="18412" spans="2:11" ht="12.75">
      <c r="B18412" s="4"/>
      <c r="D18412" s="67"/>
      <c r="G18412" s="68"/>
      <c r="K18412" s="68"/>
    </row>
    <row r="18413" spans="2:11" ht="12.75">
      <c r="B18413" s="4"/>
      <c r="D18413" s="67"/>
      <c r="G18413" s="68"/>
      <c r="K18413" s="68"/>
    </row>
    <row r="18414" spans="2:11" ht="12.75">
      <c r="B18414" s="4"/>
      <c r="D18414" s="67"/>
      <c r="G18414" s="68"/>
      <c r="K18414" s="68"/>
    </row>
    <row r="18415" spans="2:11" ht="12.75">
      <c r="B18415" s="4"/>
      <c r="D18415" s="67"/>
      <c r="G18415" s="68"/>
      <c r="K18415" s="68"/>
    </row>
    <row r="18416" spans="2:11" ht="12.75">
      <c r="B18416" s="4"/>
      <c r="D18416" s="67"/>
      <c r="G18416" s="68"/>
      <c r="K18416" s="68"/>
    </row>
    <row r="18417" spans="2:11" ht="12.75">
      <c r="B18417" s="4"/>
      <c r="D18417" s="67"/>
      <c r="G18417" s="68"/>
      <c r="K18417" s="68"/>
    </row>
    <row r="18418" spans="2:11" ht="12.75">
      <c r="B18418" s="4"/>
      <c r="D18418" s="67"/>
      <c r="G18418" s="68"/>
      <c r="K18418" s="68"/>
    </row>
    <row r="18419" spans="2:11" ht="12.75">
      <c r="B18419" s="4"/>
      <c r="D18419" s="67"/>
      <c r="G18419" s="68"/>
      <c r="K18419" s="68"/>
    </row>
    <row r="18420" spans="2:11" ht="12.75">
      <c r="B18420" s="4"/>
      <c r="D18420" s="67"/>
      <c r="G18420" s="68"/>
      <c r="K18420" s="68"/>
    </row>
    <row r="18421" spans="2:11" ht="12.75">
      <c r="B18421" s="4"/>
      <c r="D18421" s="67"/>
      <c r="G18421" s="68"/>
      <c r="K18421" s="68"/>
    </row>
    <row r="18422" spans="2:11" ht="12.75">
      <c r="B18422" s="4"/>
      <c r="D18422" s="67"/>
      <c r="G18422" s="68"/>
      <c r="K18422" s="68"/>
    </row>
    <row r="18423" spans="2:11" ht="12.75">
      <c r="B18423" s="4"/>
      <c r="D18423" s="67"/>
      <c r="G18423" s="68"/>
      <c r="K18423" s="68"/>
    </row>
    <row r="18424" spans="2:11" ht="12.75">
      <c r="B18424" s="4"/>
      <c r="D18424" s="67"/>
      <c r="G18424" s="68"/>
      <c r="K18424" s="68"/>
    </row>
    <row r="18425" spans="2:11" ht="12.75">
      <c r="B18425" s="4"/>
      <c r="D18425" s="67"/>
      <c r="G18425" s="68"/>
      <c r="K18425" s="68"/>
    </row>
    <row r="18426" spans="2:11" ht="12.75">
      <c r="B18426" s="4"/>
      <c r="D18426" s="67"/>
      <c r="G18426" s="68"/>
      <c r="K18426" s="68"/>
    </row>
    <row r="18427" spans="2:11" ht="12.75">
      <c r="B18427" s="4"/>
      <c r="D18427" s="67"/>
      <c r="G18427" s="68"/>
      <c r="K18427" s="68"/>
    </row>
    <row r="18428" spans="2:11" ht="12.75">
      <c r="B18428" s="4"/>
      <c r="D18428" s="67"/>
      <c r="G18428" s="68"/>
      <c r="K18428" s="68"/>
    </row>
    <row r="18429" spans="2:11" ht="12.75">
      <c r="B18429" s="4"/>
      <c r="D18429" s="67"/>
      <c r="G18429" s="68"/>
      <c r="K18429" s="68"/>
    </row>
    <row r="18430" spans="2:11" ht="12.75">
      <c r="B18430" s="4"/>
      <c r="D18430" s="67"/>
      <c r="G18430" s="68"/>
      <c r="K18430" s="68"/>
    </row>
    <row r="18431" spans="2:11" ht="12.75">
      <c r="B18431" s="4"/>
      <c r="D18431" s="67"/>
      <c r="G18431" s="68"/>
      <c r="K18431" s="68"/>
    </row>
    <row r="18432" spans="2:11" ht="12.75">
      <c r="B18432" s="4"/>
      <c r="D18432" s="67"/>
      <c r="G18432" s="68"/>
      <c r="K18432" s="68"/>
    </row>
    <row r="18433" spans="2:11" ht="12.75">
      <c r="B18433" s="4"/>
      <c r="D18433" s="67"/>
      <c r="G18433" s="68"/>
      <c r="K18433" s="68"/>
    </row>
    <row r="18434" spans="2:11" ht="12.75">
      <c r="B18434" s="4"/>
      <c r="D18434" s="67"/>
      <c r="G18434" s="68"/>
      <c r="K18434" s="68"/>
    </row>
    <row r="18435" spans="2:11" ht="12.75">
      <c r="B18435" s="4"/>
      <c r="D18435" s="67"/>
      <c r="G18435" s="68"/>
      <c r="K18435" s="68"/>
    </row>
    <row r="18436" spans="2:11" ht="12.75">
      <c r="B18436" s="4"/>
      <c r="D18436" s="67"/>
      <c r="G18436" s="68"/>
      <c r="K18436" s="68"/>
    </row>
    <row r="18437" spans="2:11" ht="12.75">
      <c r="B18437" s="4"/>
      <c r="D18437" s="67"/>
      <c r="G18437" s="68"/>
      <c r="K18437" s="68"/>
    </row>
    <row r="18438" spans="2:11" ht="12.75">
      <c r="B18438" s="4"/>
      <c r="D18438" s="67"/>
      <c r="G18438" s="68"/>
      <c r="K18438" s="68"/>
    </row>
    <row r="18439" spans="2:11" ht="12.75">
      <c r="B18439" s="4"/>
      <c r="D18439" s="67"/>
      <c r="G18439" s="68"/>
      <c r="K18439" s="68"/>
    </row>
    <row r="18440" spans="2:11" ht="12.75">
      <c r="B18440" s="4"/>
      <c r="D18440" s="67"/>
      <c r="G18440" s="68"/>
      <c r="K18440" s="68"/>
    </row>
    <row r="18441" spans="2:11" ht="12.75">
      <c r="B18441" s="4"/>
      <c r="D18441" s="67"/>
      <c r="G18441" s="68"/>
      <c r="K18441" s="68"/>
    </row>
    <row r="18442" spans="2:11" ht="12.75">
      <c r="B18442" s="4"/>
      <c r="D18442" s="67"/>
      <c r="G18442" s="68"/>
      <c r="K18442" s="68"/>
    </row>
    <row r="18443" spans="2:11" ht="12.75">
      <c r="B18443" s="4"/>
      <c r="D18443" s="67"/>
      <c r="G18443" s="68"/>
      <c r="K18443" s="68"/>
    </row>
    <row r="18444" spans="2:11" ht="12.75">
      <c r="B18444" s="4"/>
      <c r="D18444" s="67"/>
      <c r="G18444" s="68"/>
      <c r="K18444" s="68"/>
    </row>
    <row r="18445" spans="2:11" ht="12.75">
      <c r="B18445" s="4"/>
      <c r="D18445" s="67"/>
      <c r="G18445" s="68"/>
      <c r="K18445" s="68"/>
    </row>
    <row r="18446" spans="2:11" ht="12.75">
      <c r="B18446" s="4"/>
      <c r="D18446" s="67"/>
      <c r="G18446" s="68"/>
      <c r="K18446" s="68"/>
    </row>
    <row r="18447" spans="2:11" ht="12.75">
      <c r="B18447" s="4"/>
      <c r="D18447" s="67"/>
      <c r="G18447" s="68"/>
      <c r="K18447" s="68"/>
    </row>
    <row r="18448" spans="2:11" ht="12.75">
      <c r="B18448" s="4"/>
      <c r="D18448" s="67"/>
      <c r="G18448" s="68"/>
      <c r="K18448" s="68"/>
    </row>
    <row r="18449" spans="2:11" ht="12.75">
      <c r="B18449" s="4"/>
      <c r="D18449" s="67"/>
      <c r="G18449" s="68"/>
      <c r="K18449" s="68"/>
    </row>
    <row r="18450" spans="2:11" ht="12.75">
      <c r="B18450" s="4"/>
      <c r="D18450" s="67"/>
      <c r="G18450" s="68"/>
      <c r="K18450" s="68"/>
    </row>
    <row r="18451" spans="2:11" ht="12.75">
      <c r="B18451" s="4"/>
      <c r="D18451" s="67"/>
      <c r="G18451" s="68"/>
      <c r="K18451" s="68"/>
    </row>
    <row r="18452" spans="2:11" ht="12.75">
      <c r="B18452" s="4"/>
      <c r="D18452" s="67"/>
      <c r="G18452" s="68"/>
      <c r="K18452" s="68"/>
    </row>
    <row r="18453" spans="2:11" ht="12.75">
      <c r="B18453" s="4"/>
      <c r="D18453" s="67"/>
      <c r="G18453" s="68"/>
      <c r="K18453" s="68"/>
    </row>
    <row r="18454" spans="2:11" ht="12.75">
      <c r="B18454" s="4"/>
      <c r="D18454" s="67"/>
      <c r="G18454" s="68"/>
      <c r="K18454" s="68"/>
    </row>
    <row r="18455" spans="2:11" ht="12.75">
      <c r="B18455" s="4"/>
      <c r="D18455" s="67"/>
      <c r="G18455" s="68"/>
      <c r="K18455" s="68"/>
    </row>
    <row r="18456" spans="2:11" ht="12.75">
      <c r="B18456" s="4"/>
      <c r="D18456" s="67"/>
      <c r="G18456" s="68"/>
      <c r="K18456" s="68"/>
    </row>
    <row r="18457" spans="2:11" ht="12.75">
      <c r="B18457" s="4"/>
      <c r="D18457" s="67"/>
      <c r="G18457" s="68"/>
      <c r="K18457" s="68"/>
    </row>
    <row r="18458" spans="2:11" ht="12.75">
      <c r="B18458" s="4"/>
      <c r="D18458" s="67"/>
      <c r="G18458" s="68"/>
      <c r="K18458" s="68"/>
    </row>
    <row r="18459" spans="2:11" ht="12.75">
      <c r="B18459" s="4"/>
      <c r="D18459" s="67"/>
      <c r="G18459" s="68"/>
      <c r="K18459" s="68"/>
    </row>
    <row r="18460" spans="2:11" ht="12.75">
      <c r="B18460" s="4"/>
      <c r="D18460" s="67"/>
      <c r="G18460" s="68"/>
      <c r="K18460" s="68"/>
    </row>
    <row r="18461" spans="2:11" ht="12.75">
      <c r="B18461" s="4"/>
      <c r="D18461" s="67"/>
      <c r="G18461" s="68"/>
      <c r="K18461" s="68"/>
    </row>
    <row r="18462" spans="2:11" ht="12.75">
      <c r="B18462" s="4"/>
      <c r="D18462" s="67"/>
      <c r="G18462" s="68"/>
      <c r="K18462" s="68"/>
    </row>
    <row r="18463" spans="2:11" ht="12.75">
      <c r="B18463" s="4"/>
      <c r="D18463" s="67"/>
      <c r="G18463" s="68"/>
      <c r="K18463" s="68"/>
    </row>
    <row r="18464" spans="2:11" ht="12.75">
      <c r="B18464" s="4"/>
      <c r="D18464" s="67"/>
      <c r="G18464" s="68"/>
      <c r="K18464" s="68"/>
    </row>
    <row r="18465" spans="2:11" ht="12.75">
      <c r="B18465" s="4"/>
      <c r="D18465" s="67"/>
      <c r="G18465" s="68"/>
      <c r="K18465" s="68"/>
    </row>
    <row r="18466" spans="2:11" ht="12.75">
      <c r="B18466" s="4"/>
      <c r="D18466" s="67"/>
      <c r="G18466" s="68"/>
      <c r="K18466" s="68"/>
    </row>
    <row r="18467" spans="2:11" ht="12.75">
      <c r="B18467" s="4"/>
      <c r="D18467" s="67"/>
      <c r="G18467" s="68"/>
      <c r="K18467" s="68"/>
    </row>
    <row r="18468" spans="2:11" ht="12.75">
      <c r="B18468" s="4"/>
      <c r="D18468" s="67"/>
      <c r="G18468" s="68"/>
      <c r="K18468" s="68"/>
    </row>
    <row r="18469" spans="2:11" ht="12.75">
      <c r="B18469" s="4"/>
      <c r="D18469" s="67"/>
      <c r="G18469" s="68"/>
      <c r="K18469" s="68"/>
    </row>
    <row r="18470" spans="2:11" ht="12.75">
      <c r="B18470" s="4"/>
      <c r="D18470" s="67"/>
      <c r="G18470" s="68"/>
      <c r="K18470" s="68"/>
    </row>
    <row r="18471" spans="2:11" ht="12.75">
      <c r="B18471" s="4"/>
      <c r="D18471" s="67"/>
      <c r="G18471" s="68"/>
      <c r="K18471" s="68"/>
    </row>
    <row r="18472" spans="2:11" ht="12.75">
      <c r="B18472" s="4"/>
      <c r="D18472" s="67"/>
      <c r="G18472" s="68"/>
      <c r="K18472" s="68"/>
    </row>
    <row r="18473" spans="2:11" ht="12.75">
      <c r="B18473" s="4"/>
      <c r="D18473" s="67"/>
      <c r="G18473" s="68"/>
      <c r="K18473" s="68"/>
    </row>
    <row r="18474" spans="2:11" ht="12.75">
      <c r="B18474" s="4"/>
      <c r="D18474" s="67"/>
      <c r="G18474" s="68"/>
      <c r="K18474" s="68"/>
    </row>
    <row r="18475" spans="2:11" ht="12.75">
      <c r="B18475" s="4"/>
      <c r="D18475" s="67"/>
      <c r="G18475" s="68"/>
      <c r="K18475" s="68"/>
    </row>
    <row r="18476" spans="2:11" ht="12.75">
      <c r="B18476" s="4"/>
      <c r="D18476" s="67"/>
      <c r="G18476" s="68"/>
      <c r="K18476" s="68"/>
    </row>
    <row r="18477" spans="2:11" ht="12.75">
      <c r="B18477" s="4"/>
      <c r="D18477" s="67"/>
      <c r="G18477" s="68"/>
      <c r="K18477" s="68"/>
    </row>
    <row r="18478" spans="2:11" ht="12.75">
      <c r="B18478" s="4"/>
      <c r="D18478" s="67"/>
      <c r="G18478" s="68"/>
      <c r="K18478" s="68"/>
    </row>
    <row r="18479" spans="2:11" ht="12.75">
      <c r="B18479" s="4"/>
      <c r="D18479" s="67"/>
      <c r="G18479" s="68"/>
      <c r="K18479" s="68"/>
    </row>
    <row r="18480" spans="2:11" ht="12.75">
      <c r="B18480" s="4"/>
      <c r="D18480" s="67"/>
      <c r="G18480" s="68"/>
      <c r="K18480" s="68"/>
    </row>
    <row r="18481" spans="2:11" ht="12.75">
      <c r="B18481" s="4"/>
      <c r="D18481" s="67"/>
      <c r="G18481" s="68"/>
      <c r="K18481" s="68"/>
    </row>
    <row r="18482" spans="2:11" ht="12.75">
      <c r="B18482" s="4"/>
      <c r="D18482" s="67"/>
      <c r="G18482" s="68"/>
      <c r="K18482" s="68"/>
    </row>
    <row r="18483" spans="2:11" ht="12.75">
      <c r="B18483" s="4"/>
      <c r="D18483" s="67"/>
      <c r="G18483" s="68"/>
      <c r="K18483" s="68"/>
    </row>
    <row r="18484" spans="2:11" ht="12.75">
      <c r="B18484" s="4"/>
      <c r="D18484" s="67"/>
      <c r="G18484" s="68"/>
      <c r="K18484" s="68"/>
    </row>
    <row r="18485" spans="2:11" ht="12.75">
      <c r="B18485" s="4"/>
      <c r="D18485" s="67"/>
      <c r="G18485" s="68"/>
      <c r="K18485" s="68"/>
    </row>
    <row r="18486" spans="2:11" ht="12.75">
      <c r="B18486" s="4"/>
      <c r="D18486" s="67"/>
      <c r="G18486" s="68"/>
      <c r="K18486" s="68"/>
    </row>
    <row r="18487" spans="2:11" ht="12.75">
      <c r="B18487" s="4"/>
      <c r="D18487" s="67"/>
      <c r="G18487" s="68"/>
      <c r="K18487" s="68"/>
    </row>
    <row r="18488" spans="2:11" ht="12.75">
      <c r="B18488" s="4"/>
      <c r="D18488" s="67"/>
      <c r="G18488" s="68"/>
      <c r="K18488" s="68"/>
    </row>
    <row r="18489" spans="2:11" ht="12.75">
      <c r="B18489" s="4"/>
      <c r="D18489" s="67"/>
      <c r="G18489" s="68"/>
      <c r="K18489" s="68"/>
    </row>
    <row r="18490" spans="2:11" ht="12.75">
      <c r="B18490" s="4"/>
      <c r="D18490" s="67"/>
      <c r="G18490" s="68"/>
      <c r="K18490" s="68"/>
    </row>
    <row r="18491" spans="2:11" ht="12.75">
      <c r="B18491" s="4"/>
      <c r="D18491" s="67"/>
      <c r="G18491" s="68"/>
      <c r="K18491" s="68"/>
    </row>
    <row r="18492" spans="2:11" ht="12.75">
      <c r="B18492" s="4"/>
      <c r="D18492" s="67"/>
      <c r="G18492" s="68"/>
      <c r="K18492" s="68"/>
    </row>
    <row r="18493" spans="2:11" ht="12.75">
      <c r="B18493" s="4"/>
      <c r="D18493" s="67"/>
      <c r="G18493" s="68"/>
      <c r="K18493" s="68"/>
    </row>
    <row r="18494" spans="2:11" ht="12.75">
      <c r="B18494" s="4"/>
      <c r="D18494" s="67"/>
      <c r="G18494" s="68"/>
      <c r="K18494" s="68"/>
    </row>
    <row r="18495" spans="2:11" ht="12.75">
      <c r="B18495" s="4"/>
      <c r="D18495" s="67"/>
      <c r="G18495" s="68"/>
      <c r="K18495" s="68"/>
    </row>
    <row r="18496" spans="2:11" ht="12.75">
      <c r="B18496" s="4"/>
      <c r="D18496" s="67"/>
      <c r="G18496" s="68"/>
      <c r="K18496" s="68"/>
    </row>
    <row r="18497" spans="2:11" ht="12.75">
      <c r="B18497" s="4"/>
      <c r="D18497" s="67"/>
      <c r="G18497" s="68"/>
      <c r="K18497" s="68"/>
    </row>
    <row r="18498" spans="2:11" ht="12.75">
      <c r="B18498" s="4"/>
      <c r="D18498" s="67"/>
      <c r="G18498" s="68"/>
      <c r="K18498" s="68"/>
    </row>
    <row r="18499" spans="2:11" ht="12.75">
      <c r="B18499" s="4"/>
      <c r="D18499" s="67"/>
      <c r="G18499" s="68"/>
      <c r="K18499" s="68"/>
    </row>
    <row r="18500" spans="2:11" ht="12.75">
      <c r="B18500" s="4"/>
      <c r="D18500" s="67"/>
      <c r="G18500" s="68"/>
      <c r="K18500" s="68"/>
    </row>
    <row r="18501" spans="2:11" ht="12.75">
      <c r="B18501" s="4"/>
      <c r="D18501" s="67"/>
      <c r="G18501" s="68"/>
      <c r="K18501" s="68"/>
    </row>
    <row r="18502" spans="2:11" ht="12.75">
      <c r="B18502" s="4"/>
      <c r="D18502" s="67"/>
      <c r="G18502" s="68"/>
      <c r="K18502" s="68"/>
    </row>
    <row r="18503" spans="2:11" ht="12.75">
      <c r="B18503" s="4"/>
      <c r="D18503" s="67"/>
      <c r="G18503" s="68"/>
      <c r="K18503" s="68"/>
    </row>
    <row r="18504" spans="2:11" ht="12.75">
      <c r="B18504" s="4"/>
      <c r="D18504" s="67"/>
      <c r="G18504" s="68"/>
      <c r="K18504" s="68"/>
    </row>
    <row r="18505" spans="2:11" ht="12.75">
      <c r="B18505" s="4"/>
      <c r="D18505" s="67"/>
      <c r="G18505" s="68"/>
      <c r="K18505" s="68"/>
    </row>
    <row r="18506" spans="2:11" ht="12.75">
      <c r="B18506" s="4"/>
      <c r="D18506" s="67"/>
      <c r="G18506" s="68"/>
      <c r="K18506" s="68"/>
    </row>
    <row r="18507" spans="2:11" ht="12.75">
      <c r="B18507" s="4"/>
      <c r="D18507" s="67"/>
      <c r="G18507" s="68"/>
      <c r="K18507" s="68"/>
    </row>
    <row r="18508" spans="2:11" ht="12.75">
      <c r="B18508" s="4"/>
      <c r="D18508" s="67"/>
      <c r="G18508" s="68"/>
      <c r="K18508" s="68"/>
    </row>
    <row r="18509" spans="2:11" ht="12.75">
      <c r="B18509" s="4"/>
      <c r="D18509" s="67"/>
      <c r="G18509" s="68"/>
      <c r="K18509" s="68"/>
    </row>
    <row r="18510" spans="2:11" ht="12.75">
      <c r="B18510" s="4"/>
      <c r="D18510" s="67"/>
      <c r="G18510" s="68"/>
      <c r="K18510" s="68"/>
    </row>
    <row r="18511" spans="2:11" ht="12.75">
      <c r="B18511" s="4"/>
      <c r="D18511" s="67"/>
      <c r="G18511" s="68"/>
      <c r="K18511" s="68"/>
    </row>
    <row r="18512" spans="2:11" ht="12.75">
      <c r="B18512" s="4"/>
      <c r="D18512" s="67"/>
      <c r="G18512" s="68"/>
      <c r="K18512" s="68"/>
    </row>
    <row r="18513" spans="2:11" ht="12.75">
      <c r="B18513" s="4"/>
      <c r="D18513" s="67"/>
      <c r="G18513" s="68"/>
      <c r="K18513" s="68"/>
    </row>
    <row r="18514" spans="2:11" ht="12.75">
      <c r="B18514" s="4"/>
      <c r="D18514" s="67"/>
      <c r="G18514" s="68"/>
      <c r="K18514" s="68"/>
    </row>
    <row r="18515" spans="2:11" ht="12.75">
      <c r="B18515" s="4"/>
      <c r="D18515" s="67"/>
      <c r="G18515" s="68"/>
      <c r="K18515" s="68"/>
    </row>
    <row r="18516" spans="2:11" ht="12.75">
      <c r="B18516" s="4"/>
      <c r="D18516" s="67"/>
      <c r="G18516" s="68"/>
      <c r="K18516" s="68"/>
    </row>
    <row r="18517" spans="2:11" ht="12.75">
      <c r="B18517" s="4"/>
      <c r="D18517" s="67"/>
      <c r="G18517" s="68"/>
      <c r="K18517" s="68"/>
    </row>
    <row r="18518" spans="2:11" ht="12.75">
      <c r="B18518" s="4"/>
      <c r="D18518" s="67"/>
      <c r="G18518" s="68"/>
      <c r="K18518" s="68"/>
    </row>
    <row r="18519" spans="2:11" ht="12.75">
      <c r="B18519" s="4"/>
      <c r="D18519" s="67"/>
      <c r="G18519" s="68"/>
      <c r="K18519" s="68"/>
    </row>
    <row r="18520" spans="2:11" ht="12.75">
      <c r="B18520" s="4"/>
      <c r="D18520" s="67"/>
      <c r="G18520" s="68"/>
      <c r="K18520" s="68"/>
    </row>
    <row r="18521" spans="2:11" ht="12.75">
      <c r="B18521" s="4"/>
      <c r="D18521" s="67"/>
      <c r="G18521" s="68"/>
      <c r="K18521" s="68"/>
    </row>
    <row r="18522" spans="2:11" ht="12.75">
      <c r="B18522" s="4"/>
      <c r="D18522" s="67"/>
      <c r="G18522" s="68"/>
      <c r="K18522" s="68"/>
    </row>
    <row r="18523" spans="2:11" ht="12.75">
      <c r="B18523" s="4"/>
      <c r="D18523" s="67"/>
      <c r="G18523" s="68"/>
      <c r="K18523" s="68"/>
    </row>
    <row r="18524" spans="2:11" ht="12.75">
      <c r="B18524" s="4"/>
      <c r="D18524" s="67"/>
      <c r="G18524" s="68"/>
      <c r="K18524" s="68"/>
    </row>
    <row r="18525" spans="2:11" ht="12.75">
      <c r="B18525" s="4"/>
      <c r="D18525" s="67"/>
      <c r="G18525" s="68"/>
      <c r="K18525" s="68"/>
    </row>
    <row r="18526" spans="2:11" ht="12.75">
      <c r="B18526" s="4"/>
      <c r="D18526" s="67"/>
      <c r="G18526" s="68"/>
      <c r="K18526" s="68"/>
    </row>
    <row r="18527" spans="2:11" ht="12.75">
      <c r="B18527" s="4"/>
      <c r="D18527" s="67"/>
      <c r="G18527" s="68"/>
      <c r="K18527" s="68"/>
    </row>
    <row r="18528" spans="2:11" ht="12.75">
      <c r="B18528" s="4"/>
      <c r="D18528" s="67"/>
      <c r="G18528" s="68"/>
      <c r="K18528" s="68"/>
    </row>
    <row r="18529" spans="2:11" ht="12.75">
      <c r="B18529" s="4"/>
      <c r="D18529" s="67"/>
      <c r="G18529" s="68"/>
      <c r="K18529" s="68"/>
    </row>
    <row r="18530" spans="2:11" ht="12.75">
      <c r="B18530" s="4"/>
      <c r="D18530" s="67"/>
      <c r="G18530" s="68"/>
      <c r="K18530" s="68"/>
    </row>
    <row r="18531" spans="2:11" ht="12.75">
      <c r="B18531" s="4"/>
      <c r="D18531" s="67"/>
      <c r="G18531" s="68"/>
      <c r="K18531" s="68"/>
    </row>
    <row r="18532" spans="2:11" ht="12.75">
      <c r="B18532" s="4"/>
      <c r="D18532" s="67"/>
      <c r="G18532" s="68"/>
      <c r="K18532" s="68"/>
    </row>
    <row r="18533" spans="2:11" ht="12.75">
      <c r="B18533" s="4"/>
      <c r="D18533" s="67"/>
      <c r="G18533" s="68"/>
      <c r="K18533" s="68"/>
    </row>
    <row r="18534" spans="2:11" ht="12.75">
      <c r="B18534" s="4"/>
      <c r="D18534" s="67"/>
      <c r="G18534" s="68"/>
      <c r="K18534" s="68"/>
    </row>
    <row r="18535" spans="2:11" ht="12.75">
      <c r="B18535" s="4"/>
      <c r="D18535" s="67"/>
      <c r="G18535" s="68"/>
      <c r="K18535" s="68"/>
    </row>
    <row r="18536" spans="2:11" ht="12.75">
      <c r="B18536" s="4"/>
      <c r="D18536" s="67"/>
      <c r="G18536" s="68"/>
      <c r="K18536" s="68"/>
    </row>
    <row r="18537" spans="2:11" ht="12.75">
      <c r="B18537" s="4"/>
      <c r="D18537" s="67"/>
      <c r="G18537" s="68"/>
      <c r="K18537" s="68"/>
    </row>
    <row r="18538" spans="2:11" ht="12.75">
      <c r="B18538" s="4"/>
      <c r="D18538" s="67"/>
      <c r="G18538" s="68"/>
      <c r="K18538" s="68"/>
    </row>
    <row r="18539" spans="2:11" ht="12.75">
      <c r="B18539" s="4"/>
      <c r="D18539" s="67"/>
      <c r="G18539" s="68"/>
      <c r="K18539" s="68"/>
    </row>
    <row r="18540" spans="2:11" ht="12.75">
      <c r="B18540" s="4"/>
      <c r="D18540" s="67"/>
      <c r="G18540" s="68"/>
      <c r="K18540" s="68"/>
    </row>
    <row r="18541" spans="2:11" ht="12.75">
      <c r="B18541" s="4"/>
      <c r="D18541" s="67"/>
      <c r="G18541" s="68"/>
      <c r="K18541" s="68"/>
    </row>
    <row r="18542" spans="2:11" ht="12.75">
      <c r="B18542" s="4"/>
      <c r="D18542" s="67"/>
      <c r="G18542" s="68"/>
      <c r="K18542" s="68"/>
    </row>
    <row r="18543" spans="2:11" ht="12.75">
      <c r="B18543" s="4"/>
      <c r="D18543" s="67"/>
      <c r="G18543" s="68"/>
      <c r="K18543" s="68"/>
    </row>
    <row r="18544" spans="2:11" ht="12.75">
      <c r="B18544" s="4"/>
      <c r="D18544" s="67"/>
      <c r="G18544" s="68"/>
      <c r="K18544" s="68"/>
    </row>
    <row r="18545" spans="2:11" ht="12.75">
      <c r="B18545" s="4"/>
      <c r="D18545" s="67"/>
      <c r="G18545" s="68"/>
      <c r="K18545" s="68"/>
    </row>
    <row r="18546" spans="2:11" ht="12.75">
      <c r="B18546" s="4"/>
      <c r="D18546" s="67"/>
      <c r="G18546" s="68"/>
      <c r="K18546" s="68"/>
    </row>
    <row r="18547" spans="2:11" ht="12.75">
      <c r="B18547" s="4"/>
      <c r="D18547" s="67"/>
      <c r="G18547" s="68"/>
      <c r="K18547" s="68"/>
    </row>
    <row r="18548" spans="2:11" ht="12.75">
      <c r="B18548" s="4"/>
      <c r="D18548" s="67"/>
      <c r="G18548" s="68"/>
      <c r="K18548" s="68"/>
    </row>
    <row r="18549" spans="2:11" ht="12.75">
      <c r="B18549" s="4"/>
      <c r="D18549" s="67"/>
      <c r="G18549" s="68"/>
      <c r="K18549" s="68"/>
    </row>
    <row r="18550" spans="2:11" ht="12.75">
      <c r="B18550" s="4"/>
      <c r="D18550" s="67"/>
      <c r="G18550" s="68"/>
      <c r="K18550" s="68"/>
    </row>
    <row r="18551" spans="2:11" ht="12.75">
      <c r="B18551" s="4"/>
      <c r="D18551" s="67"/>
      <c r="G18551" s="68"/>
      <c r="K18551" s="68"/>
    </row>
    <row r="18552" spans="2:11" ht="12.75">
      <c r="B18552" s="4"/>
      <c r="D18552" s="67"/>
      <c r="G18552" s="68"/>
      <c r="K18552" s="68"/>
    </row>
    <row r="18553" spans="2:11" ht="12.75">
      <c r="B18553" s="4"/>
      <c r="D18553" s="67"/>
      <c r="G18553" s="68"/>
      <c r="K18553" s="68"/>
    </row>
    <row r="18554" spans="2:11" ht="12.75">
      <c r="B18554" s="4"/>
      <c r="D18554" s="67"/>
      <c r="G18554" s="68"/>
      <c r="K18554" s="68"/>
    </row>
    <row r="18555" spans="2:11" ht="12.75">
      <c r="B18555" s="4"/>
      <c r="D18555" s="67"/>
      <c r="G18555" s="68"/>
      <c r="K18555" s="68"/>
    </row>
    <row r="18556" spans="2:11" ht="12.75">
      <c r="B18556" s="4"/>
      <c r="D18556" s="67"/>
      <c r="G18556" s="68"/>
      <c r="K18556" s="68"/>
    </row>
    <row r="18557" spans="2:11" ht="12.75">
      <c r="B18557" s="4"/>
      <c r="D18557" s="67"/>
      <c r="G18557" s="68"/>
      <c r="K18557" s="68"/>
    </row>
    <row r="18558" spans="2:11" ht="12.75">
      <c r="B18558" s="4"/>
      <c r="D18558" s="67"/>
      <c r="G18558" s="68"/>
      <c r="K18558" s="68"/>
    </row>
    <row r="18559" spans="2:11" ht="12.75">
      <c r="B18559" s="4"/>
      <c r="D18559" s="67"/>
      <c r="G18559" s="68"/>
      <c r="K18559" s="68"/>
    </row>
    <row r="18560" spans="2:11" ht="12.75">
      <c r="B18560" s="4"/>
      <c r="D18560" s="67"/>
      <c r="G18560" s="68"/>
      <c r="K18560" s="68"/>
    </row>
    <row r="18561" spans="2:11" ht="12.75">
      <c r="B18561" s="4"/>
      <c r="D18561" s="67"/>
      <c r="G18561" s="68"/>
      <c r="K18561" s="68"/>
    </row>
    <row r="18562" spans="2:11" ht="12.75">
      <c r="B18562" s="4"/>
      <c r="D18562" s="67"/>
      <c r="G18562" s="68"/>
      <c r="K18562" s="68"/>
    </row>
    <row r="18563" spans="2:11" ht="12.75">
      <c r="B18563" s="4"/>
      <c r="D18563" s="67"/>
      <c r="G18563" s="68"/>
      <c r="K18563" s="68"/>
    </row>
    <row r="18564" spans="2:11" ht="12.75">
      <c r="B18564" s="4"/>
      <c r="D18564" s="67"/>
      <c r="G18564" s="68"/>
      <c r="K18564" s="68"/>
    </row>
    <row r="18565" spans="2:11" ht="12.75">
      <c r="B18565" s="4"/>
      <c r="D18565" s="67"/>
      <c r="G18565" s="68"/>
      <c r="K18565" s="68"/>
    </row>
    <row r="18566" spans="2:11" ht="12.75">
      <c r="B18566" s="4"/>
      <c r="D18566" s="67"/>
      <c r="G18566" s="68"/>
      <c r="K18566" s="68"/>
    </row>
    <row r="18567" spans="2:11" ht="12.75">
      <c r="B18567" s="4"/>
      <c r="D18567" s="67"/>
      <c r="G18567" s="68"/>
      <c r="K18567" s="68"/>
    </row>
    <row r="18568" spans="2:11" ht="12.75">
      <c r="B18568" s="4"/>
      <c r="D18568" s="67"/>
      <c r="G18568" s="68"/>
      <c r="K18568" s="68"/>
    </row>
    <row r="18569" spans="2:11" ht="12.75">
      <c r="B18569" s="4"/>
      <c r="D18569" s="67"/>
      <c r="G18569" s="68"/>
      <c r="K18569" s="68"/>
    </row>
    <row r="18570" spans="2:11" ht="12.75">
      <c r="B18570" s="4"/>
      <c r="D18570" s="67"/>
      <c r="G18570" s="68"/>
      <c r="K18570" s="68"/>
    </row>
    <row r="18571" spans="2:11" ht="12.75">
      <c r="B18571" s="4"/>
      <c r="D18571" s="67"/>
      <c r="G18571" s="68"/>
      <c r="K18571" s="68"/>
    </row>
    <row r="18572" spans="2:11" ht="12.75">
      <c r="B18572" s="4"/>
      <c r="D18572" s="67"/>
      <c r="G18572" s="68"/>
      <c r="K18572" s="68"/>
    </row>
    <row r="18573" spans="2:11" ht="12.75">
      <c r="B18573" s="4"/>
      <c r="D18573" s="67"/>
      <c r="G18573" s="68"/>
      <c r="K18573" s="68"/>
    </row>
    <row r="18574" spans="2:11" ht="12.75">
      <c r="B18574" s="4"/>
      <c r="D18574" s="67"/>
      <c r="G18574" s="68"/>
      <c r="K18574" s="68"/>
    </row>
    <row r="18575" spans="2:11" ht="12.75">
      <c r="B18575" s="4"/>
      <c r="D18575" s="67"/>
      <c r="G18575" s="68"/>
      <c r="K18575" s="68"/>
    </row>
    <row r="18576" spans="2:11" ht="12.75">
      <c r="B18576" s="4"/>
      <c r="D18576" s="67"/>
      <c r="G18576" s="68"/>
      <c r="K18576" s="68"/>
    </row>
    <row r="18577" spans="2:11" ht="12.75">
      <c r="B18577" s="4"/>
      <c r="D18577" s="67"/>
      <c r="G18577" s="68"/>
      <c r="K18577" s="68"/>
    </row>
    <row r="18578" spans="2:11" ht="12.75">
      <c r="B18578" s="4"/>
      <c r="D18578" s="67"/>
      <c r="G18578" s="68"/>
      <c r="K18578" s="68"/>
    </row>
    <row r="18579" spans="2:11" ht="12.75">
      <c r="B18579" s="4"/>
      <c r="D18579" s="67"/>
      <c r="G18579" s="68"/>
      <c r="K18579" s="68"/>
    </row>
    <row r="18580" spans="2:11" ht="12.75">
      <c r="B18580" s="4"/>
      <c r="D18580" s="67"/>
      <c r="G18580" s="68"/>
      <c r="K18580" s="68"/>
    </row>
    <row r="18581" spans="2:11" ht="12.75">
      <c r="B18581" s="4"/>
      <c r="D18581" s="67"/>
      <c r="G18581" s="68"/>
      <c r="K18581" s="68"/>
    </row>
    <row r="18582" spans="2:11" ht="12.75">
      <c r="B18582" s="4"/>
      <c r="D18582" s="67"/>
      <c r="G18582" s="68"/>
      <c r="K18582" s="68"/>
    </row>
    <row r="18583" spans="2:11" ht="12.75">
      <c r="B18583" s="4"/>
      <c r="D18583" s="67"/>
      <c r="G18583" s="68"/>
      <c r="K18583" s="68"/>
    </row>
    <row r="18584" spans="2:11" ht="12.75">
      <c r="B18584" s="4"/>
      <c r="D18584" s="67"/>
      <c r="G18584" s="68"/>
      <c r="K18584" s="68"/>
    </row>
    <row r="18585" spans="2:11" ht="12.75">
      <c r="B18585" s="4"/>
      <c r="D18585" s="67"/>
      <c r="G18585" s="68"/>
      <c r="K18585" s="68"/>
    </row>
    <row r="18586" spans="2:11" ht="12.75">
      <c r="B18586" s="4"/>
      <c r="D18586" s="67"/>
      <c r="G18586" s="68"/>
      <c r="K18586" s="68"/>
    </row>
    <row r="18587" spans="2:11" ht="12.75">
      <c r="B18587" s="4"/>
      <c r="D18587" s="67"/>
      <c r="G18587" s="68"/>
      <c r="K18587" s="68"/>
    </row>
    <row r="18588" spans="2:11" ht="12.75">
      <c r="B18588" s="4"/>
      <c r="D18588" s="67"/>
      <c r="G18588" s="68"/>
      <c r="K18588" s="68"/>
    </row>
    <row r="18589" spans="2:11" ht="12.75">
      <c r="B18589" s="4"/>
      <c r="D18589" s="67"/>
      <c r="G18589" s="68"/>
      <c r="K18589" s="68"/>
    </row>
    <row r="18590" spans="2:11" ht="12.75">
      <c r="B18590" s="4"/>
      <c r="D18590" s="67"/>
      <c r="G18590" s="68"/>
      <c r="K18590" s="68"/>
    </row>
    <row r="18591" spans="2:11" ht="12.75">
      <c r="B18591" s="4"/>
      <c r="D18591" s="67"/>
      <c r="G18591" s="68"/>
      <c r="K18591" s="68"/>
    </row>
    <row r="18592" spans="2:11" ht="12.75">
      <c r="B18592" s="4"/>
      <c r="D18592" s="67"/>
      <c r="G18592" s="68"/>
      <c r="K18592" s="68"/>
    </row>
    <row r="18593" spans="2:11" ht="12.75">
      <c r="B18593" s="4"/>
      <c r="D18593" s="67"/>
      <c r="G18593" s="68"/>
      <c r="K18593" s="68"/>
    </row>
    <row r="18594" spans="2:11" ht="12.75">
      <c r="B18594" s="4"/>
      <c r="D18594" s="67"/>
      <c r="G18594" s="68"/>
      <c r="K18594" s="68"/>
    </row>
    <row r="18595" spans="2:11" ht="12.75">
      <c r="B18595" s="4"/>
      <c r="D18595" s="67"/>
      <c r="G18595" s="68"/>
      <c r="K18595" s="68"/>
    </row>
    <row r="18596" spans="2:11" ht="12.75">
      <c r="B18596" s="4"/>
      <c r="D18596" s="67"/>
      <c r="G18596" s="68"/>
      <c r="K18596" s="68"/>
    </row>
    <row r="18597" spans="2:11" ht="12.75">
      <c r="B18597" s="4"/>
      <c r="D18597" s="67"/>
      <c r="G18597" s="68"/>
      <c r="K18597" s="68"/>
    </row>
    <row r="18598" spans="2:11" ht="12.75">
      <c r="B18598" s="4"/>
      <c r="D18598" s="67"/>
      <c r="G18598" s="68"/>
      <c r="K18598" s="68"/>
    </row>
    <row r="18599" spans="2:11" ht="12.75">
      <c r="B18599" s="4"/>
      <c r="D18599" s="67"/>
      <c r="G18599" s="68"/>
      <c r="K18599" s="68"/>
    </row>
    <row r="18600" spans="2:11" ht="12.75">
      <c r="B18600" s="4"/>
      <c r="D18600" s="67"/>
      <c r="G18600" s="68"/>
      <c r="K18600" s="68"/>
    </row>
    <row r="18601" spans="2:11" ht="12.75">
      <c r="B18601" s="4"/>
      <c r="D18601" s="67"/>
      <c r="G18601" s="68"/>
      <c r="K18601" s="68"/>
    </row>
    <row r="18602" spans="2:11" ht="12.75">
      <c r="B18602" s="4"/>
      <c r="D18602" s="67"/>
      <c r="G18602" s="68"/>
      <c r="K18602" s="68"/>
    </row>
    <row r="18603" spans="2:11" ht="12.75">
      <c r="B18603" s="4"/>
      <c r="D18603" s="67"/>
      <c r="G18603" s="68"/>
      <c r="K18603" s="68"/>
    </row>
    <row r="18604" spans="2:11" ht="12.75">
      <c r="B18604" s="4"/>
      <c r="D18604" s="67"/>
      <c r="G18604" s="68"/>
      <c r="K18604" s="68"/>
    </row>
    <row r="18605" spans="2:11" ht="12.75">
      <c r="B18605" s="4"/>
      <c r="D18605" s="67"/>
      <c r="G18605" s="68"/>
      <c r="K18605" s="68"/>
    </row>
    <row r="18606" spans="2:11" ht="12.75">
      <c r="B18606" s="4"/>
      <c r="D18606" s="67"/>
      <c r="G18606" s="68"/>
      <c r="K18606" s="68"/>
    </row>
    <row r="18607" spans="2:11" ht="12.75">
      <c r="B18607" s="4"/>
      <c r="D18607" s="67"/>
      <c r="G18607" s="68"/>
      <c r="K18607" s="68"/>
    </row>
    <row r="18608" spans="2:11" ht="12.75">
      <c r="B18608" s="4"/>
      <c r="D18608" s="67"/>
      <c r="G18608" s="68"/>
      <c r="K18608" s="68"/>
    </row>
    <row r="18609" spans="2:11" ht="12.75">
      <c r="B18609" s="4"/>
      <c r="D18609" s="67"/>
      <c r="G18609" s="68"/>
      <c r="K18609" s="68"/>
    </row>
    <row r="18610" spans="2:11" ht="12.75">
      <c r="B18610" s="4"/>
      <c r="D18610" s="67"/>
      <c r="G18610" s="68"/>
      <c r="K18610" s="68"/>
    </row>
    <row r="18611" spans="2:11" ht="12.75">
      <c r="B18611" s="4"/>
      <c r="D18611" s="67"/>
      <c r="G18611" s="68"/>
      <c r="K18611" s="68"/>
    </row>
    <row r="18612" spans="2:11" ht="12.75">
      <c r="B18612" s="4"/>
      <c r="D18612" s="67"/>
      <c r="G18612" s="68"/>
      <c r="K18612" s="68"/>
    </row>
    <row r="18613" spans="2:11" ht="12.75">
      <c r="B18613" s="4"/>
      <c r="D18613" s="67"/>
      <c r="G18613" s="68"/>
      <c r="K18613" s="68"/>
    </row>
    <row r="18614" spans="2:11" ht="12.75">
      <c r="B18614" s="4"/>
      <c r="D18614" s="67"/>
      <c r="G18614" s="68"/>
      <c r="K18614" s="68"/>
    </row>
    <row r="18615" spans="2:11" ht="12.75">
      <c r="B18615" s="4"/>
      <c r="D18615" s="67"/>
      <c r="G18615" s="68"/>
      <c r="K18615" s="68"/>
    </row>
    <row r="18616" spans="2:11" ht="12.75">
      <c r="B18616" s="4"/>
      <c r="D18616" s="67"/>
      <c r="G18616" s="68"/>
      <c r="K18616" s="68"/>
    </row>
    <row r="18617" spans="2:11" ht="12.75">
      <c r="B18617" s="4"/>
      <c r="D18617" s="67"/>
      <c r="G18617" s="68"/>
      <c r="K18617" s="68"/>
    </row>
    <row r="18618" spans="2:11" ht="12.75">
      <c r="B18618" s="4"/>
      <c r="D18618" s="67"/>
      <c r="G18618" s="68"/>
      <c r="K18618" s="68"/>
    </row>
    <row r="18619" spans="2:11" ht="12.75">
      <c r="B18619" s="4"/>
      <c r="D18619" s="67"/>
      <c r="G18619" s="68"/>
      <c r="K18619" s="68"/>
    </row>
    <row r="18620" spans="2:11" ht="12.75">
      <c r="B18620" s="4"/>
      <c r="D18620" s="67"/>
      <c r="G18620" s="68"/>
      <c r="K18620" s="68"/>
    </row>
    <row r="18621" spans="2:11" ht="12.75">
      <c r="B18621" s="4"/>
      <c r="D18621" s="67"/>
      <c r="G18621" s="68"/>
      <c r="K18621" s="68"/>
    </row>
    <row r="18622" spans="2:11" ht="12.75">
      <c r="B18622" s="4"/>
      <c r="D18622" s="67"/>
      <c r="G18622" s="68"/>
      <c r="K18622" s="68"/>
    </row>
    <row r="18623" spans="2:11" ht="12.75">
      <c r="B18623" s="4"/>
      <c r="D18623" s="67"/>
      <c r="G18623" s="68"/>
      <c r="K18623" s="68"/>
    </row>
    <row r="18624" spans="2:11" ht="12.75">
      <c r="B18624" s="4"/>
      <c r="D18624" s="67"/>
      <c r="G18624" s="68"/>
      <c r="K18624" s="68"/>
    </row>
    <row r="18625" spans="2:11" ht="12.75">
      <c r="B18625" s="4"/>
      <c r="D18625" s="67"/>
      <c r="G18625" s="68"/>
      <c r="K18625" s="68"/>
    </row>
    <row r="18626" spans="2:11" ht="12.75">
      <c r="B18626" s="4"/>
      <c r="D18626" s="67"/>
      <c r="G18626" s="68"/>
      <c r="K18626" s="68"/>
    </row>
    <row r="18627" spans="2:11" ht="12.75">
      <c r="B18627" s="4"/>
      <c r="D18627" s="67"/>
      <c r="G18627" s="68"/>
      <c r="K18627" s="68"/>
    </row>
    <row r="18628" spans="2:11" ht="12.75">
      <c r="B18628" s="4"/>
      <c r="D18628" s="67"/>
      <c r="G18628" s="68"/>
      <c r="K18628" s="68"/>
    </row>
    <row r="18629" spans="2:11" ht="12.75">
      <c r="B18629" s="4"/>
      <c r="D18629" s="67"/>
      <c r="G18629" s="68"/>
      <c r="K18629" s="68"/>
    </row>
    <row r="18630" spans="2:11" ht="12.75">
      <c r="B18630" s="4"/>
      <c r="D18630" s="67"/>
      <c r="G18630" s="68"/>
      <c r="K18630" s="68"/>
    </row>
    <row r="18631" spans="2:11" ht="12.75">
      <c r="B18631" s="4"/>
      <c r="D18631" s="67"/>
      <c r="G18631" s="68"/>
      <c r="K18631" s="68"/>
    </row>
    <row r="18632" spans="2:11" ht="12.75">
      <c r="B18632" s="4"/>
      <c r="D18632" s="67"/>
      <c r="G18632" s="68"/>
      <c r="K18632" s="68"/>
    </row>
    <row r="18633" spans="2:11" ht="12.75">
      <c r="B18633" s="4"/>
      <c r="D18633" s="67"/>
      <c r="G18633" s="68"/>
      <c r="K18633" s="68"/>
    </row>
    <row r="18634" spans="2:11" ht="12.75">
      <c r="B18634" s="4"/>
      <c r="D18634" s="67"/>
      <c r="G18634" s="68"/>
      <c r="K18634" s="68"/>
    </row>
    <row r="18635" spans="2:11" ht="12.75">
      <c r="B18635" s="4"/>
      <c r="D18635" s="67"/>
      <c r="G18635" s="68"/>
      <c r="K18635" s="68"/>
    </row>
    <row r="18636" spans="2:11" ht="12.75">
      <c r="B18636" s="4"/>
      <c r="D18636" s="67"/>
      <c r="G18636" s="68"/>
      <c r="K18636" s="68"/>
    </row>
    <row r="18637" spans="2:11" ht="12.75">
      <c r="B18637" s="4"/>
      <c r="D18637" s="67"/>
      <c r="G18637" s="68"/>
      <c r="K18637" s="68"/>
    </row>
    <row r="18638" spans="2:11" ht="12.75">
      <c r="B18638" s="4"/>
      <c r="D18638" s="67"/>
      <c r="G18638" s="68"/>
      <c r="K18638" s="68"/>
    </row>
    <row r="18639" spans="2:11" ht="12.75">
      <c r="B18639" s="4"/>
      <c r="D18639" s="67"/>
      <c r="G18639" s="68"/>
      <c r="K18639" s="68"/>
    </row>
    <row r="18640" spans="2:11" ht="12.75">
      <c r="B18640" s="4"/>
      <c r="D18640" s="67"/>
      <c r="G18640" s="68"/>
      <c r="K18640" s="68"/>
    </row>
    <row r="18641" spans="2:11" ht="12.75">
      <c r="B18641" s="4"/>
      <c r="D18641" s="67"/>
      <c r="G18641" s="68"/>
      <c r="K18641" s="68"/>
    </row>
    <row r="18642" spans="2:11" ht="12.75">
      <c r="B18642" s="4"/>
      <c r="D18642" s="67"/>
      <c r="G18642" s="68"/>
      <c r="K18642" s="68"/>
    </row>
    <row r="18643" spans="2:11" ht="12.75">
      <c r="B18643" s="4"/>
      <c r="D18643" s="67"/>
      <c r="G18643" s="68"/>
      <c r="K18643" s="68"/>
    </row>
    <row r="18644" spans="2:11" ht="12.75">
      <c r="B18644" s="4"/>
      <c r="D18644" s="67"/>
      <c r="G18644" s="68"/>
      <c r="K18644" s="68"/>
    </row>
    <row r="18645" spans="2:11" ht="12.75">
      <c r="B18645" s="4"/>
      <c r="D18645" s="67"/>
      <c r="G18645" s="68"/>
      <c r="K18645" s="68"/>
    </row>
    <row r="18646" spans="2:11" ht="12.75">
      <c r="B18646" s="4"/>
      <c r="D18646" s="67"/>
      <c r="G18646" s="68"/>
      <c r="K18646" s="68"/>
    </row>
    <row r="18647" spans="2:11" ht="12.75">
      <c r="B18647" s="4"/>
      <c r="D18647" s="67"/>
      <c r="G18647" s="68"/>
      <c r="K18647" s="68"/>
    </row>
    <row r="18648" spans="2:11" ht="12.75">
      <c r="B18648" s="4"/>
      <c r="D18648" s="67"/>
      <c r="G18648" s="68"/>
      <c r="K18648" s="68"/>
    </row>
    <row r="18649" spans="2:11" ht="12.75">
      <c r="B18649" s="4"/>
      <c r="D18649" s="67"/>
      <c r="G18649" s="68"/>
      <c r="K18649" s="68"/>
    </row>
    <row r="18650" spans="2:11" ht="12.75">
      <c r="B18650" s="4"/>
      <c r="D18650" s="67"/>
      <c r="G18650" s="68"/>
      <c r="K18650" s="68"/>
    </row>
    <row r="18651" spans="2:11" ht="12.75">
      <c r="B18651" s="4"/>
      <c r="D18651" s="67"/>
      <c r="G18651" s="68"/>
      <c r="K18651" s="68"/>
    </row>
    <row r="18652" spans="2:11" ht="12.75">
      <c r="B18652" s="4"/>
      <c r="D18652" s="67"/>
      <c r="G18652" s="68"/>
      <c r="K18652" s="68"/>
    </row>
    <row r="18653" spans="2:11" ht="12.75">
      <c r="B18653" s="4"/>
      <c r="D18653" s="67"/>
      <c r="G18653" s="68"/>
      <c r="K18653" s="68"/>
    </row>
    <row r="18654" spans="2:11" ht="12.75">
      <c r="B18654" s="4"/>
      <c r="D18654" s="67"/>
      <c r="G18654" s="68"/>
      <c r="K18654" s="68"/>
    </row>
    <row r="18655" spans="2:11" ht="12.75">
      <c r="B18655" s="4"/>
      <c r="D18655" s="67"/>
      <c r="G18655" s="68"/>
      <c r="K18655" s="68"/>
    </row>
    <row r="18656" spans="2:11" ht="12.75">
      <c r="B18656" s="4"/>
      <c r="D18656" s="67"/>
      <c r="G18656" s="68"/>
      <c r="K18656" s="68"/>
    </row>
    <row r="18657" spans="2:11" ht="12.75">
      <c r="B18657" s="4"/>
      <c r="D18657" s="67"/>
      <c r="G18657" s="68"/>
      <c r="K18657" s="68"/>
    </row>
    <row r="18658" spans="2:11" ht="12.75">
      <c r="B18658" s="4"/>
      <c r="D18658" s="67"/>
      <c r="G18658" s="68"/>
      <c r="K18658" s="68"/>
    </row>
    <row r="18659" spans="2:11" ht="12.75">
      <c r="B18659" s="4"/>
      <c r="D18659" s="67"/>
      <c r="G18659" s="68"/>
      <c r="K18659" s="68"/>
    </row>
    <row r="18660" spans="2:11" ht="12.75">
      <c r="B18660" s="4"/>
      <c r="D18660" s="67"/>
      <c r="G18660" s="68"/>
      <c r="K18660" s="68"/>
    </row>
    <row r="18661" spans="2:11" ht="12.75">
      <c r="B18661" s="4"/>
      <c r="D18661" s="67"/>
      <c r="G18661" s="68"/>
      <c r="K18661" s="68"/>
    </row>
    <row r="18662" spans="2:11" ht="12.75">
      <c r="B18662" s="4"/>
      <c r="D18662" s="67"/>
      <c r="G18662" s="68"/>
      <c r="K18662" s="68"/>
    </row>
    <row r="18663" spans="2:11" ht="12.75">
      <c r="B18663" s="4"/>
      <c r="D18663" s="67"/>
      <c r="G18663" s="68"/>
      <c r="K18663" s="68"/>
    </row>
    <row r="18664" spans="2:11" ht="12.75">
      <c r="B18664" s="4"/>
      <c r="D18664" s="67"/>
      <c r="G18664" s="68"/>
      <c r="K18664" s="68"/>
    </row>
    <row r="18665" spans="2:11" ht="12.75">
      <c r="B18665" s="4"/>
      <c r="D18665" s="67"/>
      <c r="G18665" s="68"/>
      <c r="K18665" s="68"/>
    </row>
    <row r="18666" spans="2:11" ht="12.75">
      <c r="B18666" s="4"/>
      <c r="D18666" s="67"/>
      <c r="G18666" s="68"/>
      <c r="K18666" s="68"/>
    </row>
    <row r="18667" spans="2:11" ht="12.75">
      <c r="B18667" s="4"/>
      <c r="D18667" s="67"/>
      <c r="G18667" s="68"/>
      <c r="K18667" s="68"/>
    </row>
    <row r="18668" spans="2:11" ht="12.75">
      <c r="B18668" s="4"/>
      <c r="D18668" s="67"/>
      <c r="G18668" s="68"/>
      <c r="K18668" s="68"/>
    </row>
    <row r="18669" spans="2:11" ht="12.75">
      <c r="B18669" s="4"/>
      <c r="D18669" s="67"/>
      <c r="G18669" s="68"/>
      <c r="K18669" s="68"/>
    </row>
    <row r="18670" spans="2:11" ht="12.75">
      <c r="B18670" s="4"/>
      <c r="D18670" s="67"/>
      <c r="G18670" s="68"/>
      <c r="K18670" s="68"/>
    </row>
    <row r="18671" spans="2:11" ht="12.75">
      <c r="B18671" s="4"/>
      <c r="D18671" s="67"/>
      <c r="G18671" s="68"/>
      <c r="K18671" s="68"/>
    </row>
    <row r="18672" spans="2:11" ht="12.75">
      <c r="B18672" s="4"/>
      <c r="D18672" s="67"/>
      <c r="G18672" s="68"/>
      <c r="K18672" s="68"/>
    </row>
    <row r="18673" spans="2:11" ht="12.75">
      <c r="B18673" s="4"/>
      <c r="D18673" s="67"/>
      <c r="G18673" s="68"/>
      <c r="K18673" s="68"/>
    </row>
    <row r="18674" spans="2:11" ht="12.75">
      <c r="B18674" s="4"/>
      <c r="D18674" s="67"/>
      <c r="G18674" s="68"/>
      <c r="K18674" s="68"/>
    </row>
    <row r="18675" spans="2:11" ht="12.75">
      <c r="B18675" s="4"/>
      <c r="D18675" s="67"/>
      <c r="G18675" s="68"/>
      <c r="K18675" s="68"/>
    </row>
    <row r="18676" spans="2:11" ht="12.75">
      <c r="B18676" s="4"/>
      <c r="D18676" s="67"/>
      <c r="G18676" s="68"/>
      <c r="K18676" s="68"/>
    </row>
    <row r="18677" spans="2:11" ht="12.75">
      <c r="B18677" s="4"/>
      <c r="D18677" s="67"/>
      <c r="G18677" s="68"/>
      <c r="K18677" s="68"/>
    </row>
    <row r="18678" spans="2:11" ht="12.75">
      <c r="B18678" s="4"/>
      <c r="D18678" s="67"/>
      <c r="G18678" s="68"/>
      <c r="K18678" s="68"/>
    </row>
    <row r="18679" spans="2:11" ht="12.75">
      <c r="B18679" s="4"/>
      <c r="D18679" s="67"/>
      <c r="G18679" s="68"/>
      <c r="K18679" s="68"/>
    </row>
    <row r="18680" spans="2:11" ht="12.75">
      <c r="B18680" s="4"/>
      <c r="D18680" s="67"/>
      <c r="G18680" s="68"/>
      <c r="K18680" s="68"/>
    </row>
    <row r="18681" spans="2:11" ht="12.75">
      <c r="B18681" s="4"/>
      <c r="D18681" s="67"/>
      <c r="G18681" s="68"/>
      <c r="K18681" s="68"/>
    </row>
    <row r="18682" spans="2:11" ht="12.75">
      <c r="B18682" s="4"/>
      <c r="D18682" s="67"/>
      <c r="G18682" s="68"/>
      <c r="K18682" s="68"/>
    </row>
    <row r="18683" spans="2:11" ht="12.75">
      <c r="B18683" s="4"/>
      <c r="D18683" s="67"/>
      <c r="G18683" s="68"/>
      <c r="K18683" s="68"/>
    </row>
    <row r="18684" spans="2:11" ht="12.75">
      <c r="B18684" s="4"/>
      <c r="D18684" s="67"/>
      <c r="G18684" s="68"/>
      <c r="K18684" s="68"/>
    </row>
    <row r="18685" spans="2:11" ht="12.75">
      <c r="B18685" s="4"/>
      <c r="D18685" s="67"/>
      <c r="G18685" s="68"/>
      <c r="K18685" s="68"/>
    </row>
    <row r="18686" spans="2:11" ht="12.75">
      <c r="B18686" s="4"/>
      <c r="D18686" s="67"/>
      <c r="G18686" s="68"/>
      <c r="K18686" s="68"/>
    </row>
    <row r="18687" spans="2:11" ht="12.75">
      <c r="B18687" s="4"/>
      <c r="D18687" s="67"/>
      <c r="G18687" s="68"/>
      <c r="K18687" s="68"/>
    </row>
    <row r="18688" spans="2:11" ht="12.75">
      <c r="B18688" s="4"/>
      <c r="D18688" s="67"/>
      <c r="G18688" s="68"/>
      <c r="K18688" s="68"/>
    </row>
    <row r="18689" spans="2:11" ht="12.75">
      <c r="B18689" s="4"/>
      <c r="D18689" s="67"/>
      <c r="G18689" s="68"/>
      <c r="K18689" s="68"/>
    </row>
    <row r="18690" spans="2:11" ht="12.75">
      <c r="B18690" s="4"/>
      <c r="D18690" s="67"/>
      <c r="G18690" s="68"/>
      <c r="K18690" s="68"/>
    </row>
    <row r="18691" spans="2:11" ht="12.75">
      <c r="B18691" s="4"/>
      <c r="D18691" s="67"/>
      <c r="G18691" s="68"/>
      <c r="K18691" s="68"/>
    </row>
    <row r="18692" spans="2:11" ht="12.75">
      <c r="B18692" s="4"/>
      <c r="D18692" s="67"/>
      <c r="G18692" s="68"/>
      <c r="K18692" s="68"/>
    </row>
    <row r="18693" spans="2:11" ht="12.75">
      <c r="B18693" s="4"/>
      <c r="D18693" s="67"/>
      <c r="G18693" s="68"/>
      <c r="K18693" s="68"/>
    </row>
    <row r="18694" spans="2:11" ht="12.75">
      <c r="B18694" s="4"/>
      <c r="D18694" s="67"/>
      <c r="G18694" s="68"/>
      <c r="K18694" s="68"/>
    </row>
    <row r="18695" spans="2:11" ht="12.75">
      <c r="B18695" s="4"/>
      <c r="D18695" s="67"/>
      <c r="G18695" s="68"/>
      <c r="K18695" s="68"/>
    </row>
    <row r="18696" spans="2:11" ht="12.75">
      <c r="B18696" s="4"/>
      <c r="D18696" s="67"/>
      <c r="G18696" s="68"/>
      <c r="K18696" s="68"/>
    </row>
    <row r="18697" spans="2:11" ht="12.75">
      <c r="B18697" s="4"/>
      <c r="D18697" s="67"/>
      <c r="G18697" s="68"/>
      <c r="K18697" s="68"/>
    </row>
    <row r="18698" spans="2:11" ht="12.75">
      <c r="B18698" s="4"/>
      <c r="D18698" s="67"/>
      <c r="G18698" s="68"/>
      <c r="K18698" s="68"/>
    </row>
    <row r="18699" spans="2:11" ht="12.75">
      <c r="B18699" s="4"/>
      <c r="D18699" s="67"/>
      <c r="G18699" s="68"/>
      <c r="K18699" s="68"/>
    </row>
    <row r="18700" spans="2:11" ht="12.75">
      <c r="B18700" s="4"/>
      <c r="D18700" s="67"/>
      <c r="G18700" s="68"/>
      <c r="K18700" s="68"/>
    </row>
    <row r="18701" spans="2:11" ht="12.75">
      <c r="B18701" s="4"/>
      <c r="D18701" s="67"/>
      <c r="G18701" s="68"/>
      <c r="K18701" s="68"/>
    </row>
    <row r="18702" spans="2:11" ht="12.75">
      <c r="B18702" s="4"/>
      <c r="D18702" s="67"/>
      <c r="G18702" s="68"/>
      <c r="K18702" s="68"/>
    </row>
    <row r="18703" spans="2:11" ht="12.75">
      <c r="B18703" s="4"/>
      <c r="D18703" s="67"/>
      <c r="G18703" s="68"/>
      <c r="K18703" s="68"/>
    </row>
    <row r="18704" spans="2:11" ht="12.75">
      <c r="B18704" s="4"/>
      <c r="D18704" s="67"/>
      <c r="G18704" s="68"/>
      <c r="K18704" s="68"/>
    </row>
    <row r="18705" spans="2:11" ht="12.75">
      <c r="B18705" s="4"/>
      <c r="D18705" s="67"/>
      <c r="G18705" s="68"/>
      <c r="K18705" s="68"/>
    </row>
    <row r="18706" spans="2:11" ht="12.75">
      <c r="B18706" s="4"/>
      <c r="D18706" s="67"/>
      <c r="G18706" s="68"/>
      <c r="K18706" s="68"/>
    </row>
    <row r="18707" spans="2:11" ht="12.75">
      <c r="B18707" s="4"/>
      <c r="D18707" s="67"/>
      <c r="G18707" s="68"/>
      <c r="K18707" s="68"/>
    </row>
    <row r="18708" spans="2:11" ht="12.75">
      <c r="B18708" s="4"/>
      <c r="D18708" s="67"/>
      <c r="G18708" s="68"/>
      <c r="K18708" s="68"/>
    </row>
    <row r="18709" spans="2:11" ht="12.75">
      <c r="B18709" s="4"/>
      <c r="D18709" s="67"/>
      <c r="G18709" s="68"/>
      <c r="K18709" s="68"/>
    </row>
    <row r="18710" spans="2:11" ht="12.75">
      <c r="B18710" s="4"/>
      <c r="D18710" s="67"/>
      <c r="G18710" s="68"/>
      <c r="K18710" s="68"/>
    </row>
    <row r="18711" spans="2:11" ht="12.75">
      <c r="B18711" s="4"/>
      <c r="D18711" s="67"/>
      <c r="G18711" s="68"/>
      <c r="K18711" s="68"/>
    </row>
    <row r="18712" spans="2:11" ht="12.75">
      <c r="B18712" s="4"/>
      <c r="D18712" s="67"/>
      <c r="G18712" s="68"/>
      <c r="K18712" s="68"/>
    </row>
    <row r="18713" spans="2:11" ht="12.75">
      <c r="B18713" s="4"/>
      <c r="D18713" s="67"/>
      <c r="G18713" s="68"/>
      <c r="K18713" s="68"/>
    </row>
    <row r="18714" spans="2:11" ht="12.75">
      <c r="B18714" s="4"/>
      <c r="D18714" s="67"/>
      <c r="G18714" s="68"/>
      <c r="K18714" s="68"/>
    </row>
    <row r="18715" spans="2:11" ht="12.75">
      <c r="B18715" s="4"/>
      <c r="D18715" s="67"/>
      <c r="G18715" s="68"/>
      <c r="K18715" s="68"/>
    </row>
    <row r="18716" spans="2:11" ht="12.75">
      <c r="B18716" s="4"/>
      <c r="D18716" s="67"/>
      <c r="G18716" s="68"/>
      <c r="K18716" s="68"/>
    </row>
    <row r="18717" spans="2:11" ht="12.75">
      <c r="B18717" s="4"/>
      <c r="D18717" s="67"/>
      <c r="G18717" s="68"/>
      <c r="K18717" s="68"/>
    </row>
    <row r="18718" spans="2:11" ht="12.75">
      <c r="B18718" s="4"/>
      <c r="D18718" s="67"/>
      <c r="G18718" s="68"/>
      <c r="K18718" s="68"/>
    </row>
    <row r="18719" spans="2:11" ht="12.75">
      <c r="B18719" s="4"/>
      <c r="D18719" s="67"/>
      <c r="G18719" s="68"/>
      <c r="K18719" s="68"/>
    </row>
    <row r="18720" spans="2:11" ht="12.75">
      <c r="B18720" s="4"/>
      <c r="D18720" s="67"/>
      <c r="G18720" s="68"/>
      <c r="K18720" s="68"/>
    </row>
    <row r="18721" spans="2:11" ht="12.75">
      <c r="B18721" s="4"/>
      <c r="D18721" s="67"/>
      <c r="G18721" s="68"/>
      <c r="K18721" s="68"/>
    </row>
    <row r="18722" spans="2:11" ht="12.75">
      <c r="B18722" s="4"/>
      <c r="D18722" s="67"/>
      <c r="G18722" s="68"/>
      <c r="K18722" s="68"/>
    </row>
    <row r="18723" spans="2:11" ht="12.75">
      <c r="B18723" s="4"/>
      <c r="D18723" s="67"/>
      <c r="G18723" s="68"/>
      <c r="K18723" s="68"/>
    </row>
    <row r="18724" spans="2:11" ht="12.75">
      <c r="B18724" s="4"/>
      <c r="D18724" s="67"/>
      <c r="G18724" s="68"/>
      <c r="K18724" s="68"/>
    </row>
    <row r="18725" spans="2:11" ht="12.75">
      <c r="B18725" s="4"/>
      <c r="D18725" s="67"/>
      <c r="G18725" s="68"/>
      <c r="K18725" s="68"/>
    </row>
    <row r="18726" spans="2:11" ht="12.75">
      <c r="B18726" s="4"/>
      <c r="D18726" s="67"/>
      <c r="G18726" s="68"/>
      <c r="K18726" s="68"/>
    </row>
    <row r="18727" spans="2:11" ht="12.75">
      <c r="B18727" s="4"/>
      <c r="D18727" s="67"/>
      <c r="G18727" s="68"/>
      <c r="K18727" s="68"/>
    </row>
    <row r="18728" spans="2:11" ht="12.75">
      <c r="B18728" s="4"/>
      <c r="D18728" s="67"/>
      <c r="G18728" s="68"/>
      <c r="K18728" s="68"/>
    </row>
    <row r="18729" spans="2:11" ht="12.75">
      <c r="B18729" s="4"/>
      <c r="D18729" s="67"/>
      <c r="G18729" s="68"/>
      <c r="K18729" s="68"/>
    </row>
    <row r="18730" spans="2:11" ht="12.75">
      <c r="B18730" s="4"/>
      <c r="D18730" s="67"/>
      <c r="G18730" s="68"/>
      <c r="K18730" s="68"/>
    </row>
    <row r="18731" spans="2:11" ht="12.75">
      <c r="B18731" s="4"/>
      <c r="D18731" s="67"/>
      <c r="G18731" s="68"/>
      <c r="K18731" s="68"/>
    </row>
    <row r="18732" spans="2:11" ht="12.75">
      <c r="B18732" s="4"/>
      <c r="D18732" s="67"/>
      <c r="G18732" s="68"/>
      <c r="K18732" s="68"/>
    </row>
    <row r="18733" spans="2:11" ht="12.75">
      <c r="B18733" s="4"/>
      <c r="D18733" s="67"/>
      <c r="G18733" s="68"/>
      <c r="K18733" s="68"/>
    </row>
    <row r="18734" spans="2:11" ht="12.75">
      <c r="B18734" s="4"/>
      <c r="D18734" s="67"/>
      <c r="G18734" s="68"/>
      <c r="K18734" s="68"/>
    </row>
    <row r="18735" spans="2:11" ht="12.75">
      <c r="B18735" s="4"/>
      <c r="D18735" s="67"/>
      <c r="G18735" s="68"/>
      <c r="K18735" s="68"/>
    </row>
    <row r="18736" spans="2:11" ht="12.75">
      <c r="B18736" s="4"/>
      <c r="D18736" s="67"/>
      <c r="G18736" s="68"/>
      <c r="K18736" s="68"/>
    </row>
    <row r="18737" spans="2:11" ht="12.75">
      <c r="B18737" s="4"/>
      <c r="D18737" s="67"/>
      <c r="G18737" s="68"/>
      <c r="K18737" s="68"/>
    </row>
    <row r="18738" spans="2:11" ht="12.75">
      <c r="B18738" s="4"/>
      <c r="D18738" s="67"/>
      <c r="G18738" s="68"/>
      <c r="K18738" s="68"/>
    </row>
    <row r="18739" spans="2:11" ht="12.75">
      <c r="B18739" s="4"/>
      <c r="D18739" s="67"/>
      <c r="G18739" s="68"/>
      <c r="K18739" s="68"/>
    </row>
    <row r="18740" spans="2:11" ht="12.75">
      <c r="B18740" s="4"/>
      <c r="D18740" s="67"/>
      <c r="G18740" s="68"/>
      <c r="K18740" s="68"/>
    </row>
    <row r="18741" spans="2:11" ht="12.75">
      <c r="B18741" s="4"/>
      <c r="D18741" s="67"/>
      <c r="G18741" s="68"/>
      <c r="K18741" s="68"/>
    </row>
    <row r="18742" spans="2:11" ht="12.75">
      <c r="B18742" s="4"/>
      <c r="D18742" s="67"/>
      <c r="G18742" s="68"/>
      <c r="K18742" s="68"/>
    </row>
    <row r="18743" spans="2:11" ht="12.75">
      <c r="B18743" s="4"/>
      <c r="D18743" s="67"/>
      <c r="G18743" s="68"/>
      <c r="K18743" s="68"/>
    </row>
    <row r="18744" spans="2:11" ht="12.75">
      <c r="B18744" s="4"/>
      <c r="D18744" s="67"/>
      <c r="G18744" s="68"/>
      <c r="K18744" s="68"/>
    </row>
    <row r="18745" spans="2:11" ht="12.75">
      <c r="B18745" s="4"/>
      <c r="D18745" s="67"/>
      <c r="G18745" s="68"/>
      <c r="K18745" s="68"/>
    </row>
    <row r="18746" spans="2:11" ht="12.75">
      <c r="B18746" s="4"/>
      <c r="D18746" s="67"/>
      <c r="G18746" s="68"/>
      <c r="K18746" s="68"/>
    </row>
    <row r="18747" spans="2:11" ht="12.75">
      <c r="B18747" s="4"/>
      <c r="D18747" s="67"/>
      <c r="G18747" s="68"/>
      <c r="K18747" s="68"/>
    </row>
    <row r="18748" spans="2:11" ht="12.75">
      <c r="B18748" s="4"/>
      <c r="D18748" s="67"/>
      <c r="G18748" s="68"/>
      <c r="K18748" s="68"/>
    </row>
    <row r="18749" spans="2:11" ht="12.75">
      <c r="B18749" s="4"/>
      <c r="D18749" s="67"/>
      <c r="G18749" s="68"/>
      <c r="K18749" s="68"/>
    </row>
    <row r="18750" spans="2:11" ht="12.75">
      <c r="B18750" s="4"/>
      <c r="D18750" s="67"/>
      <c r="G18750" s="68"/>
      <c r="K18750" s="68"/>
    </row>
    <row r="18751" spans="2:11" ht="12.75">
      <c r="B18751" s="4"/>
      <c r="D18751" s="67"/>
      <c r="G18751" s="68"/>
      <c r="K18751" s="68"/>
    </row>
    <row r="18752" spans="2:11" ht="12.75">
      <c r="B18752" s="4"/>
      <c r="D18752" s="67"/>
      <c r="G18752" s="68"/>
      <c r="K18752" s="68"/>
    </row>
    <row r="18753" spans="2:11" ht="12.75">
      <c r="B18753" s="4"/>
      <c r="D18753" s="67"/>
      <c r="G18753" s="68"/>
      <c r="K18753" s="68"/>
    </row>
    <row r="18754" spans="2:11" ht="12.75">
      <c r="B18754" s="4"/>
      <c r="D18754" s="67"/>
      <c r="G18754" s="68"/>
      <c r="K18754" s="68"/>
    </row>
    <row r="18755" spans="2:11" ht="12.75">
      <c r="B18755" s="4"/>
      <c r="D18755" s="67"/>
      <c r="G18755" s="68"/>
      <c r="K18755" s="68"/>
    </row>
    <row r="18756" spans="2:11" ht="12.75">
      <c r="B18756" s="4"/>
      <c r="D18756" s="67"/>
      <c r="G18756" s="68"/>
      <c r="K18756" s="68"/>
    </row>
    <row r="18757" spans="2:11" ht="12.75">
      <c r="B18757" s="4"/>
      <c r="D18757" s="67"/>
      <c r="G18757" s="68"/>
      <c r="K18757" s="68"/>
    </row>
    <row r="18758" spans="2:11" ht="12.75">
      <c r="B18758" s="4"/>
      <c r="D18758" s="67"/>
      <c r="G18758" s="68"/>
      <c r="K18758" s="68"/>
    </row>
    <row r="18759" spans="2:11" ht="12.75">
      <c r="B18759" s="4"/>
      <c r="D18759" s="67"/>
      <c r="G18759" s="68"/>
      <c r="K18759" s="68"/>
    </row>
    <row r="18760" spans="2:11" ht="12.75">
      <c r="B18760" s="4"/>
      <c r="D18760" s="67"/>
      <c r="G18760" s="68"/>
      <c r="K18760" s="68"/>
    </row>
    <row r="18761" spans="2:11" ht="12.75">
      <c r="B18761" s="4"/>
      <c r="D18761" s="67"/>
      <c r="G18761" s="68"/>
      <c r="K18761" s="68"/>
    </row>
    <row r="18762" spans="2:11" ht="12.75">
      <c r="B18762" s="4"/>
      <c r="D18762" s="67"/>
      <c r="G18762" s="68"/>
      <c r="K18762" s="68"/>
    </row>
    <row r="18763" spans="2:11" ht="12.75">
      <c r="B18763" s="4"/>
      <c r="D18763" s="67"/>
      <c r="G18763" s="68"/>
      <c r="K18763" s="68"/>
    </row>
    <row r="18764" spans="2:11" ht="12.75">
      <c r="B18764" s="4"/>
      <c r="D18764" s="67"/>
      <c r="G18764" s="68"/>
      <c r="K18764" s="68"/>
    </row>
    <row r="18765" spans="2:11" ht="12.75">
      <c r="B18765" s="4"/>
      <c r="D18765" s="67"/>
      <c r="G18765" s="68"/>
      <c r="K18765" s="68"/>
    </row>
    <row r="18766" spans="2:11" ht="12.75">
      <c r="B18766" s="4"/>
      <c r="D18766" s="67"/>
      <c r="G18766" s="68"/>
      <c r="K18766" s="68"/>
    </row>
    <row r="18767" spans="2:11" ht="12.75">
      <c r="B18767" s="4"/>
      <c r="D18767" s="67"/>
      <c r="G18767" s="68"/>
      <c r="K18767" s="68"/>
    </row>
    <row r="18768" spans="2:11" ht="12.75">
      <c r="B18768" s="4"/>
      <c r="D18768" s="67"/>
      <c r="G18768" s="68"/>
      <c r="K18768" s="68"/>
    </row>
    <row r="18769" spans="2:11" ht="12.75">
      <c r="B18769" s="4"/>
      <c r="D18769" s="67"/>
      <c r="G18769" s="68"/>
      <c r="K18769" s="68"/>
    </row>
    <row r="18770" spans="2:11" ht="12.75">
      <c r="B18770" s="4"/>
      <c r="D18770" s="67"/>
      <c r="G18770" s="68"/>
      <c r="K18770" s="68"/>
    </row>
    <row r="18771" spans="2:11" ht="12.75">
      <c r="B18771" s="4"/>
      <c r="D18771" s="67"/>
      <c r="G18771" s="68"/>
      <c r="K18771" s="68"/>
    </row>
    <row r="18772" spans="2:11" ht="12.75">
      <c r="B18772" s="4"/>
      <c r="D18772" s="67"/>
      <c r="G18772" s="68"/>
      <c r="K18772" s="68"/>
    </row>
    <row r="18773" spans="2:11" ht="12.75">
      <c r="B18773" s="4"/>
      <c r="D18773" s="67"/>
      <c r="G18773" s="68"/>
      <c r="K18773" s="68"/>
    </row>
    <row r="18774" spans="2:11" ht="12.75">
      <c r="B18774" s="4"/>
      <c r="D18774" s="67"/>
      <c r="G18774" s="68"/>
      <c r="K18774" s="68"/>
    </row>
    <row r="18775" spans="2:11" ht="12.75">
      <c r="B18775" s="4"/>
      <c r="D18775" s="67"/>
      <c r="G18775" s="68"/>
      <c r="K18775" s="68"/>
    </row>
    <row r="18776" spans="2:11" ht="12.75">
      <c r="B18776" s="4"/>
      <c r="D18776" s="67"/>
      <c r="G18776" s="68"/>
      <c r="K18776" s="68"/>
    </row>
    <row r="18777" spans="2:11" ht="12.75">
      <c r="B18777" s="4"/>
      <c r="D18777" s="67"/>
      <c r="G18777" s="68"/>
      <c r="K18777" s="68"/>
    </row>
    <row r="18778" spans="2:11" ht="12.75">
      <c r="B18778" s="4"/>
      <c r="D18778" s="67"/>
      <c r="G18778" s="68"/>
      <c r="K18778" s="68"/>
    </row>
    <row r="18779" spans="2:11" ht="12.75">
      <c r="B18779" s="4"/>
      <c r="D18779" s="67"/>
      <c r="G18779" s="68"/>
      <c r="K18779" s="68"/>
    </row>
    <row r="18780" spans="2:11" ht="12.75">
      <c r="B18780" s="4"/>
      <c r="D18780" s="67"/>
      <c r="G18780" s="68"/>
      <c r="K18780" s="68"/>
    </row>
    <row r="18781" spans="2:11" ht="12.75">
      <c r="B18781" s="4"/>
      <c r="D18781" s="67"/>
      <c r="G18781" s="68"/>
      <c r="K18781" s="68"/>
    </row>
    <row r="18782" spans="2:11" ht="12.75">
      <c r="B18782" s="4"/>
      <c r="D18782" s="67"/>
      <c r="G18782" s="68"/>
      <c r="K18782" s="68"/>
    </row>
    <row r="18783" spans="2:11" ht="12.75">
      <c r="B18783" s="4"/>
      <c r="D18783" s="67"/>
      <c r="G18783" s="68"/>
      <c r="K18783" s="68"/>
    </row>
    <row r="18784" spans="2:11" ht="12.75">
      <c r="B18784" s="4"/>
      <c r="D18784" s="67"/>
      <c r="G18784" s="68"/>
      <c r="K18784" s="68"/>
    </row>
    <row r="18785" spans="2:11" ht="12.75">
      <c r="B18785" s="4"/>
      <c r="D18785" s="67"/>
      <c r="G18785" s="68"/>
      <c r="K18785" s="68"/>
    </row>
    <row r="18786" spans="2:11" ht="12.75">
      <c r="B18786" s="4"/>
      <c r="D18786" s="67"/>
      <c r="G18786" s="68"/>
      <c r="K18786" s="68"/>
    </row>
    <row r="18787" spans="2:11" ht="12.75">
      <c r="B18787" s="4"/>
      <c r="D18787" s="67"/>
      <c r="G18787" s="68"/>
      <c r="K18787" s="68"/>
    </row>
    <row r="18788" spans="2:11" ht="12.75">
      <c r="B18788" s="4"/>
      <c r="D18788" s="67"/>
      <c r="G18788" s="68"/>
      <c r="K18788" s="68"/>
    </row>
    <row r="18789" spans="2:11" ht="12.75">
      <c r="B18789" s="4"/>
      <c r="D18789" s="67"/>
      <c r="G18789" s="68"/>
      <c r="K18789" s="68"/>
    </row>
    <row r="18790" spans="2:11" ht="12.75">
      <c r="B18790" s="4"/>
      <c r="D18790" s="67"/>
      <c r="G18790" s="68"/>
      <c r="K18790" s="68"/>
    </row>
    <row r="18791" spans="2:11" ht="12.75">
      <c r="B18791" s="4"/>
      <c r="D18791" s="67"/>
      <c r="G18791" s="68"/>
      <c r="K18791" s="68"/>
    </row>
    <row r="18792" spans="2:11" ht="12.75">
      <c r="B18792" s="4"/>
      <c r="D18792" s="67"/>
      <c r="G18792" s="68"/>
      <c r="K18792" s="68"/>
    </row>
    <row r="18793" spans="2:11" ht="12.75">
      <c r="B18793" s="4"/>
      <c r="D18793" s="67"/>
      <c r="G18793" s="68"/>
      <c r="K18793" s="68"/>
    </row>
    <row r="18794" spans="2:11" ht="12.75">
      <c r="B18794" s="4"/>
      <c r="D18794" s="67"/>
      <c r="G18794" s="68"/>
      <c r="K18794" s="68"/>
    </row>
    <row r="18795" spans="2:11" ht="12.75">
      <c r="B18795" s="4"/>
      <c r="D18795" s="67"/>
      <c r="G18795" s="68"/>
      <c r="K18795" s="68"/>
    </row>
    <row r="18796" spans="2:11" ht="12.75">
      <c r="B18796" s="4"/>
      <c r="D18796" s="67"/>
      <c r="G18796" s="68"/>
      <c r="K18796" s="68"/>
    </row>
    <row r="18797" spans="2:11" ht="12.75">
      <c r="B18797" s="4"/>
      <c r="D18797" s="67"/>
      <c r="G18797" s="68"/>
      <c r="K18797" s="68"/>
    </row>
    <row r="18798" spans="2:11" ht="12.75">
      <c r="B18798" s="4"/>
      <c r="D18798" s="67"/>
      <c r="G18798" s="68"/>
      <c r="K18798" s="68"/>
    </row>
    <row r="18799" spans="2:11" ht="12.75">
      <c r="B18799" s="4"/>
      <c r="D18799" s="67"/>
      <c r="G18799" s="68"/>
      <c r="K18799" s="68"/>
    </row>
    <row r="18800" spans="2:11" ht="12.75">
      <c r="B18800" s="4"/>
      <c r="D18800" s="67"/>
      <c r="G18800" s="68"/>
      <c r="K18800" s="68"/>
    </row>
    <row r="18801" spans="2:11" ht="12.75">
      <c r="B18801" s="4"/>
      <c r="D18801" s="67"/>
      <c r="G18801" s="68"/>
      <c r="K18801" s="68"/>
    </row>
    <row r="18802" spans="2:11" ht="12.75">
      <c r="B18802" s="4"/>
      <c r="D18802" s="67"/>
      <c r="G18802" s="68"/>
      <c r="K18802" s="68"/>
    </row>
    <row r="18803" spans="2:11" ht="12.75">
      <c r="B18803" s="4"/>
      <c r="D18803" s="67"/>
      <c r="G18803" s="68"/>
      <c r="K18803" s="68"/>
    </row>
    <row r="18804" spans="2:11" ht="12.75">
      <c r="B18804" s="4"/>
      <c r="D18804" s="67"/>
      <c r="G18804" s="68"/>
      <c r="K18804" s="68"/>
    </row>
    <row r="18805" spans="2:11" ht="12.75">
      <c r="B18805" s="4"/>
      <c r="D18805" s="67"/>
      <c r="G18805" s="68"/>
      <c r="K18805" s="68"/>
    </row>
    <row r="18806" spans="2:11" ht="12.75">
      <c r="B18806" s="4"/>
      <c r="D18806" s="67"/>
      <c r="G18806" s="68"/>
      <c r="K18806" s="68"/>
    </row>
    <row r="18807" spans="2:11" ht="12.75">
      <c r="B18807" s="4"/>
      <c r="D18807" s="67"/>
      <c r="G18807" s="68"/>
      <c r="K18807" s="68"/>
    </row>
    <row r="18808" spans="2:11" ht="12.75">
      <c r="B18808" s="4"/>
      <c r="D18808" s="67"/>
      <c r="G18808" s="68"/>
      <c r="K18808" s="68"/>
    </row>
    <row r="18809" spans="2:11" ht="12.75">
      <c r="B18809" s="4"/>
      <c r="D18809" s="67"/>
      <c r="G18809" s="68"/>
      <c r="K18809" s="68"/>
    </row>
    <row r="18810" spans="2:11" ht="12.75">
      <c r="B18810" s="4"/>
      <c r="D18810" s="67"/>
      <c r="G18810" s="68"/>
      <c r="K18810" s="68"/>
    </row>
    <row r="18811" spans="2:11" ht="12.75">
      <c r="B18811" s="4"/>
      <c r="D18811" s="67"/>
      <c r="G18811" s="68"/>
      <c r="K18811" s="68"/>
    </row>
    <row r="18812" spans="2:11" ht="12.75">
      <c r="B18812" s="4"/>
      <c r="D18812" s="67"/>
      <c r="G18812" s="68"/>
      <c r="K18812" s="68"/>
    </row>
    <row r="18813" spans="2:11" ht="12.75">
      <c r="B18813" s="4"/>
      <c r="D18813" s="67"/>
      <c r="G18813" s="68"/>
      <c r="K18813" s="68"/>
    </row>
    <row r="18814" spans="2:11" ht="12.75">
      <c r="B18814" s="4"/>
      <c r="D18814" s="67"/>
      <c r="G18814" s="68"/>
      <c r="K18814" s="68"/>
    </row>
    <row r="18815" spans="2:11" ht="12.75">
      <c r="B18815" s="4"/>
      <c r="D18815" s="67"/>
      <c r="G18815" s="68"/>
      <c r="K18815" s="68"/>
    </row>
    <row r="18816" spans="2:11" ht="12.75">
      <c r="B18816" s="4"/>
      <c r="D18816" s="67"/>
      <c r="G18816" s="68"/>
      <c r="K18816" s="68"/>
    </row>
    <row r="18817" spans="2:11" ht="12.75">
      <c r="B18817" s="4"/>
      <c r="D18817" s="67"/>
      <c r="G18817" s="68"/>
      <c r="K18817" s="68"/>
    </row>
    <row r="18818" spans="2:11" ht="12.75">
      <c r="B18818" s="4"/>
      <c r="D18818" s="67"/>
      <c r="G18818" s="68"/>
      <c r="K18818" s="68"/>
    </row>
    <row r="18819" spans="2:11" ht="12.75">
      <c r="B18819" s="4"/>
      <c r="D18819" s="67"/>
      <c r="G18819" s="68"/>
      <c r="K18819" s="68"/>
    </row>
    <row r="18820" spans="2:11" ht="12.75">
      <c r="B18820" s="4"/>
      <c r="D18820" s="67"/>
      <c r="G18820" s="68"/>
      <c r="K18820" s="68"/>
    </row>
    <row r="18821" spans="2:11" ht="12.75">
      <c r="B18821" s="4"/>
      <c r="D18821" s="67"/>
      <c r="G18821" s="68"/>
      <c r="K18821" s="68"/>
    </row>
    <row r="18822" spans="2:11" ht="12.75">
      <c r="B18822" s="4"/>
      <c r="D18822" s="67"/>
      <c r="G18822" s="68"/>
      <c r="K18822" s="68"/>
    </row>
    <row r="18823" spans="2:11" ht="12.75">
      <c r="B18823" s="4"/>
      <c r="D18823" s="67"/>
      <c r="G18823" s="68"/>
      <c r="K18823" s="68"/>
    </row>
    <row r="18824" spans="2:11" ht="12.75">
      <c r="B18824" s="4"/>
      <c r="D18824" s="67"/>
      <c r="G18824" s="68"/>
      <c r="K18824" s="68"/>
    </row>
    <row r="18825" spans="2:11" ht="12.75">
      <c r="B18825" s="4"/>
      <c r="D18825" s="67"/>
      <c r="G18825" s="68"/>
      <c r="K18825" s="68"/>
    </row>
    <row r="18826" spans="2:11" ht="12.75">
      <c r="B18826" s="4"/>
      <c r="D18826" s="67"/>
      <c r="G18826" s="68"/>
      <c r="K18826" s="68"/>
    </row>
    <row r="18827" spans="2:11" ht="12.75">
      <c r="B18827" s="4"/>
      <c r="D18827" s="67"/>
      <c r="G18827" s="68"/>
      <c r="K18827" s="68"/>
    </row>
    <row r="18828" spans="2:11" ht="12.75">
      <c r="B18828" s="4"/>
      <c r="D18828" s="67"/>
      <c r="G18828" s="68"/>
      <c r="K18828" s="68"/>
    </row>
    <row r="18829" spans="2:11" ht="12.75">
      <c r="B18829" s="4"/>
      <c r="D18829" s="67"/>
      <c r="G18829" s="68"/>
      <c r="K18829" s="68"/>
    </row>
    <row r="18830" spans="2:11" ht="12.75">
      <c r="B18830" s="4"/>
      <c r="D18830" s="67"/>
      <c r="G18830" s="68"/>
      <c r="K18830" s="68"/>
    </row>
    <row r="18831" spans="2:11" ht="12.75">
      <c r="B18831" s="4"/>
      <c r="D18831" s="67"/>
      <c r="G18831" s="68"/>
      <c r="K18831" s="68"/>
    </row>
    <row r="18832" spans="2:11" ht="12.75">
      <c r="B18832" s="4"/>
      <c r="D18832" s="67"/>
      <c r="G18832" s="68"/>
      <c r="K18832" s="68"/>
    </row>
    <row r="18833" spans="2:11" ht="12.75">
      <c r="B18833" s="4"/>
      <c r="D18833" s="67"/>
      <c r="G18833" s="68"/>
      <c r="K18833" s="68"/>
    </row>
    <row r="18834" spans="2:11" ht="12.75">
      <c r="B18834" s="4"/>
      <c r="D18834" s="67"/>
      <c r="G18834" s="68"/>
      <c r="K18834" s="68"/>
    </row>
    <row r="18835" spans="2:11" ht="12.75">
      <c r="B18835" s="4"/>
      <c r="D18835" s="67"/>
      <c r="G18835" s="68"/>
      <c r="K18835" s="68"/>
    </row>
    <row r="18836" spans="2:11" ht="12.75">
      <c r="B18836" s="4"/>
      <c r="D18836" s="67"/>
      <c r="G18836" s="68"/>
      <c r="K18836" s="68"/>
    </row>
    <row r="18837" spans="2:11" ht="12.75">
      <c r="B18837" s="4"/>
      <c r="D18837" s="67"/>
      <c r="G18837" s="68"/>
      <c r="K18837" s="68"/>
    </row>
    <row r="18838" spans="2:11" ht="12.75">
      <c r="B18838" s="4"/>
      <c r="D18838" s="67"/>
      <c r="G18838" s="68"/>
      <c r="K18838" s="68"/>
    </row>
    <row r="18839" spans="2:11" ht="12.75">
      <c r="B18839" s="4"/>
      <c r="D18839" s="67"/>
      <c r="G18839" s="68"/>
      <c r="K18839" s="68"/>
    </row>
    <row r="18840" spans="2:11" ht="12.75">
      <c r="B18840" s="4"/>
      <c r="D18840" s="67"/>
      <c r="G18840" s="68"/>
      <c r="K18840" s="68"/>
    </row>
    <row r="18841" spans="2:11" ht="12.75">
      <c r="B18841" s="4"/>
      <c r="D18841" s="67"/>
      <c r="G18841" s="68"/>
      <c r="K18841" s="68"/>
    </row>
    <row r="18842" spans="2:11" ht="12.75">
      <c r="B18842" s="4"/>
      <c r="D18842" s="67"/>
      <c r="G18842" s="68"/>
      <c r="K18842" s="68"/>
    </row>
    <row r="18843" spans="2:11" ht="12.75">
      <c r="B18843" s="4"/>
      <c r="D18843" s="67"/>
      <c r="G18843" s="68"/>
      <c r="K18843" s="68"/>
    </row>
    <row r="18844" spans="2:11" ht="12.75">
      <c r="B18844" s="4"/>
      <c r="D18844" s="67"/>
      <c r="G18844" s="68"/>
      <c r="K18844" s="68"/>
    </row>
    <row r="18845" spans="2:11" ht="12.75">
      <c r="B18845" s="4"/>
      <c r="D18845" s="67"/>
      <c r="G18845" s="68"/>
      <c r="K18845" s="68"/>
    </row>
    <row r="18846" spans="2:11" ht="12.75">
      <c r="B18846" s="4"/>
      <c r="D18846" s="67"/>
      <c r="G18846" s="68"/>
      <c r="K18846" s="68"/>
    </row>
    <row r="18847" spans="2:11" ht="12.75">
      <c r="B18847" s="4"/>
      <c r="D18847" s="67"/>
      <c r="G18847" s="68"/>
      <c r="K18847" s="68"/>
    </row>
    <row r="18848" spans="2:11" ht="12.75">
      <c r="B18848" s="4"/>
      <c r="D18848" s="67"/>
      <c r="G18848" s="68"/>
      <c r="K18848" s="68"/>
    </row>
    <row r="18849" spans="2:11" ht="12.75">
      <c r="B18849" s="4"/>
      <c r="D18849" s="67"/>
      <c r="G18849" s="68"/>
      <c r="K18849" s="68"/>
    </row>
    <row r="18850" spans="2:11" ht="12.75">
      <c r="B18850" s="4"/>
      <c r="D18850" s="67"/>
      <c r="G18850" s="68"/>
      <c r="K18850" s="68"/>
    </row>
    <row r="18851" spans="2:11" ht="12.75">
      <c r="B18851" s="4"/>
      <c r="D18851" s="67"/>
      <c r="G18851" s="68"/>
      <c r="K18851" s="68"/>
    </row>
    <row r="18852" spans="2:11" ht="12.75">
      <c r="B18852" s="4"/>
      <c r="D18852" s="67"/>
      <c r="G18852" s="68"/>
      <c r="K18852" s="68"/>
    </row>
    <row r="18853" spans="2:11" ht="12.75">
      <c r="B18853" s="4"/>
      <c r="D18853" s="67"/>
      <c r="G18853" s="68"/>
      <c r="K18853" s="68"/>
    </row>
    <row r="18854" spans="2:11" ht="12.75">
      <c r="B18854" s="4"/>
      <c r="D18854" s="67"/>
      <c r="G18854" s="68"/>
      <c r="K18854" s="68"/>
    </row>
    <row r="18855" spans="2:11" ht="12.75">
      <c r="B18855" s="4"/>
      <c r="D18855" s="67"/>
      <c r="G18855" s="68"/>
      <c r="K18855" s="68"/>
    </row>
    <row r="18856" spans="2:11" ht="12.75">
      <c r="B18856" s="4"/>
      <c r="D18856" s="67"/>
      <c r="G18856" s="68"/>
      <c r="K18856" s="68"/>
    </row>
    <row r="18857" spans="2:11" ht="12.75">
      <c r="B18857" s="4"/>
      <c r="D18857" s="67"/>
      <c r="G18857" s="68"/>
      <c r="K18857" s="68"/>
    </row>
    <row r="18858" spans="2:11" ht="12.75">
      <c r="B18858" s="4"/>
      <c r="D18858" s="67"/>
      <c r="G18858" s="68"/>
      <c r="K18858" s="68"/>
    </row>
    <row r="18859" spans="2:11" ht="12.75">
      <c r="B18859" s="4"/>
      <c r="D18859" s="67"/>
      <c r="G18859" s="68"/>
      <c r="K18859" s="68"/>
    </row>
    <row r="18860" spans="2:11" ht="12.75">
      <c r="B18860" s="4"/>
      <c r="D18860" s="67"/>
      <c r="G18860" s="68"/>
      <c r="K18860" s="68"/>
    </row>
    <row r="18861" spans="2:11" ht="12.75">
      <c r="B18861" s="4"/>
      <c r="D18861" s="67"/>
      <c r="G18861" s="68"/>
      <c r="K18861" s="68"/>
    </row>
    <row r="18862" spans="2:11" ht="12.75">
      <c r="B18862" s="4"/>
      <c r="D18862" s="67"/>
      <c r="G18862" s="68"/>
      <c r="K18862" s="68"/>
    </row>
    <row r="18863" spans="2:11" ht="12.75">
      <c r="B18863" s="4"/>
      <c r="D18863" s="67"/>
      <c r="G18863" s="68"/>
      <c r="K18863" s="68"/>
    </row>
    <row r="18864" spans="2:11" ht="12.75">
      <c r="B18864" s="4"/>
      <c r="D18864" s="67"/>
      <c r="G18864" s="68"/>
      <c r="K18864" s="68"/>
    </row>
    <row r="18865" spans="2:11" ht="12.75">
      <c r="B18865" s="4"/>
      <c r="D18865" s="67"/>
      <c r="G18865" s="68"/>
      <c r="K18865" s="68"/>
    </row>
    <row r="18866" spans="2:11" ht="12.75">
      <c r="B18866" s="4"/>
      <c r="D18866" s="67"/>
      <c r="G18866" s="68"/>
      <c r="K18866" s="68"/>
    </row>
    <row r="18867" spans="2:11" ht="12.75">
      <c r="B18867" s="4"/>
      <c r="D18867" s="67"/>
      <c r="G18867" s="68"/>
      <c r="K18867" s="68"/>
    </row>
    <row r="18868" spans="2:11" ht="12.75">
      <c r="B18868" s="4"/>
      <c r="D18868" s="67"/>
      <c r="G18868" s="68"/>
      <c r="K18868" s="68"/>
    </row>
    <row r="18869" spans="2:11" ht="12.75">
      <c r="B18869" s="4"/>
      <c r="D18869" s="67"/>
      <c r="G18869" s="68"/>
      <c r="K18869" s="68"/>
    </row>
    <row r="18870" spans="2:11" ht="12.75">
      <c r="B18870" s="4"/>
      <c r="D18870" s="67"/>
      <c r="G18870" s="68"/>
      <c r="K18870" s="68"/>
    </row>
    <row r="18871" spans="2:11" ht="12.75">
      <c r="B18871" s="4"/>
      <c r="D18871" s="67"/>
      <c r="G18871" s="68"/>
      <c r="K18871" s="68"/>
    </row>
    <row r="18872" spans="2:11" ht="12.75">
      <c r="B18872" s="4"/>
      <c r="D18872" s="67"/>
      <c r="G18872" s="68"/>
      <c r="K18872" s="68"/>
    </row>
    <row r="18873" spans="2:11" ht="12.75">
      <c r="B18873" s="4"/>
      <c r="D18873" s="67"/>
      <c r="G18873" s="68"/>
      <c r="K18873" s="68"/>
    </row>
    <row r="18874" spans="2:11" ht="12.75">
      <c r="B18874" s="4"/>
      <c r="D18874" s="67"/>
      <c r="G18874" s="68"/>
      <c r="K18874" s="68"/>
    </row>
    <row r="18875" spans="2:11" ht="12.75">
      <c r="B18875" s="4"/>
      <c r="D18875" s="67"/>
      <c r="G18875" s="68"/>
      <c r="K18875" s="68"/>
    </row>
    <row r="18876" spans="2:11" ht="12.75">
      <c r="B18876" s="4"/>
      <c r="D18876" s="67"/>
      <c r="G18876" s="68"/>
      <c r="K18876" s="68"/>
    </row>
    <row r="18877" spans="2:11" ht="12.75">
      <c r="B18877" s="4"/>
      <c r="D18877" s="67"/>
      <c r="G18877" s="68"/>
      <c r="K18877" s="68"/>
    </row>
    <row r="18878" spans="2:11" ht="12.75">
      <c r="B18878" s="4"/>
      <c r="D18878" s="67"/>
      <c r="G18878" s="68"/>
      <c r="K18878" s="68"/>
    </row>
    <row r="18879" spans="2:11" ht="12.75">
      <c r="B18879" s="4"/>
      <c r="D18879" s="67"/>
      <c r="G18879" s="68"/>
      <c r="K18879" s="68"/>
    </row>
    <row r="18880" spans="2:11" ht="12.75">
      <c r="B18880" s="4"/>
      <c r="D18880" s="67"/>
      <c r="G18880" s="68"/>
      <c r="K18880" s="68"/>
    </row>
    <row r="18881" spans="2:11" ht="12.75">
      <c r="B18881" s="4"/>
      <c r="D18881" s="67"/>
      <c r="G18881" s="68"/>
      <c r="K18881" s="68"/>
    </row>
    <row r="18882" spans="2:11" ht="12.75">
      <c r="B18882" s="4"/>
      <c r="D18882" s="67"/>
      <c r="G18882" s="68"/>
      <c r="K18882" s="68"/>
    </row>
    <row r="18883" spans="2:11" ht="12.75">
      <c r="B18883" s="4"/>
      <c r="D18883" s="67"/>
      <c r="G18883" s="68"/>
      <c r="K18883" s="68"/>
    </row>
    <row r="18884" spans="2:11" ht="12.75">
      <c r="B18884" s="4"/>
      <c r="D18884" s="67"/>
      <c r="G18884" s="68"/>
      <c r="K18884" s="68"/>
    </row>
    <row r="18885" spans="2:11" ht="12.75">
      <c r="B18885" s="4"/>
      <c r="D18885" s="67"/>
      <c r="G18885" s="68"/>
      <c r="K18885" s="68"/>
    </row>
    <row r="18886" spans="2:11" ht="12.75">
      <c r="B18886" s="4"/>
      <c r="D18886" s="67"/>
      <c r="G18886" s="68"/>
      <c r="K18886" s="68"/>
    </row>
    <row r="18887" spans="2:11" ht="12.75">
      <c r="B18887" s="4"/>
      <c r="D18887" s="67"/>
      <c r="G18887" s="68"/>
      <c r="K18887" s="68"/>
    </row>
    <row r="18888" spans="2:11" ht="12.75">
      <c r="B18888" s="4"/>
      <c r="D18888" s="67"/>
      <c r="G18888" s="68"/>
      <c r="K18888" s="68"/>
    </row>
    <row r="18889" spans="2:11" ht="12.75">
      <c r="B18889" s="4"/>
      <c r="D18889" s="67"/>
      <c r="G18889" s="68"/>
      <c r="K18889" s="68"/>
    </row>
    <row r="18890" spans="2:11" ht="12.75">
      <c r="B18890" s="4"/>
      <c r="D18890" s="67"/>
      <c r="G18890" s="68"/>
      <c r="K18890" s="68"/>
    </row>
    <row r="18891" spans="2:11" ht="12.75">
      <c r="B18891" s="4"/>
      <c r="D18891" s="67"/>
      <c r="G18891" s="68"/>
      <c r="K18891" s="68"/>
    </row>
    <row r="18892" spans="2:11" ht="12.75">
      <c r="B18892" s="4"/>
      <c r="D18892" s="67"/>
      <c r="G18892" s="68"/>
      <c r="K18892" s="68"/>
    </row>
    <row r="18893" spans="2:11" ht="12.75">
      <c r="B18893" s="4"/>
      <c r="D18893" s="67"/>
      <c r="G18893" s="68"/>
      <c r="K18893" s="68"/>
    </row>
    <row r="18894" spans="2:11" ht="12.75">
      <c r="B18894" s="4"/>
      <c r="D18894" s="67"/>
      <c r="G18894" s="68"/>
      <c r="K18894" s="68"/>
    </row>
    <row r="18895" spans="2:11" ht="12.75">
      <c r="B18895" s="4"/>
      <c r="D18895" s="67"/>
      <c r="G18895" s="68"/>
      <c r="K18895" s="68"/>
    </row>
    <row r="18896" spans="2:11" ht="12.75">
      <c r="B18896" s="4"/>
      <c r="D18896" s="67"/>
      <c r="G18896" s="68"/>
      <c r="K18896" s="68"/>
    </row>
    <row r="18897" spans="2:11" ht="12.75">
      <c r="B18897" s="4"/>
      <c r="D18897" s="67"/>
      <c r="G18897" s="68"/>
      <c r="K18897" s="68"/>
    </row>
    <row r="18898" spans="2:11" ht="12.75">
      <c r="B18898" s="4"/>
      <c r="D18898" s="67"/>
      <c r="G18898" s="68"/>
      <c r="K18898" s="68"/>
    </row>
    <row r="18899" spans="2:11" ht="12.75">
      <c r="B18899" s="4"/>
      <c r="D18899" s="67"/>
      <c r="G18899" s="68"/>
      <c r="K18899" s="68"/>
    </row>
    <row r="18900" spans="2:11" ht="12.75">
      <c r="B18900" s="4"/>
      <c r="D18900" s="67"/>
      <c r="G18900" s="68"/>
      <c r="K18900" s="68"/>
    </row>
    <row r="18901" spans="2:11" ht="12.75">
      <c r="B18901" s="4"/>
      <c r="D18901" s="67"/>
      <c r="G18901" s="68"/>
      <c r="K18901" s="68"/>
    </row>
    <row r="18902" spans="2:11" ht="12.75">
      <c r="B18902" s="4"/>
      <c r="D18902" s="67"/>
      <c r="G18902" s="68"/>
      <c r="K18902" s="68"/>
    </row>
    <row r="18903" spans="2:11" ht="12.75">
      <c r="B18903" s="4"/>
      <c r="D18903" s="67"/>
      <c r="G18903" s="68"/>
      <c r="K18903" s="68"/>
    </row>
    <row r="18904" spans="2:11" ht="12.75">
      <c r="B18904" s="4"/>
      <c r="D18904" s="67"/>
      <c r="G18904" s="68"/>
      <c r="K18904" s="68"/>
    </row>
    <row r="18905" spans="2:11" ht="12.75">
      <c r="B18905" s="4"/>
      <c r="D18905" s="67"/>
      <c r="G18905" s="68"/>
      <c r="K18905" s="68"/>
    </row>
    <row r="18906" spans="2:11" ht="12.75">
      <c r="B18906" s="4"/>
      <c r="D18906" s="67"/>
      <c r="G18906" s="68"/>
      <c r="K18906" s="68"/>
    </row>
    <row r="18907" spans="2:11" ht="12.75">
      <c r="B18907" s="4"/>
      <c r="D18907" s="67"/>
      <c r="G18907" s="68"/>
      <c r="K18907" s="68"/>
    </row>
    <row r="18908" spans="2:11" ht="12.75">
      <c r="B18908" s="4"/>
      <c r="D18908" s="67"/>
      <c r="G18908" s="68"/>
      <c r="K18908" s="68"/>
    </row>
    <row r="18909" spans="2:11" ht="12.75">
      <c r="B18909" s="4"/>
      <c r="D18909" s="67"/>
      <c r="G18909" s="68"/>
      <c r="K18909" s="68"/>
    </row>
    <row r="18910" spans="2:11" ht="12.75">
      <c r="B18910" s="4"/>
      <c r="D18910" s="67"/>
      <c r="G18910" s="68"/>
      <c r="K18910" s="68"/>
    </row>
    <row r="18911" spans="2:11" ht="12.75">
      <c r="B18911" s="4"/>
      <c r="D18911" s="67"/>
      <c r="G18911" s="68"/>
      <c r="K18911" s="68"/>
    </row>
    <row r="18912" spans="2:11" ht="12.75">
      <c r="B18912" s="4"/>
      <c r="D18912" s="67"/>
      <c r="G18912" s="68"/>
      <c r="K18912" s="68"/>
    </row>
    <row r="18913" spans="2:11" ht="12.75">
      <c r="B18913" s="4"/>
      <c r="D18913" s="67"/>
      <c r="G18913" s="68"/>
      <c r="K18913" s="68"/>
    </row>
    <row r="18914" spans="2:11" ht="12.75">
      <c r="B18914" s="4"/>
      <c r="D18914" s="67"/>
      <c r="G18914" s="68"/>
      <c r="K18914" s="68"/>
    </row>
    <row r="18915" spans="2:11" ht="12.75">
      <c r="B18915" s="4"/>
      <c r="D18915" s="67"/>
      <c r="G18915" s="68"/>
      <c r="K18915" s="68"/>
    </row>
    <row r="18916" spans="2:11" ht="12.75">
      <c r="B18916" s="4"/>
      <c r="D18916" s="67"/>
      <c r="G18916" s="68"/>
      <c r="K18916" s="68"/>
    </row>
    <row r="18917" spans="2:11" ht="12.75">
      <c r="B18917" s="4"/>
      <c r="D18917" s="67"/>
      <c r="G18917" s="68"/>
      <c r="K18917" s="68"/>
    </row>
    <row r="18918" spans="2:11" ht="12.75">
      <c r="B18918" s="4"/>
      <c r="D18918" s="67"/>
      <c r="G18918" s="68"/>
      <c r="K18918" s="68"/>
    </row>
    <row r="18919" spans="2:11" ht="12.75">
      <c r="B18919" s="4"/>
      <c r="D18919" s="67"/>
      <c r="G18919" s="68"/>
      <c r="K18919" s="68"/>
    </row>
    <row r="18920" spans="2:11" ht="12.75">
      <c r="B18920" s="4"/>
      <c r="D18920" s="67"/>
      <c r="G18920" s="68"/>
      <c r="K18920" s="68"/>
    </row>
    <row r="18921" spans="2:11" ht="12.75">
      <c r="B18921" s="4"/>
      <c r="D18921" s="67"/>
      <c r="G18921" s="68"/>
      <c r="K18921" s="68"/>
    </row>
    <row r="18922" spans="2:11" ht="12.75">
      <c r="B18922" s="4"/>
      <c r="D18922" s="67"/>
      <c r="G18922" s="68"/>
      <c r="K18922" s="68"/>
    </row>
    <row r="18923" spans="2:11" ht="12.75">
      <c r="B18923" s="4"/>
      <c r="D18923" s="67"/>
      <c r="G18923" s="68"/>
      <c r="K18923" s="68"/>
    </row>
    <row r="18924" spans="2:11" ht="12.75">
      <c r="B18924" s="4"/>
      <c r="D18924" s="67"/>
      <c r="G18924" s="68"/>
      <c r="K18924" s="68"/>
    </row>
    <row r="18925" spans="2:11" ht="12.75">
      <c r="B18925" s="4"/>
      <c r="D18925" s="67"/>
      <c r="G18925" s="68"/>
      <c r="K18925" s="68"/>
    </row>
    <row r="18926" spans="2:11" ht="12.75">
      <c r="B18926" s="4"/>
      <c r="D18926" s="67"/>
      <c r="G18926" s="68"/>
      <c r="K18926" s="68"/>
    </row>
    <row r="18927" spans="2:11" ht="12.75">
      <c r="B18927" s="4"/>
      <c r="D18927" s="67"/>
      <c r="G18927" s="68"/>
      <c r="K18927" s="68"/>
    </row>
    <row r="18928" spans="2:11" ht="12.75">
      <c r="B18928" s="4"/>
      <c r="D18928" s="67"/>
      <c r="G18928" s="68"/>
      <c r="K18928" s="68"/>
    </row>
    <row r="18929" spans="2:11" ht="12.75">
      <c r="B18929" s="4"/>
      <c r="D18929" s="67"/>
      <c r="G18929" s="68"/>
      <c r="K18929" s="68"/>
    </row>
    <row r="18930" spans="2:11" ht="12.75">
      <c r="B18930" s="4"/>
      <c r="D18930" s="67"/>
      <c r="G18930" s="68"/>
      <c r="K18930" s="68"/>
    </row>
    <row r="18931" spans="2:11" ht="12.75">
      <c r="B18931" s="4"/>
      <c r="D18931" s="67"/>
      <c r="G18931" s="68"/>
      <c r="K18931" s="68"/>
    </row>
    <row r="18932" spans="2:11" ht="12.75">
      <c r="B18932" s="4"/>
      <c r="D18932" s="67"/>
      <c r="G18932" s="68"/>
      <c r="K18932" s="68"/>
    </row>
    <row r="18933" spans="2:11" ht="12.75">
      <c r="B18933" s="4"/>
      <c r="D18933" s="67"/>
      <c r="G18933" s="68"/>
      <c r="K18933" s="68"/>
    </row>
    <row r="18934" spans="2:11" ht="12.75">
      <c r="B18934" s="4"/>
      <c r="D18934" s="67"/>
      <c r="G18934" s="68"/>
      <c r="K18934" s="68"/>
    </row>
    <row r="18935" spans="2:11" ht="12.75">
      <c r="B18935" s="4"/>
      <c r="D18935" s="67"/>
      <c r="G18935" s="68"/>
      <c r="K18935" s="68"/>
    </row>
    <row r="18936" spans="2:11" ht="12.75">
      <c r="B18936" s="4"/>
      <c r="D18936" s="67"/>
      <c r="G18936" s="68"/>
      <c r="K18936" s="68"/>
    </row>
    <row r="18937" spans="2:11" ht="12.75">
      <c r="B18937" s="4"/>
      <c r="D18937" s="67"/>
      <c r="G18937" s="68"/>
      <c r="K18937" s="68"/>
    </row>
    <row r="18938" spans="2:11" ht="12.75">
      <c r="B18938" s="4"/>
      <c r="D18938" s="67"/>
      <c r="G18938" s="68"/>
      <c r="K18938" s="68"/>
    </row>
    <row r="18939" spans="2:11" ht="12.75">
      <c r="B18939" s="4"/>
      <c r="D18939" s="67"/>
      <c r="G18939" s="68"/>
      <c r="K18939" s="68"/>
    </row>
    <row r="18940" spans="2:11" ht="12.75">
      <c r="B18940" s="4"/>
      <c r="D18940" s="67"/>
      <c r="G18940" s="68"/>
      <c r="K18940" s="68"/>
    </row>
    <row r="18941" spans="2:11" ht="12.75">
      <c r="B18941" s="4"/>
      <c r="D18941" s="67"/>
      <c r="G18941" s="68"/>
      <c r="K18941" s="68"/>
    </row>
    <row r="18942" spans="2:11" ht="12.75">
      <c r="B18942" s="4"/>
      <c r="D18942" s="67"/>
      <c r="G18942" s="68"/>
      <c r="K18942" s="68"/>
    </row>
    <row r="18943" spans="2:11" ht="12.75">
      <c r="B18943" s="4"/>
      <c r="D18943" s="67"/>
      <c r="G18943" s="68"/>
      <c r="K18943" s="68"/>
    </row>
    <row r="18944" spans="2:11" ht="12.75">
      <c r="B18944" s="4"/>
      <c r="D18944" s="67"/>
      <c r="G18944" s="68"/>
      <c r="K18944" s="68"/>
    </row>
    <row r="18945" spans="2:11" ht="12.75">
      <c r="B18945" s="4"/>
      <c r="D18945" s="67"/>
      <c r="G18945" s="68"/>
      <c r="K18945" s="68"/>
    </row>
    <row r="18946" spans="2:11" ht="12.75">
      <c r="B18946" s="4"/>
      <c r="D18946" s="67"/>
      <c r="G18946" s="68"/>
      <c r="K18946" s="68"/>
    </row>
    <row r="18947" spans="2:11" ht="12.75">
      <c r="B18947" s="4"/>
      <c r="D18947" s="67"/>
      <c r="G18947" s="68"/>
      <c r="K18947" s="68"/>
    </row>
    <row r="18948" spans="2:11" ht="12.75">
      <c r="B18948" s="4"/>
      <c r="D18948" s="67"/>
      <c r="G18948" s="68"/>
      <c r="K18948" s="68"/>
    </row>
    <row r="18949" spans="2:11" ht="12.75">
      <c r="B18949" s="4"/>
      <c r="D18949" s="67"/>
      <c r="G18949" s="68"/>
      <c r="K18949" s="68"/>
    </row>
    <row r="18950" spans="2:11" ht="12.75">
      <c r="B18950" s="4"/>
      <c r="D18950" s="67"/>
      <c r="G18950" s="68"/>
      <c r="K18950" s="68"/>
    </row>
    <row r="18951" spans="2:11" ht="12.75">
      <c r="B18951" s="4"/>
      <c r="D18951" s="67"/>
      <c r="G18951" s="68"/>
      <c r="K18951" s="68"/>
    </row>
    <row r="18952" spans="2:11" ht="12.75">
      <c r="B18952" s="4"/>
      <c r="D18952" s="67"/>
      <c r="G18952" s="68"/>
      <c r="K18952" s="68"/>
    </row>
    <row r="18953" spans="2:11" ht="12.75">
      <c r="B18953" s="4"/>
      <c r="D18953" s="67"/>
      <c r="G18953" s="68"/>
      <c r="K18953" s="68"/>
    </row>
    <row r="18954" spans="2:11" ht="12.75">
      <c r="B18954" s="4"/>
      <c r="D18954" s="67"/>
      <c r="G18954" s="68"/>
      <c r="K18954" s="68"/>
    </row>
    <row r="18955" spans="2:11" ht="12.75">
      <c r="B18955" s="4"/>
      <c r="D18955" s="67"/>
      <c r="G18955" s="68"/>
      <c r="K18955" s="68"/>
    </row>
    <row r="18956" spans="2:11" ht="12.75">
      <c r="B18956" s="4"/>
      <c r="D18956" s="67"/>
      <c r="G18956" s="68"/>
      <c r="K18956" s="68"/>
    </row>
    <row r="18957" spans="2:11" ht="12.75">
      <c r="B18957" s="4"/>
      <c r="D18957" s="67"/>
      <c r="G18957" s="68"/>
      <c r="K18957" s="68"/>
    </row>
    <row r="18958" spans="2:11" ht="12.75">
      <c r="B18958" s="4"/>
      <c r="D18958" s="67"/>
      <c r="G18958" s="68"/>
      <c r="K18958" s="68"/>
    </row>
    <row r="18959" spans="2:11" ht="12.75">
      <c r="B18959" s="4"/>
      <c r="D18959" s="67"/>
      <c r="G18959" s="68"/>
      <c r="K18959" s="68"/>
    </row>
    <row r="18960" spans="2:11" ht="12.75">
      <c r="B18960" s="4"/>
      <c r="D18960" s="67"/>
      <c r="G18960" s="68"/>
      <c r="K18960" s="68"/>
    </row>
    <row r="18961" spans="2:11" ht="12.75">
      <c r="B18961" s="4"/>
      <c r="D18961" s="67"/>
      <c r="G18961" s="68"/>
      <c r="K18961" s="68"/>
    </row>
    <row r="18962" spans="2:11" ht="12.75">
      <c r="B18962" s="4"/>
      <c r="D18962" s="67"/>
      <c r="G18962" s="68"/>
      <c r="K18962" s="68"/>
    </row>
    <row r="18963" spans="2:11" ht="12.75">
      <c r="B18963" s="4"/>
      <c r="D18963" s="67"/>
      <c r="G18963" s="68"/>
      <c r="K18963" s="68"/>
    </row>
    <row r="18964" spans="2:11" ht="12.75">
      <c r="B18964" s="4"/>
      <c r="D18964" s="67"/>
      <c r="G18964" s="68"/>
      <c r="K18964" s="68"/>
    </row>
    <row r="18965" spans="2:11" ht="12.75">
      <c r="B18965" s="4"/>
      <c r="D18965" s="67"/>
      <c r="G18965" s="68"/>
      <c r="K18965" s="68"/>
    </row>
    <row r="18966" spans="2:11" ht="12.75">
      <c r="B18966" s="4"/>
      <c r="D18966" s="67"/>
      <c r="G18966" s="68"/>
      <c r="K18966" s="68"/>
    </row>
    <row r="18967" spans="2:11" ht="12.75">
      <c r="B18967" s="4"/>
      <c r="D18967" s="67"/>
      <c r="G18967" s="68"/>
      <c r="K18967" s="68"/>
    </row>
    <row r="18968" spans="2:11" ht="12.75">
      <c r="B18968" s="4"/>
      <c r="D18968" s="67"/>
      <c r="G18968" s="68"/>
      <c r="K18968" s="68"/>
    </row>
    <row r="18969" spans="2:11" ht="12.75">
      <c r="B18969" s="4"/>
      <c r="D18969" s="67"/>
      <c r="G18969" s="68"/>
      <c r="K18969" s="68"/>
    </row>
    <row r="18970" spans="2:11" ht="12.75">
      <c r="B18970" s="4"/>
      <c r="D18970" s="67"/>
      <c r="G18970" s="68"/>
      <c r="K18970" s="68"/>
    </row>
    <row r="18971" spans="2:11" ht="12.75">
      <c r="B18971" s="4"/>
      <c r="D18971" s="67"/>
      <c r="G18971" s="68"/>
      <c r="K18971" s="68"/>
    </row>
    <row r="18972" spans="2:11" ht="12.75">
      <c r="B18972" s="4"/>
      <c r="D18972" s="67"/>
      <c r="G18972" s="68"/>
      <c r="K18972" s="68"/>
    </row>
    <row r="18973" spans="2:11" ht="12.75">
      <c r="B18973" s="4"/>
      <c r="D18973" s="67"/>
      <c r="G18973" s="68"/>
      <c r="K18973" s="68"/>
    </row>
    <row r="18974" spans="2:11" ht="12.75">
      <c r="B18974" s="4"/>
      <c r="D18974" s="67"/>
      <c r="G18974" s="68"/>
      <c r="K18974" s="68"/>
    </row>
    <row r="18975" spans="2:11" ht="12.75">
      <c r="B18975" s="4"/>
      <c r="D18975" s="67"/>
      <c r="G18975" s="68"/>
      <c r="K18975" s="68"/>
    </row>
    <row r="18976" spans="2:11" ht="12.75">
      <c r="B18976" s="4"/>
      <c r="D18976" s="67"/>
      <c r="G18976" s="68"/>
      <c r="K18976" s="68"/>
    </row>
    <row r="18977" spans="2:11" ht="12.75">
      <c r="B18977" s="4"/>
      <c r="D18977" s="67"/>
      <c r="G18977" s="68"/>
      <c r="K18977" s="68"/>
    </row>
    <row r="18978" spans="2:11" ht="12.75">
      <c r="B18978" s="4"/>
      <c r="D18978" s="67"/>
      <c r="G18978" s="68"/>
      <c r="K18978" s="68"/>
    </row>
    <row r="18979" spans="2:11" ht="12.75">
      <c r="B18979" s="4"/>
      <c r="D18979" s="67"/>
      <c r="G18979" s="68"/>
      <c r="K18979" s="68"/>
    </row>
    <row r="18980" spans="2:11" ht="12.75">
      <c r="B18980" s="4"/>
      <c r="D18980" s="67"/>
      <c r="G18980" s="68"/>
      <c r="K18980" s="68"/>
    </row>
    <row r="18981" spans="2:11" ht="12.75">
      <c r="B18981" s="4"/>
      <c r="D18981" s="67"/>
      <c r="G18981" s="68"/>
      <c r="K18981" s="68"/>
    </row>
    <row r="18982" spans="2:11" ht="12.75">
      <c r="B18982" s="4"/>
      <c r="D18982" s="67"/>
      <c r="G18982" s="68"/>
      <c r="K18982" s="68"/>
    </row>
    <row r="18983" spans="2:11" ht="12.75">
      <c r="B18983" s="4"/>
      <c r="D18983" s="67"/>
      <c r="G18983" s="68"/>
      <c r="K18983" s="68"/>
    </row>
    <row r="18984" spans="2:11" ht="12.75">
      <c r="B18984" s="4"/>
      <c r="D18984" s="67"/>
      <c r="G18984" s="68"/>
      <c r="K18984" s="68"/>
    </row>
    <row r="18985" spans="2:11" ht="12.75">
      <c r="B18985" s="4"/>
      <c r="D18985" s="67"/>
      <c r="G18985" s="68"/>
      <c r="K18985" s="68"/>
    </row>
    <row r="18986" spans="2:11" ht="12.75">
      <c r="B18986" s="4"/>
      <c r="D18986" s="67"/>
      <c r="G18986" s="68"/>
      <c r="K18986" s="68"/>
    </row>
    <row r="18987" spans="2:11" ht="12.75">
      <c r="B18987" s="4"/>
      <c r="D18987" s="67"/>
      <c r="G18987" s="68"/>
      <c r="K18987" s="68"/>
    </row>
    <row r="18988" spans="2:11" ht="12.75">
      <c r="B18988" s="4"/>
      <c r="D18988" s="67"/>
      <c r="G18988" s="68"/>
      <c r="K18988" s="68"/>
    </row>
    <row r="18989" spans="2:11" ht="12.75">
      <c r="B18989" s="4"/>
      <c r="D18989" s="67"/>
      <c r="G18989" s="68"/>
      <c r="K18989" s="68"/>
    </row>
    <row r="18990" spans="2:11" ht="12.75">
      <c r="B18990" s="4"/>
      <c r="D18990" s="67"/>
      <c r="G18990" s="68"/>
      <c r="K18990" s="68"/>
    </row>
    <row r="18991" spans="2:11" ht="12.75">
      <c r="B18991" s="4"/>
      <c r="D18991" s="67"/>
      <c r="G18991" s="68"/>
      <c r="K18991" s="68"/>
    </row>
    <row r="18992" spans="2:11" ht="12.75">
      <c r="B18992" s="4"/>
      <c r="D18992" s="67"/>
      <c r="G18992" s="68"/>
      <c r="K18992" s="68"/>
    </row>
    <row r="18993" spans="2:11" ht="12.75">
      <c r="B18993" s="4"/>
      <c r="D18993" s="67"/>
      <c r="G18993" s="68"/>
      <c r="K18993" s="68"/>
    </row>
    <row r="18994" spans="2:11" ht="12.75">
      <c r="B18994" s="4"/>
      <c r="D18994" s="67"/>
      <c r="G18994" s="68"/>
      <c r="K18994" s="68"/>
    </row>
    <row r="18995" spans="2:11" ht="12.75">
      <c r="B18995" s="4"/>
      <c r="D18995" s="67"/>
      <c r="G18995" s="68"/>
      <c r="K18995" s="68"/>
    </row>
    <row r="18996" spans="2:11" ht="12.75">
      <c r="B18996" s="4"/>
      <c r="D18996" s="67"/>
      <c r="G18996" s="68"/>
      <c r="K18996" s="68"/>
    </row>
    <row r="18997" spans="2:11" ht="12.75">
      <c r="B18997" s="4"/>
      <c r="D18997" s="67"/>
      <c r="G18997" s="68"/>
      <c r="K18997" s="68"/>
    </row>
    <row r="18998" spans="2:11" ht="12.75">
      <c r="B18998" s="4"/>
      <c r="D18998" s="67"/>
      <c r="G18998" s="68"/>
      <c r="K18998" s="68"/>
    </row>
    <row r="18999" spans="2:11" ht="12.75">
      <c r="B18999" s="4"/>
      <c r="D18999" s="67"/>
      <c r="G18999" s="68"/>
      <c r="K18999" s="68"/>
    </row>
    <row r="19000" spans="2:11" ht="12.75">
      <c r="B19000" s="4"/>
      <c r="D19000" s="67"/>
      <c r="G19000" s="68"/>
      <c r="K19000" s="68"/>
    </row>
    <row r="19001" spans="2:11" ht="12.75">
      <c r="B19001" s="4"/>
      <c r="D19001" s="67"/>
      <c r="G19001" s="68"/>
      <c r="K19001" s="68"/>
    </row>
    <row r="19002" spans="2:11" ht="12.75">
      <c r="B19002" s="4"/>
      <c r="D19002" s="67"/>
      <c r="G19002" s="68"/>
      <c r="K19002" s="68"/>
    </row>
    <row r="19003" spans="2:11" ht="12.75">
      <c r="B19003" s="4"/>
      <c r="D19003" s="67"/>
      <c r="G19003" s="68"/>
      <c r="K19003" s="68"/>
    </row>
    <row r="19004" spans="2:11" ht="12.75">
      <c r="B19004" s="4"/>
      <c r="D19004" s="67"/>
      <c r="G19004" s="68"/>
      <c r="K19004" s="68"/>
    </row>
    <row r="19005" spans="2:11" ht="12.75">
      <c r="B19005" s="4"/>
      <c r="D19005" s="67"/>
      <c r="G19005" s="68"/>
      <c r="K19005" s="68"/>
    </row>
    <row r="19006" spans="2:11" ht="12.75">
      <c r="B19006" s="4"/>
      <c r="D19006" s="67"/>
      <c r="G19006" s="68"/>
      <c r="K19006" s="68"/>
    </row>
    <row r="19007" spans="2:11" ht="12.75">
      <c r="B19007" s="4"/>
      <c r="D19007" s="67"/>
      <c r="G19007" s="68"/>
      <c r="K19007" s="68"/>
    </row>
    <row r="19008" spans="2:11" ht="12.75">
      <c r="B19008" s="4"/>
      <c r="D19008" s="67"/>
      <c r="G19008" s="68"/>
      <c r="K19008" s="68"/>
    </row>
    <row r="19009" spans="2:11" ht="12.75">
      <c r="B19009" s="4"/>
      <c r="D19009" s="67"/>
      <c r="G19009" s="68"/>
      <c r="K19009" s="68"/>
    </row>
    <row r="19010" spans="2:11" ht="12.75">
      <c r="B19010" s="4"/>
      <c r="D19010" s="67"/>
      <c r="G19010" s="68"/>
      <c r="K19010" s="68"/>
    </row>
    <row r="19011" spans="2:11" ht="12.75">
      <c r="B19011" s="4"/>
      <c r="D19011" s="67"/>
      <c r="G19011" s="68"/>
      <c r="K19011" s="68"/>
    </row>
    <row r="19012" spans="2:11" ht="12.75">
      <c r="B19012" s="4"/>
      <c r="D19012" s="67"/>
      <c r="G19012" s="68"/>
      <c r="K19012" s="68"/>
    </row>
    <row r="19013" spans="2:11" ht="12.75">
      <c r="B19013" s="4"/>
      <c r="D19013" s="67"/>
      <c r="G19013" s="68"/>
      <c r="K19013" s="68"/>
    </row>
    <row r="19014" spans="2:11" ht="12.75">
      <c r="B19014" s="4"/>
      <c r="D19014" s="67"/>
      <c r="G19014" s="68"/>
      <c r="K19014" s="68"/>
    </row>
    <row r="19015" spans="2:11" ht="12.75">
      <c r="B19015" s="4"/>
      <c r="D19015" s="67"/>
      <c r="G19015" s="68"/>
      <c r="K19015" s="68"/>
    </row>
    <row r="19016" spans="2:11" ht="12.75">
      <c r="B19016" s="4"/>
      <c r="D19016" s="67"/>
      <c r="G19016" s="68"/>
      <c r="K19016" s="68"/>
    </row>
    <row r="19017" spans="2:11" ht="12.75">
      <c r="B19017" s="4"/>
      <c r="D19017" s="67"/>
      <c r="G19017" s="68"/>
      <c r="K19017" s="68"/>
    </row>
    <row r="19018" spans="2:11" ht="12.75">
      <c r="B19018" s="4"/>
      <c r="D19018" s="67"/>
      <c r="G19018" s="68"/>
      <c r="K19018" s="68"/>
    </row>
    <row r="19019" spans="2:11" ht="12.75">
      <c r="B19019" s="4"/>
      <c r="D19019" s="67"/>
      <c r="G19019" s="68"/>
      <c r="K19019" s="68"/>
    </row>
    <row r="19020" spans="2:11" ht="12.75">
      <c r="B19020" s="4"/>
      <c r="D19020" s="67"/>
      <c r="G19020" s="68"/>
      <c r="K19020" s="68"/>
    </row>
    <row r="19021" spans="2:11" ht="12.75">
      <c r="B19021" s="4"/>
      <c r="D19021" s="67"/>
      <c r="G19021" s="68"/>
      <c r="K19021" s="68"/>
    </row>
    <row r="19022" spans="2:11" ht="12.75">
      <c r="B19022" s="4"/>
      <c r="D19022" s="67"/>
      <c r="G19022" s="68"/>
      <c r="K19022" s="68"/>
    </row>
    <row r="19023" spans="2:11" ht="12.75">
      <c r="B19023" s="4"/>
      <c r="D19023" s="67"/>
      <c r="G19023" s="68"/>
      <c r="K19023" s="68"/>
    </row>
    <row r="19024" spans="2:11" ht="12.75">
      <c r="B19024" s="4"/>
      <c r="D19024" s="67"/>
      <c r="G19024" s="68"/>
      <c r="K19024" s="68"/>
    </row>
    <row r="19025" spans="2:11" ht="12.75">
      <c r="B19025" s="4"/>
      <c r="D19025" s="67"/>
      <c r="G19025" s="68"/>
      <c r="K19025" s="68"/>
    </row>
    <row r="19026" spans="2:11" ht="12.75">
      <c r="B19026" s="4"/>
      <c r="D19026" s="67"/>
      <c r="G19026" s="68"/>
      <c r="K19026" s="68"/>
    </row>
    <row r="19027" spans="2:11" ht="12.75">
      <c r="B19027" s="4"/>
      <c r="D19027" s="67"/>
      <c r="G19027" s="68"/>
      <c r="K19027" s="68"/>
    </row>
    <row r="19028" spans="2:11" ht="12.75">
      <c r="B19028" s="4"/>
      <c r="D19028" s="67"/>
      <c r="G19028" s="68"/>
      <c r="K19028" s="68"/>
    </row>
    <row r="19029" spans="2:11" ht="12.75">
      <c r="B19029" s="4"/>
      <c r="D19029" s="67"/>
      <c r="G19029" s="68"/>
      <c r="K19029" s="68"/>
    </row>
    <row r="19030" spans="2:11" ht="12.75">
      <c r="B19030" s="4"/>
      <c r="D19030" s="67"/>
      <c r="G19030" s="68"/>
      <c r="K19030" s="68"/>
    </row>
    <row r="19031" spans="2:11" ht="12.75">
      <c r="B19031" s="4"/>
      <c r="D19031" s="67"/>
      <c r="G19031" s="68"/>
      <c r="K19031" s="68"/>
    </row>
    <row r="19032" spans="2:11" ht="12.75">
      <c r="B19032" s="4"/>
      <c r="D19032" s="67"/>
      <c r="G19032" s="68"/>
      <c r="K19032" s="68"/>
    </row>
    <row r="19033" spans="2:11" ht="12.75">
      <c r="B19033" s="4"/>
      <c r="D19033" s="67"/>
      <c r="G19033" s="68"/>
      <c r="K19033" s="68"/>
    </row>
    <row r="19034" spans="2:11" ht="12.75">
      <c r="B19034" s="4"/>
      <c r="D19034" s="67"/>
      <c r="G19034" s="68"/>
      <c r="K19034" s="68"/>
    </row>
    <row r="19035" spans="2:11" ht="12.75">
      <c r="B19035" s="4"/>
      <c r="D19035" s="67"/>
      <c r="G19035" s="68"/>
      <c r="K19035" s="68"/>
    </row>
    <row r="19036" spans="2:11" ht="12.75">
      <c r="B19036" s="4"/>
      <c r="D19036" s="67"/>
      <c r="G19036" s="68"/>
      <c r="K19036" s="68"/>
    </row>
    <row r="19037" spans="2:11" ht="12.75">
      <c r="B19037" s="4"/>
      <c r="D19037" s="67"/>
      <c r="G19037" s="68"/>
      <c r="K19037" s="68"/>
    </row>
    <row r="19038" spans="2:11" ht="12.75">
      <c r="B19038" s="4"/>
      <c r="D19038" s="67"/>
      <c r="G19038" s="68"/>
      <c r="K19038" s="68"/>
    </row>
    <row r="19039" spans="2:11" ht="12.75">
      <c r="B19039" s="4"/>
      <c r="D19039" s="67"/>
      <c r="G19039" s="68"/>
      <c r="K19039" s="68"/>
    </row>
    <row r="19040" spans="2:11" ht="12.75">
      <c r="B19040" s="4"/>
      <c r="D19040" s="67"/>
      <c r="G19040" s="68"/>
      <c r="K19040" s="68"/>
    </row>
    <row r="19041" spans="2:11" ht="12.75">
      <c r="B19041" s="4"/>
      <c r="D19041" s="67"/>
      <c r="G19041" s="68"/>
      <c r="K19041" s="68"/>
    </row>
    <row r="19042" spans="2:11" ht="12.75">
      <c r="B19042" s="4"/>
      <c r="D19042" s="67"/>
      <c r="G19042" s="68"/>
      <c r="K19042" s="68"/>
    </row>
    <row r="19043" spans="2:11" ht="12.75">
      <c r="B19043" s="4"/>
      <c r="D19043" s="67"/>
      <c r="G19043" s="68"/>
      <c r="K19043" s="68"/>
    </row>
    <row r="19044" spans="2:11" ht="12.75">
      <c r="B19044" s="4"/>
      <c r="D19044" s="67"/>
      <c r="G19044" s="68"/>
      <c r="K19044" s="68"/>
    </row>
    <row r="19045" spans="2:11" ht="12.75">
      <c r="B19045" s="4"/>
      <c r="D19045" s="67"/>
      <c r="G19045" s="68"/>
      <c r="K19045" s="68"/>
    </row>
    <row r="19046" spans="2:11" ht="12.75">
      <c r="B19046" s="4"/>
      <c r="D19046" s="67"/>
      <c r="G19046" s="68"/>
      <c r="K19046" s="68"/>
    </row>
    <row r="19047" spans="2:11" ht="12.75">
      <c r="B19047" s="4"/>
      <c r="D19047" s="67"/>
      <c r="G19047" s="68"/>
      <c r="K19047" s="68"/>
    </row>
    <row r="19048" spans="2:11" ht="12.75">
      <c r="B19048" s="4"/>
      <c r="D19048" s="67"/>
      <c r="G19048" s="68"/>
      <c r="K19048" s="68"/>
    </row>
    <row r="19049" spans="2:11" ht="12.75">
      <c r="B19049" s="4"/>
      <c r="D19049" s="67"/>
      <c r="G19049" s="68"/>
      <c r="K19049" s="68"/>
    </row>
    <row r="19050" spans="2:11" ht="12.75">
      <c r="B19050" s="4"/>
      <c r="D19050" s="67"/>
      <c r="G19050" s="68"/>
      <c r="K19050" s="68"/>
    </row>
    <row r="19051" spans="2:11" ht="12.75">
      <c r="B19051" s="4"/>
      <c r="D19051" s="67"/>
      <c r="G19051" s="68"/>
      <c r="K19051" s="68"/>
    </row>
    <row r="19052" spans="2:11" ht="12.75">
      <c r="B19052" s="4"/>
      <c r="D19052" s="67"/>
      <c r="G19052" s="68"/>
      <c r="K19052" s="68"/>
    </row>
    <row r="19053" spans="2:11" ht="12.75">
      <c r="B19053" s="4"/>
      <c r="D19053" s="67"/>
      <c r="G19053" s="68"/>
      <c r="K19053" s="68"/>
    </row>
    <row r="19054" spans="2:11" ht="12.75">
      <c r="B19054" s="4"/>
      <c r="D19054" s="67"/>
      <c r="G19054" s="68"/>
      <c r="K19054" s="68"/>
    </row>
    <row r="19055" spans="2:11" ht="12.75">
      <c r="B19055" s="4"/>
      <c r="D19055" s="67"/>
      <c r="G19055" s="68"/>
      <c r="K19055" s="68"/>
    </row>
    <row r="19056" spans="2:11" ht="12.75">
      <c r="B19056" s="4"/>
      <c r="D19056" s="67"/>
      <c r="G19056" s="68"/>
      <c r="K19056" s="68"/>
    </row>
    <row r="19057" spans="2:11" ht="12.75">
      <c r="B19057" s="4"/>
      <c r="D19057" s="67"/>
      <c r="G19057" s="68"/>
      <c r="K19057" s="68"/>
    </row>
    <row r="19058" spans="2:11" ht="12.75">
      <c r="B19058" s="4"/>
      <c r="D19058" s="67"/>
      <c r="G19058" s="68"/>
      <c r="K19058" s="68"/>
    </row>
    <row r="19059" spans="2:11" ht="12.75">
      <c r="B19059" s="4"/>
      <c r="D19059" s="67"/>
      <c r="G19059" s="68"/>
      <c r="K19059" s="68"/>
    </row>
    <row r="19060" spans="2:11" ht="12.75">
      <c r="B19060" s="4"/>
      <c r="D19060" s="67"/>
      <c r="G19060" s="68"/>
      <c r="K19060" s="68"/>
    </row>
    <row r="19061" spans="2:11" ht="12.75">
      <c r="B19061" s="4"/>
      <c r="D19061" s="67"/>
      <c r="G19061" s="68"/>
      <c r="K19061" s="68"/>
    </row>
    <row r="19062" spans="2:11" ht="12.75">
      <c r="B19062" s="4"/>
      <c r="D19062" s="67"/>
      <c r="G19062" s="68"/>
      <c r="K19062" s="68"/>
    </row>
    <row r="19063" spans="2:11" ht="12.75">
      <c r="B19063" s="4"/>
      <c r="D19063" s="67"/>
      <c r="G19063" s="68"/>
      <c r="K19063" s="68"/>
    </row>
    <row r="19064" spans="2:11" ht="12.75">
      <c r="B19064" s="4"/>
      <c r="D19064" s="67"/>
      <c r="G19064" s="68"/>
      <c r="K19064" s="68"/>
    </row>
    <row r="19065" spans="2:11" ht="12.75">
      <c r="B19065" s="4"/>
      <c r="D19065" s="67"/>
      <c r="G19065" s="68"/>
      <c r="K19065" s="68"/>
    </row>
    <row r="19066" spans="2:11" ht="12.75">
      <c r="B19066" s="4"/>
      <c r="D19066" s="67"/>
      <c r="G19066" s="68"/>
      <c r="K19066" s="68"/>
    </row>
    <row r="19067" spans="2:11" ht="12.75">
      <c r="B19067" s="4"/>
      <c r="D19067" s="67"/>
      <c r="G19067" s="68"/>
      <c r="K19067" s="68"/>
    </row>
    <row r="19068" spans="2:11" ht="12.75">
      <c r="B19068" s="4"/>
      <c r="D19068" s="67"/>
      <c r="G19068" s="68"/>
      <c r="K19068" s="68"/>
    </row>
    <row r="19069" spans="2:11" ht="12.75">
      <c r="B19069" s="4"/>
      <c r="D19069" s="67"/>
      <c r="G19069" s="68"/>
      <c r="K19069" s="68"/>
    </row>
    <row r="19070" spans="2:11" ht="12.75">
      <c r="B19070" s="4"/>
      <c r="D19070" s="67"/>
      <c r="G19070" s="68"/>
      <c r="K19070" s="68"/>
    </row>
    <row r="19071" spans="2:11" ht="12.75">
      <c r="B19071" s="4"/>
      <c r="D19071" s="67"/>
      <c r="G19071" s="68"/>
      <c r="K19071" s="68"/>
    </row>
    <row r="19072" spans="2:11" ht="12.75">
      <c r="B19072" s="4"/>
      <c r="D19072" s="67"/>
      <c r="G19072" s="68"/>
      <c r="K19072" s="68"/>
    </row>
    <row r="19073" spans="2:11" ht="12.75">
      <c r="B19073" s="4"/>
      <c r="D19073" s="67"/>
      <c r="G19073" s="68"/>
      <c r="K19073" s="68"/>
    </row>
    <row r="19074" spans="2:11" ht="12.75">
      <c r="B19074" s="4"/>
      <c r="D19074" s="67"/>
      <c r="G19074" s="68"/>
      <c r="K19074" s="68"/>
    </row>
    <row r="19075" spans="2:11" ht="12.75">
      <c r="B19075" s="4"/>
      <c r="D19075" s="67"/>
      <c r="G19075" s="68"/>
      <c r="K19075" s="68"/>
    </row>
    <row r="19076" spans="2:11" ht="12.75">
      <c r="B19076" s="4"/>
      <c r="D19076" s="67"/>
      <c r="G19076" s="68"/>
      <c r="K19076" s="68"/>
    </row>
    <row r="19077" spans="2:11" ht="12.75">
      <c r="B19077" s="4"/>
      <c r="D19077" s="67"/>
      <c r="G19077" s="68"/>
      <c r="K19077" s="68"/>
    </row>
    <row r="19078" spans="2:11" ht="12.75">
      <c r="B19078" s="4"/>
      <c r="D19078" s="67"/>
      <c r="G19078" s="68"/>
      <c r="K19078" s="68"/>
    </row>
    <row r="19079" spans="2:11" ht="12.75">
      <c r="B19079" s="4"/>
      <c r="D19079" s="67"/>
      <c r="G19079" s="68"/>
      <c r="K19079" s="68"/>
    </row>
    <row r="19080" spans="2:11" ht="12.75">
      <c r="B19080" s="4"/>
      <c r="D19080" s="67"/>
      <c r="G19080" s="68"/>
      <c r="K19080" s="68"/>
    </row>
    <row r="19081" spans="2:11" ht="12.75">
      <c r="B19081" s="4"/>
      <c r="D19081" s="67"/>
      <c r="G19081" s="68"/>
      <c r="K19081" s="68"/>
    </row>
    <row r="19082" spans="2:11" ht="12.75">
      <c r="B19082" s="4"/>
      <c r="D19082" s="67"/>
      <c r="G19082" s="68"/>
      <c r="K19082" s="68"/>
    </row>
    <row r="19083" spans="2:11" ht="12.75">
      <c r="B19083" s="4"/>
      <c r="D19083" s="67"/>
      <c r="G19083" s="68"/>
      <c r="K19083" s="68"/>
    </row>
    <row r="19084" spans="2:11" ht="12.75">
      <c r="B19084" s="4"/>
      <c r="D19084" s="67"/>
      <c r="G19084" s="68"/>
      <c r="K19084" s="68"/>
    </row>
    <row r="19085" spans="2:11" ht="12.75">
      <c r="B19085" s="4"/>
      <c r="D19085" s="67"/>
      <c r="G19085" s="68"/>
      <c r="K19085" s="68"/>
    </row>
    <row r="19086" spans="2:11" ht="12.75">
      <c r="B19086" s="4"/>
      <c r="D19086" s="67"/>
      <c r="G19086" s="68"/>
      <c r="K19086" s="68"/>
    </row>
    <row r="19087" spans="2:11" ht="12.75">
      <c r="B19087" s="4"/>
      <c r="D19087" s="67"/>
      <c r="G19087" s="68"/>
      <c r="K19087" s="68"/>
    </row>
    <row r="19088" spans="2:11" ht="12.75">
      <c r="B19088" s="4"/>
      <c r="D19088" s="67"/>
      <c r="G19088" s="68"/>
      <c r="K19088" s="68"/>
    </row>
    <row r="19089" spans="2:11" ht="12.75">
      <c r="B19089" s="4"/>
      <c r="D19089" s="67"/>
      <c r="G19089" s="68"/>
      <c r="K19089" s="68"/>
    </row>
    <row r="19090" spans="2:11" ht="12.75">
      <c r="B19090" s="4"/>
      <c r="D19090" s="67"/>
      <c r="G19090" s="68"/>
      <c r="K19090" s="68"/>
    </row>
    <row r="19091" spans="2:11" ht="12.75">
      <c r="B19091" s="4"/>
      <c r="D19091" s="67"/>
      <c r="G19091" s="68"/>
      <c r="K19091" s="68"/>
    </row>
    <row r="19092" spans="2:11" ht="12.75">
      <c r="B19092" s="4"/>
      <c r="D19092" s="67"/>
      <c r="G19092" s="68"/>
      <c r="K19092" s="68"/>
    </row>
    <row r="19093" spans="2:11" ht="12.75">
      <c r="B19093" s="4"/>
      <c r="D19093" s="67"/>
      <c r="G19093" s="68"/>
      <c r="K19093" s="68"/>
    </row>
    <row r="19094" spans="2:11" ht="12.75">
      <c r="B19094" s="4"/>
      <c r="D19094" s="67"/>
      <c r="G19094" s="68"/>
      <c r="K19094" s="68"/>
    </row>
    <row r="19095" spans="2:11" ht="12.75">
      <c r="B19095" s="4"/>
      <c r="D19095" s="67"/>
      <c r="G19095" s="68"/>
      <c r="K19095" s="68"/>
    </row>
    <row r="19096" spans="2:11" ht="12.75">
      <c r="B19096" s="4"/>
      <c r="D19096" s="67"/>
      <c r="G19096" s="68"/>
      <c r="K19096" s="68"/>
    </row>
    <row r="19097" spans="2:11" ht="12.75">
      <c r="B19097" s="4"/>
      <c r="D19097" s="67"/>
      <c r="G19097" s="68"/>
      <c r="K19097" s="68"/>
    </row>
    <row r="19098" spans="2:11" ht="12.75">
      <c r="B19098" s="4"/>
      <c r="D19098" s="67"/>
      <c r="G19098" s="68"/>
      <c r="K19098" s="68"/>
    </row>
    <row r="19099" spans="2:11" ht="12.75">
      <c r="B19099" s="4"/>
      <c r="D19099" s="67"/>
      <c r="G19099" s="68"/>
      <c r="K19099" s="68"/>
    </row>
    <row r="19100" spans="2:11" ht="12.75">
      <c r="B19100" s="4"/>
      <c r="D19100" s="67"/>
      <c r="G19100" s="68"/>
      <c r="K19100" s="68"/>
    </row>
    <row r="19101" spans="2:11" ht="12.75">
      <c r="B19101" s="4"/>
      <c r="D19101" s="67"/>
      <c r="G19101" s="68"/>
      <c r="K19101" s="68"/>
    </row>
    <row r="19102" spans="2:11" ht="12.75">
      <c r="B19102" s="4"/>
      <c r="D19102" s="67"/>
      <c r="G19102" s="68"/>
      <c r="K19102" s="68"/>
    </row>
    <row r="19103" spans="2:11" ht="12.75">
      <c r="B19103" s="4"/>
      <c r="D19103" s="67"/>
      <c r="G19103" s="68"/>
      <c r="K19103" s="68"/>
    </row>
    <row r="19104" spans="2:11" ht="12.75">
      <c r="B19104" s="4"/>
      <c r="D19104" s="67"/>
      <c r="G19104" s="68"/>
      <c r="K19104" s="68"/>
    </row>
    <row r="19105" spans="2:11" ht="12.75">
      <c r="B19105" s="4"/>
      <c r="D19105" s="67"/>
      <c r="G19105" s="68"/>
      <c r="K19105" s="68"/>
    </row>
    <row r="19106" spans="2:11" ht="12.75">
      <c r="B19106" s="4"/>
      <c r="D19106" s="67"/>
      <c r="G19106" s="68"/>
      <c r="K19106" s="68"/>
    </row>
    <row r="19107" spans="2:11" ht="12.75">
      <c r="B19107" s="4"/>
      <c r="D19107" s="67"/>
      <c r="G19107" s="68"/>
      <c r="K19107" s="68"/>
    </row>
    <row r="19108" spans="2:11" ht="12.75">
      <c r="B19108" s="4"/>
      <c r="D19108" s="67"/>
      <c r="G19108" s="68"/>
      <c r="K19108" s="68"/>
    </row>
    <row r="19109" spans="2:11" ht="12.75">
      <c r="B19109" s="4"/>
      <c r="D19109" s="67"/>
      <c r="G19109" s="68"/>
      <c r="K19109" s="68"/>
    </row>
    <row r="19110" spans="2:11" ht="12.75">
      <c r="B19110" s="4"/>
      <c r="D19110" s="67"/>
      <c r="G19110" s="68"/>
      <c r="K19110" s="68"/>
    </row>
    <row r="19111" spans="2:11" ht="12.75">
      <c r="B19111" s="4"/>
      <c r="D19111" s="67"/>
      <c r="G19111" s="68"/>
      <c r="K19111" s="68"/>
    </row>
    <row r="19112" spans="2:11" ht="12.75">
      <c r="B19112" s="4"/>
      <c r="D19112" s="67"/>
      <c r="G19112" s="68"/>
      <c r="K19112" s="68"/>
    </row>
    <row r="19113" spans="2:11" ht="12.75">
      <c r="B19113" s="4"/>
      <c r="D19113" s="67"/>
      <c r="G19113" s="68"/>
      <c r="K19113" s="68"/>
    </row>
    <row r="19114" spans="2:11" ht="12.75">
      <c r="B19114" s="4"/>
      <c r="D19114" s="67"/>
      <c r="G19114" s="68"/>
      <c r="K19114" s="68"/>
    </row>
    <row r="19115" spans="2:11" ht="12.75">
      <c r="B19115" s="4"/>
      <c r="D19115" s="67"/>
      <c r="G19115" s="68"/>
      <c r="K19115" s="68"/>
    </row>
    <row r="19116" spans="2:11" ht="12.75">
      <c r="B19116" s="4"/>
      <c r="D19116" s="67"/>
      <c r="G19116" s="68"/>
      <c r="K19116" s="68"/>
    </row>
    <row r="19117" spans="2:11" ht="12.75">
      <c r="B19117" s="4"/>
      <c r="D19117" s="67"/>
      <c r="G19117" s="68"/>
      <c r="K19117" s="68"/>
    </row>
    <row r="19118" spans="2:11" ht="12.75">
      <c r="B19118" s="4"/>
      <c r="D19118" s="67"/>
      <c r="G19118" s="68"/>
      <c r="K19118" s="68"/>
    </row>
    <row r="19119" spans="2:11" ht="12.75">
      <c r="B19119" s="4"/>
      <c r="D19119" s="67"/>
      <c r="G19119" s="68"/>
      <c r="K19119" s="68"/>
    </row>
    <row r="19120" spans="2:11" ht="12.75">
      <c r="B19120" s="4"/>
      <c r="D19120" s="67"/>
      <c r="G19120" s="68"/>
      <c r="K19120" s="68"/>
    </row>
    <row r="19121" spans="2:11" ht="12.75">
      <c r="B19121" s="4"/>
      <c r="D19121" s="67"/>
      <c r="G19121" s="68"/>
      <c r="K19121" s="68"/>
    </row>
    <row r="19122" spans="2:11" ht="12.75">
      <c r="B19122" s="4"/>
      <c r="D19122" s="67"/>
      <c r="G19122" s="68"/>
      <c r="K19122" s="68"/>
    </row>
    <row r="19123" spans="2:11" ht="12.75">
      <c r="B19123" s="4"/>
      <c r="D19123" s="67"/>
      <c r="G19123" s="68"/>
      <c r="K19123" s="68"/>
    </row>
    <row r="19124" spans="2:11" ht="12.75">
      <c r="B19124" s="4"/>
      <c r="D19124" s="67"/>
      <c r="G19124" s="68"/>
      <c r="K19124" s="68"/>
    </row>
    <row r="19125" spans="2:11" ht="12.75">
      <c r="B19125" s="4"/>
      <c r="D19125" s="67"/>
      <c r="G19125" s="68"/>
      <c r="K19125" s="68"/>
    </row>
    <row r="19126" spans="2:11" ht="12.75">
      <c r="B19126" s="4"/>
      <c r="D19126" s="67"/>
      <c r="G19126" s="68"/>
      <c r="K19126" s="68"/>
    </row>
    <row r="19127" spans="2:11" ht="12.75">
      <c r="B19127" s="4"/>
      <c r="D19127" s="67"/>
      <c r="G19127" s="68"/>
      <c r="K19127" s="68"/>
    </row>
    <row r="19128" spans="2:11" ht="12.75">
      <c r="B19128" s="4"/>
      <c r="D19128" s="67"/>
      <c r="G19128" s="68"/>
      <c r="K19128" s="68"/>
    </row>
    <row r="19129" spans="2:11" ht="12.75">
      <c r="B19129" s="4"/>
      <c r="D19129" s="67"/>
      <c r="G19129" s="68"/>
      <c r="K19129" s="68"/>
    </row>
    <row r="19130" spans="2:11" ht="12.75">
      <c r="B19130" s="4"/>
      <c r="D19130" s="67"/>
      <c r="G19130" s="68"/>
      <c r="K19130" s="68"/>
    </row>
    <row r="19131" spans="2:11" ht="12.75">
      <c r="B19131" s="4"/>
      <c r="D19131" s="67"/>
      <c r="G19131" s="68"/>
      <c r="K19131" s="68"/>
    </row>
    <row r="19132" spans="2:11" ht="12.75">
      <c r="B19132" s="4"/>
      <c r="D19132" s="67"/>
      <c r="G19132" s="68"/>
      <c r="K19132" s="68"/>
    </row>
    <row r="19133" spans="2:11" ht="12.75">
      <c r="B19133" s="4"/>
      <c r="D19133" s="67"/>
      <c r="G19133" s="68"/>
      <c r="K19133" s="68"/>
    </row>
    <row r="19134" spans="2:11" ht="12.75">
      <c r="B19134" s="4"/>
      <c r="D19134" s="67"/>
      <c r="G19134" s="68"/>
      <c r="K19134" s="68"/>
    </row>
    <row r="19135" spans="2:11" ht="12.75">
      <c r="B19135" s="4"/>
      <c r="D19135" s="67"/>
      <c r="G19135" s="68"/>
      <c r="K19135" s="68"/>
    </row>
    <row r="19136" spans="2:11" ht="12.75">
      <c r="B19136" s="4"/>
      <c r="D19136" s="67"/>
      <c r="G19136" s="68"/>
      <c r="K19136" s="68"/>
    </row>
    <row r="19137" spans="2:11" ht="12.75">
      <c r="B19137" s="4"/>
      <c r="D19137" s="67"/>
      <c r="G19137" s="68"/>
      <c r="K19137" s="68"/>
    </row>
    <row r="19138" spans="2:11" ht="12.75">
      <c r="B19138" s="4"/>
      <c r="D19138" s="67"/>
      <c r="G19138" s="68"/>
      <c r="K19138" s="68"/>
    </row>
    <row r="19139" spans="2:11" ht="12.75">
      <c r="B19139" s="4"/>
      <c r="D19139" s="67"/>
      <c r="G19139" s="68"/>
      <c r="K19139" s="68"/>
    </row>
    <row r="19140" spans="2:11" ht="12.75">
      <c r="B19140" s="4"/>
      <c r="D19140" s="67"/>
      <c r="G19140" s="68"/>
      <c r="K19140" s="68"/>
    </row>
    <row r="19141" spans="2:11" ht="12.75">
      <c r="B19141" s="4"/>
      <c r="D19141" s="67"/>
      <c r="G19141" s="68"/>
      <c r="K19141" s="68"/>
    </row>
    <row r="19142" spans="2:11" ht="12.75">
      <c r="B19142" s="4"/>
      <c r="D19142" s="67"/>
      <c r="G19142" s="68"/>
      <c r="K19142" s="68"/>
    </row>
    <row r="19143" spans="2:11" ht="12.75">
      <c r="B19143" s="4"/>
      <c r="D19143" s="67"/>
      <c r="G19143" s="68"/>
      <c r="K19143" s="68"/>
    </row>
    <row r="19144" spans="2:11" ht="12.75">
      <c r="B19144" s="4"/>
      <c r="D19144" s="67"/>
      <c r="G19144" s="68"/>
      <c r="K19144" s="68"/>
    </row>
    <row r="19145" spans="2:11" ht="12.75">
      <c r="B19145" s="4"/>
      <c r="D19145" s="67"/>
      <c r="G19145" s="68"/>
      <c r="K19145" s="68"/>
    </row>
    <row r="19146" spans="2:11" ht="12.75">
      <c r="B19146" s="4"/>
      <c r="D19146" s="67"/>
      <c r="G19146" s="68"/>
      <c r="K19146" s="68"/>
    </row>
    <row r="19147" spans="2:11" ht="12.75">
      <c r="B19147" s="4"/>
      <c r="D19147" s="67"/>
      <c r="G19147" s="68"/>
      <c r="K19147" s="68"/>
    </row>
    <row r="19148" spans="2:11" ht="12.75">
      <c r="B19148" s="4"/>
      <c r="D19148" s="67"/>
      <c r="G19148" s="68"/>
      <c r="K19148" s="68"/>
    </row>
    <row r="19149" spans="2:11" ht="12.75">
      <c r="B19149" s="4"/>
      <c r="D19149" s="67"/>
      <c r="G19149" s="68"/>
      <c r="K19149" s="68"/>
    </row>
    <row r="19150" spans="2:11" ht="12.75">
      <c r="B19150" s="4"/>
      <c r="D19150" s="67"/>
      <c r="G19150" s="68"/>
      <c r="K19150" s="68"/>
    </row>
    <row r="19151" spans="2:11" ht="12.75">
      <c r="B19151" s="4"/>
      <c r="D19151" s="67"/>
      <c r="G19151" s="68"/>
      <c r="K19151" s="68"/>
    </row>
    <row r="19152" spans="2:11" ht="12.75">
      <c r="B19152" s="4"/>
      <c r="D19152" s="67"/>
      <c r="G19152" s="68"/>
      <c r="K19152" s="68"/>
    </row>
    <row r="19153" spans="2:11" ht="12.75">
      <c r="B19153" s="4"/>
      <c r="D19153" s="67"/>
      <c r="G19153" s="68"/>
      <c r="K19153" s="68"/>
    </row>
    <row r="19154" spans="2:11" ht="12.75">
      <c r="B19154" s="4"/>
      <c r="D19154" s="67"/>
      <c r="G19154" s="68"/>
      <c r="K19154" s="68"/>
    </row>
    <row r="19155" spans="2:11" ht="12.75">
      <c r="B19155" s="4"/>
      <c r="D19155" s="67"/>
      <c r="G19155" s="68"/>
      <c r="K19155" s="68"/>
    </row>
    <row r="19156" spans="2:11" ht="12.75">
      <c r="B19156" s="4"/>
      <c r="D19156" s="67"/>
      <c r="G19156" s="68"/>
      <c r="K19156" s="68"/>
    </row>
    <row r="19157" spans="2:11" ht="12.75">
      <c r="B19157" s="4"/>
      <c r="D19157" s="67"/>
      <c r="G19157" s="68"/>
      <c r="K19157" s="68"/>
    </row>
    <row r="19158" spans="2:11" ht="12.75">
      <c r="B19158" s="4"/>
      <c r="D19158" s="67"/>
      <c r="G19158" s="68"/>
      <c r="K19158" s="68"/>
    </row>
    <row r="19159" spans="2:11" ht="12.75">
      <c r="B19159" s="4"/>
      <c r="D19159" s="67"/>
      <c r="G19159" s="68"/>
      <c r="K19159" s="68"/>
    </row>
    <row r="19160" spans="2:11" ht="12.75">
      <c r="B19160" s="4"/>
      <c r="D19160" s="67"/>
      <c r="G19160" s="68"/>
      <c r="K19160" s="68"/>
    </row>
    <row r="19161" spans="2:11" ht="12.75">
      <c r="B19161" s="4"/>
      <c r="D19161" s="67"/>
      <c r="G19161" s="68"/>
      <c r="K19161" s="68"/>
    </row>
    <row r="19162" spans="2:11" ht="12.75">
      <c r="B19162" s="4"/>
      <c r="D19162" s="67"/>
      <c r="G19162" s="68"/>
      <c r="K19162" s="68"/>
    </row>
    <row r="19163" spans="2:11" ht="12.75">
      <c r="B19163" s="4"/>
      <c r="D19163" s="67"/>
      <c r="G19163" s="68"/>
      <c r="K19163" s="68"/>
    </row>
    <row r="19164" spans="2:11" ht="12.75">
      <c r="B19164" s="4"/>
      <c r="D19164" s="67"/>
      <c r="G19164" s="68"/>
      <c r="K19164" s="68"/>
    </row>
    <row r="19165" spans="2:11" ht="12.75">
      <c r="B19165" s="4"/>
      <c r="D19165" s="67"/>
      <c r="G19165" s="68"/>
      <c r="K19165" s="68"/>
    </row>
    <row r="19166" spans="2:11" ht="12.75">
      <c r="B19166" s="4"/>
      <c r="D19166" s="67"/>
      <c r="G19166" s="68"/>
      <c r="K19166" s="68"/>
    </row>
    <row r="19167" spans="2:11" ht="12.75">
      <c r="B19167" s="4"/>
      <c r="D19167" s="67"/>
      <c r="G19167" s="68"/>
      <c r="K19167" s="68"/>
    </row>
    <row r="19168" spans="2:11" ht="12.75">
      <c r="B19168" s="4"/>
      <c r="D19168" s="67"/>
      <c r="G19168" s="68"/>
      <c r="K19168" s="68"/>
    </row>
    <row r="19169" spans="2:11" ht="12.75">
      <c r="B19169" s="4"/>
      <c r="D19169" s="67"/>
      <c r="G19169" s="68"/>
      <c r="K19169" s="68"/>
    </row>
    <row r="19170" spans="2:11" ht="12.75">
      <c r="B19170" s="4"/>
      <c r="D19170" s="67"/>
      <c r="G19170" s="68"/>
      <c r="K19170" s="68"/>
    </row>
    <row r="19171" spans="2:11" ht="12.75">
      <c r="B19171" s="4"/>
      <c r="D19171" s="67"/>
      <c r="G19171" s="68"/>
      <c r="K19171" s="68"/>
    </row>
    <row r="19172" spans="2:11" ht="12.75">
      <c r="B19172" s="4"/>
      <c r="D19172" s="67"/>
      <c r="G19172" s="68"/>
      <c r="K19172" s="68"/>
    </row>
    <row r="19173" spans="2:11" ht="12.75">
      <c r="B19173" s="4"/>
      <c r="D19173" s="67"/>
      <c r="G19173" s="68"/>
      <c r="K19173" s="68"/>
    </row>
    <row r="19174" spans="2:11" ht="12.75">
      <c r="B19174" s="4"/>
      <c r="D19174" s="67"/>
      <c r="G19174" s="68"/>
      <c r="K19174" s="68"/>
    </row>
    <row r="19175" spans="2:11" ht="12.75">
      <c r="B19175" s="4"/>
      <c r="D19175" s="67"/>
      <c r="G19175" s="68"/>
      <c r="K19175" s="68"/>
    </row>
    <row r="19176" spans="2:11" ht="12.75">
      <c r="B19176" s="4"/>
      <c r="D19176" s="67"/>
      <c r="G19176" s="68"/>
      <c r="K19176" s="68"/>
    </row>
    <row r="19177" spans="2:11" ht="12.75">
      <c r="B19177" s="4"/>
      <c r="D19177" s="67"/>
      <c r="G19177" s="68"/>
      <c r="K19177" s="68"/>
    </row>
    <row r="19178" spans="2:11" ht="12.75">
      <c r="B19178" s="4"/>
      <c r="D19178" s="67"/>
      <c r="G19178" s="68"/>
      <c r="K19178" s="68"/>
    </row>
    <row r="19179" spans="2:11" ht="12.75">
      <c r="B19179" s="4"/>
      <c r="D19179" s="67"/>
      <c r="G19179" s="68"/>
      <c r="K19179" s="68"/>
    </row>
    <row r="19180" spans="2:11" ht="12.75">
      <c r="B19180" s="4"/>
      <c r="D19180" s="67"/>
      <c r="G19180" s="68"/>
      <c r="K19180" s="68"/>
    </row>
    <row r="19181" spans="2:11" ht="12.75">
      <c r="B19181" s="4"/>
      <c r="D19181" s="67"/>
      <c r="G19181" s="68"/>
      <c r="K19181" s="68"/>
    </row>
    <row r="19182" spans="2:11" ht="12.75">
      <c r="B19182" s="4"/>
      <c r="D19182" s="67"/>
      <c r="G19182" s="68"/>
      <c r="K19182" s="68"/>
    </row>
    <row r="19183" spans="2:11" ht="12.75">
      <c r="B19183" s="4"/>
      <c r="D19183" s="67"/>
      <c r="G19183" s="68"/>
      <c r="K19183" s="68"/>
    </row>
    <row r="19184" spans="2:11" ht="12.75">
      <c r="B19184" s="4"/>
      <c r="D19184" s="67"/>
      <c r="G19184" s="68"/>
      <c r="K19184" s="68"/>
    </row>
    <row r="19185" spans="2:11" ht="12.75">
      <c r="B19185" s="4"/>
      <c r="D19185" s="67"/>
      <c r="G19185" s="68"/>
      <c r="K19185" s="68"/>
    </row>
    <row r="19186" spans="2:11" ht="12.75">
      <c r="B19186" s="4"/>
      <c r="D19186" s="67"/>
      <c r="G19186" s="68"/>
      <c r="K19186" s="68"/>
    </row>
    <row r="19187" spans="2:11" ht="12.75">
      <c r="B19187" s="4"/>
      <c r="D19187" s="67"/>
      <c r="G19187" s="68"/>
      <c r="K19187" s="68"/>
    </row>
    <row r="19188" spans="2:11" ht="12.75">
      <c r="B19188" s="4"/>
      <c r="D19188" s="67"/>
      <c r="G19188" s="68"/>
      <c r="K19188" s="68"/>
    </row>
    <row r="19189" spans="2:11" ht="12.75">
      <c r="B19189" s="4"/>
      <c r="D19189" s="67"/>
      <c r="G19189" s="68"/>
      <c r="K19189" s="68"/>
    </row>
    <row r="19190" spans="2:11" ht="12.75">
      <c r="B19190" s="4"/>
      <c r="D19190" s="67"/>
      <c r="G19190" s="68"/>
      <c r="K19190" s="68"/>
    </row>
    <row r="19191" spans="2:11" ht="12.75">
      <c r="B19191" s="4"/>
      <c r="D19191" s="67"/>
      <c r="G19191" s="68"/>
      <c r="K19191" s="68"/>
    </row>
    <row r="19192" spans="2:11" ht="12.75">
      <c r="B19192" s="4"/>
      <c r="D19192" s="67"/>
      <c r="G19192" s="68"/>
      <c r="K19192" s="68"/>
    </row>
    <row r="19193" spans="2:11" ht="12.75">
      <c r="B19193" s="4"/>
      <c r="D19193" s="67"/>
      <c r="G19193" s="68"/>
      <c r="K19193" s="68"/>
    </row>
    <row r="19194" spans="2:11" ht="12.75">
      <c r="B19194" s="4"/>
      <c r="D19194" s="67"/>
      <c r="G19194" s="68"/>
      <c r="K19194" s="68"/>
    </row>
    <row r="19195" spans="2:11" ht="12.75">
      <c r="B19195" s="4"/>
      <c r="D19195" s="67"/>
      <c r="G19195" s="68"/>
      <c r="K19195" s="68"/>
    </row>
    <row r="19196" spans="2:11" ht="12.75">
      <c r="B19196" s="4"/>
      <c r="D19196" s="67"/>
      <c r="G19196" s="68"/>
      <c r="K19196" s="68"/>
    </row>
    <row r="19197" spans="2:11" ht="12.75">
      <c r="B19197" s="4"/>
      <c r="D19197" s="67"/>
      <c r="G19197" s="68"/>
      <c r="K19197" s="68"/>
    </row>
    <row r="19198" spans="2:11" ht="12.75">
      <c r="B19198" s="4"/>
      <c r="D19198" s="67"/>
      <c r="G19198" s="68"/>
      <c r="K19198" s="68"/>
    </row>
    <row r="19199" spans="2:11" ht="12.75">
      <c r="B19199" s="4"/>
      <c r="D19199" s="67"/>
      <c r="G19199" s="68"/>
      <c r="K19199" s="68"/>
    </row>
    <row r="19200" spans="2:11" ht="12.75">
      <c r="B19200" s="4"/>
      <c r="D19200" s="67"/>
      <c r="G19200" s="68"/>
      <c r="K19200" s="68"/>
    </row>
    <row r="19201" spans="2:11" ht="12.75">
      <c r="B19201" s="4"/>
      <c r="D19201" s="67"/>
      <c r="G19201" s="68"/>
      <c r="K19201" s="68"/>
    </row>
    <row r="19202" spans="2:11" ht="12.75">
      <c r="B19202" s="4"/>
      <c r="D19202" s="67"/>
      <c r="G19202" s="68"/>
      <c r="K19202" s="68"/>
    </row>
    <row r="19203" spans="2:11" ht="12.75">
      <c r="B19203" s="4"/>
      <c r="D19203" s="67"/>
      <c r="G19203" s="68"/>
      <c r="K19203" s="68"/>
    </row>
    <row r="19204" spans="2:11" ht="12.75">
      <c r="B19204" s="4"/>
      <c r="D19204" s="67"/>
      <c r="G19204" s="68"/>
      <c r="K19204" s="68"/>
    </row>
    <row r="19205" spans="2:11" ht="12.75">
      <c r="B19205" s="4"/>
      <c r="D19205" s="67"/>
      <c r="G19205" s="68"/>
      <c r="K19205" s="68"/>
    </row>
    <row r="19206" spans="2:11" ht="12.75">
      <c r="B19206" s="4"/>
      <c r="D19206" s="67"/>
      <c r="G19206" s="68"/>
      <c r="K19206" s="68"/>
    </row>
    <row r="19207" spans="2:11" ht="12.75">
      <c r="B19207" s="4"/>
      <c r="D19207" s="67"/>
      <c r="G19207" s="68"/>
      <c r="K19207" s="68"/>
    </row>
    <row r="19208" spans="2:11" ht="12.75">
      <c r="B19208" s="4"/>
      <c r="D19208" s="67"/>
      <c r="G19208" s="68"/>
      <c r="K19208" s="68"/>
    </row>
    <row r="19209" spans="2:11" ht="12.75">
      <c r="B19209" s="4"/>
      <c r="D19209" s="67"/>
      <c r="G19209" s="68"/>
      <c r="K19209" s="68"/>
    </row>
    <row r="19210" spans="2:11" ht="12.75">
      <c r="B19210" s="4"/>
      <c r="D19210" s="67"/>
      <c r="G19210" s="68"/>
      <c r="K19210" s="68"/>
    </row>
    <row r="19211" spans="2:11" ht="12.75">
      <c r="B19211" s="4"/>
      <c r="D19211" s="67"/>
      <c r="G19211" s="68"/>
      <c r="K19211" s="68"/>
    </row>
    <row r="19212" spans="2:11" ht="12.75">
      <c r="B19212" s="4"/>
      <c r="D19212" s="67"/>
      <c r="G19212" s="68"/>
      <c r="K19212" s="68"/>
    </row>
    <row r="19213" spans="2:11" ht="12.75">
      <c r="B19213" s="4"/>
      <c r="D19213" s="67"/>
      <c r="G19213" s="68"/>
      <c r="K19213" s="68"/>
    </row>
    <row r="19214" spans="2:11" ht="12.75">
      <c r="B19214" s="4"/>
      <c r="D19214" s="67"/>
      <c r="G19214" s="68"/>
      <c r="K19214" s="68"/>
    </row>
    <row r="19215" spans="2:11" ht="12.75">
      <c r="B19215" s="4"/>
      <c r="D19215" s="67"/>
      <c r="G19215" s="68"/>
      <c r="K19215" s="68"/>
    </row>
    <row r="19216" spans="2:11" ht="12.75">
      <c r="B19216" s="4"/>
      <c r="D19216" s="67"/>
      <c r="G19216" s="68"/>
      <c r="K19216" s="68"/>
    </row>
    <row r="19217" spans="2:11" ht="12.75">
      <c r="B19217" s="4"/>
      <c r="D19217" s="67"/>
      <c r="G19217" s="68"/>
      <c r="K19217" s="68"/>
    </row>
    <row r="19218" spans="2:11" ht="12.75">
      <c r="B19218" s="4"/>
      <c r="D19218" s="67"/>
      <c r="G19218" s="68"/>
      <c r="K19218" s="68"/>
    </row>
    <row r="19219" spans="2:11" ht="12.75">
      <c r="B19219" s="4"/>
      <c r="D19219" s="67"/>
      <c r="G19219" s="68"/>
      <c r="K19219" s="68"/>
    </row>
    <row r="19220" spans="2:11" ht="12.75">
      <c r="B19220" s="4"/>
      <c r="D19220" s="67"/>
      <c r="G19220" s="68"/>
      <c r="K19220" s="68"/>
    </row>
    <row r="19221" spans="2:11" ht="12.75">
      <c r="B19221" s="4"/>
      <c r="D19221" s="67"/>
      <c r="G19221" s="68"/>
      <c r="K19221" s="68"/>
    </row>
    <row r="19222" spans="2:11" ht="12.75">
      <c r="B19222" s="4"/>
      <c r="D19222" s="67"/>
      <c r="G19222" s="68"/>
      <c r="K19222" s="68"/>
    </row>
    <row r="19223" spans="2:11" ht="12.75">
      <c r="B19223" s="4"/>
      <c r="D19223" s="67"/>
      <c r="G19223" s="68"/>
      <c r="K19223" s="68"/>
    </row>
    <row r="19224" spans="2:11" ht="12.75">
      <c r="B19224" s="4"/>
      <c r="D19224" s="67"/>
      <c r="G19224" s="68"/>
      <c r="K19224" s="68"/>
    </row>
    <row r="19225" spans="2:11" ht="12.75">
      <c r="B19225" s="4"/>
      <c r="D19225" s="67"/>
      <c r="G19225" s="68"/>
      <c r="K19225" s="68"/>
    </row>
    <row r="19226" spans="2:11" ht="12.75">
      <c r="B19226" s="4"/>
      <c r="D19226" s="67"/>
      <c r="G19226" s="68"/>
      <c r="K19226" s="68"/>
    </row>
    <row r="19227" spans="2:11" ht="12.75">
      <c r="B19227" s="4"/>
      <c r="D19227" s="67"/>
      <c r="G19227" s="68"/>
      <c r="K19227" s="68"/>
    </row>
    <row r="19228" spans="2:11" ht="12.75">
      <c r="B19228" s="4"/>
      <c r="D19228" s="67"/>
      <c r="G19228" s="68"/>
      <c r="K19228" s="68"/>
    </row>
    <row r="19229" spans="2:11" ht="12.75">
      <c r="B19229" s="4"/>
      <c r="D19229" s="67"/>
      <c r="G19229" s="68"/>
      <c r="K19229" s="68"/>
    </row>
    <row r="19230" spans="2:11" ht="12.75">
      <c r="B19230" s="4"/>
      <c r="D19230" s="67"/>
      <c r="G19230" s="68"/>
      <c r="K19230" s="68"/>
    </row>
    <row r="19231" spans="2:11" ht="12.75">
      <c r="B19231" s="4"/>
      <c r="D19231" s="67"/>
      <c r="G19231" s="68"/>
      <c r="K19231" s="68"/>
    </row>
    <row r="19232" spans="2:11" ht="12.75">
      <c r="B19232" s="4"/>
      <c r="D19232" s="67"/>
      <c r="G19232" s="68"/>
      <c r="K19232" s="68"/>
    </row>
    <row r="19233" spans="2:11" ht="12.75">
      <c r="B19233" s="4"/>
      <c r="D19233" s="67"/>
      <c r="G19233" s="68"/>
      <c r="K19233" s="68"/>
    </row>
    <row r="19234" spans="2:11" ht="12.75">
      <c r="B19234" s="4"/>
      <c r="D19234" s="67"/>
      <c r="G19234" s="68"/>
      <c r="K19234" s="68"/>
    </row>
    <row r="19235" spans="2:11" ht="12.75">
      <c r="B19235" s="4"/>
      <c r="D19235" s="67"/>
      <c r="G19235" s="68"/>
      <c r="K19235" s="68"/>
    </row>
    <row r="19236" spans="2:11" ht="12.75">
      <c r="B19236" s="4"/>
      <c r="D19236" s="67"/>
      <c r="G19236" s="68"/>
      <c r="K19236" s="68"/>
    </row>
    <row r="19237" spans="2:11" ht="12.75">
      <c r="B19237" s="4"/>
      <c r="D19237" s="67"/>
      <c r="G19237" s="68"/>
      <c r="K19237" s="68"/>
    </row>
    <row r="19238" spans="2:11" ht="12.75">
      <c r="B19238" s="4"/>
      <c r="D19238" s="67"/>
      <c r="G19238" s="68"/>
      <c r="K19238" s="68"/>
    </row>
    <row r="19239" spans="2:11" ht="12.75">
      <c r="B19239" s="4"/>
      <c r="D19239" s="67"/>
      <c r="G19239" s="68"/>
      <c r="K19239" s="68"/>
    </row>
    <row r="19240" spans="2:11" ht="12.75">
      <c r="B19240" s="4"/>
      <c r="D19240" s="67"/>
      <c r="G19240" s="68"/>
      <c r="K19240" s="68"/>
    </row>
    <row r="19241" spans="2:11" ht="12.75">
      <c r="B19241" s="4"/>
      <c r="D19241" s="67"/>
      <c r="G19241" s="68"/>
      <c r="K19241" s="68"/>
    </row>
    <row r="19242" spans="2:11" ht="12.75">
      <c r="B19242" s="4"/>
      <c r="D19242" s="67"/>
      <c r="G19242" s="68"/>
      <c r="K19242" s="68"/>
    </row>
    <row r="19243" spans="2:11" ht="12.75">
      <c r="B19243" s="4"/>
      <c r="D19243" s="67"/>
      <c r="G19243" s="68"/>
      <c r="K19243" s="68"/>
    </row>
    <row r="19244" spans="2:11" ht="12.75">
      <c r="B19244" s="4"/>
      <c r="D19244" s="67"/>
      <c r="G19244" s="68"/>
      <c r="K19244" s="68"/>
    </row>
    <row r="19245" spans="2:11" ht="12.75">
      <c r="B19245" s="4"/>
      <c r="D19245" s="67"/>
      <c r="G19245" s="68"/>
      <c r="K19245" s="68"/>
    </row>
    <row r="19246" spans="2:11" ht="12.75">
      <c r="B19246" s="4"/>
      <c r="D19246" s="67"/>
      <c r="G19246" s="68"/>
      <c r="K19246" s="68"/>
    </row>
    <row r="19247" spans="2:11" ht="12.75">
      <c r="B19247" s="4"/>
      <c r="D19247" s="67"/>
      <c r="G19247" s="68"/>
      <c r="K19247" s="68"/>
    </row>
    <row r="19248" spans="2:11" ht="12.75">
      <c r="B19248" s="4"/>
      <c r="D19248" s="67"/>
      <c r="G19248" s="68"/>
      <c r="K19248" s="68"/>
    </row>
    <row r="19249" spans="2:11" ht="12.75">
      <c r="B19249" s="4"/>
      <c r="D19249" s="67"/>
      <c r="G19249" s="68"/>
      <c r="K19249" s="68"/>
    </row>
    <row r="19250" spans="2:11" ht="12.75">
      <c r="B19250" s="4"/>
      <c r="D19250" s="67"/>
      <c r="G19250" s="68"/>
      <c r="K19250" s="68"/>
    </row>
    <row r="19251" spans="2:11" ht="12.75">
      <c r="B19251" s="4"/>
      <c r="D19251" s="67"/>
      <c r="G19251" s="68"/>
      <c r="K19251" s="68"/>
    </row>
    <row r="19252" spans="2:11" ht="12.75">
      <c r="B19252" s="4"/>
      <c r="D19252" s="67"/>
      <c r="G19252" s="68"/>
      <c r="K19252" s="68"/>
    </row>
    <row r="19253" spans="2:11" ht="12.75">
      <c r="B19253" s="4"/>
      <c r="D19253" s="67"/>
      <c r="G19253" s="68"/>
      <c r="K19253" s="68"/>
    </row>
    <row r="19254" spans="2:11" ht="12.75">
      <c r="B19254" s="4"/>
      <c r="D19254" s="67"/>
      <c r="G19254" s="68"/>
      <c r="K19254" s="68"/>
    </row>
    <row r="19255" spans="2:11" ht="12.75">
      <c r="B19255" s="4"/>
      <c r="D19255" s="67"/>
      <c r="G19255" s="68"/>
      <c r="K19255" s="68"/>
    </row>
    <row r="19256" spans="2:11" ht="12.75">
      <c r="B19256" s="4"/>
      <c r="D19256" s="67"/>
      <c r="G19256" s="68"/>
      <c r="K19256" s="68"/>
    </row>
    <row r="19257" spans="2:11" ht="12.75">
      <c r="B19257" s="4"/>
      <c r="D19257" s="67"/>
      <c r="G19257" s="68"/>
      <c r="K19257" s="68"/>
    </row>
    <row r="19258" spans="2:11" ht="12.75">
      <c r="B19258" s="4"/>
      <c r="D19258" s="67"/>
      <c r="G19258" s="68"/>
      <c r="K19258" s="68"/>
    </row>
    <row r="19259" spans="2:11" ht="12.75">
      <c r="B19259" s="4"/>
      <c r="D19259" s="67"/>
      <c r="G19259" s="68"/>
      <c r="K19259" s="68"/>
    </row>
    <row r="19260" spans="2:11" ht="12.75">
      <c r="B19260" s="4"/>
      <c r="D19260" s="67"/>
      <c r="G19260" s="68"/>
      <c r="K19260" s="68"/>
    </row>
    <row r="19261" spans="2:11" ht="12.75">
      <c r="B19261" s="4"/>
      <c r="D19261" s="67"/>
      <c r="G19261" s="68"/>
      <c r="K19261" s="68"/>
    </row>
    <row r="19262" spans="2:11" ht="12.75">
      <c r="B19262" s="4"/>
      <c r="D19262" s="67"/>
      <c r="G19262" s="68"/>
      <c r="K19262" s="68"/>
    </row>
    <row r="19263" spans="2:11" ht="12.75">
      <c r="B19263" s="4"/>
      <c r="D19263" s="67"/>
      <c r="G19263" s="68"/>
      <c r="K19263" s="68"/>
    </row>
    <row r="19264" spans="2:11" ht="12.75">
      <c r="B19264" s="4"/>
      <c r="D19264" s="67"/>
      <c r="G19264" s="68"/>
      <c r="K19264" s="68"/>
    </row>
    <row r="19265" spans="2:11" ht="12.75">
      <c r="B19265" s="4"/>
      <c r="D19265" s="67"/>
      <c r="G19265" s="68"/>
      <c r="K19265" s="68"/>
    </row>
    <row r="19266" spans="2:11" ht="12.75">
      <c r="B19266" s="4"/>
      <c r="D19266" s="67"/>
      <c r="G19266" s="68"/>
      <c r="K19266" s="68"/>
    </row>
    <row r="19267" spans="2:11" ht="12.75">
      <c r="B19267" s="4"/>
      <c r="D19267" s="67"/>
      <c r="G19267" s="68"/>
      <c r="K19267" s="68"/>
    </row>
    <row r="19268" spans="2:11" ht="12.75">
      <c r="B19268" s="4"/>
      <c r="D19268" s="67"/>
      <c r="G19268" s="68"/>
      <c r="K19268" s="68"/>
    </row>
    <row r="19269" spans="2:11" ht="12.75">
      <c r="B19269" s="4"/>
      <c r="D19269" s="67"/>
      <c r="G19269" s="68"/>
      <c r="K19269" s="68"/>
    </row>
    <row r="19270" spans="2:11" ht="12.75">
      <c r="B19270" s="4"/>
      <c r="D19270" s="67"/>
      <c r="G19270" s="68"/>
      <c r="K19270" s="68"/>
    </row>
    <row r="19271" spans="2:11" ht="12.75">
      <c r="B19271" s="4"/>
      <c r="D19271" s="67"/>
      <c r="G19271" s="68"/>
      <c r="K19271" s="68"/>
    </row>
    <row r="19272" spans="2:11" ht="12.75">
      <c r="B19272" s="4"/>
      <c r="D19272" s="67"/>
      <c r="G19272" s="68"/>
      <c r="K19272" s="68"/>
    </row>
    <row r="19273" spans="2:11" ht="12.75">
      <c r="B19273" s="4"/>
      <c r="D19273" s="67"/>
      <c r="G19273" s="68"/>
      <c r="K19273" s="68"/>
    </row>
    <row r="19274" spans="2:11" ht="12.75">
      <c r="B19274" s="4"/>
      <c r="D19274" s="67"/>
      <c r="G19274" s="68"/>
      <c r="K19274" s="68"/>
    </row>
    <row r="19275" spans="2:11" ht="12.75">
      <c r="B19275" s="4"/>
      <c r="D19275" s="67"/>
      <c r="G19275" s="68"/>
      <c r="K19275" s="68"/>
    </row>
    <row r="19276" spans="2:11" ht="12.75">
      <c r="B19276" s="4"/>
      <c r="D19276" s="67"/>
      <c r="G19276" s="68"/>
      <c r="K19276" s="68"/>
    </row>
    <row r="19277" spans="2:11" ht="12.75">
      <c r="B19277" s="4"/>
      <c r="D19277" s="67"/>
      <c r="G19277" s="68"/>
      <c r="K19277" s="68"/>
    </row>
    <row r="19278" spans="2:11" ht="12.75">
      <c r="B19278" s="4"/>
      <c r="D19278" s="67"/>
      <c r="G19278" s="68"/>
      <c r="K19278" s="68"/>
    </row>
    <row r="19279" spans="2:11" ht="12.75">
      <c r="B19279" s="4"/>
      <c r="D19279" s="67"/>
      <c r="G19279" s="68"/>
      <c r="K19279" s="68"/>
    </row>
    <row r="19280" spans="2:11" ht="12.75">
      <c r="B19280" s="4"/>
      <c r="D19280" s="67"/>
      <c r="G19280" s="68"/>
      <c r="K19280" s="68"/>
    </row>
    <row r="19281" spans="2:11" ht="12.75">
      <c r="B19281" s="4"/>
      <c r="D19281" s="67"/>
      <c r="G19281" s="68"/>
      <c r="K19281" s="68"/>
    </row>
    <row r="19282" spans="2:11" ht="12.75">
      <c r="B19282" s="4"/>
      <c r="D19282" s="67"/>
      <c r="G19282" s="68"/>
      <c r="K19282" s="68"/>
    </row>
    <row r="19283" spans="2:11" ht="12.75">
      <c r="B19283" s="4"/>
      <c r="D19283" s="67"/>
      <c r="G19283" s="68"/>
      <c r="K19283" s="68"/>
    </row>
    <row r="19284" spans="2:11" ht="12.75">
      <c r="B19284" s="4"/>
      <c r="D19284" s="67"/>
      <c r="G19284" s="68"/>
      <c r="K19284" s="68"/>
    </row>
    <row r="19285" spans="2:11" ht="12.75">
      <c r="B19285" s="4"/>
      <c r="D19285" s="67"/>
      <c r="G19285" s="68"/>
      <c r="K19285" s="68"/>
    </row>
    <row r="19286" spans="2:11" ht="12.75">
      <c r="B19286" s="4"/>
      <c r="D19286" s="67"/>
      <c r="G19286" s="68"/>
      <c r="K19286" s="68"/>
    </row>
    <row r="19287" spans="2:11" ht="12.75">
      <c r="B19287" s="4"/>
      <c r="D19287" s="67"/>
      <c r="G19287" s="68"/>
      <c r="K19287" s="68"/>
    </row>
    <row r="19288" spans="2:11" ht="12.75">
      <c r="B19288" s="4"/>
      <c r="D19288" s="67"/>
      <c r="G19288" s="68"/>
      <c r="K19288" s="68"/>
    </row>
    <row r="19289" spans="2:11" ht="12.75">
      <c r="B19289" s="4"/>
      <c r="D19289" s="67"/>
      <c r="G19289" s="68"/>
      <c r="K19289" s="68"/>
    </row>
    <row r="19290" spans="2:11" ht="12.75">
      <c r="B19290" s="4"/>
      <c r="D19290" s="67"/>
      <c r="G19290" s="68"/>
      <c r="K19290" s="68"/>
    </row>
    <row r="19291" spans="2:11" ht="12.75">
      <c r="B19291" s="4"/>
      <c r="D19291" s="67"/>
      <c r="G19291" s="68"/>
      <c r="K19291" s="68"/>
    </row>
    <row r="19292" spans="2:11" ht="12.75">
      <c r="B19292" s="4"/>
      <c r="D19292" s="67"/>
      <c r="G19292" s="68"/>
      <c r="K19292" s="68"/>
    </row>
    <row r="19293" spans="2:11" ht="12.75">
      <c r="B19293" s="4"/>
      <c r="D19293" s="67"/>
      <c r="G19293" s="68"/>
      <c r="K19293" s="68"/>
    </row>
    <row r="19294" spans="2:11" ht="12.75">
      <c r="B19294" s="4"/>
      <c r="D19294" s="67"/>
      <c r="G19294" s="68"/>
      <c r="K19294" s="68"/>
    </row>
    <row r="19295" spans="2:11" ht="12.75">
      <c r="B19295" s="4"/>
      <c r="D19295" s="67"/>
      <c r="G19295" s="68"/>
      <c r="K19295" s="68"/>
    </row>
    <row r="19296" spans="2:11" ht="12.75">
      <c r="B19296" s="4"/>
      <c r="D19296" s="67"/>
      <c r="G19296" s="68"/>
      <c r="K19296" s="68"/>
    </row>
    <row r="19297" spans="2:11" ht="12.75">
      <c r="B19297" s="4"/>
      <c r="D19297" s="67"/>
      <c r="G19297" s="68"/>
      <c r="K19297" s="68"/>
    </row>
    <row r="19298" spans="2:11" ht="12.75">
      <c r="B19298" s="4"/>
      <c r="D19298" s="67"/>
      <c r="G19298" s="68"/>
      <c r="K19298" s="68"/>
    </row>
    <row r="19299" spans="2:11" ht="12.75">
      <c r="B19299" s="4"/>
      <c r="D19299" s="67"/>
      <c r="G19299" s="68"/>
      <c r="K19299" s="68"/>
    </row>
    <row r="19300" spans="2:11" ht="12.75">
      <c r="B19300" s="4"/>
      <c r="D19300" s="67"/>
      <c r="G19300" s="68"/>
      <c r="K19300" s="68"/>
    </row>
    <row r="19301" spans="2:11" ht="12.75">
      <c r="B19301" s="4"/>
      <c r="D19301" s="67"/>
      <c r="G19301" s="68"/>
      <c r="K19301" s="68"/>
    </row>
    <row r="19302" spans="2:11" ht="12.75">
      <c r="B19302" s="4"/>
      <c r="D19302" s="67"/>
      <c r="G19302" s="68"/>
      <c r="K19302" s="68"/>
    </row>
    <row r="19303" spans="2:11" ht="12.75">
      <c r="B19303" s="4"/>
      <c r="D19303" s="67"/>
      <c r="G19303" s="68"/>
      <c r="K19303" s="68"/>
    </row>
    <row r="19304" spans="2:11" ht="12.75">
      <c r="B19304" s="4"/>
      <c r="D19304" s="67"/>
      <c r="G19304" s="68"/>
      <c r="K19304" s="68"/>
    </row>
    <row r="19305" spans="2:11" ht="12.75">
      <c r="B19305" s="4"/>
      <c r="D19305" s="67"/>
      <c r="G19305" s="68"/>
      <c r="K19305" s="68"/>
    </row>
    <row r="19306" spans="2:11" ht="12.75">
      <c r="B19306" s="4"/>
      <c r="D19306" s="67"/>
      <c r="G19306" s="68"/>
      <c r="K19306" s="68"/>
    </row>
    <row r="19307" spans="2:11" ht="12.75">
      <c r="B19307" s="4"/>
      <c r="D19307" s="67"/>
      <c r="G19307" s="68"/>
      <c r="K19307" s="68"/>
    </row>
    <row r="19308" spans="2:11" ht="12.75">
      <c r="B19308" s="4"/>
      <c r="D19308" s="67"/>
      <c r="G19308" s="68"/>
      <c r="K19308" s="68"/>
    </row>
    <row r="19309" spans="2:11" ht="12.75">
      <c r="B19309" s="4"/>
      <c r="D19309" s="67"/>
      <c r="G19309" s="68"/>
      <c r="K19309" s="68"/>
    </row>
    <row r="19310" spans="2:11" ht="12.75">
      <c r="B19310" s="4"/>
      <c r="D19310" s="67"/>
      <c r="G19310" s="68"/>
      <c r="K19310" s="68"/>
    </row>
    <row r="19311" spans="2:11" ht="12.75">
      <c r="B19311" s="4"/>
      <c r="D19311" s="67"/>
      <c r="G19311" s="68"/>
      <c r="K19311" s="68"/>
    </row>
    <row r="19312" spans="2:11" ht="12.75">
      <c r="B19312" s="4"/>
      <c r="D19312" s="67"/>
      <c r="G19312" s="68"/>
      <c r="K19312" s="68"/>
    </row>
    <row r="19313" spans="2:11" ht="12.75">
      <c r="B19313" s="4"/>
      <c r="D19313" s="67"/>
      <c r="G19313" s="68"/>
      <c r="K19313" s="68"/>
    </row>
    <row r="19314" spans="2:11" ht="12.75">
      <c r="B19314" s="4"/>
      <c r="D19314" s="67"/>
      <c r="G19314" s="68"/>
      <c r="K19314" s="68"/>
    </row>
    <row r="19315" spans="2:11" ht="12.75">
      <c r="B19315" s="4"/>
      <c r="D19315" s="67"/>
      <c r="G19315" s="68"/>
      <c r="K19315" s="68"/>
    </row>
    <row r="19316" spans="2:11" ht="12.75">
      <c r="B19316" s="4"/>
      <c r="D19316" s="67"/>
      <c r="G19316" s="68"/>
      <c r="K19316" s="68"/>
    </row>
    <row r="19317" spans="2:11" ht="12.75">
      <c r="B19317" s="4"/>
      <c r="D19317" s="67"/>
      <c r="G19317" s="68"/>
      <c r="K19317" s="68"/>
    </row>
    <row r="19318" spans="2:11" ht="12.75">
      <c r="B19318" s="4"/>
      <c r="D19318" s="67"/>
      <c r="G19318" s="68"/>
      <c r="K19318" s="68"/>
    </row>
    <row r="19319" spans="2:11" ht="12.75">
      <c r="B19319" s="4"/>
      <c r="D19319" s="67"/>
      <c r="G19319" s="68"/>
      <c r="K19319" s="68"/>
    </row>
    <row r="19320" spans="2:11" ht="12.75">
      <c r="B19320" s="4"/>
      <c r="D19320" s="67"/>
      <c r="G19320" s="68"/>
      <c r="K19320" s="68"/>
    </row>
    <row r="19321" spans="2:11" ht="12.75">
      <c r="B19321" s="4"/>
      <c r="D19321" s="67"/>
      <c r="G19321" s="68"/>
      <c r="K19321" s="68"/>
    </row>
    <row r="19322" spans="2:11" ht="12.75">
      <c r="B19322" s="4"/>
      <c r="D19322" s="67"/>
      <c r="G19322" s="68"/>
      <c r="K19322" s="68"/>
    </row>
    <row r="19323" spans="2:11" ht="12.75">
      <c r="B19323" s="4"/>
      <c r="D19323" s="67"/>
      <c r="G19323" s="68"/>
      <c r="K19323" s="68"/>
    </row>
    <row r="19324" spans="2:11" ht="12.75">
      <c r="B19324" s="4"/>
      <c r="D19324" s="67"/>
      <c r="G19324" s="68"/>
      <c r="K19324" s="68"/>
    </row>
    <row r="19325" spans="2:11" ht="12.75">
      <c r="B19325" s="4"/>
      <c r="D19325" s="67"/>
      <c r="G19325" s="68"/>
      <c r="K19325" s="68"/>
    </row>
    <row r="19326" spans="2:11" ht="12.75">
      <c r="B19326" s="4"/>
      <c r="D19326" s="67"/>
      <c r="G19326" s="68"/>
      <c r="K19326" s="68"/>
    </row>
    <row r="19327" spans="2:11" ht="12.75">
      <c r="B19327" s="4"/>
      <c r="D19327" s="67"/>
      <c r="G19327" s="68"/>
      <c r="K19327" s="68"/>
    </row>
    <row r="19328" spans="2:11" ht="12.75">
      <c r="B19328" s="4"/>
      <c r="D19328" s="67"/>
      <c r="G19328" s="68"/>
      <c r="K19328" s="68"/>
    </row>
    <row r="19329" spans="2:11" ht="12.75">
      <c r="B19329" s="4"/>
      <c r="D19329" s="67"/>
      <c r="G19329" s="68"/>
      <c r="K19329" s="68"/>
    </row>
    <row r="19330" spans="2:11" ht="12.75">
      <c r="B19330" s="4"/>
      <c r="D19330" s="67"/>
      <c r="G19330" s="68"/>
      <c r="K19330" s="68"/>
    </row>
    <row r="19331" spans="2:11" ht="12.75">
      <c r="B19331" s="4"/>
      <c r="D19331" s="67"/>
      <c r="G19331" s="68"/>
      <c r="K19331" s="68"/>
    </row>
    <row r="19332" spans="2:11" ht="12.75">
      <c r="B19332" s="4"/>
      <c r="D19332" s="67"/>
      <c r="G19332" s="68"/>
      <c r="K19332" s="68"/>
    </row>
    <row r="19333" spans="2:11" ht="12.75">
      <c r="B19333" s="4"/>
      <c r="D19333" s="67"/>
      <c r="G19333" s="68"/>
      <c r="K19333" s="68"/>
    </row>
    <row r="19334" spans="2:11" ht="12.75">
      <c r="B19334" s="4"/>
      <c r="D19334" s="67"/>
      <c r="G19334" s="68"/>
      <c r="K19334" s="68"/>
    </row>
    <row r="19335" spans="2:11" ht="12.75">
      <c r="B19335" s="4"/>
      <c r="D19335" s="67"/>
      <c r="G19335" s="68"/>
      <c r="K19335" s="68"/>
    </row>
    <row r="19336" spans="2:11" ht="12.75">
      <c r="B19336" s="4"/>
      <c r="D19336" s="67"/>
      <c r="G19336" s="68"/>
      <c r="K19336" s="68"/>
    </row>
    <row r="19337" spans="2:11" ht="12.75">
      <c r="B19337" s="4"/>
      <c r="D19337" s="67"/>
      <c r="G19337" s="68"/>
      <c r="K19337" s="68"/>
    </row>
    <row r="19338" spans="2:11" ht="12.75">
      <c r="B19338" s="4"/>
      <c r="D19338" s="67"/>
      <c r="G19338" s="68"/>
      <c r="K19338" s="68"/>
    </row>
    <row r="19339" spans="2:11" ht="12.75">
      <c r="B19339" s="4"/>
      <c r="D19339" s="67"/>
      <c r="G19339" s="68"/>
      <c r="K19339" s="68"/>
    </row>
    <row r="19340" spans="2:11" ht="12.75">
      <c r="B19340" s="4"/>
      <c r="D19340" s="67"/>
      <c r="G19340" s="68"/>
      <c r="K19340" s="68"/>
    </row>
    <row r="19341" spans="2:11" ht="12.75">
      <c r="B19341" s="4"/>
      <c r="D19341" s="67"/>
      <c r="G19341" s="68"/>
      <c r="K19341" s="68"/>
    </row>
    <row r="19342" spans="2:11" ht="12.75">
      <c r="B19342" s="4"/>
      <c r="D19342" s="67"/>
      <c r="G19342" s="68"/>
      <c r="K19342" s="68"/>
    </row>
    <row r="19343" spans="2:11" ht="12.75">
      <c r="B19343" s="4"/>
      <c r="D19343" s="67"/>
      <c r="G19343" s="68"/>
      <c r="K19343" s="68"/>
    </row>
    <row r="19344" spans="2:11" ht="12.75">
      <c r="B19344" s="4"/>
      <c r="D19344" s="67"/>
      <c r="G19344" s="68"/>
      <c r="K19344" s="68"/>
    </row>
    <row r="19345" spans="2:11" ht="12.75">
      <c r="B19345" s="4"/>
      <c r="D19345" s="67"/>
      <c r="G19345" s="68"/>
      <c r="K19345" s="68"/>
    </row>
    <row r="19346" spans="2:11" ht="12.75">
      <c r="B19346" s="4"/>
      <c r="D19346" s="67"/>
      <c r="G19346" s="68"/>
      <c r="K19346" s="68"/>
    </row>
    <row r="19347" spans="2:11" ht="12.75">
      <c r="B19347" s="4"/>
      <c r="D19347" s="67"/>
      <c r="G19347" s="68"/>
      <c r="K19347" s="68"/>
    </row>
    <row r="19348" spans="2:11" ht="12.75">
      <c r="B19348" s="4"/>
      <c r="D19348" s="67"/>
      <c r="G19348" s="68"/>
      <c r="K19348" s="68"/>
    </row>
    <row r="19349" spans="2:11" ht="12.75">
      <c r="B19349" s="4"/>
      <c r="D19349" s="67"/>
      <c r="G19349" s="68"/>
      <c r="K19349" s="68"/>
    </row>
    <row r="19350" spans="2:11" ht="12.75">
      <c r="B19350" s="4"/>
      <c r="D19350" s="67"/>
      <c r="G19350" s="68"/>
      <c r="K19350" s="68"/>
    </row>
    <row r="19351" spans="2:11" ht="12.75">
      <c r="B19351" s="4"/>
      <c r="D19351" s="67"/>
      <c r="G19351" s="68"/>
      <c r="K19351" s="68"/>
    </row>
    <row r="19352" spans="2:11" ht="12.75">
      <c r="B19352" s="4"/>
      <c r="D19352" s="67"/>
      <c r="G19352" s="68"/>
      <c r="K19352" s="68"/>
    </row>
    <row r="19353" spans="2:11" ht="12.75">
      <c r="B19353" s="4"/>
      <c r="D19353" s="67"/>
      <c r="G19353" s="68"/>
      <c r="K19353" s="68"/>
    </row>
    <row r="19354" spans="2:11" ht="12.75">
      <c r="B19354" s="4"/>
      <c r="D19354" s="67"/>
      <c r="G19354" s="68"/>
      <c r="K19354" s="68"/>
    </row>
    <row r="19355" spans="2:11" ht="12.75">
      <c r="B19355" s="4"/>
      <c r="D19355" s="67"/>
      <c r="G19355" s="68"/>
      <c r="K19355" s="68"/>
    </row>
    <row r="19356" spans="2:11" ht="12.75">
      <c r="B19356" s="4"/>
      <c r="D19356" s="67"/>
      <c r="G19356" s="68"/>
      <c r="K19356" s="68"/>
    </row>
    <row r="19357" spans="2:11" ht="12.75">
      <c r="B19357" s="4"/>
      <c r="D19357" s="67"/>
      <c r="G19357" s="68"/>
      <c r="K19357" s="68"/>
    </row>
    <row r="19358" spans="2:11" ht="12.75">
      <c r="B19358" s="4"/>
      <c r="D19358" s="67"/>
      <c r="G19358" s="68"/>
      <c r="K19358" s="68"/>
    </row>
    <row r="19359" spans="2:11" ht="12.75">
      <c r="B19359" s="4"/>
      <c r="D19359" s="67"/>
      <c r="G19359" s="68"/>
      <c r="K19359" s="68"/>
    </row>
    <row r="19360" spans="2:11" ht="12.75">
      <c r="B19360" s="4"/>
      <c r="D19360" s="67"/>
      <c r="G19360" s="68"/>
      <c r="K19360" s="68"/>
    </row>
    <row r="19361" spans="2:11" ht="12.75">
      <c r="B19361" s="4"/>
      <c r="D19361" s="67"/>
      <c r="G19361" s="68"/>
      <c r="K19361" s="68"/>
    </row>
    <row r="19362" spans="2:11" ht="12.75">
      <c r="B19362" s="4"/>
      <c r="D19362" s="67"/>
      <c r="G19362" s="68"/>
      <c r="K19362" s="68"/>
    </row>
    <row r="19363" spans="2:11" ht="12.75">
      <c r="B19363" s="4"/>
      <c r="D19363" s="67"/>
      <c r="G19363" s="68"/>
      <c r="K19363" s="68"/>
    </row>
    <row r="19364" spans="2:11" ht="12.75">
      <c r="B19364" s="4"/>
      <c r="D19364" s="67"/>
      <c r="G19364" s="68"/>
      <c r="K19364" s="68"/>
    </row>
    <row r="19365" spans="2:11" ht="12.75">
      <c r="B19365" s="4"/>
      <c r="D19365" s="67"/>
      <c r="G19365" s="68"/>
      <c r="K19365" s="68"/>
    </row>
    <row r="19366" spans="2:11" ht="12.75">
      <c r="B19366" s="4"/>
      <c r="D19366" s="67"/>
      <c r="G19366" s="68"/>
      <c r="K19366" s="68"/>
    </row>
    <row r="19367" spans="2:11" ht="12.75">
      <c r="B19367" s="4"/>
      <c r="D19367" s="67"/>
      <c r="G19367" s="68"/>
      <c r="K19367" s="68"/>
    </row>
    <row r="19368" spans="2:11" ht="12.75">
      <c r="B19368" s="4"/>
      <c r="D19368" s="67"/>
      <c r="G19368" s="68"/>
      <c r="K19368" s="68"/>
    </row>
    <row r="19369" spans="2:11" ht="12.75">
      <c r="B19369" s="4"/>
      <c r="D19369" s="67"/>
      <c r="G19369" s="68"/>
      <c r="K19369" s="68"/>
    </row>
    <row r="19370" spans="2:11" ht="12.75">
      <c r="B19370" s="4"/>
      <c r="D19370" s="67"/>
      <c r="G19370" s="68"/>
      <c r="K19370" s="68"/>
    </row>
    <row r="19371" spans="2:11" ht="12.75">
      <c r="B19371" s="4"/>
      <c r="D19371" s="67"/>
      <c r="G19371" s="68"/>
      <c r="K19371" s="68"/>
    </row>
    <row r="19372" spans="2:11" ht="12.75">
      <c r="B19372" s="4"/>
      <c r="D19372" s="67"/>
      <c r="G19372" s="68"/>
      <c r="K19372" s="68"/>
    </row>
    <row r="19373" spans="2:11" ht="12.75">
      <c r="B19373" s="4"/>
      <c r="D19373" s="67"/>
      <c r="G19373" s="68"/>
      <c r="K19373" s="68"/>
    </row>
    <row r="19374" spans="2:11" ht="12.75">
      <c r="B19374" s="4"/>
      <c r="D19374" s="67"/>
      <c r="G19374" s="68"/>
      <c r="K19374" s="68"/>
    </row>
    <row r="19375" spans="2:11" ht="12.75">
      <c r="B19375" s="4"/>
      <c r="D19375" s="67"/>
      <c r="G19375" s="68"/>
      <c r="K19375" s="68"/>
    </row>
    <row r="19376" spans="2:11" ht="12.75">
      <c r="B19376" s="4"/>
      <c r="D19376" s="67"/>
      <c r="G19376" s="68"/>
      <c r="K19376" s="68"/>
    </row>
    <row r="19377" spans="2:11" ht="12.75">
      <c r="B19377" s="4"/>
      <c r="D19377" s="67"/>
      <c r="G19377" s="68"/>
      <c r="K19377" s="68"/>
    </row>
    <row r="19378" spans="2:11" ht="12.75">
      <c r="B19378" s="4"/>
      <c r="D19378" s="67"/>
      <c r="G19378" s="68"/>
      <c r="K19378" s="68"/>
    </row>
    <row r="19379" spans="2:11" ht="12.75">
      <c r="B19379" s="4"/>
      <c r="D19379" s="67"/>
      <c r="G19379" s="68"/>
      <c r="K19379" s="68"/>
    </row>
    <row r="19380" spans="2:11" ht="12.75">
      <c r="B19380" s="4"/>
      <c r="D19380" s="67"/>
      <c r="G19380" s="68"/>
      <c r="K19380" s="68"/>
    </row>
    <row r="19381" spans="2:11" ht="12.75">
      <c r="B19381" s="4"/>
      <c r="D19381" s="67"/>
      <c r="G19381" s="68"/>
      <c r="K19381" s="68"/>
    </row>
    <row r="19382" spans="2:11" ht="12.75">
      <c r="B19382" s="4"/>
      <c r="D19382" s="67"/>
      <c r="G19382" s="68"/>
      <c r="K19382" s="68"/>
    </row>
    <row r="19383" spans="2:11" ht="12.75">
      <c r="B19383" s="4"/>
      <c r="D19383" s="67"/>
      <c r="G19383" s="68"/>
      <c r="K19383" s="68"/>
    </row>
    <row r="19384" spans="2:11" ht="12.75">
      <c r="B19384" s="4"/>
      <c r="D19384" s="67"/>
      <c r="G19384" s="68"/>
      <c r="K19384" s="68"/>
    </row>
    <row r="19385" spans="2:11" ht="12.75">
      <c r="B19385" s="4"/>
      <c r="D19385" s="67"/>
      <c r="G19385" s="68"/>
      <c r="K19385" s="68"/>
    </row>
    <row r="19386" spans="2:11" ht="12.75">
      <c r="B19386" s="4"/>
      <c r="D19386" s="67"/>
      <c r="G19386" s="68"/>
      <c r="K19386" s="68"/>
    </row>
    <row r="19387" spans="2:11" ht="12.75">
      <c r="B19387" s="4"/>
      <c r="D19387" s="67"/>
      <c r="G19387" s="68"/>
      <c r="K19387" s="68"/>
    </row>
    <row r="19388" spans="2:11" ht="12.75">
      <c r="B19388" s="4"/>
      <c r="D19388" s="67"/>
      <c r="G19388" s="68"/>
      <c r="K19388" s="68"/>
    </row>
    <row r="19389" spans="2:11" ht="12.75">
      <c r="B19389" s="4"/>
      <c r="D19389" s="67"/>
      <c r="G19389" s="68"/>
      <c r="K19389" s="68"/>
    </row>
    <row r="19390" spans="2:11" ht="12.75">
      <c r="B19390" s="4"/>
      <c r="D19390" s="67"/>
      <c r="G19390" s="68"/>
      <c r="K19390" s="68"/>
    </row>
    <row r="19391" spans="2:11" ht="12.75">
      <c r="B19391" s="4"/>
      <c r="D19391" s="67"/>
      <c r="G19391" s="68"/>
      <c r="K19391" s="68"/>
    </row>
    <row r="19392" spans="2:11" ht="12.75">
      <c r="B19392" s="4"/>
      <c r="D19392" s="67"/>
      <c r="G19392" s="68"/>
      <c r="K19392" s="68"/>
    </row>
    <row r="19393" spans="2:11" ht="12.75">
      <c r="B19393" s="4"/>
      <c r="D19393" s="67"/>
      <c r="G19393" s="68"/>
      <c r="K19393" s="68"/>
    </row>
    <row r="19394" spans="2:11" ht="12.75">
      <c r="B19394" s="4"/>
      <c r="D19394" s="67"/>
      <c r="G19394" s="68"/>
      <c r="K19394" s="68"/>
    </row>
    <row r="19395" spans="2:11" ht="12.75">
      <c r="B19395" s="4"/>
      <c r="D19395" s="67"/>
      <c r="G19395" s="68"/>
      <c r="K19395" s="68"/>
    </row>
    <row r="19396" spans="2:11" ht="12.75">
      <c r="B19396" s="4"/>
      <c r="D19396" s="67"/>
      <c r="G19396" s="68"/>
      <c r="K19396" s="68"/>
    </row>
    <row r="19397" spans="2:11" ht="12.75">
      <c r="B19397" s="4"/>
      <c r="D19397" s="67"/>
      <c r="G19397" s="68"/>
      <c r="K19397" s="68"/>
    </row>
    <row r="19398" spans="2:11" ht="12.75">
      <c r="B19398" s="4"/>
      <c r="D19398" s="67"/>
      <c r="G19398" s="68"/>
      <c r="K19398" s="68"/>
    </row>
    <row r="19399" spans="2:11" ht="12.75">
      <c r="B19399" s="4"/>
      <c r="D19399" s="67"/>
      <c r="G19399" s="68"/>
      <c r="K19399" s="68"/>
    </row>
    <row r="19400" spans="2:11" ht="12.75">
      <c r="B19400" s="4"/>
      <c r="D19400" s="67"/>
      <c r="G19400" s="68"/>
      <c r="K19400" s="68"/>
    </row>
    <row r="19401" spans="2:11" ht="12.75">
      <c r="B19401" s="4"/>
      <c r="D19401" s="67"/>
      <c r="G19401" s="68"/>
      <c r="K19401" s="68"/>
    </row>
    <row r="19402" spans="2:11" ht="12.75">
      <c r="B19402" s="4"/>
      <c r="D19402" s="67"/>
      <c r="G19402" s="68"/>
      <c r="K19402" s="68"/>
    </row>
    <row r="19403" spans="2:11" ht="12.75">
      <c r="B19403" s="4"/>
      <c r="D19403" s="67"/>
      <c r="G19403" s="68"/>
      <c r="K19403" s="68"/>
    </row>
    <row r="19404" spans="2:11" ht="12.75">
      <c r="B19404" s="4"/>
      <c r="D19404" s="67"/>
      <c r="G19404" s="68"/>
      <c r="K19404" s="68"/>
    </row>
    <row r="19405" spans="2:11" ht="12.75">
      <c r="B19405" s="4"/>
      <c r="D19405" s="67"/>
      <c r="G19405" s="68"/>
      <c r="K19405" s="68"/>
    </row>
    <row r="19406" spans="2:11" ht="12.75">
      <c r="B19406" s="4"/>
      <c r="D19406" s="67"/>
      <c r="G19406" s="68"/>
      <c r="K19406" s="68"/>
    </row>
    <row r="19407" spans="2:11" ht="12.75">
      <c r="B19407" s="4"/>
      <c r="D19407" s="67"/>
      <c r="G19407" s="68"/>
      <c r="K19407" s="68"/>
    </row>
    <row r="19408" spans="2:11" ht="12.75">
      <c r="B19408" s="4"/>
      <c r="D19408" s="67"/>
      <c r="G19408" s="68"/>
      <c r="K19408" s="68"/>
    </row>
    <row r="19409" spans="2:11" ht="12.75">
      <c r="B19409" s="4"/>
      <c r="D19409" s="67"/>
      <c r="G19409" s="68"/>
      <c r="K19409" s="68"/>
    </row>
    <row r="19410" spans="2:11" ht="12.75">
      <c r="B19410" s="4"/>
      <c r="D19410" s="67"/>
      <c r="G19410" s="68"/>
      <c r="K19410" s="68"/>
    </row>
    <row r="19411" spans="2:11" ht="12.75">
      <c r="B19411" s="4"/>
      <c r="D19411" s="67"/>
      <c r="G19411" s="68"/>
      <c r="K19411" s="68"/>
    </row>
    <row r="19412" spans="2:11" ht="12.75">
      <c r="B19412" s="4"/>
      <c r="D19412" s="67"/>
      <c r="G19412" s="68"/>
      <c r="K19412" s="68"/>
    </row>
    <row r="19413" spans="2:11" ht="12.75">
      <c r="B19413" s="4"/>
      <c r="D19413" s="67"/>
      <c r="G19413" s="68"/>
      <c r="K19413" s="68"/>
    </row>
    <row r="19414" spans="2:11" ht="12.75">
      <c r="B19414" s="4"/>
      <c r="D19414" s="67"/>
      <c r="G19414" s="68"/>
      <c r="K19414" s="68"/>
    </row>
    <row r="19415" spans="2:11" ht="12.75">
      <c r="B19415" s="4"/>
      <c r="D19415" s="67"/>
      <c r="G19415" s="68"/>
      <c r="K19415" s="68"/>
    </row>
    <row r="19416" spans="2:11" ht="12.75">
      <c r="B19416" s="4"/>
      <c r="D19416" s="67"/>
      <c r="G19416" s="68"/>
      <c r="K19416" s="68"/>
    </row>
    <row r="19417" spans="2:11" ht="12.75">
      <c r="B19417" s="4"/>
      <c r="D19417" s="67"/>
      <c r="G19417" s="68"/>
      <c r="K19417" s="68"/>
    </row>
    <row r="19418" spans="2:11" ht="12.75">
      <c r="B19418" s="4"/>
      <c r="D19418" s="67"/>
      <c r="G19418" s="68"/>
      <c r="K19418" s="68"/>
    </row>
    <row r="19419" spans="2:11" ht="12.75">
      <c r="B19419" s="4"/>
      <c r="D19419" s="67"/>
      <c r="G19419" s="68"/>
      <c r="K19419" s="68"/>
    </row>
    <row r="19420" spans="2:11" ht="12.75">
      <c r="B19420" s="4"/>
      <c r="D19420" s="67"/>
      <c r="G19420" s="68"/>
      <c r="K19420" s="68"/>
    </row>
    <row r="19421" spans="2:11" ht="12.75">
      <c r="B19421" s="4"/>
      <c r="D19421" s="67"/>
      <c r="G19421" s="68"/>
      <c r="K19421" s="68"/>
    </row>
    <row r="19422" spans="2:11" ht="12.75">
      <c r="B19422" s="4"/>
      <c r="D19422" s="67"/>
      <c r="G19422" s="68"/>
      <c r="K19422" s="68"/>
    </row>
    <row r="19423" spans="2:11" ht="12.75">
      <c r="B19423" s="4"/>
      <c r="D19423" s="67"/>
      <c r="G19423" s="68"/>
      <c r="K19423" s="68"/>
    </row>
    <row r="19424" spans="2:11" ht="12.75">
      <c r="B19424" s="4"/>
      <c r="D19424" s="67"/>
      <c r="G19424" s="68"/>
      <c r="K19424" s="68"/>
    </row>
    <row r="19425" spans="2:11" ht="12.75">
      <c r="B19425" s="4"/>
      <c r="D19425" s="67"/>
      <c r="G19425" s="68"/>
      <c r="K19425" s="68"/>
    </row>
    <row r="19426" spans="2:11" ht="12.75">
      <c r="B19426" s="4"/>
      <c r="D19426" s="67"/>
      <c r="G19426" s="68"/>
      <c r="K19426" s="68"/>
    </row>
    <row r="19427" spans="2:11" ht="12.75">
      <c r="B19427" s="4"/>
      <c r="D19427" s="67"/>
      <c r="G19427" s="68"/>
      <c r="K19427" s="68"/>
    </row>
    <row r="19428" spans="2:11" ht="12.75">
      <c r="B19428" s="4"/>
      <c r="D19428" s="67"/>
      <c r="G19428" s="68"/>
      <c r="K19428" s="68"/>
    </row>
    <row r="19429" spans="2:11" ht="12.75">
      <c r="B19429" s="4"/>
      <c r="D19429" s="67"/>
      <c r="G19429" s="68"/>
      <c r="K19429" s="68"/>
    </row>
    <row r="19430" spans="2:11" ht="12.75">
      <c r="B19430" s="4"/>
      <c r="D19430" s="67"/>
      <c r="G19430" s="68"/>
      <c r="K19430" s="68"/>
    </row>
    <row r="19431" spans="2:11" ht="12.75">
      <c r="B19431" s="4"/>
      <c r="D19431" s="67"/>
      <c r="G19431" s="68"/>
      <c r="K19431" s="68"/>
    </row>
    <row r="19432" spans="2:11" ht="12.75">
      <c r="B19432" s="4"/>
      <c r="D19432" s="67"/>
      <c r="G19432" s="68"/>
      <c r="K19432" s="68"/>
    </row>
    <row r="19433" spans="2:11" ht="12.75">
      <c r="B19433" s="4"/>
      <c r="D19433" s="67"/>
      <c r="G19433" s="68"/>
      <c r="K19433" s="68"/>
    </row>
    <row r="19434" spans="2:11" ht="12.75">
      <c r="B19434" s="4"/>
      <c r="D19434" s="67"/>
      <c r="G19434" s="68"/>
      <c r="K19434" s="68"/>
    </row>
    <row r="19435" spans="2:11" ht="12.75">
      <c r="B19435" s="4"/>
      <c r="D19435" s="67"/>
      <c r="G19435" s="68"/>
      <c r="K19435" s="68"/>
    </row>
    <row r="19436" spans="2:11" ht="12.75">
      <c r="B19436" s="4"/>
      <c r="D19436" s="67"/>
      <c r="G19436" s="68"/>
      <c r="K19436" s="68"/>
    </row>
    <row r="19437" spans="2:11" ht="12.75">
      <c r="B19437" s="4"/>
      <c r="D19437" s="67"/>
      <c r="G19437" s="68"/>
      <c r="K19437" s="68"/>
    </row>
    <row r="19438" spans="2:11" ht="12.75">
      <c r="B19438" s="4"/>
      <c r="D19438" s="67"/>
      <c r="G19438" s="68"/>
      <c r="K19438" s="68"/>
    </row>
    <row r="19439" spans="2:11" ht="12.75">
      <c r="B19439" s="4"/>
      <c r="D19439" s="67"/>
      <c r="G19439" s="68"/>
      <c r="K19439" s="68"/>
    </row>
    <row r="19440" spans="2:11" ht="12.75">
      <c r="B19440" s="4"/>
      <c r="D19440" s="67"/>
      <c r="G19440" s="68"/>
      <c r="K19440" s="68"/>
    </row>
    <row r="19441" spans="2:11" ht="12.75">
      <c r="B19441" s="4"/>
      <c r="D19441" s="67"/>
      <c r="G19441" s="68"/>
      <c r="K19441" s="68"/>
    </row>
    <row r="19442" spans="2:11" ht="12.75">
      <c r="B19442" s="4"/>
      <c r="D19442" s="67"/>
      <c r="G19442" s="68"/>
      <c r="K19442" s="68"/>
    </row>
    <row r="19443" spans="2:11" ht="12.75">
      <c r="B19443" s="4"/>
      <c r="D19443" s="67"/>
      <c r="G19443" s="68"/>
      <c r="K19443" s="68"/>
    </row>
    <row r="19444" spans="2:11" ht="12.75">
      <c r="B19444" s="4"/>
      <c r="D19444" s="67"/>
      <c r="G19444" s="68"/>
      <c r="K19444" s="68"/>
    </row>
    <row r="19445" spans="2:11" ht="12.75">
      <c r="B19445" s="4"/>
      <c r="D19445" s="67"/>
      <c r="G19445" s="68"/>
      <c r="K19445" s="68"/>
    </row>
    <row r="19446" spans="2:11" ht="12.75">
      <c r="B19446" s="4"/>
      <c r="D19446" s="67"/>
      <c r="G19446" s="68"/>
      <c r="K19446" s="68"/>
    </row>
    <row r="19447" spans="2:11" ht="12.75">
      <c r="B19447" s="4"/>
      <c r="D19447" s="67"/>
      <c r="G19447" s="68"/>
      <c r="K19447" s="68"/>
    </row>
    <row r="19448" spans="2:11" ht="12.75">
      <c r="B19448" s="4"/>
      <c r="D19448" s="67"/>
      <c r="G19448" s="68"/>
      <c r="K19448" s="68"/>
    </row>
    <row r="19449" spans="2:11" ht="12.75">
      <c r="B19449" s="4"/>
      <c r="D19449" s="67"/>
      <c r="G19449" s="68"/>
      <c r="K19449" s="68"/>
    </row>
    <row r="19450" spans="2:11" ht="12.75">
      <c r="B19450" s="4"/>
      <c r="D19450" s="67"/>
      <c r="G19450" s="68"/>
      <c r="K19450" s="68"/>
    </row>
    <row r="19451" spans="2:11" ht="12.75">
      <c r="B19451" s="4"/>
      <c r="D19451" s="67"/>
      <c r="G19451" s="68"/>
      <c r="K19451" s="68"/>
    </row>
    <row r="19452" spans="2:11" ht="12.75">
      <c r="B19452" s="4"/>
      <c r="D19452" s="67"/>
      <c r="G19452" s="68"/>
      <c r="K19452" s="68"/>
    </row>
    <row r="19453" spans="2:11" ht="12.75">
      <c r="B19453" s="4"/>
      <c r="D19453" s="67"/>
      <c r="G19453" s="68"/>
      <c r="K19453" s="68"/>
    </row>
    <row r="19454" spans="2:11" ht="12.75">
      <c r="B19454" s="4"/>
      <c r="D19454" s="67"/>
      <c r="G19454" s="68"/>
      <c r="K19454" s="68"/>
    </row>
    <row r="19455" spans="2:11" ht="12.75">
      <c r="B19455" s="4"/>
      <c r="D19455" s="67"/>
      <c r="G19455" s="68"/>
      <c r="K19455" s="68"/>
    </row>
    <row r="19456" spans="2:11" ht="12.75">
      <c r="B19456" s="4"/>
      <c r="D19456" s="67"/>
      <c r="G19456" s="68"/>
      <c r="K19456" s="68"/>
    </row>
    <row r="19457" spans="2:11" ht="12.75">
      <c r="B19457" s="4"/>
      <c r="D19457" s="67"/>
      <c r="G19457" s="68"/>
      <c r="K19457" s="68"/>
    </row>
    <row r="19458" spans="2:11" ht="12.75">
      <c r="B19458" s="4"/>
      <c r="D19458" s="67"/>
      <c r="G19458" s="68"/>
      <c r="K19458" s="68"/>
    </row>
    <row r="19459" spans="2:11" ht="12.75">
      <c r="B19459" s="4"/>
      <c r="D19459" s="67"/>
      <c r="G19459" s="68"/>
      <c r="K19459" s="68"/>
    </row>
    <row r="19460" spans="2:11" ht="12.75">
      <c r="B19460" s="4"/>
      <c r="D19460" s="67"/>
      <c r="G19460" s="68"/>
      <c r="K19460" s="68"/>
    </row>
    <row r="19461" spans="2:11" ht="12.75">
      <c r="B19461" s="4"/>
      <c r="D19461" s="67"/>
      <c r="G19461" s="68"/>
      <c r="K19461" s="68"/>
    </row>
    <row r="19462" spans="2:11" ht="12.75">
      <c r="B19462" s="4"/>
      <c r="D19462" s="67"/>
      <c r="G19462" s="68"/>
      <c r="K19462" s="68"/>
    </row>
    <row r="19463" spans="2:11" ht="12.75">
      <c r="B19463" s="4"/>
      <c r="D19463" s="67"/>
      <c r="G19463" s="68"/>
      <c r="K19463" s="68"/>
    </row>
    <row r="19464" spans="2:11" ht="12.75">
      <c r="B19464" s="4"/>
      <c r="D19464" s="67"/>
      <c r="G19464" s="68"/>
      <c r="K19464" s="68"/>
    </row>
    <row r="19465" spans="2:11" ht="12.75">
      <c r="B19465" s="4"/>
      <c r="D19465" s="67"/>
      <c r="G19465" s="68"/>
      <c r="K19465" s="68"/>
    </row>
    <row r="19466" spans="2:11" ht="12.75">
      <c r="B19466" s="4"/>
      <c r="D19466" s="67"/>
      <c r="G19466" s="68"/>
      <c r="K19466" s="68"/>
    </row>
    <row r="19467" spans="2:11" ht="12.75">
      <c r="B19467" s="4"/>
      <c r="D19467" s="67"/>
      <c r="G19467" s="68"/>
      <c r="K19467" s="68"/>
    </row>
    <row r="19468" spans="2:11" ht="12.75">
      <c r="B19468" s="4"/>
      <c r="D19468" s="67"/>
      <c r="G19468" s="68"/>
      <c r="K19468" s="68"/>
    </row>
    <row r="19469" spans="2:11" ht="12.75">
      <c r="B19469" s="4"/>
      <c r="D19469" s="67"/>
      <c r="G19469" s="68"/>
      <c r="K19469" s="68"/>
    </row>
    <row r="19470" spans="2:11" ht="12.75">
      <c r="B19470" s="4"/>
      <c r="D19470" s="67"/>
      <c r="G19470" s="68"/>
      <c r="K19470" s="68"/>
    </row>
    <row r="19471" spans="2:11" ht="12.75">
      <c r="B19471" s="4"/>
      <c r="D19471" s="67"/>
      <c r="G19471" s="68"/>
      <c r="K19471" s="68"/>
    </row>
    <row r="19472" spans="2:11" ht="12.75">
      <c r="B19472" s="4"/>
      <c r="D19472" s="67"/>
      <c r="G19472" s="68"/>
      <c r="K19472" s="68"/>
    </row>
    <row r="19473" spans="2:11" ht="12.75">
      <c r="B19473" s="4"/>
      <c r="D19473" s="67"/>
      <c r="G19473" s="68"/>
      <c r="K19473" s="68"/>
    </row>
    <row r="19474" spans="2:11" ht="12.75">
      <c r="B19474" s="4"/>
      <c r="D19474" s="67"/>
      <c r="G19474" s="68"/>
      <c r="K19474" s="68"/>
    </row>
    <row r="19475" spans="2:11" ht="12.75">
      <c r="B19475" s="4"/>
      <c r="D19475" s="67"/>
      <c r="G19475" s="68"/>
      <c r="K19475" s="68"/>
    </row>
    <row r="19476" spans="2:11" ht="12.75">
      <c r="B19476" s="4"/>
      <c r="D19476" s="67"/>
      <c r="G19476" s="68"/>
      <c r="K19476" s="68"/>
    </row>
    <row r="19477" spans="2:11" ht="12.75">
      <c r="B19477" s="4"/>
      <c r="D19477" s="67"/>
      <c r="G19477" s="68"/>
      <c r="K19477" s="68"/>
    </row>
    <row r="19478" spans="2:11" ht="12.75">
      <c r="B19478" s="4"/>
      <c r="D19478" s="67"/>
      <c r="G19478" s="68"/>
      <c r="K19478" s="68"/>
    </row>
    <row r="19479" spans="2:11" ht="12.75">
      <c r="B19479" s="4"/>
      <c r="D19479" s="67"/>
      <c r="G19479" s="68"/>
      <c r="K19479" s="68"/>
    </row>
    <row r="19480" spans="2:11" ht="12.75">
      <c r="B19480" s="4"/>
      <c r="D19480" s="67"/>
      <c r="G19480" s="68"/>
      <c r="K19480" s="68"/>
    </row>
    <row r="19481" spans="2:11" ht="12.75">
      <c r="B19481" s="4"/>
      <c r="D19481" s="67"/>
      <c r="G19481" s="68"/>
      <c r="K19481" s="68"/>
    </row>
    <row r="19482" spans="2:11" ht="12.75">
      <c r="B19482" s="4"/>
      <c r="D19482" s="67"/>
      <c r="G19482" s="68"/>
      <c r="K19482" s="68"/>
    </row>
    <row r="19483" spans="2:11" ht="12.75">
      <c r="B19483" s="4"/>
      <c r="D19483" s="67"/>
      <c r="G19483" s="68"/>
      <c r="K19483" s="68"/>
    </row>
    <row r="19484" spans="2:11" ht="12.75">
      <c r="B19484" s="4"/>
      <c r="D19484" s="67"/>
      <c r="G19484" s="68"/>
      <c r="K19484" s="68"/>
    </row>
    <row r="19485" spans="2:11" ht="12.75">
      <c r="B19485" s="4"/>
      <c r="D19485" s="67"/>
      <c r="G19485" s="68"/>
      <c r="K19485" s="68"/>
    </row>
    <row r="19486" spans="2:11" ht="12.75">
      <c r="B19486" s="4"/>
      <c r="D19486" s="67"/>
      <c r="G19486" s="68"/>
      <c r="K19486" s="68"/>
    </row>
    <row r="19487" spans="2:11" ht="12.75">
      <c r="B19487" s="4"/>
      <c r="D19487" s="67"/>
      <c r="G19487" s="68"/>
      <c r="K19487" s="68"/>
    </row>
    <row r="19488" spans="2:11" ht="12.75">
      <c r="B19488" s="4"/>
      <c r="D19488" s="67"/>
      <c r="G19488" s="68"/>
      <c r="K19488" s="68"/>
    </row>
    <row r="19489" spans="2:11" ht="12.75">
      <c r="B19489" s="4"/>
      <c r="D19489" s="67"/>
      <c r="G19489" s="68"/>
      <c r="K19489" s="68"/>
    </row>
    <row r="19490" spans="2:11" ht="12.75">
      <c r="B19490" s="4"/>
      <c r="D19490" s="67"/>
      <c r="G19490" s="68"/>
      <c r="K19490" s="68"/>
    </row>
    <row r="19491" spans="2:11" ht="12.75">
      <c r="B19491" s="4"/>
      <c r="D19491" s="67"/>
      <c r="G19491" s="68"/>
      <c r="K19491" s="68"/>
    </row>
    <row r="19492" spans="2:11" ht="12.75">
      <c r="B19492" s="4"/>
      <c r="D19492" s="67"/>
      <c r="G19492" s="68"/>
      <c r="K19492" s="68"/>
    </row>
    <row r="19493" spans="2:11" ht="12.75">
      <c r="B19493" s="4"/>
      <c r="D19493" s="67"/>
      <c r="G19493" s="68"/>
      <c r="K19493" s="68"/>
    </row>
    <row r="19494" spans="2:11" ht="12.75">
      <c r="B19494" s="4"/>
      <c r="D19494" s="67"/>
      <c r="G19494" s="68"/>
      <c r="K19494" s="68"/>
    </row>
    <row r="19495" spans="2:11" ht="12.75">
      <c r="B19495" s="4"/>
      <c r="D19495" s="67"/>
      <c r="G19495" s="68"/>
      <c r="K19495" s="68"/>
    </row>
    <row r="19496" spans="2:11" ht="12.75">
      <c r="B19496" s="4"/>
      <c r="D19496" s="67"/>
      <c r="G19496" s="68"/>
      <c r="K19496" s="68"/>
    </row>
    <row r="19497" spans="2:11" ht="12.75">
      <c r="B19497" s="4"/>
      <c r="D19497" s="67"/>
      <c r="G19497" s="68"/>
      <c r="K19497" s="68"/>
    </row>
    <row r="19498" spans="2:11" ht="12.75">
      <c r="B19498" s="4"/>
      <c r="D19498" s="67"/>
      <c r="G19498" s="68"/>
      <c r="K19498" s="68"/>
    </row>
    <row r="19499" spans="2:11" ht="12.75">
      <c r="B19499" s="4"/>
      <c r="D19499" s="67"/>
      <c r="G19499" s="68"/>
      <c r="K19499" s="68"/>
    </row>
    <row r="19500" spans="2:11" ht="12.75">
      <c r="B19500" s="4"/>
      <c r="D19500" s="67"/>
      <c r="G19500" s="68"/>
      <c r="K19500" s="68"/>
    </row>
    <row r="19501" spans="2:11" ht="12.75">
      <c r="B19501" s="4"/>
      <c r="D19501" s="67"/>
      <c r="G19501" s="68"/>
      <c r="K19501" s="68"/>
    </row>
    <row r="19502" spans="2:11" ht="12.75">
      <c r="B19502" s="4"/>
      <c r="D19502" s="67"/>
      <c r="G19502" s="68"/>
      <c r="K19502" s="68"/>
    </row>
    <row r="19503" spans="2:11" ht="12.75">
      <c r="B19503" s="4"/>
      <c r="D19503" s="67"/>
      <c r="G19503" s="68"/>
      <c r="K19503" s="68"/>
    </row>
    <row r="19504" spans="2:11" ht="12.75">
      <c r="B19504" s="4"/>
      <c r="D19504" s="67"/>
      <c r="G19504" s="68"/>
      <c r="K19504" s="68"/>
    </row>
    <row r="19505" spans="2:11" ht="12.75">
      <c r="B19505" s="4"/>
      <c r="D19505" s="67"/>
      <c r="G19505" s="68"/>
      <c r="K19505" s="68"/>
    </row>
    <row r="19506" spans="2:11" ht="12.75">
      <c r="B19506" s="4"/>
      <c r="D19506" s="67"/>
      <c r="G19506" s="68"/>
      <c r="K19506" s="68"/>
    </row>
    <row r="19507" spans="2:11" ht="12.75">
      <c r="B19507" s="4"/>
      <c r="D19507" s="67"/>
      <c r="G19507" s="68"/>
      <c r="K19507" s="68"/>
    </row>
    <row r="19508" spans="2:11" ht="12.75">
      <c r="B19508" s="4"/>
      <c r="D19508" s="67"/>
      <c r="G19508" s="68"/>
      <c r="K19508" s="68"/>
    </row>
    <row r="19509" spans="2:11" ht="12.75">
      <c r="B19509" s="4"/>
      <c r="D19509" s="67"/>
      <c r="G19509" s="68"/>
      <c r="K19509" s="68"/>
    </row>
    <row r="19510" spans="2:11" ht="12.75">
      <c r="B19510" s="4"/>
      <c r="D19510" s="67"/>
      <c r="G19510" s="68"/>
      <c r="K19510" s="68"/>
    </row>
    <row r="19511" spans="2:11" ht="12.75">
      <c r="B19511" s="4"/>
      <c r="D19511" s="67"/>
      <c r="G19511" s="68"/>
      <c r="K19511" s="68"/>
    </row>
    <row r="19512" spans="2:11" ht="12.75">
      <c r="B19512" s="4"/>
      <c r="D19512" s="67"/>
      <c r="G19512" s="68"/>
      <c r="K19512" s="68"/>
    </row>
    <row r="19513" spans="2:11" ht="12.75">
      <c r="B19513" s="4"/>
      <c r="D19513" s="67"/>
      <c r="G19513" s="68"/>
      <c r="K19513" s="68"/>
    </row>
    <row r="19514" spans="2:11" ht="12.75">
      <c r="B19514" s="4"/>
      <c r="D19514" s="67"/>
      <c r="G19514" s="68"/>
      <c r="K19514" s="68"/>
    </row>
    <row r="19515" spans="2:11" ht="12.75">
      <c r="B19515" s="4"/>
      <c r="D19515" s="67"/>
      <c r="G19515" s="68"/>
      <c r="K19515" s="68"/>
    </row>
    <row r="19516" spans="2:11" ht="12.75">
      <c r="B19516" s="4"/>
      <c r="D19516" s="67"/>
      <c r="G19516" s="68"/>
      <c r="K19516" s="68"/>
    </row>
    <row r="19517" spans="2:11" ht="12.75">
      <c r="B19517" s="4"/>
      <c r="D19517" s="67"/>
      <c r="G19517" s="68"/>
      <c r="K19517" s="68"/>
    </row>
    <row r="19518" spans="2:11" ht="12.75">
      <c r="B19518" s="4"/>
      <c r="D19518" s="67"/>
      <c r="G19518" s="68"/>
      <c r="K19518" s="68"/>
    </row>
    <row r="19519" spans="2:11" ht="12.75">
      <c r="B19519" s="4"/>
      <c r="D19519" s="67"/>
      <c r="G19519" s="68"/>
      <c r="K19519" s="68"/>
    </row>
    <row r="19520" spans="2:11" ht="12.75">
      <c r="B19520" s="4"/>
      <c r="D19520" s="67"/>
      <c r="G19520" s="68"/>
      <c r="K19520" s="68"/>
    </row>
    <row r="19521" spans="2:11" ht="12.75">
      <c r="B19521" s="4"/>
      <c r="D19521" s="67"/>
      <c r="G19521" s="68"/>
      <c r="K19521" s="68"/>
    </row>
    <row r="19522" spans="2:11" ht="12.75">
      <c r="B19522" s="4"/>
      <c r="D19522" s="67"/>
      <c r="G19522" s="68"/>
      <c r="K19522" s="68"/>
    </row>
    <row r="19523" spans="2:11" ht="12.75">
      <c r="B19523" s="4"/>
      <c r="D19523" s="67"/>
      <c r="G19523" s="68"/>
      <c r="K19523" s="68"/>
    </row>
    <row r="19524" spans="2:11" ht="12.75">
      <c r="B19524" s="4"/>
      <c r="D19524" s="67"/>
      <c r="G19524" s="68"/>
      <c r="K19524" s="68"/>
    </row>
    <row r="19525" spans="2:11" ht="12.75">
      <c r="B19525" s="4"/>
      <c r="D19525" s="67"/>
      <c r="G19525" s="68"/>
      <c r="K19525" s="68"/>
    </row>
    <row r="19526" spans="2:11" ht="12.75">
      <c r="B19526" s="4"/>
      <c r="D19526" s="67"/>
      <c r="G19526" s="68"/>
      <c r="K19526" s="68"/>
    </row>
    <row r="19527" spans="2:11" ht="12.75">
      <c r="B19527" s="4"/>
      <c r="D19527" s="67"/>
      <c r="G19527" s="68"/>
      <c r="K19527" s="68"/>
    </row>
    <row r="19528" spans="2:11" ht="12.75">
      <c r="B19528" s="4"/>
      <c r="D19528" s="67"/>
      <c r="G19528" s="68"/>
      <c r="K19528" s="68"/>
    </row>
    <row r="19529" spans="2:11" ht="12.75">
      <c r="B19529" s="4"/>
      <c r="D19529" s="67"/>
      <c r="G19529" s="68"/>
      <c r="K19529" s="68"/>
    </row>
    <row r="19530" spans="2:11" ht="12.75">
      <c r="B19530" s="4"/>
      <c r="D19530" s="67"/>
      <c r="G19530" s="68"/>
      <c r="K19530" s="68"/>
    </row>
    <row r="19531" spans="2:11" ht="12.75">
      <c r="B19531" s="4"/>
      <c r="D19531" s="67"/>
      <c r="G19531" s="68"/>
      <c r="K19531" s="68"/>
    </row>
    <row r="19532" spans="2:11" ht="12.75">
      <c r="B19532" s="4"/>
      <c r="D19532" s="67"/>
      <c r="G19532" s="68"/>
      <c r="K19532" s="68"/>
    </row>
    <row r="19533" spans="2:11" ht="12.75">
      <c r="B19533" s="4"/>
      <c r="D19533" s="67"/>
      <c r="G19533" s="68"/>
      <c r="K19533" s="68"/>
    </row>
    <row r="19534" spans="2:11" ht="12.75">
      <c r="B19534" s="4"/>
      <c r="D19534" s="67"/>
      <c r="G19534" s="68"/>
      <c r="K19534" s="68"/>
    </row>
    <row r="19535" spans="2:11" ht="12.75">
      <c r="B19535" s="4"/>
      <c r="D19535" s="67"/>
      <c r="G19535" s="68"/>
      <c r="K19535" s="68"/>
    </row>
    <row r="19536" spans="2:11" ht="12.75">
      <c r="B19536" s="4"/>
      <c r="D19536" s="67"/>
      <c r="G19536" s="68"/>
      <c r="K19536" s="68"/>
    </row>
    <row r="19537" spans="2:11" ht="12.75">
      <c r="B19537" s="4"/>
      <c r="D19537" s="67"/>
      <c r="G19537" s="68"/>
      <c r="K19537" s="68"/>
    </row>
    <row r="19538" spans="2:11" ht="12.75">
      <c r="B19538" s="4"/>
      <c r="D19538" s="67"/>
      <c r="G19538" s="68"/>
      <c r="K19538" s="68"/>
    </row>
    <row r="19539" spans="2:11" ht="12.75">
      <c r="B19539" s="4"/>
      <c r="D19539" s="67"/>
      <c r="G19539" s="68"/>
      <c r="K19539" s="68"/>
    </row>
    <row r="19540" spans="2:11" ht="12.75">
      <c r="B19540" s="4"/>
      <c r="D19540" s="67"/>
      <c r="G19540" s="68"/>
      <c r="K19540" s="68"/>
    </row>
    <row r="19541" spans="2:11" ht="12.75">
      <c r="B19541" s="4"/>
      <c r="D19541" s="67"/>
      <c r="G19541" s="68"/>
      <c r="K19541" s="68"/>
    </row>
    <row r="19542" spans="2:11" ht="12.75">
      <c r="B19542" s="4"/>
      <c r="D19542" s="67"/>
      <c r="G19542" s="68"/>
      <c r="K19542" s="68"/>
    </row>
    <row r="19543" spans="2:11" ht="12.75">
      <c r="B19543" s="4"/>
      <c r="D19543" s="67"/>
      <c r="G19543" s="68"/>
      <c r="K19543" s="68"/>
    </row>
    <row r="19544" spans="2:11" ht="12.75">
      <c r="B19544" s="4"/>
      <c r="D19544" s="67"/>
      <c r="G19544" s="68"/>
      <c r="K19544" s="68"/>
    </row>
    <row r="19545" spans="2:11" ht="12.75">
      <c r="B19545" s="4"/>
      <c r="D19545" s="67"/>
      <c r="G19545" s="68"/>
      <c r="K19545" s="68"/>
    </row>
    <row r="19546" spans="2:11" ht="12.75">
      <c r="B19546" s="4"/>
      <c r="D19546" s="67"/>
      <c r="G19546" s="68"/>
      <c r="K19546" s="68"/>
    </row>
    <row r="19547" spans="2:11" ht="12.75">
      <c r="B19547" s="4"/>
      <c r="D19547" s="67"/>
      <c r="G19547" s="68"/>
      <c r="K19547" s="68"/>
    </row>
    <row r="19548" spans="2:11" ht="12.75">
      <c r="B19548" s="4"/>
      <c r="D19548" s="67"/>
      <c r="G19548" s="68"/>
      <c r="K19548" s="68"/>
    </row>
    <row r="19549" spans="2:11" ht="12.75">
      <c r="B19549" s="4"/>
      <c r="D19549" s="67"/>
      <c r="G19549" s="68"/>
      <c r="K19549" s="68"/>
    </row>
    <row r="19550" spans="2:11" ht="12.75">
      <c r="B19550" s="4"/>
      <c r="D19550" s="67"/>
      <c r="G19550" s="68"/>
      <c r="K19550" s="68"/>
    </row>
    <row r="19551" spans="2:11" ht="12.75">
      <c r="B19551" s="4"/>
      <c r="D19551" s="67"/>
      <c r="G19551" s="68"/>
      <c r="K19551" s="68"/>
    </row>
    <row r="19552" spans="2:11" ht="12.75">
      <c r="B19552" s="4"/>
      <c r="D19552" s="67"/>
      <c r="G19552" s="68"/>
      <c r="K19552" s="68"/>
    </row>
    <row r="19553" spans="2:11" ht="12.75">
      <c r="B19553" s="4"/>
      <c r="D19553" s="67"/>
      <c r="G19553" s="68"/>
      <c r="K19553" s="68"/>
    </row>
    <row r="19554" spans="2:11" ht="12.75">
      <c r="B19554" s="4"/>
      <c r="D19554" s="67"/>
      <c r="G19554" s="68"/>
      <c r="K19554" s="68"/>
    </row>
    <row r="19555" spans="2:11" ht="12.75">
      <c r="B19555" s="4"/>
      <c r="D19555" s="67"/>
      <c r="G19555" s="68"/>
      <c r="K19555" s="68"/>
    </row>
    <row r="19556" spans="2:11" ht="12.75">
      <c r="B19556" s="4"/>
      <c r="D19556" s="67"/>
      <c r="G19556" s="68"/>
      <c r="K19556" s="68"/>
    </row>
    <row r="19557" spans="2:11" ht="12.75">
      <c r="B19557" s="4"/>
      <c r="D19557" s="67"/>
      <c r="G19557" s="68"/>
      <c r="K19557" s="68"/>
    </row>
    <row r="19558" spans="2:11" ht="12.75">
      <c r="B19558" s="4"/>
      <c r="D19558" s="67"/>
      <c r="G19558" s="68"/>
      <c r="K19558" s="68"/>
    </row>
    <row r="19559" spans="2:11" ht="12.75">
      <c r="B19559" s="4"/>
      <c r="D19559" s="67"/>
      <c r="G19559" s="68"/>
      <c r="K19559" s="68"/>
    </row>
    <row r="19560" spans="2:11" ht="12.75">
      <c r="B19560" s="4"/>
      <c r="D19560" s="67"/>
      <c r="G19560" s="68"/>
      <c r="K19560" s="68"/>
    </row>
    <row r="19561" spans="2:11" ht="12.75">
      <c r="B19561" s="4"/>
      <c r="D19561" s="67"/>
      <c r="G19561" s="68"/>
      <c r="K19561" s="68"/>
    </row>
    <row r="19562" spans="2:11" ht="12.75">
      <c r="B19562" s="4"/>
      <c r="D19562" s="67"/>
      <c r="G19562" s="68"/>
      <c r="K19562" s="68"/>
    </row>
    <row r="19563" spans="2:11" ht="12.75">
      <c r="B19563" s="4"/>
      <c r="D19563" s="67"/>
      <c r="G19563" s="68"/>
      <c r="K19563" s="68"/>
    </row>
    <row r="19564" spans="2:11" ht="12.75">
      <c r="B19564" s="4"/>
      <c r="D19564" s="67"/>
      <c r="G19564" s="68"/>
      <c r="K19564" s="68"/>
    </row>
    <row r="19565" spans="2:11" ht="12.75">
      <c r="B19565" s="4"/>
      <c r="D19565" s="67"/>
      <c r="G19565" s="68"/>
      <c r="K19565" s="68"/>
    </row>
    <row r="19566" spans="2:11" ht="12.75">
      <c r="B19566" s="4"/>
      <c r="D19566" s="67"/>
      <c r="G19566" s="68"/>
      <c r="K19566" s="68"/>
    </row>
    <row r="19567" spans="2:11" ht="12.75">
      <c r="B19567" s="4"/>
      <c r="D19567" s="67"/>
      <c r="G19567" s="68"/>
      <c r="K19567" s="68"/>
    </row>
    <row r="19568" spans="2:11" ht="12.75">
      <c r="B19568" s="4"/>
      <c r="D19568" s="67"/>
      <c r="G19568" s="68"/>
      <c r="K19568" s="68"/>
    </row>
    <row r="19569" spans="2:11" ht="12.75">
      <c r="B19569" s="4"/>
      <c r="D19569" s="67"/>
      <c r="G19569" s="68"/>
      <c r="K19569" s="68"/>
    </row>
    <row r="19570" spans="2:11" ht="12.75">
      <c r="B19570" s="4"/>
      <c r="D19570" s="67"/>
      <c r="G19570" s="68"/>
      <c r="K19570" s="68"/>
    </row>
    <row r="19571" spans="2:11" ht="12.75">
      <c r="B19571" s="4"/>
      <c r="D19571" s="67"/>
      <c r="G19571" s="68"/>
      <c r="K19571" s="68"/>
    </row>
    <row r="19572" spans="2:11" ht="12.75">
      <c r="B19572" s="4"/>
      <c r="D19572" s="67"/>
      <c r="G19572" s="68"/>
      <c r="K19572" s="68"/>
    </row>
    <row r="19573" spans="2:11" ht="12.75">
      <c r="B19573" s="4"/>
      <c r="D19573" s="67"/>
      <c r="G19573" s="68"/>
      <c r="K19573" s="68"/>
    </row>
    <row r="19574" spans="2:11" ht="12.75">
      <c r="B19574" s="4"/>
      <c r="D19574" s="67"/>
      <c r="G19574" s="68"/>
      <c r="K19574" s="68"/>
    </row>
    <row r="19575" spans="2:11" ht="12.75">
      <c r="B19575" s="4"/>
      <c r="D19575" s="67"/>
      <c r="G19575" s="68"/>
      <c r="K19575" s="68"/>
    </row>
    <row r="19576" spans="2:11" ht="12.75">
      <c r="B19576" s="4"/>
      <c r="D19576" s="67"/>
      <c r="G19576" s="68"/>
      <c r="K19576" s="68"/>
    </row>
    <row r="19577" spans="2:11" ht="12.75">
      <c r="B19577" s="4"/>
      <c r="D19577" s="67"/>
      <c r="G19577" s="68"/>
      <c r="K19577" s="68"/>
    </row>
    <row r="19578" spans="2:11" ht="12.75">
      <c r="B19578" s="4"/>
      <c r="D19578" s="67"/>
      <c r="G19578" s="68"/>
      <c r="K19578" s="68"/>
    </row>
    <row r="19579" spans="2:11" ht="12.75">
      <c r="B19579" s="4"/>
      <c r="D19579" s="67"/>
      <c r="G19579" s="68"/>
      <c r="K19579" s="68"/>
    </row>
    <row r="19580" spans="2:11" ht="12.75">
      <c r="B19580" s="4"/>
      <c r="D19580" s="67"/>
      <c r="G19580" s="68"/>
      <c r="K19580" s="68"/>
    </row>
    <row r="19581" spans="2:11" ht="12.75">
      <c r="B19581" s="4"/>
      <c r="D19581" s="67"/>
      <c r="G19581" s="68"/>
      <c r="K19581" s="68"/>
    </row>
    <row r="19582" spans="2:11" ht="12.75">
      <c r="B19582" s="4"/>
      <c r="D19582" s="67"/>
      <c r="G19582" s="68"/>
      <c r="K19582" s="68"/>
    </row>
    <row r="19583" spans="2:11" ht="12.75">
      <c r="B19583" s="4"/>
      <c r="D19583" s="67"/>
      <c r="G19583" s="68"/>
      <c r="K19583" s="68"/>
    </row>
    <row r="19584" spans="2:11" ht="12.75">
      <c r="B19584" s="4"/>
      <c r="D19584" s="67"/>
      <c r="G19584" s="68"/>
      <c r="K19584" s="68"/>
    </row>
    <row r="19585" spans="2:11" ht="12.75">
      <c r="B19585" s="4"/>
      <c r="D19585" s="67"/>
      <c r="G19585" s="68"/>
      <c r="K19585" s="68"/>
    </row>
    <row r="19586" spans="2:11" ht="12.75">
      <c r="B19586" s="4"/>
      <c r="D19586" s="67"/>
      <c r="G19586" s="68"/>
      <c r="K19586" s="68"/>
    </row>
    <row r="19587" spans="2:11" ht="12.75">
      <c r="B19587" s="4"/>
      <c r="D19587" s="67"/>
      <c r="G19587" s="68"/>
      <c r="K19587" s="68"/>
    </row>
    <row r="19588" spans="2:11" ht="12.75">
      <c r="B19588" s="4"/>
      <c r="D19588" s="67"/>
      <c r="G19588" s="68"/>
      <c r="K19588" s="68"/>
    </row>
    <row r="19589" spans="2:11" ht="12.75">
      <c r="B19589" s="4"/>
      <c r="D19589" s="67"/>
      <c r="G19589" s="68"/>
      <c r="K19589" s="68"/>
    </row>
    <row r="19590" spans="2:11" ht="12.75">
      <c r="B19590" s="4"/>
      <c r="D19590" s="67"/>
      <c r="G19590" s="68"/>
      <c r="K19590" s="68"/>
    </row>
    <row r="19591" spans="2:11" ht="12.75">
      <c r="B19591" s="4"/>
      <c r="D19591" s="67"/>
      <c r="G19591" s="68"/>
      <c r="K19591" s="68"/>
    </row>
    <row r="19592" spans="2:11" ht="12.75">
      <c r="B19592" s="4"/>
      <c r="D19592" s="67"/>
      <c r="G19592" s="68"/>
      <c r="K19592" s="68"/>
    </row>
    <row r="19593" spans="2:11" ht="12.75">
      <c r="B19593" s="4"/>
      <c r="D19593" s="67"/>
      <c r="G19593" s="68"/>
      <c r="K19593" s="68"/>
    </row>
    <row r="19594" spans="2:11" ht="12.75">
      <c r="B19594" s="4"/>
      <c r="D19594" s="67"/>
      <c r="G19594" s="68"/>
      <c r="K19594" s="68"/>
    </row>
    <row r="19595" spans="2:11" ht="12.75">
      <c r="B19595" s="4"/>
      <c r="D19595" s="67"/>
      <c r="G19595" s="68"/>
      <c r="K19595" s="68"/>
    </row>
    <row r="19596" spans="2:11" ht="12.75">
      <c r="B19596" s="4"/>
      <c r="D19596" s="67"/>
      <c r="G19596" s="68"/>
      <c r="K19596" s="68"/>
    </row>
    <row r="19597" spans="2:11" ht="12.75">
      <c r="B19597" s="4"/>
      <c r="D19597" s="67"/>
      <c r="G19597" s="68"/>
      <c r="K19597" s="68"/>
    </row>
    <row r="19598" spans="2:11" ht="12.75">
      <c r="B19598" s="4"/>
      <c r="D19598" s="67"/>
      <c r="G19598" s="68"/>
      <c r="K19598" s="68"/>
    </row>
    <row r="19599" spans="2:11" ht="12.75">
      <c r="B19599" s="4"/>
      <c r="D19599" s="67"/>
      <c r="G19599" s="68"/>
      <c r="K19599" s="68"/>
    </row>
    <row r="19600" spans="2:11" ht="12.75">
      <c r="B19600" s="4"/>
      <c r="D19600" s="67"/>
      <c r="G19600" s="68"/>
      <c r="K19600" s="68"/>
    </row>
    <row r="19601" spans="2:11" ht="12.75">
      <c r="B19601" s="4"/>
      <c r="D19601" s="67"/>
      <c r="G19601" s="68"/>
      <c r="K19601" s="68"/>
    </row>
    <row r="19602" spans="2:11" ht="12.75">
      <c r="B19602" s="4"/>
      <c r="D19602" s="67"/>
      <c r="G19602" s="68"/>
      <c r="K19602" s="68"/>
    </row>
    <row r="19603" spans="2:11" ht="12.75">
      <c r="B19603" s="4"/>
      <c r="D19603" s="67"/>
      <c r="G19603" s="68"/>
      <c r="K19603" s="68"/>
    </row>
    <row r="19604" spans="2:11" ht="12.75">
      <c r="B19604" s="4"/>
      <c r="D19604" s="67"/>
      <c r="G19604" s="68"/>
      <c r="K19604" s="68"/>
    </row>
    <row r="19605" spans="2:11" ht="12.75">
      <c r="B19605" s="4"/>
      <c r="D19605" s="67"/>
      <c r="G19605" s="68"/>
      <c r="K19605" s="68"/>
    </row>
    <row r="19606" spans="2:11" ht="12.75">
      <c r="B19606" s="4"/>
      <c r="D19606" s="67"/>
      <c r="G19606" s="68"/>
      <c r="K19606" s="68"/>
    </row>
    <row r="19607" spans="2:11" ht="12.75">
      <c r="B19607" s="4"/>
      <c r="D19607" s="67"/>
      <c r="G19607" s="68"/>
      <c r="K19607" s="68"/>
    </row>
    <row r="19608" spans="2:11" ht="12.75">
      <c r="B19608" s="4"/>
      <c r="D19608" s="67"/>
      <c r="G19608" s="68"/>
      <c r="K19608" s="68"/>
    </row>
    <row r="19609" spans="2:11" ht="12.75">
      <c r="B19609" s="4"/>
      <c r="D19609" s="67"/>
      <c r="G19609" s="68"/>
      <c r="K19609" s="68"/>
    </row>
    <row r="19610" spans="2:11" ht="12.75">
      <c r="B19610" s="4"/>
      <c r="D19610" s="67"/>
      <c r="G19610" s="68"/>
      <c r="K19610" s="68"/>
    </row>
    <row r="19611" spans="2:11" ht="12.75">
      <c r="B19611" s="4"/>
      <c r="D19611" s="67"/>
      <c r="G19611" s="68"/>
      <c r="K19611" s="68"/>
    </row>
    <row r="19612" spans="2:11" ht="12.75">
      <c r="B19612" s="4"/>
      <c r="D19612" s="67"/>
      <c r="G19612" s="68"/>
      <c r="K19612" s="68"/>
    </row>
    <row r="19613" spans="2:11" ht="12.75">
      <c r="B19613" s="4"/>
      <c r="D19613" s="67"/>
      <c r="G19613" s="68"/>
      <c r="K19613" s="68"/>
    </row>
    <row r="19614" spans="2:11" ht="12.75">
      <c r="B19614" s="4"/>
      <c r="D19614" s="67"/>
      <c r="G19614" s="68"/>
      <c r="K19614" s="68"/>
    </row>
    <row r="19615" spans="2:11" ht="12.75">
      <c r="B19615" s="4"/>
      <c r="D19615" s="67"/>
      <c r="G19615" s="68"/>
      <c r="K19615" s="68"/>
    </row>
    <row r="19616" spans="2:11" ht="12.75">
      <c r="B19616" s="4"/>
      <c r="D19616" s="67"/>
      <c r="G19616" s="68"/>
      <c r="K19616" s="68"/>
    </row>
    <row r="19617" spans="2:11" ht="12.75">
      <c r="B19617" s="4"/>
      <c r="D19617" s="67"/>
      <c r="G19617" s="68"/>
      <c r="K19617" s="68"/>
    </row>
    <row r="19618" spans="2:11" ht="12.75">
      <c r="B19618" s="4"/>
      <c r="D19618" s="67"/>
      <c r="G19618" s="68"/>
      <c r="K19618" s="68"/>
    </row>
    <row r="19619" spans="2:11" ht="12.75">
      <c r="B19619" s="4"/>
      <c r="D19619" s="67"/>
      <c r="G19619" s="68"/>
      <c r="K19619" s="68"/>
    </row>
    <row r="19620" spans="2:11" ht="12.75">
      <c r="B19620" s="4"/>
      <c r="D19620" s="67"/>
      <c r="G19620" s="68"/>
      <c r="K19620" s="68"/>
    </row>
    <row r="19621" spans="2:11" ht="12.75">
      <c r="B19621" s="4"/>
      <c r="D19621" s="67"/>
      <c r="G19621" s="68"/>
      <c r="K19621" s="68"/>
    </row>
    <row r="19622" spans="2:11" ht="12.75">
      <c r="B19622" s="4"/>
      <c r="D19622" s="67"/>
      <c r="G19622" s="68"/>
      <c r="K19622" s="68"/>
    </row>
    <row r="19623" spans="2:11" ht="12.75">
      <c r="B19623" s="4"/>
      <c r="D19623" s="67"/>
      <c r="G19623" s="68"/>
      <c r="K19623" s="68"/>
    </row>
    <row r="19624" spans="2:11" ht="12.75">
      <c r="B19624" s="4"/>
      <c r="D19624" s="67"/>
      <c r="G19624" s="68"/>
      <c r="K19624" s="68"/>
    </row>
    <row r="19625" spans="2:11" ht="12.75">
      <c r="B19625" s="4"/>
      <c r="D19625" s="67"/>
      <c r="G19625" s="68"/>
      <c r="K19625" s="68"/>
    </row>
    <row r="19626" spans="2:11" ht="12.75">
      <c r="B19626" s="4"/>
      <c r="D19626" s="67"/>
      <c r="G19626" s="68"/>
      <c r="K19626" s="68"/>
    </row>
    <row r="19627" spans="2:11" ht="12.75">
      <c r="B19627" s="4"/>
      <c r="D19627" s="67"/>
      <c r="G19627" s="68"/>
      <c r="K19627" s="68"/>
    </row>
    <row r="19628" spans="2:11" ht="12.75">
      <c r="B19628" s="4"/>
      <c r="D19628" s="67"/>
      <c r="G19628" s="68"/>
      <c r="K19628" s="68"/>
    </row>
    <row r="19629" spans="2:11" ht="12.75">
      <c r="B19629" s="4"/>
      <c r="D19629" s="67"/>
      <c r="G19629" s="68"/>
      <c r="K19629" s="68"/>
    </row>
    <row r="19630" spans="2:11" ht="12.75">
      <c r="B19630" s="4"/>
      <c r="D19630" s="67"/>
      <c r="G19630" s="68"/>
      <c r="K19630" s="68"/>
    </row>
    <row r="19631" spans="2:11" ht="12.75">
      <c r="B19631" s="4"/>
      <c r="D19631" s="67"/>
      <c r="G19631" s="68"/>
      <c r="K19631" s="68"/>
    </row>
    <row r="19632" spans="2:11" ht="12.75">
      <c r="B19632" s="4"/>
      <c r="D19632" s="67"/>
      <c r="G19632" s="68"/>
      <c r="K19632" s="68"/>
    </row>
    <row r="19633" spans="2:11" ht="12.75">
      <c r="B19633" s="4"/>
      <c r="D19633" s="67"/>
      <c r="G19633" s="68"/>
      <c r="K19633" s="68"/>
    </row>
    <row r="19634" spans="2:11" ht="12.75">
      <c r="B19634" s="4"/>
      <c r="D19634" s="67"/>
      <c r="G19634" s="68"/>
      <c r="K19634" s="68"/>
    </row>
    <row r="19635" spans="2:11" ht="12.75">
      <c r="B19635" s="4"/>
      <c r="D19635" s="67"/>
      <c r="G19635" s="68"/>
      <c r="K19635" s="68"/>
    </row>
    <row r="19636" spans="2:11" ht="12.75">
      <c r="B19636" s="4"/>
      <c r="D19636" s="67"/>
      <c r="G19636" s="68"/>
      <c r="K19636" s="68"/>
    </row>
    <row r="19637" spans="2:11" ht="12.75">
      <c r="B19637" s="4"/>
      <c r="D19637" s="67"/>
      <c r="G19637" s="68"/>
      <c r="K19637" s="68"/>
    </row>
    <row r="19638" spans="2:11" ht="12.75">
      <c r="B19638" s="4"/>
      <c r="D19638" s="67"/>
      <c r="G19638" s="68"/>
      <c r="K19638" s="68"/>
    </row>
    <row r="19639" spans="2:11" ht="12.75">
      <c r="B19639" s="4"/>
      <c r="D19639" s="67"/>
      <c r="G19639" s="68"/>
      <c r="K19639" s="68"/>
    </row>
    <row r="19640" spans="2:11" ht="12.75">
      <c r="B19640" s="4"/>
      <c r="D19640" s="67"/>
      <c r="G19640" s="68"/>
      <c r="K19640" s="68"/>
    </row>
    <row r="19641" spans="2:11" ht="12.75">
      <c r="B19641" s="4"/>
      <c r="D19641" s="67"/>
      <c r="G19641" s="68"/>
      <c r="K19641" s="68"/>
    </row>
    <row r="19642" spans="2:11" ht="12.75">
      <c r="B19642" s="4"/>
      <c r="D19642" s="67"/>
      <c r="G19642" s="68"/>
      <c r="K19642" s="68"/>
    </row>
    <row r="19643" spans="2:11" ht="12.75">
      <c r="B19643" s="4"/>
      <c r="D19643" s="67"/>
      <c r="G19643" s="68"/>
      <c r="K19643" s="68"/>
    </row>
    <row r="19644" spans="2:11" ht="12.75">
      <c r="B19644" s="4"/>
      <c r="D19644" s="67"/>
      <c r="G19644" s="68"/>
      <c r="K19644" s="68"/>
    </row>
    <row r="19645" spans="2:11" ht="12.75">
      <c r="B19645" s="4"/>
      <c r="D19645" s="67"/>
      <c r="G19645" s="68"/>
      <c r="K19645" s="68"/>
    </row>
    <row r="19646" spans="2:11" ht="12.75">
      <c r="B19646" s="4"/>
      <c r="D19646" s="67"/>
      <c r="G19646" s="68"/>
      <c r="K19646" s="68"/>
    </row>
    <row r="19647" spans="2:11" ht="12.75">
      <c r="B19647" s="4"/>
      <c r="D19647" s="67"/>
      <c r="G19647" s="68"/>
      <c r="K19647" s="68"/>
    </row>
    <row r="19648" spans="2:11" ht="12.75">
      <c r="B19648" s="4"/>
      <c r="D19648" s="67"/>
      <c r="G19648" s="68"/>
      <c r="K19648" s="68"/>
    </row>
    <row r="19649" spans="2:11" ht="12.75">
      <c r="B19649" s="4"/>
      <c r="D19649" s="67"/>
      <c r="G19649" s="68"/>
      <c r="K19649" s="68"/>
    </row>
    <row r="19650" spans="2:11" ht="12.75">
      <c r="B19650" s="4"/>
      <c r="D19650" s="67"/>
      <c r="G19650" s="68"/>
      <c r="K19650" s="68"/>
    </row>
    <row r="19651" spans="2:11" ht="12.75">
      <c r="B19651" s="4"/>
      <c r="D19651" s="67"/>
      <c r="G19651" s="68"/>
      <c r="K19651" s="68"/>
    </row>
    <row r="19652" spans="2:11" ht="12.75">
      <c r="B19652" s="4"/>
      <c r="D19652" s="67"/>
      <c r="G19652" s="68"/>
      <c r="K19652" s="68"/>
    </row>
    <row r="19653" spans="2:11" ht="12.75">
      <c r="B19653" s="4"/>
      <c r="D19653" s="67"/>
      <c r="G19653" s="68"/>
      <c r="K19653" s="68"/>
    </row>
    <row r="19654" spans="2:11" ht="12.75">
      <c r="B19654" s="4"/>
      <c r="D19654" s="67"/>
      <c r="G19654" s="68"/>
      <c r="K19654" s="68"/>
    </row>
    <row r="19655" spans="2:11" ht="12.75">
      <c r="B19655" s="4"/>
      <c r="D19655" s="67"/>
      <c r="G19655" s="68"/>
      <c r="K19655" s="68"/>
    </row>
    <row r="19656" spans="2:11" ht="12.75">
      <c r="B19656" s="4"/>
      <c r="D19656" s="67"/>
      <c r="G19656" s="68"/>
      <c r="K19656" s="68"/>
    </row>
    <row r="19657" spans="2:11" ht="12.75">
      <c r="B19657" s="4"/>
      <c r="D19657" s="67"/>
      <c r="G19657" s="68"/>
      <c r="K19657" s="68"/>
    </row>
    <row r="19658" spans="2:11" ht="12.75">
      <c r="B19658" s="4"/>
      <c r="D19658" s="67"/>
      <c r="G19658" s="68"/>
      <c r="K19658" s="68"/>
    </row>
    <row r="19659" spans="2:11" ht="12.75">
      <c r="B19659" s="4"/>
      <c r="D19659" s="67"/>
      <c r="G19659" s="68"/>
      <c r="K19659" s="68"/>
    </row>
    <row r="19660" spans="2:11" ht="12.75">
      <c r="B19660" s="4"/>
      <c r="D19660" s="67"/>
      <c r="G19660" s="68"/>
      <c r="K19660" s="68"/>
    </row>
    <row r="19661" spans="2:11" ht="12.75">
      <c r="B19661" s="4"/>
      <c r="D19661" s="67"/>
      <c r="G19661" s="68"/>
      <c r="K19661" s="68"/>
    </row>
    <row r="19662" spans="2:11" ht="12.75">
      <c r="B19662" s="4"/>
      <c r="D19662" s="67"/>
      <c r="G19662" s="68"/>
      <c r="K19662" s="68"/>
    </row>
    <row r="19663" spans="2:11" ht="12.75">
      <c r="B19663" s="4"/>
      <c r="D19663" s="67"/>
      <c r="G19663" s="68"/>
      <c r="K19663" s="68"/>
    </row>
    <row r="19664" spans="2:11" ht="12.75">
      <c r="B19664" s="4"/>
      <c r="D19664" s="67"/>
      <c r="G19664" s="68"/>
      <c r="K19664" s="68"/>
    </row>
    <row r="19665" spans="2:11" ht="12.75">
      <c r="B19665" s="4"/>
      <c r="D19665" s="67"/>
      <c r="G19665" s="68"/>
      <c r="K19665" s="68"/>
    </row>
    <row r="19666" spans="2:11" ht="12.75">
      <c r="B19666" s="4"/>
      <c r="D19666" s="67"/>
      <c r="G19666" s="68"/>
      <c r="K19666" s="68"/>
    </row>
    <row r="19667" spans="2:11" ht="12.75">
      <c r="B19667" s="4"/>
      <c r="D19667" s="67"/>
      <c r="G19667" s="68"/>
      <c r="K19667" s="68"/>
    </row>
    <row r="19668" spans="2:11" ht="12.75">
      <c r="B19668" s="4"/>
      <c r="D19668" s="67"/>
      <c r="G19668" s="68"/>
      <c r="K19668" s="68"/>
    </row>
    <row r="19669" spans="2:11" ht="12.75">
      <c r="B19669" s="4"/>
      <c r="D19669" s="67"/>
      <c r="G19669" s="68"/>
      <c r="K19669" s="68"/>
    </row>
    <row r="19670" spans="2:11" ht="12.75">
      <c r="B19670" s="4"/>
      <c r="D19670" s="67"/>
      <c r="G19670" s="68"/>
      <c r="K19670" s="68"/>
    </row>
    <row r="19671" spans="2:11" ht="12.75">
      <c r="B19671" s="4"/>
      <c r="D19671" s="67"/>
      <c r="G19671" s="68"/>
      <c r="K19671" s="68"/>
    </row>
    <row r="19672" spans="2:11" ht="12.75">
      <c r="B19672" s="4"/>
      <c r="D19672" s="67"/>
      <c r="G19672" s="68"/>
      <c r="K19672" s="68"/>
    </row>
    <row r="19673" spans="2:11" ht="12.75">
      <c r="B19673" s="4"/>
      <c r="D19673" s="67"/>
      <c r="G19673" s="68"/>
      <c r="K19673" s="68"/>
    </row>
    <row r="19674" spans="2:11" ht="12.75">
      <c r="B19674" s="4"/>
      <c r="D19674" s="67"/>
      <c r="G19674" s="68"/>
      <c r="K19674" s="68"/>
    </row>
    <row r="19675" spans="2:11" ht="12.75">
      <c r="B19675" s="4"/>
      <c r="D19675" s="67"/>
      <c r="G19675" s="68"/>
      <c r="K19675" s="68"/>
    </row>
    <row r="19676" spans="2:11" ht="12.75">
      <c r="B19676" s="4"/>
      <c r="D19676" s="67"/>
      <c r="G19676" s="68"/>
      <c r="K19676" s="68"/>
    </row>
    <row r="19677" spans="2:11" ht="12.75">
      <c r="B19677" s="4"/>
      <c r="D19677" s="67"/>
      <c r="G19677" s="68"/>
      <c r="K19677" s="68"/>
    </row>
    <row r="19678" spans="2:11" ht="12.75">
      <c r="B19678" s="4"/>
      <c r="D19678" s="67"/>
      <c r="G19678" s="68"/>
      <c r="K19678" s="68"/>
    </row>
    <row r="19679" spans="2:11" ht="12.75">
      <c r="B19679" s="4"/>
      <c r="D19679" s="67"/>
      <c r="G19679" s="68"/>
      <c r="K19679" s="68"/>
    </row>
    <row r="19680" spans="2:11" ht="12.75">
      <c r="B19680" s="4"/>
      <c r="D19680" s="67"/>
      <c r="G19680" s="68"/>
      <c r="K19680" s="68"/>
    </row>
    <row r="19681" spans="2:11" ht="12.75">
      <c r="B19681" s="4"/>
      <c r="D19681" s="67"/>
      <c r="G19681" s="68"/>
      <c r="K19681" s="68"/>
    </row>
    <row r="19682" spans="2:11" ht="12.75">
      <c r="B19682" s="4"/>
      <c r="D19682" s="67"/>
      <c r="G19682" s="68"/>
      <c r="K19682" s="68"/>
    </row>
    <row r="19683" spans="2:11" ht="12.75">
      <c r="B19683" s="4"/>
      <c r="D19683" s="67"/>
      <c r="G19683" s="68"/>
      <c r="K19683" s="68"/>
    </row>
    <row r="19684" spans="2:11" ht="12.75">
      <c r="B19684" s="4"/>
      <c r="D19684" s="67"/>
      <c r="G19684" s="68"/>
      <c r="K19684" s="68"/>
    </row>
    <row r="19685" spans="2:11" ht="12.75">
      <c r="B19685" s="4"/>
      <c r="D19685" s="67"/>
      <c r="G19685" s="68"/>
      <c r="K19685" s="68"/>
    </row>
    <row r="19686" spans="2:11" ht="12.75">
      <c r="B19686" s="4"/>
      <c r="D19686" s="67"/>
      <c r="G19686" s="68"/>
      <c r="K19686" s="68"/>
    </row>
    <row r="19687" spans="2:11" ht="12.75">
      <c r="B19687" s="4"/>
      <c r="D19687" s="67"/>
      <c r="G19687" s="68"/>
      <c r="K19687" s="68"/>
    </row>
    <row r="19688" spans="2:11" ht="12.75">
      <c r="B19688" s="4"/>
      <c r="D19688" s="67"/>
      <c r="G19688" s="68"/>
      <c r="K19688" s="68"/>
    </row>
    <row r="19689" spans="2:11" ht="12.75">
      <c r="B19689" s="4"/>
      <c r="D19689" s="67"/>
      <c r="G19689" s="68"/>
      <c r="K19689" s="68"/>
    </row>
    <row r="19690" spans="2:11" ht="12.75">
      <c r="B19690" s="4"/>
      <c r="D19690" s="67"/>
      <c r="G19690" s="68"/>
      <c r="K19690" s="68"/>
    </row>
    <row r="19691" spans="2:11" ht="12.75">
      <c r="B19691" s="4"/>
      <c r="D19691" s="67"/>
      <c r="G19691" s="68"/>
      <c r="K19691" s="68"/>
    </row>
    <row r="19692" spans="2:11" ht="12.75">
      <c r="B19692" s="4"/>
      <c r="D19692" s="67"/>
      <c r="G19692" s="68"/>
      <c r="K19692" s="68"/>
    </row>
    <row r="19693" spans="2:11" ht="12.75">
      <c r="B19693" s="4"/>
      <c r="D19693" s="67"/>
      <c r="G19693" s="68"/>
      <c r="K19693" s="68"/>
    </row>
    <row r="19694" spans="2:11" ht="12.75">
      <c r="B19694" s="4"/>
      <c r="D19694" s="67"/>
      <c r="G19694" s="68"/>
      <c r="K19694" s="68"/>
    </row>
    <row r="19695" spans="2:11" ht="12.75">
      <c r="B19695" s="4"/>
      <c r="D19695" s="67"/>
      <c r="G19695" s="68"/>
      <c r="K19695" s="68"/>
    </row>
    <row r="19696" spans="2:11" ht="12.75">
      <c r="B19696" s="4"/>
      <c r="D19696" s="67"/>
      <c r="G19696" s="68"/>
      <c r="K19696" s="68"/>
    </row>
    <row r="19697" spans="2:11" ht="12.75">
      <c r="B19697" s="4"/>
      <c r="D19697" s="67"/>
      <c r="G19697" s="68"/>
      <c r="K19697" s="68"/>
    </row>
    <row r="19698" spans="2:11" ht="12.75">
      <c r="B19698" s="4"/>
      <c r="D19698" s="67"/>
      <c r="G19698" s="68"/>
      <c r="K19698" s="68"/>
    </row>
    <row r="19699" spans="2:11" ht="12.75">
      <c r="B19699" s="4"/>
      <c r="D19699" s="67"/>
      <c r="G19699" s="68"/>
      <c r="K19699" s="68"/>
    </row>
    <row r="19700" spans="2:11" ht="12.75">
      <c r="B19700" s="4"/>
      <c r="D19700" s="67"/>
      <c r="G19700" s="68"/>
      <c r="K19700" s="68"/>
    </row>
    <row r="19701" spans="2:11" ht="12.75">
      <c r="B19701" s="4"/>
      <c r="D19701" s="67"/>
      <c r="G19701" s="68"/>
      <c r="K19701" s="68"/>
    </row>
    <row r="19702" spans="2:11" ht="12.75">
      <c r="B19702" s="4"/>
      <c r="D19702" s="67"/>
      <c r="G19702" s="68"/>
      <c r="K19702" s="68"/>
    </row>
    <row r="19703" spans="2:11" ht="12.75">
      <c r="B19703" s="4"/>
      <c r="D19703" s="67"/>
      <c r="G19703" s="68"/>
      <c r="K19703" s="68"/>
    </row>
    <row r="19704" spans="2:11" ht="12.75">
      <c r="B19704" s="4"/>
      <c r="D19704" s="67"/>
      <c r="G19704" s="68"/>
      <c r="K19704" s="68"/>
    </row>
    <row r="19705" spans="2:11" ht="12.75">
      <c r="B19705" s="4"/>
      <c r="D19705" s="67"/>
      <c r="G19705" s="68"/>
      <c r="K19705" s="68"/>
    </row>
    <row r="19706" spans="2:11" ht="12.75">
      <c r="B19706" s="4"/>
      <c r="D19706" s="67"/>
      <c r="G19706" s="68"/>
      <c r="K19706" s="68"/>
    </row>
    <row r="19707" spans="2:11" ht="12.75">
      <c r="B19707" s="4"/>
      <c r="D19707" s="67"/>
      <c r="G19707" s="68"/>
      <c r="K19707" s="68"/>
    </row>
    <row r="19708" spans="2:11" ht="12.75">
      <c r="B19708" s="4"/>
      <c r="D19708" s="67"/>
      <c r="G19708" s="68"/>
      <c r="K19708" s="68"/>
    </row>
    <row r="19709" spans="2:11" ht="12.75">
      <c r="B19709" s="4"/>
      <c r="D19709" s="67"/>
      <c r="G19709" s="68"/>
      <c r="K19709" s="68"/>
    </row>
    <row r="19710" spans="2:11" ht="12.75">
      <c r="B19710" s="4"/>
      <c r="D19710" s="67"/>
      <c r="G19710" s="68"/>
      <c r="K19710" s="68"/>
    </row>
    <row r="19711" spans="2:11" ht="12.75">
      <c r="B19711" s="4"/>
      <c r="D19711" s="67"/>
      <c r="G19711" s="68"/>
      <c r="K19711" s="68"/>
    </row>
    <row r="19712" spans="2:11" ht="12.75">
      <c r="B19712" s="4"/>
      <c r="D19712" s="67"/>
      <c r="G19712" s="68"/>
      <c r="K19712" s="68"/>
    </row>
    <row r="19713" spans="2:11" ht="12.75">
      <c r="B19713" s="4"/>
      <c r="D19713" s="67"/>
      <c r="G19713" s="68"/>
      <c r="K19713" s="68"/>
    </row>
    <row r="19714" spans="2:11" ht="12.75">
      <c r="B19714" s="4"/>
      <c r="D19714" s="67"/>
      <c r="G19714" s="68"/>
      <c r="K19714" s="68"/>
    </row>
    <row r="19715" spans="2:11" ht="12.75">
      <c r="B19715" s="4"/>
      <c r="D19715" s="67"/>
      <c r="G19715" s="68"/>
      <c r="K19715" s="68"/>
    </row>
    <row r="19716" spans="2:11" ht="12.75">
      <c r="B19716" s="4"/>
      <c r="D19716" s="67"/>
      <c r="G19716" s="68"/>
      <c r="K19716" s="68"/>
    </row>
    <row r="19717" spans="2:11" ht="12.75">
      <c r="B19717" s="4"/>
      <c r="D19717" s="67"/>
      <c r="G19717" s="68"/>
      <c r="K19717" s="68"/>
    </row>
    <row r="19718" spans="2:11" ht="12.75">
      <c r="B19718" s="4"/>
      <c r="D19718" s="67"/>
      <c r="G19718" s="68"/>
      <c r="K19718" s="68"/>
    </row>
    <row r="19719" spans="2:11" ht="12.75">
      <c r="B19719" s="4"/>
      <c r="D19719" s="67"/>
      <c r="G19719" s="68"/>
      <c r="K19719" s="68"/>
    </row>
    <row r="19720" spans="2:11" ht="12.75">
      <c r="B19720" s="4"/>
      <c r="D19720" s="67"/>
      <c r="G19720" s="68"/>
      <c r="K19720" s="68"/>
    </row>
    <row r="19721" spans="2:11" ht="12.75">
      <c r="B19721" s="4"/>
      <c r="D19721" s="67"/>
      <c r="G19721" s="68"/>
      <c r="K19721" s="68"/>
    </row>
    <row r="19722" spans="2:11" ht="12.75">
      <c r="B19722" s="4"/>
      <c r="D19722" s="67"/>
      <c r="G19722" s="68"/>
      <c r="K19722" s="68"/>
    </row>
    <row r="19723" spans="2:11" ht="12.75">
      <c r="B19723" s="4"/>
      <c r="D19723" s="67"/>
      <c r="G19723" s="68"/>
      <c r="K19723" s="68"/>
    </row>
    <row r="19724" spans="2:11" ht="12.75">
      <c r="B19724" s="4"/>
      <c r="D19724" s="67"/>
      <c r="G19724" s="68"/>
      <c r="K19724" s="68"/>
    </row>
    <row r="19725" spans="2:11" ht="12.75">
      <c r="B19725" s="4"/>
      <c r="D19725" s="67"/>
      <c r="G19725" s="68"/>
      <c r="K19725" s="68"/>
    </row>
    <row r="19726" spans="2:11" ht="12.75">
      <c r="B19726" s="4"/>
      <c r="D19726" s="67"/>
      <c r="G19726" s="68"/>
      <c r="K19726" s="68"/>
    </row>
    <row r="19727" spans="2:11" ht="12.75">
      <c r="B19727" s="4"/>
      <c r="D19727" s="67"/>
      <c r="G19727" s="68"/>
      <c r="K19727" s="68"/>
    </row>
    <row r="19728" spans="2:11" ht="12.75">
      <c r="B19728" s="4"/>
      <c r="D19728" s="67"/>
      <c r="G19728" s="68"/>
      <c r="K19728" s="68"/>
    </row>
    <row r="19729" spans="2:11" ht="12.75">
      <c r="B19729" s="4"/>
      <c r="D19729" s="67"/>
      <c r="G19729" s="68"/>
      <c r="K19729" s="68"/>
    </row>
    <row r="19730" spans="2:11" ht="12.75">
      <c r="B19730" s="4"/>
      <c r="D19730" s="67"/>
      <c r="G19730" s="68"/>
      <c r="K19730" s="68"/>
    </row>
    <row r="19731" spans="2:11" ht="12.75">
      <c r="B19731" s="4"/>
      <c r="D19731" s="67"/>
      <c r="G19731" s="68"/>
      <c r="K19731" s="68"/>
    </row>
    <row r="19732" spans="2:11" ht="12.75">
      <c r="B19732" s="4"/>
      <c r="D19732" s="67"/>
      <c r="G19732" s="68"/>
      <c r="K19732" s="68"/>
    </row>
    <row r="19733" spans="2:11" ht="12.75">
      <c r="B19733" s="4"/>
      <c r="D19733" s="67"/>
      <c r="G19733" s="68"/>
      <c r="K19733" s="68"/>
    </row>
    <row r="19734" spans="2:11" ht="12.75">
      <c r="B19734" s="4"/>
      <c r="D19734" s="67"/>
      <c r="G19734" s="68"/>
      <c r="K19734" s="68"/>
    </row>
    <row r="19735" spans="2:11" ht="12.75">
      <c r="B19735" s="4"/>
      <c r="D19735" s="67"/>
      <c r="G19735" s="68"/>
      <c r="K19735" s="68"/>
    </row>
    <row r="19736" spans="2:11" ht="12.75">
      <c r="B19736" s="4"/>
      <c r="D19736" s="67"/>
      <c r="G19736" s="68"/>
      <c r="K19736" s="68"/>
    </row>
    <row r="19737" spans="2:11" ht="12.75">
      <c r="B19737" s="4"/>
      <c r="D19737" s="67"/>
      <c r="G19737" s="68"/>
      <c r="K19737" s="68"/>
    </row>
    <row r="19738" spans="2:11" ht="12.75">
      <c r="B19738" s="4"/>
      <c r="D19738" s="67"/>
      <c r="G19738" s="68"/>
      <c r="K19738" s="68"/>
    </row>
    <row r="19739" spans="2:11" ht="12.75">
      <c r="B19739" s="4"/>
      <c r="D19739" s="67"/>
      <c r="G19739" s="68"/>
      <c r="K19739" s="68"/>
    </row>
    <row r="19740" spans="2:11" ht="12.75">
      <c r="B19740" s="4"/>
      <c r="D19740" s="67"/>
      <c r="G19740" s="68"/>
      <c r="K19740" s="68"/>
    </row>
    <row r="19741" spans="2:11" ht="12.75">
      <c r="B19741" s="4"/>
      <c r="D19741" s="67"/>
      <c r="G19741" s="68"/>
      <c r="K19741" s="68"/>
    </row>
    <row r="19742" spans="2:11" ht="12.75">
      <c r="B19742" s="4"/>
      <c r="D19742" s="67"/>
      <c r="G19742" s="68"/>
      <c r="K19742" s="68"/>
    </row>
    <row r="19743" spans="2:11" ht="12.75">
      <c r="B19743" s="4"/>
      <c r="D19743" s="67"/>
      <c r="G19743" s="68"/>
      <c r="K19743" s="68"/>
    </row>
    <row r="19744" spans="2:11" ht="12.75">
      <c r="B19744" s="4"/>
      <c r="D19744" s="67"/>
      <c r="G19744" s="68"/>
      <c r="K19744" s="68"/>
    </row>
    <row r="19745" spans="2:11" ht="12.75">
      <c r="B19745" s="4"/>
      <c r="D19745" s="67"/>
      <c r="G19745" s="68"/>
      <c r="K19745" s="68"/>
    </row>
    <row r="19746" spans="2:11" ht="12.75">
      <c r="B19746" s="4"/>
      <c r="D19746" s="67"/>
      <c r="G19746" s="68"/>
      <c r="K19746" s="68"/>
    </row>
    <row r="19747" spans="2:11" ht="12.75">
      <c r="B19747" s="4"/>
      <c r="D19747" s="67"/>
      <c r="G19747" s="68"/>
      <c r="K19747" s="68"/>
    </row>
    <row r="19748" spans="2:11" ht="12.75">
      <c r="B19748" s="4"/>
      <c r="D19748" s="67"/>
      <c r="G19748" s="68"/>
      <c r="K19748" s="68"/>
    </row>
    <row r="19749" spans="2:11" ht="12.75">
      <c r="B19749" s="4"/>
      <c r="D19749" s="67"/>
      <c r="G19749" s="68"/>
      <c r="K19749" s="68"/>
    </row>
    <row r="19750" spans="2:11" ht="12.75">
      <c r="B19750" s="4"/>
      <c r="D19750" s="67"/>
      <c r="G19750" s="68"/>
      <c r="K19750" s="68"/>
    </row>
    <row r="19751" spans="2:11" ht="12.75">
      <c r="B19751" s="4"/>
      <c r="D19751" s="67"/>
      <c r="G19751" s="68"/>
      <c r="K19751" s="68"/>
    </row>
    <row r="19752" spans="2:11" ht="12.75">
      <c r="B19752" s="4"/>
      <c r="D19752" s="67"/>
      <c r="G19752" s="68"/>
      <c r="K19752" s="68"/>
    </row>
    <row r="19753" spans="2:11" ht="12.75">
      <c r="B19753" s="4"/>
      <c r="D19753" s="67"/>
      <c r="G19753" s="68"/>
      <c r="K19753" s="68"/>
    </row>
    <row r="19754" spans="2:11" ht="12.75">
      <c r="B19754" s="4"/>
      <c r="D19754" s="67"/>
      <c r="G19754" s="68"/>
      <c r="K19754" s="68"/>
    </row>
    <row r="19755" spans="2:11" ht="12.75">
      <c r="B19755" s="4"/>
      <c r="D19755" s="67"/>
      <c r="G19755" s="68"/>
      <c r="K19755" s="68"/>
    </row>
    <row r="19756" spans="2:11" ht="12.75">
      <c r="B19756" s="4"/>
      <c r="D19756" s="67"/>
      <c r="G19756" s="68"/>
      <c r="K19756" s="68"/>
    </row>
    <row r="19757" spans="2:11" ht="12.75">
      <c r="B19757" s="4"/>
      <c r="D19757" s="67"/>
      <c r="G19757" s="68"/>
      <c r="K19757" s="68"/>
    </row>
    <row r="19758" spans="2:11" ht="12.75">
      <c r="B19758" s="4"/>
      <c r="D19758" s="67"/>
      <c r="G19758" s="68"/>
      <c r="K19758" s="68"/>
    </row>
    <row r="19759" spans="2:11" ht="12.75">
      <c r="B19759" s="4"/>
      <c r="D19759" s="67"/>
      <c r="G19759" s="68"/>
      <c r="K19759" s="68"/>
    </row>
    <row r="19760" spans="2:11" ht="12.75">
      <c r="B19760" s="4"/>
      <c r="D19760" s="67"/>
      <c r="G19760" s="68"/>
      <c r="K19760" s="68"/>
    </row>
    <row r="19761" spans="2:11" ht="12.75">
      <c r="B19761" s="4"/>
      <c r="D19761" s="67"/>
      <c r="G19761" s="68"/>
      <c r="K19761" s="68"/>
    </row>
    <row r="19762" spans="2:11" ht="12.75">
      <c r="B19762" s="4"/>
      <c r="D19762" s="67"/>
      <c r="G19762" s="68"/>
      <c r="K19762" s="68"/>
    </row>
    <row r="19763" spans="2:11" ht="12.75">
      <c r="B19763" s="4"/>
      <c r="D19763" s="67"/>
      <c r="G19763" s="68"/>
      <c r="K19763" s="68"/>
    </row>
    <row r="19764" spans="2:11" ht="12.75">
      <c r="B19764" s="4"/>
      <c r="D19764" s="67"/>
      <c r="G19764" s="68"/>
      <c r="K19764" s="68"/>
    </row>
    <row r="19765" spans="2:11" ht="12.75">
      <c r="B19765" s="4"/>
      <c r="D19765" s="67"/>
      <c r="G19765" s="68"/>
      <c r="K19765" s="68"/>
    </row>
    <row r="19766" spans="2:11" ht="12.75">
      <c r="B19766" s="4"/>
      <c r="D19766" s="67"/>
      <c r="G19766" s="68"/>
      <c r="K19766" s="68"/>
    </row>
    <row r="19767" spans="2:11" ht="12.75">
      <c r="B19767" s="4"/>
      <c r="D19767" s="67"/>
      <c r="G19767" s="68"/>
      <c r="K19767" s="68"/>
    </row>
    <row r="19768" spans="2:11" ht="12.75">
      <c r="B19768" s="4"/>
      <c r="D19768" s="67"/>
      <c r="G19768" s="68"/>
      <c r="K19768" s="68"/>
    </row>
    <row r="19769" spans="2:11" ht="12.75">
      <c r="B19769" s="4"/>
      <c r="D19769" s="67"/>
      <c r="G19769" s="68"/>
      <c r="K19769" s="68"/>
    </row>
    <row r="19770" spans="2:11" ht="12.75">
      <c r="B19770" s="4"/>
      <c r="D19770" s="67"/>
      <c r="G19770" s="68"/>
      <c r="K19770" s="68"/>
    </row>
    <row r="19771" spans="2:11" ht="12.75">
      <c r="B19771" s="4"/>
      <c r="D19771" s="67"/>
      <c r="G19771" s="68"/>
      <c r="K19771" s="68"/>
    </row>
    <row r="19772" spans="2:11" ht="12.75">
      <c r="B19772" s="4"/>
      <c r="D19772" s="67"/>
      <c r="G19772" s="68"/>
      <c r="K19772" s="68"/>
    </row>
    <row r="19773" spans="2:11" ht="12.75">
      <c r="B19773" s="4"/>
      <c r="D19773" s="67"/>
      <c r="G19773" s="68"/>
      <c r="K19773" s="68"/>
    </row>
    <row r="19774" spans="2:11" ht="12.75">
      <c r="B19774" s="4"/>
      <c r="D19774" s="67"/>
      <c r="G19774" s="68"/>
      <c r="K19774" s="68"/>
    </row>
    <row r="19775" spans="2:11" ht="12.75">
      <c r="B19775" s="4"/>
      <c r="D19775" s="67"/>
      <c r="G19775" s="68"/>
      <c r="K19775" s="68"/>
    </row>
    <row r="19776" spans="2:11" ht="12.75">
      <c r="B19776" s="4"/>
      <c r="D19776" s="67"/>
      <c r="G19776" s="68"/>
      <c r="K19776" s="68"/>
    </row>
    <row r="19777" spans="2:11" ht="12.75">
      <c r="B19777" s="4"/>
      <c r="D19777" s="67"/>
      <c r="G19777" s="68"/>
      <c r="K19777" s="68"/>
    </row>
    <row r="19778" spans="2:11" ht="12.75">
      <c r="B19778" s="4"/>
      <c r="D19778" s="67"/>
      <c r="G19778" s="68"/>
      <c r="K19778" s="68"/>
    </row>
    <row r="19779" spans="2:11" ht="12.75">
      <c r="B19779" s="4"/>
      <c r="D19779" s="67"/>
      <c r="G19779" s="68"/>
      <c r="K19779" s="68"/>
    </row>
    <row r="19780" spans="2:11" ht="12.75">
      <c r="B19780" s="4"/>
      <c r="D19780" s="67"/>
      <c r="G19780" s="68"/>
      <c r="K19780" s="68"/>
    </row>
    <row r="19781" spans="2:11" ht="12.75">
      <c r="B19781" s="4"/>
      <c r="D19781" s="67"/>
      <c r="G19781" s="68"/>
      <c r="K19781" s="68"/>
    </row>
    <row r="19782" spans="2:11" ht="12.75">
      <c r="B19782" s="4"/>
      <c r="D19782" s="67"/>
      <c r="G19782" s="68"/>
      <c r="K19782" s="68"/>
    </row>
    <row r="19783" spans="2:11" ht="12.75">
      <c r="B19783" s="4"/>
      <c r="D19783" s="67"/>
      <c r="G19783" s="68"/>
      <c r="K19783" s="68"/>
    </row>
    <row r="19784" spans="2:11" ht="12.75">
      <c r="B19784" s="4"/>
      <c r="D19784" s="67"/>
      <c r="G19784" s="68"/>
      <c r="K19784" s="68"/>
    </row>
    <row r="19785" spans="2:11" ht="12.75">
      <c r="B19785" s="4"/>
      <c r="D19785" s="67"/>
      <c r="G19785" s="68"/>
      <c r="K19785" s="68"/>
    </row>
    <row r="19786" spans="2:11" ht="12.75">
      <c r="B19786" s="4"/>
      <c r="D19786" s="67"/>
      <c r="G19786" s="68"/>
      <c r="K19786" s="68"/>
    </row>
    <row r="19787" spans="2:11" ht="12.75">
      <c r="B19787" s="4"/>
      <c r="D19787" s="67"/>
      <c r="G19787" s="68"/>
      <c r="K19787" s="68"/>
    </row>
    <row r="19788" spans="2:11" ht="12.75">
      <c r="B19788" s="4"/>
      <c r="D19788" s="67"/>
      <c r="G19788" s="68"/>
      <c r="K19788" s="68"/>
    </row>
    <row r="19789" spans="2:11" ht="12.75">
      <c r="B19789" s="4"/>
      <c r="D19789" s="67"/>
      <c r="G19789" s="68"/>
      <c r="K19789" s="68"/>
    </row>
    <row r="19790" spans="2:11" ht="12.75">
      <c r="B19790" s="4"/>
      <c r="D19790" s="67"/>
      <c r="G19790" s="68"/>
      <c r="K19790" s="68"/>
    </row>
    <row r="19791" spans="2:11" ht="12.75">
      <c r="B19791" s="4"/>
      <c r="D19791" s="67"/>
      <c r="G19791" s="68"/>
      <c r="K19791" s="68"/>
    </row>
    <row r="19792" spans="2:11" ht="12.75">
      <c r="B19792" s="4"/>
      <c r="D19792" s="67"/>
      <c r="G19792" s="68"/>
      <c r="K19792" s="68"/>
    </row>
    <row r="19793" spans="2:11" ht="12.75">
      <c r="B19793" s="4"/>
      <c r="D19793" s="67"/>
      <c r="G19793" s="68"/>
      <c r="K19793" s="68"/>
    </row>
    <row r="19794" spans="2:11" ht="12.75">
      <c r="B19794" s="4"/>
      <c r="D19794" s="67"/>
      <c r="G19794" s="68"/>
      <c r="K19794" s="68"/>
    </row>
    <row r="19795" spans="2:11" ht="12.75">
      <c r="B19795" s="4"/>
      <c r="D19795" s="67"/>
      <c r="G19795" s="68"/>
      <c r="K19795" s="68"/>
    </row>
    <row r="19796" spans="2:11" ht="12.75">
      <c r="B19796" s="4"/>
      <c r="D19796" s="67"/>
      <c r="G19796" s="68"/>
      <c r="K19796" s="68"/>
    </row>
    <row r="19797" spans="2:11" ht="12.75">
      <c r="B19797" s="4"/>
      <c r="D19797" s="67"/>
      <c r="G19797" s="68"/>
      <c r="K19797" s="68"/>
    </row>
    <row r="19798" spans="2:11" ht="12.75">
      <c r="B19798" s="4"/>
      <c r="D19798" s="67"/>
      <c r="G19798" s="68"/>
      <c r="K19798" s="68"/>
    </row>
    <row r="19799" spans="2:11" ht="12.75">
      <c r="B19799" s="4"/>
      <c r="D19799" s="67"/>
      <c r="G19799" s="68"/>
      <c r="K19799" s="68"/>
    </row>
    <row r="19800" spans="2:11" ht="12.75">
      <c r="B19800" s="4"/>
      <c r="D19800" s="67"/>
      <c r="G19800" s="68"/>
      <c r="K19800" s="68"/>
    </row>
    <row r="19801" spans="2:11" ht="12.75">
      <c r="B19801" s="4"/>
      <c r="D19801" s="67"/>
      <c r="G19801" s="68"/>
      <c r="K19801" s="68"/>
    </row>
    <row r="19802" spans="2:11" ht="12.75">
      <c r="B19802" s="4"/>
      <c r="D19802" s="67"/>
      <c r="G19802" s="68"/>
      <c r="K19802" s="68"/>
    </row>
    <row r="19803" spans="2:11" ht="12.75">
      <c r="B19803" s="4"/>
      <c r="D19803" s="67"/>
      <c r="G19803" s="68"/>
      <c r="K19803" s="68"/>
    </row>
    <row r="19804" spans="2:11" ht="12.75">
      <c r="B19804" s="4"/>
      <c r="D19804" s="67"/>
      <c r="G19804" s="68"/>
      <c r="K19804" s="68"/>
    </row>
    <row r="19805" spans="2:11" ht="12.75">
      <c r="B19805" s="4"/>
      <c r="D19805" s="67"/>
      <c r="G19805" s="68"/>
      <c r="K19805" s="68"/>
    </row>
    <row r="19806" spans="2:11" ht="12.75">
      <c r="B19806" s="4"/>
      <c r="D19806" s="67"/>
      <c r="G19806" s="68"/>
      <c r="K19806" s="68"/>
    </row>
    <row r="19807" spans="2:11" ht="12.75">
      <c r="B19807" s="4"/>
      <c r="D19807" s="67"/>
      <c r="G19807" s="68"/>
      <c r="K19807" s="68"/>
    </row>
    <row r="19808" spans="2:11" ht="12.75">
      <c r="B19808" s="4"/>
      <c r="D19808" s="67"/>
      <c r="G19808" s="68"/>
      <c r="K19808" s="68"/>
    </row>
    <row r="19809" spans="2:11" ht="12.75">
      <c r="B19809" s="4"/>
      <c r="D19809" s="67"/>
      <c r="G19809" s="68"/>
      <c r="K19809" s="68"/>
    </row>
    <row r="19810" spans="2:11" ht="12.75">
      <c r="B19810" s="4"/>
      <c r="D19810" s="67"/>
      <c r="G19810" s="68"/>
      <c r="K19810" s="68"/>
    </row>
    <row r="19811" spans="2:11" ht="12.75">
      <c r="B19811" s="4"/>
      <c r="D19811" s="67"/>
      <c r="G19811" s="68"/>
      <c r="K19811" s="68"/>
    </row>
    <row r="19812" spans="2:11" ht="12.75">
      <c r="B19812" s="4"/>
      <c r="D19812" s="67"/>
      <c r="G19812" s="68"/>
      <c r="K19812" s="68"/>
    </row>
    <row r="19813" spans="2:11" ht="12.75">
      <c r="B19813" s="4"/>
      <c r="D19813" s="67"/>
      <c r="G19813" s="68"/>
      <c r="K19813" s="68"/>
    </row>
    <row r="19814" spans="2:11" ht="12.75">
      <c r="B19814" s="4"/>
      <c r="D19814" s="67"/>
      <c r="G19814" s="68"/>
      <c r="K19814" s="68"/>
    </row>
    <row r="19815" spans="2:11" ht="12.75">
      <c r="B19815" s="4"/>
      <c r="D19815" s="67"/>
      <c r="G19815" s="68"/>
      <c r="K19815" s="68"/>
    </row>
    <row r="19816" spans="2:11" ht="12.75">
      <c r="B19816" s="4"/>
      <c r="D19816" s="67"/>
      <c r="G19816" s="68"/>
      <c r="K19816" s="68"/>
    </row>
    <row r="19817" spans="2:11" ht="12.75">
      <c r="B19817" s="4"/>
      <c r="D19817" s="67"/>
      <c r="G19817" s="68"/>
      <c r="K19817" s="68"/>
    </row>
    <row r="19818" spans="2:11" ht="12.75">
      <c r="B19818" s="4"/>
      <c r="D19818" s="67"/>
      <c r="G19818" s="68"/>
      <c r="K19818" s="68"/>
    </row>
    <row r="19819" spans="2:11" ht="12.75">
      <c r="B19819" s="4"/>
      <c r="D19819" s="67"/>
      <c r="G19819" s="68"/>
      <c r="K19819" s="68"/>
    </row>
    <row r="19820" spans="2:11" ht="12.75">
      <c r="B19820" s="4"/>
      <c r="D19820" s="67"/>
      <c r="G19820" s="68"/>
      <c r="K19820" s="68"/>
    </row>
    <row r="19821" spans="2:11" ht="12.75">
      <c r="B19821" s="4"/>
      <c r="D19821" s="67"/>
      <c r="G19821" s="68"/>
      <c r="K19821" s="68"/>
    </row>
    <row r="19822" spans="2:11" ht="12.75">
      <c r="B19822" s="4"/>
      <c r="D19822" s="67"/>
      <c r="G19822" s="68"/>
      <c r="K19822" s="68"/>
    </row>
    <row r="19823" spans="2:11" ht="12.75">
      <c r="B19823" s="4"/>
      <c r="D19823" s="67"/>
      <c r="G19823" s="68"/>
      <c r="K19823" s="68"/>
    </row>
    <row r="19824" spans="2:11" ht="12.75">
      <c r="B19824" s="4"/>
      <c r="D19824" s="67"/>
      <c r="G19824" s="68"/>
      <c r="K19824" s="68"/>
    </row>
    <row r="19825" spans="2:11" ht="12.75">
      <c r="B19825" s="4"/>
      <c r="D19825" s="67"/>
      <c r="G19825" s="68"/>
      <c r="K19825" s="68"/>
    </row>
    <row r="19826" spans="2:11" ht="12.75">
      <c r="B19826" s="4"/>
      <c r="D19826" s="67"/>
      <c r="G19826" s="68"/>
      <c r="K19826" s="68"/>
    </row>
    <row r="19827" spans="2:11" ht="12.75">
      <c r="B19827" s="4"/>
      <c r="D19827" s="67"/>
      <c r="G19827" s="68"/>
      <c r="K19827" s="68"/>
    </row>
    <row r="19828" spans="2:11" ht="12.75">
      <c r="B19828" s="4"/>
      <c r="D19828" s="67"/>
      <c r="G19828" s="68"/>
      <c r="K19828" s="68"/>
    </row>
    <row r="19829" spans="2:11" ht="12.75">
      <c r="B19829" s="4"/>
      <c r="D19829" s="67"/>
      <c r="G19829" s="68"/>
      <c r="K19829" s="68"/>
    </row>
    <row r="19830" spans="2:11" ht="12.75">
      <c r="B19830" s="4"/>
      <c r="D19830" s="67"/>
      <c r="G19830" s="68"/>
      <c r="K19830" s="68"/>
    </row>
    <row r="19831" spans="2:11" ht="12.75">
      <c r="B19831" s="4"/>
      <c r="D19831" s="67"/>
      <c r="G19831" s="68"/>
      <c r="K19831" s="68"/>
    </row>
    <row r="19832" spans="2:11" ht="12.75">
      <c r="B19832" s="4"/>
      <c r="D19832" s="67"/>
      <c r="G19832" s="68"/>
      <c r="K19832" s="68"/>
    </row>
    <row r="19833" spans="2:11" ht="12.75">
      <c r="B19833" s="4"/>
      <c r="D19833" s="67"/>
      <c r="G19833" s="68"/>
      <c r="K19833" s="68"/>
    </row>
    <row r="19834" spans="2:11" ht="12.75">
      <c r="B19834" s="4"/>
      <c r="D19834" s="67"/>
      <c r="G19834" s="68"/>
      <c r="K19834" s="68"/>
    </row>
    <row r="19835" spans="2:11" ht="12.75">
      <c r="B19835" s="4"/>
      <c r="D19835" s="67"/>
      <c r="G19835" s="68"/>
      <c r="K19835" s="68"/>
    </row>
    <row r="19836" spans="2:11" ht="12.75">
      <c r="B19836" s="4"/>
      <c r="D19836" s="67"/>
      <c r="G19836" s="68"/>
      <c r="K19836" s="68"/>
    </row>
    <row r="19837" spans="2:11" ht="12.75">
      <c r="B19837" s="4"/>
      <c r="D19837" s="67"/>
      <c r="G19837" s="68"/>
      <c r="K19837" s="68"/>
    </row>
    <row r="19838" spans="2:11" ht="12.75">
      <c r="B19838" s="4"/>
      <c r="D19838" s="67"/>
      <c r="G19838" s="68"/>
      <c r="K19838" s="68"/>
    </row>
    <row r="19839" spans="2:11" ht="12.75">
      <c r="B19839" s="4"/>
      <c r="D19839" s="67"/>
      <c r="G19839" s="68"/>
      <c r="K19839" s="68"/>
    </row>
    <row r="19840" spans="2:11" ht="12.75">
      <c r="B19840" s="4"/>
      <c r="D19840" s="67"/>
      <c r="G19840" s="68"/>
      <c r="K19840" s="68"/>
    </row>
    <row r="19841" spans="2:11" ht="12.75">
      <c r="B19841" s="4"/>
      <c r="D19841" s="67"/>
      <c r="G19841" s="68"/>
      <c r="K19841" s="68"/>
    </row>
    <row r="19842" spans="2:11" ht="12.75">
      <c r="B19842" s="4"/>
      <c r="D19842" s="67"/>
      <c r="G19842" s="68"/>
      <c r="K19842" s="68"/>
    </row>
    <row r="19843" spans="2:11" ht="12.75">
      <c r="B19843" s="4"/>
      <c r="D19843" s="67"/>
      <c r="G19843" s="68"/>
      <c r="K19843" s="68"/>
    </row>
    <row r="19844" spans="2:11" ht="12.75">
      <c r="B19844" s="4"/>
      <c r="D19844" s="67"/>
      <c r="G19844" s="68"/>
      <c r="K19844" s="68"/>
    </row>
    <row r="19845" spans="2:11" ht="12.75">
      <c r="B19845" s="4"/>
      <c r="D19845" s="67"/>
      <c r="G19845" s="68"/>
      <c r="K19845" s="68"/>
    </row>
    <row r="19846" spans="2:11" ht="12.75">
      <c r="B19846" s="4"/>
      <c r="D19846" s="67"/>
      <c r="G19846" s="68"/>
      <c r="K19846" s="68"/>
    </row>
    <row r="19847" spans="2:11" ht="12.75">
      <c r="B19847" s="4"/>
      <c r="D19847" s="67"/>
      <c r="G19847" s="68"/>
      <c r="K19847" s="68"/>
    </row>
    <row r="19848" spans="2:11" ht="12.75">
      <c r="B19848" s="4"/>
      <c r="D19848" s="67"/>
      <c r="G19848" s="68"/>
      <c r="K19848" s="68"/>
    </row>
    <row r="19849" spans="2:11" ht="12.75">
      <c r="B19849" s="4"/>
      <c r="D19849" s="67"/>
      <c r="G19849" s="68"/>
      <c r="K19849" s="68"/>
    </row>
    <row r="19850" spans="2:11" ht="12.75">
      <c r="B19850" s="4"/>
      <c r="D19850" s="67"/>
      <c r="G19850" s="68"/>
      <c r="K19850" s="68"/>
    </row>
    <row r="19851" spans="2:11" ht="12.75">
      <c r="B19851" s="4"/>
      <c r="D19851" s="67"/>
      <c r="G19851" s="68"/>
      <c r="K19851" s="68"/>
    </row>
    <row r="19852" spans="2:11" ht="12.75">
      <c r="B19852" s="4"/>
      <c r="D19852" s="67"/>
      <c r="G19852" s="68"/>
      <c r="K19852" s="68"/>
    </row>
    <row r="19853" spans="2:11" ht="12.75">
      <c r="B19853" s="4"/>
      <c r="D19853" s="67"/>
      <c r="G19853" s="68"/>
      <c r="K19853" s="68"/>
    </row>
    <row r="19854" spans="2:11" ht="12.75">
      <c r="B19854" s="4"/>
      <c r="D19854" s="67"/>
      <c r="G19854" s="68"/>
      <c r="K19854" s="68"/>
    </row>
    <row r="19855" spans="2:11" ht="12.75">
      <c r="B19855" s="4"/>
      <c r="D19855" s="67"/>
      <c r="G19855" s="68"/>
      <c r="K19855" s="68"/>
    </row>
    <row r="19856" spans="2:11" ht="12.75">
      <c r="B19856" s="4"/>
      <c r="D19856" s="67"/>
      <c r="G19856" s="68"/>
      <c r="K19856" s="68"/>
    </row>
    <row r="19857" spans="2:11" ht="12.75">
      <c r="B19857" s="4"/>
      <c r="D19857" s="67"/>
      <c r="G19857" s="68"/>
      <c r="K19857" s="68"/>
    </row>
    <row r="19858" spans="2:11" ht="12.75">
      <c r="B19858" s="4"/>
      <c r="D19858" s="67"/>
      <c r="G19858" s="68"/>
      <c r="K19858" s="68"/>
    </row>
    <row r="19859" spans="2:11" ht="12.75">
      <c r="B19859" s="4"/>
      <c r="D19859" s="67"/>
      <c r="G19859" s="68"/>
      <c r="K19859" s="68"/>
    </row>
    <row r="19860" spans="2:11" ht="12.75">
      <c r="B19860" s="4"/>
      <c r="D19860" s="67"/>
      <c r="G19860" s="68"/>
      <c r="K19860" s="68"/>
    </row>
    <row r="19861" spans="2:11" ht="12.75">
      <c r="B19861" s="4"/>
      <c r="D19861" s="67"/>
      <c r="G19861" s="68"/>
      <c r="K19861" s="68"/>
    </row>
    <row r="19862" spans="2:11" ht="12.75">
      <c r="B19862" s="4"/>
      <c r="D19862" s="67"/>
      <c r="G19862" s="68"/>
      <c r="K19862" s="68"/>
    </row>
    <row r="19863" spans="2:11" ht="12.75">
      <c r="B19863" s="4"/>
      <c r="D19863" s="67"/>
      <c r="G19863" s="68"/>
      <c r="K19863" s="68"/>
    </row>
    <row r="19864" spans="2:11" ht="12.75">
      <c r="B19864" s="4"/>
      <c r="D19864" s="67"/>
      <c r="G19864" s="68"/>
      <c r="K19864" s="68"/>
    </row>
    <row r="19865" spans="2:11" ht="12.75">
      <c r="B19865" s="4"/>
      <c r="D19865" s="67"/>
      <c r="G19865" s="68"/>
      <c r="K19865" s="68"/>
    </row>
    <row r="19866" spans="2:11" ht="12.75">
      <c r="B19866" s="4"/>
      <c r="D19866" s="67"/>
      <c r="G19866" s="68"/>
      <c r="K19866" s="68"/>
    </row>
    <row r="19867" spans="2:11" ht="12.75">
      <c r="B19867" s="4"/>
      <c r="D19867" s="67"/>
      <c r="G19867" s="68"/>
      <c r="K19867" s="68"/>
    </row>
    <row r="19868" spans="2:11" ht="12.75">
      <c r="B19868" s="4"/>
      <c r="D19868" s="67"/>
      <c r="G19868" s="68"/>
      <c r="K19868" s="68"/>
    </row>
    <row r="19869" spans="2:11" ht="12.75">
      <c r="B19869" s="4"/>
      <c r="D19869" s="67"/>
      <c r="G19869" s="68"/>
      <c r="K19869" s="68"/>
    </row>
    <row r="19870" spans="2:11" ht="12.75">
      <c r="B19870" s="4"/>
      <c r="D19870" s="67"/>
      <c r="G19870" s="68"/>
      <c r="K19870" s="68"/>
    </row>
    <row r="19871" spans="2:11" ht="12.75">
      <c r="B19871" s="4"/>
      <c r="D19871" s="67"/>
      <c r="G19871" s="68"/>
      <c r="K19871" s="68"/>
    </row>
    <row r="19872" spans="2:11" ht="12.75">
      <c r="B19872" s="4"/>
      <c r="D19872" s="67"/>
      <c r="G19872" s="68"/>
      <c r="K19872" s="68"/>
    </row>
    <row r="19873" spans="2:11" ht="12.75">
      <c r="B19873" s="4"/>
      <c r="D19873" s="67"/>
      <c r="G19873" s="68"/>
      <c r="K19873" s="68"/>
    </row>
    <row r="19874" spans="2:11" ht="12.75">
      <c r="B19874" s="4"/>
      <c r="D19874" s="67"/>
      <c r="G19874" s="68"/>
      <c r="K19874" s="68"/>
    </row>
    <row r="19875" spans="2:11" ht="12.75">
      <c r="B19875" s="4"/>
      <c r="D19875" s="67"/>
      <c r="G19875" s="68"/>
      <c r="K19875" s="68"/>
    </row>
    <row r="19876" spans="2:11" ht="12.75">
      <c r="B19876" s="4"/>
      <c r="D19876" s="67"/>
      <c r="G19876" s="68"/>
      <c r="K19876" s="68"/>
    </row>
    <row r="19877" spans="2:11" ht="12.75">
      <c r="B19877" s="4"/>
      <c r="D19877" s="67"/>
      <c r="G19877" s="68"/>
      <c r="K19877" s="68"/>
    </row>
    <row r="19878" spans="2:11" ht="12.75">
      <c r="B19878" s="4"/>
      <c r="D19878" s="67"/>
      <c r="G19878" s="68"/>
      <c r="K19878" s="68"/>
    </row>
    <row r="19879" spans="2:11" ht="12.75">
      <c r="B19879" s="4"/>
      <c r="D19879" s="67"/>
      <c r="G19879" s="68"/>
      <c r="K19879" s="68"/>
    </row>
    <row r="19880" spans="2:11" ht="12.75">
      <c r="B19880" s="4"/>
      <c r="D19880" s="67"/>
      <c r="G19880" s="68"/>
      <c r="K19880" s="68"/>
    </row>
    <row r="19881" spans="2:11" ht="12.75">
      <c r="B19881" s="4"/>
      <c r="D19881" s="67"/>
      <c r="G19881" s="68"/>
      <c r="K19881" s="68"/>
    </row>
    <row r="19882" spans="2:11" ht="12.75">
      <c r="B19882" s="4"/>
      <c r="D19882" s="67"/>
      <c r="G19882" s="68"/>
      <c r="K19882" s="68"/>
    </row>
    <row r="19883" spans="2:11" ht="12.75">
      <c r="B19883" s="4"/>
      <c r="D19883" s="67"/>
      <c r="G19883" s="68"/>
      <c r="K19883" s="68"/>
    </row>
    <row r="19884" spans="2:11" ht="12.75">
      <c r="B19884" s="4"/>
      <c r="D19884" s="67"/>
      <c r="G19884" s="68"/>
      <c r="K19884" s="68"/>
    </row>
    <row r="19885" spans="2:11" ht="12.75">
      <c r="B19885" s="4"/>
      <c r="D19885" s="67"/>
      <c r="G19885" s="68"/>
      <c r="K19885" s="68"/>
    </row>
    <row r="19886" spans="2:11" ht="12.75">
      <c r="B19886" s="4"/>
      <c r="D19886" s="67"/>
      <c r="G19886" s="68"/>
      <c r="K19886" s="68"/>
    </row>
    <row r="19887" spans="2:11" ht="12.75">
      <c r="B19887" s="4"/>
      <c r="D19887" s="67"/>
      <c r="G19887" s="68"/>
      <c r="K19887" s="68"/>
    </row>
    <row r="19888" spans="2:11" ht="12.75">
      <c r="B19888" s="4"/>
      <c r="D19888" s="67"/>
      <c r="G19888" s="68"/>
      <c r="K19888" s="68"/>
    </row>
    <row r="19889" spans="2:11" ht="12.75">
      <c r="B19889" s="4"/>
      <c r="D19889" s="67"/>
      <c r="G19889" s="68"/>
      <c r="K19889" s="68"/>
    </row>
    <row r="19890" spans="2:11" ht="12.75">
      <c r="B19890" s="4"/>
      <c r="D19890" s="67"/>
      <c r="G19890" s="68"/>
      <c r="K19890" s="68"/>
    </row>
    <row r="19891" spans="2:11" ht="12.75">
      <c r="B19891" s="4"/>
      <c r="D19891" s="67"/>
      <c r="G19891" s="68"/>
      <c r="K19891" s="68"/>
    </row>
    <row r="19892" spans="2:11" ht="12.75">
      <c r="B19892" s="4"/>
      <c r="D19892" s="67"/>
      <c r="G19892" s="68"/>
      <c r="K19892" s="68"/>
    </row>
    <row r="19893" spans="2:11" ht="12.75">
      <c r="B19893" s="4"/>
      <c r="D19893" s="67"/>
      <c r="G19893" s="68"/>
      <c r="K19893" s="68"/>
    </row>
    <row r="19894" spans="2:11" ht="12.75">
      <c r="B19894" s="4"/>
      <c r="D19894" s="67"/>
      <c r="G19894" s="68"/>
      <c r="K19894" s="68"/>
    </row>
    <row r="19895" spans="2:11" ht="12.75">
      <c r="B19895" s="4"/>
      <c r="D19895" s="67"/>
      <c r="G19895" s="68"/>
      <c r="K19895" s="68"/>
    </row>
    <row r="19896" spans="2:11" ht="12.75">
      <c r="B19896" s="4"/>
      <c r="D19896" s="67"/>
      <c r="G19896" s="68"/>
      <c r="K19896" s="68"/>
    </row>
    <row r="19897" spans="2:11" ht="12.75">
      <c r="B19897" s="4"/>
      <c r="D19897" s="67"/>
      <c r="G19897" s="68"/>
      <c r="K19897" s="68"/>
    </row>
    <row r="19898" spans="2:11" ht="12.75">
      <c r="B19898" s="4"/>
      <c r="D19898" s="67"/>
      <c r="G19898" s="68"/>
      <c r="K19898" s="68"/>
    </row>
    <row r="19899" spans="2:11" ht="12.75">
      <c r="B19899" s="4"/>
      <c r="D19899" s="67"/>
      <c r="G19899" s="68"/>
      <c r="K19899" s="68"/>
    </row>
    <row r="19900" spans="2:11" ht="12.75">
      <c r="B19900" s="4"/>
      <c r="D19900" s="67"/>
      <c r="G19900" s="68"/>
      <c r="K19900" s="68"/>
    </row>
    <row r="19901" spans="2:11" ht="12.75">
      <c r="B19901" s="4"/>
      <c r="D19901" s="67"/>
      <c r="G19901" s="68"/>
      <c r="K19901" s="68"/>
    </row>
    <row r="19902" spans="2:11" ht="12.75">
      <c r="B19902" s="4"/>
      <c r="D19902" s="67"/>
      <c r="G19902" s="68"/>
      <c r="K19902" s="68"/>
    </row>
    <row r="19903" spans="2:11" ht="12.75">
      <c r="B19903" s="4"/>
      <c r="D19903" s="67"/>
      <c r="G19903" s="68"/>
      <c r="K19903" s="68"/>
    </row>
    <row r="19904" spans="2:11" ht="12.75">
      <c r="B19904" s="4"/>
      <c r="D19904" s="67"/>
      <c r="G19904" s="68"/>
      <c r="K19904" s="68"/>
    </row>
    <row r="19905" spans="2:11" ht="12.75">
      <c r="B19905" s="4"/>
      <c r="D19905" s="67"/>
      <c r="G19905" s="68"/>
      <c r="K19905" s="68"/>
    </row>
    <row r="19906" spans="2:11" ht="12.75">
      <c r="B19906" s="4"/>
      <c r="D19906" s="67"/>
      <c r="G19906" s="68"/>
      <c r="K19906" s="68"/>
    </row>
    <row r="19907" spans="2:11" ht="12.75">
      <c r="B19907" s="4"/>
      <c r="D19907" s="67"/>
      <c r="G19907" s="68"/>
      <c r="K19907" s="68"/>
    </row>
    <row r="19908" spans="2:11" ht="12.75">
      <c r="B19908" s="4"/>
      <c r="D19908" s="67"/>
      <c r="G19908" s="68"/>
      <c r="K19908" s="68"/>
    </row>
    <row r="19909" spans="2:11" ht="12.75">
      <c r="B19909" s="4"/>
      <c r="D19909" s="67"/>
      <c r="G19909" s="68"/>
      <c r="K19909" s="68"/>
    </row>
    <row r="19910" spans="2:11" ht="12.75">
      <c r="B19910" s="4"/>
      <c r="D19910" s="67"/>
      <c r="G19910" s="68"/>
      <c r="K19910" s="68"/>
    </row>
    <row r="19911" spans="2:11" ht="12.75">
      <c r="B19911" s="4"/>
      <c r="D19911" s="67"/>
      <c r="G19911" s="68"/>
      <c r="K19911" s="68"/>
    </row>
    <row r="19912" spans="2:11" ht="12.75">
      <c r="B19912" s="4"/>
      <c r="D19912" s="67"/>
      <c r="G19912" s="68"/>
      <c r="K19912" s="68"/>
    </row>
    <row r="19913" spans="2:11" ht="12.75">
      <c r="B19913" s="4"/>
      <c r="D19913" s="67"/>
      <c r="G19913" s="68"/>
      <c r="K19913" s="68"/>
    </row>
    <row r="19914" spans="2:11" ht="12.75">
      <c r="B19914" s="4"/>
      <c r="D19914" s="67"/>
      <c r="G19914" s="68"/>
      <c r="K19914" s="68"/>
    </row>
    <row r="19915" spans="2:11" ht="12.75">
      <c r="B19915" s="4"/>
      <c r="D19915" s="67"/>
      <c r="G19915" s="68"/>
      <c r="K19915" s="68"/>
    </row>
    <row r="19916" spans="2:11" ht="12.75">
      <c r="B19916" s="4"/>
      <c r="D19916" s="67"/>
      <c r="G19916" s="68"/>
      <c r="K19916" s="68"/>
    </row>
    <row r="19917" spans="2:11" ht="12.75">
      <c r="B19917" s="4"/>
      <c r="D19917" s="67"/>
      <c r="G19917" s="68"/>
      <c r="K19917" s="68"/>
    </row>
    <row r="19918" spans="2:11" ht="12.75">
      <c r="B19918" s="4"/>
      <c r="D19918" s="67"/>
      <c r="G19918" s="68"/>
      <c r="K19918" s="68"/>
    </row>
    <row r="19919" spans="2:11" ht="12.75">
      <c r="B19919" s="4"/>
      <c r="D19919" s="67"/>
      <c r="G19919" s="68"/>
      <c r="K19919" s="68"/>
    </row>
    <row r="19920" spans="2:11" ht="12.75">
      <c r="B19920" s="4"/>
      <c r="D19920" s="67"/>
      <c r="G19920" s="68"/>
      <c r="K19920" s="68"/>
    </row>
    <row r="19921" spans="2:11" ht="12.75">
      <c r="B19921" s="4"/>
      <c r="D19921" s="67"/>
      <c r="G19921" s="68"/>
      <c r="K19921" s="68"/>
    </row>
    <row r="19922" spans="2:11" ht="12.75">
      <c r="B19922" s="4"/>
      <c r="D19922" s="67"/>
      <c r="G19922" s="68"/>
      <c r="K19922" s="68"/>
    </row>
    <row r="19923" spans="2:11" ht="12.75">
      <c r="B19923" s="4"/>
      <c r="D19923" s="67"/>
      <c r="G19923" s="68"/>
      <c r="K19923" s="68"/>
    </row>
    <row r="19924" spans="2:11" ht="12.75">
      <c r="B19924" s="4"/>
      <c r="D19924" s="67"/>
      <c r="G19924" s="68"/>
      <c r="K19924" s="68"/>
    </row>
    <row r="19925" spans="2:11" ht="12.75">
      <c r="B19925" s="4"/>
      <c r="D19925" s="67"/>
      <c r="G19925" s="68"/>
      <c r="K19925" s="68"/>
    </row>
    <row r="19926" spans="2:11" ht="12.75">
      <c r="B19926" s="4"/>
      <c r="D19926" s="67"/>
      <c r="G19926" s="68"/>
      <c r="K19926" s="68"/>
    </row>
    <row r="19927" spans="2:11" ht="12.75">
      <c r="B19927" s="4"/>
      <c r="D19927" s="67"/>
      <c r="G19927" s="68"/>
      <c r="K19927" s="68"/>
    </row>
    <row r="19928" spans="2:11" ht="12.75">
      <c r="B19928" s="4"/>
      <c r="D19928" s="67"/>
      <c r="G19928" s="68"/>
      <c r="K19928" s="68"/>
    </row>
    <row r="19929" spans="2:11" ht="12.75">
      <c r="B19929" s="4"/>
      <c r="D19929" s="67"/>
      <c r="G19929" s="68"/>
      <c r="K19929" s="68"/>
    </row>
    <row r="19930" spans="2:11" ht="12.75">
      <c r="B19930" s="4"/>
      <c r="D19930" s="67"/>
      <c r="G19930" s="68"/>
      <c r="K19930" s="68"/>
    </row>
    <row r="19931" spans="2:11" ht="12.75">
      <c r="B19931" s="4"/>
      <c r="D19931" s="67"/>
      <c r="G19931" s="68"/>
      <c r="K19931" s="68"/>
    </row>
    <row r="19932" spans="2:11" ht="12.75">
      <c r="B19932" s="4"/>
      <c r="D19932" s="67"/>
      <c r="G19932" s="68"/>
      <c r="K19932" s="68"/>
    </row>
    <row r="19933" spans="2:11" ht="12.75">
      <c r="B19933" s="4"/>
      <c r="D19933" s="67"/>
      <c r="G19933" s="68"/>
      <c r="K19933" s="68"/>
    </row>
    <row r="19934" spans="2:11" ht="12.75">
      <c r="B19934" s="4"/>
      <c r="D19934" s="67"/>
      <c r="G19934" s="68"/>
      <c r="K19934" s="68"/>
    </row>
    <row r="19935" spans="2:11" ht="12.75">
      <c r="B19935" s="4"/>
      <c r="D19935" s="67"/>
      <c r="G19935" s="68"/>
      <c r="K19935" s="68"/>
    </row>
    <row r="19936" spans="2:11" ht="12.75">
      <c r="B19936" s="4"/>
      <c r="D19936" s="67"/>
      <c r="G19936" s="68"/>
      <c r="K19936" s="68"/>
    </row>
    <row r="19937" spans="2:11" ht="12.75">
      <c r="B19937" s="4"/>
      <c r="D19937" s="67"/>
      <c r="G19937" s="68"/>
      <c r="K19937" s="68"/>
    </row>
    <row r="19938" spans="2:11" ht="12.75">
      <c r="B19938" s="4"/>
      <c r="D19938" s="67"/>
      <c r="G19938" s="68"/>
      <c r="K19938" s="68"/>
    </row>
    <row r="19939" spans="2:11" ht="12.75">
      <c r="B19939" s="4"/>
      <c r="D19939" s="67"/>
      <c r="G19939" s="68"/>
      <c r="K19939" s="68"/>
    </row>
    <row r="19940" spans="2:11" ht="12.75">
      <c r="B19940" s="4"/>
      <c r="D19940" s="67"/>
      <c r="G19940" s="68"/>
      <c r="K19940" s="68"/>
    </row>
    <row r="19941" spans="2:11" ht="12.75">
      <c r="B19941" s="4"/>
      <c r="D19941" s="67"/>
      <c r="G19941" s="68"/>
      <c r="K19941" s="68"/>
    </row>
    <row r="19942" spans="2:11" ht="12.75">
      <c r="B19942" s="4"/>
      <c r="D19942" s="67"/>
      <c r="G19942" s="68"/>
      <c r="K19942" s="68"/>
    </row>
    <row r="19943" spans="2:11" ht="12.75">
      <c r="B19943" s="4"/>
      <c r="D19943" s="67"/>
      <c r="G19943" s="68"/>
      <c r="K19943" s="68"/>
    </row>
    <row r="19944" spans="2:11" ht="12.75">
      <c r="B19944" s="4"/>
      <c r="D19944" s="67"/>
      <c r="G19944" s="68"/>
      <c r="K19944" s="68"/>
    </row>
    <row r="19945" spans="2:11" ht="12.75">
      <c r="B19945" s="4"/>
      <c r="D19945" s="67"/>
      <c r="G19945" s="68"/>
      <c r="K19945" s="68"/>
    </row>
    <row r="19946" spans="2:11" ht="12.75">
      <c r="B19946" s="4"/>
      <c r="D19946" s="67"/>
      <c r="G19946" s="68"/>
      <c r="K19946" s="68"/>
    </row>
    <row r="19947" spans="2:11" ht="12.75">
      <c r="B19947" s="4"/>
      <c r="D19947" s="67"/>
      <c r="G19947" s="68"/>
      <c r="K19947" s="68"/>
    </row>
    <row r="19948" spans="2:11" ht="12.75">
      <c r="B19948" s="4"/>
      <c r="D19948" s="67"/>
      <c r="G19948" s="68"/>
      <c r="K19948" s="68"/>
    </row>
    <row r="19949" spans="2:11" ht="12.75">
      <c r="B19949" s="4"/>
      <c r="D19949" s="67"/>
      <c r="G19949" s="68"/>
      <c r="K19949" s="68"/>
    </row>
    <row r="19950" spans="2:11" ht="12.75">
      <c r="B19950" s="4"/>
      <c r="D19950" s="67"/>
      <c r="G19950" s="68"/>
      <c r="K19950" s="68"/>
    </row>
    <row r="19951" spans="2:11" ht="12.75">
      <c r="B19951" s="4"/>
      <c r="D19951" s="67"/>
      <c r="G19951" s="68"/>
      <c r="K19951" s="68"/>
    </row>
    <row r="19952" spans="2:11" ht="12.75">
      <c r="B19952" s="4"/>
      <c r="D19952" s="67"/>
      <c r="G19952" s="68"/>
      <c r="K19952" s="68"/>
    </row>
    <row r="19953" spans="2:11" ht="12.75">
      <c r="B19953" s="4"/>
      <c r="D19953" s="67"/>
      <c r="G19953" s="68"/>
      <c r="K19953" s="68"/>
    </row>
    <row r="19954" spans="2:11" ht="12.75">
      <c r="B19954" s="4"/>
      <c r="D19954" s="67"/>
      <c r="G19954" s="68"/>
      <c r="K19954" s="68"/>
    </row>
    <row r="19955" spans="2:11" ht="12.75">
      <c r="B19955" s="4"/>
      <c r="D19955" s="67"/>
      <c r="G19955" s="68"/>
      <c r="K19955" s="68"/>
    </row>
    <row r="19956" spans="2:11" ht="12.75">
      <c r="B19956" s="4"/>
      <c r="D19956" s="67"/>
      <c r="G19956" s="68"/>
      <c r="K19956" s="68"/>
    </row>
    <row r="19957" spans="2:11" ht="12.75">
      <c r="B19957" s="4"/>
      <c r="D19957" s="67"/>
      <c r="G19957" s="68"/>
      <c r="K19957" s="68"/>
    </row>
    <row r="19958" spans="2:11" ht="12.75">
      <c r="B19958" s="4"/>
      <c r="D19958" s="67"/>
      <c r="G19958" s="68"/>
      <c r="K19958" s="68"/>
    </row>
    <row r="19959" spans="2:11" ht="12.75">
      <c r="B19959" s="4"/>
      <c r="D19959" s="67"/>
      <c r="G19959" s="68"/>
      <c r="K19959" s="68"/>
    </row>
    <row r="19960" spans="2:11" ht="12.75">
      <c r="B19960" s="4"/>
      <c r="D19960" s="67"/>
      <c r="G19960" s="68"/>
      <c r="K19960" s="68"/>
    </row>
    <row r="19961" spans="2:11" ht="12.75">
      <c r="B19961" s="4"/>
      <c r="D19961" s="67"/>
      <c r="G19961" s="68"/>
      <c r="K19961" s="68"/>
    </row>
    <row r="19962" spans="2:11" ht="12.75">
      <c r="B19962" s="4"/>
      <c r="D19962" s="67"/>
      <c r="G19962" s="68"/>
      <c r="K19962" s="68"/>
    </row>
    <row r="19963" spans="2:11" ht="12.75">
      <c r="B19963" s="4"/>
      <c r="D19963" s="67"/>
      <c r="G19963" s="68"/>
      <c r="K19963" s="68"/>
    </row>
    <row r="19964" spans="2:11" ht="12.75">
      <c r="B19964" s="4"/>
      <c r="D19964" s="67"/>
      <c r="G19964" s="68"/>
      <c r="K19964" s="68"/>
    </row>
    <row r="19965" spans="2:11" ht="12.75">
      <c r="B19965" s="4"/>
      <c r="D19965" s="67"/>
      <c r="G19965" s="68"/>
      <c r="K19965" s="68"/>
    </row>
    <row r="19966" spans="2:11" ht="12.75">
      <c r="B19966" s="4"/>
      <c r="D19966" s="67"/>
      <c r="G19966" s="68"/>
      <c r="K19966" s="68"/>
    </row>
    <row r="19967" spans="2:11" ht="12.75">
      <c r="B19967" s="4"/>
      <c r="D19967" s="67"/>
      <c r="G19967" s="68"/>
      <c r="K19967" s="68"/>
    </row>
    <row r="19968" spans="2:11" ht="12.75">
      <c r="B19968" s="4"/>
      <c r="D19968" s="67"/>
      <c r="G19968" s="68"/>
      <c r="K19968" s="68"/>
    </row>
    <row r="19969" spans="2:11" ht="12.75">
      <c r="B19969" s="4"/>
      <c r="D19969" s="67"/>
      <c r="G19969" s="68"/>
      <c r="K19969" s="68"/>
    </row>
    <row r="19970" spans="2:11" ht="12.75">
      <c r="B19970" s="4"/>
      <c r="D19970" s="67"/>
      <c r="G19970" s="68"/>
      <c r="K19970" s="68"/>
    </row>
    <row r="19971" spans="2:11" ht="12.75">
      <c r="B19971" s="4"/>
      <c r="D19971" s="67"/>
      <c r="G19971" s="68"/>
      <c r="K19971" s="68"/>
    </row>
    <row r="19972" spans="2:11" ht="12.75">
      <c r="B19972" s="4"/>
      <c r="D19972" s="67"/>
      <c r="G19972" s="68"/>
      <c r="K19972" s="68"/>
    </row>
    <row r="19973" spans="2:11" ht="12.75">
      <c r="B19973" s="4"/>
      <c r="D19973" s="67"/>
      <c r="G19973" s="68"/>
      <c r="K19973" s="68"/>
    </row>
    <row r="19974" spans="2:11" ht="12.75">
      <c r="B19974" s="4"/>
      <c r="D19974" s="67"/>
      <c r="G19974" s="68"/>
      <c r="K19974" s="68"/>
    </row>
    <row r="19975" spans="2:11" ht="12.75">
      <c r="B19975" s="4"/>
      <c r="D19975" s="67"/>
      <c r="G19975" s="68"/>
      <c r="K19975" s="68"/>
    </row>
    <row r="19976" spans="2:11" ht="12.75">
      <c r="B19976" s="4"/>
      <c r="D19976" s="67"/>
      <c r="G19976" s="68"/>
      <c r="K19976" s="68"/>
    </row>
    <row r="19977" spans="2:11" ht="12.75">
      <c r="B19977" s="4"/>
      <c r="D19977" s="67"/>
      <c r="G19977" s="68"/>
      <c r="K19977" s="68"/>
    </row>
    <row r="19978" spans="2:11" ht="12.75">
      <c r="B19978" s="4"/>
      <c r="D19978" s="67"/>
      <c r="G19978" s="68"/>
      <c r="K19978" s="68"/>
    </row>
    <row r="19979" spans="2:11" ht="12.75">
      <c r="B19979" s="4"/>
      <c r="D19979" s="67"/>
      <c r="G19979" s="68"/>
      <c r="K19979" s="68"/>
    </row>
    <row r="19980" spans="2:11" ht="12.75">
      <c r="B19980" s="4"/>
      <c r="D19980" s="67"/>
      <c r="G19980" s="68"/>
      <c r="K19980" s="68"/>
    </row>
    <row r="19981" spans="2:11" ht="12.75">
      <c r="B19981" s="4"/>
      <c r="D19981" s="67"/>
      <c r="G19981" s="68"/>
      <c r="K19981" s="68"/>
    </row>
    <row r="19982" spans="2:11" ht="12.75">
      <c r="B19982" s="4"/>
      <c r="D19982" s="67"/>
      <c r="G19982" s="68"/>
      <c r="K19982" s="68"/>
    </row>
    <row r="19983" spans="2:11" ht="12.75">
      <c r="B19983" s="4"/>
      <c r="D19983" s="67"/>
      <c r="G19983" s="68"/>
      <c r="K19983" s="68"/>
    </row>
    <row r="19984" spans="2:11" ht="12.75">
      <c r="B19984" s="4"/>
      <c r="D19984" s="67"/>
      <c r="G19984" s="68"/>
      <c r="K19984" s="68"/>
    </row>
    <row r="19985" spans="2:11" ht="12.75">
      <c r="B19985" s="4"/>
      <c r="D19985" s="67"/>
      <c r="G19985" s="68"/>
      <c r="K19985" s="68"/>
    </row>
    <row r="19986" spans="2:11" ht="12.75">
      <c r="B19986" s="4"/>
      <c r="D19986" s="67"/>
      <c r="G19986" s="68"/>
      <c r="K19986" s="68"/>
    </row>
    <row r="19987" spans="2:11" ht="12.75">
      <c r="B19987" s="4"/>
      <c r="D19987" s="67"/>
      <c r="G19987" s="68"/>
      <c r="K19987" s="68"/>
    </row>
    <row r="19988" spans="2:11" ht="12.75">
      <c r="B19988" s="4"/>
      <c r="D19988" s="67"/>
      <c r="G19988" s="68"/>
      <c r="K19988" s="68"/>
    </row>
    <row r="19989" spans="2:11" ht="12.75">
      <c r="B19989" s="4"/>
      <c r="D19989" s="67"/>
      <c r="G19989" s="68"/>
      <c r="K19989" s="68"/>
    </row>
    <row r="19990" spans="2:11" ht="12.75">
      <c r="B19990" s="4"/>
      <c r="D19990" s="67"/>
      <c r="G19990" s="68"/>
      <c r="K19990" s="68"/>
    </row>
    <row r="19991" spans="2:11" ht="12.75">
      <c r="B19991" s="4"/>
      <c r="D19991" s="67"/>
      <c r="G19991" s="68"/>
      <c r="K19991" s="68"/>
    </row>
    <row r="19992" spans="2:11" ht="12.75">
      <c r="B19992" s="4"/>
      <c r="D19992" s="67"/>
      <c r="G19992" s="68"/>
      <c r="K19992" s="68"/>
    </row>
    <row r="19993" spans="2:11" ht="12.75">
      <c r="B19993" s="4"/>
      <c r="D19993" s="67"/>
      <c r="G19993" s="68"/>
      <c r="K19993" s="68"/>
    </row>
    <row r="19994" spans="2:11" ht="12.75">
      <c r="B19994" s="4"/>
      <c r="D19994" s="67"/>
      <c r="G19994" s="68"/>
      <c r="K19994" s="68"/>
    </row>
    <row r="19995" spans="2:11" ht="12.75">
      <c r="B19995" s="4"/>
      <c r="D19995" s="67"/>
      <c r="G19995" s="68"/>
      <c r="K19995" s="68"/>
    </row>
    <row r="19996" spans="2:11" ht="12.75">
      <c r="B19996" s="4"/>
      <c r="D19996" s="67"/>
      <c r="G19996" s="68"/>
      <c r="K19996" s="68"/>
    </row>
    <row r="19997" spans="2:11" ht="12.75">
      <c r="B19997" s="4"/>
      <c r="D19997" s="67"/>
      <c r="G19997" s="68"/>
      <c r="K19997" s="68"/>
    </row>
    <row r="19998" spans="2:11" ht="12.75">
      <c r="B19998" s="4"/>
      <c r="D19998" s="67"/>
      <c r="G19998" s="68"/>
      <c r="K19998" s="68"/>
    </row>
    <row r="19999" spans="2:11" ht="12.75">
      <c r="B19999" s="4"/>
      <c r="D19999" s="67"/>
      <c r="G19999" s="68"/>
      <c r="K19999" s="68"/>
    </row>
    <row r="20000" spans="2:11" ht="12.75">
      <c r="B20000" s="4"/>
      <c r="D20000" s="67"/>
      <c r="G20000" s="68"/>
      <c r="K20000" s="68"/>
    </row>
    <row r="20001" spans="2:11" ht="12.75">
      <c r="B20001" s="4"/>
      <c r="D20001" s="67"/>
      <c r="G20001" s="68"/>
      <c r="K20001" s="68"/>
    </row>
    <row r="20002" spans="2:11" ht="12.75">
      <c r="B20002" s="4"/>
      <c r="D20002" s="67"/>
      <c r="G20002" s="68"/>
      <c r="K20002" s="68"/>
    </row>
    <row r="20003" spans="2:11" ht="12.75">
      <c r="B20003" s="4"/>
      <c r="D20003" s="67"/>
      <c r="G20003" s="68"/>
      <c r="K20003" s="68"/>
    </row>
    <row r="20004" spans="2:11" ht="12.75">
      <c r="B20004" s="4"/>
      <c r="D20004" s="67"/>
      <c r="G20004" s="68"/>
      <c r="K20004" s="68"/>
    </row>
    <row r="20005" spans="2:11" ht="12.75">
      <c r="B20005" s="4"/>
      <c r="D20005" s="67"/>
      <c r="G20005" s="68"/>
      <c r="K20005" s="68"/>
    </row>
    <row r="20006" spans="2:11" ht="12.75">
      <c r="B20006" s="4"/>
      <c r="D20006" s="67"/>
      <c r="G20006" s="68"/>
      <c r="K20006" s="68"/>
    </row>
    <row r="20007" spans="2:11" ht="12.75">
      <c r="B20007" s="4"/>
      <c r="D20007" s="67"/>
      <c r="G20007" s="68"/>
      <c r="K20007" s="68"/>
    </row>
    <row r="20008" spans="2:11" ht="12.75">
      <c r="B20008" s="4"/>
      <c r="D20008" s="67"/>
      <c r="G20008" s="68"/>
      <c r="K20008" s="68"/>
    </row>
    <row r="20009" spans="2:11" ht="12.75">
      <c r="B20009" s="4"/>
      <c r="D20009" s="67"/>
      <c r="G20009" s="68"/>
      <c r="K20009" s="68"/>
    </row>
    <row r="20010" spans="2:11" ht="12.75">
      <c r="B20010" s="4"/>
      <c r="D20010" s="67"/>
      <c r="G20010" s="68"/>
      <c r="K20010" s="68"/>
    </row>
    <row r="20011" spans="2:11" ht="12.75">
      <c r="B20011" s="4"/>
      <c r="D20011" s="67"/>
      <c r="G20011" s="68"/>
      <c r="K20011" s="68"/>
    </row>
    <row r="20012" spans="2:11" ht="12.75">
      <c r="B20012" s="4"/>
      <c r="D20012" s="67"/>
      <c r="G20012" s="68"/>
      <c r="K20012" s="68"/>
    </row>
    <row r="20013" spans="2:11" ht="12.75">
      <c r="B20013" s="4"/>
      <c r="D20013" s="67"/>
      <c r="G20013" s="68"/>
      <c r="K20013" s="68"/>
    </row>
    <row r="20014" spans="2:11" ht="12.75">
      <c r="B20014" s="4"/>
      <c r="D20014" s="67"/>
      <c r="G20014" s="68"/>
      <c r="K20014" s="68"/>
    </row>
    <row r="20015" spans="2:11" ht="12.75">
      <c r="B20015" s="4"/>
      <c r="D20015" s="67"/>
      <c r="G20015" s="68"/>
      <c r="K20015" s="68"/>
    </row>
    <row r="20016" spans="2:11" ht="12.75">
      <c r="B20016" s="4"/>
      <c r="D20016" s="67"/>
      <c r="G20016" s="68"/>
      <c r="K20016" s="68"/>
    </row>
    <row r="20017" spans="2:11" ht="12.75">
      <c r="B20017" s="4"/>
      <c r="D20017" s="67"/>
      <c r="G20017" s="68"/>
      <c r="K20017" s="68"/>
    </row>
    <row r="20018" spans="2:11" ht="12.75">
      <c r="B20018" s="4"/>
      <c r="D20018" s="67"/>
      <c r="G20018" s="68"/>
      <c r="K20018" s="68"/>
    </row>
    <row r="20019" spans="2:11" ht="12.75">
      <c r="B20019" s="4"/>
      <c r="D20019" s="67"/>
      <c r="G20019" s="68"/>
      <c r="K20019" s="68"/>
    </row>
    <row r="20020" spans="2:11" ht="12.75">
      <c r="B20020" s="4"/>
      <c r="D20020" s="67"/>
      <c r="G20020" s="68"/>
      <c r="K20020" s="68"/>
    </row>
    <row r="20021" spans="2:11" ht="12.75">
      <c r="B20021" s="4"/>
      <c r="D20021" s="67"/>
      <c r="G20021" s="68"/>
      <c r="K20021" s="68"/>
    </row>
    <row r="20022" spans="2:11" ht="12.75">
      <c r="B20022" s="4"/>
      <c r="D20022" s="67"/>
      <c r="G20022" s="68"/>
      <c r="K20022" s="68"/>
    </row>
    <row r="20023" spans="2:11" ht="12.75">
      <c r="B20023" s="4"/>
      <c r="D20023" s="67"/>
      <c r="G20023" s="68"/>
      <c r="K20023" s="68"/>
    </row>
    <row r="20024" spans="2:11" ht="12.75">
      <c r="B20024" s="4"/>
      <c r="D20024" s="67"/>
      <c r="G20024" s="68"/>
      <c r="K20024" s="68"/>
    </row>
    <row r="20025" spans="2:11" ht="12.75">
      <c r="B20025" s="4"/>
      <c r="D20025" s="67"/>
      <c r="G20025" s="68"/>
      <c r="K20025" s="68"/>
    </row>
    <row r="20026" spans="2:11" ht="12.75">
      <c r="B20026" s="4"/>
      <c r="D20026" s="67"/>
      <c r="G20026" s="68"/>
      <c r="K20026" s="68"/>
    </row>
    <row r="20027" spans="2:11" ht="12.75">
      <c r="B20027" s="4"/>
      <c r="D20027" s="67"/>
      <c r="G20027" s="68"/>
      <c r="K20027" s="68"/>
    </row>
    <row r="20028" spans="2:11" ht="12.75">
      <c r="B20028" s="4"/>
      <c r="D20028" s="67"/>
      <c r="G20028" s="68"/>
      <c r="K20028" s="68"/>
    </row>
    <row r="20029" spans="2:11" ht="12.75">
      <c r="B20029" s="4"/>
      <c r="D20029" s="67"/>
      <c r="G20029" s="68"/>
      <c r="K20029" s="68"/>
    </row>
    <row r="20030" spans="2:11" ht="12.75">
      <c r="B20030" s="4"/>
      <c r="D20030" s="67"/>
      <c r="G20030" s="68"/>
      <c r="K20030" s="68"/>
    </row>
    <row r="20031" spans="2:11" ht="12.75">
      <c r="B20031" s="4"/>
      <c r="D20031" s="67"/>
      <c r="G20031" s="68"/>
      <c r="K20031" s="68"/>
    </row>
    <row r="20032" spans="2:11" ht="12.75">
      <c r="B20032" s="4"/>
      <c r="D20032" s="67"/>
      <c r="G20032" s="68"/>
      <c r="K20032" s="68"/>
    </row>
    <row r="20033" spans="2:11" ht="12.75">
      <c r="B20033" s="4"/>
      <c r="D20033" s="67"/>
      <c r="G20033" s="68"/>
      <c r="K20033" s="68"/>
    </row>
    <row r="20034" spans="2:11" ht="12.75">
      <c r="B20034" s="4"/>
      <c r="D20034" s="67"/>
      <c r="G20034" s="68"/>
      <c r="K20034" s="68"/>
    </row>
    <row r="20035" spans="2:11" ht="12.75">
      <c r="B20035" s="4"/>
      <c r="D20035" s="67"/>
      <c r="G20035" s="68"/>
      <c r="K20035" s="68"/>
    </row>
    <row r="20036" spans="2:11" ht="12.75">
      <c r="B20036" s="4"/>
      <c r="D20036" s="67"/>
      <c r="G20036" s="68"/>
      <c r="K20036" s="68"/>
    </row>
    <row r="20037" spans="2:11" ht="12.75">
      <c r="B20037" s="4"/>
      <c r="D20037" s="67"/>
      <c r="G20037" s="68"/>
      <c r="K20037" s="68"/>
    </row>
    <row r="20038" spans="2:11" ht="12.75">
      <c r="B20038" s="4"/>
      <c r="D20038" s="67"/>
      <c r="G20038" s="68"/>
      <c r="K20038" s="68"/>
    </row>
    <row r="20039" spans="2:11" ht="12.75">
      <c r="B20039" s="4"/>
      <c r="D20039" s="67"/>
      <c r="G20039" s="68"/>
      <c r="K20039" s="68"/>
    </row>
    <row r="20040" spans="2:11" ht="12.75">
      <c r="B20040" s="4"/>
      <c r="D20040" s="67"/>
      <c r="G20040" s="68"/>
      <c r="K20040" s="68"/>
    </row>
    <row r="20041" spans="2:11" ht="12.75">
      <c r="B20041" s="4"/>
      <c r="D20041" s="67"/>
      <c r="G20041" s="68"/>
      <c r="K20041" s="68"/>
    </row>
    <row r="20042" spans="2:11" ht="12.75">
      <c r="B20042" s="4"/>
      <c r="D20042" s="67"/>
      <c r="G20042" s="68"/>
      <c r="K20042" s="68"/>
    </row>
    <row r="20043" spans="2:11" ht="12.75">
      <c r="B20043" s="4"/>
      <c r="D20043" s="67"/>
      <c r="G20043" s="68"/>
      <c r="K20043" s="68"/>
    </row>
    <row r="20044" spans="2:11" ht="12.75">
      <c r="B20044" s="4"/>
      <c r="D20044" s="67"/>
      <c r="G20044" s="68"/>
      <c r="K20044" s="68"/>
    </row>
    <row r="20045" spans="2:11" ht="12.75">
      <c r="B20045" s="4"/>
      <c r="D20045" s="67"/>
      <c r="G20045" s="68"/>
      <c r="K20045" s="68"/>
    </row>
    <row r="20046" spans="2:11" ht="12.75">
      <c r="B20046" s="4"/>
      <c r="D20046" s="67"/>
      <c r="G20046" s="68"/>
      <c r="K20046" s="68"/>
    </row>
    <row r="20047" spans="2:11" ht="12.75">
      <c r="B20047" s="4"/>
      <c r="D20047" s="67"/>
      <c r="G20047" s="68"/>
      <c r="K20047" s="68"/>
    </row>
    <row r="20048" spans="2:11" ht="12.75">
      <c r="B20048" s="4"/>
      <c r="D20048" s="67"/>
      <c r="G20048" s="68"/>
      <c r="K20048" s="68"/>
    </row>
    <row r="20049" spans="2:11" ht="12.75">
      <c r="B20049" s="4"/>
      <c r="D20049" s="67"/>
      <c r="G20049" s="68"/>
      <c r="K20049" s="68"/>
    </row>
    <row r="20050" spans="2:11" ht="12.75">
      <c r="B20050" s="4"/>
      <c r="D20050" s="67"/>
      <c r="G20050" s="68"/>
      <c r="K20050" s="68"/>
    </row>
    <row r="20051" spans="2:11" ht="12.75">
      <c r="B20051" s="4"/>
      <c r="D20051" s="67"/>
      <c r="G20051" s="68"/>
      <c r="K20051" s="68"/>
    </row>
    <row r="20052" spans="2:11" ht="12.75">
      <c r="B20052" s="4"/>
      <c r="D20052" s="67"/>
      <c r="G20052" s="68"/>
      <c r="K20052" s="68"/>
    </row>
    <row r="20053" spans="2:11" ht="12.75">
      <c r="B20053" s="4"/>
      <c r="D20053" s="67"/>
      <c r="G20053" s="68"/>
      <c r="K20053" s="68"/>
    </row>
    <row r="20054" spans="2:11" ht="12.75">
      <c r="B20054" s="4"/>
      <c r="D20054" s="67"/>
      <c r="G20054" s="68"/>
      <c r="K20054" s="68"/>
    </row>
    <row r="20055" spans="2:11" ht="12.75">
      <c r="B20055" s="4"/>
      <c r="D20055" s="67"/>
      <c r="G20055" s="68"/>
      <c r="K20055" s="68"/>
    </row>
    <row r="20056" spans="2:11" ht="12.75">
      <c r="B20056" s="4"/>
      <c r="D20056" s="67"/>
      <c r="G20056" s="68"/>
      <c r="K20056" s="68"/>
    </row>
    <row r="20057" spans="2:11" ht="12.75">
      <c r="B20057" s="4"/>
      <c r="D20057" s="67"/>
      <c r="G20057" s="68"/>
      <c r="K20057" s="68"/>
    </row>
    <row r="20058" spans="2:11" ht="12.75">
      <c r="B20058" s="4"/>
      <c r="D20058" s="67"/>
      <c r="G20058" s="68"/>
      <c r="K20058" s="68"/>
    </row>
    <row r="20059" spans="2:11" ht="12.75">
      <c r="B20059" s="4"/>
      <c r="D20059" s="67"/>
      <c r="G20059" s="68"/>
      <c r="K20059" s="68"/>
    </row>
    <row r="20060" spans="2:11" ht="12.75">
      <c r="B20060" s="4"/>
      <c r="D20060" s="67"/>
      <c r="G20060" s="68"/>
      <c r="K20060" s="68"/>
    </row>
    <row r="20061" spans="2:11" ht="12.75">
      <c r="B20061" s="4"/>
      <c r="D20061" s="67"/>
      <c r="G20061" s="68"/>
      <c r="K20061" s="68"/>
    </row>
    <row r="20062" spans="2:11" ht="12.75">
      <c r="B20062" s="4"/>
      <c r="D20062" s="67"/>
      <c r="G20062" s="68"/>
      <c r="K20062" s="68"/>
    </row>
    <row r="20063" spans="2:11" ht="12.75">
      <c r="B20063" s="4"/>
      <c r="D20063" s="67"/>
      <c r="G20063" s="68"/>
      <c r="K20063" s="68"/>
    </row>
    <row r="20064" spans="2:11" ht="12.75">
      <c r="B20064" s="4"/>
      <c r="D20064" s="67"/>
      <c r="G20064" s="68"/>
      <c r="K20064" s="68"/>
    </row>
    <row r="20065" spans="2:11" ht="12.75">
      <c r="B20065" s="4"/>
      <c r="D20065" s="67"/>
      <c r="G20065" s="68"/>
      <c r="K20065" s="68"/>
    </row>
    <row r="20066" spans="2:11" ht="12.75">
      <c r="B20066" s="4"/>
      <c r="D20066" s="67"/>
      <c r="G20066" s="68"/>
      <c r="K20066" s="68"/>
    </row>
    <row r="20067" spans="2:11" ht="12.75">
      <c r="B20067" s="4"/>
      <c r="D20067" s="67"/>
      <c r="G20067" s="68"/>
      <c r="K20067" s="68"/>
    </row>
    <row r="20068" spans="2:11" ht="12.75">
      <c r="B20068" s="4"/>
      <c r="D20068" s="67"/>
      <c r="G20068" s="68"/>
      <c r="K20068" s="68"/>
    </row>
    <row r="20069" spans="2:11" ht="12.75">
      <c r="B20069" s="4"/>
      <c r="D20069" s="67"/>
      <c r="G20069" s="68"/>
      <c r="K20069" s="68"/>
    </row>
    <row r="20070" spans="2:11" ht="12.75">
      <c r="B20070" s="4"/>
      <c r="D20070" s="67"/>
      <c r="G20070" s="68"/>
      <c r="K20070" s="68"/>
    </row>
    <row r="20071" spans="2:11" ht="12.75">
      <c r="B20071" s="4"/>
      <c r="D20071" s="67"/>
      <c r="G20071" s="68"/>
      <c r="K20071" s="68"/>
    </row>
    <row r="20072" spans="2:11" ht="12.75">
      <c r="B20072" s="4"/>
      <c r="D20072" s="67"/>
      <c r="G20072" s="68"/>
      <c r="K20072" s="68"/>
    </row>
    <row r="20073" spans="2:11" ht="12.75">
      <c r="B20073" s="4"/>
      <c r="D20073" s="67"/>
      <c r="G20073" s="68"/>
      <c r="K20073" s="68"/>
    </row>
    <row r="20074" spans="2:11" ht="12.75">
      <c r="B20074" s="4"/>
      <c r="D20074" s="67"/>
      <c r="G20074" s="68"/>
      <c r="K20074" s="68"/>
    </row>
    <row r="20075" spans="2:11" ht="12.75">
      <c r="B20075" s="4"/>
      <c r="D20075" s="67"/>
      <c r="G20075" s="68"/>
      <c r="K20075" s="68"/>
    </row>
    <row r="20076" spans="2:11" ht="12.75">
      <c r="B20076" s="4"/>
      <c r="D20076" s="67"/>
      <c r="G20076" s="68"/>
      <c r="K20076" s="68"/>
    </row>
    <row r="20077" spans="2:11" ht="12.75">
      <c r="B20077" s="4"/>
      <c r="D20077" s="67"/>
      <c r="G20077" s="68"/>
      <c r="K20077" s="68"/>
    </row>
    <row r="20078" spans="2:11" ht="12.75">
      <c r="B20078" s="4"/>
      <c r="D20078" s="67"/>
      <c r="G20078" s="68"/>
      <c r="K20078" s="68"/>
    </row>
    <row r="20079" spans="2:11" ht="12.75">
      <c r="B20079" s="4"/>
      <c r="D20079" s="67"/>
      <c r="G20079" s="68"/>
      <c r="K20079" s="68"/>
    </row>
    <row r="20080" spans="2:11" ht="12.75">
      <c r="B20080" s="4"/>
      <c r="D20080" s="67"/>
      <c r="G20080" s="68"/>
      <c r="K20080" s="68"/>
    </row>
    <row r="20081" spans="2:11" ht="12.75">
      <c r="B20081" s="4"/>
      <c r="D20081" s="67"/>
      <c r="G20081" s="68"/>
      <c r="K20081" s="68"/>
    </row>
    <row r="20082" spans="2:11" ht="12.75">
      <c r="B20082" s="4"/>
      <c r="D20082" s="67"/>
      <c r="G20082" s="68"/>
      <c r="K20082" s="68"/>
    </row>
    <row r="20083" spans="2:11" ht="12.75">
      <c r="B20083" s="4"/>
      <c r="D20083" s="67"/>
      <c r="G20083" s="68"/>
      <c r="K20083" s="68"/>
    </row>
    <row r="20084" spans="2:11" ht="12.75">
      <c r="B20084" s="4"/>
      <c r="D20084" s="67"/>
      <c r="G20084" s="68"/>
      <c r="K20084" s="68"/>
    </row>
    <row r="20085" spans="2:11" ht="12.75">
      <c r="B20085" s="4"/>
      <c r="D20085" s="67"/>
      <c r="G20085" s="68"/>
      <c r="K20085" s="68"/>
    </row>
    <row r="20086" spans="2:11" ht="12.75">
      <c r="B20086" s="4"/>
      <c r="D20086" s="67"/>
      <c r="G20086" s="68"/>
      <c r="K20086" s="68"/>
    </row>
    <row r="20087" spans="2:11" ht="12.75">
      <c r="B20087" s="4"/>
      <c r="D20087" s="67"/>
      <c r="G20087" s="68"/>
      <c r="K20087" s="68"/>
    </row>
    <row r="20088" spans="2:11" ht="12.75">
      <c r="B20088" s="4"/>
      <c r="D20088" s="67"/>
      <c r="G20088" s="68"/>
      <c r="K20088" s="68"/>
    </row>
    <row r="20089" spans="2:11" ht="12.75">
      <c r="B20089" s="4"/>
      <c r="D20089" s="67"/>
      <c r="G20089" s="68"/>
      <c r="K20089" s="68"/>
    </row>
    <row r="20090" spans="2:11" ht="12.75">
      <c r="B20090" s="4"/>
      <c r="D20090" s="67"/>
      <c r="G20090" s="68"/>
      <c r="K20090" s="68"/>
    </row>
    <row r="20091" spans="2:11" ht="12.75">
      <c r="B20091" s="4"/>
      <c r="D20091" s="67"/>
      <c r="G20091" s="68"/>
      <c r="K20091" s="68"/>
    </row>
    <row r="20092" spans="2:11" ht="12.75">
      <c r="B20092" s="4"/>
      <c r="D20092" s="67"/>
      <c r="G20092" s="68"/>
      <c r="K20092" s="68"/>
    </row>
    <row r="20093" spans="2:11" ht="12.75">
      <c r="B20093" s="4"/>
      <c r="D20093" s="67"/>
      <c r="G20093" s="68"/>
      <c r="K20093" s="68"/>
    </row>
    <row r="20094" spans="2:11" ht="12.75">
      <c r="B20094" s="4"/>
      <c r="D20094" s="67"/>
      <c r="G20094" s="68"/>
      <c r="K20094" s="68"/>
    </row>
    <row r="20095" spans="2:11" ht="12.75">
      <c r="B20095" s="4"/>
      <c r="D20095" s="67"/>
      <c r="G20095" s="68"/>
      <c r="K20095" s="68"/>
    </row>
    <row r="20096" spans="2:11" ht="12.75">
      <c r="B20096" s="4"/>
      <c r="D20096" s="67"/>
      <c r="G20096" s="68"/>
      <c r="K20096" s="68"/>
    </row>
    <row r="20097" spans="2:11" ht="12.75">
      <c r="B20097" s="4"/>
      <c r="D20097" s="67"/>
      <c r="G20097" s="68"/>
      <c r="K20097" s="68"/>
    </row>
    <row r="20098" spans="2:11" ht="12.75">
      <c r="B20098" s="4"/>
      <c r="D20098" s="67"/>
      <c r="G20098" s="68"/>
      <c r="K20098" s="68"/>
    </row>
    <row r="20099" spans="2:11" ht="12.75">
      <c r="B20099" s="4"/>
      <c r="D20099" s="67"/>
      <c r="G20099" s="68"/>
      <c r="K20099" s="68"/>
    </row>
    <row r="20100" spans="2:11" ht="12.75">
      <c r="B20100" s="4"/>
      <c r="D20100" s="67"/>
      <c r="G20100" s="68"/>
      <c r="K20100" s="68"/>
    </row>
    <row r="20101" spans="2:11" ht="12.75">
      <c r="B20101" s="4"/>
      <c r="D20101" s="67"/>
      <c r="G20101" s="68"/>
      <c r="K20101" s="68"/>
    </row>
    <row r="20102" spans="2:11" ht="12.75">
      <c r="B20102" s="4"/>
      <c r="D20102" s="67"/>
      <c r="G20102" s="68"/>
      <c r="K20102" s="68"/>
    </row>
    <row r="20103" spans="2:11" ht="12.75">
      <c r="B20103" s="4"/>
      <c r="D20103" s="67"/>
      <c r="G20103" s="68"/>
      <c r="K20103" s="68"/>
    </row>
    <row r="20104" spans="2:11" ht="12.75">
      <c r="B20104" s="4"/>
      <c r="D20104" s="67"/>
      <c r="G20104" s="68"/>
      <c r="K20104" s="68"/>
    </row>
    <row r="20105" spans="2:11" ht="12.75">
      <c r="B20105" s="4"/>
      <c r="D20105" s="67"/>
      <c r="G20105" s="68"/>
      <c r="K20105" s="68"/>
    </row>
    <row r="20106" spans="2:11" ht="12.75">
      <c r="B20106" s="4"/>
      <c r="D20106" s="67"/>
      <c r="G20106" s="68"/>
      <c r="K20106" s="68"/>
    </row>
    <row r="20107" spans="2:11" ht="12.75">
      <c r="B20107" s="4"/>
      <c r="D20107" s="67"/>
      <c r="G20107" s="68"/>
      <c r="K20107" s="68"/>
    </row>
    <row r="20108" spans="2:11" ht="12.75">
      <c r="B20108" s="4"/>
      <c r="D20108" s="67"/>
      <c r="G20108" s="68"/>
      <c r="K20108" s="68"/>
    </row>
    <row r="20109" spans="2:11" ht="12.75">
      <c r="B20109" s="4"/>
      <c r="D20109" s="67"/>
      <c r="G20109" s="68"/>
      <c r="K20109" s="68"/>
    </row>
    <row r="20110" spans="2:11" ht="12.75">
      <c r="B20110" s="4"/>
      <c r="D20110" s="67"/>
      <c r="G20110" s="68"/>
      <c r="K20110" s="68"/>
    </row>
    <row r="20111" spans="2:11" ht="12.75">
      <c r="B20111" s="4"/>
      <c r="D20111" s="67"/>
      <c r="G20111" s="68"/>
      <c r="K20111" s="68"/>
    </row>
    <row r="20112" spans="2:11" ht="12.75">
      <c r="B20112" s="4"/>
      <c r="D20112" s="67"/>
      <c r="G20112" s="68"/>
      <c r="K20112" s="68"/>
    </row>
    <row r="20113" spans="2:11" ht="12.75">
      <c r="B20113" s="4"/>
      <c r="D20113" s="67"/>
      <c r="G20113" s="68"/>
      <c r="K20113" s="68"/>
    </row>
    <row r="20114" spans="2:11" ht="12.75">
      <c r="B20114" s="4"/>
      <c r="D20114" s="67"/>
      <c r="G20114" s="68"/>
      <c r="K20114" s="68"/>
    </row>
    <row r="20115" spans="2:11" ht="12.75">
      <c r="B20115" s="4"/>
      <c r="D20115" s="67"/>
      <c r="G20115" s="68"/>
      <c r="K20115" s="68"/>
    </row>
    <row r="20116" spans="2:11" ht="12.75">
      <c r="B20116" s="4"/>
      <c r="D20116" s="67"/>
      <c r="G20116" s="68"/>
      <c r="K20116" s="68"/>
    </row>
    <row r="20117" spans="2:11" ht="12.75">
      <c r="B20117" s="4"/>
      <c r="D20117" s="67"/>
      <c r="G20117" s="68"/>
      <c r="K20117" s="68"/>
    </row>
    <row r="20118" spans="2:11" ht="12.75">
      <c r="B20118" s="4"/>
      <c r="D20118" s="67"/>
      <c r="G20118" s="68"/>
      <c r="K20118" s="68"/>
    </row>
    <row r="20119" spans="2:11" ht="12.75">
      <c r="B20119" s="4"/>
      <c r="D20119" s="67"/>
      <c r="G20119" s="68"/>
      <c r="K20119" s="68"/>
    </row>
    <row r="20120" spans="2:11" ht="12.75">
      <c r="B20120" s="4"/>
      <c r="D20120" s="67"/>
      <c r="G20120" s="68"/>
      <c r="K20120" s="68"/>
    </row>
    <row r="20121" spans="2:11" ht="12.75">
      <c r="B20121" s="4"/>
      <c r="D20121" s="67"/>
      <c r="G20121" s="68"/>
      <c r="K20121" s="68"/>
    </row>
    <row r="20122" spans="2:11" ht="12.75">
      <c r="B20122" s="4"/>
      <c r="D20122" s="67"/>
      <c r="G20122" s="68"/>
      <c r="K20122" s="68"/>
    </row>
    <row r="20123" spans="2:11" ht="12.75">
      <c r="B20123" s="4"/>
      <c r="D20123" s="67"/>
      <c r="G20123" s="68"/>
      <c r="K20123" s="68"/>
    </row>
    <row r="20124" spans="2:11" ht="12.75">
      <c r="B20124" s="4"/>
      <c r="D20124" s="67"/>
      <c r="G20124" s="68"/>
      <c r="K20124" s="68"/>
    </row>
    <row r="20125" spans="2:11" ht="12.75">
      <c r="B20125" s="4"/>
      <c r="D20125" s="67"/>
      <c r="G20125" s="68"/>
      <c r="K20125" s="68"/>
    </row>
    <row r="20126" spans="2:11" ht="12.75">
      <c r="B20126" s="4"/>
      <c r="D20126" s="67"/>
      <c r="G20126" s="68"/>
      <c r="K20126" s="68"/>
    </row>
    <row r="20127" spans="2:11" ht="12.75">
      <c r="B20127" s="4"/>
      <c r="D20127" s="67"/>
      <c r="G20127" s="68"/>
      <c r="K20127" s="68"/>
    </row>
    <row r="20128" spans="2:11" ht="12.75">
      <c r="B20128" s="4"/>
      <c r="D20128" s="67"/>
      <c r="G20128" s="68"/>
      <c r="K20128" s="68"/>
    </row>
    <row r="20129" spans="2:11" ht="12.75">
      <c r="B20129" s="4"/>
      <c r="D20129" s="67"/>
      <c r="G20129" s="68"/>
      <c r="K20129" s="68"/>
    </row>
    <row r="20130" spans="2:11" ht="12.75">
      <c r="B20130" s="4"/>
      <c r="D20130" s="67"/>
      <c r="G20130" s="68"/>
      <c r="K20130" s="68"/>
    </row>
    <row r="20131" spans="2:11" ht="12.75">
      <c r="B20131" s="4"/>
      <c r="D20131" s="67"/>
      <c r="G20131" s="68"/>
      <c r="K20131" s="68"/>
    </row>
    <row r="20132" spans="2:11" ht="12.75">
      <c r="B20132" s="4"/>
      <c r="D20132" s="67"/>
      <c r="G20132" s="68"/>
      <c r="K20132" s="68"/>
    </row>
    <row r="20133" spans="2:11" ht="12.75">
      <c r="B20133" s="4"/>
      <c r="D20133" s="67"/>
      <c r="G20133" s="68"/>
      <c r="K20133" s="68"/>
    </row>
    <row r="20134" spans="2:11" ht="12.75">
      <c r="B20134" s="4"/>
      <c r="D20134" s="67"/>
      <c r="G20134" s="68"/>
      <c r="K20134" s="68"/>
    </row>
    <row r="20135" spans="2:11" ht="12.75">
      <c r="B20135" s="4"/>
      <c r="D20135" s="67"/>
      <c r="G20135" s="68"/>
      <c r="K20135" s="68"/>
    </row>
    <row r="20136" spans="2:11" ht="12.75">
      <c r="B20136" s="4"/>
      <c r="D20136" s="67"/>
      <c r="G20136" s="68"/>
      <c r="K20136" s="68"/>
    </row>
    <row r="20137" spans="2:11" ht="12.75">
      <c r="B20137" s="4"/>
      <c r="D20137" s="67"/>
      <c r="G20137" s="68"/>
      <c r="K20137" s="68"/>
    </row>
    <row r="20138" spans="2:11" ht="12.75">
      <c r="B20138" s="4"/>
      <c r="D20138" s="67"/>
      <c r="G20138" s="68"/>
      <c r="K20138" s="68"/>
    </row>
    <row r="20139" spans="2:11" ht="12.75">
      <c r="B20139" s="4"/>
      <c r="D20139" s="67"/>
      <c r="G20139" s="68"/>
      <c r="K20139" s="68"/>
    </row>
    <row r="20140" spans="2:11" ht="12.75">
      <c r="B20140" s="4"/>
      <c r="D20140" s="67"/>
      <c r="G20140" s="68"/>
      <c r="K20140" s="68"/>
    </row>
    <row r="20141" spans="2:11" ht="12.75">
      <c r="B20141" s="4"/>
      <c r="D20141" s="67"/>
      <c r="G20141" s="68"/>
      <c r="K20141" s="68"/>
    </row>
    <row r="20142" spans="2:11" ht="12.75">
      <c r="B20142" s="4"/>
      <c r="D20142" s="67"/>
      <c r="G20142" s="68"/>
      <c r="K20142" s="68"/>
    </row>
    <row r="20143" spans="2:11" ht="12.75">
      <c r="B20143" s="4"/>
      <c r="D20143" s="67"/>
      <c r="G20143" s="68"/>
      <c r="K20143" s="68"/>
    </row>
    <row r="20144" spans="2:11" ht="12.75">
      <c r="B20144" s="4"/>
      <c r="D20144" s="67"/>
      <c r="G20144" s="68"/>
      <c r="K20144" s="68"/>
    </row>
    <row r="20145" spans="2:11" ht="12.75">
      <c r="B20145" s="4"/>
      <c r="D20145" s="67"/>
      <c r="G20145" s="68"/>
      <c r="K20145" s="68"/>
    </row>
    <row r="20146" spans="2:11" ht="12.75">
      <c r="B20146" s="4"/>
      <c r="D20146" s="67"/>
      <c r="G20146" s="68"/>
      <c r="K20146" s="68"/>
    </row>
    <row r="20147" spans="2:11" ht="12.75">
      <c r="B20147" s="4"/>
      <c r="D20147" s="67"/>
      <c r="G20147" s="68"/>
      <c r="K20147" s="68"/>
    </row>
    <row r="20148" spans="2:11" ht="12.75">
      <c r="B20148" s="4"/>
      <c r="D20148" s="67"/>
      <c r="G20148" s="68"/>
      <c r="K20148" s="68"/>
    </row>
    <row r="20149" spans="2:11" ht="12.75">
      <c r="B20149" s="4"/>
      <c r="D20149" s="67"/>
      <c r="G20149" s="68"/>
      <c r="K20149" s="68"/>
    </row>
    <row r="20150" spans="2:11" ht="12.75">
      <c r="B20150" s="4"/>
      <c r="D20150" s="67"/>
      <c r="G20150" s="68"/>
      <c r="K20150" s="68"/>
    </row>
    <row r="20151" spans="2:11" ht="12.75">
      <c r="B20151" s="4"/>
      <c r="D20151" s="67"/>
      <c r="G20151" s="68"/>
      <c r="K20151" s="68"/>
    </row>
    <row r="20152" spans="2:11" ht="12.75">
      <c r="B20152" s="4"/>
      <c r="D20152" s="67"/>
      <c r="G20152" s="68"/>
      <c r="K20152" s="68"/>
    </row>
    <row r="20153" spans="2:11" ht="12.75">
      <c r="B20153" s="4"/>
      <c r="D20153" s="67"/>
      <c r="G20153" s="68"/>
      <c r="K20153" s="68"/>
    </row>
    <row r="20154" spans="2:11" ht="12.75">
      <c r="B20154" s="4"/>
      <c r="D20154" s="67"/>
      <c r="G20154" s="68"/>
      <c r="K20154" s="68"/>
    </row>
    <row r="20155" spans="2:11" ht="12.75">
      <c r="B20155" s="4"/>
      <c r="D20155" s="67"/>
      <c r="G20155" s="68"/>
      <c r="K20155" s="68"/>
    </row>
    <row r="20156" spans="2:11" ht="12.75">
      <c r="B20156" s="4"/>
      <c r="D20156" s="67"/>
      <c r="G20156" s="68"/>
      <c r="K20156" s="68"/>
    </row>
    <row r="20157" spans="2:11" ht="12.75">
      <c r="B20157" s="4"/>
      <c r="D20157" s="67"/>
      <c r="G20157" s="68"/>
      <c r="K20157" s="68"/>
    </row>
    <row r="20158" spans="2:11" ht="12.75">
      <c r="B20158" s="4"/>
      <c r="D20158" s="67"/>
      <c r="G20158" s="68"/>
      <c r="K20158" s="68"/>
    </row>
    <row r="20159" spans="2:11" ht="12.75">
      <c r="B20159" s="4"/>
      <c r="D20159" s="67"/>
      <c r="G20159" s="68"/>
      <c r="K20159" s="68"/>
    </row>
    <row r="20160" spans="2:11" ht="12.75">
      <c r="B20160" s="4"/>
      <c r="D20160" s="67"/>
      <c r="G20160" s="68"/>
      <c r="K20160" s="68"/>
    </row>
    <row r="20161" spans="2:11" ht="12.75">
      <c r="B20161" s="4"/>
      <c r="D20161" s="67"/>
      <c r="G20161" s="68"/>
      <c r="K20161" s="68"/>
    </row>
    <row r="20162" spans="2:11" ht="12.75">
      <c r="B20162" s="4"/>
      <c r="D20162" s="67"/>
      <c r="G20162" s="68"/>
      <c r="K20162" s="68"/>
    </row>
    <row r="20163" spans="2:11" ht="12.75">
      <c r="B20163" s="4"/>
      <c r="D20163" s="67"/>
      <c r="G20163" s="68"/>
      <c r="K20163" s="68"/>
    </row>
    <row r="20164" spans="2:11" ht="12.75">
      <c r="B20164" s="4"/>
      <c r="D20164" s="67"/>
      <c r="G20164" s="68"/>
      <c r="K20164" s="68"/>
    </row>
    <row r="20165" spans="2:11" ht="12.75">
      <c r="B20165" s="4"/>
      <c r="D20165" s="67"/>
      <c r="G20165" s="68"/>
      <c r="K20165" s="68"/>
    </row>
    <row r="20166" spans="2:11" ht="12.75">
      <c r="B20166" s="4"/>
      <c r="D20166" s="67"/>
      <c r="G20166" s="68"/>
      <c r="K20166" s="68"/>
    </row>
    <row r="20167" spans="2:11" ht="12.75">
      <c r="B20167" s="4"/>
      <c r="D20167" s="67"/>
      <c r="G20167" s="68"/>
      <c r="K20167" s="68"/>
    </row>
    <row r="20168" spans="2:11" ht="12.75">
      <c r="B20168" s="4"/>
      <c r="D20168" s="67"/>
      <c r="G20168" s="68"/>
      <c r="K20168" s="68"/>
    </row>
    <row r="20169" spans="2:11" ht="12.75">
      <c r="B20169" s="4"/>
      <c r="D20169" s="67"/>
      <c r="G20169" s="68"/>
      <c r="K20169" s="68"/>
    </row>
    <row r="20170" spans="2:11" ht="12.75">
      <c r="B20170" s="4"/>
      <c r="D20170" s="67"/>
      <c r="G20170" s="68"/>
      <c r="K20170" s="68"/>
    </row>
    <row r="20171" spans="2:11" ht="12.75">
      <c r="B20171" s="4"/>
      <c r="D20171" s="67"/>
      <c r="G20171" s="68"/>
      <c r="K20171" s="68"/>
    </row>
    <row r="20172" spans="2:11" ht="12.75">
      <c r="B20172" s="4"/>
      <c r="D20172" s="67"/>
      <c r="G20172" s="68"/>
      <c r="K20172" s="68"/>
    </row>
    <row r="20173" spans="2:11" ht="12.75">
      <c r="B20173" s="4"/>
      <c r="D20173" s="67"/>
      <c r="G20173" s="68"/>
      <c r="K20173" s="68"/>
    </row>
    <row r="20174" spans="2:11" ht="12.75">
      <c r="B20174" s="4"/>
      <c r="D20174" s="67"/>
      <c r="G20174" s="68"/>
      <c r="K20174" s="68"/>
    </row>
    <row r="20175" spans="2:11" ht="12.75">
      <c r="B20175" s="4"/>
      <c r="D20175" s="67"/>
      <c r="G20175" s="68"/>
      <c r="K20175" s="68"/>
    </row>
    <row r="20176" spans="2:11" ht="12.75">
      <c r="B20176" s="4"/>
      <c r="D20176" s="67"/>
      <c r="G20176" s="68"/>
      <c r="K20176" s="68"/>
    </row>
    <row r="20177" spans="2:11" ht="12.75">
      <c r="B20177" s="4"/>
      <c r="D20177" s="67"/>
      <c r="G20177" s="68"/>
      <c r="K20177" s="68"/>
    </row>
    <row r="20178" spans="2:11" ht="12.75">
      <c r="B20178" s="4"/>
      <c r="D20178" s="67"/>
      <c r="G20178" s="68"/>
      <c r="K20178" s="68"/>
    </row>
    <row r="20179" spans="2:11" ht="12.75">
      <c r="B20179" s="4"/>
      <c r="D20179" s="67"/>
      <c r="G20179" s="68"/>
      <c r="K20179" s="68"/>
    </row>
    <row r="20180" spans="2:11" ht="12.75">
      <c r="B20180" s="4"/>
      <c r="D20180" s="67"/>
      <c r="G20180" s="68"/>
      <c r="K20180" s="68"/>
    </row>
    <row r="20181" spans="2:11" ht="12.75">
      <c r="B20181" s="4"/>
      <c r="D20181" s="67"/>
      <c r="G20181" s="68"/>
      <c r="K20181" s="68"/>
    </row>
    <row r="20182" spans="2:11" ht="12.75">
      <c r="B20182" s="4"/>
      <c r="D20182" s="67"/>
      <c r="G20182" s="68"/>
      <c r="K20182" s="68"/>
    </row>
    <row r="20183" spans="2:11" ht="12.75">
      <c r="B20183" s="4"/>
      <c r="D20183" s="67"/>
      <c r="G20183" s="68"/>
      <c r="K20183" s="68"/>
    </row>
    <row r="20184" spans="2:11" ht="12.75">
      <c r="B20184" s="4"/>
      <c r="D20184" s="67"/>
      <c r="G20184" s="68"/>
      <c r="K20184" s="68"/>
    </row>
    <row r="20185" spans="2:11" ht="12.75">
      <c r="B20185" s="4"/>
      <c r="D20185" s="67"/>
      <c r="G20185" s="68"/>
      <c r="K20185" s="68"/>
    </row>
    <row r="20186" spans="2:11" ht="12.75">
      <c r="B20186" s="4"/>
      <c r="D20186" s="67"/>
      <c r="G20186" s="68"/>
      <c r="K20186" s="68"/>
    </row>
    <row r="20187" spans="2:11" ht="12.75">
      <c r="B20187" s="4"/>
      <c r="D20187" s="67"/>
      <c r="G20187" s="68"/>
      <c r="K20187" s="68"/>
    </row>
    <row r="20188" spans="2:11" ht="12.75">
      <c r="B20188" s="4"/>
      <c r="D20188" s="67"/>
      <c r="G20188" s="68"/>
      <c r="K20188" s="68"/>
    </row>
    <row r="20189" spans="2:11" ht="12.75">
      <c r="B20189" s="4"/>
      <c r="D20189" s="67"/>
      <c r="G20189" s="68"/>
      <c r="K20189" s="68"/>
    </row>
    <row r="20190" spans="2:11" ht="12.75">
      <c r="B20190" s="4"/>
      <c r="D20190" s="67"/>
      <c r="G20190" s="68"/>
      <c r="K20190" s="68"/>
    </row>
    <row r="20191" spans="2:11" ht="12.75">
      <c r="B20191" s="4"/>
      <c r="D20191" s="67"/>
      <c r="G20191" s="68"/>
      <c r="K20191" s="68"/>
    </row>
    <row r="20192" spans="2:11" ht="12.75">
      <c r="B20192" s="4"/>
      <c r="D20192" s="67"/>
      <c r="G20192" s="68"/>
      <c r="K20192" s="68"/>
    </row>
    <row r="20193" spans="2:11" ht="12.75">
      <c r="B20193" s="4"/>
      <c r="D20193" s="67"/>
      <c r="G20193" s="68"/>
      <c r="K20193" s="68"/>
    </row>
    <row r="20194" spans="2:11" ht="12.75">
      <c r="B20194" s="4"/>
      <c r="D20194" s="67"/>
      <c r="G20194" s="68"/>
      <c r="K20194" s="68"/>
    </row>
    <row r="20195" spans="2:11" ht="12.75">
      <c r="B20195" s="4"/>
      <c r="D20195" s="67"/>
      <c r="G20195" s="68"/>
      <c r="K20195" s="68"/>
    </row>
    <row r="20196" spans="2:11" ht="12.75">
      <c r="B20196" s="4"/>
      <c r="D20196" s="67"/>
      <c r="G20196" s="68"/>
      <c r="K20196" s="68"/>
    </row>
    <row r="20197" spans="2:11" ht="12.75">
      <c r="B20197" s="4"/>
      <c r="D20197" s="67"/>
      <c r="G20197" s="68"/>
      <c r="K20197" s="68"/>
    </row>
    <row r="20198" spans="2:11" ht="12.75">
      <c r="B20198" s="4"/>
      <c r="D20198" s="67"/>
      <c r="G20198" s="68"/>
      <c r="K20198" s="68"/>
    </row>
    <row r="20199" spans="2:11" ht="12.75">
      <c r="B20199" s="4"/>
      <c r="D20199" s="67"/>
      <c r="G20199" s="68"/>
      <c r="K20199" s="68"/>
    </row>
    <row r="20200" spans="2:11" ht="12.75">
      <c r="B20200" s="4"/>
      <c r="D20200" s="67"/>
      <c r="G20200" s="68"/>
      <c r="K20200" s="68"/>
    </row>
    <row r="20201" spans="2:11" ht="12.75">
      <c r="B20201" s="4"/>
      <c r="D20201" s="67"/>
      <c r="G20201" s="68"/>
      <c r="K20201" s="68"/>
    </row>
    <row r="20202" spans="2:11" ht="12.75">
      <c r="B20202" s="4"/>
      <c r="D20202" s="67"/>
      <c r="G20202" s="68"/>
      <c r="K20202" s="68"/>
    </row>
    <row r="20203" spans="2:11" ht="12.75">
      <c r="B20203" s="4"/>
      <c r="D20203" s="67"/>
      <c r="G20203" s="68"/>
      <c r="K20203" s="68"/>
    </row>
    <row r="20204" spans="2:11" ht="12.75">
      <c r="B20204" s="4"/>
      <c r="D20204" s="67"/>
      <c r="G20204" s="68"/>
      <c r="K20204" s="68"/>
    </row>
    <row r="20205" spans="2:11" ht="12.75">
      <c r="B20205" s="4"/>
      <c r="D20205" s="67"/>
      <c r="G20205" s="68"/>
      <c r="K20205" s="68"/>
    </row>
    <row r="20206" spans="2:11" ht="12.75">
      <c r="B20206" s="4"/>
      <c r="D20206" s="67"/>
      <c r="G20206" s="68"/>
      <c r="K20206" s="68"/>
    </row>
    <row r="20207" spans="2:11" ht="12.75">
      <c r="B20207" s="4"/>
      <c r="D20207" s="67"/>
      <c r="G20207" s="68"/>
      <c r="K20207" s="68"/>
    </row>
    <row r="20208" spans="2:11" ht="12.75">
      <c r="B20208" s="4"/>
      <c r="D20208" s="67"/>
      <c r="G20208" s="68"/>
      <c r="K20208" s="68"/>
    </row>
    <row r="20209" spans="2:11" ht="12.75">
      <c r="B20209" s="4"/>
      <c r="D20209" s="67"/>
      <c r="G20209" s="68"/>
      <c r="K20209" s="68"/>
    </row>
    <row r="20210" spans="2:11" ht="12.75">
      <c r="B20210" s="4"/>
      <c r="D20210" s="67"/>
      <c r="G20210" s="68"/>
      <c r="K20210" s="68"/>
    </row>
    <row r="20211" spans="2:11" ht="12.75">
      <c r="B20211" s="4"/>
      <c r="D20211" s="67"/>
      <c r="G20211" s="68"/>
      <c r="K20211" s="68"/>
    </row>
    <row r="20212" spans="2:11" ht="12.75">
      <c r="B20212" s="4"/>
      <c r="D20212" s="67"/>
      <c r="G20212" s="68"/>
      <c r="K20212" s="68"/>
    </row>
    <row r="20213" spans="2:11" ht="12.75">
      <c r="B20213" s="4"/>
      <c r="D20213" s="67"/>
      <c r="G20213" s="68"/>
      <c r="K20213" s="68"/>
    </row>
    <row r="20214" spans="2:11" ht="12.75">
      <c r="B20214" s="4"/>
      <c r="D20214" s="67"/>
      <c r="G20214" s="68"/>
      <c r="K20214" s="68"/>
    </row>
    <row r="20215" spans="2:11" ht="12.75">
      <c r="B20215" s="4"/>
      <c r="D20215" s="67"/>
      <c r="G20215" s="68"/>
      <c r="K20215" s="68"/>
    </row>
    <row r="20216" spans="2:11" ht="12.75">
      <c r="B20216" s="4"/>
      <c r="D20216" s="67"/>
      <c r="G20216" s="68"/>
      <c r="K20216" s="68"/>
    </row>
    <row r="20217" spans="2:11" ht="12.75">
      <c r="B20217" s="4"/>
      <c r="D20217" s="67"/>
      <c r="G20217" s="68"/>
      <c r="K20217" s="68"/>
    </row>
    <row r="20218" spans="2:11" ht="12.75">
      <c r="B20218" s="4"/>
      <c r="D20218" s="67"/>
      <c r="G20218" s="68"/>
      <c r="K20218" s="68"/>
    </row>
    <row r="20219" spans="2:11" ht="12.75">
      <c r="B20219" s="4"/>
      <c r="D20219" s="67"/>
      <c r="G20219" s="68"/>
      <c r="K20219" s="68"/>
    </row>
    <row r="20220" spans="2:11" ht="12.75">
      <c r="B20220" s="4"/>
      <c r="D20220" s="67"/>
      <c r="G20220" s="68"/>
      <c r="K20220" s="68"/>
    </row>
    <row r="20221" spans="2:11" ht="12.75">
      <c r="B20221" s="4"/>
      <c r="D20221" s="67"/>
      <c r="G20221" s="68"/>
      <c r="K20221" s="68"/>
    </row>
    <row r="20222" spans="2:11" ht="12.75">
      <c r="B20222" s="4"/>
      <c r="D20222" s="67"/>
      <c r="G20222" s="68"/>
      <c r="K20222" s="68"/>
    </row>
    <row r="20223" spans="2:11" ht="12.75">
      <c r="B20223" s="4"/>
      <c r="D20223" s="67"/>
      <c r="G20223" s="68"/>
      <c r="K20223" s="68"/>
    </row>
    <row r="20224" spans="2:11" ht="12.75">
      <c r="B20224" s="4"/>
      <c r="D20224" s="67"/>
      <c r="G20224" s="68"/>
      <c r="K20224" s="68"/>
    </row>
    <row r="20225" spans="2:11" ht="12.75">
      <c r="B20225" s="4"/>
      <c r="D20225" s="67"/>
      <c r="G20225" s="68"/>
      <c r="K20225" s="68"/>
    </row>
    <row r="20226" spans="2:11" ht="12.75">
      <c r="B20226" s="4"/>
      <c r="D20226" s="67"/>
      <c r="G20226" s="68"/>
      <c r="K20226" s="68"/>
    </row>
    <row r="20227" spans="2:11" ht="12.75">
      <c r="B20227" s="4"/>
      <c r="D20227" s="67"/>
      <c r="G20227" s="68"/>
      <c r="K20227" s="68"/>
    </row>
    <row r="20228" spans="2:11" ht="12.75">
      <c r="B20228" s="4"/>
      <c r="D20228" s="67"/>
      <c r="G20228" s="68"/>
      <c r="K20228" s="68"/>
    </row>
    <row r="20229" spans="2:11" ht="12.75">
      <c r="B20229" s="4"/>
      <c r="D20229" s="67"/>
      <c r="G20229" s="68"/>
      <c r="K20229" s="68"/>
    </row>
    <row r="20230" spans="2:11" ht="12.75">
      <c r="B20230" s="4"/>
      <c r="D20230" s="67"/>
      <c r="G20230" s="68"/>
      <c r="K20230" s="68"/>
    </row>
    <row r="20231" spans="2:11" ht="12.75">
      <c r="B20231" s="4"/>
      <c r="D20231" s="67"/>
      <c r="G20231" s="68"/>
      <c r="K20231" s="68"/>
    </row>
    <row r="20232" spans="2:11" ht="12.75">
      <c r="B20232" s="4"/>
      <c r="D20232" s="67"/>
      <c r="G20232" s="68"/>
      <c r="K20232" s="68"/>
    </row>
    <row r="20233" spans="2:11" ht="12.75">
      <c r="B20233" s="4"/>
      <c r="D20233" s="67"/>
      <c r="G20233" s="68"/>
      <c r="K20233" s="68"/>
    </row>
    <row r="20234" spans="2:11" ht="12.75">
      <c r="B20234" s="4"/>
      <c r="D20234" s="67"/>
      <c r="G20234" s="68"/>
      <c r="K20234" s="68"/>
    </row>
    <row r="20235" spans="2:11" ht="12.75">
      <c r="B20235" s="4"/>
      <c r="D20235" s="67"/>
      <c r="G20235" s="68"/>
      <c r="K20235" s="68"/>
    </row>
    <row r="20236" spans="2:11" ht="12.75">
      <c r="B20236" s="4"/>
      <c r="D20236" s="67"/>
      <c r="G20236" s="68"/>
      <c r="K20236" s="68"/>
    </row>
    <row r="20237" spans="2:11" ht="12.75">
      <c r="B20237" s="4"/>
      <c r="D20237" s="67"/>
      <c r="G20237" s="68"/>
      <c r="K20237" s="68"/>
    </row>
    <row r="20238" spans="2:11" ht="12.75">
      <c r="B20238" s="4"/>
      <c r="D20238" s="67"/>
      <c r="G20238" s="68"/>
      <c r="K20238" s="68"/>
    </row>
    <row r="20239" spans="2:11" ht="12.75">
      <c r="B20239" s="4"/>
      <c r="D20239" s="67"/>
      <c r="G20239" s="68"/>
      <c r="K20239" s="68"/>
    </row>
    <row r="20240" spans="2:11" ht="12.75">
      <c r="B20240" s="4"/>
      <c r="D20240" s="67"/>
      <c r="G20240" s="68"/>
      <c r="K20240" s="68"/>
    </row>
    <row r="20241" spans="2:11" ht="12.75">
      <c r="B20241" s="4"/>
      <c r="D20241" s="67"/>
      <c r="G20241" s="68"/>
      <c r="K20241" s="68"/>
    </row>
    <row r="20242" spans="2:11" ht="12.75">
      <c r="B20242" s="4"/>
      <c r="D20242" s="67"/>
      <c r="G20242" s="68"/>
      <c r="K20242" s="68"/>
    </row>
    <row r="20243" spans="2:11" ht="12.75">
      <c r="B20243" s="4"/>
      <c r="D20243" s="67"/>
      <c r="G20243" s="68"/>
      <c r="K20243" s="68"/>
    </row>
    <row r="20244" spans="2:11" ht="12.75">
      <c r="B20244" s="4"/>
      <c r="D20244" s="67"/>
      <c r="G20244" s="68"/>
      <c r="K20244" s="68"/>
    </row>
    <row r="20245" spans="2:11" ht="12.75">
      <c r="B20245" s="4"/>
      <c r="D20245" s="67"/>
      <c r="G20245" s="68"/>
      <c r="K20245" s="68"/>
    </row>
    <row r="20246" spans="2:11" ht="12.75">
      <c r="B20246" s="4"/>
      <c r="D20246" s="67"/>
      <c r="G20246" s="68"/>
      <c r="K20246" s="68"/>
    </row>
    <row r="20247" spans="2:11" ht="12.75">
      <c r="B20247" s="4"/>
      <c r="D20247" s="67"/>
      <c r="G20247" s="68"/>
      <c r="K20247" s="68"/>
    </row>
    <row r="20248" spans="2:11" ht="12.75">
      <c r="B20248" s="4"/>
      <c r="D20248" s="67"/>
      <c r="G20248" s="68"/>
      <c r="K20248" s="68"/>
    </row>
    <row r="20249" spans="2:11" ht="12.75">
      <c r="B20249" s="4"/>
      <c r="D20249" s="67"/>
      <c r="G20249" s="68"/>
      <c r="K20249" s="68"/>
    </row>
    <row r="20250" spans="2:11" ht="12.75">
      <c r="B20250" s="4"/>
      <c r="D20250" s="67"/>
      <c r="G20250" s="68"/>
      <c r="K20250" s="68"/>
    </row>
    <row r="20251" spans="2:11" ht="12.75">
      <c r="B20251" s="4"/>
      <c r="D20251" s="67"/>
      <c r="G20251" s="68"/>
      <c r="K20251" s="68"/>
    </row>
    <row r="20252" spans="2:11" ht="12.75">
      <c r="B20252" s="4"/>
      <c r="D20252" s="67"/>
      <c r="G20252" s="68"/>
      <c r="K20252" s="68"/>
    </row>
    <row r="20253" spans="2:11" ht="12.75">
      <c r="B20253" s="4"/>
      <c r="D20253" s="67"/>
      <c r="G20253" s="68"/>
      <c r="K20253" s="68"/>
    </row>
    <row r="20254" spans="2:11" ht="12.75">
      <c r="B20254" s="4"/>
      <c r="D20254" s="67"/>
      <c r="G20254" s="68"/>
      <c r="K20254" s="68"/>
    </row>
    <row r="20255" spans="2:11" ht="12.75">
      <c r="B20255" s="4"/>
      <c r="D20255" s="67"/>
      <c r="G20255" s="68"/>
      <c r="K20255" s="68"/>
    </row>
    <row r="20256" spans="2:11" ht="12.75">
      <c r="B20256" s="4"/>
      <c r="D20256" s="67"/>
      <c r="G20256" s="68"/>
      <c r="K20256" s="68"/>
    </row>
    <row r="20257" spans="2:11" ht="12.75">
      <c r="B20257" s="4"/>
      <c r="D20257" s="67"/>
      <c r="G20257" s="68"/>
      <c r="K20257" s="68"/>
    </row>
    <row r="20258" spans="2:11" ht="12.75">
      <c r="B20258" s="4"/>
      <c r="D20258" s="67"/>
      <c r="G20258" s="68"/>
      <c r="K20258" s="68"/>
    </row>
    <row r="20259" spans="2:11" ht="12.75">
      <c r="B20259" s="4"/>
      <c r="D20259" s="67"/>
      <c r="G20259" s="68"/>
      <c r="K20259" s="68"/>
    </row>
    <row r="20260" spans="2:11" ht="12.75">
      <c r="B20260" s="4"/>
      <c r="D20260" s="67"/>
      <c r="G20260" s="68"/>
      <c r="K20260" s="68"/>
    </row>
    <row r="20261" spans="2:11" ht="12.75">
      <c r="B20261" s="4"/>
      <c r="D20261" s="67"/>
      <c r="G20261" s="68"/>
      <c r="K20261" s="68"/>
    </row>
    <row r="20262" spans="2:11" ht="12.75">
      <c r="B20262" s="4"/>
      <c r="D20262" s="67"/>
      <c r="G20262" s="68"/>
      <c r="K20262" s="68"/>
    </row>
    <row r="20263" spans="2:11" ht="12.75">
      <c r="B20263" s="4"/>
      <c r="D20263" s="67"/>
      <c r="G20263" s="68"/>
      <c r="K20263" s="68"/>
    </row>
    <row r="20264" spans="2:11" ht="12.75">
      <c r="B20264" s="4"/>
      <c r="D20264" s="67"/>
      <c r="G20264" s="68"/>
      <c r="K20264" s="68"/>
    </row>
    <row r="20265" spans="2:11" ht="12.75">
      <c r="B20265" s="4"/>
      <c r="D20265" s="67"/>
      <c r="G20265" s="68"/>
      <c r="K20265" s="68"/>
    </row>
    <row r="20266" spans="2:11" ht="12.75">
      <c r="B20266" s="4"/>
      <c r="D20266" s="67"/>
      <c r="G20266" s="68"/>
      <c r="K20266" s="68"/>
    </row>
    <row r="20267" spans="2:11" ht="12.75">
      <c r="B20267" s="4"/>
      <c r="D20267" s="67"/>
      <c r="G20267" s="68"/>
      <c r="K20267" s="68"/>
    </row>
    <row r="20268" spans="2:11" ht="12.75">
      <c r="B20268" s="4"/>
      <c r="D20268" s="67"/>
      <c r="G20268" s="68"/>
      <c r="K20268" s="68"/>
    </row>
    <row r="20269" spans="2:11" ht="12.75">
      <c r="B20269" s="4"/>
      <c r="D20269" s="67"/>
      <c r="G20269" s="68"/>
      <c r="K20269" s="68"/>
    </row>
    <row r="20270" spans="2:11" ht="12.75">
      <c r="B20270" s="4"/>
      <c r="D20270" s="67"/>
      <c r="G20270" s="68"/>
      <c r="K20270" s="68"/>
    </row>
    <row r="20271" spans="2:11" ht="12.75">
      <c r="B20271" s="4"/>
      <c r="D20271" s="67"/>
      <c r="G20271" s="68"/>
      <c r="K20271" s="68"/>
    </row>
    <row r="20272" spans="2:11" ht="12.75">
      <c r="B20272" s="4"/>
      <c r="D20272" s="67"/>
      <c r="G20272" s="68"/>
      <c r="K20272" s="68"/>
    </row>
    <row r="20273" spans="2:11" ht="12.75">
      <c r="B20273" s="4"/>
      <c r="D20273" s="67"/>
      <c r="G20273" s="68"/>
      <c r="K20273" s="68"/>
    </row>
    <row r="20274" spans="2:11" ht="12.75">
      <c r="B20274" s="4"/>
      <c r="D20274" s="67"/>
      <c r="G20274" s="68"/>
      <c r="K20274" s="68"/>
    </row>
    <row r="20275" spans="2:11" ht="12.75">
      <c r="B20275" s="4"/>
      <c r="D20275" s="67"/>
      <c r="G20275" s="68"/>
      <c r="K20275" s="68"/>
    </row>
    <row r="20276" spans="2:11" ht="12.75">
      <c r="B20276" s="4"/>
      <c r="D20276" s="67"/>
      <c r="G20276" s="68"/>
      <c r="K20276" s="68"/>
    </row>
    <row r="20277" spans="2:11" ht="12.75">
      <c r="B20277" s="4"/>
      <c r="D20277" s="67"/>
      <c r="G20277" s="68"/>
      <c r="K20277" s="68"/>
    </row>
    <row r="20278" spans="2:11" ht="12.75">
      <c r="B20278" s="4"/>
      <c r="D20278" s="67"/>
      <c r="G20278" s="68"/>
      <c r="K20278" s="68"/>
    </row>
    <row r="20279" spans="2:11" ht="12.75">
      <c r="B20279" s="4"/>
      <c r="D20279" s="67"/>
      <c r="G20279" s="68"/>
      <c r="K20279" s="68"/>
    </row>
    <row r="20280" spans="2:11" ht="12.75">
      <c r="B20280" s="4"/>
      <c r="D20280" s="67"/>
      <c r="G20280" s="68"/>
      <c r="K20280" s="68"/>
    </row>
    <row r="20281" spans="2:11" ht="12.75">
      <c r="B20281" s="4"/>
      <c r="D20281" s="67"/>
      <c r="G20281" s="68"/>
      <c r="K20281" s="68"/>
    </row>
    <row r="20282" spans="2:11" ht="12.75">
      <c r="B20282" s="4"/>
      <c r="D20282" s="67"/>
      <c r="G20282" s="68"/>
      <c r="K20282" s="68"/>
    </row>
    <row r="20283" spans="2:11" ht="12.75">
      <c r="B20283" s="4"/>
      <c r="D20283" s="67"/>
      <c r="G20283" s="68"/>
      <c r="K20283" s="68"/>
    </row>
    <row r="20284" spans="2:11" ht="12.75">
      <c r="B20284" s="4"/>
      <c r="D20284" s="67"/>
      <c r="G20284" s="68"/>
      <c r="K20284" s="68"/>
    </row>
    <row r="20285" spans="2:11" ht="12.75">
      <c r="B20285" s="4"/>
      <c r="D20285" s="67"/>
      <c r="G20285" s="68"/>
      <c r="K20285" s="68"/>
    </row>
    <row r="20286" spans="2:11" ht="12.75">
      <c r="B20286" s="4"/>
      <c r="D20286" s="67"/>
      <c r="G20286" s="68"/>
      <c r="K20286" s="68"/>
    </row>
    <row r="20287" spans="2:11" ht="12.75">
      <c r="B20287" s="4"/>
      <c r="D20287" s="67"/>
      <c r="G20287" s="68"/>
      <c r="K20287" s="68"/>
    </row>
    <row r="20288" spans="2:11" ht="12.75">
      <c r="B20288" s="4"/>
      <c r="D20288" s="67"/>
      <c r="G20288" s="68"/>
      <c r="K20288" s="68"/>
    </row>
    <row r="20289" spans="2:11" ht="12.75">
      <c r="B20289" s="4"/>
      <c r="D20289" s="67"/>
      <c r="G20289" s="68"/>
      <c r="K20289" s="68"/>
    </row>
    <row r="20290" spans="2:11" ht="12.75">
      <c r="B20290" s="4"/>
      <c r="D20290" s="67"/>
      <c r="G20290" s="68"/>
      <c r="K20290" s="68"/>
    </row>
    <row r="20291" spans="2:11" ht="12.75">
      <c r="B20291" s="4"/>
      <c r="D20291" s="67"/>
      <c r="G20291" s="68"/>
      <c r="K20291" s="68"/>
    </row>
    <row r="20292" spans="2:11" ht="12.75">
      <c r="B20292" s="4"/>
      <c r="D20292" s="67"/>
      <c r="G20292" s="68"/>
      <c r="K20292" s="68"/>
    </row>
    <row r="20293" spans="2:11" ht="12.75">
      <c r="B20293" s="4"/>
      <c r="D20293" s="67"/>
      <c r="G20293" s="68"/>
      <c r="K20293" s="68"/>
    </row>
    <row r="20294" spans="2:11" ht="12.75">
      <c r="B20294" s="4"/>
      <c r="D20294" s="67"/>
      <c r="G20294" s="68"/>
      <c r="K20294" s="68"/>
    </row>
    <row r="20295" spans="2:11" ht="12.75">
      <c r="B20295" s="4"/>
      <c r="D20295" s="67"/>
      <c r="G20295" s="68"/>
      <c r="K20295" s="68"/>
    </row>
    <row r="20296" spans="2:11" ht="12.75">
      <c r="B20296" s="4"/>
      <c r="D20296" s="67"/>
      <c r="G20296" s="68"/>
      <c r="K20296" s="68"/>
    </row>
    <row r="20297" spans="2:11" ht="12.75">
      <c r="B20297" s="4"/>
      <c r="D20297" s="67"/>
      <c r="G20297" s="68"/>
      <c r="K20297" s="68"/>
    </row>
    <row r="20298" spans="2:11" ht="12.75">
      <c r="B20298" s="4"/>
      <c r="D20298" s="67"/>
      <c r="G20298" s="68"/>
      <c r="K20298" s="68"/>
    </row>
    <row r="20299" spans="2:11" ht="12.75">
      <c r="B20299" s="4"/>
      <c r="D20299" s="67"/>
      <c r="G20299" s="68"/>
      <c r="K20299" s="68"/>
    </row>
    <row r="20300" spans="2:11" ht="12.75">
      <c r="B20300" s="4"/>
      <c r="D20300" s="67"/>
      <c r="G20300" s="68"/>
      <c r="K20300" s="68"/>
    </row>
    <row r="20301" spans="2:11" ht="12.75">
      <c r="B20301" s="4"/>
      <c r="D20301" s="67"/>
      <c r="G20301" s="68"/>
      <c r="K20301" s="68"/>
    </row>
    <row r="20302" spans="2:11" ht="12.75">
      <c r="B20302" s="4"/>
      <c r="D20302" s="67"/>
      <c r="G20302" s="68"/>
      <c r="K20302" s="68"/>
    </row>
    <row r="20303" spans="2:11" ht="12.75">
      <c r="B20303" s="4"/>
      <c r="D20303" s="67"/>
      <c r="G20303" s="68"/>
      <c r="K20303" s="68"/>
    </row>
    <row r="20304" spans="2:11" ht="12.75">
      <c r="B20304" s="4"/>
      <c r="D20304" s="67"/>
      <c r="G20304" s="68"/>
      <c r="K20304" s="68"/>
    </row>
    <row r="20305" spans="2:11" ht="12.75">
      <c r="B20305" s="4"/>
      <c r="D20305" s="67"/>
      <c r="G20305" s="68"/>
      <c r="K20305" s="68"/>
    </row>
    <row r="20306" spans="2:11" ht="12.75">
      <c r="B20306" s="4"/>
      <c r="D20306" s="67"/>
      <c r="G20306" s="68"/>
      <c r="K20306" s="68"/>
    </row>
    <row r="20307" spans="2:11" ht="12.75">
      <c r="B20307" s="4"/>
      <c r="D20307" s="67"/>
      <c r="G20307" s="68"/>
      <c r="K20307" s="68"/>
    </row>
    <row r="20308" spans="2:11" ht="12.75">
      <c r="B20308" s="4"/>
      <c r="D20308" s="67"/>
      <c r="G20308" s="68"/>
      <c r="K20308" s="68"/>
    </row>
    <row r="20309" spans="2:11" ht="12.75">
      <c r="B20309" s="4"/>
      <c r="D20309" s="67"/>
      <c r="G20309" s="68"/>
      <c r="K20309" s="68"/>
    </row>
    <row r="20310" spans="2:11" ht="12.75">
      <c r="B20310" s="4"/>
      <c r="D20310" s="67"/>
      <c r="G20310" s="68"/>
      <c r="K20310" s="68"/>
    </row>
    <row r="20311" spans="2:11" ht="12.75">
      <c r="B20311" s="4"/>
      <c r="D20311" s="67"/>
      <c r="G20311" s="68"/>
      <c r="K20311" s="68"/>
    </row>
    <row r="20312" spans="2:11" ht="12.75">
      <c r="B20312" s="4"/>
      <c r="D20312" s="67"/>
      <c r="G20312" s="68"/>
      <c r="K20312" s="68"/>
    </row>
    <row r="20313" spans="2:11" ht="12.75">
      <c r="B20313" s="4"/>
      <c r="D20313" s="67"/>
      <c r="G20313" s="68"/>
      <c r="K20313" s="68"/>
    </row>
    <row r="20314" spans="2:11" ht="12.75">
      <c r="B20314" s="4"/>
      <c r="D20314" s="67"/>
      <c r="G20314" s="68"/>
      <c r="K20314" s="68"/>
    </row>
    <row r="20315" spans="2:11" ht="12.75">
      <c r="B20315" s="4"/>
      <c r="D20315" s="67"/>
      <c r="G20315" s="68"/>
      <c r="K20315" s="68"/>
    </row>
    <row r="20316" spans="2:11" ht="12.75">
      <c r="B20316" s="4"/>
      <c r="D20316" s="67"/>
      <c r="G20316" s="68"/>
      <c r="K20316" s="68"/>
    </row>
    <row r="20317" spans="2:11" ht="12.75">
      <c r="B20317" s="4"/>
      <c r="D20317" s="67"/>
      <c r="G20317" s="68"/>
      <c r="K20317" s="68"/>
    </row>
    <row r="20318" spans="2:11" ht="12.75">
      <c r="B20318" s="4"/>
      <c r="D20318" s="67"/>
      <c r="G20318" s="68"/>
      <c r="K20318" s="68"/>
    </row>
    <row r="20319" spans="2:11" ht="12.75">
      <c r="B20319" s="4"/>
      <c r="D20319" s="67"/>
      <c r="G20319" s="68"/>
      <c r="K20319" s="68"/>
    </row>
    <row r="20320" spans="2:11" ht="12.75">
      <c r="B20320" s="4"/>
      <c r="D20320" s="67"/>
      <c r="G20320" s="68"/>
      <c r="K20320" s="68"/>
    </row>
    <row r="20321" spans="2:11" ht="12.75">
      <c r="B20321" s="4"/>
      <c r="D20321" s="67"/>
      <c r="G20321" s="68"/>
      <c r="K20321" s="68"/>
    </row>
    <row r="20322" spans="2:11" ht="12.75">
      <c r="B20322" s="4"/>
      <c r="D20322" s="67"/>
      <c r="G20322" s="68"/>
      <c r="K20322" s="68"/>
    </row>
    <row r="20323" spans="2:11" ht="12.75">
      <c r="B20323" s="4"/>
      <c r="D20323" s="67"/>
      <c r="G20323" s="68"/>
      <c r="K20323" s="68"/>
    </row>
    <row r="20324" spans="2:11" ht="12.75">
      <c r="B20324" s="4"/>
      <c r="D20324" s="67"/>
      <c r="G20324" s="68"/>
      <c r="K20324" s="68"/>
    </row>
    <row r="20325" spans="2:11" ht="12.75">
      <c r="B20325" s="4"/>
      <c r="D20325" s="67"/>
      <c r="G20325" s="68"/>
      <c r="K20325" s="68"/>
    </row>
    <row r="20326" spans="2:11" ht="12.75">
      <c r="B20326" s="4"/>
      <c r="D20326" s="67"/>
      <c r="G20326" s="68"/>
      <c r="K20326" s="68"/>
    </row>
    <row r="20327" spans="2:11" ht="12.75">
      <c r="B20327" s="4"/>
      <c r="D20327" s="67"/>
      <c r="G20327" s="68"/>
      <c r="K20327" s="68"/>
    </row>
    <row r="20328" spans="2:11" ht="12.75">
      <c r="B20328" s="4"/>
      <c r="D20328" s="67"/>
      <c r="G20328" s="68"/>
      <c r="K20328" s="68"/>
    </row>
    <row r="20329" spans="2:11" ht="12.75">
      <c r="B20329" s="4"/>
      <c r="D20329" s="67"/>
      <c r="G20329" s="68"/>
      <c r="K20329" s="68"/>
    </row>
    <row r="20330" spans="2:11" ht="12.75">
      <c r="B20330" s="4"/>
      <c r="D20330" s="67"/>
      <c r="G20330" s="68"/>
      <c r="K20330" s="68"/>
    </row>
    <row r="20331" spans="2:11" ht="12.75">
      <c r="B20331" s="4"/>
      <c r="D20331" s="67"/>
      <c r="G20331" s="68"/>
      <c r="K20331" s="68"/>
    </row>
    <row r="20332" spans="2:11" ht="12.75">
      <c r="B20332" s="4"/>
      <c r="D20332" s="67"/>
      <c r="G20332" s="68"/>
      <c r="K20332" s="68"/>
    </row>
    <row r="20333" spans="2:11" ht="12.75">
      <c r="B20333" s="4"/>
      <c r="D20333" s="67"/>
      <c r="G20333" s="68"/>
      <c r="K20333" s="68"/>
    </row>
    <row r="20334" spans="2:11" ht="12.75">
      <c r="B20334" s="4"/>
      <c r="D20334" s="67"/>
      <c r="G20334" s="68"/>
      <c r="K20334" s="68"/>
    </row>
    <row r="20335" spans="2:11" ht="12.75">
      <c r="B20335" s="4"/>
      <c r="D20335" s="67"/>
      <c r="G20335" s="68"/>
      <c r="K20335" s="68"/>
    </row>
    <row r="20336" spans="2:11" ht="12.75">
      <c r="B20336" s="4"/>
      <c r="D20336" s="67"/>
      <c r="G20336" s="68"/>
      <c r="K20336" s="68"/>
    </row>
    <row r="20337" spans="2:11" ht="12.75">
      <c r="B20337" s="4"/>
      <c r="D20337" s="67"/>
      <c r="G20337" s="68"/>
      <c r="K20337" s="68"/>
    </row>
    <row r="20338" spans="2:11" ht="12.75">
      <c r="B20338" s="4"/>
      <c r="D20338" s="67"/>
      <c r="G20338" s="68"/>
      <c r="K20338" s="68"/>
    </row>
    <row r="20339" spans="2:11" ht="12.75">
      <c r="B20339" s="4"/>
      <c r="D20339" s="67"/>
      <c r="G20339" s="68"/>
      <c r="K20339" s="68"/>
    </row>
    <row r="20340" spans="2:11" ht="12.75">
      <c r="B20340" s="4"/>
      <c r="D20340" s="67"/>
      <c r="G20340" s="68"/>
      <c r="K20340" s="68"/>
    </row>
    <row r="20341" spans="2:11" ht="12.75">
      <c r="B20341" s="4"/>
      <c r="D20341" s="67"/>
      <c r="G20341" s="68"/>
      <c r="K20341" s="68"/>
    </row>
    <row r="20342" spans="2:11" ht="12.75">
      <c r="B20342" s="4"/>
      <c r="D20342" s="67"/>
      <c r="G20342" s="68"/>
      <c r="K20342" s="68"/>
    </row>
    <row r="20343" spans="2:11" ht="12.75">
      <c r="B20343" s="4"/>
      <c r="D20343" s="67"/>
      <c r="G20343" s="68"/>
      <c r="K20343" s="68"/>
    </row>
    <row r="20344" spans="2:11" ht="12.75">
      <c r="B20344" s="4"/>
      <c r="D20344" s="67"/>
      <c r="G20344" s="68"/>
      <c r="K20344" s="68"/>
    </row>
    <row r="20345" spans="2:11" ht="12.75">
      <c r="B20345" s="4"/>
      <c r="D20345" s="67"/>
      <c r="G20345" s="68"/>
      <c r="K20345" s="68"/>
    </row>
    <row r="20346" spans="2:11" ht="12.75">
      <c r="B20346" s="4"/>
      <c r="D20346" s="67"/>
      <c r="G20346" s="68"/>
      <c r="K20346" s="68"/>
    </row>
    <row r="20347" spans="2:11" ht="12.75">
      <c r="B20347" s="4"/>
      <c r="D20347" s="67"/>
      <c r="G20347" s="68"/>
      <c r="K20347" s="68"/>
    </row>
    <row r="20348" spans="2:11" ht="12.75">
      <c r="B20348" s="4"/>
      <c r="D20348" s="67"/>
      <c r="G20348" s="68"/>
      <c r="K20348" s="68"/>
    </row>
    <row r="20349" spans="2:11" ht="12.75">
      <c r="B20349" s="4"/>
      <c r="D20349" s="67"/>
      <c r="G20349" s="68"/>
      <c r="K20349" s="68"/>
    </row>
    <row r="20350" spans="2:11" ht="12.75">
      <c r="B20350" s="4"/>
      <c r="D20350" s="67"/>
      <c r="G20350" s="68"/>
      <c r="K20350" s="68"/>
    </row>
    <row r="20351" spans="2:11" ht="12.75">
      <c r="D20351" s="67"/>
      <c r="G20351" s="68"/>
      <c r="K20351" s="68"/>
    </row>
    <row r="20352" spans="2:11" ht="12.75">
      <c r="D20352" s="67"/>
      <c r="G20352" s="68"/>
      <c r="K20352" s="68"/>
    </row>
    <row r="20353" spans="4:11" ht="12.75">
      <c r="D20353" s="67"/>
      <c r="G20353" s="68"/>
      <c r="K20353" s="68"/>
    </row>
    <row r="20354" spans="4:11" ht="12.75">
      <c r="D20354" s="67"/>
      <c r="G20354" s="68"/>
      <c r="K20354" s="68"/>
    </row>
    <row r="20355" spans="4:11" ht="12.75">
      <c r="D20355" s="67"/>
      <c r="G20355" s="68"/>
      <c r="K20355" s="68"/>
    </row>
    <row r="20356" spans="4:11" ht="12.75">
      <c r="D20356" s="67"/>
      <c r="G20356" s="68"/>
      <c r="K20356" s="68"/>
    </row>
    <row r="20357" spans="4:11" ht="12.75">
      <c r="D20357" s="67"/>
      <c r="G20357" s="68"/>
      <c r="K20357" s="68"/>
    </row>
    <row r="20358" spans="4:11" ht="12.75">
      <c r="D20358" s="67"/>
      <c r="G20358" s="68"/>
      <c r="K20358" s="68"/>
    </row>
    <row r="20359" spans="4:11" ht="12.75">
      <c r="D20359" s="67"/>
      <c r="G20359" s="68"/>
      <c r="K20359" s="68"/>
    </row>
    <row r="20360" spans="4:11" ht="12.75">
      <c r="D20360" s="67"/>
      <c r="G20360" s="68"/>
      <c r="K20360" s="68"/>
    </row>
    <row r="20361" spans="4:11" ht="12.75">
      <c r="D20361" s="67"/>
      <c r="G20361" s="68"/>
      <c r="K20361" s="68"/>
    </row>
    <row r="20362" spans="4:11" ht="12.75">
      <c r="D20362" s="67"/>
      <c r="G20362" s="68"/>
      <c r="K20362" s="68"/>
    </row>
    <row r="20363" spans="4:11" ht="12.75">
      <c r="D20363" s="67"/>
      <c r="G20363" s="68"/>
      <c r="K20363" s="68"/>
    </row>
    <row r="20364" spans="4:11" ht="12.75">
      <c r="D20364" s="67"/>
      <c r="G20364" s="68"/>
      <c r="K20364" s="68"/>
    </row>
    <row r="20365" spans="4:11" ht="12.75">
      <c r="D20365" s="67"/>
      <c r="G20365" s="68"/>
      <c r="K20365" s="68"/>
    </row>
    <row r="20366" spans="4:11" ht="12.75">
      <c r="D20366" s="67"/>
      <c r="G20366" s="68"/>
      <c r="K20366" s="68"/>
    </row>
    <row r="20367" spans="4:11" ht="12.75">
      <c r="D20367" s="67"/>
      <c r="G20367" s="68"/>
      <c r="K20367" s="68"/>
    </row>
    <row r="20368" spans="4:11" ht="12.75">
      <c r="D20368" s="67"/>
      <c r="G20368" s="68"/>
      <c r="K20368" s="68"/>
    </row>
    <row r="20369" spans="4:11" ht="12.75">
      <c r="D20369" s="67"/>
      <c r="G20369" s="68"/>
      <c r="K20369" s="68"/>
    </row>
    <row r="20370" spans="4:11" ht="12.75">
      <c r="D20370" s="67"/>
      <c r="G20370" s="68"/>
      <c r="K20370" s="68"/>
    </row>
    <row r="20371" spans="4:11" ht="12.75">
      <c r="D20371" s="67"/>
      <c r="G20371" s="68"/>
      <c r="K20371" s="68"/>
    </row>
    <row r="20372" spans="4:11" ht="12.75">
      <c r="D20372" s="67"/>
      <c r="G20372" s="68"/>
      <c r="K20372" s="68"/>
    </row>
    <row r="20373" spans="4:11" ht="12.75">
      <c r="D20373" s="67"/>
      <c r="G20373" s="68"/>
      <c r="K20373" s="68"/>
    </row>
    <row r="20374" spans="4:11" ht="12.75">
      <c r="D20374" s="67"/>
      <c r="G20374" s="68"/>
      <c r="K20374" s="68"/>
    </row>
    <row r="20375" spans="4:11" ht="12.75">
      <c r="D20375" s="67"/>
      <c r="G20375" s="68"/>
      <c r="K20375" s="68"/>
    </row>
    <row r="20376" spans="4:11" ht="12.75">
      <c r="D20376" s="67"/>
      <c r="G20376" s="68"/>
      <c r="K20376" s="68"/>
    </row>
    <row r="20377" spans="4:11" ht="12.75">
      <c r="D20377" s="67"/>
      <c r="G20377" s="68"/>
      <c r="K20377" s="68"/>
    </row>
    <row r="20378" spans="4:11" ht="12.75">
      <c r="D20378" s="67"/>
      <c r="G20378" s="68"/>
      <c r="K20378" s="68"/>
    </row>
    <row r="20379" spans="4:11" ht="12.75">
      <c r="D20379" s="67"/>
      <c r="G20379" s="68"/>
      <c r="K20379" s="68"/>
    </row>
    <row r="20380" spans="4:11" ht="12.75">
      <c r="D20380" s="67"/>
      <c r="G20380" s="68"/>
      <c r="K20380" s="68"/>
    </row>
    <row r="20381" spans="4:11" ht="12.75">
      <c r="D20381" s="67"/>
      <c r="G20381" s="68"/>
      <c r="K20381" s="68"/>
    </row>
    <row r="20382" spans="4:11" ht="12.75">
      <c r="D20382" s="67"/>
      <c r="G20382" s="68"/>
      <c r="K20382" s="68"/>
    </row>
    <row r="20383" spans="4:11" ht="12.75">
      <c r="D20383" s="67"/>
      <c r="G20383" s="68"/>
      <c r="K20383" s="68"/>
    </row>
    <row r="20384" spans="4:11" ht="12.75">
      <c r="D20384" s="67"/>
      <c r="G20384" s="68"/>
      <c r="K20384" s="68"/>
    </row>
    <row r="20385" spans="4:11" ht="12.75">
      <c r="D20385" s="67"/>
      <c r="G20385" s="68"/>
      <c r="K20385" s="68"/>
    </row>
    <row r="20386" spans="4:11" ht="12.75">
      <c r="D20386" s="67"/>
      <c r="G20386" s="68"/>
      <c r="K20386" s="68"/>
    </row>
    <row r="20387" spans="4:11" ht="12.75">
      <c r="D20387" s="67"/>
      <c r="G20387" s="68"/>
      <c r="K20387" s="68"/>
    </row>
    <row r="20388" spans="4:11" ht="12.75">
      <c r="D20388" s="67"/>
      <c r="G20388" s="68"/>
      <c r="K20388" s="68"/>
    </row>
    <row r="20389" spans="4:11" ht="12.75">
      <c r="D20389" s="67"/>
      <c r="G20389" s="68"/>
      <c r="K20389" s="68"/>
    </row>
    <row r="20390" spans="4:11" ht="12.75">
      <c r="D20390" s="67"/>
      <c r="G20390" s="68"/>
      <c r="K20390" s="68"/>
    </row>
    <row r="20391" spans="4:11" ht="12.75">
      <c r="D20391" s="67"/>
      <c r="G20391" s="68"/>
      <c r="K20391" s="68"/>
    </row>
    <row r="20392" spans="4:11" ht="12.75">
      <c r="D20392" s="67"/>
      <c r="G20392" s="68"/>
      <c r="K20392" s="68"/>
    </row>
    <row r="20393" spans="4:11" ht="12.75">
      <c r="D20393" s="67"/>
      <c r="G20393" s="68"/>
      <c r="K20393" s="68"/>
    </row>
    <row r="20394" spans="4:11" ht="12.75">
      <c r="D20394" s="67"/>
      <c r="G20394" s="68"/>
      <c r="K20394" s="68"/>
    </row>
    <row r="20395" spans="4:11" ht="12.75">
      <c r="D20395" s="67"/>
      <c r="G20395" s="68"/>
      <c r="K20395" s="68"/>
    </row>
    <row r="20396" spans="4:11" ht="12.75">
      <c r="D20396" s="67"/>
      <c r="G20396" s="68"/>
      <c r="K20396" s="68"/>
    </row>
    <row r="20397" spans="4:11" ht="12.75">
      <c r="D20397" s="67"/>
      <c r="G20397" s="68"/>
      <c r="K20397" s="68"/>
    </row>
    <row r="20398" spans="4:11" ht="12.75">
      <c r="D20398" s="67"/>
      <c r="G20398" s="68"/>
      <c r="K20398" s="68"/>
    </row>
    <row r="20399" spans="4:11" ht="12.75">
      <c r="D20399" s="67"/>
      <c r="G20399" s="68"/>
      <c r="K20399" s="68"/>
    </row>
    <row r="20400" spans="4:11" ht="12.75">
      <c r="D20400" s="67"/>
      <c r="G20400" s="68"/>
      <c r="K20400" s="68"/>
    </row>
    <row r="20401" spans="4:11" ht="12.75">
      <c r="D20401" s="67"/>
      <c r="G20401" s="68"/>
      <c r="K20401" s="68"/>
    </row>
    <row r="20402" spans="4:11" ht="12.75">
      <c r="D20402" s="67"/>
      <c r="G20402" s="68"/>
      <c r="K20402" s="68"/>
    </row>
    <row r="20403" spans="4:11" ht="12.75">
      <c r="D20403" s="67"/>
      <c r="G20403" s="68"/>
      <c r="K20403" s="68"/>
    </row>
    <row r="20404" spans="4:11" ht="12.75">
      <c r="D20404" s="67"/>
      <c r="G20404" s="68"/>
      <c r="K20404" s="68"/>
    </row>
    <row r="20405" spans="4:11" ht="12.75">
      <c r="D20405" s="67"/>
      <c r="G20405" s="68"/>
      <c r="K20405" s="68"/>
    </row>
    <row r="20406" spans="4:11" ht="12.75">
      <c r="D20406" s="67"/>
      <c r="G20406" s="68"/>
      <c r="K20406" s="68"/>
    </row>
    <row r="20407" spans="4:11" ht="12.75">
      <c r="D20407" s="67"/>
      <c r="G20407" s="68"/>
      <c r="K20407" s="68"/>
    </row>
    <row r="20408" spans="4:11" ht="12.75">
      <c r="D20408" s="67"/>
      <c r="G20408" s="68"/>
      <c r="K20408" s="68"/>
    </row>
    <row r="20409" spans="4:11" ht="12.75">
      <c r="D20409" s="67"/>
      <c r="G20409" s="68"/>
      <c r="K20409" s="68"/>
    </row>
    <row r="20410" spans="4:11" ht="12.75">
      <c r="D20410" s="67"/>
      <c r="G20410" s="68"/>
      <c r="K20410" s="68"/>
    </row>
    <row r="20411" spans="4:11" ht="12.75">
      <c r="D20411" s="67"/>
      <c r="G20411" s="68"/>
      <c r="K20411" s="68"/>
    </row>
    <row r="20412" spans="4:11" ht="12.75">
      <c r="D20412" s="67"/>
      <c r="G20412" s="68"/>
      <c r="K20412" s="68"/>
    </row>
    <row r="20413" spans="4:11" ht="12.75">
      <c r="D20413" s="67"/>
      <c r="G20413" s="68"/>
      <c r="K20413" s="68"/>
    </row>
    <row r="20414" spans="4:11" ht="12.75">
      <c r="D20414" s="67"/>
      <c r="G20414" s="68"/>
      <c r="K20414" s="68"/>
    </row>
    <row r="20415" spans="4:11" ht="12.75">
      <c r="D20415" s="67"/>
      <c r="G20415" s="68"/>
      <c r="K20415" s="68"/>
    </row>
    <row r="20416" spans="4:11" ht="12.75">
      <c r="D20416" s="67"/>
      <c r="G20416" s="68"/>
      <c r="K20416" s="68"/>
    </row>
    <row r="20417" spans="4:11" ht="12.75">
      <c r="D20417" s="67"/>
      <c r="G20417" s="68"/>
      <c r="K20417" s="68"/>
    </row>
    <row r="20418" spans="4:11" ht="12.75">
      <c r="D20418" s="67"/>
      <c r="G20418" s="68"/>
      <c r="K20418" s="68"/>
    </row>
    <row r="20419" spans="4:11" ht="12.75">
      <c r="D20419" s="67"/>
      <c r="G20419" s="68"/>
      <c r="K20419" s="68"/>
    </row>
    <row r="20420" spans="4:11" ht="12.75">
      <c r="D20420" s="67"/>
      <c r="G20420" s="68"/>
      <c r="K20420" s="68"/>
    </row>
    <row r="20421" spans="4:11" ht="12.75">
      <c r="D20421" s="67"/>
      <c r="G20421" s="68"/>
      <c r="K20421" s="68"/>
    </row>
    <row r="20422" spans="4:11" ht="12.75">
      <c r="D20422" s="67"/>
      <c r="G20422" s="68"/>
      <c r="K20422" s="68"/>
    </row>
    <row r="20423" spans="4:11" ht="12.75">
      <c r="D20423" s="67"/>
      <c r="G20423" s="68"/>
      <c r="K20423" s="68"/>
    </row>
    <row r="20424" spans="4:11" ht="12.75">
      <c r="D20424" s="67"/>
      <c r="G20424" s="68"/>
      <c r="K20424" s="68"/>
    </row>
    <row r="20425" spans="4:11" ht="12.75">
      <c r="D20425" s="67"/>
      <c r="G20425" s="68"/>
      <c r="K20425" s="68"/>
    </row>
    <row r="20426" spans="4:11" ht="12.75">
      <c r="D20426" s="67"/>
      <c r="G20426" s="68"/>
      <c r="K20426" s="68"/>
    </row>
    <row r="20427" spans="4:11" ht="12.75">
      <c r="D20427" s="67"/>
      <c r="G20427" s="68"/>
      <c r="K20427" s="68"/>
    </row>
    <row r="20428" spans="4:11" ht="12.75">
      <c r="D20428" s="67"/>
      <c r="G20428" s="68"/>
      <c r="K20428" s="68"/>
    </row>
    <row r="20429" spans="4:11" ht="12.75">
      <c r="D20429" s="67"/>
      <c r="G20429" s="68"/>
      <c r="K20429" s="68"/>
    </row>
    <row r="20430" spans="4:11" ht="12.75">
      <c r="D20430" s="67"/>
      <c r="G20430" s="68"/>
      <c r="K20430" s="68"/>
    </row>
    <row r="20431" spans="4:11" ht="12.75">
      <c r="D20431" s="67"/>
      <c r="G20431" s="68"/>
      <c r="K20431" s="68"/>
    </row>
    <row r="20432" spans="4:11" ht="12.75">
      <c r="D20432" s="67"/>
      <c r="G20432" s="68"/>
      <c r="K20432" s="68"/>
    </row>
    <row r="20433" spans="4:11" ht="12.75">
      <c r="D20433" s="67"/>
      <c r="G20433" s="68"/>
      <c r="K20433" s="68"/>
    </row>
    <row r="20434" spans="4:11" ht="12.75">
      <c r="D20434" s="67"/>
      <c r="G20434" s="68"/>
      <c r="K20434" s="68"/>
    </row>
    <row r="20435" spans="4:11" ht="12.75">
      <c r="D20435" s="67"/>
      <c r="G20435" s="68"/>
      <c r="K20435" s="68"/>
    </row>
    <row r="20436" spans="4:11" ht="12.75">
      <c r="D20436" s="67"/>
      <c r="G20436" s="68"/>
      <c r="K20436" s="68"/>
    </row>
    <row r="20437" spans="4:11" ht="12.75">
      <c r="D20437" s="67"/>
      <c r="G20437" s="68"/>
      <c r="K20437" s="68"/>
    </row>
    <row r="20438" spans="4:11" ht="12.75">
      <c r="D20438" s="67"/>
      <c r="G20438" s="68"/>
      <c r="K20438" s="68"/>
    </row>
    <row r="20439" spans="4:11" ht="12.75">
      <c r="D20439" s="67"/>
      <c r="G20439" s="68"/>
      <c r="K20439" s="68"/>
    </row>
    <row r="20440" spans="4:11" ht="12.75">
      <c r="D20440" s="67"/>
      <c r="G20440" s="68"/>
      <c r="K20440" s="68"/>
    </row>
    <row r="20441" spans="4:11" ht="12.75">
      <c r="D20441" s="67"/>
      <c r="G20441" s="68"/>
      <c r="K20441" s="68"/>
    </row>
    <row r="20442" spans="4:11" ht="12.75">
      <c r="D20442" s="67"/>
      <c r="G20442" s="68"/>
      <c r="K20442" s="68"/>
    </row>
    <row r="20443" spans="4:11" ht="12.75">
      <c r="D20443" s="67"/>
      <c r="G20443" s="68"/>
      <c r="K20443" s="68"/>
    </row>
    <row r="20444" spans="4:11" ht="12.75">
      <c r="D20444" s="67"/>
      <c r="G20444" s="68"/>
      <c r="K20444" s="68"/>
    </row>
    <row r="20445" spans="4:11" ht="12.75">
      <c r="D20445" s="67"/>
      <c r="G20445" s="68"/>
      <c r="K20445" s="68"/>
    </row>
    <row r="20446" spans="4:11" ht="12.75">
      <c r="D20446" s="67"/>
      <c r="G20446" s="68"/>
      <c r="K20446" s="68"/>
    </row>
    <row r="20447" spans="4:11" ht="12.75">
      <c r="D20447" s="67"/>
      <c r="G20447" s="68"/>
      <c r="K20447" s="68"/>
    </row>
    <row r="20448" spans="4:11" ht="12.75">
      <c r="D20448" s="67"/>
      <c r="G20448" s="68"/>
      <c r="K20448" s="68"/>
    </row>
    <row r="20449" spans="4:11" ht="12.75">
      <c r="D20449" s="67"/>
      <c r="G20449" s="68"/>
      <c r="K20449" s="68"/>
    </row>
    <row r="20450" spans="4:11" ht="12.75">
      <c r="D20450" s="67"/>
      <c r="G20450" s="68"/>
      <c r="K20450" s="68"/>
    </row>
    <row r="20451" spans="4:11" ht="12.75">
      <c r="D20451" s="67"/>
      <c r="G20451" s="68"/>
      <c r="K20451" s="68"/>
    </row>
    <row r="20452" spans="4:11" ht="12.75">
      <c r="D20452" s="67"/>
      <c r="G20452" s="68"/>
      <c r="K20452" s="68"/>
    </row>
    <row r="20453" spans="4:11" ht="12.75">
      <c r="D20453" s="67"/>
      <c r="G20453" s="68"/>
      <c r="K20453" s="68"/>
    </row>
    <row r="20454" spans="4:11" ht="12.75">
      <c r="D20454" s="67"/>
      <c r="G20454" s="68"/>
      <c r="K20454" s="68"/>
    </row>
    <row r="20455" spans="4:11" ht="12.75">
      <c r="D20455" s="67"/>
      <c r="G20455" s="68"/>
      <c r="K20455" s="68"/>
    </row>
    <row r="20456" spans="4:11" ht="12.75">
      <c r="D20456" s="67"/>
      <c r="G20456" s="68"/>
      <c r="K20456" s="68"/>
    </row>
    <row r="20457" spans="4:11" ht="12.75">
      <c r="D20457" s="67"/>
      <c r="G20457" s="68"/>
      <c r="K20457" s="68"/>
    </row>
    <row r="20458" spans="4:11" ht="12.75">
      <c r="D20458" s="67"/>
      <c r="G20458" s="68"/>
      <c r="K20458" s="68"/>
    </row>
    <row r="20459" spans="4:11" ht="12.75">
      <c r="D20459" s="67"/>
      <c r="G20459" s="68"/>
      <c r="K20459" s="68"/>
    </row>
    <row r="20460" spans="4:11" ht="12.75">
      <c r="D20460" s="67"/>
      <c r="G20460" s="68"/>
      <c r="K20460" s="68"/>
    </row>
    <row r="20461" spans="4:11" ht="12.75">
      <c r="D20461" s="67"/>
      <c r="G20461" s="68"/>
      <c r="K20461" s="68"/>
    </row>
    <row r="20462" spans="4:11" ht="12.75">
      <c r="D20462" s="67"/>
      <c r="G20462" s="68"/>
      <c r="K20462" s="68"/>
    </row>
    <row r="20463" spans="4:11" ht="12.75">
      <c r="D20463" s="67"/>
      <c r="G20463" s="68"/>
      <c r="K20463" s="68"/>
    </row>
    <row r="20464" spans="4:11" ht="12.75">
      <c r="D20464" s="67"/>
      <c r="G20464" s="68"/>
      <c r="K20464" s="68"/>
    </row>
    <row r="20465" spans="4:11" ht="12.75">
      <c r="D20465" s="67"/>
      <c r="G20465" s="68"/>
      <c r="K20465" s="68"/>
    </row>
    <row r="20466" spans="4:11" ht="12.75">
      <c r="D20466" s="67"/>
      <c r="G20466" s="68"/>
      <c r="K20466" s="68"/>
    </row>
    <row r="20467" spans="4:11" ht="12.75">
      <c r="D20467" s="67"/>
      <c r="G20467" s="68"/>
      <c r="K20467" s="68"/>
    </row>
    <row r="20468" spans="4:11" ht="12.75">
      <c r="D20468" s="67"/>
      <c r="G20468" s="68"/>
      <c r="K20468" s="68"/>
    </row>
    <row r="20469" spans="4:11" ht="12.75">
      <c r="D20469" s="67"/>
      <c r="G20469" s="68"/>
      <c r="K20469" s="68"/>
    </row>
    <row r="20470" spans="4:11" ht="12.75">
      <c r="D20470" s="67"/>
      <c r="G20470" s="68"/>
      <c r="K20470" s="68"/>
    </row>
    <row r="20471" spans="4:11" ht="12.75">
      <c r="D20471" s="67"/>
      <c r="G20471" s="68"/>
      <c r="K20471" s="68"/>
    </row>
    <row r="20472" spans="4:11" ht="12.75">
      <c r="D20472" s="67"/>
      <c r="G20472" s="68"/>
      <c r="K20472" s="68"/>
    </row>
    <row r="20473" spans="4:11" ht="12.75">
      <c r="D20473" s="67"/>
      <c r="G20473" s="68"/>
      <c r="K20473" s="68"/>
    </row>
    <row r="20474" spans="4:11" ht="12.75">
      <c r="D20474" s="67"/>
      <c r="G20474" s="68"/>
      <c r="K20474" s="68"/>
    </row>
    <row r="20475" spans="4:11" ht="12.75">
      <c r="D20475" s="67"/>
      <c r="G20475" s="68"/>
      <c r="K20475" s="68"/>
    </row>
    <row r="20476" spans="4:11" ht="12.75">
      <c r="D20476" s="67"/>
      <c r="G20476" s="68"/>
      <c r="K20476" s="68"/>
    </row>
    <row r="20477" spans="4:11" ht="12.75">
      <c r="D20477" s="67"/>
      <c r="G20477" s="68"/>
      <c r="K20477" s="68"/>
    </row>
    <row r="20478" spans="4:11" ht="12.75">
      <c r="D20478" s="67"/>
      <c r="G20478" s="68"/>
      <c r="K20478" s="68"/>
    </row>
    <row r="20479" spans="4:11" ht="12.75">
      <c r="D20479" s="67"/>
      <c r="G20479" s="68"/>
      <c r="K20479" s="68"/>
    </row>
    <row r="20480" spans="4:11" ht="12.75">
      <c r="D20480" s="67"/>
      <c r="G20480" s="68"/>
      <c r="K20480" s="68"/>
    </row>
    <row r="20481" spans="4:11" ht="12.75">
      <c r="D20481" s="67"/>
      <c r="G20481" s="68"/>
      <c r="K20481" s="68"/>
    </row>
    <row r="20482" spans="4:11" ht="12.75">
      <c r="D20482" s="67"/>
      <c r="G20482" s="68"/>
      <c r="K20482" s="68"/>
    </row>
    <row r="20483" spans="4:11" ht="12.75">
      <c r="D20483" s="67"/>
      <c r="G20483" s="68"/>
      <c r="K20483" s="68"/>
    </row>
    <row r="20484" spans="4:11" ht="12.75">
      <c r="D20484" s="67"/>
      <c r="G20484" s="68"/>
      <c r="K20484" s="68"/>
    </row>
    <row r="20485" spans="4:11" ht="12.75">
      <c r="D20485" s="67"/>
      <c r="G20485" s="68"/>
      <c r="K20485" s="68"/>
    </row>
    <row r="20486" spans="4:11" ht="12.75">
      <c r="D20486" s="67"/>
      <c r="G20486" s="68"/>
      <c r="K20486" s="68"/>
    </row>
    <row r="20487" spans="4:11" ht="12.75">
      <c r="D20487" s="67"/>
      <c r="G20487" s="68"/>
      <c r="K20487" s="68"/>
    </row>
    <row r="20488" spans="4:11" ht="12.75">
      <c r="D20488" s="67"/>
      <c r="G20488" s="68"/>
      <c r="K20488" s="68"/>
    </row>
    <row r="20489" spans="4:11" ht="12.75">
      <c r="D20489" s="67"/>
      <c r="G20489" s="68"/>
      <c r="K20489" s="68"/>
    </row>
    <row r="20490" spans="4:11" ht="12.75">
      <c r="D20490" s="67"/>
      <c r="G20490" s="68"/>
      <c r="K20490" s="68"/>
    </row>
    <row r="20491" spans="4:11" ht="12.75">
      <c r="D20491" s="67"/>
      <c r="G20491" s="68"/>
      <c r="K20491" s="68"/>
    </row>
    <row r="20492" spans="4:11" ht="12.75">
      <c r="D20492" s="67"/>
      <c r="G20492" s="68"/>
      <c r="K20492" s="68"/>
    </row>
    <row r="20493" spans="4:11" ht="12.75">
      <c r="D20493" s="67"/>
      <c r="G20493" s="68"/>
      <c r="K20493" s="68"/>
    </row>
    <row r="20494" spans="4:11" ht="12.75">
      <c r="D20494" s="67"/>
      <c r="G20494" s="68"/>
      <c r="K20494" s="68"/>
    </row>
    <row r="20495" spans="4:11" ht="12.75">
      <c r="D20495" s="67"/>
      <c r="G20495" s="68"/>
      <c r="K20495" s="68"/>
    </row>
    <row r="20496" spans="4:11" ht="12.75">
      <c r="D20496" s="67"/>
      <c r="G20496" s="68"/>
      <c r="K20496" s="68"/>
    </row>
    <row r="20497" spans="4:11" ht="12.75">
      <c r="D20497" s="67"/>
      <c r="G20497" s="68"/>
      <c r="K20497" s="68"/>
    </row>
    <row r="20498" spans="4:11" ht="12.75">
      <c r="D20498" s="67"/>
      <c r="G20498" s="68"/>
      <c r="K20498" s="68"/>
    </row>
    <row r="20499" spans="4:11" ht="12.75">
      <c r="D20499" s="67"/>
      <c r="G20499" s="68"/>
      <c r="K20499" s="68"/>
    </row>
    <row r="20500" spans="4:11" ht="12.75">
      <c r="D20500" s="67"/>
      <c r="G20500" s="68"/>
      <c r="K20500" s="68"/>
    </row>
    <row r="20501" spans="4:11" ht="12.75">
      <c r="D20501" s="67"/>
      <c r="G20501" s="68"/>
      <c r="K20501" s="68"/>
    </row>
    <row r="20502" spans="4:11" ht="12.75">
      <c r="D20502" s="67"/>
      <c r="G20502" s="68"/>
      <c r="K20502" s="68"/>
    </row>
    <row r="20503" spans="4:11" ht="12.75">
      <c r="D20503" s="67"/>
      <c r="G20503" s="68"/>
      <c r="K20503" s="68"/>
    </row>
    <row r="20504" spans="4:11" ht="12.75">
      <c r="D20504" s="67"/>
      <c r="G20504" s="68"/>
      <c r="K20504" s="68"/>
    </row>
    <row r="20505" spans="4:11" ht="12.75">
      <c r="D20505" s="67"/>
      <c r="G20505" s="68"/>
      <c r="K20505" s="68"/>
    </row>
    <row r="20506" spans="4:11" ht="12.75">
      <c r="D20506" s="67"/>
      <c r="G20506" s="68"/>
      <c r="K20506" s="68"/>
    </row>
    <row r="20507" spans="4:11" ht="12.75">
      <c r="D20507" s="67"/>
      <c r="G20507" s="68"/>
      <c r="K20507" s="68"/>
    </row>
    <row r="20508" spans="4:11" ht="12.75">
      <c r="D20508" s="67"/>
      <c r="G20508" s="68"/>
      <c r="K20508" s="68"/>
    </row>
    <row r="20509" spans="4:11" ht="12.75">
      <c r="D20509" s="67"/>
      <c r="G20509" s="68"/>
      <c r="K20509" s="68"/>
    </row>
    <row r="20510" spans="4:11" ht="12.75">
      <c r="D20510" s="67"/>
      <c r="G20510" s="68"/>
      <c r="K20510" s="68"/>
    </row>
    <row r="20511" spans="4:11" ht="12.75">
      <c r="D20511" s="67"/>
      <c r="G20511" s="68"/>
      <c r="K20511" s="68"/>
    </row>
    <row r="20512" spans="4:11" ht="12.75">
      <c r="D20512" s="67"/>
      <c r="G20512" s="68"/>
      <c r="K20512" s="68"/>
    </row>
    <row r="20513" spans="4:11" ht="12.75">
      <c r="D20513" s="67"/>
      <c r="G20513" s="68"/>
      <c r="K20513" s="68"/>
    </row>
    <row r="20514" spans="4:11" ht="12.75">
      <c r="D20514" s="67"/>
      <c r="G20514" s="68"/>
      <c r="K20514" s="68"/>
    </row>
    <row r="20515" spans="4:11" ht="12.75">
      <c r="D20515" s="67"/>
      <c r="G20515" s="68"/>
      <c r="K20515" s="68"/>
    </row>
    <row r="20516" spans="4:11" ht="12.75">
      <c r="D20516" s="67"/>
      <c r="G20516" s="68"/>
      <c r="K20516" s="68"/>
    </row>
    <row r="20517" spans="4:11" ht="12.75">
      <c r="D20517" s="67"/>
      <c r="G20517" s="68"/>
      <c r="K20517" s="68"/>
    </row>
    <row r="20518" spans="4:11" ht="12.75">
      <c r="D20518" s="67"/>
      <c r="G20518" s="68"/>
      <c r="K20518" s="68"/>
    </row>
    <row r="20519" spans="4:11" ht="12.75">
      <c r="D20519" s="67"/>
      <c r="G20519" s="68"/>
      <c r="K20519" s="68"/>
    </row>
    <row r="20520" spans="4:11" ht="12.75">
      <c r="D20520" s="67"/>
      <c r="G20520" s="68"/>
      <c r="K20520" s="68"/>
    </row>
    <row r="20521" spans="4:11" ht="12.75">
      <c r="D20521" s="67"/>
      <c r="G20521" s="68"/>
      <c r="K20521" s="68"/>
    </row>
    <row r="20522" spans="4:11" ht="12.75">
      <c r="D20522" s="67"/>
      <c r="G20522" s="68"/>
      <c r="K20522" s="68"/>
    </row>
    <row r="20523" spans="4:11" ht="12.75">
      <c r="D20523" s="67"/>
      <c r="G20523" s="68"/>
      <c r="K20523" s="68"/>
    </row>
    <row r="20524" spans="4:11" ht="12.75">
      <c r="D20524" s="67"/>
      <c r="G20524" s="68"/>
      <c r="K20524" s="68"/>
    </row>
    <row r="20525" spans="4:11" ht="12.75">
      <c r="D20525" s="67"/>
      <c r="G20525" s="68"/>
      <c r="K20525" s="68"/>
    </row>
    <row r="20526" spans="4:11" ht="12.75">
      <c r="D20526" s="67"/>
      <c r="G20526" s="68"/>
      <c r="K20526" s="68"/>
    </row>
    <row r="20527" spans="4:11" ht="12.75">
      <c r="D20527" s="67"/>
      <c r="G20527" s="68"/>
      <c r="K20527" s="68"/>
    </row>
    <row r="20528" spans="4:11" ht="12.75">
      <c r="D20528" s="67"/>
      <c r="G20528" s="68"/>
      <c r="K20528" s="68"/>
    </row>
    <row r="20529" spans="4:11" ht="12.75">
      <c r="D20529" s="67"/>
      <c r="G20529" s="68"/>
      <c r="K20529" s="68"/>
    </row>
    <row r="20530" spans="4:11" ht="12.75">
      <c r="D20530" s="67"/>
      <c r="G20530" s="68"/>
      <c r="K20530" s="68"/>
    </row>
    <row r="20531" spans="4:11" ht="12.75">
      <c r="D20531" s="67"/>
      <c r="G20531" s="68"/>
      <c r="K20531" s="68"/>
    </row>
    <row r="20532" spans="4:11" ht="12.75">
      <c r="D20532" s="67"/>
      <c r="G20532" s="68"/>
      <c r="K20532" s="68"/>
    </row>
    <row r="20533" spans="4:11" ht="12.75">
      <c r="D20533" s="67"/>
      <c r="G20533" s="68"/>
      <c r="K20533" s="68"/>
    </row>
    <row r="20534" spans="4:11" ht="12.75">
      <c r="D20534" s="67"/>
      <c r="G20534" s="68"/>
      <c r="K20534" s="68"/>
    </row>
    <row r="20535" spans="4:11" ht="12.75">
      <c r="D20535" s="67"/>
      <c r="G20535" s="68"/>
      <c r="K20535" s="68"/>
    </row>
    <row r="20536" spans="4:11" ht="12.75">
      <c r="D20536" s="67"/>
      <c r="G20536" s="68"/>
      <c r="K20536" s="68"/>
    </row>
    <row r="20537" spans="4:11" ht="12.75">
      <c r="D20537" s="67"/>
      <c r="G20537" s="68"/>
      <c r="K20537" s="68"/>
    </row>
    <row r="20538" spans="4:11" ht="12.75">
      <c r="D20538" s="67"/>
      <c r="G20538" s="68"/>
      <c r="K20538" s="68"/>
    </row>
    <row r="20539" spans="4:11" ht="12.75">
      <c r="D20539" s="67"/>
      <c r="G20539" s="68"/>
      <c r="K20539" s="68"/>
    </row>
    <row r="20540" spans="4:11" ht="12.75">
      <c r="D20540" s="67"/>
      <c r="G20540" s="68"/>
      <c r="K20540" s="68"/>
    </row>
    <row r="20541" spans="4:11" ht="12.75">
      <c r="D20541" s="67"/>
      <c r="G20541" s="68"/>
      <c r="K20541" s="68"/>
    </row>
    <row r="20542" spans="4:11" ht="12.75">
      <c r="D20542" s="67"/>
      <c r="G20542" s="68"/>
      <c r="K20542" s="68"/>
    </row>
    <row r="20543" spans="4:11" ht="12.75">
      <c r="D20543" s="67"/>
      <c r="G20543" s="68"/>
      <c r="K20543" s="68"/>
    </row>
    <row r="20544" spans="4:11" ht="12.75">
      <c r="D20544" s="67"/>
      <c r="G20544" s="68"/>
      <c r="K20544" s="68"/>
    </row>
    <row r="20545" spans="4:11" ht="12.75">
      <c r="D20545" s="67"/>
      <c r="G20545" s="68"/>
      <c r="K20545" s="68"/>
    </row>
    <row r="20546" spans="4:11" ht="12.75">
      <c r="D20546" s="67"/>
      <c r="G20546" s="68"/>
      <c r="K20546" s="68"/>
    </row>
    <row r="20547" spans="4:11" ht="12.75">
      <c r="D20547" s="67"/>
      <c r="G20547" s="68"/>
      <c r="K20547" s="68"/>
    </row>
    <row r="20548" spans="4:11" ht="12.75">
      <c r="D20548" s="67"/>
      <c r="G20548" s="68"/>
      <c r="K20548" s="68"/>
    </row>
    <row r="20549" spans="4:11" ht="12.75">
      <c r="D20549" s="67"/>
      <c r="G20549" s="68"/>
      <c r="K20549" s="68"/>
    </row>
    <row r="20550" spans="4:11" ht="12.75">
      <c r="D20550" s="67"/>
      <c r="G20550" s="68"/>
      <c r="K20550" s="68"/>
    </row>
    <row r="20551" spans="4:11" ht="12.75">
      <c r="D20551" s="67"/>
      <c r="G20551" s="68"/>
      <c r="K20551" s="68"/>
    </row>
    <row r="20552" spans="4:11" ht="12.75">
      <c r="D20552" s="67"/>
      <c r="G20552" s="68"/>
      <c r="K20552" s="68"/>
    </row>
    <row r="20553" spans="4:11" ht="12.75">
      <c r="D20553" s="67"/>
      <c r="G20553" s="68"/>
      <c r="K20553" s="68"/>
    </row>
    <row r="20554" spans="4:11" ht="12.75">
      <c r="D20554" s="67"/>
      <c r="G20554" s="68"/>
      <c r="K20554" s="68"/>
    </row>
    <row r="20555" spans="4:11" ht="12.75">
      <c r="D20555" s="67"/>
      <c r="G20555" s="68"/>
      <c r="K20555" s="68"/>
    </row>
    <row r="20556" spans="4:11" ht="12.75">
      <c r="D20556" s="67"/>
      <c r="G20556" s="68"/>
      <c r="K20556" s="68"/>
    </row>
    <row r="20557" spans="4:11" ht="12.75">
      <c r="D20557" s="67"/>
      <c r="G20557" s="68"/>
      <c r="K20557" s="68"/>
    </row>
    <row r="20558" spans="4:11" ht="12.75">
      <c r="D20558" s="67"/>
      <c r="G20558" s="68"/>
      <c r="K20558" s="68"/>
    </row>
    <row r="20559" spans="4:11" ht="12.75">
      <c r="D20559" s="67"/>
      <c r="G20559" s="68"/>
      <c r="K20559" s="68"/>
    </row>
    <row r="20560" spans="4:11" ht="12.75">
      <c r="D20560" s="67"/>
      <c r="G20560" s="68"/>
      <c r="K20560" s="68"/>
    </row>
    <row r="20561" spans="4:11" ht="12.75">
      <c r="D20561" s="67"/>
      <c r="G20561" s="68"/>
      <c r="K20561" s="68"/>
    </row>
    <row r="20562" spans="4:11" ht="12.75">
      <c r="D20562" s="67"/>
      <c r="G20562" s="68"/>
      <c r="K20562" s="68"/>
    </row>
    <row r="20563" spans="4:11" ht="12.75">
      <c r="D20563" s="67"/>
      <c r="G20563" s="68"/>
      <c r="K20563" s="68"/>
    </row>
    <row r="20564" spans="4:11" ht="12.75">
      <c r="D20564" s="67"/>
      <c r="G20564" s="68"/>
      <c r="K20564" s="68"/>
    </row>
    <row r="20565" spans="4:11" ht="12.75">
      <c r="D20565" s="67"/>
      <c r="G20565" s="68"/>
      <c r="K20565" s="68"/>
    </row>
    <row r="20566" spans="4:11" ht="12.75">
      <c r="D20566" s="67"/>
      <c r="G20566" s="68"/>
      <c r="K20566" s="68"/>
    </row>
    <row r="20567" spans="4:11" ht="12.75">
      <c r="D20567" s="67"/>
      <c r="G20567" s="68"/>
      <c r="K20567" s="68"/>
    </row>
    <row r="20568" spans="4:11" ht="12.75">
      <c r="D20568" s="67"/>
      <c r="G20568" s="68"/>
      <c r="K20568" s="68"/>
    </row>
    <row r="20569" spans="4:11" ht="12.75">
      <c r="D20569" s="67"/>
      <c r="G20569" s="68"/>
      <c r="K20569" s="68"/>
    </row>
    <row r="20570" spans="4:11" ht="12.75">
      <c r="D20570" s="67"/>
      <c r="G20570" s="68"/>
      <c r="K20570" s="68"/>
    </row>
    <row r="20571" spans="4:11" ht="12.75">
      <c r="D20571" s="67"/>
      <c r="G20571" s="68"/>
      <c r="K20571" s="68"/>
    </row>
    <row r="20572" spans="4:11" ht="12.75">
      <c r="D20572" s="67"/>
      <c r="G20572" s="68"/>
      <c r="K20572" s="68"/>
    </row>
    <row r="20573" spans="4:11" ht="12.75">
      <c r="D20573" s="67"/>
      <c r="G20573" s="68"/>
      <c r="K20573" s="68"/>
    </row>
    <row r="20574" spans="4:11" ht="12.75">
      <c r="D20574" s="67"/>
      <c r="G20574" s="68"/>
      <c r="K20574" s="68"/>
    </row>
    <row r="20575" spans="4:11" ht="12.75">
      <c r="D20575" s="67"/>
      <c r="G20575" s="68"/>
      <c r="K20575" s="68"/>
    </row>
    <row r="20576" spans="4:11" ht="12.75">
      <c r="D20576" s="67"/>
      <c r="G20576" s="68"/>
      <c r="K20576" s="68"/>
    </row>
    <row r="20577" spans="4:11" ht="12.75">
      <c r="D20577" s="67"/>
      <c r="G20577" s="68"/>
      <c r="K20577" s="68"/>
    </row>
    <row r="20578" spans="4:11" ht="12.75">
      <c r="D20578" s="67"/>
      <c r="G20578" s="68"/>
      <c r="K20578" s="68"/>
    </row>
    <row r="20579" spans="4:11" ht="12.75">
      <c r="D20579" s="67"/>
      <c r="G20579" s="68"/>
      <c r="K20579" s="68"/>
    </row>
    <row r="20580" spans="4:11" ht="12.75">
      <c r="D20580" s="67"/>
      <c r="G20580" s="68"/>
      <c r="K20580" s="68"/>
    </row>
    <row r="20581" spans="4:11" ht="12.75">
      <c r="D20581" s="67"/>
      <c r="G20581" s="68"/>
      <c r="K20581" s="68"/>
    </row>
    <row r="20582" spans="4:11" ht="12.75">
      <c r="D20582" s="67"/>
      <c r="G20582" s="68"/>
      <c r="K20582" s="68"/>
    </row>
    <row r="20583" spans="4:11" ht="12.75">
      <c r="D20583" s="67"/>
      <c r="G20583" s="68"/>
      <c r="K20583" s="68"/>
    </row>
    <row r="20584" spans="4:11" ht="12.75">
      <c r="D20584" s="67"/>
      <c r="G20584" s="68"/>
      <c r="K20584" s="68"/>
    </row>
    <row r="20585" spans="4:11" ht="12.75">
      <c r="D20585" s="67"/>
      <c r="G20585" s="68"/>
      <c r="K20585" s="68"/>
    </row>
    <row r="20586" spans="4:11" ht="12.75">
      <c r="D20586" s="67"/>
      <c r="G20586" s="68"/>
      <c r="K20586" s="68"/>
    </row>
    <row r="20587" spans="4:11" ht="12.75">
      <c r="D20587" s="67"/>
      <c r="G20587" s="68"/>
      <c r="K20587" s="68"/>
    </row>
    <row r="20588" spans="4:11" ht="12.75">
      <c r="D20588" s="67"/>
      <c r="G20588" s="68"/>
      <c r="K20588" s="68"/>
    </row>
    <row r="20589" spans="4:11" ht="12.75">
      <c r="D20589" s="67"/>
      <c r="G20589" s="68"/>
      <c r="K20589" s="68"/>
    </row>
    <row r="20590" spans="4:11" ht="12.75">
      <c r="D20590" s="67"/>
      <c r="G20590" s="68"/>
      <c r="K20590" s="68"/>
    </row>
    <row r="20591" spans="4:11" ht="12.75">
      <c r="D20591" s="67"/>
      <c r="G20591" s="68"/>
      <c r="K20591" s="68"/>
    </row>
    <row r="20592" spans="4:11" ht="12.75">
      <c r="D20592" s="67"/>
      <c r="G20592" s="68"/>
      <c r="K20592" s="68"/>
    </row>
    <row r="20593" spans="4:11" ht="12.75">
      <c r="D20593" s="67"/>
      <c r="G20593" s="68"/>
      <c r="K20593" s="68"/>
    </row>
    <row r="20594" spans="4:11" ht="12.75">
      <c r="D20594" s="67"/>
      <c r="G20594" s="68"/>
      <c r="K20594" s="68"/>
    </row>
    <row r="20595" spans="4:11" ht="12.75">
      <c r="D20595" s="67"/>
      <c r="G20595" s="68"/>
      <c r="K20595" s="68"/>
    </row>
    <row r="20596" spans="4:11" ht="12.75">
      <c r="D20596" s="67"/>
      <c r="G20596" s="68"/>
      <c r="K20596" s="68"/>
    </row>
    <row r="20597" spans="4:11" ht="12.75">
      <c r="D20597" s="67"/>
      <c r="G20597" s="68"/>
      <c r="K20597" s="68"/>
    </row>
    <row r="20598" spans="4:11" ht="12.75">
      <c r="D20598" s="67"/>
      <c r="G20598" s="68"/>
      <c r="K20598" s="68"/>
    </row>
    <row r="20599" spans="4:11" ht="12.75">
      <c r="D20599" s="67"/>
      <c r="G20599" s="68"/>
      <c r="K20599" s="68"/>
    </row>
    <row r="20600" spans="4:11" ht="12.75">
      <c r="D20600" s="67"/>
      <c r="G20600" s="68"/>
      <c r="K20600" s="68"/>
    </row>
    <row r="20601" spans="4:11" ht="12.75">
      <c r="D20601" s="67"/>
      <c r="G20601" s="68"/>
      <c r="K20601" s="68"/>
    </row>
    <row r="20602" spans="4:11" ht="12.75">
      <c r="D20602" s="67"/>
      <c r="G20602" s="68"/>
      <c r="K20602" s="68"/>
    </row>
    <row r="20603" spans="4:11" ht="12.75">
      <c r="D20603" s="67"/>
      <c r="G20603" s="68"/>
      <c r="K20603" s="68"/>
    </row>
    <row r="20604" spans="4:11" ht="12.75">
      <c r="D20604" s="67"/>
      <c r="G20604" s="68"/>
      <c r="K20604" s="68"/>
    </row>
    <row r="20605" spans="4:11" ht="12.75">
      <c r="D20605" s="67"/>
      <c r="G20605" s="68"/>
      <c r="K20605" s="68"/>
    </row>
    <row r="20606" spans="4:11" ht="12.75">
      <c r="D20606" s="67"/>
      <c r="G20606" s="68"/>
      <c r="K20606" s="68"/>
    </row>
    <row r="20607" spans="4:11" ht="12.75">
      <c r="D20607" s="67"/>
      <c r="G20607" s="68"/>
      <c r="K20607" s="68"/>
    </row>
    <row r="20608" spans="4:11" ht="12.75">
      <c r="D20608" s="67"/>
      <c r="G20608" s="68"/>
      <c r="K20608" s="68"/>
    </row>
    <row r="20609" spans="4:11" ht="12.75">
      <c r="D20609" s="67"/>
      <c r="G20609" s="68"/>
      <c r="K20609" s="68"/>
    </row>
    <row r="20610" spans="4:11" ht="12.75">
      <c r="D20610" s="67"/>
      <c r="G20610" s="68"/>
      <c r="K20610" s="68"/>
    </row>
    <row r="20611" spans="4:11" ht="12.75">
      <c r="D20611" s="67"/>
      <c r="G20611" s="68"/>
      <c r="K20611" s="68"/>
    </row>
    <row r="20612" spans="4:11" ht="12.75">
      <c r="D20612" s="67"/>
      <c r="G20612" s="68"/>
      <c r="K20612" s="68"/>
    </row>
    <row r="20613" spans="4:11" ht="12.75">
      <c r="D20613" s="67"/>
      <c r="G20613" s="68"/>
      <c r="K20613" s="68"/>
    </row>
    <row r="20614" spans="4:11" ht="12.75">
      <c r="D20614" s="67"/>
      <c r="G20614" s="68"/>
      <c r="K20614" s="68"/>
    </row>
    <row r="20615" spans="4:11" ht="12.75">
      <c r="D20615" s="67"/>
      <c r="G20615" s="68"/>
      <c r="K20615" s="68"/>
    </row>
    <row r="20616" spans="4:11" ht="12.75">
      <c r="D20616" s="67"/>
      <c r="G20616" s="68"/>
      <c r="K20616" s="68"/>
    </row>
    <row r="20617" spans="4:11" ht="12.75">
      <c r="D20617" s="67"/>
      <c r="G20617" s="68"/>
      <c r="K20617" s="68"/>
    </row>
    <row r="20618" spans="4:11" ht="12.75">
      <c r="D20618" s="67"/>
      <c r="G20618" s="68"/>
      <c r="K20618" s="68"/>
    </row>
    <row r="20619" spans="4:11" ht="12.75">
      <c r="D20619" s="67"/>
      <c r="G20619" s="68"/>
      <c r="K20619" s="68"/>
    </row>
    <row r="20620" spans="4:11" ht="12.75">
      <c r="D20620" s="67"/>
      <c r="G20620" s="68"/>
      <c r="K20620" s="68"/>
    </row>
    <row r="20621" spans="4:11" ht="12.75">
      <c r="D20621" s="67"/>
      <c r="G20621" s="68"/>
      <c r="K20621" s="68"/>
    </row>
    <row r="20622" spans="4:11" ht="12.75">
      <c r="D20622" s="67"/>
      <c r="G20622" s="68"/>
      <c r="K20622" s="68"/>
    </row>
    <row r="20623" spans="4:11" ht="12.75">
      <c r="D20623" s="67"/>
      <c r="G20623" s="68"/>
      <c r="K20623" s="68"/>
    </row>
    <row r="20624" spans="4:11" ht="12.75">
      <c r="D20624" s="67"/>
      <c r="G20624" s="68"/>
      <c r="K20624" s="68"/>
    </row>
    <row r="20625" spans="4:11" ht="12.75">
      <c r="D20625" s="67"/>
      <c r="G20625" s="68"/>
      <c r="K20625" s="68"/>
    </row>
    <row r="20626" spans="4:11" ht="12.75">
      <c r="D20626" s="67"/>
      <c r="G20626" s="68"/>
      <c r="K20626" s="68"/>
    </row>
    <row r="20627" spans="4:11" ht="12.75">
      <c r="D20627" s="67"/>
      <c r="G20627" s="68"/>
      <c r="K20627" s="68"/>
    </row>
    <row r="20628" spans="4:11" ht="12.75">
      <c r="D20628" s="67"/>
      <c r="G20628" s="68"/>
      <c r="K20628" s="68"/>
    </row>
    <row r="20629" spans="4:11" ht="12.75">
      <c r="D20629" s="67"/>
      <c r="G20629" s="68"/>
      <c r="K20629" s="68"/>
    </row>
    <row r="20630" spans="4:11" ht="12.75">
      <c r="D20630" s="67"/>
      <c r="G20630" s="68"/>
      <c r="K20630" s="68"/>
    </row>
    <row r="20631" spans="4:11" ht="12.75">
      <c r="D20631" s="67"/>
      <c r="G20631" s="68"/>
      <c r="K20631" s="68"/>
    </row>
    <row r="20632" spans="4:11" ht="12.75">
      <c r="D20632" s="67"/>
      <c r="G20632" s="68"/>
      <c r="K20632" s="68"/>
    </row>
    <row r="20633" spans="4:11" ht="12.75">
      <c r="D20633" s="67"/>
      <c r="G20633" s="68"/>
      <c r="K20633" s="68"/>
    </row>
    <row r="20634" spans="4:11" ht="12.75">
      <c r="D20634" s="67"/>
      <c r="G20634" s="68"/>
      <c r="K20634" s="68"/>
    </row>
    <row r="20635" spans="4:11" ht="12.75">
      <c r="D20635" s="67"/>
      <c r="G20635" s="68"/>
      <c r="K20635" s="68"/>
    </row>
    <row r="20636" spans="4:11" ht="12.75">
      <c r="D20636" s="67"/>
      <c r="G20636" s="68"/>
      <c r="K20636" s="68"/>
    </row>
    <row r="20637" spans="4:11" ht="12.75">
      <c r="D20637" s="67"/>
      <c r="G20637" s="68"/>
      <c r="K20637" s="68"/>
    </row>
    <row r="20638" spans="4:11" ht="12.75">
      <c r="D20638" s="67"/>
      <c r="G20638" s="68"/>
      <c r="K20638" s="68"/>
    </row>
    <row r="20639" spans="4:11" ht="12.75">
      <c r="D20639" s="67"/>
      <c r="G20639" s="68"/>
      <c r="K20639" s="68"/>
    </row>
    <row r="20640" spans="4:11" ht="12.75">
      <c r="D20640" s="67"/>
      <c r="G20640" s="68"/>
      <c r="K20640" s="68"/>
    </row>
    <row r="20641" spans="4:11" ht="12.75">
      <c r="D20641" s="67"/>
      <c r="G20641" s="68"/>
      <c r="K20641" s="68"/>
    </row>
    <row r="20642" spans="4:11" ht="12.75">
      <c r="D20642" s="67"/>
      <c r="G20642" s="68"/>
      <c r="K20642" s="68"/>
    </row>
    <row r="20643" spans="4:11" ht="12.75">
      <c r="D20643" s="67"/>
      <c r="G20643" s="68"/>
      <c r="K20643" s="68"/>
    </row>
    <row r="20644" spans="4:11" ht="12.75">
      <c r="D20644" s="67"/>
      <c r="G20644" s="68"/>
      <c r="K20644" s="68"/>
    </row>
    <row r="20645" spans="4:11" ht="12.75">
      <c r="D20645" s="67"/>
      <c r="G20645" s="68"/>
      <c r="K20645" s="68"/>
    </row>
    <row r="20646" spans="4:11" ht="12.75">
      <c r="D20646" s="67"/>
      <c r="G20646" s="68"/>
      <c r="K20646" s="68"/>
    </row>
    <row r="20647" spans="4:11" ht="12.75">
      <c r="D20647" s="67"/>
      <c r="G20647" s="68"/>
      <c r="K20647" s="68"/>
    </row>
    <row r="20648" spans="4:11" ht="12.75">
      <c r="D20648" s="67"/>
      <c r="G20648" s="68"/>
      <c r="K20648" s="68"/>
    </row>
    <row r="20649" spans="4:11" ht="12.75">
      <c r="D20649" s="67"/>
      <c r="G20649" s="68"/>
      <c r="K20649" s="68"/>
    </row>
    <row r="20650" spans="4:11" ht="12.75">
      <c r="D20650" s="67"/>
      <c r="G20650" s="68"/>
      <c r="K20650" s="68"/>
    </row>
    <row r="20651" spans="4:11" ht="12.75">
      <c r="D20651" s="67"/>
      <c r="G20651" s="68"/>
      <c r="K20651" s="68"/>
    </row>
    <row r="20652" spans="4:11" ht="12.75">
      <c r="D20652" s="67"/>
      <c r="G20652" s="68"/>
      <c r="K20652" s="68"/>
    </row>
    <row r="20653" spans="4:11" ht="12.75">
      <c r="D20653" s="67"/>
      <c r="G20653" s="68"/>
      <c r="K20653" s="68"/>
    </row>
    <row r="20654" spans="4:11" ht="12.75">
      <c r="D20654" s="67"/>
      <c r="G20654" s="68"/>
      <c r="K20654" s="68"/>
    </row>
    <row r="20655" spans="4:11" ht="12.75">
      <c r="D20655" s="67"/>
      <c r="G20655" s="68"/>
      <c r="K20655" s="68"/>
    </row>
    <row r="20656" spans="4:11" ht="12.75">
      <c r="D20656" s="67"/>
      <c r="G20656" s="68"/>
      <c r="K20656" s="68"/>
    </row>
    <row r="20657" spans="4:11" ht="12.75">
      <c r="D20657" s="67"/>
      <c r="G20657" s="68"/>
      <c r="K20657" s="68"/>
    </row>
    <row r="20658" spans="4:11" ht="12.75">
      <c r="D20658" s="67"/>
      <c r="G20658" s="68"/>
      <c r="K20658" s="68"/>
    </row>
    <row r="20659" spans="4:11" ht="12.75">
      <c r="D20659" s="67"/>
      <c r="G20659" s="68"/>
      <c r="K20659" s="68"/>
    </row>
    <row r="20660" spans="4:11" ht="12.75">
      <c r="D20660" s="67"/>
      <c r="G20660" s="68"/>
      <c r="K20660" s="68"/>
    </row>
    <row r="20661" spans="4:11" ht="12.75">
      <c r="D20661" s="67"/>
      <c r="G20661" s="68"/>
      <c r="K20661" s="68"/>
    </row>
    <row r="20662" spans="4:11" ht="12.75">
      <c r="D20662" s="67"/>
      <c r="G20662" s="68"/>
      <c r="K20662" s="68"/>
    </row>
    <row r="20663" spans="4:11" ht="12.75">
      <c r="D20663" s="67"/>
      <c r="G20663" s="68"/>
      <c r="K20663" s="68"/>
    </row>
    <row r="20664" spans="4:11" ht="12.75">
      <c r="D20664" s="67"/>
      <c r="G20664" s="68"/>
      <c r="K20664" s="68"/>
    </row>
    <row r="20665" spans="4:11" ht="12.75">
      <c r="D20665" s="67"/>
      <c r="G20665" s="68"/>
      <c r="K20665" s="68"/>
    </row>
    <row r="20666" spans="4:11" ht="12.75">
      <c r="D20666" s="67"/>
      <c r="G20666" s="68"/>
      <c r="K20666" s="68"/>
    </row>
    <row r="20667" spans="4:11" ht="12.75">
      <c r="D20667" s="67"/>
      <c r="G20667" s="68"/>
      <c r="K20667" s="68"/>
    </row>
    <row r="20668" spans="4:11" ht="12.75">
      <c r="D20668" s="67"/>
      <c r="G20668" s="68"/>
      <c r="K20668" s="68"/>
    </row>
    <row r="20669" spans="4:11" ht="12.75">
      <c r="D20669" s="67"/>
      <c r="G20669" s="68"/>
      <c r="K20669" s="68"/>
    </row>
    <row r="20670" spans="4:11" ht="12.75">
      <c r="D20670" s="67"/>
      <c r="G20670" s="68"/>
      <c r="K20670" s="68"/>
    </row>
    <row r="20671" spans="4:11" ht="12.75">
      <c r="D20671" s="67"/>
      <c r="G20671" s="68"/>
      <c r="K20671" s="68"/>
    </row>
    <row r="20672" spans="4:11" ht="12.75">
      <c r="D20672" s="67"/>
      <c r="G20672" s="68"/>
      <c r="K20672" s="68"/>
    </row>
    <row r="20673" spans="4:11" ht="12.75">
      <c r="D20673" s="67"/>
      <c r="G20673" s="68"/>
      <c r="K20673" s="68"/>
    </row>
    <row r="20674" spans="4:11" ht="12.75">
      <c r="D20674" s="67"/>
      <c r="G20674" s="68"/>
      <c r="K20674" s="68"/>
    </row>
    <row r="20675" spans="4:11" ht="12.75">
      <c r="D20675" s="67"/>
      <c r="G20675" s="68"/>
      <c r="K20675" s="68"/>
    </row>
    <row r="20676" spans="4:11" ht="12.75">
      <c r="D20676" s="67"/>
      <c r="G20676" s="68"/>
      <c r="K20676" s="68"/>
    </row>
    <row r="20677" spans="4:11" ht="12.75">
      <c r="D20677" s="67"/>
      <c r="G20677" s="68"/>
      <c r="K20677" s="68"/>
    </row>
    <row r="20678" spans="4:11" ht="12.75">
      <c r="D20678" s="67"/>
      <c r="G20678" s="68"/>
      <c r="K20678" s="68"/>
    </row>
    <row r="20679" spans="4:11" ht="12.75">
      <c r="D20679" s="67"/>
      <c r="G20679" s="68"/>
      <c r="K20679" s="68"/>
    </row>
    <row r="20680" spans="4:11" ht="12.75">
      <c r="D20680" s="67"/>
      <c r="G20680" s="68"/>
      <c r="K20680" s="68"/>
    </row>
    <row r="20681" spans="4:11" ht="12.75">
      <c r="D20681" s="67"/>
      <c r="G20681" s="68"/>
      <c r="K20681" s="68"/>
    </row>
    <row r="20682" spans="4:11" ht="12.75">
      <c r="D20682" s="67"/>
      <c r="G20682" s="68"/>
      <c r="K20682" s="68"/>
    </row>
    <row r="20683" spans="4:11" ht="12.75">
      <c r="D20683" s="67"/>
      <c r="G20683" s="68"/>
      <c r="K20683" s="68"/>
    </row>
    <row r="20684" spans="4:11" ht="12.75">
      <c r="D20684" s="67"/>
      <c r="G20684" s="68"/>
      <c r="K20684" s="68"/>
    </row>
    <row r="20685" spans="4:11" ht="12.75">
      <c r="D20685" s="67"/>
      <c r="G20685" s="68"/>
      <c r="K20685" s="68"/>
    </row>
    <row r="20686" spans="4:11" ht="12.75">
      <c r="D20686" s="67"/>
      <c r="G20686" s="68"/>
      <c r="K20686" s="68"/>
    </row>
    <row r="20687" spans="4:11" ht="12.75">
      <c r="D20687" s="67"/>
      <c r="G20687" s="68"/>
      <c r="K20687" s="68"/>
    </row>
    <row r="20688" spans="4:11" ht="12.75">
      <c r="D20688" s="67"/>
      <c r="G20688" s="68"/>
      <c r="K20688" s="68"/>
    </row>
    <row r="20689" spans="4:11" ht="12.75">
      <c r="D20689" s="67"/>
      <c r="G20689" s="68"/>
      <c r="K20689" s="68"/>
    </row>
    <row r="20690" spans="4:11" ht="12.75">
      <c r="D20690" s="67"/>
      <c r="G20690" s="68"/>
      <c r="K20690" s="68"/>
    </row>
    <row r="20691" spans="4:11" ht="12.75">
      <c r="D20691" s="67"/>
      <c r="G20691" s="68"/>
      <c r="K20691" s="68"/>
    </row>
    <row r="20692" spans="4:11" ht="12.75">
      <c r="D20692" s="67"/>
      <c r="G20692" s="68"/>
      <c r="K20692" s="68"/>
    </row>
    <row r="20693" spans="4:11" ht="12.75">
      <c r="D20693" s="67"/>
      <c r="G20693" s="68"/>
      <c r="K20693" s="68"/>
    </row>
    <row r="20694" spans="4:11" ht="12.75">
      <c r="D20694" s="67"/>
      <c r="G20694" s="68"/>
      <c r="K20694" s="68"/>
    </row>
    <row r="20695" spans="4:11" ht="12.75">
      <c r="D20695" s="67"/>
      <c r="G20695" s="68"/>
      <c r="K20695" s="68"/>
    </row>
    <row r="20696" spans="4:11" ht="12.75">
      <c r="D20696" s="67"/>
      <c r="G20696" s="68"/>
      <c r="K20696" s="68"/>
    </row>
    <row r="20697" spans="4:11" ht="12.75">
      <c r="D20697" s="67"/>
      <c r="G20697" s="68"/>
      <c r="K20697" s="68"/>
    </row>
    <row r="20698" spans="4:11" ht="12.75">
      <c r="D20698" s="67"/>
      <c r="G20698" s="68"/>
      <c r="K20698" s="68"/>
    </row>
    <row r="20699" spans="4:11" ht="12.75">
      <c r="D20699" s="67"/>
      <c r="G20699" s="68"/>
      <c r="K20699" s="68"/>
    </row>
    <row r="20700" spans="4:11" ht="12.75">
      <c r="D20700" s="67"/>
      <c r="G20700" s="68"/>
      <c r="K20700" s="68"/>
    </row>
    <row r="20701" spans="4:11" ht="12.75">
      <c r="D20701" s="67"/>
      <c r="G20701" s="68"/>
      <c r="K20701" s="68"/>
    </row>
    <row r="20702" spans="4:11" ht="12.75">
      <c r="D20702" s="67"/>
      <c r="G20702" s="68"/>
      <c r="K20702" s="68"/>
    </row>
    <row r="20703" spans="4:11" ht="12.75">
      <c r="D20703" s="67"/>
      <c r="G20703" s="68"/>
      <c r="K20703" s="68"/>
    </row>
    <row r="20704" spans="4:11" ht="12.75">
      <c r="D20704" s="67"/>
      <c r="G20704" s="68"/>
      <c r="K20704" s="68"/>
    </row>
    <row r="20705" spans="4:11" ht="12.75">
      <c r="D20705" s="67"/>
      <c r="G20705" s="68"/>
      <c r="K20705" s="68"/>
    </row>
    <row r="20706" spans="4:11" ht="12.75">
      <c r="D20706" s="67"/>
      <c r="G20706" s="68"/>
      <c r="K20706" s="68"/>
    </row>
    <row r="20707" spans="4:11" ht="12.75">
      <c r="D20707" s="67"/>
      <c r="G20707" s="68"/>
      <c r="K20707" s="68"/>
    </row>
    <row r="20708" spans="4:11" ht="12.75">
      <c r="D20708" s="67"/>
      <c r="G20708" s="68"/>
      <c r="K20708" s="68"/>
    </row>
    <row r="20709" spans="4:11" ht="12.75">
      <c r="D20709" s="67"/>
      <c r="G20709" s="68"/>
      <c r="K20709" s="68"/>
    </row>
    <row r="20710" spans="4:11" ht="12.75">
      <c r="D20710" s="67"/>
      <c r="G20710" s="68"/>
      <c r="K20710" s="68"/>
    </row>
    <row r="20711" spans="4:11" ht="12.75">
      <c r="D20711" s="67"/>
      <c r="G20711" s="68"/>
      <c r="K20711" s="68"/>
    </row>
    <row r="20712" spans="4:11" ht="12.75">
      <c r="D20712" s="67"/>
      <c r="G20712" s="68"/>
      <c r="K20712" s="68"/>
    </row>
    <row r="20713" spans="4:11" ht="12.75">
      <c r="D20713" s="67"/>
      <c r="G20713" s="68"/>
      <c r="K20713" s="68"/>
    </row>
    <row r="20714" spans="4:11" ht="12.75">
      <c r="D20714" s="67"/>
      <c r="G20714" s="68"/>
      <c r="K20714" s="68"/>
    </row>
    <row r="20715" spans="4:11" ht="12.75">
      <c r="D20715" s="67"/>
      <c r="G20715" s="68"/>
      <c r="K20715" s="68"/>
    </row>
    <row r="20716" spans="4:11" ht="12.75">
      <c r="D20716" s="67"/>
      <c r="G20716" s="68"/>
      <c r="K20716" s="68"/>
    </row>
    <row r="20717" spans="4:11" ht="12.75">
      <c r="D20717" s="67"/>
      <c r="G20717" s="68"/>
      <c r="K20717" s="68"/>
    </row>
    <row r="20718" spans="4:11" ht="12.75">
      <c r="D20718" s="67"/>
      <c r="G20718" s="68"/>
      <c r="K20718" s="68"/>
    </row>
    <row r="20719" spans="4:11" ht="12.75">
      <c r="D20719" s="67"/>
      <c r="G20719" s="68"/>
      <c r="K20719" s="68"/>
    </row>
    <row r="20720" spans="4:11" ht="12.75">
      <c r="D20720" s="67"/>
      <c r="G20720" s="68"/>
      <c r="K20720" s="68"/>
    </row>
    <row r="20721" spans="4:11" ht="12.75">
      <c r="D20721" s="67"/>
      <c r="G20721" s="68"/>
      <c r="K20721" s="68"/>
    </row>
    <row r="20722" spans="4:11" ht="12.75">
      <c r="D20722" s="67"/>
      <c r="G20722" s="68"/>
      <c r="K20722" s="68"/>
    </row>
    <row r="20723" spans="4:11" ht="12.75">
      <c r="D20723" s="67"/>
      <c r="G20723" s="68"/>
      <c r="K20723" s="68"/>
    </row>
    <row r="20724" spans="4:11" ht="12.75">
      <c r="D20724" s="67"/>
      <c r="G20724" s="68"/>
      <c r="K20724" s="68"/>
    </row>
    <row r="20725" spans="4:11" ht="12.75">
      <c r="D20725" s="67"/>
      <c r="G20725" s="68"/>
      <c r="K20725" s="68"/>
    </row>
    <row r="20726" spans="4:11" ht="12.75">
      <c r="D20726" s="67"/>
      <c r="G20726" s="68"/>
      <c r="K20726" s="68"/>
    </row>
    <row r="20727" spans="4:11" ht="12.75">
      <c r="D20727" s="67"/>
      <c r="G20727" s="68"/>
      <c r="K20727" s="68"/>
    </row>
    <row r="20728" spans="4:11" ht="12.75">
      <c r="D20728" s="67"/>
      <c r="G20728" s="68"/>
      <c r="K20728" s="68"/>
    </row>
    <row r="20729" spans="4:11" ht="12.75">
      <c r="D20729" s="67"/>
      <c r="G20729" s="68"/>
      <c r="K20729" s="68"/>
    </row>
    <row r="20730" spans="4:11" ht="12.75">
      <c r="D20730" s="67"/>
      <c r="G20730" s="68"/>
      <c r="K20730" s="68"/>
    </row>
    <row r="20731" spans="4:11" ht="12.75">
      <c r="D20731" s="67"/>
      <c r="G20731" s="68"/>
      <c r="K20731" s="68"/>
    </row>
    <row r="20732" spans="4:11" ht="12.75">
      <c r="D20732" s="67"/>
      <c r="G20732" s="68"/>
      <c r="K20732" s="68"/>
    </row>
    <row r="20733" spans="4:11" ht="12.75">
      <c r="D20733" s="67"/>
      <c r="G20733" s="68"/>
      <c r="K20733" s="68"/>
    </row>
    <row r="20734" spans="4:11" ht="12.75">
      <c r="D20734" s="67"/>
      <c r="G20734" s="68"/>
      <c r="K20734" s="68"/>
    </row>
    <row r="20735" spans="4:11" ht="12.75">
      <c r="D20735" s="67"/>
      <c r="G20735" s="68"/>
      <c r="K20735" s="68"/>
    </row>
    <row r="20736" spans="4:11" ht="12.75">
      <c r="D20736" s="67"/>
      <c r="G20736" s="68"/>
      <c r="K20736" s="68"/>
    </row>
    <row r="20737" spans="4:11" ht="12.75">
      <c r="D20737" s="67"/>
      <c r="G20737" s="68"/>
      <c r="K20737" s="68"/>
    </row>
    <row r="20738" spans="4:11" ht="12.75">
      <c r="D20738" s="67"/>
      <c r="G20738" s="68"/>
      <c r="K20738" s="68"/>
    </row>
    <row r="20739" spans="4:11" ht="12.75">
      <c r="D20739" s="67"/>
      <c r="G20739" s="68"/>
      <c r="K20739" s="68"/>
    </row>
    <row r="20740" spans="4:11" ht="12.75">
      <c r="D20740" s="67"/>
      <c r="G20740" s="68"/>
      <c r="K20740" s="68"/>
    </row>
    <row r="20741" spans="4:11" ht="12.75">
      <c r="D20741" s="67"/>
      <c r="G20741" s="68"/>
      <c r="K20741" s="68"/>
    </row>
    <row r="20742" spans="4:11" ht="12.75">
      <c r="D20742" s="67"/>
      <c r="G20742" s="68"/>
      <c r="K20742" s="68"/>
    </row>
    <row r="20743" spans="4:11" ht="12.75">
      <c r="D20743" s="67"/>
      <c r="G20743" s="68"/>
      <c r="K20743" s="68"/>
    </row>
    <row r="20744" spans="4:11" ht="12.75">
      <c r="D20744" s="67"/>
      <c r="G20744" s="68"/>
      <c r="K20744" s="68"/>
    </row>
    <row r="20745" spans="4:11" ht="12.75">
      <c r="D20745" s="67"/>
      <c r="G20745" s="68"/>
      <c r="K20745" s="68"/>
    </row>
    <row r="20746" spans="4:11" ht="12.75">
      <c r="D20746" s="67"/>
      <c r="G20746" s="68"/>
      <c r="K20746" s="68"/>
    </row>
    <row r="20747" spans="4:11" ht="12.75">
      <c r="D20747" s="67"/>
      <c r="G20747" s="68"/>
      <c r="K20747" s="68"/>
    </row>
    <row r="20748" spans="4:11" ht="12.75">
      <c r="D20748" s="67"/>
      <c r="G20748" s="68"/>
      <c r="K20748" s="68"/>
    </row>
    <row r="20749" spans="4:11" ht="12.75">
      <c r="D20749" s="67"/>
      <c r="G20749" s="68"/>
      <c r="K20749" s="68"/>
    </row>
    <row r="20750" spans="4:11" ht="12.75">
      <c r="D20750" s="67"/>
      <c r="G20750" s="68"/>
      <c r="K20750" s="68"/>
    </row>
    <row r="20751" spans="4:11" ht="12.75">
      <c r="D20751" s="67"/>
      <c r="G20751" s="68"/>
      <c r="K20751" s="68"/>
    </row>
    <row r="20752" spans="4:11" ht="12.75">
      <c r="D20752" s="67"/>
      <c r="G20752" s="68"/>
      <c r="K20752" s="68"/>
    </row>
    <row r="20753" spans="4:11" ht="12.75">
      <c r="D20753" s="67"/>
      <c r="G20753" s="68"/>
      <c r="K20753" s="68"/>
    </row>
    <row r="20754" spans="4:11" ht="12.75">
      <c r="D20754" s="67"/>
      <c r="G20754" s="68"/>
      <c r="K20754" s="68"/>
    </row>
    <row r="20755" spans="4:11" ht="12.75">
      <c r="D20755" s="67"/>
      <c r="G20755" s="68"/>
      <c r="K20755" s="68"/>
    </row>
    <row r="20756" spans="4:11" ht="12.75">
      <c r="D20756" s="67"/>
      <c r="G20756" s="68"/>
      <c r="K20756" s="68"/>
    </row>
    <row r="20757" spans="4:11" ht="12.75">
      <c r="D20757" s="67"/>
      <c r="G20757" s="68"/>
      <c r="K20757" s="68"/>
    </row>
    <row r="20758" spans="4:11" ht="12.75">
      <c r="D20758" s="67"/>
      <c r="G20758" s="68"/>
      <c r="K20758" s="68"/>
    </row>
    <row r="20759" spans="4:11" ht="12.75">
      <c r="D20759" s="67"/>
      <c r="G20759" s="68"/>
      <c r="K20759" s="68"/>
    </row>
    <row r="20760" spans="4:11" ht="12.75">
      <c r="D20760" s="67"/>
      <c r="G20760" s="68"/>
      <c r="K20760" s="68"/>
    </row>
    <row r="20761" spans="4:11" ht="12.75">
      <c r="D20761" s="67"/>
      <c r="G20761" s="68"/>
      <c r="K20761" s="68"/>
    </row>
    <row r="20762" spans="4:11" ht="12.75">
      <c r="D20762" s="67"/>
      <c r="G20762" s="68"/>
      <c r="K20762" s="68"/>
    </row>
    <row r="20763" spans="4:11" ht="12.75">
      <c r="D20763" s="67"/>
      <c r="G20763" s="68"/>
      <c r="K20763" s="68"/>
    </row>
    <row r="20764" spans="4:11" ht="12.75">
      <c r="D20764" s="67"/>
      <c r="G20764" s="68"/>
      <c r="K20764" s="68"/>
    </row>
    <row r="20765" spans="4:11" ht="12.75">
      <c r="D20765" s="67"/>
      <c r="G20765" s="68"/>
      <c r="K20765" s="68"/>
    </row>
    <row r="20766" spans="4:11" ht="12.75">
      <c r="D20766" s="67"/>
      <c r="G20766" s="68"/>
      <c r="K20766" s="68"/>
    </row>
    <row r="20767" spans="4:11" ht="12.75">
      <c r="D20767" s="67"/>
      <c r="G20767" s="68"/>
      <c r="K20767" s="68"/>
    </row>
    <row r="20768" spans="4:11" ht="12.75">
      <c r="D20768" s="67"/>
      <c r="G20768" s="68"/>
      <c r="K20768" s="68"/>
    </row>
    <row r="20769" spans="4:11" ht="12.75">
      <c r="D20769" s="67"/>
      <c r="G20769" s="68"/>
      <c r="K20769" s="68"/>
    </row>
    <row r="20770" spans="4:11" ht="12.75">
      <c r="D20770" s="67"/>
      <c r="G20770" s="68"/>
      <c r="K20770" s="68"/>
    </row>
    <row r="20771" spans="4:11" ht="12.75">
      <c r="D20771" s="67"/>
      <c r="G20771" s="68"/>
      <c r="K20771" s="68"/>
    </row>
    <row r="20772" spans="4:11" ht="12.75">
      <c r="D20772" s="67"/>
      <c r="G20772" s="68"/>
      <c r="K20772" s="68"/>
    </row>
    <row r="20773" spans="4:11" ht="12.75">
      <c r="D20773" s="67"/>
      <c r="G20773" s="68"/>
      <c r="K20773" s="68"/>
    </row>
    <row r="20774" spans="4:11" ht="12.75">
      <c r="D20774" s="67"/>
      <c r="G20774" s="68"/>
      <c r="K20774" s="68"/>
    </row>
    <row r="20775" spans="4:11" ht="12.75">
      <c r="D20775" s="67"/>
      <c r="G20775" s="68"/>
      <c r="K20775" s="68"/>
    </row>
    <row r="20776" spans="4:11" ht="12.75">
      <c r="D20776" s="67"/>
      <c r="G20776" s="68"/>
      <c r="K20776" s="68"/>
    </row>
    <row r="20777" spans="4:11" ht="12.75">
      <c r="D20777" s="67"/>
      <c r="G20777" s="68"/>
      <c r="K20777" s="68"/>
    </row>
    <row r="20778" spans="4:11" ht="12.75">
      <c r="D20778" s="67"/>
      <c r="G20778" s="68"/>
      <c r="K20778" s="68"/>
    </row>
    <row r="20779" spans="4:11" ht="12.75">
      <c r="D20779" s="67"/>
      <c r="G20779" s="68"/>
      <c r="K20779" s="68"/>
    </row>
    <row r="20780" spans="4:11" ht="12.75">
      <c r="D20780" s="67"/>
      <c r="G20780" s="68"/>
      <c r="K20780" s="68"/>
    </row>
    <row r="20781" spans="4:11" ht="12.75">
      <c r="D20781" s="67"/>
      <c r="G20781" s="68"/>
      <c r="K20781" s="68"/>
    </row>
    <row r="20782" spans="4:11" ht="12.75">
      <c r="D20782" s="67"/>
      <c r="G20782" s="68"/>
      <c r="K20782" s="68"/>
    </row>
    <row r="20783" spans="4:11" ht="12.75">
      <c r="D20783" s="67"/>
      <c r="G20783" s="68"/>
      <c r="K20783" s="68"/>
    </row>
    <row r="20784" spans="4:11" ht="12.75">
      <c r="D20784" s="67"/>
      <c r="G20784" s="68"/>
      <c r="K20784" s="68"/>
    </row>
    <row r="20785" spans="4:11" ht="12.75">
      <c r="D20785" s="67"/>
      <c r="G20785" s="68"/>
      <c r="K20785" s="68"/>
    </row>
    <row r="20786" spans="4:11" ht="12.75">
      <c r="D20786" s="67"/>
      <c r="G20786" s="68"/>
      <c r="K20786" s="68"/>
    </row>
    <row r="20787" spans="4:11" ht="12.75">
      <c r="D20787" s="67"/>
      <c r="G20787" s="68"/>
      <c r="K20787" s="68"/>
    </row>
    <row r="20788" spans="4:11" ht="12.75">
      <c r="D20788" s="67"/>
      <c r="G20788" s="68"/>
      <c r="K20788" s="68"/>
    </row>
    <row r="20789" spans="4:11" ht="12.75">
      <c r="D20789" s="67"/>
      <c r="G20789" s="68"/>
      <c r="K20789" s="68"/>
    </row>
    <row r="20790" spans="4:11" ht="12.75">
      <c r="D20790" s="67"/>
      <c r="G20790" s="68"/>
      <c r="K20790" s="68"/>
    </row>
    <row r="20791" spans="4:11" ht="12.75">
      <c r="D20791" s="67"/>
      <c r="G20791" s="68"/>
      <c r="K20791" s="68"/>
    </row>
    <row r="20792" spans="4:11" ht="12.75">
      <c r="D20792" s="67"/>
      <c r="G20792" s="68"/>
      <c r="K20792" s="68"/>
    </row>
    <row r="20793" spans="4:11" ht="12.75">
      <c r="D20793" s="67"/>
      <c r="G20793" s="68"/>
      <c r="K20793" s="68"/>
    </row>
    <row r="20794" spans="4:11" ht="12.75">
      <c r="D20794" s="67"/>
      <c r="G20794" s="68"/>
      <c r="K20794" s="68"/>
    </row>
    <row r="20795" spans="4:11" ht="12.75">
      <c r="D20795" s="67"/>
      <c r="G20795" s="68"/>
      <c r="K20795" s="68"/>
    </row>
    <row r="20796" spans="4:11" ht="12.75">
      <c r="D20796" s="67"/>
      <c r="G20796" s="68"/>
      <c r="K20796" s="68"/>
    </row>
    <row r="20797" spans="4:11" ht="12.75">
      <c r="D20797" s="67"/>
      <c r="G20797" s="68"/>
      <c r="K20797" s="68"/>
    </row>
    <row r="20798" spans="4:11" ht="12.75">
      <c r="D20798" s="67"/>
      <c r="G20798" s="68"/>
      <c r="K20798" s="68"/>
    </row>
    <row r="20799" spans="4:11" ht="12.75">
      <c r="D20799" s="67"/>
      <c r="G20799" s="68"/>
      <c r="K20799" s="68"/>
    </row>
    <row r="20800" spans="4:11" ht="12.75">
      <c r="D20800" s="67"/>
      <c r="G20800" s="68"/>
      <c r="K20800" s="68"/>
    </row>
    <row r="20801" spans="4:11" ht="12.75">
      <c r="D20801" s="67"/>
      <c r="G20801" s="68"/>
      <c r="K20801" s="68"/>
    </row>
    <row r="20802" spans="4:11" ht="12.75">
      <c r="D20802" s="67"/>
      <c r="G20802" s="68"/>
      <c r="K20802" s="68"/>
    </row>
    <row r="20803" spans="4:11" ht="12.75">
      <c r="D20803" s="67"/>
      <c r="G20803" s="68"/>
      <c r="K20803" s="68"/>
    </row>
    <row r="20804" spans="4:11" ht="12.75">
      <c r="D20804" s="67"/>
      <c r="G20804" s="68"/>
      <c r="K20804" s="68"/>
    </row>
    <row r="20805" spans="4:11" ht="12.75">
      <c r="D20805" s="67"/>
      <c r="G20805" s="68"/>
      <c r="K20805" s="68"/>
    </row>
    <row r="20806" spans="4:11" ht="12.75">
      <c r="D20806" s="67"/>
      <c r="G20806" s="68"/>
      <c r="K20806" s="68"/>
    </row>
    <row r="20807" spans="4:11" ht="12.75">
      <c r="D20807" s="67"/>
      <c r="G20807" s="68"/>
      <c r="K20807" s="68"/>
    </row>
    <row r="20808" spans="4:11" ht="12.75">
      <c r="D20808" s="67"/>
      <c r="G20808" s="68"/>
      <c r="K20808" s="68"/>
    </row>
    <row r="20809" spans="4:11" ht="12.75">
      <c r="D20809" s="67"/>
      <c r="G20809" s="68"/>
      <c r="K20809" s="68"/>
    </row>
    <row r="20810" spans="4:11" ht="12.75">
      <c r="D20810" s="67"/>
      <c r="G20810" s="68"/>
      <c r="K20810" s="68"/>
    </row>
    <row r="20811" spans="4:11" ht="12.75">
      <c r="D20811" s="67"/>
      <c r="G20811" s="68"/>
      <c r="K20811" s="68"/>
    </row>
    <row r="20812" spans="4:11" ht="12.75">
      <c r="D20812" s="67"/>
      <c r="G20812" s="68"/>
      <c r="K20812" s="68"/>
    </row>
    <row r="20813" spans="4:11" ht="12.75">
      <c r="D20813" s="67"/>
      <c r="G20813" s="68"/>
      <c r="K20813" s="68"/>
    </row>
    <row r="20814" spans="4:11" ht="12.75">
      <c r="D20814" s="67"/>
      <c r="G20814" s="68"/>
      <c r="K20814" s="68"/>
    </row>
    <row r="20815" spans="4:11" ht="12.75">
      <c r="D20815" s="67"/>
      <c r="G20815" s="68"/>
      <c r="K20815" s="68"/>
    </row>
    <row r="20816" spans="4:11" ht="12.75">
      <c r="D20816" s="67"/>
      <c r="G20816" s="68"/>
      <c r="K20816" s="68"/>
    </row>
    <row r="20817" spans="4:11" ht="12.75">
      <c r="D20817" s="67"/>
      <c r="G20817" s="68"/>
      <c r="K20817" s="68"/>
    </row>
    <row r="20818" spans="4:11" ht="12.75">
      <c r="D20818" s="67"/>
      <c r="G20818" s="68"/>
      <c r="K20818" s="68"/>
    </row>
    <row r="20819" spans="4:11" ht="12.75">
      <c r="D20819" s="67"/>
      <c r="G20819" s="68"/>
      <c r="K20819" s="68"/>
    </row>
    <row r="20820" spans="4:11" ht="12.75">
      <c r="D20820" s="67"/>
      <c r="G20820" s="68"/>
      <c r="K20820" s="68"/>
    </row>
    <row r="20821" spans="4:11" ht="12.75">
      <c r="D20821" s="67"/>
      <c r="G20821" s="68"/>
      <c r="K20821" s="68"/>
    </row>
    <row r="20822" spans="4:11" ht="12.75">
      <c r="D20822" s="67"/>
      <c r="G20822" s="68"/>
      <c r="K20822" s="68"/>
    </row>
    <row r="20823" spans="4:11" ht="12.75">
      <c r="D20823" s="67"/>
      <c r="G20823" s="68"/>
      <c r="K20823" s="68"/>
    </row>
    <row r="20824" spans="4:11" ht="12.75">
      <c r="D20824" s="67"/>
      <c r="G20824" s="68"/>
      <c r="K20824" s="68"/>
    </row>
    <row r="20825" spans="4:11" ht="12.75">
      <c r="D20825" s="67"/>
      <c r="G20825" s="68"/>
      <c r="K20825" s="68"/>
    </row>
    <row r="20826" spans="4:11" ht="12.75">
      <c r="D20826" s="67"/>
      <c r="G20826" s="68"/>
      <c r="K20826" s="68"/>
    </row>
    <row r="20827" spans="4:11" ht="12.75">
      <c r="D20827" s="67"/>
      <c r="G20827" s="68"/>
      <c r="K20827" s="68"/>
    </row>
    <row r="20828" spans="4:11" ht="12.75">
      <c r="D20828" s="67"/>
      <c r="G20828" s="68"/>
      <c r="K20828" s="68"/>
    </row>
    <row r="20829" spans="4:11" ht="12.75">
      <c r="D20829" s="67"/>
      <c r="G20829" s="68"/>
      <c r="K20829" s="68"/>
    </row>
    <row r="20830" spans="4:11" ht="12.75">
      <c r="D20830" s="67"/>
      <c r="G20830" s="68"/>
      <c r="K20830" s="68"/>
    </row>
    <row r="20831" spans="4:11" ht="12.75">
      <c r="D20831" s="67"/>
      <c r="G20831" s="68"/>
      <c r="K20831" s="68"/>
    </row>
    <row r="20832" spans="4:11" ht="12.75">
      <c r="D20832" s="67"/>
      <c r="G20832" s="68"/>
      <c r="K20832" s="68"/>
    </row>
    <row r="20833" spans="4:11" ht="12.75">
      <c r="D20833" s="67"/>
      <c r="G20833" s="68"/>
      <c r="K20833" s="68"/>
    </row>
    <row r="20834" spans="4:11" ht="12.75">
      <c r="D20834" s="67"/>
      <c r="G20834" s="68"/>
      <c r="K20834" s="68"/>
    </row>
    <row r="20835" spans="4:11" ht="12.75">
      <c r="D20835" s="67"/>
      <c r="G20835" s="68"/>
      <c r="K20835" s="68"/>
    </row>
    <row r="20836" spans="4:11" ht="12.75">
      <c r="D20836" s="67"/>
      <c r="G20836" s="68"/>
      <c r="K20836" s="68"/>
    </row>
    <row r="20837" spans="4:11" ht="12.75">
      <c r="D20837" s="67"/>
      <c r="G20837" s="68"/>
      <c r="K20837" s="68"/>
    </row>
    <row r="20838" spans="4:11" ht="12.75">
      <c r="D20838" s="67"/>
      <c r="G20838" s="68"/>
      <c r="K20838" s="68"/>
    </row>
    <row r="20839" spans="4:11" ht="12.75">
      <c r="D20839" s="67"/>
      <c r="G20839" s="68"/>
      <c r="K20839" s="68"/>
    </row>
    <row r="20840" spans="4:11" ht="12.75">
      <c r="D20840" s="67"/>
      <c r="G20840" s="68"/>
      <c r="K20840" s="68"/>
    </row>
    <row r="20841" spans="4:11" ht="12.75">
      <c r="D20841" s="67"/>
      <c r="G20841" s="68"/>
      <c r="K20841" s="68"/>
    </row>
    <row r="20842" spans="4:11" ht="12.75">
      <c r="D20842" s="67"/>
      <c r="G20842" s="68"/>
      <c r="K20842" s="68"/>
    </row>
    <row r="20843" spans="4:11" ht="12.75">
      <c r="D20843" s="67"/>
      <c r="G20843" s="68"/>
      <c r="K20843" s="68"/>
    </row>
    <row r="20844" spans="4:11" ht="12.75">
      <c r="D20844" s="67"/>
      <c r="G20844" s="68"/>
      <c r="K20844" s="68"/>
    </row>
    <row r="20845" spans="4:11" ht="12.75">
      <c r="D20845" s="67"/>
      <c r="G20845" s="68"/>
      <c r="K20845" s="68"/>
    </row>
    <row r="20846" spans="4:11" ht="12.75">
      <c r="D20846" s="67"/>
      <c r="G20846" s="68"/>
      <c r="K20846" s="68"/>
    </row>
    <row r="20847" spans="4:11" ht="12.75">
      <c r="D20847" s="67"/>
      <c r="G20847" s="68"/>
      <c r="K20847" s="68"/>
    </row>
    <row r="20848" spans="4:11" ht="12.75">
      <c r="D20848" s="67"/>
      <c r="G20848" s="68"/>
      <c r="K20848" s="68"/>
    </row>
    <row r="20849" spans="4:11" ht="12.75">
      <c r="D20849" s="67"/>
      <c r="G20849" s="68"/>
      <c r="K20849" s="68"/>
    </row>
    <row r="20850" spans="4:11" ht="12.75">
      <c r="D20850" s="67"/>
      <c r="G20850" s="68"/>
      <c r="K20850" s="68"/>
    </row>
    <row r="20851" spans="4:11" ht="12.75">
      <c r="D20851" s="67"/>
      <c r="G20851" s="68"/>
      <c r="K20851" s="68"/>
    </row>
    <row r="20852" spans="4:11" ht="12.75">
      <c r="D20852" s="67"/>
      <c r="G20852" s="68"/>
      <c r="K20852" s="68"/>
    </row>
    <row r="20853" spans="4:11" ht="12.75">
      <c r="D20853" s="67"/>
      <c r="G20853" s="68"/>
      <c r="K20853" s="68"/>
    </row>
    <row r="20854" spans="4:11" ht="12.75">
      <c r="D20854" s="67"/>
      <c r="G20854" s="68"/>
      <c r="K20854" s="68"/>
    </row>
    <row r="20855" spans="4:11" ht="12.75">
      <c r="D20855" s="67"/>
      <c r="G20855" s="68"/>
      <c r="K20855" s="68"/>
    </row>
    <row r="20856" spans="4:11" ht="12.75">
      <c r="D20856" s="67"/>
      <c r="G20856" s="68"/>
      <c r="K20856" s="68"/>
    </row>
    <row r="20857" spans="4:11" ht="12.75">
      <c r="D20857" s="67"/>
      <c r="G20857" s="68"/>
      <c r="K20857" s="68"/>
    </row>
    <row r="20858" spans="4:11" ht="12.75">
      <c r="D20858" s="67"/>
      <c r="G20858" s="68"/>
      <c r="K20858" s="68"/>
    </row>
    <row r="20859" spans="4:11" ht="12.75">
      <c r="D20859" s="67"/>
      <c r="G20859" s="68"/>
      <c r="K20859" s="68"/>
    </row>
    <row r="20860" spans="4:11" ht="12.75">
      <c r="D20860" s="67"/>
      <c r="G20860" s="68"/>
      <c r="K20860" s="68"/>
    </row>
    <row r="20861" spans="4:11" ht="12.75">
      <c r="D20861" s="67"/>
      <c r="G20861" s="68"/>
      <c r="K20861" s="68"/>
    </row>
    <row r="20862" spans="4:11" ht="12.75">
      <c r="D20862" s="67"/>
      <c r="G20862" s="68"/>
      <c r="K20862" s="68"/>
    </row>
    <row r="20863" spans="4:11" ht="12.75">
      <c r="D20863" s="67"/>
      <c r="G20863" s="68"/>
      <c r="K20863" s="68"/>
    </row>
    <row r="20864" spans="4:11" ht="12.75">
      <c r="D20864" s="67"/>
      <c r="G20864" s="68"/>
      <c r="K20864" s="68"/>
    </row>
    <row r="20865" spans="4:11" ht="12.75">
      <c r="D20865" s="67"/>
      <c r="G20865" s="68"/>
      <c r="K20865" s="68"/>
    </row>
    <row r="20866" spans="4:11" ht="12.75">
      <c r="D20866" s="67"/>
      <c r="G20866" s="68"/>
      <c r="K20866" s="68"/>
    </row>
    <row r="20867" spans="4:11" ht="12.75">
      <c r="D20867" s="67"/>
      <c r="G20867" s="68"/>
      <c r="K20867" s="68"/>
    </row>
    <row r="20868" spans="4:11" ht="12.75">
      <c r="D20868" s="67"/>
      <c r="G20868" s="68"/>
      <c r="K20868" s="68"/>
    </row>
    <row r="20869" spans="4:11" ht="12.75">
      <c r="D20869" s="67"/>
      <c r="G20869" s="68"/>
      <c r="K20869" s="68"/>
    </row>
    <row r="20870" spans="4:11" ht="12.75">
      <c r="D20870" s="67"/>
      <c r="G20870" s="68"/>
      <c r="K20870" s="68"/>
    </row>
    <row r="20871" spans="4:11" ht="12.75">
      <c r="D20871" s="67"/>
      <c r="G20871" s="68"/>
      <c r="K20871" s="68"/>
    </row>
    <row r="20872" spans="4:11" ht="12.75">
      <c r="D20872" s="67"/>
      <c r="G20872" s="68"/>
      <c r="K20872" s="68"/>
    </row>
    <row r="20873" spans="4:11" ht="12.75">
      <c r="D20873" s="67"/>
      <c r="G20873" s="68"/>
      <c r="K20873" s="68"/>
    </row>
    <row r="20874" spans="4:11" ht="12.75">
      <c r="D20874" s="67"/>
      <c r="G20874" s="68"/>
      <c r="K20874" s="68"/>
    </row>
    <row r="20875" spans="4:11" ht="12.75">
      <c r="D20875" s="67"/>
      <c r="G20875" s="68"/>
      <c r="K20875" s="68"/>
    </row>
    <row r="20876" spans="4:11" ht="12.75">
      <c r="D20876" s="67"/>
      <c r="G20876" s="68"/>
      <c r="K20876" s="68"/>
    </row>
    <row r="20877" spans="4:11" ht="12.75">
      <c r="D20877" s="67"/>
      <c r="G20877" s="68"/>
      <c r="K20877" s="68"/>
    </row>
    <row r="20878" spans="4:11" ht="12.75">
      <c r="D20878" s="67"/>
      <c r="G20878" s="68"/>
      <c r="K20878" s="68"/>
    </row>
    <row r="20879" spans="4:11" ht="12.75">
      <c r="D20879" s="67"/>
      <c r="G20879" s="68"/>
      <c r="K20879" s="68"/>
    </row>
    <row r="20880" spans="4:11" ht="12.75">
      <c r="D20880" s="67"/>
      <c r="G20880" s="68"/>
      <c r="K20880" s="68"/>
    </row>
    <row r="20881" spans="4:11" ht="12.75">
      <c r="D20881" s="67"/>
      <c r="G20881" s="68"/>
      <c r="K20881" s="68"/>
    </row>
    <row r="20882" spans="4:11" ht="12.75">
      <c r="D20882" s="67"/>
      <c r="G20882" s="68"/>
      <c r="K20882" s="68"/>
    </row>
    <row r="20883" spans="4:11" ht="12.75">
      <c r="D20883" s="67"/>
      <c r="G20883" s="68"/>
      <c r="K20883" s="68"/>
    </row>
    <row r="20884" spans="4:11" ht="12.75">
      <c r="D20884" s="67"/>
      <c r="G20884" s="68"/>
      <c r="K20884" s="68"/>
    </row>
    <row r="20885" spans="4:11" ht="12.75">
      <c r="D20885" s="67"/>
      <c r="G20885" s="68"/>
      <c r="K20885" s="68"/>
    </row>
    <row r="20886" spans="4:11" ht="12.75">
      <c r="D20886" s="67"/>
      <c r="G20886" s="68"/>
      <c r="K20886" s="68"/>
    </row>
    <row r="20887" spans="4:11" ht="12.75">
      <c r="D20887" s="67"/>
      <c r="G20887" s="68"/>
      <c r="K20887" s="68"/>
    </row>
    <row r="20888" spans="4:11" ht="12.75">
      <c r="D20888" s="67"/>
      <c r="G20888" s="68"/>
      <c r="K20888" s="68"/>
    </row>
    <row r="20889" spans="4:11" ht="12.75">
      <c r="D20889" s="67"/>
      <c r="G20889" s="68"/>
      <c r="K20889" s="68"/>
    </row>
    <row r="20890" spans="4:11" ht="12.75">
      <c r="D20890" s="67"/>
      <c r="G20890" s="68"/>
      <c r="K20890" s="68"/>
    </row>
    <row r="20891" spans="4:11" ht="12.75">
      <c r="D20891" s="67"/>
      <c r="G20891" s="68"/>
      <c r="K20891" s="68"/>
    </row>
    <row r="20892" spans="4:11" ht="12.75">
      <c r="D20892" s="67"/>
      <c r="G20892" s="68"/>
      <c r="K20892" s="68"/>
    </row>
    <row r="20893" spans="4:11" ht="12.75">
      <c r="D20893" s="67"/>
      <c r="G20893" s="68"/>
      <c r="K20893" s="68"/>
    </row>
    <row r="20894" spans="4:11" ht="12.75">
      <c r="D20894" s="67"/>
      <c r="G20894" s="68"/>
      <c r="K20894" s="68"/>
    </row>
    <row r="20895" spans="4:11" ht="12.75">
      <c r="D20895" s="67"/>
      <c r="G20895" s="68"/>
      <c r="K20895" s="68"/>
    </row>
    <row r="20896" spans="4:11" ht="12.75">
      <c r="D20896" s="67"/>
      <c r="G20896" s="68"/>
      <c r="K20896" s="68"/>
    </row>
    <row r="20897" spans="4:11" ht="12.75">
      <c r="D20897" s="67"/>
      <c r="G20897" s="68"/>
      <c r="K20897" s="68"/>
    </row>
    <row r="20898" spans="4:11" ht="12.75">
      <c r="D20898" s="67"/>
      <c r="G20898" s="68"/>
      <c r="K20898" s="68"/>
    </row>
    <row r="20899" spans="4:11" ht="12.75">
      <c r="D20899" s="67"/>
      <c r="G20899" s="68"/>
      <c r="K20899" s="68"/>
    </row>
    <row r="20900" spans="4:11" ht="12.75">
      <c r="D20900" s="67"/>
      <c r="G20900" s="68"/>
      <c r="K20900" s="68"/>
    </row>
    <row r="20901" spans="4:11" ht="12.75">
      <c r="D20901" s="67"/>
      <c r="G20901" s="68"/>
      <c r="K20901" s="68"/>
    </row>
    <row r="20902" spans="4:11" ht="12.75">
      <c r="D20902" s="67"/>
      <c r="G20902" s="68"/>
      <c r="K20902" s="68"/>
    </row>
    <row r="20903" spans="4:11" ht="12.75">
      <c r="D20903" s="67"/>
      <c r="G20903" s="68"/>
      <c r="K20903" s="68"/>
    </row>
    <row r="20904" spans="4:11" ht="12.75">
      <c r="D20904" s="67"/>
      <c r="G20904" s="68"/>
      <c r="K20904" s="68"/>
    </row>
    <row r="20905" spans="4:11" ht="12.75">
      <c r="D20905" s="67"/>
      <c r="G20905" s="68"/>
      <c r="K20905" s="68"/>
    </row>
    <row r="20906" spans="4:11" ht="12.75">
      <c r="D20906" s="67"/>
      <c r="G20906" s="68"/>
      <c r="K20906" s="68"/>
    </row>
    <row r="20907" spans="4:11" ht="12.75">
      <c r="D20907" s="67"/>
      <c r="G20907" s="68"/>
      <c r="K20907" s="68"/>
    </row>
    <row r="20908" spans="4:11" ht="12.75">
      <c r="D20908" s="67"/>
      <c r="G20908" s="68"/>
      <c r="K20908" s="68"/>
    </row>
    <row r="20909" spans="4:11" ht="12.75">
      <c r="D20909" s="67"/>
      <c r="G20909" s="68"/>
      <c r="K20909" s="68"/>
    </row>
    <row r="20910" spans="4:11" ht="12.75">
      <c r="D20910" s="67"/>
      <c r="G20910" s="68"/>
      <c r="K20910" s="68"/>
    </row>
    <row r="20911" spans="4:11" ht="12.75">
      <c r="D20911" s="67"/>
      <c r="G20911" s="68"/>
      <c r="K20911" s="68"/>
    </row>
    <row r="20912" spans="4:11" ht="12.75">
      <c r="D20912" s="67"/>
      <c r="G20912" s="68"/>
      <c r="K20912" s="68"/>
    </row>
    <row r="20913" spans="4:11" ht="12.75">
      <c r="D20913" s="67"/>
      <c r="G20913" s="68"/>
      <c r="K20913" s="68"/>
    </row>
    <row r="20914" spans="4:11" ht="12.75">
      <c r="D20914" s="67"/>
      <c r="G20914" s="68"/>
      <c r="K20914" s="68"/>
    </row>
    <row r="20915" spans="4:11" ht="12.75">
      <c r="D20915" s="67"/>
      <c r="G20915" s="68"/>
      <c r="K20915" s="68"/>
    </row>
    <row r="20916" spans="4:11" ht="12.75">
      <c r="D20916" s="67"/>
      <c r="G20916" s="68"/>
      <c r="K20916" s="68"/>
    </row>
    <row r="20917" spans="4:11" ht="12.75">
      <c r="D20917" s="67"/>
      <c r="G20917" s="68"/>
      <c r="K20917" s="68"/>
    </row>
    <row r="20918" spans="4:11" ht="12.75">
      <c r="D20918" s="67"/>
      <c r="G20918" s="68"/>
      <c r="K20918" s="68"/>
    </row>
    <row r="20919" spans="4:11" ht="12.75">
      <c r="D20919" s="67"/>
      <c r="G20919" s="68"/>
      <c r="K20919" s="68"/>
    </row>
    <row r="20920" spans="4:11" ht="12.75">
      <c r="D20920" s="67"/>
      <c r="G20920" s="68"/>
      <c r="K20920" s="68"/>
    </row>
    <row r="20921" spans="4:11" ht="12.75">
      <c r="D20921" s="67"/>
      <c r="G20921" s="68"/>
      <c r="K20921" s="68"/>
    </row>
    <row r="20922" spans="4:11" ht="12.75">
      <c r="D20922" s="67"/>
      <c r="G20922" s="68"/>
      <c r="K20922" s="68"/>
    </row>
    <row r="20923" spans="4:11" ht="12.75">
      <c r="D20923" s="67"/>
      <c r="G20923" s="68"/>
      <c r="K20923" s="68"/>
    </row>
    <row r="20924" spans="4:11" ht="12.75">
      <c r="D20924" s="67"/>
      <c r="G20924" s="68"/>
      <c r="K20924" s="68"/>
    </row>
    <row r="20925" spans="4:11" ht="12.75">
      <c r="D20925" s="67"/>
      <c r="G20925" s="68"/>
      <c r="K20925" s="68"/>
    </row>
    <row r="20926" spans="4:11" ht="12.75">
      <c r="D20926" s="67"/>
      <c r="G20926" s="68"/>
      <c r="K20926" s="68"/>
    </row>
    <row r="20927" spans="4:11" ht="12.75">
      <c r="D20927" s="67"/>
      <c r="G20927" s="68"/>
      <c r="K20927" s="68"/>
    </row>
    <row r="20928" spans="4:11" ht="12.75">
      <c r="D20928" s="67"/>
      <c r="G20928" s="68"/>
      <c r="K20928" s="68"/>
    </row>
    <row r="20929" spans="4:11" ht="12.75">
      <c r="D20929" s="67"/>
      <c r="G20929" s="68"/>
      <c r="K20929" s="68"/>
    </row>
    <row r="20930" spans="4:11" ht="12.75">
      <c r="D20930" s="67"/>
      <c r="G20930" s="68"/>
      <c r="K20930" s="68"/>
    </row>
    <row r="20931" spans="4:11" ht="12.75">
      <c r="D20931" s="67"/>
      <c r="G20931" s="68"/>
      <c r="K20931" s="68"/>
    </row>
    <row r="20932" spans="4:11" ht="12.75">
      <c r="D20932" s="67"/>
      <c r="G20932" s="68"/>
      <c r="K20932" s="68"/>
    </row>
    <row r="20933" spans="4:11" ht="12.75">
      <c r="D20933" s="67"/>
      <c r="G20933" s="68"/>
      <c r="K20933" s="68"/>
    </row>
    <row r="20934" spans="4:11" ht="12.75">
      <c r="D20934" s="67"/>
      <c r="G20934" s="68"/>
      <c r="K20934" s="68"/>
    </row>
    <row r="20935" spans="4:11" ht="12.75">
      <c r="D20935" s="67"/>
      <c r="G20935" s="68"/>
      <c r="K20935" s="68"/>
    </row>
    <row r="20936" spans="4:11" ht="12.75">
      <c r="D20936" s="67"/>
      <c r="G20936" s="68"/>
      <c r="K20936" s="68"/>
    </row>
    <row r="20937" spans="4:11" ht="12.75">
      <c r="D20937" s="67"/>
      <c r="G20937" s="68"/>
      <c r="K20937" s="68"/>
    </row>
    <row r="20938" spans="4:11" ht="12.75">
      <c r="D20938" s="67"/>
      <c r="G20938" s="68"/>
      <c r="K20938" s="68"/>
    </row>
    <row r="20939" spans="4:11" ht="12.75">
      <c r="D20939" s="67"/>
      <c r="G20939" s="68"/>
      <c r="K20939" s="68"/>
    </row>
    <row r="20940" spans="4:11" ht="12.75">
      <c r="D20940" s="67"/>
      <c r="G20940" s="68"/>
      <c r="K20940" s="68"/>
    </row>
    <row r="20941" spans="4:11" ht="12.75">
      <c r="D20941" s="67"/>
      <c r="G20941" s="68"/>
      <c r="K20941" s="68"/>
    </row>
    <row r="20942" spans="4:11" ht="12.75">
      <c r="D20942" s="67"/>
      <c r="G20942" s="68"/>
      <c r="K20942" s="68"/>
    </row>
    <row r="20943" spans="4:11" ht="12.75">
      <c r="D20943" s="67"/>
      <c r="G20943" s="68"/>
      <c r="K20943" s="68"/>
    </row>
    <row r="20944" spans="4:11" ht="12.75">
      <c r="D20944" s="67"/>
      <c r="G20944" s="68"/>
      <c r="K20944" s="68"/>
    </row>
    <row r="20945" spans="4:11" ht="12.75">
      <c r="D20945" s="67"/>
      <c r="G20945" s="68"/>
      <c r="K20945" s="68"/>
    </row>
    <row r="20946" spans="4:11" ht="12.75">
      <c r="D20946" s="67"/>
      <c r="G20946" s="68"/>
      <c r="K20946" s="68"/>
    </row>
    <row r="20947" spans="4:11" ht="12.75">
      <c r="D20947" s="67"/>
      <c r="G20947" s="68"/>
      <c r="K20947" s="68"/>
    </row>
    <row r="20948" spans="4:11" ht="12.75">
      <c r="D20948" s="67"/>
      <c r="G20948" s="68"/>
      <c r="K20948" s="68"/>
    </row>
    <row r="20949" spans="4:11" ht="12.75">
      <c r="D20949" s="67"/>
      <c r="G20949" s="68"/>
      <c r="K20949" s="68"/>
    </row>
    <row r="20950" spans="4:11" ht="12.75">
      <c r="D20950" s="67"/>
      <c r="G20950" s="68"/>
      <c r="K20950" s="68"/>
    </row>
    <row r="20951" spans="4:11" ht="12.75">
      <c r="D20951" s="67"/>
      <c r="G20951" s="68"/>
      <c r="K20951" s="68"/>
    </row>
    <row r="20952" spans="4:11" ht="12.75">
      <c r="D20952" s="67"/>
      <c r="G20952" s="68"/>
      <c r="K20952" s="68"/>
    </row>
    <row r="20953" spans="4:11" ht="12.75">
      <c r="D20953" s="67"/>
      <c r="G20953" s="68"/>
      <c r="K20953" s="68"/>
    </row>
    <row r="20954" spans="4:11" ht="12.75">
      <c r="D20954" s="67"/>
      <c r="G20954" s="68"/>
      <c r="K20954" s="68"/>
    </row>
    <row r="20955" spans="4:11" ht="12.75">
      <c r="D20955" s="67"/>
      <c r="G20955" s="68"/>
      <c r="K20955" s="68"/>
    </row>
    <row r="20956" spans="4:11" ht="12.75">
      <c r="D20956" s="67"/>
      <c r="G20956" s="68"/>
      <c r="K20956" s="68"/>
    </row>
    <row r="20957" spans="4:11" ht="12.75">
      <c r="D20957" s="67"/>
      <c r="G20957" s="68"/>
      <c r="K20957" s="68"/>
    </row>
    <row r="20958" spans="4:11" ht="12.75">
      <c r="D20958" s="67"/>
      <c r="G20958" s="68"/>
      <c r="K20958" s="68"/>
    </row>
    <row r="20959" spans="4:11" ht="12.75">
      <c r="D20959" s="67"/>
      <c r="G20959" s="68"/>
      <c r="K20959" s="68"/>
    </row>
    <row r="20960" spans="4:11" ht="12.75">
      <c r="D20960" s="67"/>
      <c r="G20960" s="68"/>
      <c r="K20960" s="68"/>
    </row>
    <row r="20961" spans="4:11" ht="12.75">
      <c r="D20961" s="67"/>
      <c r="G20961" s="68"/>
      <c r="K20961" s="68"/>
    </row>
    <row r="20962" spans="4:11" ht="12.75">
      <c r="D20962" s="67"/>
      <c r="G20962" s="68"/>
      <c r="K20962" s="68"/>
    </row>
    <row r="20963" spans="4:11" ht="12.75">
      <c r="D20963" s="67"/>
      <c r="G20963" s="68"/>
      <c r="K20963" s="68"/>
    </row>
    <row r="20964" spans="4:11" ht="12.75">
      <c r="D20964" s="67"/>
      <c r="G20964" s="68"/>
      <c r="K20964" s="68"/>
    </row>
    <row r="20965" spans="4:11" ht="12.75">
      <c r="D20965" s="67"/>
      <c r="G20965" s="68"/>
      <c r="K20965" s="68"/>
    </row>
    <row r="20966" spans="4:11" ht="12.75">
      <c r="D20966" s="67"/>
      <c r="G20966" s="68"/>
      <c r="K20966" s="68"/>
    </row>
    <row r="20967" spans="4:11" ht="12.75">
      <c r="D20967" s="67"/>
      <c r="G20967" s="68"/>
      <c r="K20967" s="68"/>
    </row>
    <row r="20968" spans="4:11" ht="12.75">
      <c r="D20968" s="67"/>
      <c r="G20968" s="68"/>
      <c r="K20968" s="68"/>
    </row>
    <row r="20969" spans="4:11" ht="12.75">
      <c r="D20969" s="67"/>
      <c r="G20969" s="68"/>
      <c r="K20969" s="68"/>
    </row>
    <row r="20970" spans="4:11" ht="12.75">
      <c r="D20970" s="67"/>
      <c r="G20970" s="68"/>
      <c r="K20970" s="68"/>
    </row>
    <row r="20971" spans="4:11" ht="12.75">
      <c r="D20971" s="67"/>
      <c r="G20971" s="68"/>
      <c r="K20971" s="68"/>
    </row>
    <row r="20972" spans="4:11" ht="12.75">
      <c r="D20972" s="67"/>
      <c r="G20972" s="68"/>
      <c r="K20972" s="68"/>
    </row>
    <row r="20973" spans="4:11" ht="12.75">
      <c r="D20973" s="67"/>
      <c r="G20973" s="68"/>
      <c r="K20973" s="68"/>
    </row>
    <row r="20974" spans="4:11" ht="12.75">
      <c r="D20974" s="67"/>
      <c r="G20974" s="68"/>
      <c r="K20974" s="68"/>
    </row>
    <row r="20975" spans="4:11" ht="12.75">
      <c r="D20975" s="67"/>
      <c r="G20975" s="68"/>
      <c r="K20975" s="68"/>
    </row>
    <row r="20976" spans="4:11" ht="12.75">
      <c r="D20976" s="67"/>
      <c r="G20976" s="68"/>
      <c r="K20976" s="68"/>
    </row>
    <row r="20977" spans="4:11" ht="12.75">
      <c r="D20977" s="67"/>
      <c r="G20977" s="68"/>
      <c r="K20977" s="68"/>
    </row>
    <row r="20978" spans="4:11" ht="12.75">
      <c r="D20978" s="67"/>
      <c r="G20978" s="68"/>
      <c r="K20978" s="68"/>
    </row>
    <row r="20979" spans="4:11" ht="12.75">
      <c r="D20979" s="67"/>
      <c r="G20979" s="68"/>
      <c r="K20979" s="68"/>
    </row>
    <row r="20980" spans="4:11" ht="12.75">
      <c r="D20980" s="67"/>
      <c r="G20980" s="68"/>
      <c r="K20980" s="68"/>
    </row>
    <row r="20981" spans="4:11" ht="12.75">
      <c r="D20981" s="67"/>
      <c r="G20981" s="68"/>
      <c r="K20981" s="68"/>
    </row>
    <row r="20982" spans="4:11" ht="12.75">
      <c r="D20982" s="67"/>
      <c r="G20982" s="68"/>
      <c r="K20982" s="68"/>
    </row>
    <row r="20983" spans="4:11" ht="12.75">
      <c r="D20983" s="67"/>
      <c r="G20983" s="68"/>
      <c r="K20983" s="68"/>
    </row>
    <row r="20984" spans="4:11" ht="12.75">
      <c r="D20984" s="67"/>
      <c r="G20984" s="68"/>
      <c r="K20984" s="68"/>
    </row>
    <row r="20985" spans="4:11" ht="12.75">
      <c r="D20985" s="67"/>
      <c r="G20985" s="68"/>
      <c r="K20985" s="68"/>
    </row>
    <row r="20986" spans="4:11" ht="12.75">
      <c r="D20986" s="67"/>
      <c r="G20986" s="68"/>
      <c r="K20986" s="68"/>
    </row>
    <row r="20987" spans="4:11" ht="12.75">
      <c r="D20987" s="67"/>
      <c r="G20987" s="68"/>
      <c r="K20987" s="68"/>
    </row>
    <row r="20988" spans="4:11" ht="12.75">
      <c r="D20988" s="67"/>
      <c r="G20988" s="68"/>
      <c r="K20988" s="68"/>
    </row>
    <row r="20989" spans="4:11" ht="12.75">
      <c r="D20989" s="67"/>
      <c r="G20989" s="68"/>
      <c r="K20989" s="68"/>
    </row>
    <row r="20990" spans="4:11" ht="12.75">
      <c r="D20990" s="67"/>
      <c r="G20990" s="68"/>
      <c r="K20990" s="68"/>
    </row>
    <row r="20991" spans="4:11" ht="12.75">
      <c r="D20991" s="67"/>
      <c r="G20991" s="68"/>
      <c r="K20991" s="68"/>
    </row>
    <row r="20992" spans="4:11" ht="12.75">
      <c r="D20992" s="67"/>
      <c r="G20992" s="68"/>
      <c r="K20992" s="68"/>
    </row>
    <row r="20993" spans="4:11" ht="12.75">
      <c r="D20993" s="67"/>
      <c r="G20993" s="68"/>
      <c r="K20993" s="68"/>
    </row>
    <row r="20994" spans="4:11" ht="12.75">
      <c r="D20994" s="67"/>
      <c r="G20994" s="68"/>
      <c r="K20994" s="68"/>
    </row>
    <row r="20995" spans="4:11" ht="12.75">
      <c r="D20995" s="67"/>
      <c r="G20995" s="68"/>
      <c r="K20995" s="68"/>
    </row>
    <row r="20996" spans="4:11" ht="12.75">
      <c r="D20996" s="67"/>
      <c r="G20996" s="68"/>
      <c r="K20996" s="68"/>
    </row>
    <row r="20997" spans="4:11" ht="12.75">
      <c r="D20997" s="67"/>
      <c r="G20997" s="68"/>
      <c r="K20997" s="68"/>
    </row>
    <row r="20998" spans="4:11" ht="12.75">
      <c r="D20998" s="67"/>
      <c r="G20998" s="68"/>
      <c r="K20998" s="68"/>
    </row>
    <row r="20999" spans="4:11" ht="12.75">
      <c r="D20999" s="67"/>
      <c r="G20999" s="68"/>
      <c r="K20999" s="68"/>
    </row>
    <row r="21000" spans="4:11" ht="12.75">
      <c r="D21000" s="67"/>
      <c r="G21000" s="68"/>
      <c r="K21000" s="68"/>
    </row>
    <row r="21001" spans="4:11" ht="12.75">
      <c r="D21001" s="67"/>
      <c r="G21001" s="68"/>
      <c r="K21001" s="68"/>
    </row>
    <row r="21002" spans="4:11" ht="12.75">
      <c r="D21002" s="67"/>
      <c r="G21002" s="68"/>
      <c r="K21002" s="68"/>
    </row>
    <row r="21003" spans="4:11" ht="12.75">
      <c r="D21003" s="67"/>
      <c r="G21003" s="68"/>
      <c r="K21003" s="68"/>
    </row>
    <row r="21004" spans="4:11" ht="12.75">
      <c r="D21004" s="67"/>
      <c r="G21004" s="68"/>
      <c r="K21004" s="68"/>
    </row>
    <row r="21005" spans="4:11" ht="12.75">
      <c r="D21005" s="67"/>
      <c r="G21005" s="68"/>
      <c r="K21005" s="68"/>
    </row>
    <row r="21006" spans="4:11" ht="12.75">
      <c r="D21006" s="67"/>
      <c r="G21006" s="68"/>
      <c r="K21006" s="68"/>
    </row>
    <row r="21007" spans="4:11" ht="12.75">
      <c r="D21007" s="67"/>
      <c r="G21007" s="68"/>
      <c r="K21007" s="68"/>
    </row>
    <row r="21008" spans="4:11" ht="12.75">
      <c r="D21008" s="67"/>
      <c r="G21008" s="68"/>
      <c r="K21008" s="68"/>
    </row>
    <row r="21009" spans="4:11" ht="12.75">
      <c r="D21009" s="67"/>
      <c r="G21009" s="68"/>
      <c r="K21009" s="68"/>
    </row>
    <row r="21010" spans="4:11" ht="12.75">
      <c r="D21010" s="67"/>
      <c r="G21010" s="68"/>
      <c r="K21010" s="68"/>
    </row>
    <row r="21011" spans="4:11" ht="12.75">
      <c r="D21011" s="67"/>
      <c r="G21011" s="68"/>
      <c r="K21011" s="68"/>
    </row>
    <row r="21012" spans="4:11" ht="12.75">
      <c r="D21012" s="67"/>
      <c r="G21012" s="68"/>
      <c r="K21012" s="68"/>
    </row>
    <row r="21013" spans="4:11" ht="12.75">
      <c r="D21013" s="67"/>
      <c r="G21013" s="68"/>
      <c r="K21013" s="68"/>
    </row>
    <row r="21014" spans="4:11" ht="12.75">
      <c r="D21014" s="67"/>
      <c r="G21014" s="68"/>
      <c r="K21014" s="68"/>
    </row>
    <row r="21015" spans="4:11" ht="12.75">
      <c r="D21015" s="67"/>
      <c r="G21015" s="68"/>
      <c r="K21015" s="68"/>
    </row>
    <row r="21016" spans="4:11" ht="12.75">
      <c r="D21016" s="67"/>
      <c r="G21016" s="68"/>
      <c r="K21016" s="68"/>
    </row>
    <row r="21017" spans="4:11" ht="12.75">
      <c r="D21017" s="67"/>
      <c r="G21017" s="68"/>
      <c r="K21017" s="68"/>
    </row>
    <row r="21018" spans="4:11" ht="12.75">
      <c r="D21018" s="67"/>
      <c r="G21018" s="68"/>
      <c r="K21018" s="68"/>
    </row>
    <row r="21019" spans="4:11" ht="12.75">
      <c r="D21019" s="67"/>
      <c r="G21019" s="68"/>
      <c r="K21019" s="68"/>
    </row>
    <row r="21020" spans="4:11" ht="12.75">
      <c r="D21020" s="67"/>
      <c r="G21020" s="68"/>
      <c r="K21020" s="68"/>
    </row>
    <row r="21021" spans="4:11" ht="12.75">
      <c r="D21021" s="67"/>
      <c r="G21021" s="68"/>
      <c r="K21021" s="68"/>
    </row>
    <row r="21022" spans="4:11" ht="12.75">
      <c r="D21022" s="67"/>
      <c r="G21022" s="68"/>
      <c r="K21022" s="68"/>
    </row>
    <row r="21023" spans="4:11" ht="12.75">
      <c r="D21023" s="67"/>
      <c r="G21023" s="68"/>
      <c r="K21023" s="68"/>
    </row>
    <row r="21024" spans="4:11" ht="12.75">
      <c r="D21024" s="67"/>
      <c r="G21024" s="68"/>
      <c r="K21024" s="68"/>
    </row>
    <row r="21025" spans="4:11" ht="12.75">
      <c r="D21025" s="67"/>
      <c r="G21025" s="68"/>
      <c r="K21025" s="68"/>
    </row>
    <row r="21026" spans="4:11" ht="12.75">
      <c r="D21026" s="67"/>
      <c r="G21026" s="68"/>
      <c r="K21026" s="68"/>
    </row>
    <row r="21027" spans="4:11" ht="12.75">
      <c r="D21027" s="67"/>
      <c r="G21027" s="68"/>
      <c r="K21027" s="68"/>
    </row>
    <row r="21028" spans="4:11" ht="12.75">
      <c r="D21028" s="67"/>
      <c r="G21028" s="68"/>
      <c r="K21028" s="68"/>
    </row>
    <row r="21029" spans="4:11" ht="12.75">
      <c r="D21029" s="67"/>
      <c r="G21029" s="68"/>
      <c r="K21029" s="68"/>
    </row>
    <row r="21030" spans="4:11" ht="12.75">
      <c r="D21030" s="67"/>
      <c r="G21030" s="68"/>
      <c r="K21030" s="68"/>
    </row>
    <row r="21031" spans="4:11" ht="12.75">
      <c r="D21031" s="67"/>
      <c r="G21031" s="68"/>
      <c r="K21031" s="68"/>
    </row>
    <row r="21032" spans="4:11" ht="12.75">
      <c r="D21032" s="67"/>
      <c r="G21032" s="68"/>
      <c r="K21032" s="68"/>
    </row>
    <row r="21033" spans="4:11" ht="12.75">
      <c r="D21033" s="67"/>
      <c r="G21033" s="68"/>
      <c r="K21033" s="68"/>
    </row>
    <row r="21034" spans="4:11" ht="12.75">
      <c r="D21034" s="67"/>
      <c r="G21034" s="68"/>
      <c r="K21034" s="68"/>
    </row>
    <row r="21035" spans="4:11" ht="12.75">
      <c r="D21035" s="67"/>
      <c r="G21035" s="68"/>
      <c r="K21035" s="68"/>
    </row>
    <row r="21036" spans="4:11" ht="12.75">
      <c r="D21036" s="67"/>
      <c r="G21036" s="68"/>
      <c r="K21036" s="68"/>
    </row>
    <row r="21037" spans="4:11" ht="12.75">
      <c r="D21037" s="67"/>
      <c r="G21037" s="68"/>
      <c r="K21037" s="68"/>
    </row>
    <row r="21038" spans="4:11" ht="12.75">
      <c r="D21038" s="67"/>
      <c r="G21038" s="68"/>
      <c r="K21038" s="68"/>
    </row>
    <row r="21039" spans="4:11" ht="12.75">
      <c r="D21039" s="67"/>
      <c r="G21039" s="68"/>
      <c r="K21039" s="68"/>
    </row>
    <row r="21040" spans="4:11" ht="12.75">
      <c r="D21040" s="67"/>
      <c r="G21040" s="68"/>
      <c r="K21040" s="68"/>
    </row>
    <row r="21041" spans="4:11" ht="12.75">
      <c r="D21041" s="67"/>
      <c r="G21041" s="68"/>
      <c r="K21041" s="68"/>
    </row>
    <row r="21042" spans="4:11" ht="12.75">
      <c r="D21042" s="67"/>
      <c r="G21042" s="68"/>
      <c r="K21042" s="68"/>
    </row>
    <row r="21043" spans="4:11" ht="12.75">
      <c r="D21043" s="67"/>
      <c r="G21043" s="68"/>
      <c r="K21043" s="68"/>
    </row>
    <row r="21044" spans="4:11" ht="12.75">
      <c r="D21044" s="67"/>
      <c r="G21044" s="68"/>
      <c r="K21044" s="68"/>
    </row>
    <row r="21045" spans="4:11" ht="12.75">
      <c r="D21045" s="67"/>
      <c r="G21045" s="68"/>
      <c r="K21045" s="68"/>
    </row>
    <row r="21046" spans="4:11" ht="12.75">
      <c r="D21046" s="67"/>
      <c r="G21046" s="68"/>
      <c r="K21046" s="68"/>
    </row>
    <row r="21047" spans="4:11" ht="12.75">
      <c r="D21047" s="67"/>
      <c r="G21047" s="68"/>
      <c r="K21047" s="68"/>
    </row>
    <row r="21048" spans="4:11" ht="12.75">
      <c r="D21048" s="67"/>
      <c r="G21048" s="68"/>
      <c r="K21048" s="68"/>
    </row>
    <row r="21049" spans="4:11" ht="12.75">
      <c r="D21049" s="67"/>
      <c r="G21049" s="68"/>
      <c r="K21049" s="68"/>
    </row>
    <row r="21050" spans="4:11" ht="12.75">
      <c r="D21050" s="67"/>
      <c r="G21050" s="68"/>
      <c r="K21050" s="68"/>
    </row>
    <row r="21051" spans="4:11" ht="12.75">
      <c r="D21051" s="67"/>
      <c r="G21051" s="68"/>
      <c r="K21051" s="68"/>
    </row>
    <row r="21052" spans="4:11" ht="12.75">
      <c r="D21052" s="67"/>
      <c r="G21052" s="68"/>
      <c r="K21052" s="68"/>
    </row>
    <row r="21053" spans="4:11" ht="12.75">
      <c r="D21053" s="67"/>
      <c r="G21053" s="68"/>
      <c r="K21053" s="68"/>
    </row>
    <row r="21054" spans="4:11" ht="12.75">
      <c r="D21054" s="67"/>
      <c r="G21054" s="68"/>
      <c r="K21054" s="68"/>
    </row>
    <row r="21055" spans="4:11" ht="12.75">
      <c r="D21055" s="67"/>
      <c r="G21055" s="68"/>
      <c r="K21055" s="68"/>
    </row>
    <row r="21056" spans="4:11" ht="12.75">
      <c r="D21056" s="67"/>
      <c r="G21056" s="68"/>
      <c r="K21056" s="68"/>
    </row>
    <row r="21057" spans="4:11" ht="12.75">
      <c r="D21057" s="67"/>
      <c r="G21057" s="68"/>
      <c r="K21057" s="68"/>
    </row>
    <row r="21058" spans="4:11" ht="12.75">
      <c r="D21058" s="67"/>
      <c r="G21058" s="68"/>
      <c r="K21058" s="68"/>
    </row>
    <row r="21059" spans="4:11" ht="12.75">
      <c r="D21059" s="67"/>
      <c r="G21059" s="68"/>
      <c r="K21059" s="68"/>
    </row>
    <row r="21060" spans="4:11" ht="12.75">
      <c r="D21060" s="67"/>
      <c r="G21060" s="68"/>
      <c r="K21060" s="68"/>
    </row>
    <row r="21061" spans="4:11" ht="12.75">
      <c r="D21061" s="67"/>
      <c r="G21061" s="68"/>
      <c r="K21061" s="68"/>
    </row>
    <row r="21062" spans="4:11" ht="12.75">
      <c r="D21062" s="67"/>
      <c r="G21062" s="68"/>
      <c r="K21062" s="68"/>
    </row>
    <row r="21063" spans="4:11" ht="12.75">
      <c r="D21063" s="67"/>
      <c r="G21063" s="68"/>
      <c r="K21063" s="68"/>
    </row>
    <row r="21064" spans="4:11" ht="12.75">
      <c r="D21064" s="67"/>
      <c r="G21064" s="68"/>
      <c r="K21064" s="68"/>
    </row>
    <row r="21065" spans="4:11" ht="12.75">
      <c r="D21065" s="67"/>
      <c r="G21065" s="68"/>
      <c r="K21065" s="68"/>
    </row>
    <row r="21066" spans="4:11" ht="12.75">
      <c r="D21066" s="67"/>
      <c r="G21066" s="68"/>
      <c r="K21066" s="68"/>
    </row>
    <row r="21067" spans="4:11" ht="12.75">
      <c r="D21067" s="67"/>
      <c r="G21067" s="68"/>
      <c r="K21067" s="68"/>
    </row>
    <row r="21068" spans="4:11" ht="12.75">
      <c r="D21068" s="67"/>
      <c r="G21068" s="68"/>
      <c r="K21068" s="68"/>
    </row>
    <row r="21069" spans="4:11" ht="12.75">
      <c r="D21069" s="67"/>
      <c r="G21069" s="68"/>
      <c r="K21069" s="68"/>
    </row>
    <row r="21070" spans="4:11" ht="12.75">
      <c r="D21070" s="67"/>
      <c r="G21070" s="68"/>
      <c r="K21070" s="68"/>
    </row>
    <row r="21071" spans="4:11" ht="12.75">
      <c r="D21071" s="67"/>
      <c r="G21071" s="68"/>
      <c r="K21071" s="68"/>
    </row>
    <row r="21072" spans="4:11" ht="12.75">
      <c r="D21072" s="67"/>
      <c r="G21072" s="68"/>
      <c r="K21072" s="68"/>
    </row>
    <row r="21073" spans="4:11" ht="12.75">
      <c r="D21073" s="67"/>
      <c r="G21073" s="68"/>
      <c r="K21073" s="68"/>
    </row>
    <row r="21074" spans="4:11" ht="12.75">
      <c r="D21074" s="67"/>
      <c r="G21074" s="68"/>
      <c r="K21074" s="68"/>
    </row>
    <row r="21075" spans="4:11" ht="12.75">
      <c r="D21075" s="67"/>
      <c r="G21075" s="68"/>
      <c r="K21075" s="68"/>
    </row>
    <row r="21076" spans="4:11" ht="12.75">
      <c r="D21076" s="67"/>
      <c r="G21076" s="68"/>
      <c r="K21076" s="68"/>
    </row>
    <row r="21077" spans="4:11" ht="12.75">
      <c r="D21077" s="67"/>
      <c r="G21077" s="68"/>
      <c r="K21077" s="68"/>
    </row>
    <row r="21078" spans="4:11" ht="12.75">
      <c r="D21078" s="67"/>
      <c r="G21078" s="68"/>
      <c r="K21078" s="68"/>
    </row>
    <row r="21079" spans="4:11" ht="12.75">
      <c r="D21079" s="67"/>
      <c r="G21079" s="68"/>
      <c r="K21079" s="68"/>
    </row>
    <row r="21080" spans="4:11" ht="12.75">
      <c r="D21080" s="67"/>
      <c r="G21080" s="68"/>
      <c r="K21080" s="68"/>
    </row>
    <row r="21081" spans="4:11" ht="12.75">
      <c r="D21081" s="67"/>
      <c r="G21081" s="68"/>
      <c r="K21081" s="68"/>
    </row>
    <row r="21082" spans="4:11" ht="12.75">
      <c r="D21082" s="67"/>
      <c r="G21082" s="68"/>
      <c r="K21082" s="68"/>
    </row>
    <row r="21083" spans="4:11" ht="12.75">
      <c r="D21083" s="67"/>
      <c r="G21083" s="68"/>
      <c r="K21083" s="68"/>
    </row>
    <row r="21084" spans="4:11" ht="12.75">
      <c r="D21084" s="67"/>
      <c r="G21084" s="68"/>
      <c r="K21084" s="68"/>
    </row>
    <row r="21085" spans="4:11" ht="12.75">
      <c r="D21085" s="67"/>
      <c r="G21085" s="68"/>
      <c r="K21085" s="68"/>
    </row>
    <row r="21086" spans="4:11" ht="12.75">
      <c r="D21086" s="67"/>
      <c r="G21086" s="68"/>
      <c r="K21086" s="68"/>
    </row>
    <row r="21087" spans="4:11" ht="12.75">
      <c r="D21087" s="67"/>
      <c r="G21087" s="68"/>
      <c r="K21087" s="68"/>
    </row>
    <row r="21088" spans="4:11" ht="12.75">
      <c r="D21088" s="67"/>
      <c r="G21088" s="68"/>
      <c r="K21088" s="68"/>
    </row>
    <row r="21089" spans="4:11" ht="12.75">
      <c r="D21089" s="67"/>
      <c r="G21089" s="68"/>
      <c r="K21089" s="68"/>
    </row>
    <row r="21090" spans="4:11" ht="12.75">
      <c r="D21090" s="67"/>
      <c r="G21090" s="68"/>
      <c r="K21090" s="68"/>
    </row>
    <row r="21091" spans="4:11" ht="12.75">
      <c r="D21091" s="67"/>
      <c r="G21091" s="68"/>
      <c r="K21091" s="68"/>
    </row>
    <row r="21092" spans="4:11" ht="12.75">
      <c r="D21092" s="67"/>
      <c r="G21092" s="68"/>
      <c r="K21092" s="68"/>
    </row>
    <row r="21093" spans="4:11" ht="12.75">
      <c r="D21093" s="67"/>
      <c r="G21093" s="68"/>
      <c r="K21093" s="68"/>
    </row>
    <row r="21094" spans="4:11" ht="12.75">
      <c r="D21094" s="67"/>
      <c r="G21094" s="68"/>
      <c r="K21094" s="68"/>
    </row>
    <row r="21095" spans="4:11" ht="12.75">
      <c r="D21095" s="67"/>
      <c r="G21095" s="68"/>
      <c r="K21095" s="68"/>
    </row>
    <row r="21096" spans="4:11" ht="12.75">
      <c r="D21096" s="67"/>
      <c r="G21096" s="68"/>
      <c r="K21096" s="68"/>
    </row>
    <row r="21097" spans="4:11" ht="12.75">
      <c r="D21097" s="67"/>
      <c r="G21097" s="68"/>
      <c r="K21097" s="68"/>
    </row>
    <row r="21098" spans="4:11" ht="12.75">
      <c r="D21098" s="67"/>
      <c r="G21098" s="68"/>
      <c r="K21098" s="68"/>
    </row>
    <row r="21099" spans="4:11" ht="12.75">
      <c r="D21099" s="67"/>
      <c r="G21099" s="68"/>
      <c r="K21099" s="68"/>
    </row>
    <row r="21100" spans="4:11" ht="12.75">
      <c r="D21100" s="67"/>
      <c r="G21100" s="68"/>
      <c r="K21100" s="68"/>
    </row>
    <row r="21101" spans="4:11" ht="12.75">
      <c r="D21101" s="67"/>
      <c r="G21101" s="68"/>
      <c r="K21101" s="68"/>
    </row>
    <row r="21102" spans="4:11" ht="12.75">
      <c r="D21102" s="67"/>
      <c r="G21102" s="68"/>
      <c r="K21102" s="68"/>
    </row>
    <row r="21103" spans="4:11" ht="12.75">
      <c r="D21103" s="67"/>
      <c r="G21103" s="68"/>
      <c r="K21103" s="68"/>
    </row>
    <row r="21104" spans="4:11" ht="12.75">
      <c r="D21104" s="67"/>
      <c r="G21104" s="68"/>
      <c r="K21104" s="68"/>
    </row>
    <row r="21105" spans="4:11" ht="12.75">
      <c r="D21105" s="67"/>
      <c r="G21105" s="68"/>
      <c r="K21105" s="68"/>
    </row>
    <row r="21106" spans="4:11" ht="12.75">
      <c r="D21106" s="67"/>
      <c r="G21106" s="68"/>
      <c r="K21106" s="68"/>
    </row>
    <row r="21107" spans="4:11" ht="12.75">
      <c r="D21107" s="67"/>
      <c r="G21107" s="68"/>
      <c r="K21107" s="68"/>
    </row>
    <row r="21108" spans="4:11" ht="12.75">
      <c r="D21108" s="67"/>
      <c r="G21108" s="68"/>
      <c r="K21108" s="68"/>
    </row>
    <row r="21109" spans="4:11" ht="12.75">
      <c r="D21109" s="67"/>
      <c r="G21109" s="68"/>
      <c r="K21109" s="68"/>
    </row>
    <row r="21110" spans="4:11" ht="12.75">
      <c r="D21110" s="67"/>
      <c r="G21110" s="68"/>
      <c r="K21110" s="68"/>
    </row>
    <row r="21111" spans="4:11" ht="12.75">
      <c r="D21111" s="67"/>
      <c r="G21111" s="68"/>
      <c r="K21111" s="68"/>
    </row>
    <row r="21112" spans="4:11" ht="12.75">
      <c r="D21112" s="67"/>
      <c r="G21112" s="68"/>
      <c r="K21112" s="68"/>
    </row>
    <row r="21113" spans="4:11" ht="12.75">
      <c r="D21113" s="67"/>
      <c r="G21113" s="68"/>
      <c r="K21113" s="68"/>
    </row>
    <row r="21114" spans="4:11" ht="12.75">
      <c r="D21114" s="67"/>
      <c r="G21114" s="68"/>
      <c r="K21114" s="68"/>
    </row>
    <row r="21115" spans="4:11" ht="12.75">
      <c r="D21115" s="67"/>
      <c r="G21115" s="68"/>
      <c r="K21115" s="68"/>
    </row>
    <row r="21116" spans="4:11" ht="12.75">
      <c r="D21116" s="67"/>
      <c r="G21116" s="68"/>
      <c r="K21116" s="68"/>
    </row>
    <row r="21117" spans="4:11" ht="12.75">
      <c r="D21117" s="67"/>
      <c r="G21117" s="68"/>
      <c r="K21117" s="68"/>
    </row>
    <row r="21118" spans="4:11" ht="12.75">
      <c r="D21118" s="67"/>
      <c r="G21118" s="68"/>
      <c r="K21118" s="68"/>
    </row>
    <row r="21119" spans="4:11" ht="12.75">
      <c r="D21119" s="67"/>
      <c r="G21119" s="68"/>
      <c r="K21119" s="68"/>
    </row>
    <row r="21120" spans="4:11" ht="12.75">
      <c r="D21120" s="67"/>
      <c r="G21120" s="68"/>
      <c r="K21120" s="68"/>
    </row>
    <row r="21121" spans="4:11" ht="12.75">
      <c r="D21121" s="67"/>
      <c r="G21121" s="68"/>
      <c r="K21121" s="68"/>
    </row>
    <row r="21122" spans="4:11" ht="12.75">
      <c r="D21122" s="67"/>
      <c r="G21122" s="68"/>
      <c r="K21122" s="68"/>
    </row>
    <row r="21123" spans="4:11" ht="12.75">
      <c r="D21123" s="67"/>
      <c r="G21123" s="68"/>
      <c r="K21123" s="68"/>
    </row>
    <row r="21124" spans="4:11" ht="12.75">
      <c r="D21124" s="67"/>
      <c r="G21124" s="68"/>
      <c r="K21124" s="68"/>
    </row>
    <row r="21125" spans="4:11" ht="12.75">
      <c r="D21125" s="67"/>
      <c r="G21125" s="68"/>
      <c r="K21125" s="68"/>
    </row>
    <row r="21126" spans="4:11" ht="12.75">
      <c r="D21126" s="67"/>
      <c r="G21126" s="68"/>
      <c r="K21126" s="68"/>
    </row>
    <row r="21127" spans="4:11" ht="12.75">
      <c r="D21127" s="67"/>
      <c r="G21127" s="68"/>
      <c r="K21127" s="68"/>
    </row>
    <row r="21128" spans="4:11" ht="12.75">
      <c r="D21128" s="67"/>
      <c r="G21128" s="68"/>
      <c r="K21128" s="68"/>
    </row>
    <row r="21129" spans="4:11" ht="12.75">
      <c r="D21129" s="67"/>
      <c r="G21129" s="68"/>
      <c r="K21129" s="68"/>
    </row>
    <row r="21130" spans="4:11" ht="12.75">
      <c r="D21130" s="67"/>
      <c r="G21130" s="68"/>
      <c r="K21130" s="68"/>
    </row>
    <row r="21131" spans="4:11" ht="12.75">
      <c r="D21131" s="67"/>
      <c r="G21131" s="68"/>
      <c r="K21131" s="68"/>
    </row>
    <row r="21132" spans="4:11" ht="12.75">
      <c r="D21132" s="67"/>
      <c r="G21132" s="68"/>
      <c r="K21132" s="68"/>
    </row>
    <row r="21133" spans="4:11" ht="12.75">
      <c r="D21133" s="67"/>
      <c r="G21133" s="68"/>
      <c r="K21133" s="68"/>
    </row>
    <row r="21134" spans="4:11" ht="12.75">
      <c r="D21134" s="67"/>
      <c r="G21134" s="68"/>
      <c r="K21134" s="68"/>
    </row>
    <row r="21135" spans="4:11" ht="12.75">
      <c r="D21135" s="67"/>
      <c r="G21135" s="68"/>
      <c r="K21135" s="68"/>
    </row>
    <row r="21136" spans="4:11" ht="12.75">
      <c r="D21136" s="67"/>
      <c r="G21136" s="68"/>
      <c r="K21136" s="68"/>
    </row>
    <row r="21137" spans="4:11" ht="12.75">
      <c r="D21137" s="67"/>
      <c r="G21137" s="68"/>
      <c r="K21137" s="68"/>
    </row>
    <row r="21138" spans="4:11" ht="12.75">
      <c r="D21138" s="67"/>
      <c r="G21138" s="68"/>
      <c r="K21138" s="68"/>
    </row>
    <row r="21139" spans="4:11" ht="12.75">
      <c r="D21139" s="67"/>
      <c r="G21139" s="68"/>
      <c r="K21139" s="68"/>
    </row>
    <row r="21140" spans="4:11" ht="12.75">
      <c r="D21140" s="67"/>
      <c r="G21140" s="68"/>
      <c r="K21140" s="68"/>
    </row>
    <row r="21141" spans="4:11" ht="12.75">
      <c r="D21141" s="67"/>
      <c r="G21141" s="68"/>
      <c r="K21141" s="68"/>
    </row>
    <row r="21142" spans="4:11" ht="12.75">
      <c r="D21142" s="67"/>
      <c r="G21142" s="68"/>
      <c r="K21142" s="68"/>
    </row>
    <row r="21143" spans="4:11" ht="12.75">
      <c r="D21143" s="67"/>
      <c r="G21143" s="68"/>
      <c r="K21143" s="68"/>
    </row>
    <row r="21144" spans="4:11" ht="12.75">
      <c r="D21144" s="67"/>
      <c r="G21144" s="68"/>
      <c r="K21144" s="68"/>
    </row>
    <row r="21145" spans="4:11" ht="12.75">
      <c r="D21145" s="67"/>
      <c r="G21145" s="68"/>
      <c r="K21145" s="68"/>
    </row>
    <row r="21146" spans="4:11" ht="12.75">
      <c r="D21146" s="67"/>
      <c r="G21146" s="68"/>
      <c r="K21146" s="68"/>
    </row>
    <row r="21147" spans="4:11" ht="12.75">
      <c r="D21147" s="67"/>
      <c r="G21147" s="68"/>
      <c r="K21147" s="68"/>
    </row>
    <row r="21148" spans="4:11" ht="12.75">
      <c r="D21148" s="67"/>
      <c r="G21148" s="68"/>
      <c r="K21148" s="68"/>
    </row>
    <row r="21149" spans="4:11" ht="12.75">
      <c r="D21149" s="67"/>
      <c r="G21149" s="68"/>
      <c r="K21149" s="68"/>
    </row>
    <row r="21150" spans="4:11" ht="12.75">
      <c r="D21150" s="67"/>
      <c r="G21150" s="68"/>
      <c r="K21150" s="68"/>
    </row>
    <row r="21151" spans="4:11" ht="12.75">
      <c r="D21151" s="67"/>
      <c r="G21151" s="68"/>
      <c r="K21151" s="68"/>
    </row>
    <row r="21152" spans="4:11" ht="12.75">
      <c r="D21152" s="67"/>
      <c r="G21152" s="68"/>
      <c r="K21152" s="68"/>
    </row>
    <row r="21153" spans="4:11" ht="12.75">
      <c r="D21153" s="67"/>
      <c r="G21153" s="68"/>
      <c r="K21153" s="68"/>
    </row>
    <row r="21154" spans="4:11" ht="12.75">
      <c r="D21154" s="67"/>
      <c r="G21154" s="68"/>
      <c r="K21154" s="68"/>
    </row>
    <row r="21155" spans="4:11" ht="12.75">
      <c r="D21155" s="67"/>
      <c r="G21155" s="68"/>
      <c r="K21155" s="68"/>
    </row>
    <row r="21156" spans="4:11" ht="12.75">
      <c r="D21156" s="67"/>
      <c r="G21156" s="68"/>
      <c r="K21156" s="68"/>
    </row>
    <row r="21157" spans="4:11" ht="12.75">
      <c r="D21157" s="67"/>
      <c r="G21157" s="68"/>
      <c r="K21157" s="68"/>
    </row>
    <row r="21158" spans="4:11" ht="12.75">
      <c r="D21158" s="67"/>
      <c r="G21158" s="68"/>
      <c r="K21158" s="68"/>
    </row>
    <row r="21159" spans="4:11" ht="12.75">
      <c r="D21159" s="67"/>
      <c r="G21159" s="68"/>
      <c r="K21159" s="68"/>
    </row>
    <row r="21160" spans="4:11" ht="12.75">
      <c r="D21160" s="67"/>
      <c r="G21160" s="68"/>
      <c r="K21160" s="68"/>
    </row>
    <row r="21161" spans="4:11" ht="12.75">
      <c r="D21161" s="67"/>
      <c r="G21161" s="68"/>
      <c r="K21161" s="68"/>
    </row>
    <row r="21162" spans="4:11" ht="12.75">
      <c r="D21162" s="67"/>
      <c r="G21162" s="68"/>
      <c r="K21162" s="68"/>
    </row>
    <row r="21163" spans="4:11" ht="12.75">
      <c r="D21163" s="67"/>
      <c r="G21163" s="68"/>
      <c r="K21163" s="68"/>
    </row>
    <row r="21164" spans="4:11" ht="12.75">
      <c r="D21164" s="67"/>
      <c r="G21164" s="68"/>
      <c r="K21164" s="68"/>
    </row>
    <row r="21165" spans="4:11" ht="12.75">
      <c r="D21165" s="67"/>
      <c r="G21165" s="68"/>
      <c r="K21165" s="68"/>
    </row>
    <row r="21166" spans="4:11" ht="12.75">
      <c r="D21166" s="67"/>
      <c r="G21166" s="68"/>
      <c r="K21166" s="68"/>
    </row>
    <row r="21167" spans="4:11" ht="12.75">
      <c r="D21167" s="67"/>
      <c r="G21167" s="68"/>
      <c r="K21167" s="68"/>
    </row>
    <row r="21168" spans="4:11" ht="12.75">
      <c r="D21168" s="67"/>
      <c r="G21168" s="68"/>
      <c r="K21168" s="68"/>
    </row>
    <row r="21169" spans="4:11" ht="12.75">
      <c r="D21169" s="67"/>
      <c r="G21169" s="68"/>
      <c r="K21169" s="68"/>
    </row>
    <row r="21170" spans="4:11" ht="12.75">
      <c r="D21170" s="67"/>
      <c r="G21170" s="68"/>
      <c r="K21170" s="68"/>
    </row>
    <row r="21171" spans="4:11" ht="12.75">
      <c r="D21171" s="67"/>
      <c r="G21171" s="68"/>
      <c r="K21171" s="68"/>
    </row>
    <row r="21172" spans="4:11" ht="12.75">
      <c r="D21172" s="67"/>
      <c r="G21172" s="68"/>
      <c r="K21172" s="68"/>
    </row>
    <row r="21173" spans="4:11" ht="12.75">
      <c r="D21173" s="67"/>
      <c r="G21173" s="68"/>
      <c r="K21173" s="68"/>
    </row>
    <row r="21174" spans="4:11" ht="12.75">
      <c r="D21174" s="67"/>
      <c r="G21174" s="68"/>
      <c r="K21174" s="68"/>
    </row>
    <row r="21175" spans="4:11" ht="12.75">
      <c r="D21175" s="67"/>
      <c r="G21175" s="68"/>
      <c r="K21175" s="68"/>
    </row>
    <row r="21176" spans="4:11" ht="12.75">
      <c r="D21176" s="67"/>
      <c r="G21176" s="68"/>
      <c r="K21176" s="68"/>
    </row>
    <row r="21177" spans="4:11" ht="12.75">
      <c r="D21177" s="67"/>
      <c r="G21177" s="68"/>
      <c r="K21177" s="68"/>
    </row>
    <row r="21178" spans="4:11" ht="12.75">
      <c r="D21178" s="67"/>
      <c r="G21178" s="68"/>
      <c r="K21178" s="68"/>
    </row>
    <row r="21179" spans="4:11" ht="12.75">
      <c r="D21179" s="67"/>
      <c r="G21179" s="68"/>
      <c r="K21179" s="68"/>
    </row>
    <row r="21180" spans="4:11" ht="12.75">
      <c r="D21180" s="67"/>
      <c r="G21180" s="68"/>
      <c r="K21180" s="68"/>
    </row>
    <row r="21181" spans="4:11" ht="12.75">
      <c r="D21181" s="67"/>
      <c r="G21181" s="68"/>
      <c r="K21181" s="68"/>
    </row>
    <row r="21182" spans="4:11" ht="12.75">
      <c r="D21182" s="67"/>
      <c r="G21182" s="68"/>
      <c r="K21182" s="68"/>
    </row>
    <row r="21183" spans="4:11" ht="12.75">
      <c r="D21183" s="67"/>
      <c r="G21183" s="68"/>
      <c r="K21183" s="68"/>
    </row>
    <row r="21184" spans="4:11" ht="12.75">
      <c r="D21184" s="67"/>
      <c r="G21184" s="68"/>
      <c r="K21184" s="68"/>
    </row>
    <row r="21185" spans="4:11" ht="12.75">
      <c r="D21185" s="67"/>
      <c r="G21185" s="68"/>
      <c r="K21185" s="68"/>
    </row>
    <row r="21186" spans="4:11" ht="12.75">
      <c r="D21186" s="67"/>
      <c r="G21186" s="68"/>
      <c r="K21186" s="68"/>
    </row>
    <row r="21187" spans="4:11" ht="12.75">
      <c r="D21187" s="67"/>
      <c r="G21187" s="68"/>
      <c r="K21187" s="68"/>
    </row>
    <row r="21188" spans="4:11" ht="12.75">
      <c r="D21188" s="67"/>
      <c r="G21188" s="68"/>
      <c r="K21188" s="68"/>
    </row>
    <row r="21189" spans="4:11" ht="12.75">
      <c r="D21189" s="67"/>
      <c r="G21189" s="68"/>
      <c r="K21189" s="68"/>
    </row>
    <row r="21190" spans="4:11" ht="12.75">
      <c r="D21190" s="67"/>
      <c r="G21190" s="68"/>
      <c r="K21190" s="68"/>
    </row>
    <row r="21191" spans="4:11" ht="12.75">
      <c r="D21191" s="67"/>
      <c r="G21191" s="68"/>
      <c r="K21191" s="68"/>
    </row>
    <row r="21192" spans="4:11" ht="12.75">
      <c r="D21192" s="67"/>
      <c r="G21192" s="68"/>
      <c r="K21192" s="68"/>
    </row>
    <row r="21193" spans="4:11" ht="12.75">
      <c r="D21193" s="67"/>
      <c r="G21193" s="68"/>
      <c r="K21193" s="68"/>
    </row>
    <row r="21194" spans="4:11" ht="12.75">
      <c r="D21194" s="67"/>
      <c r="G21194" s="68"/>
      <c r="K21194" s="68"/>
    </row>
    <row r="21195" spans="4:11" ht="12.75">
      <c r="D21195" s="67"/>
      <c r="G21195" s="68"/>
      <c r="K21195" s="68"/>
    </row>
    <row r="21196" spans="4:11" ht="12.75">
      <c r="D21196" s="67"/>
      <c r="G21196" s="68"/>
      <c r="K21196" s="68"/>
    </row>
    <row r="21197" spans="4:11" ht="12.75">
      <c r="D21197" s="67"/>
      <c r="G21197" s="68"/>
      <c r="K21197" s="68"/>
    </row>
    <row r="21198" spans="4:11" ht="12.75">
      <c r="D21198" s="67"/>
      <c r="G21198" s="68"/>
      <c r="K21198" s="68"/>
    </row>
    <row r="21199" spans="4:11" ht="12.75">
      <c r="D21199" s="67"/>
      <c r="G21199" s="68"/>
      <c r="K21199" s="68"/>
    </row>
    <row r="21200" spans="4:11" ht="12.75">
      <c r="D21200" s="67"/>
      <c r="G21200" s="68"/>
      <c r="K21200" s="68"/>
    </row>
    <row r="21201" spans="4:11" ht="12.75">
      <c r="D21201" s="67"/>
      <c r="G21201" s="68"/>
      <c r="K21201" s="68"/>
    </row>
    <row r="21202" spans="4:11" ht="12.75">
      <c r="D21202" s="67"/>
      <c r="G21202" s="68"/>
      <c r="K21202" s="68"/>
    </row>
    <row r="21203" spans="4:11" ht="12.75">
      <c r="D21203" s="67"/>
      <c r="G21203" s="68"/>
      <c r="K21203" s="68"/>
    </row>
    <row r="21204" spans="4:11" ht="12.75">
      <c r="D21204" s="67"/>
      <c r="G21204" s="68"/>
      <c r="K21204" s="68"/>
    </row>
    <row r="21205" spans="4:11" ht="12.75">
      <c r="D21205" s="67"/>
      <c r="G21205" s="68"/>
      <c r="K21205" s="68"/>
    </row>
    <row r="21206" spans="4:11" ht="12.75">
      <c r="D21206" s="67"/>
      <c r="G21206" s="68"/>
      <c r="K21206" s="68"/>
    </row>
    <row r="21207" spans="4:11" ht="12.75">
      <c r="D21207" s="67"/>
      <c r="G21207" s="68"/>
      <c r="K21207" s="68"/>
    </row>
    <row r="21208" spans="4:11" ht="12.75">
      <c r="D21208" s="67"/>
      <c r="G21208" s="68"/>
      <c r="K21208" s="68"/>
    </row>
    <row r="21209" spans="4:11" ht="12.75">
      <c r="D21209" s="67"/>
      <c r="G21209" s="68"/>
      <c r="K21209" s="68"/>
    </row>
    <row r="21210" spans="4:11" ht="12.75">
      <c r="D21210" s="67"/>
      <c r="G21210" s="68"/>
      <c r="K21210" s="68"/>
    </row>
    <row r="21211" spans="4:11" ht="12.75">
      <c r="D21211" s="67"/>
      <c r="G21211" s="68"/>
      <c r="K21211" s="68"/>
    </row>
    <row r="21212" spans="4:11" ht="12.75">
      <c r="D21212" s="67"/>
      <c r="G21212" s="68"/>
      <c r="K21212" s="68"/>
    </row>
    <row r="21213" spans="4:11" ht="12.75">
      <c r="D21213" s="67"/>
      <c r="G21213" s="68"/>
      <c r="K21213" s="68"/>
    </row>
    <row r="21214" spans="4:11" ht="12.75">
      <c r="D21214" s="67"/>
      <c r="G21214" s="68"/>
      <c r="K21214" s="68"/>
    </row>
    <row r="21215" spans="4:11" ht="12.75">
      <c r="D21215" s="67"/>
      <c r="G21215" s="68"/>
      <c r="K21215" s="68"/>
    </row>
    <row r="21216" spans="4:11" ht="12.75">
      <c r="D21216" s="67"/>
      <c r="G21216" s="68"/>
      <c r="K21216" s="68"/>
    </row>
    <row r="21217" spans="4:11" ht="12.75">
      <c r="D21217" s="67"/>
      <c r="G21217" s="68"/>
      <c r="K21217" s="68"/>
    </row>
    <row r="21218" spans="4:11" ht="12.75">
      <c r="D21218" s="67"/>
      <c r="G21218" s="68"/>
      <c r="K21218" s="68"/>
    </row>
    <row r="21219" spans="4:11" ht="12.75">
      <c r="D21219" s="67"/>
      <c r="G21219" s="68"/>
      <c r="K21219" s="68"/>
    </row>
    <row r="21220" spans="4:11" ht="12.75">
      <c r="D21220" s="67"/>
      <c r="G21220" s="68"/>
      <c r="K21220" s="68"/>
    </row>
    <row r="21221" spans="4:11" ht="12.75">
      <c r="D21221" s="67"/>
      <c r="G21221" s="68"/>
      <c r="K21221" s="68"/>
    </row>
    <row r="21222" spans="4:11" ht="12.75">
      <c r="D21222" s="67"/>
      <c r="G21222" s="68"/>
      <c r="K21222" s="68"/>
    </row>
    <row r="21223" spans="4:11" ht="12.75">
      <c r="D21223" s="67"/>
      <c r="G21223" s="68"/>
      <c r="K21223" s="68"/>
    </row>
    <row r="21224" spans="4:11" ht="12.75">
      <c r="D21224" s="67"/>
      <c r="G21224" s="68"/>
      <c r="K21224" s="68"/>
    </row>
    <row r="21225" spans="4:11" ht="12.75">
      <c r="D21225" s="67"/>
      <c r="G21225" s="68"/>
      <c r="K21225" s="68"/>
    </row>
    <row r="21226" spans="4:11" ht="12.75">
      <c r="D21226" s="67"/>
      <c r="G21226" s="68"/>
      <c r="K21226" s="68"/>
    </row>
    <row r="21227" spans="4:11" ht="12.75">
      <c r="D21227" s="67"/>
      <c r="G21227" s="68"/>
      <c r="K21227" s="68"/>
    </row>
    <row r="21228" spans="4:11" ht="12.75">
      <c r="D21228" s="67"/>
      <c r="G21228" s="68"/>
      <c r="K21228" s="68"/>
    </row>
    <row r="21229" spans="4:11" ht="12.75">
      <c r="D21229" s="67"/>
      <c r="G21229" s="68"/>
      <c r="K21229" s="68"/>
    </row>
    <row r="21230" spans="4:11" ht="12.75">
      <c r="D21230" s="67"/>
      <c r="G21230" s="68"/>
      <c r="K21230" s="68"/>
    </row>
    <row r="21231" spans="4:11" ht="12.75">
      <c r="D21231" s="67"/>
      <c r="G21231" s="68"/>
      <c r="K21231" s="68"/>
    </row>
    <row r="21232" spans="4:11" ht="12.75">
      <c r="D21232" s="67"/>
      <c r="G21232" s="68"/>
      <c r="K21232" s="68"/>
    </row>
    <row r="21233" spans="4:11" ht="12.75">
      <c r="D21233" s="67"/>
      <c r="G21233" s="68"/>
      <c r="K21233" s="68"/>
    </row>
    <row r="21234" spans="4:11" ht="12.75">
      <c r="D21234" s="67"/>
      <c r="G21234" s="68"/>
      <c r="K21234" s="68"/>
    </row>
    <row r="21235" spans="4:11" ht="12.75">
      <c r="D21235" s="67"/>
      <c r="G21235" s="68"/>
      <c r="K21235" s="68"/>
    </row>
    <row r="21236" spans="4:11" ht="12.75">
      <c r="D21236" s="67"/>
      <c r="G21236" s="68"/>
      <c r="K21236" s="68"/>
    </row>
    <row r="21237" spans="4:11" ht="12.75">
      <c r="D21237" s="67"/>
      <c r="G21237" s="68"/>
      <c r="K21237" s="68"/>
    </row>
    <row r="21238" spans="4:11" ht="12.75">
      <c r="D21238" s="67"/>
      <c r="G21238" s="68"/>
      <c r="K21238" s="68"/>
    </row>
    <row r="21239" spans="4:11" ht="12.75">
      <c r="D21239" s="67"/>
      <c r="G21239" s="68"/>
      <c r="K21239" s="68"/>
    </row>
    <row r="21240" spans="4:11" ht="12.75">
      <c r="D21240" s="67"/>
      <c r="G21240" s="68"/>
      <c r="K21240" s="68"/>
    </row>
    <row r="21241" spans="4:11" ht="12.75">
      <c r="D21241" s="67"/>
      <c r="G21241" s="68"/>
      <c r="K21241" s="68"/>
    </row>
    <row r="21242" spans="4:11" ht="12.75">
      <c r="D21242" s="67"/>
      <c r="G21242" s="68"/>
      <c r="K21242" s="68"/>
    </row>
    <row r="21243" spans="4:11" ht="12.75">
      <c r="D21243" s="67"/>
      <c r="G21243" s="68"/>
      <c r="K21243" s="68"/>
    </row>
    <row r="21244" spans="4:11" ht="12.75">
      <c r="D21244" s="67"/>
      <c r="G21244" s="68"/>
      <c r="K21244" s="68"/>
    </row>
    <row r="21245" spans="4:11" ht="12.75">
      <c r="D21245" s="67"/>
      <c r="G21245" s="68"/>
      <c r="K21245" s="68"/>
    </row>
    <row r="21246" spans="4:11" ht="12.75">
      <c r="D21246" s="67"/>
      <c r="G21246" s="68"/>
      <c r="K21246" s="68"/>
    </row>
    <row r="21247" spans="4:11" ht="12.75">
      <c r="D21247" s="67"/>
      <c r="G21247" s="68"/>
      <c r="K21247" s="68"/>
    </row>
    <row r="21248" spans="4:11" ht="12.75">
      <c r="D21248" s="67"/>
      <c r="G21248" s="68"/>
      <c r="K21248" s="68"/>
    </row>
    <row r="21249" spans="4:11" ht="12.75">
      <c r="D21249" s="67"/>
      <c r="G21249" s="68"/>
      <c r="K21249" s="68"/>
    </row>
    <row r="21250" spans="4:11" ht="12.75">
      <c r="D21250" s="67"/>
      <c r="G21250" s="68"/>
      <c r="K21250" s="68"/>
    </row>
    <row r="21251" spans="4:11" ht="12.75">
      <c r="D21251" s="67"/>
      <c r="G21251" s="68"/>
      <c r="K21251" s="68"/>
    </row>
    <row r="21252" spans="4:11" ht="12.75">
      <c r="D21252" s="67"/>
      <c r="G21252" s="68"/>
      <c r="K21252" s="68"/>
    </row>
    <row r="21253" spans="4:11" ht="12.75">
      <c r="D21253" s="67"/>
      <c r="G21253" s="68"/>
      <c r="K21253" s="68"/>
    </row>
    <row r="21254" spans="4:11" ht="12.75">
      <c r="D21254" s="67"/>
      <c r="G21254" s="68"/>
      <c r="K21254" s="68"/>
    </row>
    <row r="21255" spans="4:11" ht="12.75">
      <c r="D21255" s="67"/>
      <c r="G21255" s="68"/>
      <c r="K21255" s="68"/>
    </row>
    <row r="21256" spans="4:11" ht="12.75">
      <c r="D21256" s="67"/>
      <c r="G21256" s="68"/>
      <c r="K21256" s="68"/>
    </row>
    <row r="21257" spans="4:11" ht="12.75">
      <c r="D21257" s="67"/>
      <c r="G21257" s="68"/>
      <c r="K21257" s="68"/>
    </row>
    <row r="21258" spans="4:11" ht="12.75">
      <c r="D21258" s="67"/>
      <c r="G21258" s="68"/>
      <c r="K21258" s="68"/>
    </row>
    <row r="21259" spans="4:11" ht="12.75">
      <c r="D21259" s="67"/>
      <c r="G21259" s="68"/>
      <c r="K21259" s="68"/>
    </row>
    <row r="21260" spans="4:11" ht="12.75">
      <c r="D21260" s="67"/>
      <c r="G21260" s="68"/>
      <c r="K21260" s="68"/>
    </row>
    <row r="21261" spans="4:11" ht="12.75">
      <c r="D21261" s="67"/>
      <c r="G21261" s="68"/>
      <c r="K21261" s="68"/>
    </row>
    <row r="21262" spans="4:11" ht="12.75">
      <c r="D21262" s="67"/>
      <c r="G21262" s="68"/>
      <c r="K21262" s="68"/>
    </row>
    <row r="21263" spans="4:11" ht="12.75">
      <c r="D21263" s="67"/>
      <c r="G21263" s="68"/>
      <c r="K21263" s="68"/>
    </row>
    <row r="21264" spans="4:11" ht="12.75">
      <c r="D21264" s="67"/>
      <c r="G21264" s="68"/>
      <c r="K21264" s="68"/>
    </row>
    <row r="21265" spans="4:11" ht="12.75">
      <c r="D21265" s="67"/>
      <c r="G21265" s="68"/>
      <c r="K21265" s="68"/>
    </row>
    <row r="21266" spans="4:11" ht="12.75">
      <c r="D21266" s="67"/>
      <c r="G21266" s="68"/>
      <c r="K21266" s="68"/>
    </row>
    <row r="21267" spans="4:11" ht="12.75">
      <c r="D21267" s="67"/>
      <c r="G21267" s="68"/>
      <c r="K21267" s="68"/>
    </row>
    <row r="21268" spans="4:11" ht="12.75">
      <c r="D21268" s="67"/>
      <c r="G21268" s="68"/>
      <c r="K21268" s="68"/>
    </row>
    <row r="21269" spans="4:11" ht="12.75">
      <c r="D21269" s="67"/>
      <c r="G21269" s="68"/>
      <c r="K21269" s="68"/>
    </row>
    <row r="21270" spans="4:11" ht="12.75">
      <c r="D21270" s="67"/>
      <c r="G21270" s="68"/>
      <c r="K21270" s="68"/>
    </row>
    <row r="21271" spans="4:11" ht="12.75">
      <c r="D21271" s="67"/>
      <c r="G21271" s="68"/>
      <c r="K21271" s="68"/>
    </row>
    <row r="21272" spans="4:11" ht="12.75">
      <c r="D21272" s="67"/>
      <c r="G21272" s="68"/>
      <c r="K21272" s="68"/>
    </row>
    <row r="21273" spans="4:11" ht="12.75">
      <c r="D21273" s="67"/>
      <c r="G21273" s="68"/>
      <c r="K21273" s="68"/>
    </row>
    <row r="21274" spans="4:11" ht="12.75">
      <c r="D21274" s="67"/>
      <c r="G21274" s="68"/>
      <c r="K21274" s="68"/>
    </row>
    <row r="21275" spans="4:11" ht="12.75">
      <c r="D21275" s="67"/>
      <c r="G21275" s="68"/>
      <c r="K21275" s="68"/>
    </row>
    <row r="21276" spans="4:11" ht="12.75">
      <c r="D21276" s="67"/>
      <c r="G21276" s="68"/>
      <c r="K21276" s="68"/>
    </row>
    <row r="21277" spans="4:11" ht="12.75">
      <c r="D21277" s="67"/>
      <c r="G21277" s="68"/>
      <c r="K21277" s="68"/>
    </row>
    <row r="21278" spans="4:11" ht="12.75">
      <c r="D21278" s="67"/>
      <c r="G21278" s="68"/>
      <c r="K21278" s="68"/>
    </row>
    <row r="21279" spans="4:11" ht="12.75">
      <c r="D21279" s="67"/>
      <c r="G21279" s="68"/>
      <c r="K21279" s="68"/>
    </row>
    <row r="21280" spans="4:11" ht="12.75">
      <c r="D21280" s="67"/>
      <c r="G21280" s="68"/>
      <c r="K21280" s="68"/>
    </row>
    <row r="21281" spans="4:11" ht="12.75">
      <c r="D21281" s="67"/>
      <c r="G21281" s="68"/>
      <c r="K21281" s="68"/>
    </row>
    <row r="21282" spans="4:11" ht="12.75">
      <c r="D21282" s="67"/>
      <c r="G21282" s="68"/>
      <c r="K21282" s="68"/>
    </row>
    <row r="21283" spans="4:11" ht="12.75">
      <c r="D21283" s="67"/>
      <c r="G21283" s="68"/>
      <c r="K21283" s="68"/>
    </row>
    <row r="21284" spans="4:11" ht="12.75">
      <c r="D21284" s="67"/>
      <c r="G21284" s="68"/>
      <c r="K21284" s="68"/>
    </row>
    <row r="21285" spans="4:11" ht="12.75">
      <c r="D21285" s="67"/>
      <c r="G21285" s="68"/>
      <c r="K21285" s="68"/>
    </row>
    <row r="21286" spans="4:11" ht="12.75">
      <c r="D21286" s="67"/>
      <c r="G21286" s="68"/>
      <c r="K21286" s="68"/>
    </row>
    <row r="21287" spans="4:11" ht="12.75">
      <c r="D21287" s="67"/>
      <c r="G21287" s="68"/>
      <c r="K21287" s="68"/>
    </row>
    <row r="21288" spans="4:11" ht="12.75">
      <c r="D21288" s="67"/>
      <c r="G21288" s="68"/>
      <c r="K21288" s="68"/>
    </row>
    <row r="21289" spans="4:11" ht="12.75">
      <c r="D21289" s="67"/>
      <c r="G21289" s="68"/>
      <c r="K21289" s="68"/>
    </row>
    <row r="21290" spans="4:11" ht="12.75">
      <c r="D21290" s="67"/>
      <c r="G21290" s="68"/>
      <c r="K21290" s="68"/>
    </row>
    <row r="21291" spans="4:11" ht="12.75">
      <c r="D21291" s="67"/>
      <c r="G21291" s="68"/>
      <c r="K21291" s="68"/>
    </row>
    <row r="21292" spans="4:11" ht="12.75">
      <c r="D21292" s="67"/>
      <c r="G21292" s="68"/>
      <c r="K21292" s="68"/>
    </row>
    <row r="21293" spans="4:11" ht="12.75">
      <c r="D21293" s="67"/>
      <c r="G21293" s="68"/>
      <c r="K21293" s="68"/>
    </row>
    <row r="21294" spans="4:11" ht="12.75">
      <c r="D21294" s="67"/>
      <c r="G21294" s="68"/>
      <c r="K21294" s="68"/>
    </row>
    <row r="21295" spans="4:11" ht="12.75">
      <c r="D21295" s="67"/>
      <c r="G21295" s="68"/>
      <c r="K21295" s="68"/>
    </row>
    <row r="21296" spans="4:11" ht="12.75">
      <c r="D21296" s="67"/>
      <c r="G21296" s="68"/>
      <c r="K21296" s="68"/>
    </row>
    <row r="21297" spans="4:11" ht="12.75">
      <c r="D21297" s="67"/>
      <c r="G21297" s="68"/>
      <c r="K21297" s="68"/>
    </row>
    <row r="21298" spans="4:11" ht="12.75">
      <c r="D21298" s="67"/>
      <c r="G21298" s="68"/>
      <c r="K21298" s="68"/>
    </row>
    <row r="21299" spans="4:11" ht="12.75">
      <c r="D21299" s="67"/>
      <c r="G21299" s="68"/>
      <c r="K21299" s="68"/>
    </row>
    <row r="21300" spans="4:11" ht="12.75">
      <c r="D21300" s="67"/>
      <c r="G21300" s="68"/>
      <c r="K21300" s="68"/>
    </row>
    <row r="21301" spans="4:11" ht="12.75">
      <c r="D21301" s="67"/>
      <c r="G21301" s="68"/>
      <c r="K21301" s="68"/>
    </row>
    <row r="21302" spans="4:11" ht="12.75">
      <c r="D21302" s="67"/>
      <c r="G21302" s="68"/>
      <c r="K21302" s="68"/>
    </row>
    <row r="21303" spans="4:11" ht="12.75">
      <c r="D21303" s="67"/>
      <c r="G21303" s="68"/>
      <c r="K21303" s="68"/>
    </row>
    <row r="21304" spans="4:11" ht="12.75">
      <c r="D21304" s="67"/>
      <c r="G21304" s="68"/>
      <c r="K21304" s="68"/>
    </row>
    <row r="21305" spans="4:11" ht="12.75">
      <c r="D21305" s="67"/>
      <c r="G21305" s="68"/>
      <c r="K21305" s="68"/>
    </row>
    <row r="21306" spans="4:11" ht="12.75">
      <c r="D21306" s="67"/>
      <c r="G21306" s="68"/>
      <c r="K21306" s="68"/>
    </row>
    <row r="21307" spans="4:11" ht="12.75">
      <c r="D21307" s="67"/>
      <c r="G21307" s="68"/>
      <c r="K21307" s="68"/>
    </row>
    <row r="21308" spans="4:11" ht="12.75">
      <c r="D21308" s="67"/>
      <c r="G21308" s="68"/>
      <c r="K21308" s="68"/>
    </row>
    <row r="21309" spans="4:11" ht="12.75">
      <c r="D21309" s="67"/>
      <c r="G21309" s="68"/>
      <c r="K21309" s="68"/>
    </row>
    <row r="21310" spans="4:11" ht="12.75">
      <c r="D21310" s="67"/>
      <c r="G21310" s="68"/>
      <c r="K21310" s="68"/>
    </row>
    <row r="21311" spans="4:11" ht="12.75">
      <c r="D21311" s="67"/>
      <c r="G21311" s="68"/>
      <c r="K21311" s="68"/>
    </row>
    <row r="21312" spans="4:11" ht="12.75">
      <c r="D21312" s="67"/>
      <c r="G21312" s="68"/>
      <c r="K21312" s="68"/>
    </row>
    <row r="21313" spans="4:11" ht="12.75">
      <c r="D21313" s="67"/>
      <c r="G21313" s="68"/>
      <c r="K21313" s="68"/>
    </row>
    <row r="21314" spans="4:11" ht="12.75">
      <c r="D21314" s="67"/>
      <c r="G21314" s="68"/>
      <c r="K21314" s="68"/>
    </row>
    <row r="21315" spans="4:11" ht="12.75">
      <c r="D21315" s="67"/>
      <c r="G21315" s="68"/>
      <c r="K21315" s="68"/>
    </row>
    <row r="21316" spans="4:11" ht="12.75">
      <c r="D21316" s="67"/>
      <c r="G21316" s="68"/>
      <c r="K21316" s="68"/>
    </row>
    <row r="21317" spans="4:11" ht="12.75">
      <c r="D21317" s="67"/>
      <c r="G21317" s="68"/>
      <c r="K21317" s="68"/>
    </row>
    <row r="21318" spans="4:11" ht="12.75">
      <c r="D21318" s="67"/>
      <c r="G21318" s="68"/>
      <c r="K21318" s="68"/>
    </row>
    <row r="21319" spans="4:11" ht="12.75">
      <c r="D21319" s="67"/>
      <c r="G21319" s="68"/>
      <c r="K21319" s="68"/>
    </row>
    <row r="21320" spans="4:11" ht="12.75">
      <c r="D21320" s="67"/>
      <c r="G21320" s="68"/>
      <c r="K21320" s="68"/>
    </row>
    <row r="21321" spans="4:11" ht="12.75">
      <c r="D21321" s="67"/>
      <c r="G21321" s="68"/>
      <c r="K21321" s="68"/>
    </row>
    <row r="21322" spans="4:11" ht="12.75">
      <c r="D21322" s="67"/>
      <c r="G21322" s="68"/>
      <c r="K21322" s="68"/>
    </row>
    <row r="21323" spans="4:11" ht="12.75">
      <c r="D21323" s="67"/>
      <c r="G21323" s="68"/>
      <c r="K21323" s="68"/>
    </row>
    <row r="21324" spans="4:11" ht="12.75">
      <c r="D21324" s="67"/>
      <c r="G21324" s="68"/>
      <c r="K21324" s="68"/>
    </row>
    <row r="21325" spans="4:11" ht="12.75">
      <c r="D21325" s="67"/>
      <c r="G21325" s="68"/>
      <c r="K21325" s="68"/>
    </row>
    <row r="21326" spans="4:11" ht="12.75">
      <c r="D21326" s="67"/>
      <c r="G21326" s="68"/>
      <c r="K21326" s="68"/>
    </row>
    <row r="21327" spans="4:11" ht="12.75">
      <c r="D21327" s="67"/>
      <c r="G21327" s="68"/>
      <c r="K21327" s="68"/>
    </row>
    <row r="21328" spans="4:11" ht="12.75">
      <c r="D21328" s="67"/>
      <c r="G21328" s="68"/>
      <c r="K21328" s="68"/>
    </row>
    <row r="21329" spans="4:11" ht="12.75">
      <c r="D21329" s="67"/>
      <c r="G21329" s="68"/>
      <c r="K21329" s="68"/>
    </row>
    <row r="21330" spans="4:11" ht="12.75">
      <c r="D21330" s="67"/>
      <c r="G21330" s="68"/>
      <c r="K21330" s="68"/>
    </row>
    <row r="21331" spans="4:11" ht="12.75">
      <c r="D21331" s="67"/>
      <c r="G21331" s="68"/>
      <c r="K21331" s="68"/>
    </row>
    <row r="21332" spans="4:11" ht="12.75">
      <c r="D21332" s="67"/>
      <c r="G21332" s="68"/>
      <c r="K21332" s="68"/>
    </row>
    <row r="21333" spans="4:11" ht="12.75">
      <c r="D21333" s="67"/>
      <c r="G21333" s="68"/>
      <c r="K21333" s="68"/>
    </row>
    <row r="21334" spans="4:11" ht="12.75">
      <c r="D21334" s="67"/>
      <c r="G21334" s="68"/>
      <c r="K21334" s="68"/>
    </row>
    <row r="21335" spans="4:11" ht="12.75">
      <c r="D21335" s="67"/>
      <c r="G21335" s="68"/>
      <c r="K21335" s="68"/>
    </row>
    <row r="21336" spans="4:11" ht="12.75">
      <c r="D21336" s="67"/>
      <c r="G21336" s="68"/>
      <c r="K21336" s="68"/>
    </row>
    <row r="21337" spans="4:11" ht="12.75">
      <c r="D21337" s="67"/>
      <c r="G21337" s="68"/>
      <c r="K21337" s="68"/>
    </row>
    <row r="21338" spans="4:11" ht="12.75">
      <c r="D21338" s="67"/>
      <c r="G21338" s="68"/>
      <c r="K21338" s="68"/>
    </row>
    <row r="21339" spans="4:11" ht="12.75">
      <c r="D21339" s="67"/>
      <c r="G21339" s="68"/>
      <c r="K21339" s="68"/>
    </row>
    <row r="21340" spans="4:11" ht="12.75">
      <c r="D21340" s="67"/>
      <c r="G21340" s="68"/>
      <c r="K21340" s="68"/>
    </row>
    <row r="21341" spans="4:11" ht="12.75">
      <c r="D21341" s="67"/>
      <c r="G21341" s="68"/>
      <c r="K21341" s="68"/>
    </row>
    <row r="21342" spans="4:11" ht="12.75">
      <c r="D21342" s="67"/>
      <c r="G21342" s="68"/>
      <c r="K21342" s="68"/>
    </row>
    <row r="21343" spans="4:11" ht="12.75">
      <c r="D21343" s="67"/>
      <c r="G21343" s="68"/>
      <c r="K21343" s="68"/>
    </row>
    <row r="21344" spans="4:11" ht="12.75">
      <c r="D21344" s="67"/>
      <c r="G21344" s="68"/>
      <c r="K21344" s="68"/>
    </row>
    <row r="21345" spans="4:11" ht="12.75">
      <c r="D21345" s="67"/>
      <c r="G21345" s="68"/>
      <c r="K21345" s="68"/>
    </row>
    <row r="21346" spans="4:11" ht="12.75">
      <c r="D21346" s="67"/>
      <c r="G21346" s="68"/>
      <c r="K21346" s="68"/>
    </row>
    <row r="21347" spans="4:11" ht="12.75">
      <c r="D21347" s="67"/>
      <c r="G21347" s="68"/>
      <c r="K21347" s="68"/>
    </row>
    <row r="21348" spans="4:11" ht="12.75">
      <c r="D21348" s="67"/>
      <c r="G21348" s="68"/>
      <c r="K21348" s="68"/>
    </row>
    <row r="21349" spans="4:11" ht="12.75">
      <c r="D21349" s="67"/>
      <c r="G21349" s="68"/>
      <c r="K21349" s="68"/>
    </row>
    <row r="21350" spans="4:11" ht="12.75">
      <c r="D21350" s="67"/>
      <c r="G21350" s="68"/>
      <c r="K21350" s="68"/>
    </row>
    <row r="21351" spans="4:11" ht="12.75">
      <c r="D21351" s="67"/>
      <c r="G21351" s="68"/>
      <c r="K21351" s="68"/>
    </row>
    <row r="21352" spans="4:11" ht="12.75">
      <c r="D21352" s="67"/>
      <c r="G21352" s="68"/>
      <c r="K21352" s="68"/>
    </row>
    <row r="21353" spans="4:11" ht="12.75">
      <c r="D21353" s="67"/>
      <c r="G21353" s="68"/>
      <c r="K21353" s="68"/>
    </row>
    <row r="21354" spans="4:11" ht="12.75">
      <c r="D21354" s="67"/>
      <c r="G21354" s="68"/>
      <c r="K21354" s="68"/>
    </row>
    <row r="21355" spans="4:11" ht="12.75">
      <c r="D21355" s="67"/>
      <c r="G21355" s="68"/>
      <c r="K21355" s="68"/>
    </row>
    <row r="21356" spans="4:11" ht="12.75">
      <c r="D21356" s="67"/>
      <c r="G21356" s="68"/>
      <c r="K21356" s="68"/>
    </row>
    <row r="21357" spans="4:11" ht="12.75">
      <c r="D21357" s="67"/>
      <c r="G21357" s="68"/>
      <c r="K21357" s="68"/>
    </row>
    <row r="21358" spans="4:11" ht="12.75">
      <c r="D21358" s="67"/>
      <c r="G21358" s="68"/>
      <c r="K21358" s="68"/>
    </row>
    <row r="21359" spans="4:11" ht="12.75">
      <c r="D21359" s="67"/>
      <c r="G21359" s="68"/>
      <c r="K21359" s="68"/>
    </row>
    <row r="21360" spans="4:11" ht="12.75">
      <c r="D21360" s="67"/>
      <c r="G21360" s="68"/>
      <c r="K21360" s="68"/>
    </row>
    <row r="21361" spans="4:11" ht="12.75">
      <c r="D21361" s="67"/>
      <c r="G21361" s="68"/>
      <c r="K21361" s="68"/>
    </row>
    <row r="21362" spans="4:11" ht="12.75">
      <c r="D21362" s="67"/>
      <c r="G21362" s="68"/>
      <c r="K21362" s="68"/>
    </row>
    <row r="21363" spans="4:11" ht="12.75">
      <c r="D21363" s="67"/>
      <c r="G21363" s="68"/>
      <c r="K21363" s="68"/>
    </row>
    <row r="21364" spans="4:11" ht="12.75">
      <c r="D21364" s="67"/>
      <c r="G21364" s="68"/>
      <c r="K21364" s="68"/>
    </row>
    <row r="21365" spans="4:11" ht="12.75">
      <c r="D21365" s="67"/>
      <c r="G21365" s="68"/>
      <c r="K21365" s="68"/>
    </row>
    <row r="21366" spans="4:11" ht="12.75">
      <c r="D21366" s="67"/>
      <c r="G21366" s="68"/>
      <c r="K21366" s="68"/>
    </row>
    <row r="21367" spans="4:11" ht="12.75">
      <c r="D21367" s="67"/>
      <c r="G21367" s="68"/>
      <c r="K21367" s="68"/>
    </row>
    <row r="21368" spans="4:11" ht="12.75">
      <c r="D21368" s="67"/>
      <c r="G21368" s="68"/>
      <c r="K21368" s="68"/>
    </row>
    <row r="21369" spans="4:11" ht="12.75">
      <c r="D21369" s="67"/>
      <c r="G21369" s="68"/>
      <c r="K21369" s="68"/>
    </row>
    <row r="21370" spans="4:11" ht="12.75">
      <c r="D21370" s="67"/>
      <c r="G21370" s="68"/>
      <c r="K21370" s="68"/>
    </row>
    <row r="21371" spans="4:11" ht="12.75">
      <c r="D21371" s="67"/>
      <c r="G21371" s="68"/>
      <c r="K21371" s="68"/>
    </row>
    <row r="21372" spans="4:11" ht="12.75">
      <c r="D21372" s="67"/>
      <c r="G21372" s="68"/>
      <c r="K21372" s="68"/>
    </row>
    <row r="21373" spans="4:11" ht="12.75">
      <c r="D21373" s="67"/>
      <c r="G21373" s="68"/>
      <c r="K21373" s="68"/>
    </row>
    <row r="21374" spans="4:11" ht="12.75">
      <c r="D21374" s="67"/>
      <c r="G21374" s="68"/>
      <c r="K21374" s="68"/>
    </row>
    <row r="21375" spans="4:11" ht="12.75">
      <c r="D21375" s="67"/>
      <c r="G21375" s="68"/>
      <c r="K21375" s="68"/>
    </row>
    <row r="21376" spans="4:11" ht="12.75">
      <c r="D21376" s="67"/>
      <c r="G21376" s="68"/>
      <c r="K21376" s="68"/>
    </row>
    <row r="21377" spans="4:11" ht="12.75">
      <c r="D21377" s="67"/>
      <c r="G21377" s="68"/>
      <c r="K21377" s="68"/>
    </row>
    <row r="21378" spans="4:11" ht="12.75">
      <c r="D21378" s="67"/>
      <c r="G21378" s="68"/>
      <c r="K21378" s="68"/>
    </row>
    <row r="21379" spans="4:11" ht="12.75">
      <c r="D21379" s="67"/>
      <c r="G21379" s="68"/>
      <c r="K21379" s="68"/>
    </row>
    <row r="21380" spans="4:11" ht="12.75">
      <c r="D21380" s="67"/>
      <c r="G21380" s="68"/>
      <c r="K21380" s="68"/>
    </row>
    <row r="21381" spans="4:11" ht="12.75">
      <c r="D21381" s="67"/>
      <c r="G21381" s="68"/>
      <c r="K21381" s="68"/>
    </row>
    <row r="21382" spans="4:11" ht="12.75">
      <c r="D21382" s="67"/>
      <c r="G21382" s="68"/>
      <c r="K21382" s="68"/>
    </row>
    <row r="21383" spans="4:11" ht="12.75">
      <c r="D21383" s="67"/>
      <c r="G21383" s="68"/>
      <c r="K21383" s="68"/>
    </row>
    <row r="21384" spans="4:11" ht="12.75">
      <c r="D21384" s="67"/>
      <c r="G21384" s="68"/>
      <c r="K21384" s="68"/>
    </row>
    <row r="21385" spans="4:11" ht="12.75">
      <c r="D21385" s="67"/>
      <c r="G21385" s="68"/>
      <c r="K21385" s="68"/>
    </row>
    <row r="21386" spans="4:11" ht="12.75">
      <c r="D21386" s="67"/>
      <c r="G21386" s="68"/>
      <c r="K21386" s="68"/>
    </row>
    <row r="21387" spans="4:11" ht="12.75">
      <c r="D21387" s="67"/>
      <c r="G21387" s="68"/>
      <c r="K21387" s="68"/>
    </row>
    <row r="21388" spans="4:11" ht="12.75">
      <c r="D21388" s="67"/>
      <c r="G21388" s="68"/>
      <c r="K21388" s="68"/>
    </row>
    <row r="21389" spans="4:11" ht="12.75">
      <c r="D21389" s="67"/>
      <c r="G21389" s="68"/>
      <c r="K21389" s="68"/>
    </row>
    <row r="21390" spans="4:11" ht="12.75">
      <c r="D21390" s="67"/>
      <c r="G21390" s="68"/>
      <c r="K21390" s="68"/>
    </row>
    <row r="21391" spans="4:11" ht="12.75">
      <c r="D21391" s="67"/>
      <c r="G21391" s="68"/>
      <c r="K21391" s="68"/>
    </row>
    <row r="21392" spans="4:11" ht="12.75">
      <c r="D21392" s="67"/>
      <c r="G21392" s="68"/>
      <c r="K21392" s="68"/>
    </row>
    <row r="21393" spans="4:11" ht="12.75">
      <c r="D21393" s="67"/>
      <c r="G21393" s="68"/>
      <c r="K21393" s="68"/>
    </row>
    <row r="21394" spans="4:11" ht="12.75">
      <c r="D21394" s="67"/>
      <c r="G21394" s="68"/>
      <c r="K21394" s="68"/>
    </row>
    <row r="21395" spans="4:11" ht="12.75">
      <c r="D21395" s="67"/>
      <c r="G21395" s="68"/>
      <c r="K21395" s="68"/>
    </row>
    <row r="21396" spans="4:11" ht="12.75">
      <c r="D21396" s="67"/>
      <c r="G21396" s="68"/>
      <c r="K21396" s="68"/>
    </row>
    <row r="21397" spans="4:11" ht="12.75">
      <c r="D21397" s="67"/>
      <c r="G21397" s="68"/>
      <c r="K21397" s="68"/>
    </row>
    <row r="21398" spans="4:11" ht="12.75">
      <c r="D21398" s="67"/>
      <c r="G21398" s="68"/>
      <c r="K21398" s="68"/>
    </row>
    <row r="21399" spans="4:11" ht="12.75">
      <c r="D21399" s="67"/>
      <c r="G21399" s="68"/>
      <c r="K21399" s="68"/>
    </row>
    <row r="21400" spans="4:11" ht="12.75">
      <c r="D21400" s="67"/>
      <c r="G21400" s="68"/>
      <c r="K21400" s="68"/>
    </row>
    <row r="21401" spans="4:11" ht="12.75">
      <c r="D21401" s="67"/>
      <c r="G21401" s="68"/>
      <c r="K21401" s="68"/>
    </row>
    <row r="21402" spans="4:11" ht="12.75">
      <c r="D21402" s="67"/>
      <c r="G21402" s="68"/>
      <c r="K21402" s="68"/>
    </row>
    <row r="21403" spans="4:11" ht="12.75">
      <c r="D21403" s="67"/>
      <c r="G21403" s="68"/>
      <c r="K21403" s="68"/>
    </row>
    <row r="21404" spans="4:11" ht="12.75">
      <c r="D21404" s="67"/>
      <c r="G21404" s="68"/>
      <c r="K21404" s="68"/>
    </row>
    <row r="21405" spans="4:11" ht="12.75">
      <c r="D21405" s="67"/>
      <c r="G21405" s="68"/>
      <c r="K21405" s="68"/>
    </row>
    <row r="21406" spans="4:11" ht="12.75">
      <c r="D21406" s="67"/>
      <c r="G21406" s="68"/>
      <c r="K21406" s="68"/>
    </row>
    <row r="21407" spans="4:11" ht="12.75">
      <c r="D21407" s="67"/>
      <c r="G21407" s="68"/>
      <c r="K21407" s="68"/>
    </row>
    <row r="21408" spans="4:11" ht="12.75">
      <c r="D21408" s="67"/>
      <c r="G21408" s="68"/>
      <c r="K21408" s="68"/>
    </row>
    <row r="21409" spans="4:11" ht="12.75">
      <c r="D21409" s="67"/>
      <c r="G21409" s="68"/>
      <c r="K21409" s="68"/>
    </row>
    <row r="21410" spans="4:11" ht="12.75">
      <c r="D21410" s="67"/>
      <c r="G21410" s="68"/>
      <c r="K21410" s="68"/>
    </row>
    <row r="21411" spans="4:11" ht="12.75">
      <c r="D21411" s="67"/>
      <c r="G21411" s="68"/>
      <c r="K21411" s="68"/>
    </row>
    <row r="21412" spans="4:11" ht="12.75">
      <c r="D21412" s="67"/>
      <c r="G21412" s="68"/>
      <c r="K21412" s="68"/>
    </row>
    <row r="21413" spans="4:11" ht="12.75">
      <c r="D21413" s="67"/>
      <c r="G21413" s="68"/>
      <c r="K21413" s="68"/>
    </row>
    <row r="21414" spans="4:11" ht="12.75">
      <c r="D21414" s="67"/>
      <c r="G21414" s="68"/>
      <c r="K21414" s="68"/>
    </row>
    <row r="21415" spans="4:11" ht="12.75">
      <c r="D21415" s="67"/>
      <c r="G21415" s="68"/>
      <c r="K21415" s="68"/>
    </row>
    <row r="21416" spans="4:11" ht="12.75">
      <c r="D21416" s="67"/>
      <c r="G21416" s="68"/>
      <c r="K21416" s="68"/>
    </row>
    <row r="21417" spans="4:11" ht="12.75">
      <c r="D21417" s="67"/>
      <c r="G21417" s="68"/>
      <c r="K21417" s="68"/>
    </row>
    <row r="21418" spans="4:11" ht="12.75">
      <c r="D21418" s="67"/>
      <c r="G21418" s="68"/>
      <c r="K21418" s="68"/>
    </row>
    <row r="21419" spans="4:11" ht="12.75">
      <c r="D21419" s="67"/>
      <c r="G21419" s="68"/>
      <c r="K21419" s="68"/>
    </row>
    <row r="21420" spans="4:11" ht="12.75">
      <c r="D21420" s="67"/>
      <c r="G21420" s="68"/>
      <c r="K21420" s="68"/>
    </row>
    <row r="21421" spans="4:11" ht="12.75">
      <c r="D21421" s="67"/>
      <c r="G21421" s="68"/>
      <c r="K21421" s="68"/>
    </row>
    <row r="21422" spans="4:11" ht="12.75">
      <c r="D21422" s="67"/>
      <c r="G21422" s="68"/>
      <c r="K21422" s="68"/>
    </row>
    <row r="21423" spans="4:11" ht="12.75">
      <c r="D21423" s="67"/>
      <c r="G21423" s="68"/>
      <c r="K21423" s="68"/>
    </row>
    <row r="21424" spans="4:11" ht="12.75">
      <c r="D21424" s="67"/>
      <c r="G21424" s="68"/>
      <c r="K21424" s="68"/>
    </row>
    <row r="21425" spans="4:11" ht="12.75">
      <c r="D21425" s="67"/>
      <c r="G21425" s="68"/>
      <c r="K21425" s="68"/>
    </row>
    <row r="21426" spans="4:11" ht="12.75">
      <c r="D21426" s="67"/>
      <c r="G21426" s="68"/>
      <c r="K21426" s="68"/>
    </row>
    <row r="21427" spans="4:11" ht="12.75">
      <c r="D21427" s="67"/>
      <c r="G21427" s="68"/>
      <c r="K21427" s="68"/>
    </row>
    <row r="21428" spans="4:11" ht="12.75">
      <c r="D21428" s="67"/>
      <c r="G21428" s="68"/>
      <c r="K21428" s="68"/>
    </row>
    <row r="21429" spans="4:11" ht="12.75">
      <c r="D21429" s="67"/>
      <c r="G21429" s="68"/>
      <c r="K21429" s="68"/>
    </row>
    <row r="21430" spans="4:11" ht="12.75">
      <c r="D21430" s="67"/>
      <c r="G21430" s="68"/>
      <c r="K21430" s="68"/>
    </row>
    <row r="21431" spans="4:11" ht="12.75">
      <c r="D21431" s="67"/>
      <c r="G21431" s="68"/>
      <c r="K21431" s="68"/>
    </row>
    <row r="21432" spans="4:11" ht="12.75">
      <c r="D21432" s="67"/>
      <c r="G21432" s="68"/>
      <c r="K21432" s="68"/>
    </row>
    <row r="21433" spans="4:11" ht="12.75">
      <c r="D21433" s="67"/>
      <c r="G21433" s="68"/>
      <c r="K21433" s="68"/>
    </row>
    <row r="21434" spans="4:11" ht="12.75">
      <c r="D21434" s="67"/>
      <c r="G21434" s="68"/>
      <c r="K21434" s="68"/>
    </row>
    <row r="21435" spans="4:11" ht="12.75">
      <c r="D21435" s="67"/>
      <c r="G21435" s="68"/>
      <c r="K21435" s="68"/>
    </row>
    <row r="21436" spans="4:11" ht="12.75">
      <c r="D21436" s="67"/>
      <c r="G21436" s="68"/>
      <c r="K21436" s="68"/>
    </row>
    <row r="21437" spans="4:11" ht="12.75">
      <c r="D21437" s="67"/>
      <c r="G21437" s="68"/>
      <c r="K21437" s="68"/>
    </row>
    <row r="21438" spans="4:11" ht="12.75">
      <c r="D21438" s="67"/>
      <c r="G21438" s="68"/>
      <c r="K21438" s="68"/>
    </row>
    <row r="21439" spans="4:11" ht="12.75">
      <c r="D21439" s="67"/>
      <c r="G21439" s="68"/>
      <c r="K21439" s="68"/>
    </row>
    <row r="21440" spans="4:11" ht="12.75">
      <c r="D21440" s="67"/>
      <c r="G21440" s="68"/>
      <c r="K21440" s="68"/>
    </row>
    <row r="21441" spans="4:11" ht="12.75">
      <c r="D21441" s="67"/>
      <c r="G21441" s="68"/>
      <c r="K21441" s="68"/>
    </row>
    <row r="21442" spans="4:11" ht="12.75">
      <c r="D21442" s="67"/>
      <c r="G21442" s="68"/>
      <c r="K21442" s="68"/>
    </row>
    <row r="21443" spans="4:11" ht="12.75">
      <c r="D21443" s="67"/>
      <c r="G21443" s="68"/>
      <c r="K21443" s="68"/>
    </row>
    <row r="21444" spans="4:11" ht="12.75">
      <c r="D21444" s="67"/>
      <c r="G21444" s="68"/>
      <c r="K21444" s="68"/>
    </row>
    <row r="21445" spans="4:11" ht="12.75">
      <c r="D21445" s="67"/>
      <c r="G21445" s="68"/>
      <c r="K21445" s="68"/>
    </row>
    <row r="21446" spans="4:11" ht="12.75">
      <c r="D21446" s="67"/>
      <c r="G21446" s="68"/>
      <c r="K21446" s="68"/>
    </row>
    <row r="21447" spans="4:11" ht="12.75">
      <c r="D21447" s="67"/>
      <c r="G21447" s="68"/>
      <c r="K21447" s="68"/>
    </row>
    <row r="21448" spans="4:11" ht="12.75">
      <c r="D21448" s="67"/>
      <c r="G21448" s="68"/>
      <c r="K21448" s="68"/>
    </row>
    <row r="21449" spans="4:11" ht="12.75">
      <c r="D21449" s="67"/>
      <c r="G21449" s="68"/>
      <c r="K21449" s="68"/>
    </row>
    <row r="21450" spans="4:11" ht="12.75">
      <c r="D21450" s="67"/>
      <c r="G21450" s="68"/>
      <c r="K21450" s="68"/>
    </row>
    <row r="21451" spans="4:11" ht="12.75">
      <c r="D21451" s="67"/>
      <c r="G21451" s="68"/>
      <c r="K21451" s="68"/>
    </row>
    <row r="21452" spans="4:11" ht="12.75">
      <c r="D21452" s="67"/>
      <c r="G21452" s="68"/>
      <c r="K21452" s="68"/>
    </row>
    <row r="21453" spans="4:11" ht="12.75">
      <c r="D21453" s="67"/>
      <c r="G21453" s="68"/>
      <c r="K21453" s="68"/>
    </row>
    <row r="21454" spans="4:11" ht="12.75">
      <c r="D21454" s="67"/>
      <c r="G21454" s="68"/>
      <c r="K21454" s="68"/>
    </row>
    <row r="21455" spans="4:11" ht="12.75">
      <c r="D21455" s="67"/>
      <c r="G21455" s="68"/>
      <c r="K21455" s="68"/>
    </row>
    <row r="21456" spans="4:11" ht="12.75">
      <c r="D21456" s="67"/>
      <c r="G21456" s="68"/>
      <c r="K21456" s="68"/>
    </row>
    <row r="21457" spans="4:11" ht="12.75">
      <c r="D21457" s="67"/>
      <c r="G21457" s="68"/>
      <c r="K21457" s="68"/>
    </row>
    <row r="21458" spans="4:11" ht="12.75">
      <c r="D21458" s="67"/>
      <c r="G21458" s="68"/>
      <c r="K21458" s="68"/>
    </row>
    <row r="21459" spans="4:11" ht="12.75">
      <c r="D21459" s="67"/>
      <c r="G21459" s="68"/>
      <c r="K21459" s="68"/>
    </row>
    <row r="21460" spans="4:11" ht="12.75">
      <c r="D21460" s="67"/>
      <c r="G21460" s="68"/>
      <c r="K21460" s="68"/>
    </row>
    <row r="21461" spans="4:11" ht="12.75">
      <c r="D21461" s="67"/>
      <c r="G21461" s="68"/>
      <c r="K21461" s="68"/>
    </row>
    <row r="21462" spans="4:11" ht="12.75">
      <c r="D21462" s="67"/>
      <c r="G21462" s="68"/>
      <c r="K21462" s="68"/>
    </row>
    <row r="21463" spans="4:11" ht="12.75">
      <c r="D21463" s="67"/>
      <c r="G21463" s="68"/>
      <c r="K21463" s="68"/>
    </row>
    <row r="21464" spans="4:11" ht="12.75">
      <c r="D21464" s="67"/>
      <c r="G21464" s="68"/>
      <c r="K21464" s="68"/>
    </row>
    <row r="21465" spans="4:11" ht="12.75">
      <c r="D21465" s="67"/>
      <c r="G21465" s="68"/>
      <c r="K21465" s="68"/>
    </row>
    <row r="21466" spans="4:11" ht="12.75">
      <c r="D21466" s="67"/>
      <c r="G21466" s="68"/>
      <c r="K21466" s="68"/>
    </row>
    <row r="21467" spans="4:11" ht="12.75">
      <c r="D21467" s="67"/>
      <c r="G21467" s="68"/>
      <c r="K21467" s="68"/>
    </row>
    <row r="21468" spans="4:11" ht="12.75">
      <c r="D21468" s="67"/>
      <c r="G21468" s="68"/>
      <c r="K21468" s="68"/>
    </row>
    <row r="21469" spans="4:11" ht="12.75">
      <c r="D21469" s="67"/>
      <c r="G21469" s="68"/>
      <c r="K21469" s="68"/>
    </row>
    <row r="21470" spans="4:11" ht="12.75">
      <c r="D21470" s="67"/>
      <c r="G21470" s="68"/>
      <c r="K21470" s="68"/>
    </row>
    <row r="21471" spans="4:11" ht="12.75">
      <c r="D21471" s="67"/>
      <c r="G21471" s="68"/>
      <c r="K21471" s="68"/>
    </row>
    <row r="21472" spans="4:11" ht="12.75">
      <c r="D21472" s="67"/>
      <c r="G21472" s="68"/>
      <c r="K21472" s="68"/>
    </row>
    <row r="21473" spans="4:11" ht="12.75">
      <c r="D21473" s="67"/>
      <c r="G21473" s="68"/>
      <c r="K21473" s="68"/>
    </row>
    <row r="21474" spans="4:11" ht="12.75">
      <c r="D21474" s="67"/>
      <c r="G21474" s="68"/>
      <c r="K21474" s="68"/>
    </row>
    <row r="21475" spans="4:11" ht="12.75">
      <c r="D21475" s="67"/>
      <c r="G21475" s="68"/>
      <c r="K21475" s="68"/>
    </row>
    <row r="21476" spans="4:11" ht="12.75">
      <c r="D21476" s="67"/>
      <c r="G21476" s="68"/>
      <c r="K21476" s="68"/>
    </row>
    <row r="21477" spans="4:11" ht="12.75">
      <c r="D21477" s="67"/>
      <c r="G21477" s="68"/>
      <c r="K21477" s="68"/>
    </row>
    <row r="21478" spans="4:11" ht="12.75">
      <c r="D21478" s="67"/>
      <c r="G21478" s="68"/>
      <c r="K21478" s="68"/>
    </row>
    <row r="21479" spans="4:11" ht="12.75">
      <c r="D21479" s="67"/>
      <c r="G21479" s="68"/>
      <c r="K21479" s="68"/>
    </row>
    <row r="21480" spans="4:11" ht="12.75">
      <c r="D21480" s="67"/>
      <c r="G21480" s="68"/>
      <c r="K21480" s="68"/>
    </row>
    <row r="21481" spans="4:11" ht="12.75">
      <c r="D21481" s="67"/>
      <c r="G21481" s="68"/>
      <c r="K21481" s="68"/>
    </row>
    <row r="21482" spans="4:11" ht="12.75">
      <c r="D21482" s="67"/>
      <c r="G21482" s="68"/>
      <c r="K21482" s="68"/>
    </row>
    <row r="21483" spans="4:11" ht="12.75">
      <c r="D21483" s="67"/>
      <c r="G21483" s="68"/>
      <c r="K21483" s="68"/>
    </row>
    <row r="21484" spans="4:11" ht="12.75">
      <c r="D21484" s="67"/>
      <c r="G21484" s="68"/>
      <c r="K21484" s="68"/>
    </row>
    <row r="21485" spans="4:11" ht="12.75">
      <c r="D21485" s="67"/>
      <c r="G21485" s="68"/>
      <c r="K21485" s="68"/>
    </row>
    <row r="21486" spans="4:11" ht="12.75">
      <c r="D21486" s="67"/>
      <c r="G21486" s="68"/>
      <c r="K21486" s="68"/>
    </row>
    <row r="21487" spans="4:11" ht="12.75">
      <c r="D21487" s="67"/>
      <c r="G21487" s="68"/>
      <c r="K21487" s="68"/>
    </row>
    <row r="21488" spans="4:11" ht="12.75">
      <c r="D21488" s="67"/>
      <c r="G21488" s="68"/>
      <c r="K21488" s="68"/>
    </row>
    <row r="21489" spans="4:11" ht="12.75">
      <c r="D21489" s="67"/>
      <c r="G21489" s="68"/>
      <c r="K21489" s="68"/>
    </row>
    <row r="21490" spans="4:11" ht="12.75">
      <c r="D21490" s="67"/>
      <c r="G21490" s="68"/>
      <c r="K21490" s="68"/>
    </row>
    <row r="21491" spans="4:11" ht="12.75">
      <c r="D21491" s="67"/>
      <c r="G21491" s="68"/>
      <c r="K21491" s="68"/>
    </row>
    <row r="21492" spans="4:11" ht="12.75">
      <c r="D21492" s="67"/>
      <c r="G21492" s="68"/>
      <c r="K21492" s="68"/>
    </row>
    <row r="21493" spans="4:11" ht="12.75">
      <c r="D21493" s="67"/>
      <c r="G21493" s="68"/>
      <c r="K21493" s="68"/>
    </row>
    <row r="21494" spans="4:11" ht="12.75">
      <c r="D21494" s="67"/>
      <c r="G21494" s="68"/>
      <c r="K21494" s="68"/>
    </row>
    <row r="21495" spans="4:11" ht="12.75">
      <c r="D21495" s="67"/>
      <c r="G21495" s="68"/>
      <c r="K21495" s="68"/>
    </row>
    <row r="21496" spans="4:11" ht="12.75">
      <c r="D21496" s="67"/>
      <c r="G21496" s="68"/>
      <c r="K21496" s="68"/>
    </row>
    <row r="21497" spans="4:11" ht="12.75">
      <c r="D21497" s="67"/>
      <c r="G21497" s="68"/>
      <c r="K21497" s="68"/>
    </row>
    <row r="21498" spans="4:11" ht="12.75">
      <c r="D21498" s="67"/>
      <c r="G21498" s="68"/>
      <c r="K21498" s="68"/>
    </row>
    <row r="21499" spans="4:11" ht="12.75">
      <c r="D21499" s="67"/>
      <c r="G21499" s="68"/>
      <c r="K21499" s="68"/>
    </row>
    <row r="21500" spans="4:11" ht="12.75">
      <c r="D21500" s="67"/>
      <c r="G21500" s="68"/>
      <c r="K21500" s="68"/>
    </row>
    <row r="21501" spans="4:11" ht="12.75">
      <c r="D21501" s="67"/>
      <c r="G21501" s="68"/>
      <c r="K21501" s="68"/>
    </row>
    <row r="21502" spans="4:11" ht="12.75">
      <c r="D21502" s="67"/>
      <c r="G21502" s="68"/>
      <c r="K21502" s="68"/>
    </row>
    <row r="21503" spans="4:11" ht="12.75">
      <c r="D21503" s="67"/>
      <c r="G21503" s="68"/>
      <c r="K21503" s="68"/>
    </row>
    <row r="21504" spans="4:11" ht="12.75">
      <c r="D21504" s="67"/>
      <c r="G21504" s="68"/>
      <c r="K21504" s="68"/>
    </row>
    <row r="21505" spans="4:11" ht="12.75">
      <c r="D21505" s="67"/>
      <c r="G21505" s="68"/>
      <c r="K21505" s="68"/>
    </row>
    <row r="21506" spans="4:11" ht="12.75">
      <c r="D21506" s="67"/>
      <c r="G21506" s="68"/>
      <c r="K21506" s="68"/>
    </row>
    <row r="21507" spans="4:11" ht="12.75">
      <c r="D21507" s="67"/>
      <c r="G21507" s="68"/>
      <c r="K21507" s="68"/>
    </row>
    <row r="21508" spans="4:11" ht="12.75">
      <c r="D21508" s="67"/>
      <c r="G21508" s="68"/>
      <c r="K21508" s="68"/>
    </row>
    <row r="21509" spans="4:11" ht="12.75">
      <c r="D21509" s="67"/>
      <c r="G21509" s="68"/>
      <c r="K21509" s="68"/>
    </row>
    <row r="21510" spans="4:11" ht="12.75">
      <c r="D21510" s="67"/>
      <c r="G21510" s="68"/>
      <c r="K21510" s="68"/>
    </row>
    <row r="21511" spans="4:11" ht="12.75">
      <c r="D21511" s="67"/>
      <c r="G21511" s="68"/>
      <c r="K21511" s="68"/>
    </row>
    <row r="21512" spans="4:11" ht="12.75">
      <c r="D21512" s="67"/>
      <c r="G21512" s="68"/>
      <c r="K21512" s="68"/>
    </row>
    <row r="21513" spans="4:11" ht="12.75">
      <c r="D21513" s="67"/>
      <c r="G21513" s="68"/>
      <c r="K21513" s="68"/>
    </row>
    <row r="21514" spans="4:11" ht="12.75">
      <c r="D21514" s="67"/>
      <c r="G21514" s="68"/>
      <c r="K21514" s="68"/>
    </row>
    <row r="21515" spans="4:11" ht="12.75">
      <c r="D21515" s="67"/>
      <c r="G21515" s="68"/>
      <c r="K21515" s="68"/>
    </row>
    <row r="21516" spans="4:11" ht="12.75">
      <c r="D21516" s="67"/>
      <c r="G21516" s="68"/>
      <c r="K21516" s="68"/>
    </row>
    <row r="21517" spans="4:11" ht="12.75">
      <c r="D21517" s="67"/>
      <c r="G21517" s="68"/>
      <c r="K21517" s="68"/>
    </row>
    <row r="21518" spans="4:11" ht="12.75">
      <c r="D21518" s="67"/>
      <c r="G21518" s="68"/>
      <c r="K21518" s="68"/>
    </row>
    <row r="21519" spans="4:11" ht="12.75">
      <c r="D21519" s="67"/>
      <c r="G21519" s="68"/>
      <c r="K21519" s="68"/>
    </row>
    <row r="21520" spans="4:11" ht="12.75">
      <c r="D21520" s="67"/>
      <c r="G21520" s="68"/>
      <c r="K21520" s="68"/>
    </row>
    <row r="21521" spans="4:11" ht="12.75">
      <c r="D21521" s="67"/>
      <c r="G21521" s="68"/>
      <c r="K21521" s="68"/>
    </row>
    <row r="21522" spans="4:11" ht="12.75">
      <c r="D21522" s="67"/>
      <c r="G21522" s="68"/>
      <c r="K21522" s="68"/>
    </row>
    <row r="21523" spans="4:11" ht="12.75">
      <c r="D21523" s="67"/>
      <c r="G21523" s="68"/>
      <c r="K21523" s="68"/>
    </row>
    <row r="21524" spans="4:11" ht="12.75">
      <c r="D21524" s="67"/>
      <c r="G21524" s="68"/>
      <c r="K21524" s="68"/>
    </row>
    <row r="21525" spans="4:11" ht="12.75">
      <c r="D21525" s="67"/>
      <c r="G21525" s="68"/>
      <c r="K21525" s="68"/>
    </row>
    <row r="21526" spans="4:11" ht="12.75">
      <c r="D21526" s="67"/>
      <c r="G21526" s="68"/>
      <c r="K21526" s="68"/>
    </row>
    <row r="21527" spans="4:11" ht="12.75">
      <c r="D21527" s="67"/>
      <c r="G21527" s="68"/>
      <c r="K21527" s="68"/>
    </row>
    <row r="21528" spans="4:11" ht="12.75">
      <c r="D21528" s="67"/>
      <c r="G21528" s="68"/>
      <c r="K21528" s="68"/>
    </row>
    <row r="21529" spans="4:11" ht="12.75">
      <c r="D21529" s="67"/>
      <c r="G21529" s="68"/>
      <c r="K21529" s="68"/>
    </row>
    <row r="21530" spans="4:11" ht="12.75">
      <c r="D21530" s="67"/>
      <c r="G21530" s="68"/>
      <c r="K21530" s="68"/>
    </row>
    <row r="21531" spans="4:11" ht="12.75">
      <c r="D21531" s="67"/>
      <c r="G21531" s="68"/>
      <c r="K21531" s="68"/>
    </row>
    <row r="21532" spans="4:11" ht="12.75">
      <c r="D21532" s="67"/>
      <c r="G21532" s="68"/>
      <c r="K21532" s="68"/>
    </row>
    <row r="21533" spans="4:11" ht="12.75">
      <c r="D21533" s="67"/>
      <c r="G21533" s="68"/>
      <c r="K21533" s="68"/>
    </row>
    <row r="21534" spans="4:11" ht="12.75">
      <c r="D21534" s="67"/>
      <c r="G21534" s="68"/>
      <c r="K21534" s="68"/>
    </row>
    <row r="21535" spans="4:11" ht="12.75">
      <c r="D21535" s="67"/>
      <c r="G21535" s="68"/>
      <c r="K21535" s="68"/>
    </row>
    <row r="21536" spans="4:11" ht="12.75">
      <c r="D21536" s="67"/>
      <c r="G21536" s="68"/>
      <c r="K21536" s="68"/>
    </row>
    <row r="21537" spans="4:11" ht="12.75">
      <c r="D21537" s="67"/>
      <c r="G21537" s="68"/>
      <c r="K21537" s="68"/>
    </row>
    <row r="21538" spans="4:11" ht="12.75">
      <c r="D21538" s="67"/>
      <c r="G21538" s="68"/>
      <c r="K21538" s="68"/>
    </row>
    <row r="21539" spans="4:11" ht="12.75">
      <c r="D21539" s="67"/>
      <c r="G21539" s="68"/>
      <c r="K21539" s="68"/>
    </row>
    <row r="21540" spans="4:11" ht="12.75">
      <c r="D21540" s="67"/>
      <c r="G21540" s="68"/>
      <c r="K21540" s="68"/>
    </row>
    <row r="21541" spans="4:11" ht="12.75">
      <c r="D21541" s="67"/>
      <c r="G21541" s="68"/>
      <c r="K21541" s="68"/>
    </row>
    <row r="21542" spans="4:11" ht="12.75">
      <c r="D21542" s="67"/>
      <c r="G21542" s="68"/>
      <c r="K21542" s="68"/>
    </row>
    <row r="21543" spans="4:11" ht="12.75">
      <c r="D21543" s="67"/>
      <c r="G21543" s="68"/>
      <c r="K21543" s="68"/>
    </row>
    <row r="21544" spans="4:11" ht="12.75">
      <c r="D21544" s="67"/>
      <c r="G21544" s="68"/>
      <c r="K21544" s="68"/>
    </row>
    <row r="21545" spans="4:11" ht="12.75">
      <c r="D21545" s="67"/>
      <c r="G21545" s="68"/>
      <c r="K21545" s="68"/>
    </row>
    <row r="21546" spans="4:11" ht="12.75">
      <c r="D21546" s="67"/>
      <c r="G21546" s="68"/>
      <c r="K21546" s="68"/>
    </row>
    <row r="21547" spans="4:11" ht="12.75">
      <c r="D21547" s="67"/>
      <c r="G21547" s="68"/>
      <c r="K21547" s="68"/>
    </row>
    <row r="21548" spans="4:11" ht="12.75">
      <c r="D21548" s="67"/>
      <c r="G21548" s="68"/>
      <c r="K21548" s="68"/>
    </row>
    <row r="21549" spans="4:11" ht="12.75">
      <c r="D21549" s="67"/>
      <c r="G21549" s="68"/>
      <c r="K21549" s="68"/>
    </row>
    <row r="21550" spans="4:11" ht="12.75">
      <c r="D21550" s="67"/>
      <c r="G21550" s="68"/>
      <c r="K21550" s="68"/>
    </row>
    <row r="21551" spans="4:11" ht="12.75">
      <c r="D21551" s="67"/>
      <c r="G21551" s="68"/>
      <c r="K21551" s="68"/>
    </row>
    <row r="21552" spans="4:11" ht="12.75">
      <c r="D21552" s="67"/>
      <c r="G21552" s="68"/>
      <c r="K21552" s="68"/>
    </row>
    <row r="21553" spans="4:11" ht="12.75">
      <c r="D21553" s="67"/>
      <c r="G21553" s="68"/>
      <c r="K21553" s="68"/>
    </row>
    <row r="21554" spans="4:11" ht="12.75">
      <c r="D21554" s="67"/>
      <c r="G21554" s="68"/>
      <c r="K21554" s="68"/>
    </row>
    <row r="21555" spans="4:11" ht="12.75">
      <c r="D21555" s="67"/>
      <c r="G21555" s="68"/>
      <c r="K21555" s="68"/>
    </row>
    <row r="21556" spans="4:11" ht="12.75">
      <c r="D21556" s="67"/>
      <c r="G21556" s="68"/>
      <c r="K21556" s="68"/>
    </row>
    <row r="21557" spans="4:11" ht="12.75">
      <c r="D21557" s="67"/>
      <c r="G21557" s="68"/>
      <c r="K21557" s="68"/>
    </row>
    <row r="21558" spans="4:11" ht="12.75">
      <c r="D21558" s="67"/>
      <c r="G21558" s="68"/>
      <c r="K21558" s="68"/>
    </row>
    <row r="21559" spans="4:11" ht="12.75">
      <c r="D21559" s="67"/>
      <c r="G21559" s="68"/>
      <c r="K21559" s="68"/>
    </row>
    <row r="21560" spans="4:11" ht="12.75">
      <c r="D21560" s="67"/>
      <c r="G21560" s="68"/>
      <c r="K21560" s="68"/>
    </row>
    <row r="21561" spans="4:11" ht="12.75">
      <c r="D21561" s="67"/>
      <c r="G21561" s="68"/>
      <c r="K21561" s="68"/>
    </row>
    <row r="21562" spans="4:11" ht="12.75">
      <c r="D21562" s="67"/>
      <c r="G21562" s="68"/>
      <c r="K21562" s="68"/>
    </row>
    <row r="21563" spans="4:11" ht="12.75">
      <c r="D21563" s="67"/>
      <c r="G21563" s="68"/>
      <c r="K21563" s="68"/>
    </row>
    <row r="21564" spans="4:11" ht="12.75">
      <c r="D21564" s="67"/>
      <c r="G21564" s="68"/>
      <c r="K21564" s="68"/>
    </row>
    <row r="21565" spans="4:11" ht="12.75">
      <c r="D21565" s="67"/>
      <c r="G21565" s="68"/>
      <c r="K21565" s="68"/>
    </row>
    <row r="21566" spans="4:11" ht="12.75">
      <c r="D21566" s="67"/>
      <c r="G21566" s="68"/>
      <c r="K21566" s="68"/>
    </row>
    <row r="21567" spans="4:11" ht="12.75">
      <c r="D21567" s="67"/>
      <c r="G21567" s="68"/>
      <c r="K21567" s="68"/>
    </row>
    <row r="21568" spans="4:11" ht="12.75">
      <c r="D21568" s="67"/>
      <c r="G21568" s="68"/>
      <c r="K21568" s="68"/>
    </row>
    <row r="21569" spans="4:11" ht="12.75">
      <c r="D21569" s="67"/>
      <c r="G21569" s="68"/>
      <c r="K21569" s="68"/>
    </row>
    <row r="21570" spans="4:11" ht="12.75">
      <c r="D21570" s="67"/>
      <c r="G21570" s="68"/>
      <c r="K21570" s="68"/>
    </row>
    <row r="21571" spans="4:11" ht="12.75">
      <c r="D21571" s="67"/>
      <c r="G21571" s="68"/>
      <c r="K21571" s="68"/>
    </row>
    <row r="21572" spans="4:11" ht="12.75">
      <c r="D21572" s="67"/>
      <c r="G21572" s="68"/>
      <c r="K21572" s="68"/>
    </row>
    <row r="21573" spans="4:11" ht="12.75">
      <c r="D21573" s="67"/>
      <c r="G21573" s="68"/>
      <c r="K21573" s="68"/>
    </row>
    <row r="21574" spans="4:11" ht="12.75">
      <c r="D21574" s="67"/>
      <c r="G21574" s="68"/>
      <c r="K21574" s="68"/>
    </row>
    <row r="21575" spans="4:11" ht="12.75">
      <c r="D21575" s="67"/>
      <c r="G21575" s="68"/>
      <c r="K21575" s="68"/>
    </row>
    <row r="21576" spans="4:11" ht="12.75">
      <c r="D21576" s="67"/>
      <c r="G21576" s="68"/>
      <c r="K21576" s="68"/>
    </row>
    <row r="21577" spans="4:11" ht="12.75">
      <c r="D21577" s="67"/>
      <c r="G21577" s="68"/>
      <c r="K21577" s="68"/>
    </row>
    <row r="21578" spans="4:11" ht="12.75">
      <c r="D21578" s="67"/>
      <c r="G21578" s="68"/>
      <c r="K21578" s="68"/>
    </row>
    <row r="21579" spans="4:11" ht="12.75">
      <c r="D21579" s="67"/>
      <c r="G21579" s="68"/>
      <c r="K21579" s="68"/>
    </row>
    <row r="21580" spans="4:11" ht="12.75">
      <c r="D21580" s="67"/>
      <c r="G21580" s="68"/>
      <c r="K21580" s="68"/>
    </row>
    <row r="21581" spans="4:11" ht="12.75">
      <c r="D21581" s="67"/>
      <c r="G21581" s="68"/>
      <c r="K21581" s="68"/>
    </row>
    <row r="21582" spans="4:11" ht="12.75">
      <c r="D21582" s="67"/>
      <c r="G21582" s="68"/>
      <c r="K21582" s="68"/>
    </row>
    <row r="21583" spans="4:11" ht="12.75">
      <c r="D21583" s="67"/>
      <c r="G21583" s="68"/>
      <c r="K21583" s="68"/>
    </row>
    <row r="21584" spans="4:11" ht="12.75">
      <c r="D21584" s="67"/>
      <c r="G21584" s="68"/>
      <c r="K21584" s="68"/>
    </row>
    <row r="21585" spans="4:11" ht="12.75">
      <c r="D21585" s="67"/>
      <c r="G21585" s="68"/>
      <c r="K21585" s="68"/>
    </row>
    <row r="21586" spans="4:11" ht="12.75">
      <c r="D21586" s="67"/>
      <c r="G21586" s="68"/>
      <c r="K21586" s="68"/>
    </row>
    <row r="21587" spans="4:11" ht="12.75">
      <c r="D21587" s="67"/>
      <c r="G21587" s="68"/>
      <c r="K21587" s="68"/>
    </row>
    <row r="21588" spans="4:11" ht="12.75">
      <c r="D21588" s="67"/>
      <c r="G21588" s="68"/>
      <c r="K21588" s="68"/>
    </row>
    <row r="21589" spans="4:11" ht="12.75">
      <c r="D21589" s="67"/>
      <c r="G21589" s="68"/>
      <c r="K21589" s="68"/>
    </row>
    <row r="21590" spans="4:11" ht="12.75">
      <c r="D21590" s="67"/>
      <c r="G21590" s="68"/>
      <c r="K21590" s="68"/>
    </row>
    <row r="21591" spans="4:11" ht="12.75">
      <c r="D21591" s="67"/>
      <c r="G21591" s="68"/>
      <c r="K21591" s="68"/>
    </row>
    <row r="21592" spans="4:11" ht="12.75">
      <c r="D21592" s="67"/>
      <c r="G21592" s="68"/>
      <c r="K21592" s="68"/>
    </row>
    <row r="21593" spans="4:11" ht="12.75">
      <c r="D21593" s="67"/>
      <c r="G21593" s="68"/>
      <c r="K21593" s="68"/>
    </row>
    <row r="21594" spans="4:11" ht="12.75">
      <c r="D21594" s="67"/>
      <c r="G21594" s="68"/>
      <c r="K21594" s="68"/>
    </row>
    <row r="21595" spans="4:11" ht="12.75">
      <c r="D21595" s="67"/>
      <c r="G21595" s="68"/>
      <c r="K21595" s="68"/>
    </row>
    <row r="21596" spans="4:11" ht="12.75">
      <c r="D21596" s="67"/>
      <c r="G21596" s="68"/>
      <c r="K21596" s="68"/>
    </row>
    <row r="21597" spans="4:11" ht="12.75">
      <c r="D21597" s="67"/>
      <c r="G21597" s="68"/>
      <c r="K21597" s="68"/>
    </row>
    <row r="21598" spans="4:11" ht="12.75">
      <c r="D21598" s="67"/>
      <c r="G21598" s="68"/>
      <c r="K21598" s="68"/>
    </row>
    <row r="21599" spans="4:11" ht="12.75">
      <c r="D21599" s="67"/>
      <c r="G21599" s="68"/>
      <c r="K21599" s="68"/>
    </row>
    <row r="21600" spans="4:11" ht="12.75">
      <c r="D21600" s="67"/>
      <c r="G21600" s="68"/>
      <c r="K21600" s="68"/>
    </row>
    <row r="21601" spans="4:11" ht="12.75">
      <c r="D21601" s="67"/>
      <c r="G21601" s="68"/>
      <c r="K21601" s="68"/>
    </row>
    <row r="21602" spans="4:11" ht="12.75">
      <c r="D21602" s="67"/>
      <c r="G21602" s="68"/>
      <c r="K21602" s="68"/>
    </row>
    <row r="21603" spans="4:11" ht="12.75">
      <c r="D21603" s="67"/>
      <c r="G21603" s="68"/>
      <c r="K21603" s="68"/>
    </row>
    <row r="21604" spans="4:11" ht="12.75">
      <c r="D21604" s="67"/>
      <c r="G21604" s="68"/>
      <c r="K21604" s="68"/>
    </row>
    <row r="21605" spans="4:11" ht="12.75">
      <c r="D21605" s="67"/>
      <c r="G21605" s="68"/>
      <c r="K21605" s="68"/>
    </row>
    <row r="21606" spans="4:11" ht="12.75">
      <c r="D21606" s="67"/>
      <c r="G21606" s="68"/>
      <c r="K21606" s="68"/>
    </row>
    <row r="21607" spans="4:11" ht="12.75">
      <c r="D21607" s="67"/>
      <c r="G21607" s="68"/>
      <c r="K21607" s="68"/>
    </row>
    <row r="21608" spans="4:11" ht="12.75">
      <c r="D21608" s="67"/>
      <c r="G21608" s="68"/>
      <c r="K21608" s="68"/>
    </row>
    <row r="21609" spans="4:11" ht="12.75">
      <c r="D21609" s="67"/>
      <c r="G21609" s="68"/>
      <c r="K21609" s="68"/>
    </row>
    <row r="21610" spans="4:11" ht="12.75">
      <c r="D21610" s="67"/>
      <c r="G21610" s="68"/>
      <c r="K21610" s="68"/>
    </row>
    <row r="21611" spans="4:11" ht="12.75">
      <c r="D21611" s="67"/>
      <c r="G21611" s="68"/>
      <c r="K21611" s="68"/>
    </row>
    <row r="21612" spans="4:11" ht="12.75">
      <c r="D21612" s="67"/>
      <c r="G21612" s="68"/>
      <c r="K21612" s="68"/>
    </row>
    <row r="21613" spans="4:11" ht="12.75">
      <c r="D21613" s="67"/>
      <c r="G21613" s="68"/>
      <c r="K21613" s="68"/>
    </row>
    <row r="21614" spans="4:11" ht="12.75">
      <c r="D21614" s="67"/>
      <c r="G21614" s="68"/>
      <c r="K21614" s="68"/>
    </row>
    <row r="21615" spans="4:11" ht="12.75">
      <c r="D21615" s="67"/>
      <c r="G21615" s="68"/>
      <c r="K21615" s="68"/>
    </row>
    <row r="21616" spans="4:11" ht="12.75">
      <c r="D21616" s="67"/>
      <c r="G21616" s="68"/>
      <c r="K21616" s="68"/>
    </row>
    <row r="21617" spans="4:11" ht="12.75">
      <c r="D21617" s="67"/>
      <c r="G21617" s="68"/>
      <c r="K21617" s="68"/>
    </row>
    <row r="21618" spans="4:11" ht="12.75">
      <c r="D21618" s="67"/>
      <c r="G21618" s="68"/>
      <c r="K21618" s="68"/>
    </row>
    <row r="21619" spans="4:11" ht="12.75">
      <c r="D21619" s="67"/>
      <c r="G21619" s="68"/>
      <c r="K21619" s="68"/>
    </row>
    <row r="21620" spans="4:11" ht="12.75">
      <c r="D21620" s="67"/>
      <c r="G21620" s="68"/>
      <c r="K21620" s="68"/>
    </row>
    <row r="21621" spans="4:11" ht="12.75">
      <c r="D21621" s="67"/>
      <c r="G21621" s="68"/>
      <c r="K21621" s="68"/>
    </row>
    <row r="21622" spans="4:11" ht="12.75">
      <c r="D21622" s="67"/>
      <c r="G21622" s="68"/>
      <c r="K21622" s="68"/>
    </row>
    <row r="21623" spans="4:11" ht="12.75">
      <c r="D21623" s="67"/>
      <c r="G21623" s="68"/>
      <c r="K21623" s="68"/>
    </row>
    <row r="21624" spans="4:11" ht="12.75">
      <c r="D21624" s="67"/>
      <c r="G21624" s="68"/>
      <c r="K21624" s="68"/>
    </row>
    <row r="21625" spans="4:11" ht="12.75">
      <c r="D21625" s="67"/>
      <c r="G21625" s="68"/>
      <c r="K21625" s="68"/>
    </row>
    <row r="21626" spans="4:11" ht="12.75">
      <c r="D21626" s="67"/>
      <c r="G21626" s="68"/>
      <c r="K21626" s="68"/>
    </row>
    <row r="21627" spans="4:11" ht="12.75">
      <c r="D21627" s="67"/>
      <c r="G21627" s="68"/>
      <c r="K21627" s="68"/>
    </row>
    <row r="21628" spans="4:11" ht="12.75">
      <c r="D21628" s="67"/>
      <c r="G21628" s="68"/>
      <c r="K21628" s="68"/>
    </row>
    <row r="21629" spans="4:11" ht="12.75">
      <c r="D21629" s="67"/>
      <c r="G21629" s="68"/>
      <c r="K21629" s="68"/>
    </row>
    <row r="21630" spans="4:11" ht="12.75">
      <c r="D21630" s="67"/>
      <c r="G21630" s="68"/>
      <c r="K21630" s="68"/>
    </row>
    <row r="21631" spans="4:11" ht="12.75">
      <c r="D21631" s="67"/>
      <c r="G21631" s="68"/>
      <c r="K21631" s="68"/>
    </row>
    <row r="21632" spans="4:11" ht="12.75">
      <c r="D21632" s="67"/>
      <c r="G21632" s="68"/>
      <c r="K21632" s="68"/>
    </row>
    <row r="21633" spans="4:11" ht="12.75">
      <c r="D21633" s="67"/>
      <c r="G21633" s="68"/>
      <c r="K21633" s="68"/>
    </row>
    <row r="21634" spans="4:11" ht="12.75">
      <c r="D21634" s="67"/>
      <c r="G21634" s="68"/>
      <c r="K21634" s="68"/>
    </row>
    <row r="21635" spans="4:11" ht="12.75">
      <c r="D21635" s="67"/>
      <c r="G21635" s="68"/>
      <c r="K21635" s="68"/>
    </row>
    <row r="21636" spans="4:11" ht="12.75">
      <c r="D21636" s="67"/>
      <c r="G21636" s="68"/>
      <c r="K21636" s="68"/>
    </row>
    <row r="21637" spans="4:11" ht="12.75">
      <c r="D21637" s="67"/>
      <c r="G21637" s="68"/>
      <c r="K21637" s="68"/>
    </row>
    <row r="21638" spans="4:11" ht="12.75">
      <c r="D21638" s="67"/>
      <c r="G21638" s="68"/>
      <c r="K21638" s="68"/>
    </row>
    <row r="21639" spans="4:11" ht="12.75">
      <c r="D21639" s="67"/>
      <c r="G21639" s="68"/>
      <c r="K21639" s="68"/>
    </row>
    <row r="21640" spans="4:11" ht="12.75">
      <c r="D21640" s="67"/>
      <c r="G21640" s="68"/>
      <c r="K21640" s="68"/>
    </row>
    <row r="21641" spans="4:11" ht="12.75">
      <c r="D21641" s="67"/>
      <c r="G21641" s="68"/>
      <c r="K21641" s="68"/>
    </row>
    <row r="21642" spans="4:11" ht="12.75">
      <c r="D21642" s="67"/>
      <c r="G21642" s="68"/>
      <c r="K21642" s="68"/>
    </row>
    <row r="21643" spans="4:11" ht="12.75">
      <c r="D21643" s="67"/>
      <c r="G21643" s="68"/>
      <c r="K21643" s="68"/>
    </row>
    <row r="21644" spans="4:11" ht="12.75">
      <c r="D21644" s="67"/>
      <c r="G21644" s="68"/>
      <c r="K21644" s="68"/>
    </row>
    <row r="21645" spans="4:11" ht="12.75">
      <c r="D21645" s="67"/>
      <c r="G21645" s="68"/>
      <c r="K21645" s="68"/>
    </row>
    <row r="21646" spans="4:11" ht="12.75">
      <c r="D21646" s="67"/>
      <c r="G21646" s="68"/>
      <c r="K21646" s="68"/>
    </row>
    <row r="21647" spans="4:11" ht="12.75">
      <c r="D21647" s="67"/>
      <c r="G21647" s="68"/>
      <c r="K21647" s="68"/>
    </row>
    <row r="21648" spans="4:11" ht="12.75">
      <c r="D21648" s="67"/>
      <c r="G21648" s="68"/>
      <c r="K21648" s="68"/>
    </row>
    <row r="21649" spans="4:11" ht="12.75">
      <c r="D21649" s="67"/>
      <c r="G21649" s="68"/>
      <c r="K21649" s="68"/>
    </row>
    <row r="21650" spans="4:11" ht="12.75">
      <c r="D21650" s="67"/>
      <c r="G21650" s="68"/>
      <c r="K21650" s="68"/>
    </row>
    <row r="21651" spans="4:11" ht="12.75">
      <c r="D21651" s="67"/>
      <c r="G21651" s="68"/>
      <c r="K21651" s="68"/>
    </row>
    <row r="21652" spans="4:11" ht="12.75">
      <c r="D21652" s="67"/>
      <c r="G21652" s="68"/>
      <c r="K21652" s="68"/>
    </row>
    <row r="21653" spans="4:11" ht="12.75">
      <c r="D21653" s="67"/>
      <c r="G21653" s="68"/>
      <c r="K21653" s="68"/>
    </row>
    <row r="21654" spans="4:11" ht="12.75">
      <c r="D21654" s="67"/>
      <c r="G21654" s="68"/>
      <c r="K21654" s="68"/>
    </row>
    <row r="21655" spans="4:11" ht="12.75">
      <c r="D21655" s="67"/>
      <c r="G21655" s="68"/>
      <c r="K21655" s="68"/>
    </row>
    <row r="21656" spans="4:11" ht="12.75">
      <c r="D21656" s="67"/>
      <c r="G21656" s="68"/>
      <c r="K21656" s="68"/>
    </row>
    <row r="21657" spans="4:11" ht="12.75">
      <c r="D21657" s="67"/>
      <c r="G21657" s="68"/>
      <c r="K21657" s="68"/>
    </row>
    <row r="21658" spans="4:11" ht="12.75">
      <c r="D21658" s="67"/>
      <c r="G21658" s="68"/>
      <c r="K21658" s="68"/>
    </row>
    <row r="21659" spans="4:11" ht="12.75">
      <c r="D21659" s="67"/>
      <c r="G21659" s="68"/>
      <c r="K21659" s="68"/>
    </row>
    <row r="21660" spans="4:11" ht="12.75">
      <c r="D21660" s="67"/>
      <c r="G21660" s="68"/>
      <c r="K21660" s="68"/>
    </row>
    <row r="21661" spans="4:11" ht="12.75">
      <c r="D21661" s="67"/>
      <c r="G21661" s="68"/>
      <c r="K21661" s="68"/>
    </row>
    <row r="21662" spans="4:11" ht="12.75">
      <c r="D21662" s="67"/>
      <c r="G21662" s="68"/>
      <c r="K21662" s="68"/>
    </row>
    <row r="21663" spans="4:11" ht="12.75">
      <c r="D21663" s="67"/>
      <c r="G21663" s="68"/>
      <c r="K21663" s="68"/>
    </row>
    <row r="21664" spans="4:11" ht="12.75">
      <c r="D21664" s="67"/>
      <c r="G21664" s="68"/>
      <c r="K21664" s="68"/>
    </row>
    <row r="21665" spans="4:11" ht="12.75">
      <c r="D21665" s="67"/>
      <c r="G21665" s="68"/>
      <c r="K21665" s="68"/>
    </row>
    <row r="21666" spans="4:11" ht="12.75">
      <c r="D21666" s="67"/>
      <c r="G21666" s="68"/>
      <c r="K21666" s="68"/>
    </row>
    <row r="21667" spans="4:11" ht="12.75">
      <c r="D21667" s="67"/>
      <c r="G21667" s="68"/>
      <c r="K21667" s="68"/>
    </row>
    <row r="21668" spans="4:11" ht="12.75">
      <c r="D21668" s="67"/>
      <c r="G21668" s="68"/>
      <c r="K21668" s="68"/>
    </row>
    <row r="21669" spans="4:11" ht="12.75">
      <c r="D21669" s="67"/>
      <c r="G21669" s="68"/>
      <c r="K21669" s="68"/>
    </row>
    <row r="21670" spans="4:11" ht="12.75">
      <c r="D21670" s="67"/>
      <c r="G21670" s="68"/>
      <c r="K21670" s="68"/>
    </row>
    <row r="21671" spans="4:11" ht="12.75">
      <c r="D21671" s="67"/>
      <c r="G21671" s="68"/>
      <c r="K21671" s="68"/>
    </row>
    <row r="21672" spans="4:11" ht="12.75">
      <c r="D21672" s="67"/>
      <c r="G21672" s="68"/>
      <c r="K21672" s="68"/>
    </row>
    <row r="21673" spans="4:11" ht="12.75">
      <c r="D21673" s="67"/>
      <c r="G21673" s="68"/>
      <c r="K21673" s="68"/>
    </row>
    <row r="21674" spans="4:11" ht="12.75">
      <c r="D21674" s="67"/>
      <c r="G21674" s="68"/>
      <c r="K21674" s="68"/>
    </row>
    <row r="21675" spans="4:11" ht="12.75">
      <c r="D21675" s="67"/>
      <c r="G21675" s="68"/>
      <c r="K21675" s="68"/>
    </row>
    <row r="21676" spans="4:11" ht="12.75">
      <c r="D21676" s="67"/>
      <c r="G21676" s="68"/>
      <c r="K21676" s="68"/>
    </row>
    <row r="21677" spans="4:11" ht="12.75">
      <c r="D21677" s="67"/>
      <c r="G21677" s="68"/>
      <c r="K21677" s="68"/>
    </row>
    <row r="21678" spans="4:11" ht="12.75">
      <c r="D21678" s="67"/>
      <c r="G21678" s="68"/>
      <c r="K21678" s="68"/>
    </row>
    <row r="21679" spans="4:11" ht="12.75">
      <c r="D21679" s="67"/>
      <c r="G21679" s="68"/>
      <c r="K21679" s="68"/>
    </row>
    <row r="21680" spans="4:11" ht="12.75">
      <c r="D21680" s="67"/>
      <c r="G21680" s="68"/>
      <c r="K21680" s="68"/>
    </row>
    <row r="21681" spans="4:11" ht="12.75">
      <c r="D21681" s="67"/>
      <c r="G21681" s="68"/>
      <c r="K21681" s="68"/>
    </row>
    <row r="21682" spans="4:11" ht="12.75">
      <c r="D21682" s="67"/>
      <c r="G21682" s="68"/>
      <c r="K21682" s="68"/>
    </row>
    <row r="21683" spans="4:11" ht="12.75">
      <c r="D21683" s="67"/>
      <c r="G21683" s="68"/>
      <c r="K21683" s="68"/>
    </row>
    <row r="21684" spans="4:11" ht="12.75">
      <c r="D21684" s="67"/>
      <c r="G21684" s="68"/>
      <c r="K21684" s="68"/>
    </row>
    <row r="21685" spans="4:11" ht="12.75">
      <c r="D21685" s="67"/>
      <c r="G21685" s="68"/>
      <c r="K21685" s="68"/>
    </row>
    <row r="21686" spans="4:11" ht="12.75">
      <c r="D21686" s="67"/>
      <c r="G21686" s="68"/>
      <c r="K21686" s="68"/>
    </row>
    <row r="21687" spans="4:11" ht="12.75">
      <c r="D21687" s="67"/>
      <c r="G21687" s="68"/>
      <c r="K21687" s="68"/>
    </row>
    <row r="21688" spans="4:11" ht="12.75">
      <c r="D21688" s="67"/>
      <c r="G21688" s="68"/>
      <c r="K21688" s="68"/>
    </row>
    <row r="21689" spans="4:11" ht="12.75">
      <c r="D21689" s="67"/>
      <c r="G21689" s="68"/>
      <c r="K21689" s="68"/>
    </row>
    <row r="21690" spans="4:11" ht="12.75">
      <c r="D21690" s="67"/>
      <c r="G21690" s="68"/>
      <c r="K21690" s="68"/>
    </row>
    <row r="21691" spans="4:11" ht="12.75">
      <c r="D21691" s="67"/>
      <c r="G21691" s="68"/>
      <c r="K21691" s="68"/>
    </row>
    <row r="21692" spans="4:11" ht="12.75">
      <c r="D21692" s="67"/>
      <c r="G21692" s="68"/>
      <c r="K21692" s="68"/>
    </row>
    <row r="21693" spans="4:11" ht="12.75">
      <c r="D21693" s="67"/>
      <c r="G21693" s="68"/>
      <c r="K21693" s="68"/>
    </row>
    <row r="21694" spans="4:11" ht="12.75">
      <c r="D21694" s="67"/>
      <c r="G21694" s="68"/>
      <c r="K21694" s="68"/>
    </row>
    <row r="21695" spans="4:11" ht="12.75">
      <c r="D21695" s="67"/>
      <c r="G21695" s="68"/>
      <c r="K21695" s="68"/>
    </row>
    <row r="21696" spans="4:11" ht="12.75">
      <c r="D21696" s="67"/>
      <c r="G21696" s="68"/>
      <c r="K21696" s="68"/>
    </row>
    <row r="21697" spans="4:11" ht="12.75">
      <c r="D21697" s="67"/>
      <c r="G21697" s="68"/>
      <c r="K21697" s="68"/>
    </row>
    <row r="21698" spans="4:11" ht="12.75">
      <c r="D21698" s="67"/>
      <c r="G21698" s="68"/>
      <c r="K21698" s="68"/>
    </row>
    <row r="21699" spans="4:11" ht="12.75">
      <c r="D21699" s="67"/>
      <c r="G21699" s="68"/>
      <c r="K21699" s="68"/>
    </row>
    <row r="21700" spans="4:11" ht="12.75">
      <c r="D21700" s="67"/>
      <c r="G21700" s="68"/>
      <c r="K21700" s="68"/>
    </row>
    <row r="21701" spans="4:11" ht="12.75">
      <c r="D21701" s="67"/>
      <c r="G21701" s="68"/>
      <c r="K21701" s="68"/>
    </row>
    <row r="21702" spans="4:11" ht="12.75">
      <c r="D21702" s="67"/>
      <c r="G21702" s="68"/>
      <c r="K21702" s="68"/>
    </row>
    <row r="21703" spans="4:11" ht="12.75">
      <c r="D21703" s="67"/>
      <c r="G21703" s="68"/>
      <c r="K21703" s="68"/>
    </row>
    <row r="21704" spans="4:11" ht="12.75">
      <c r="D21704" s="67"/>
      <c r="G21704" s="68"/>
      <c r="K21704" s="68"/>
    </row>
    <row r="21705" spans="4:11" ht="12.75">
      <c r="D21705" s="67"/>
      <c r="G21705" s="68"/>
      <c r="K21705" s="68"/>
    </row>
    <row r="21706" spans="4:11" ht="12.75">
      <c r="D21706" s="67"/>
      <c r="G21706" s="68"/>
      <c r="K21706" s="68"/>
    </row>
    <row r="21707" spans="4:11" ht="12.75">
      <c r="D21707" s="67"/>
      <c r="G21707" s="68"/>
      <c r="K21707" s="68"/>
    </row>
    <row r="21708" spans="4:11" ht="12.75">
      <c r="D21708" s="67"/>
      <c r="G21708" s="68"/>
      <c r="K21708" s="68"/>
    </row>
    <row r="21709" spans="4:11" ht="12.75">
      <c r="D21709" s="67"/>
      <c r="G21709" s="68"/>
      <c r="K21709" s="68"/>
    </row>
    <row r="21710" spans="4:11" ht="12.75">
      <c r="D21710" s="67"/>
      <c r="G21710" s="68"/>
      <c r="K21710" s="68"/>
    </row>
    <row r="21711" spans="4:11" ht="12.75">
      <c r="D21711" s="67"/>
      <c r="G21711" s="68"/>
      <c r="K21711" s="68"/>
    </row>
    <row r="21712" spans="4:11" ht="12.75">
      <c r="D21712" s="67"/>
      <c r="G21712" s="68"/>
      <c r="K21712" s="68"/>
    </row>
    <row r="21713" spans="4:11" ht="12.75">
      <c r="D21713" s="67"/>
      <c r="G21713" s="68"/>
      <c r="K21713" s="68"/>
    </row>
    <row r="21714" spans="4:11" ht="12.75">
      <c r="D21714" s="67"/>
      <c r="G21714" s="68"/>
      <c r="K21714" s="68"/>
    </row>
    <row r="21715" spans="4:11" ht="12.75">
      <c r="D21715" s="67"/>
      <c r="G21715" s="68"/>
      <c r="K21715" s="68"/>
    </row>
    <row r="21716" spans="4:11" ht="12.75">
      <c r="D21716" s="67"/>
      <c r="G21716" s="68"/>
      <c r="K21716" s="68"/>
    </row>
    <row r="21717" spans="4:11" ht="12.75">
      <c r="D21717" s="67"/>
      <c r="G21717" s="68"/>
      <c r="K21717" s="68"/>
    </row>
    <row r="21718" spans="4:11" ht="12.75">
      <c r="D21718" s="67"/>
      <c r="G21718" s="68"/>
      <c r="K21718" s="68"/>
    </row>
    <row r="21719" spans="4:11" ht="12.75">
      <c r="D21719" s="67"/>
      <c r="G21719" s="68"/>
      <c r="K21719" s="68"/>
    </row>
    <row r="21720" spans="4:11" ht="12.75">
      <c r="D21720" s="67"/>
      <c r="G21720" s="68"/>
      <c r="K21720" s="68"/>
    </row>
    <row r="21721" spans="4:11" ht="12.75">
      <c r="D21721" s="67"/>
      <c r="G21721" s="68"/>
      <c r="K21721" s="68"/>
    </row>
    <row r="21722" spans="4:11" ht="12.75">
      <c r="D21722" s="67"/>
      <c r="G21722" s="68"/>
      <c r="K21722" s="68"/>
    </row>
    <row r="21723" spans="4:11" ht="12.75">
      <c r="D21723" s="67"/>
      <c r="G21723" s="68"/>
      <c r="K21723" s="68"/>
    </row>
    <row r="21724" spans="4:11" ht="12.75">
      <c r="D21724" s="67"/>
      <c r="G21724" s="68"/>
      <c r="K21724" s="68"/>
    </row>
    <row r="21725" spans="4:11" ht="12.75">
      <c r="D21725" s="67"/>
      <c r="G21725" s="68"/>
      <c r="K21725" s="68"/>
    </row>
    <row r="21726" spans="4:11" ht="12.75">
      <c r="D21726" s="67"/>
      <c r="G21726" s="68"/>
      <c r="K21726" s="68"/>
    </row>
    <row r="21727" spans="4:11" ht="12.75">
      <c r="D21727" s="67"/>
      <c r="G21727" s="68"/>
      <c r="K21727" s="68"/>
    </row>
    <row r="21728" spans="4:11" ht="12.75">
      <c r="D21728" s="67"/>
      <c r="G21728" s="68"/>
      <c r="K21728" s="68"/>
    </row>
    <row r="21729" spans="4:11" ht="12.75">
      <c r="D21729" s="67"/>
      <c r="G21729" s="68"/>
      <c r="K21729" s="68"/>
    </row>
    <row r="21730" spans="4:11" ht="12.75">
      <c r="D21730" s="67"/>
      <c r="G21730" s="68"/>
      <c r="K21730" s="68"/>
    </row>
    <row r="21731" spans="4:11" ht="12.75">
      <c r="D21731" s="67"/>
      <c r="G21731" s="68"/>
      <c r="K21731" s="68"/>
    </row>
    <row r="21732" spans="4:11" ht="12.75">
      <c r="D21732" s="67"/>
      <c r="G21732" s="68"/>
      <c r="K21732" s="68"/>
    </row>
    <row r="21733" spans="4:11" ht="12.75">
      <c r="D21733" s="67"/>
      <c r="G21733" s="68"/>
      <c r="K21733" s="68"/>
    </row>
    <row r="21734" spans="4:11" ht="12.75">
      <c r="D21734" s="67"/>
      <c r="G21734" s="68"/>
      <c r="K21734" s="68"/>
    </row>
    <row r="21735" spans="4:11" ht="12.75">
      <c r="D21735" s="67"/>
      <c r="G21735" s="68"/>
      <c r="K21735" s="68"/>
    </row>
    <row r="21736" spans="4:11" ht="12.75">
      <c r="D21736" s="67"/>
      <c r="G21736" s="68"/>
      <c r="K21736" s="68"/>
    </row>
    <row r="21737" spans="4:11" ht="12.75">
      <c r="D21737" s="67"/>
      <c r="G21737" s="68"/>
      <c r="K21737" s="68"/>
    </row>
    <row r="21738" spans="4:11" ht="12.75">
      <c r="D21738" s="67"/>
      <c r="G21738" s="68"/>
      <c r="K21738" s="68"/>
    </row>
    <row r="21739" spans="4:11" ht="12.75">
      <c r="D21739" s="67"/>
      <c r="G21739" s="68"/>
      <c r="K21739" s="68"/>
    </row>
    <row r="21740" spans="4:11" ht="12.75">
      <c r="D21740" s="67"/>
      <c r="G21740" s="68"/>
      <c r="K21740" s="68"/>
    </row>
    <row r="21741" spans="4:11" ht="12.75">
      <c r="D21741" s="67"/>
      <c r="G21741" s="68"/>
      <c r="K21741" s="68"/>
    </row>
    <row r="21742" spans="4:11" ht="12.75">
      <c r="D21742" s="67"/>
      <c r="G21742" s="68"/>
      <c r="K21742" s="68"/>
    </row>
    <row r="21743" spans="4:11" ht="12.75">
      <c r="D21743" s="67"/>
      <c r="G21743" s="68"/>
      <c r="K21743" s="68"/>
    </row>
    <row r="21744" spans="4:11" ht="12.75">
      <c r="D21744" s="67"/>
      <c r="G21744" s="68"/>
      <c r="K21744" s="68"/>
    </row>
    <row r="21745" spans="4:11" ht="12.75">
      <c r="D21745" s="67"/>
      <c r="G21745" s="68"/>
      <c r="K21745" s="68"/>
    </row>
    <row r="21746" spans="4:11" ht="12.75">
      <c r="D21746" s="67"/>
      <c r="G21746" s="68"/>
      <c r="K21746" s="68"/>
    </row>
    <row r="21747" spans="4:11" ht="12.75">
      <c r="D21747" s="67"/>
      <c r="G21747" s="68"/>
      <c r="K21747" s="68"/>
    </row>
    <row r="21748" spans="4:11" ht="12.75">
      <c r="D21748" s="67"/>
      <c r="G21748" s="68"/>
      <c r="K21748" s="68"/>
    </row>
    <row r="21749" spans="4:11" ht="12.75">
      <c r="D21749" s="67"/>
      <c r="G21749" s="68"/>
      <c r="K21749" s="68"/>
    </row>
    <row r="21750" spans="4:11" ht="12.75">
      <c r="D21750" s="67"/>
      <c r="G21750" s="68"/>
      <c r="K21750" s="68"/>
    </row>
    <row r="21751" spans="4:11" ht="12.75">
      <c r="D21751" s="67"/>
      <c r="G21751" s="68"/>
      <c r="K21751" s="68"/>
    </row>
    <row r="21752" spans="4:11" ht="12.75">
      <c r="D21752" s="67"/>
      <c r="G21752" s="68"/>
      <c r="K21752" s="68"/>
    </row>
    <row r="21753" spans="4:11" ht="12.75">
      <c r="D21753" s="67"/>
      <c r="G21753" s="68"/>
      <c r="K21753" s="68"/>
    </row>
    <row r="21754" spans="4:11" ht="12.75">
      <c r="D21754" s="67"/>
      <c r="G21754" s="68"/>
      <c r="K21754" s="68"/>
    </row>
    <row r="21755" spans="4:11" ht="12.75">
      <c r="D21755" s="67"/>
      <c r="G21755" s="68"/>
      <c r="K21755" s="68"/>
    </row>
    <row r="21756" spans="4:11" ht="12.75">
      <c r="D21756" s="67"/>
      <c r="G21756" s="68"/>
      <c r="K21756" s="68"/>
    </row>
    <row r="21757" spans="4:11" ht="12.75">
      <c r="D21757" s="67"/>
      <c r="G21757" s="68"/>
      <c r="K21757" s="68"/>
    </row>
    <row r="21758" spans="4:11" ht="12.75">
      <c r="D21758" s="67"/>
      <c r="G21758" s="68"/>
      <c r="K21758" s="68"/>
    </row>
    <row r="21759" spans="4:11" ht="12.75">
      <c r="D21759" s="67"/>
      <c r="G21759" s="68"/>
      <c r="K21759" s="68"/>
    </row>
    <row r="21760" spans="4:11" ht="12.75">
      <c r="D21760" s="67"/>
      <c r="G21760" s="68"/>
      <c r="K21760" s="68"/>
    </row>
    <row r="21761" spans="4:11" ht="12.75">
      <c r="D21761" s="67"/>
      <c r="G21761" s="68"/>
      <c r="K21761" s="68"/>
    </row>
    <row r="21762" spans="4:11" ht="12.75">
      <c r="D21762" s="67"/>
      <c r="G21762" s="68"/>
      <c r="K21762" s="68"/>
    </row>
    <row r="21763" spans="4:11" ht="12.75">
      <c r="D21763" s="67"/>
      <c r="G21763" s="68"/>
      <c r="K21763" s="68"/>
    </row>
    <row r="21764" spans="4:11" ht="12.75">
      <c r="D21764" s="67"/>
      <c r="G21764" s="68"/>
      <c r="K21764" s="68"/>
    </row>
    <row r="21765" spans="4:11" ht="12.75">
      <c r="D21765" s="67"/>
      <c r="G21765" s="68"/>
      <c r="K21765" s="68"/>
    </row>
    <row r="21766" spans="4:11" ht="12.75">
      <c r="D21766" s="67"/>
      <c r="G21766" s="68"/>
      <c r="K21766" s="68"/>
    </row>
    <row r="21767" spans="4:11" ht="12.75">
      <c r="D21767" s="67"/>
      <c r="G21767" s="68"/>
      <c r="K21767" s="68"/>
    </row>
    <row r="21768" spans="4:11" ht="12.75">
      <c r="D21768" s="67"/>
      <c r="G21768" s="68"/>
      <c r="K21768" s="68"/>
    </row>
    <row r="21769" spans="4:11" ht="12.75">
      <c r="D21769" s="67"/>
      <c r="G21769" s="68"/>
      <c r="K21769" s="68"/>
    </row>
    <row r="21770" spans="4:11" ht="12.75">
      <c r="D21770" s="67"/>
      <c r="G21770" s="68"/>
      <c r="K21770" s="68"/>
    </row>
    <row r="21771" spans="4:11" ht="12.75">
      <c r="D21771" s="67"/>
      <c r="G21771" s="68"/>
      <c r="K21771" s="68"/>
    </row>
    <row r="21772" spans="4:11" ht="12.75">
      <c r="D21772" s="67"/>
      <c r="G21772" s="68"/>
      <c r="K21772" s="68"/>
    </row>
    <row r="21773" spans="4:11" ht="12.75">
      <c r="D21773" s="67"/>
      <c r="G21773" s="68"/>
      <c r="K21773" s="68"/>
    </row>
    <row r="21774" spans="4:11" ht="12.75">
      <c r="D21774" s="67"/>
      <c r="G21774" s="68"/>
      <c r="K21774" s="68"/>
    </row>
    <row r="21775" spans="4:11" ht="12.75">
      <c r="D21775" s="67"/>
      <c r="G21775" s="68"/>
      <c r="K21775" s="68"/>
    </row>
    <row r="21776" spans="4:11" ht="12.75">
      <c r="D21776" s="67"/>
      <c r="G21776" s="68"/>
      <c r="K21776" s="68"/>
    </row>
    <row r="21777" spans="4:11" ht="12.75">
      <c r="D21777" s="67"/>
      <c r="G21777" s="68"/>
      <c r="K21777" s="68"/>
    </row>
    <row r="21778" spans="4:11" ht="12.75">
      <c r="D21778" s="67"/>
      <c r="G21778" s="68"/>
      <c r="K21778" s="68"/>
    </row>
    <row r="21779" spans="4:11" ht="12.75">
      <c r="D21779" s="67"/>
      <c r="G21779" s="68"/>
      <c r="K21779" s="68"/>
    </row>
    <row r="21780" spans="4:11" ht="12.75">
      <c r="D21780" s="67"/>
      <c r="G21780" s="68"/>
      <c r="K21780" s="68"/>
    </row>
    <row r="21781" spans="4:11" ht="12.75">
      <c r="D21781" s="67"/>
      <c r="G21781" s="68"/>
      <c r="K21781" s="68"/>
    </row>
    <row r="21782" spans="4:11" ht="12.75">
      <c r="D21782" s="67"/>
      <c r="G21782" s="68"/>
      <c r="K21782" s="68"/>
    </row>
    <row r="21783" spans="4:11" ht="12.75">
      <c r="D21783" s="67"/>
      <c r="G21783" s="68"/>
      <c r="K21783" s="68"/>
    </row>
    <row r="21784" spans="4:11" ht="12.75">
      <c r="D21784" s="67"/>
      <c r="G21784" s="68"/>
      <c r="K21784" s="68"/>
    </row>
    <row r="21785" spans="4:11" ht="12.75">
      <c r="D21785" s="67"/>
      <c r="G21785" s="68"/>
      <c r="K21785" s="68"/>
    </row>
    <row r="21786" spans="4:11" ht="12.75">
      <c r="D21786" s="67"/>
      <c r="G21786" s="68"/>
      <c r="K21786" s="68"/>
    </row>
    <row r="21787" spans="4:11" ht="12.75">
      <c r="D21787" s="67"/>
      <c r="G21787" s="68"/>
      <c r="K21787" s="68"/>
    </row>
    <row r="21788" spans="4:11" ht="12.75">
      <c r="D21788" s="67"/>
      <c r="G21788" s="68"/>
      <c r="K21788" s="68"/>
    </row>
    <row r="21789" spans="4:11" ht="12.75">
      <c r="D21789" s="67"/>
      <c r="G21789" s="68"/>
      <c r="K21789" s="68"/>
    </row>
    <row r="21790" spans="4:11" ht="12.75">
      <c r="D21790" s="67"/>
      <c r="G21790" s="68"/>
      <c r="K21790" s="68"/>
    </row>
    <row r="21791" spans="4:11" ht="12.75">
      <c r="D21791" s="67"/>
      <c r="G21791" s="68"/>
      <c r="K21791" s="68"/>
    </row>
    <row r="21792" spans="4:11" ht="12.75">
      <c r="D21792" s="67"/>
      <c r="G21792" s="68"/>
      <c r="K21792" s="68"/>
    </row>
    <row r="21793" spans="4:11" ht="12.75">
      <c r="D21793" s="67"/>
      <c r="G21793" s="68"/>
      <c r="K21793" s="68"/>
    </row>
    <row r="21794" spans="4:11" ht="12.75">
      <c r="D21794" s="67"/>
      <c r="G21794" s="68"/>
      <c r="K21794" s="68"/>
    </row>
    <row r="21795" spans="4:11" ht="12.75">
      <c r="D21795" s="67"/>
      <c r="G21795" s="68"/>
      <c r="K21795" s="68"/>
    </row>
    <row r="21796" spans="4:11" ht="12.75">
      <c r="D21796" s="67"/>
      <c r="G21796" s="68"/>
      <c r="K21796" s="68"/>
    </row>
    <row r="21797" spans="4:11" ht="12.75">
      <c r="D21797" s="67"/>
      <c r="G21797" s="68"/>
      <c r="K21797" s="68"/>
    </row>
    <row r="21798" spans="4:11" ht="12.75">
      <c r="D21798" s="67"/>
      <c r="G21798" s="68"/>
      <c r="K21798" s="68"/>
    </row>
    <row r="21799" spans="4:11" ht="12.75">
      <c r="D21799" s="67"/>
      <c r="G21799" s="68"/>
      <c r="K21799" s="68"/>
    </row>
    <row r="21800" spans="4:11" ht="12.75">
      <c r="D21800" s="67"/>
      <c r="G21800" s="68"/>
      <c r="K21800" s="68"/>
    </row>
    <row r="21801" spans="4:11" ht="12.75">
      <c r="D21801" s="67"/>
      <c r="G21801" s="68"/>
      <c r="K21801" s="68"/>
    </row>
    <row r="21802" spans="4:11" ht="12.75">
      <c r="D21802" s="67"/>
      <c r="G21802" s="68"/>
      <c r="K21802" s="68"/>
    </row>
    <row r="21803" spans="4:11" ht="12.75">
      <c r="D21803" s="67"/>
      <c r="G21803" s="68"/>
      <c r="K21803" s="68"/>
    </row>
    <row r="21804" spans="4:11" ht="12.75">
      <c r="D21804" s="67"/>
      <c r="G21804" s="68"/>
      <c r="K21804" s="68"/>
    </row>
    <row r="21805" spans="4:11" ht="12.75">
      <c r="D21805" s="67"/>
      <c r="G21805" s="68"/>
      <c r="K21805" s="68"/>
    </row>
    <row r="21806" spans="4:11" ht="12.75">
      <c r="D21806" s="67"/>
      <c r="G21806" s="68"/>
      <c r="K21806" s="68"/>
    </row>
    <row r="21807" spans="4:11" ht="12.75">
      <c r="D21807" s="67"/>
      <c r="G21807" s="68"/>
      <c r="K21807" s="68"/>
    </row>
    <row r="21808" spans="4:11" ht="12.75">
      <c r="D21808" s="67"/>
      <c r="G21808" s="68"/>
      <c r="K21808" s="68"/>
    </row>
    <row r="21809" spans="4:11" ht="12.75">
      <c r="D21809" s="67"/>
      <c r="G21809" s="68"/>
      <c r="K21809" s="68"/>
    </row>
    <row r="21810" spans="4:11" ht="12.75">
      <c r="D21810" s="67"/>
      <c r="G21810" s="68"/>
      <c r="K21810" s="68"/>
    </row>
    <row r="21811" spans="4:11" ht="12.75">
      <c r="D21811" s="67"/>
      <c r="G21811" s="68"/>
      <c r="K21811" s="68"/>
    </row>
    <row r="21812" spans="4:11" ht="12.75">
      <c r="D21812" s="67"/>
      <c r="G21812" s="68"/>
      <c r="K21812" s="68"/>
    </row>
    <row r="21813" spans="4:11" ht="12.75">
      <c r="D21813" s="67"/>
      <c r="G21813" s="68"/>
      <c r="K21813" s="68"/>
    </row>
    <row r="21814" spans="4:11" ht="12.75">
      <c r="D21814" s="67"/>
      <c r="G21814" s="68"/>
      <c r="K21814" s="68"/>
    </row>
    <row r="21815" spans="4:11" ht="12.75">
      <c r="D21815" s="67"/>
      <c r="G21815" s="68"/>
      <c r="K21815" s="68"/>
    </row>
    <row r="21816" spans="4:11" ht="12.75">
      <c r="D21816" s="67"/>
      <c r="G21816" s="68"/>
      <c r="K21816" s="68"/>
    </row>
    <row r="21817" spans="4:11" ht="12.75">
      <c r="D21817" s="67"/>
      <c r="G21817" s="68"/>
      <c r="K21817" s="68"/>
    </row>
    <row r="21818" spans="4:11" ht="12.75">
      <c r="D21818" s="67"/>
      <c r="G21818" s="68"/>
      <c r="K21818" s="68"/>
    </row>
    <row r="21819" spans="4:11" ht="12.75">
      <c r="D21819" s="67"/>
      <c r="G21819" s="68"/>
      <c r="K21819" s="68"/>
    </row>
    <row r="21820" spans="4:11" ht="12.75">
      <c r="D21820" s="67"/>
      <c r="G21820" s="68"/>
      <c r="K21820" s="68"/>
    </row>
    <row r="21821" spans="4:11" ht="12.75">
      <c r="D21821" s="67"/>
      <c r="G21821" s="68"/>
      <c r="K21821" s="68"/>
    </row>
    <row r="21822" spans="4:11" ht="12.75">
      <c r="D21822" s="67"/>
      <c r="G21822" s="68"/>
      <c r="K21822" s="68"/>
    </row>
    <row r="21823" spans="4:11" ht="12.75">
      <c r="D21823" s="67"/>
      <c r="G21823" s="68"/>
      <c r="K21823" s="68"/>
    </row>
    <row r="21824" spans="4:11" ht="12.75">
      <c r="D21824" s="67"/>
      <c r="G21824" s="68"/>
      <c r="K21824" s="68"/>
    </row>
    <row r="21825" spans="4:11" ht="12.75">
      <c r="D21825" s="67"/>
      <c r="G21825" s="68"/>
      <c r="K21825" s="68"/>
    </row>
    <row r="21826" spans="4:11" ht="12.75">
      <c r="D21826" s="67"/>
      <c r="G21826" s="68"/>
      <c r="K21826" s="68"/>
    </row>
    <row r="21827" spans="4:11" ht="12.75">
      <c r="D21827" s="67"/>
      <c r="G21827" s="68"/>
      <c r="K21827" s="68"/>
    </row>
    <row r="21828" spans="4:11" ht="12.75">
      <c r="D21828" s="67"/>
      <c r="G21828" s="68"/>
      <c r="K21828" s="68"/>
    </row>
    <row r="21829" spans="4:11" ht="12.75">
      <c r="D21829" s="67"/>
      <c r="G21829" s="68"/>
      <c r="K21829" s="68"/>
    </row>
    <row r="21830" spans="4:11" ht="12.75">
      <c r="D21830" s="67"/>
      <c r="G21830" s="68"/>
      <c r="K21830" s="68"/>
    </row>
    <row r="21831" spans="4:11" ht="12.75">
      <c r="D21831" s="67"/>
      <c r="G21831" s="68"/>
      <c r="K21831" s="68"/>
    </row>
    <row r="21832" spans="4:11" ht="12.75">
      <c r="D21832" s="67"/>
      <c r="G21832" s="68"/>
      <c r="K21832" s="68"/>
    </row>
    <row r="21833" spans="4:11" ht="12.75">
      <c r="D21833" s="67"/>
      <c r="G21833" s="68"/>
      <c r="K21833" s="68"/>
    </row>
    <row r="21834" spans="4:11" ht="12.75">
      <c r="D21834" s="67"/>
      <c r="G21834" s="68"/>
      <c r="K21834" s="68"/>
    </row>
    <row r="21835" spans="4:11" ht="12.75">
      <c r="D21835" s="67"/>
      <c r="G21835" s="68"/>
      <c r="K21835" s="68"/>
    </row>
    <row r="21836" spans="4:11" ht="12.75">
      <c r="D21836" s="67"/>
      <c r="G21836" s="68"/>
      <c r="K21836" s="68"/>
    </row>
    <row r="21837" spans="4:11" ht="12.75">
      <c r="D21837" s="67"/>
      <c r="G21837" s="68"/>
      <c r="K21837" s="68"/>
    </row>
    <row r="21838" spans="4:11" ht="12.75">
      <c r="D21838" s="67"/>
      <c r="G21838" s="68"/>
      <c r="K21838" s="68"/>
    </row>
    <row r="21839" spans="4:11" ht="12.75">
      <c r="D21839" s="67"/>
      <c r="G21839" s="68"/>
      <c r="K21839" s="68"/>
    </row>
    <row r="21840" spans="4:11" ht="12.75">
      <c r="D21840" s="67"/>
      <c r="G21840" s="68"/>
      <c r="K21840" s="68"/>
    </row>
    <row r="21841" spans="4:11" ht="12.75">
      <c r="D21841" s="67"/>
      <c r="G21841" s="68"/>
      <c r="K21841" s="68"/>
    </row>
    <row r="21842" spans="4:11" ht="12.75">
      <c r="D21842" s="67"/>
      <c r="G21842" s="68"/>
      <c r="K21842" s="68"/>
    </row>
    <row r="21843" spans="4:11" ht="12.75">
      <c r="D21843" s="67"/>
      <c r="G21843" s="68"/>
      <c r="K21843" s="68"/>
    </row>
    <row r="21844" spans="4:11" ht="12.75">
      <c r="D21844" s="67"/>
      <c r="G21844" s="68"/>
      <c r="K21844" s="68"/>
    </row>
    <row r="21845" spans="4:11" ht="12.75">
      <c r="D21845" s="67"/>
      <c r="G21845" s="68"/>
      <c r="K21845" s="68"/>
    </row>
    <row r="21846" spans="4:11" ht="12.75">
      <c r="D21846" s="67"/>
      <c r="G21846" s="68"/>
      <c r="K21846" s="68"/>
    </row>
    <row r="21847" spans="4:11" ht="12.75">
      <c r="D21847" s="67"/>
      <c r="G21847" s="68"/>
      <c r="K21847" s="68"/>
    </row>
    <row r="21848" spans="4:11" ht="12.75">
      <c r="D21848" s="67"/>
      <c r="G21848" s="68"/>
      <c r="K21848" s="68"/>
    </row>
    <row r="21849" spans="4:11" ht="12.75">
      <c r="D21849" s="67"/>
      <c r="G21849" s="68"/>
      <c r="K21849" s="68"/>
    </row>
    <row r="21850" spans="4:11" ht="12.75">
      <c r="D21850" s="67"/>
      <c r="G21850" s="68"/>
      <c r="K21850" s="68"/>
    </row>
    <row r="21851" spans="4:11" ht="12.75">
      <c r="D21851" s="67"/>
      <c r="G21851" s="68"/>
      <c r="K21851" s="68"/>
    </row>
    <row r="21852" spans="4:11" ht="12.75">
      <c r="D21852" s="67"/>
      <c r="G21852" s="68"/>
      <c r="K21852" s="68"/>
    </row>
    <row r="21853" spans="4:11" ht="12.75">
      <c r="D21853" s="67"/>
      <c r="G21853" s="68"/>
      <c r="K21853" s="68"/>
    </row>
    <row r="21854" spans="4:11" ht="12.75">
      <c r="D21854" s="67"/>
      <c r="G21854" s="68"/>
      <c r="K21854" s="68"/>
    </row>
    <row r="21855" spans="4:11" ht="12.75">
      <c r="D21855" s="67"/>
      <c r="G21855" s="68"/>
      <c r="K21855" s="68"/>
    </row>
    <row r="21856" spans="4:11" ht="12.75">
      <c r="D21856" s="67"/>
      <c r="G21856" s="68"/>
      <c r="K21856" s="68"/>
    </row>
    <row r="21857" spans="4:11" ht="12.75">
      <c r="D21857" s="67"/>
      <c r="G21857" s="68"/>
      <c r="K21857" s="68"/>
    </row>
    <row r="21858" spans="4:11" ht="12.75">
      <c r="D21858" s="67"/>
      <c r="G21858" s="68"/>
      <c r="K21858" s="68"/>
    </row>
    <row r="21859" spans="4:11" ht="12.75">
      <c r="D21859" s="67"/>
      <c r="G21859" s="68"/>
      <c r="K21859" s="68"/>
    </row>
    <row r="21860" spans="4:11" ht="12.75">
      <c r="D21860" s="67"/>
      <c r="G21860" s="68"/>
      <c r="K21860" s="68"/>
    </row>
    <row r="21861" spans="4:11" ht="12.75">
      <c r="D21861" s="67"/>
      <c r="G21861" s="68"/>
      <c r="K21861" s="68"/>
    </row>
    <row r="21862" spans="4:11" ht="12.75">
      <c r="D21862" s="67"/>
      <c r="G21862" s="68"/>
      <c r="K21862" s="68"/>
    </row>
    <row r="21863" spans="4:11" ht="12.75">
      <c r="D21863" s="67"/>
      <c r="G21863" s="68"/>
      <c r="K21863" s="68"/>
    </row>
    <row r="21864" spans="4:11" ht="12.75">
      <c r="D21864" s="67"/>
      <c r="G21864" s="68"/>
      <c r="K21864" s="68"/>
    </row>
    <row r="21865" spans="4:11" ht="12.75">
      <c r="D21865" s="67"/>
      <c r="G21865" s="68"/>
      <c r="K21865" s="68"/>
    </row>
    <row r="21866" spans="4:11" ht="12.75">
      <c r="D21866" s="67"/>
      <c r="G21866" s="68"/>
      <c r="K21866" s="68"/>
    </row>
    <row r="21867" spans="4:11" ht="12.75">
      <c r="D21867" s="67"/>
      <c r="G21867" s="68"/>
      <c r="K21867" s="68"/>
    </row>
    <row r="21868" spans="4:11" ht="12.75">
      <c r="D21868" s="67"/>
      <c r="G21868" s="68"/>
      <c r="K21868" s="68"/>
    </row>
    <row r="21869" spans="4:11" ht="12.75">
      <c r="D21869" s="67"/>
      <c r="G21869" s="68"/>
      <c r="K21869" s="68"/>
    </row>
    <row r="21870" spans="4:11" ht="12.75">
      <c r="D21870" s="67"/>
      <c r="G21870" s="68"/>
      <c r="K21870" s="68"/>
    </row>
    <row r="21871" spans="4:11" ht="12.75">
      <c r="D21871" s="67"/>
      <c r="G21871" s="68"/>
      <c r="K21871" s="68"/>
    </row>
    <row r="21872" spans="4:11" ht="12.75">
      <c r="D21872" s="67"/>
      <c r="G21872" s="68"/>
      <c r="K21872" s="68"/>
    </row>
    <row r="21873" spans="4:11" ht="12.75">
      <c r="D21873" s="67"/>
      <c r="G21873" s="68"/>
      <c r="K21873" s="68"/>
    </row>
    <row r="21874" spans="4:11" ht="12.75">
      <c r="D21874" s="67"/>
      <c r="G21874" s="68"/>
      <c r="K21874" s="68"/>
    </row>
    <row r="21875" spans="4:11" ht="12.75">
      <c r="D21875" s="67"/>
      <c r="G21875" s="68"/>
      <c r="K21875" s="68"/>
    </row>
    <row r="21876" spans="4:11" ht="12.75">
      <c r="D21876" s="67"/>
      <c r="G21876" s="68"/>
      <c r="K21876" s="68"/>
    </row>
    <row r="21877" spans="4:11" ht="12.75">
      <c r="D21877" s="67"/>
      <c r="G21877" s="68"/>
      <c r="K21877" s="68"/>
    </row>
    <row r="21878" spans="4:11" ht="12.75">
      <c r="D21878" s="67"/>
      <c r="G21878" s="68"/>
      <c r="K21878" s="68"/>
    </row>
    <row r="21879" spans="4:11" ht="12.75">
      <c r="D21879" s="67"/>
      <c r="G21879" s="68"/>
      <c r="K21879" s="68"/>
    </row>
    <row r="21880" spans="4:11" ht="12.75">
      <c r="D21880" s="67"/>
      <c r="G21880" s="68"/>
      <c r="K21880" s="68"/>
    </row>
    <row r="21881" spans="4:11" ht="12.75">
      <c r="D21881" s="67"/>
      <c r="G21881" s="68"/>
      <c r="K21881" s="68"/>
    </row>
    <row r="21882" spans="4:11" ht="12.75">
      <c r="D21882" s="67"/>
      <c r="G21882" s="68"/>
      <c r="K21882" s="68"/>
    </row>
    <row r="21883" spans="4:11" ht="12.75">
      <c r="D21883" s="67"/>
      <c r="G21883" s="68"/>
      <c r="K21883" s="68"/>
    </row>
    <row r="21884" spans="4:11" ht="12.75">
      <c r="D21884" s="67"/>
      <c r="G21884" s="68"/>
      <c r="K21884" s="68"/>
    </row>
    <row r="21885" spans="4:11" ht="12.75">
      <c r="D21885" s="67"/>
      <c r="G21885" s="68"/>
      <c r="K21885" s="68"/>
    </row>
    <row r="21886" spans="4:11" ht="12.75">
      <c r="D21886" s="67"/>
      <c r="G21886" s="68"/>
      <c r="K21886" s="68"/>
    </row>
    <row r="21887" spans="4:11" ht="12.75">
      <c r="D21887" s="67"/>
      <c r="G21887" s="68"/>
      <c r="K21887" s="68"/>
    </row>
    <row r="21888" spans="4:11" ht="12.75">
      <c r="D21888" s="67"/>
      <c r="G21888" s="68"/>
      <c r="K21888" s="68"/>
    </row>
    <row r="21889" spans="4:11" ht="12.75">
      <c r="D21889" s="67"/>
      <c r="G21889" s="68"/>
      <c r="K21889" s="68"/>
    </row>
    <row r="21890" spans="4:11" ht="12.75">
      <c r="D21890" s="67"/>
      <c r="G21890" s="68"/>
      <c r="K21890" s="68"/>
    </row>
    <row r="21891" spans="4:11" ht="12.75">
      <c r="D21891" s="67"/>
      <c r="G21891" s="68"/>
      <c r="K21891" s="68"/>
    </row>
    <row r="21892" spans="4:11" ht="12.75">
      <c r="D21892" s="67"/>
      <c r="G21892" s="68"/>
      <c r="K21892" s="68"/>
    </row>
    <row r="21893" spans="4:11" ht="12.75">
      <c r="D21893" s="67"/>
      <c r="G21893" s="68"/>
      <c r="K21893" s="68"/>
    </row>
    <row r="21894" spans="4:11" ht="12.75">
      <c r="D21894" s="67"/>
      <c r="G21894" s="68"/>
      <c r="K21894" s="68"/>
    </row>
    <row r="21895" spans="4:11" ht="12.75">
      <c r="D21895" s="67"/>
      <c r="G21895" s="68"/>
      <c r="K21895" s="68"/>
    </row>
    <row r="21896" spans="4:11" ht="12.75">
      <c r="D21896" s="67"/>
      <c r="G21896" s="68"/>
      <c r="K21896" s="68"/>
    </row>
    <row r="21897" spans="4:11" ht="12.75">
      <c r="D21897" s="67"/>
      <c r="G21897" s="68"/>
      <c r="K21897" s="68"/>
    </row>
    <row r="21898" spans="4:11" ht="12.75">
      <c r="D21898" s="67"/>
      <c r="G21898" s="68"/>
      <c r="K21898" s="68"/>
    </row>
    <row r="21899" spans="4:11" ht="12.75">
      <c r="D21899" s="67"/>
      <c r="G21899" s="68"/>
      <c r="K21899" s="68"/>
    </row>
    <row r="21900" spans="4:11" ht="12.75">
      <c r="D21900" s="67"/>
      <c r="G21900" s="68"/>
      <c r="K21900" s="68"/>
    </row>
    <row r="21901" spans="4:11" ht="12.75">
      <c r="D21901" s="67"/>
      <c r="G21901" s="68"/>
      <c r="K21901" s="68"/>
    </row>
    <row r="21902" spans="4:11" ht="12.75">
      <c r="D21902" s="67"/>
      <c r="G21902" s="68"/>
      <c r="K21902" s="68"/>
    </row>
    <row r="21903" spans="4:11" ht="12.75">
      <c r="D21903" s="67"/>
      <c r="G21903" s="68"/>
      <c r="K21903" s="68"/>
    </row>
    <row r="21904" spans="4:11" ht="12.75">
      <c r="D21904" s="67"/>
      <c r="G21904" s="68"/>
      <c r="K21904" s="68"/>
    </row>
    <row r="21905" spans="4:11" ht="12.75">
      <c r="D21905" s="67"/>
      <c r="G21905" s="68"/>
      <c r="K21905" s="68"/>
    </row>
    <row r="21906" spans="4:11" ht="12.75">
      <c r="D21906" s="67"/>
      <c r="G21906" s="68"/>
      <c r="K21906" s="68"/>
    </row>
    <row r="21907" spans="4:11" ht="12.75">
      <c r="D21907" s="67"/>
      <c r="G21907" s="68"/>
      <c r="K21907" s="68"/>
    </row>
    <row r="21908" spans="4:11" ht="12.75">
      <c r="D21908" s="67"/>
      <c r="G21908" s="68"/>
      <c r="K21908" s="68"/>
    </row>
    <row r="21909" spans="4:11" ht="12.75">
      <c r="D21909" s="67"/>
      <c r="G21909" s="68"/>
      <c r="K21909" s="68"/>
    </row>
    <row r="21910" spans="4:11" ht="12.75">
      <c r="D21910" s="67"/>
      <c r="G21910" s="68"/>
      <c r="K21910" s="68"/>
    </row>
    <row r="21911" spans="4:11" ht="12.75">
      <c r="D21911" s="67"/>
      <c r="G21911" s="68"/>
      <c r="K21911" s="68"/>
    </row>
    <row r="21912" spans="4:11" ht="12.75">
      <c r="D21912" s="67"/>
      <c r="G21912" s="68"/>
      <c r="K21912" s="68"/>
    </row>
    <row r="21913" spans="4:11" ht="12.75">
      <c r="D21913" s="67"/>
      <c r="G21913" s="68"/>
      <c r="K21913" s="68"/>
    </row>
    <row r="21914" spans="4:11" ht="12.75">
      <c r="D21914" s="67"/>
      <c r="G21914" s="68"/>
      <c r="K21914" s="68"/>
    </row>
    <row r="21915" spans="4:11" ht="12.75">
      <c r="D21915" s="67"/>
      <c r="G21915" s="68"/>
      <c r="K21915" s="68"/>
    </row>
    <row r="21916" spans="4:11" ht="12.75">
      <c r="D21916" s="67"/>
      <c r="G21916" s="68"/>
      <c r="K21916" s="68"/>
    </row>
    <row r="21917" spans="4:11" ht="12.75">
      <c r="D21917" s="67"/>
      <c r="G21917" s="68"/>
      <c r="K21917" s="68"/>
    </row>
    <row r="21918" spans="4:11" ht="12.75">
      <c r="D21918" s="67"/>
      <c r="G21918" s="68"/>
      <c r="K21918" s="68"/>
    </row>
    <row r="21919" spans="4:11" ht="12.75">
      <c r="D21919" s="67"/>
      <c r="G21919" s="68"/>
      <c r="K21919" s="68"/>
    </row>
    <row r="21920" spans="4:11" ht="12.75">
      <c r="D21920" s="67"/>
      <c r="G21920" s="68"/>
      <c r="K21920" s="68"/>
    </row>
    <row r="21921" spans="4:11" ht="12.75">
      <c r="D21921" s="67"/>
      <c r="G21921" s="68"/>
      <c r="K21921" s="68"/>
    </row>
    <row r="21922" spans="4:11" ht="12.75">
      <c r="D21922" s="67"/>
      <c r="G21922" s="68"/>
      <c r="K21922" s="68"/>
    </row>
    <row r="21923" spans="4:11" ht="12.75">
      <c r="D21923" s="67"/>
      <c r="G21923" s="68"/>
      <c r="K21923" s="68"/>
    </row>
    <row r="21924" spans="4:11" ht="12.75">
      <c r="D21924" s="67"/>
      <c r="G21924" s="68"/>
      <c r="K21924" s="68"/>
    </row>
    <row r="21925" spans="4:11" ht="12.75">
      <c r="D21925" s="67"/>
      <c r="G21925" s="68"/>
      <c r="K21925" s="68"/>
    </row>
    <row r="21926" spans="4:11" ht="12.75">
      <c r="D21926" s="67"/>
      <c r="G21926" s="68"/>
      <c r="K21926" s="68"/>
    </row>
    <row r="21927" spans="4:11" ht="12.75">
      <c r="D21927" s="67"/>
      <c r="G21927" s="68"/>
      <c r="K21927" s="68"/>
    </row>
    <row r="21928" spans="4:11" ht="12.75">
      <c r="D21928" s="67"/>
      <c r="G21928" s="68"/>
      <c r="K21928" s="68"/>
    </row>
    <row r="21929" spans="4:11" ht="12.75">
      <c r="D21929" s="67"/>
      <c r="G21929" s="68"/>
      <c r="K21929" s="68"/>
    </row>
    <row r="21930" spans="4:11" ht="12.75">
      <c r="D21930" s="67"/>
      <c r="G21930" s="68"/>
      <c r="K21930" s="68"/>
    </row>
    <row r="21931" spans="4:11" ht="12.75">
      <c r="D21931" s="67"/>
      <c r="G21931" s="68"/>
      <c r="K21931" s="68"/>
    </row>
    <row r="21932" spans="4:11" ht="12.75">
      <c r="D21932" s="67"/>
      <c r="G21932" s="68"/>
      <c r="K21932" s="68"/>
    </row>
    <row r="21933" spans="4:11" ht="12.75">
      <c r="D21933" s="67"/>
      <c r="G21933" s="68"/>
      <c r="K21933" s="68"/>
    </row>
    <row r="21934" spans="4:11" ht="12.75">
      <c r="D21934" s="67"/>
      <c r="G21934" s="68"/>
      <c r="K21934" s="68"/>
    </row>
    <row r="21935" spans="4:11" ht="12.75">
      <c r="D21935" s="67"/>
      <c r="G21935" s="68"/>
      <c r="K21935" s="68"/>
    </row>
    <row r="21936" spans="4:11" ht="12.75">
      <c r="D21936" s="67"/>
      <c r="G21936" s="68"/>
      <c r="K21936" s="68"/>
    </row>
    <row r="21937" spans="4:11" ht="12.75">
      <c r="D21937" s="67"/>
      <c r="G21937" s="68"/>
      <c r="K21937" s="68"/>
    </row>
    <row r="21938" spans="4:11" ht="12.75">
      <c r="D21938" s="67"/>
      <c r="G21938" s="68"/>
      <c r="K21938" s="68"/>
    </row>
    <row r="21939" spans="4:11" ht="12.75">
      <c r="D21939" s="67"/>
      <c r="G21939" s="68"/>
      <c r="K21939" s="68"/>
    </row>
    <row r="21940" spans="4:11" ht="12.75">
      <c r="D21940" s="67"/>
      <c r="G21940" s="68"/>
      <c r="K21940" s="68"/>
    </row>
    <row r="21941" spans="4:11" ht="12.75">
      <c r="D21941" s="67"/>
      <c r="G21941" s="68"/>
      <c r="K21941" s="68"/>
    </row>
    <row r="21942" spans="4:11" ht="12.75">
      <c r="D21942" s="67"/>
      <c r="G21942" s="68"/>
      <c r="K21942" s="68"/>
    </row>
    <row r="21943" spans="4:11" ht="12.75">
      <c r="D21943" s="67"/>
      <c r="G21943" s="68"/>
      <c r="K21943" s="68"/>
    </row>
    <row r="21944" spans="4:11" ht="12.75">
      <c r="D21944" s="67"/>
      <c r="G21944" s="68"/>
      <c r="K21944" s="68"/>
    </row>
    <row r="21945" spans="4:11" ht="12.75">
      <c r="D21945" s="67"/>
      <c r="G21945" s="68"/>
      <c r="K21945" s="68"/>
    </row>
    <row r="21946" spans="4:11" ht="12.75">
      <c r="D21946" s="67"/>
      <c r="G21946" s="68"/>
      <c r="K21946" s="68"/>
    </row>
    <row r="21947" spans="4:11" ht="12.75">
      <c r="D21947" s="67"/>
      <c r="G21947" s="68"/>
      <c r="K21947" s="68"/>
    </row>
    <row r="21948" spans="4:11" ht="12.75">
      <c r="D21948" s="67"/>
      <c r="G21948" s="68"/>
      <c r="K21948" s="68"/>
    </row>
    <row r="21949" spans="4:11" ht="12.75">
      <c r="D21949" s="67"/>
      <c r="G21949" s="68"/>
      <c r="K21949" s="68"/>
    </row>
    <row r="21950" spans="4:11" ht="12.75">
      <c r="D21950" s="67"/>
      <c r="G21950" s="68"/>
      <c r="K21950" s="68"/>
    </row>
    <row r="21951" spans="4:11" ht="12.75">
      <c r="D21951" s="67"/>
      <c r="G21951" s="68"/>
      <c r="K21951" s="68"/>
    </row>
    <row r="21952" spans="4:11" ht="12.75">
      <c r="D21952" s="67"/>
      <c r="G21952" s="68"/>
      <c r="K21952" s="68"/>
    </row>
    <row r="21953" spans="4:11" ht="12.75">
      <c r="D21953" s="67"/>
      <c r="G21953" s="68"/>
      <c r="K21953" s="68"/>
    </row>
    <row r="21954" spans="4:11" ht="12.75">
      <c r="D21954" s="67"/>
      <c r="G21954" s="68"/>
      <c r="K21954" s="68"/>
    </row>
    <row r="21955" spans="4:11" ht="12.75">
      <c r="D21955" s="67"/>
      <c r="G21955" s="68"/>
      <c r="K21955" s="68"/>
    </row>
    <row r="21956" spans="4:11" ht="12.75">
      <c r="D21956" s="67"/>
      <c r="G21956" s="68"/>
      <c r="K21956" s="68"/>
    </row>
    <row r="21957" spans="4:11" ht="12.75">
      <c r="D21957" s="67"/>
      <c r="G21957" s="68"/>
      <c r="K21957" s="68"/>
    </row>
    <row r="21958" spans="4:11" ht="12.75">
      <c r="D21958" s="67"/>
      <c r="G21958" s="68"/>
      <c r="K21958" s="68"/>
    </row>
    <row r="21959" spans="4:11" ht="12.75">
      <c r="D21959" s="67"/>
      <c r="G21959" s="68"/>
      <c r="K21959" s="68"/>
    </row>
    <row r="21960" spans="4:11" ht="12.75">
      <c r="D21960" s="67"/>
      <c r="G21960" s="68"/>
      <c r="K21960" s="68"/>
    </row>
    <row r="21961" spans="4:11" ht="12.75">
      <c r="D21961" s="67"/>
      <c r="G21961" s="68"/>
      <c r="K21961" s="68"/>
    </row>
    <row r="21962" spans="4:11" ht="12.75">
      <c r="D21962" s="67"/>
      <c r="G21962" s="68"/>
      <c r="K21962" s="68"/>
    </row>
    <row r="21963" spans="4:11" ht="12.75">
      <c r="D21963" s="67"/>
      <c r="G21963" s="68"/>
      <c r="K21963" s="68"/>
    </row>
    <row r="21964" spans="4:11" ht="12.75">
      <c r="D21964" s="67"/>
      <c r="G21964" s="68"/>
      <c r="K21964" s="68"/>
    </row>
    <row r="21965" spans="4:11" ht="12.75">
      <c r="D21965" s="67"/>
      <c r="G21965" s="68"/>
      <c r="K21965" s="68"/>
    </row>
    <row r="21966" spans="4:11" ht="12.75">
      <c r="D21966" s="67"/>
      <c r="G21966" s="68"/>
      <c r="K21966" s="68"/>
    </row>
    <row r="21967" spans="4:11" ht="12.75">
      <c r="D21967" s="67"/>
      <c r="G21967" s="68"/>
      <c r="K21967" s="68"/>
    </row>
    <row r="21968" spans="4:11" ht="12.75">
      <c r="D21968" s="67"/>
      <c r="G21968" s="68"/>
      <c r="K21968" s="68"/>
    </row>
    <row r="21969" spans="4:11" ht="12.75">
      <c r="D21969" s="67"/>
      <c r="G21969" s="68"/>
      <c r="K21969" s="68"/>
    </row>
    <row r="21970" spans="4:11" ht="12.75">
      <c r="D21970" s="67"/>
      <c r="G21970" s="68"/>
      <c r="K21970" s="68"/>
    </row>
    <row r="21971" spans="4:11" ht="12.75">
      <c r="D21971" s="67"/>
      <c r="G21971" s="68"/>
      <c r="K21971" s="68"/>
    </row>
    <row r="21972" spans="4:11" ht="12.75">
      <c r="D21972" s="67"/>
      <c r="G21972" s="68"/>
      <c r="K21972" s="68"/>
    </row>
    <row r="21973" spans="4:11" ht="12.75">
      <c r="D21973" s="67"/>
      <c r="G21973" s="68"/>
      <c r="K21973" s="68"/>
    </row>
    <row r="21974" spans="4:11" ht="12.75">
      <c r="D21974" s="67"/>
      <c r="G21974" s="68"/>
      <c r="K21974" s="68"/>
    </row>
    <row r="21975" spans="4:11" ht="12.75">
      <c r="D21975" s="67"/>
      <c r="G21975" s="68"/>
      <c r="K21975" s="68"/>
    </row>
    <row r="21976" spans="4:11" ht="12.75">
      <c r="D21976" s="67"/>
      <c r="G21976" s="68"/>
      <c r="K21976" s="68"/>
    </row>
    <row r="21977" spans="4:11" ht="12.75">
      <c r="D21977" s="67"/>
      <c r="G21977" s="68"/>
      <c r="K21977" s="68"/>
    </row>
    <row r="21978" spans="4:11" ht="12.75">
      <c r="D21978" s="67"/>
      <c r="G21978" s="68"/>
      <c r="K21978" s="68"/>
    </row>
    <row r="21979" spans="4:11" ht="12.75">
      <c r="D21979" s="67"/>
      <c r="G21979" s="68"/>
      <c r="K21979" s="68"/>
    </row>
    <row r="21980" spans="4:11" ht="12.75">
      <c r="D21980" s="67"/>
      <c r="G21980" s="68"/>
      <c r="K21980" s="68"/>
    </row>
    <row r="21981" spans="4:11" ht="12.75">
      <c r="D21981" s="67"/>
      <c r="G21981" s="68"/>
      <c r="K21981" s="68"/>
    </row>
    <row r="21982" spans="4:11" ht="12.75">
      <c r="D21982" s="67"/>
      <c r="G21982" s="68"/>
      <c r="K21982" s="68"/>
    </row>
    <row r="21983" spans="4:11" ht="12.75">
      <c r="D21983" s="67"/>
      <c r="G21983" s="68"/>
      <c r="K21983" s="68"/>
    </row>
    <row r="21984" spans="4:11" ht="12.75">
      <c r="D21984" s="67"/>
      <c r="G21984" s="68"/>
      <c r="K21984" s="68"/>
    </row>
    <row r="21985" spans="4:11" ht="12.75">
      <c r="D21985" s="67"/>
      <c r="G21985" s="68"/>
      <c r="K21985" s="68"/>
    </row>
    <row r="21986" spans="4:11" ht="12.75">
      <c r="D21986" s="67"/>
      <c r="G21986" s="68"/>
      <c r="K21986" s="68"/>
    </row>
    <row r="21987" spans="4:11" ht="12.75">
      <c r="D21987" s="67"/>
      <c r="G21987" s="68"/>
      <c r="K21987" s="68"/>
    </row>
    <row r="21988" spans="4:11" ht="12.75">
      <c r="D21988" s="67"/>
      <c r="G21988" s="68"/>
      <c r="K21988" s="68"/>
    </row>
    <row r="21989" spans="4:11" ht="12.75">
      <c r="D21989" s="67"/>
      <c r="G21989" s="68"/>
      <c r="K21989" s="68"/>
    </row>
    <row r="21990" spans="4:11" ht="12.75">
      <c r="D21990" s="67"/>
      <c r="G21990" s="68"/>
      <c r="K21990" s="68"/>
    </row>
    <row r="21991" spans="4:11" ht="12.75">
      <c r="D21991" s="67"/>
      <c r="G21991" s="68"/>
      <c r="K21991" s="68"/>
    </row>
    <row r="21992" spans="4:11" ht="12.75">
      <c r="D21992" s="67"/>
      <c r="G21992" s="68"/>
      <c r="K21992" s="68"/>
    </row>
    <row r="21993" spans="4:11" ht="12.75">
      <c r="D21993" s="67"/>
      <c r="G21993" s="68"/>
      <c r="K21993" s="68"/>
    </row>
    <row r="21994" spans="4:11" ht="12.75">
      <c r="D21994" s="67"/>
      <c r="G21994" s="68"/>
      <c r="K21994" s="68"/>
    </row>
    <row r="21995" spans="4:11" ht="12.75">
      <c r="D21995" s="67"/>
      <c r="G21995" s="68"/>
      <c r="K21995" s="68"/>
    </row>
    <row r="21996" spans="4:11" ht="12.75">
      <c r="D21996" s="67"/>
      <c r="G21996" s="68"/>
      <c r="K21996" s="68"/>
    </row>
    <row r="21997" spans="4:11" ht="12.75">
      <c r="D21997" s="67"/>
      <c r="G21997" s="68"/>
      <c r="K21997" s="68"/>
    </row>
    <row r="21998" spans="4:11" ht="12.75">
      <c r="D21998" s="67"/>
      <c r="G21998" s="68"/>
      <c r="K21998" s="68"/>
    </row>
    <row r="21999" spans="4:11" ht="12.75">
      <c r="D21999" s="67"/>
      <c r="G21999" s="68"/>
      <c r="K21999" s="68"/>
    </row>
    <row r="22000" spans="4:11" ht="12.75">
      <c r="D22000" s="67"/>
      <c r="G22000" s="68"/>
      <c r="K22000" s="68"/>
    </row>
    <row r="22001" spans="4:11" ht="12.75">
      <c r="D22001" s="67"/>
      <c r="G22001" s="68"/>
      <c r="K22001" s="68"/>
    </row>
    <row r="22002" spans="4:11" ht="12.75">
      <c r="D22002" s="67"/>
      <c r="G22002" s="68"/>
      <c r="K22002" s="68"/>
    </row>
    <row r="22003" spans="4:11" ht="12.75">
      <c r="D22003" s="67"/>
      <c r="G22003" s="68"/>
      <c r="K22003" s="68"/>
    </row>
    <row r="22004" spans="4:11" ht="12.75">
      <c r="D22004" s="67"/>
      <c r="G22004" s="68"/>
      <c r="K22004" s="68"/>
    </row>
    <row r="22005" spans="4:11" ht="12.75">
      <c r="D22005" s="67"/>
      <c r="G22005" s="68"/>
      <c r="K22005" s="68"/>
    </row>
    <row r="22006" spans="4:11" ht="12.75">
      <c r="D22006" s="67"/>
      <c r="G22006" s="68"/>
      <c r="K22006" s="68"/>
    </row>
    <row r="22007" spans="4:11" ht="12.75">
      <c r="D22007" s="67"/>
      <c r="G22007" s="68"/>
      <c r="K22007" s="68"/>
    </row>
    <row r="22008" spans="4:11" ht="12.75">
      <c r="D22008" s="67"/>
      <c r="G22008" s="68"/>
      <c r="K22008" s="68"/>
    </row>
    <row r="22009" spans="4:11" ht="12.75">
      <c r="D22009" s="67"/>
      <c r="G22009" s="68"/>
      <c r="K22009" s="68"/>
    </row>
    <row r="22010" spans="4:11" ht="12.75">
      <c r="D22010" s="67"/>
      <c r="G22010" s="68"/>
      <c r="K22010" s="68"/>
    </row>
    <row r="22011" spans="4:11" ht="12.75">
      <c r="D22011" s="67"/>
      <c r="G22011" s="68"/>
      <c r="K22011" s="68"/>
    </row>
    <row r="22012" spans="4:11" ht="12.75">
      <c r="D22012" s="67"/>
      <c r="G22012" s="68"/>
      <c r="K22012" s="68"/>
    </row>
    <row r="22013" spans="4:11" ht="12.75">
      <c r="D22013" s="67"/>
      <c r="G22013" s="68"/>
      <c r="K22013" s="68"/>
    </row>
    <row r="22014" spans="4:11" ht="12.75">
      <c r="D22014" s="67"/>
      <c r="G22014" s="68"/>
      <c r="K22014" s="68"/>
    </row>
    <row r="22015" spans="4:11" ht="12.75">
      <c r="D22015" s="67"/>
      <c r="G22015" s="68"/>
      <c r="K22015" s="68"/>
    </row>
    <row r="22016" spans="4:11" ht="12.75">
      <c r="D22016" s="67"/>
      <c r="G22016" s="68"/>
      <c r="K22016" s="68"/>
    </row>
    <row r="22017" spans="4:11" ht="12.75">
      <c r="D22017" s="67"/>
      <c r="G22017" s="68"/>
      <c r="K22017" s="68"/>
    </row>
    <row r="22018" spans="4:11" ht="12.75">
      <c r="D22018" s="67"/>
      <c r="G22018" s="68"/>
      <c r="K22018" s="68"/>
    </row>
    <row r="22019" spans="4:11" ht="12.75">
      <c r="D22019" s="67"/>
      <c r="G22019" s="68"/>
      <c r="K22019" s="68"/>
    </row>
    <row r="22020" spans="4:11" ht="12.75">
      <c r="D22020" s="67"/>
      <c r="G22020" s="68"/>
      <c r="K22020" s="68"/>
    </row>
    <row r="22021" spans="4:11" ht="12.75">
      <c r="D22021" s="67"/>
      <c r="G22021" s="68"/>
      <c r="K22021" s="68"/>
    </row>
    <row r="22022" spans="4:11" ht="12.75">
      <c r="D22022" s="67"/>
      <c r="G22022" s="68"/>
      <c r="K22022" s="68"/>
    </row>
    <row r="22023" spans="4:11" ht="12.75">
      <c r="D22023" s="67"/>
      <c r="G22023" s="68"/>
      <c r="K22023" s="68"/>
    </row>
    <row r="22024" spans="4:11" ht="12.75">
      <c r="D22024" s="67"/>
      <c r="G22024" s="68"/>
      <c r="K22024" s="68"/>
    </row>
    <row r="22025" spans="4:11" ht="12.75">
      <c r="D22025" s="67"/>
      <c r="G22025" s="68"/>
      <c r="K22025" s="68"/>
    </row>
    <row r="22026" spans="4:11" ht="12.75">
      <c r="D22026" s="67"/>
      <c r="G22026" s="68"/>
      <c r="K22026" s="68"/>
    </row>
    <row r="22027" spans="4:11" ht="12.75">
      <c r="D22027" s="67"/>
      <c r="G22027" s="68"/>
      <c r="K22027" s="68"/>
    </row>
    <row r="22028" spans="4:11" ht="12.75">
      <c r="D22028" s="67"/>
      <c r="G22028" s="68"/>
      <c r="K22028" s="68"/>
    </row>
    <row r="22029" spans="4:11" ht="12.75">
      <c r="D22029" s="67"/>
      <c r="G22029" s="68"/>
      <c r="K22029" s="68"/>
    </row>
    <row r="22030" spans="4:11" ht="12.75">
      <c r="D22030" s="67"/>
      <c r="G22030" s="68"/>
      <c r="K22030" s="68"/>
    </row>
    <row r="22031" spans="4:11" ht="12.75">
      <c r="D22031" s="67"/>
      <c r="G22031" s="68"/>
      <c r="K22031" s="68"/>
    </row>
    <row r="22032" spans="4:11" ht="12.75">
      <c r="D22032" s="67"/>
      <c r="G22032" s="68"/>
      <c r="K22032" s="68"/>
    </row>
    <row r="22033" spans="4:11" ht="12.75">
      <c r="D22033" s="67"/>
      <c r="G22033" s="68"/>
      <c r="K22033" s="68"/>
    </row>
    <row r="22034" spans="4:11" ht="12.75">
      <c r="D22034" s="67"/>
      <c r="G22034" s="68"/>
      <c r="K22034" s="68"/>
    </row>
    <row r="22035" spans="4:11" ht="12.75">
      <c r="D22035" s="67"/>
      <c r="G22035" s="68"/>
      <c r="K22035" s="68"/>
    </row>
    <row r="22036" spans="4:11" ht="12.75">
      <c r="D22036" s="67"/>
      <c r="G22036" s="68"/>
      <c r="K22036" s="68"/>
    </row>
    <row r="22037" spans="4:11" ht="12.75">
      <c r="D22037" s="67"/>
      <c r="G22037" s="68"/>
      <c r="K22037" s="68"/>
    </row>
    <row r="22038" spans="4:11" ht="12.75">
      <c r="D22038" s="67"/>
      <c r="G22038" s="68"/>
      <c r="K22038" s="68"/>
    </row>
    <row r="22039" spans="4:11" ht="12.75">
      <c r="D22039" s="67"/>
      <c r="G22039" s="68"/>
      <c r="K22039" s="68"/>
    </row>
    <row r="22040" spans="4:11" ht="12.75">
      <c r="D22040" s="67"/>
      <c r="G22040" s="68"/>
      <c r="K22040" s="68"/>
    </row>
    <row r="22041" spans="4:11" ht="12.75">
      <c r="D22041" s="67"/>
      <c r="G22041" s="68"/>
      <c r="K22041" s="68"/>
    </row>
    <row r="22042" spans="4:11" ht="12.75">
      <c r="D22042" s="67"/>
      <c r="G22042" s="68"/>
      <c r="K22042" s="68"/>
    </row>
    <row r="22043" spans="4:11" ht="12.75">
      <c r="D22043" s="67"/>
      <c r="G22043" s="68"/>
      <c r="K22043" s="68"/>
    </row>
    <row r="22044" spans="4:11" ht="12.75">
      <c r="D22044" s="67"/>
      <c r="G22044" s="68"/>
      <c r="K22044" s="68"/>
    </row>
    <row r="22045" spans="4:11" ht="12.75">
      <c r="D22045" s="67"/>
      <c r="G22045" s="68"/>
      <c r="K22045" s="68"/>
    </row>
    <row r="22046" spans="4:11" ht="12.75">
      <c r="D22046" s="67"/>
      <c r="G22046" s="68"/>
      <c r="K22046" s="68"/>
    </row>
    <row r="22047" spans="4:11" ht="12.75">
      <c r="D22047" s="67"/>
      <c r="G22047" s="68"/>
      <c r="K22047" s="68"/>
    </row>
    <row r="22048" spans="4:11" ht="12.75">
      <c r="D22048" s="67"/>
      <c r="G22048" s="68"/>
      <c r="K22048" s="68"/>
    </row>
    <row r="22049" spans="4:11" ht="12.75">
      <c r="D22049" s="67"/>
      <c r="G22049" s="68"/>
      <c r="K22049" s="68"/>
    </row>
    <row r="22050" spans="4:11" ht="12.75">
      <c r="D22050" s="67"/>
      <c r="G22050" s="68"/>
      <c r="K22050" s="68"/>
    </row>
    <row r="22051" spans="4:11" ht="12.75">
      <c r="D22051" s="67"/>
      <c r="G22051" s="68"/>
      <c r="K22051" s="68"/>
    </row>
    <row r="22052" spans="4:11" ht="12.75">
      <c r="D22052" s="67"/>
      <c r="G22052" s="68"/>
      <c r="K22052" s="68"/>
    </row>
    <row r="22053" spans="4:11" ht="12.75">
      <c r="D22053" s="67"/>
      <c r="G22053" s="68"/>
      <c r="K22053" s="68"/>
    </row>
    <row r="22054" spans="4:11" ht="12.75">
      <c r="D22054" s="67"/>
      <c r="G22054" s="68"/>
      <c r="K22054" s="68"/>
    </row>
    <row r="22055" spans="4:11" ht="12.75">
      <c r="D22055" s="67"/>
      <c r="G22055" s="68"/>
      <c r="K22055" s="68"/>
    </row>
    <row r="22056" spans="4:11" ht="12.75">
      <c r="D22056" s="67"/>
      <c r="G22056" s="68"/>
      <c r="K22056" s="68"/>
    </row>
    <row r="22057" spans="4:11" ht="12.75">
      <c r="D22057" s="67"/>
      <c r="G22057" s="68"/>
      <c r="K22057" s="68"/>
    </row>
    <row r="22058" spans="4:11" ht="12.75">
      <c r="D22058" s="67"/>
      <c r="G22058" s="68"/>
      <c r="K22058" s="68"/>
    </row>
    <row r="22059" spans="4:11" ht="12.75">
      <c r="D22059" s="67"/>
      <c r="G22059" s="68"/>
      <c r="K22059" s="68"/>
    </row>
    <row r="22060" spans="4:11" ht="12.75">
      <c r="D22060" s="67"/>
      <c r="G22060" s="68"/>
      <c r="K22060" s="68"/>
    </row>
    <row r="22061" spans="4:11" ht="12.75">
      <c r="D22061" s="67"/>
      <c r="G22061" s="68"/>
      <c r="K22061" s="68"/>
    </row>
    <row r="22062" spans="4:11" ht="12.75">
      <c r="D22062" s="67"/>
      <c r="G22062" s="68"/>
      <c r="K22062" s="68"/>
    </row>
    <row r="22063" spans="4:11" ht="12.75">
      <c r="D22063" s="67"/>
      <c r="G22063" s="68"/>
      <c r="K22063" s="68"/>
    </row>
    <row r="22064" spans="4:11" ht="12.75">
      <c r="D22064" s="67"/>
      <c r="G22064" s="68"/>
      <c r="K22064" s="68"/>
    </row>
    <row r="22065" spans="4:11" ht="12.75">
      <c r="D22065" s="67"/>
      <c r="G22065" s="68"/>
      <c r="K22065" s="68"/>
    </row>
    <row r="22066" spans="4:11" ht="12.75">
      <c r="D22066" s="67"/>
      <c r="G22066" s="68"/>
      <c r="K22066" s="68"/>
    </row>
    <row r="22067" spans="4:11" ht="12.75">
      <c r="D22067" s="67"/>
      <c r="G22067" s="68"/>
      <c r="K22067" s="68"/>
    </row>
    <row r="22068" spans="4:11" ht="12.75">
      <c r="D22068" s="67"/>
      <c r="G22068" s="68"/>
      <c r="K22068" s="68"/>
    </row>
    <row r="22069" spans="4:11" ht="12.75">
      <c r="D22069" s="67"/>
      <c r="G22069" s="68"/>
      <c r="K22069" s="68"/>
    </row>
    <row r="22070" spans="4:11" ht="12.75">
      <c r="D22070" s="67"/>
      <c r="G22070" s="68"/>
      <c r="K22070" s="68"/>
    </row>
    <row r="22071" spans="4:11" ht="12.75">
      <c r="D22071" s="67"/>
      <c r="G22071" s="68"/>
      <c r="K22071" s="68"/>
    </row>
    <row r="22072" spans="4:11" ht="12.75">
      <c r="D22072" s="67"/>
      <c r="G22072" s="68"/>
      <c r="K22072" s="68"/>
    </row>
    <row r="22073" spans="4:11" ht="12.75">
      <c r="D22073" s="67"/>
      <c r="G22073" s="68"/>
      <c r="K22073" s="68"/>
    </row>
    <row r="22074" spans="4:11" ht="12.75">
      <c r="D22074" s="67"/>
      <c r="G22074" s="68"/>
      <c r="K22074" s="68"/>
    </row>
    <row r="22075" spans="4:11" ht="12.75">
      <c r="D22075" s="67"/>
      <c r="G22075" s="68"/>
      <c r="K22075" s="68"/>
    </row>
    <row r="22076" spans="4:11" ht="12.75">
      <c r="D22076" s="67"/>
      <c r="G22076" s="68"/>
      <c r="K22076" s="68"/>
    </row>
    <row r="22077" spans="4:11" ht="12.75">
      <c r="D22077" s="67"/>
      <c r="G22077" s="68"/>
      <c r="K22077" s="68"/>
    </row>
    <row r="22078" spans="4:11" ht="12.75">
      <c r="D22078" s="67"/>
      <c r="G22078" s="68"/>
      <c r="K22078" s="68"/>
    </row>
    <row r="22079" spans="4:11" ht="12.75">
      <c r="D22079" s="67"/>
      <c r="G22079" s="68"/>
      <c r="K22079" s="68"/>
    </row>
    <row r="22080" spans="4:11" ht="12.75">
      <c r="D22080" s="67"/>
      <c r="G22080" s="68"/>
      <c r="K22080" s="68"/>
    </row>
    <row r="22081" spans="4:11" ht="12.75">
      <c r="D22081" s="67"/>
      <c r="G22081" s="68"/>
      <c r="K22081" s="68"/>
    </row>
    <row r="22082" spans="4:11" ht="12.75">
      <c r="D22082" s="67"/>
      <c r="G22082" s="68"/>
      <c r="K22082" s="68"/>
    </row>
    <row r="22083" spans="4:11" ht="12.75">
      <c r="D22083" s="67"/>
      <c r="G22083" s="68"/>
      <c r="K22083" s="68"/>
    </row>
    <row r="22084" spans="4:11" ht="12.75">
      <c r="D22084" s="67"/>
      <c r="G22084" s="68"/>
      <c r="K22084" s="68"/>
    </row>
    <row r="22085" spans="4:11" ht="12.75">
      <c r="D22085" s="67"/>
      <c r="G22085" s="68"/>
      <c r="K22085" s="68"/>
    </row>
    <row r="22086" spans="4:11" ht="12.75">
      <c r="D22086" s="67"/>
      <c r="G22086" s="68"/>
      <c r="K22086" s="68"/>
    </row>
    <row r="22087" spans="4:11" ht="12.75">
      <c r="D22087" s="67"/>
      <c r="G22087" s="68"/>
      <c r="K22087" s="68"/>
    </row>
    <row r="22088" spans="4:11" ht="12.75">
      <c r="D22088" s="67"/>
      <c r="G22088" s="68"/>
      <c r="K22088" s="68"/>
    </row>
    <row r="22089" spans="4:11" ht="12.75">
      <c r="D22089" s="67"/>
      <c r="G22089" s="68"/>
      <c r="K22089" s="68"/>
    </row>
    <row r="22090" spans="4:11" ht="12.75">
      <c r="D22090" s="67"/>
      <c r="G22090" s="68"/>
      <c r="K22090" s="68"/>
    </row>
    <row r="22091" spans="4:11" ht="12.75">
      <c r="D22091" s="67"/>
      <c r="G22091" s="68"/>
      <c r="K22091" s="68"/>
    </row>
    <row r="22092" spans="4:11" ht="12.75">
      <c r="D22092" s="67"/>
      <c r="G22092" s="68"/>
      <c r="K22092" s="68"/>
    </row>
    <row r="22093" spans="4:11" ht="12.75">
      <c r="D22093" s="67"/>
      <c r="G22093" s="68"/>
      <c r="K22093" s="68"/>
    </row>
    <row r="22094" spans="4:11" ht="12.75">
      <c r="D22094" s="67"/>
      <c r="G22094" s="68"/>
      <c r="K22094" s="68"/>
    </row>
    <row r="22095" spans="4:11" ht="12.75">
      <c r="D22095" s="67"/>
      <c r="G22095" s="68"/>
      <c r="K22095" s="68"/>
    </row>
    <row r="22096" spans="4:11" ht="12.75">
      <c r="D22096" s="67"/>
      <c r="G22096" s="68"/>
      <c r="K22096" s="68"/>
    </row>
    <row r="22097" spans="4:11" ht="12.75">
      <c r="D22097" s="67"/>
      <c r="G22097" s="68"/>
      <c r="K22097" s="68"/>
    </row>
    <row r="22098" spans="4:11" ht="12.75">
      <c r="D22098" s="67"/>
      <c r="G22098" s="68"/>
      <c r="K22098" s="68"/>
    </row>
    <row r="22099" spans="4:11" ht="12.75">
      <c r="D22099" s="67"/>
      <c r="G22099" s="68"/>
      <c r="K22099" s="68"/>
    </row>
    <row r="22100" spans="4:11" ht="12.75">
      <c r="D22100" s="67"/>
      <c r="G22100" s="68"/>
      <c r="K22100" s="68"/>
    </row>
    <row r="22101" spans="4:11" ht="12.75">
      <c r="D22101" s="67"/>
      <c r="G22101" s="68"/>
      <c r="K22101" s="68"/>
    </row>
    <row r="22102" spans="4:11" ht="12.75">
      <c r="D22102" s="67"/>
      <c r="G22102" s="68"/>
      <c r="K22102" s="68"/>
    </row>
    <row r="22103" spans="4:11" ht="12.75">
      <c r="D22103" s="67"/>
      <c r="G22103" s="68"/>
      <c r="K22103" s="68"/>
    </row>
    <row r="22104" spans="4:11" ht="12.75">
      <c r="D22104" s="67"/>
      <c r="G22104" s="68"/>
      <c r="K22104" s="68"/>
    </row>
    <row r="22105" spans="4:11" ht="12.75">
      <c r="D22105" s="67"/>
      <c r="G22105" s="68"/>
      <c r="K22105" s="68"/>
    </row>
    <row r="22106" spans="4:11" ht="12.75">
      <c r="D22106" s="67"/>
      <c r="G22106" s="68"/>
      <c r="K22106" s="68"/>
    </row>
    <row r="22107" spans="4:11" ht="12.75">
      <c r="D22107" s="67"/>
      <c r="G22107" s="68"/>
      <c r="K22107" s="68"/>
    </row>
    <row r="22108" spans="4:11" ht="12.75">
      <c r="D22108" s="67"/>
      <c r="G22108" s="68"/>
      <c r="K22108" s="68"/>
    </row>
    <row r="22109" spans="4:11" ht="12.75">
      <c r="D22109" s="67"/>
      <c r="G22109" s="68"/>
      <c r="K22109" s="68"/>
    </row>
    <row r="22110" spans="4:11" ht="12.75">
      <c r="D22110" s="67"/>
      <c r="G22110" s="68"/>
      <c r="K22110" s="68"/>
    </row>
    <row r="22111" spans="4:11" ht="12.75">
      <c r="D22111" s="67"/>
      <c r="G22111" s="68"/>
      <c r="K22111" s="68"/>
    </row>
    <row r="22112" spans="4:11" ht="12.75">
      <c r="D22112" s="67"/>
      <c r="G22112" s="68"/>
      <c r="K22112" s="68"/>
    </row>
    <row r="22113" spans="4:11" ht="12.75">
      <c r="D22113" s="67"/>
      <c r="G22113" s="68"/>
      <c r="K22113" s="68"/>
    </row>
    <row r="22114" spans="4:11" ht="12.75">
      <c r="D22114" s="67"/>
      <c r="G22114" s="68"/>
      <c r="K22114" s="68"/>
    </row>
    <row r="22115" spans="4:11" ht="12.75">
      <c r="D22115" s="67"/>
      <c r="G22115" s="68"/>
      <c r="K22115" s="68"/>
    </row>
    <row r="22116" spans="4:11" ht="12.75">
      <c r="D22116" s="67"/>
      <c r="G22116" s="68"/>
      <c r="K22116" s="68"/>
    </row>
    <row r="22117" spans="4:11" ht="12.75">
      <c r="D22117" s="67"/>
      <c r="G22117" s="68"/>
      <c r="K22117" s="68"/>
    </row>
    <row r="22118" spans="4:11" ht="12.75">
      <c r="D22118" s="67"/>
      <c r="G22118" s="68"/>
      <c r="K22118" s="68"/>
    </row>
    <row r="22119" spans="4:11" ht="12.75">
      <c r="D22119" s="67"/>
      <c r="G22119" s="68"/>
      <c r="K22119" s="68"/>
    </row>
    <row r="22120" spans="4:11" ht="12.75">
      <c r="D22120" s="67"/>
      <c r="G22120" s="68"/>
      <c r="K22120" s="68"/>
    </row>
    <row r="22121" spans="4:11" ht="12.75">
      <c r="D22121" s="67"/>
      <c r="G22121" s="68"/>
      <c r="K22121" s="68"/>
    </row>
    <row r="22122" spans="4:11" ht="12.75">
      <c r="D22122" s="67"/>
      <c r="G22122" s="68"/>
      <c r="K22122" s="68"/>
    </row>
    <row r="22123" spans="4:11" ht="12.75">
      <c r="D22123" s="67"/>
      <c r="G22123" s="68"/>
      <c r="K22123" s="68"/>
    </row>
    <row r="22124" spans="4:11" ht="12.75">
      <c r="D22124" s="67"/>
      <c r="G22124" s="68"/>
      <c r="K22124" s="68"/>
    </row>
    <row r="22125" spans="4:11" ht="12.75">
      <c r="D22125" s="67"/>
      <c r="G22125" s="68"/>
      <c r="K22125" s="68"/>
    </row>
    <row r="22126" spans="4:11" ht="12.75">
      <c r="D22126" s="67"/>
      <c r="G22126" s="68"/>
      <c r="K22126" s="68"/>
    </row>
    <row r="22127" spans="4:11" ht="12.75">
      <c r="D22127" s="67"/>
      <c r="G22127" s="68"/>
      <c r="K22127" s="68"/>
    </row>
    <row r="22128" spans="4:11" ht="12.75">
      <c r="D22128" s="67"/>
      <c r="G22128" s="68"/>
      <c r="K22128" s="68"/>
    </row>
    <row r="22129" spans="4:11" ht="12.75">
      <c r="D22129" s="67"/>
      <c r="G22129" s="68"/>
      <c r="K22129" s="68"/>
    </row>
    <row r="22130" spans="4:11" ht="12.75">
      <c r="D22130" s="67"/>
      <c r="G22130" s="68"/>
      <c r="K22130" s="68"/>
    </row>
    <row r="22131" spans="4:11" ht="12.75">
      <c r="D22131" s="67"/>
      <c r="G22131" s="68"/>
      <c r="K22131" s="68"/>
    </row>
    <row r="22132" spans="4:11" ht="12.75">
      <c r="D22132" s="67"/>
      <c r="G22132" s="68"/>
      <c r="K22132" s="68"/>
    </row>
    <row r="22133" spans="4:11" ht="12.75">
      <c r="D22133" s="67"/>
      <c r="G22133" s="68"/>
      <c r="K22133" s="68"/>
    </row>
    <row r="22134" spans="4:11" ht="12.75">
      <c r="D22134" s="67"/>
      <c r="G22134" s="68"/>
      <c r="K22134" s="68"/>
    </row>
    <row r="22135" spans="4:11" ht="12.75">
      <c r="D22135" s="67"/>
      <c r="G22135" s="68"/>
      <c r="K22135" s="68"/>
    </row>
    <row r="22136" spans="4:11" ht="12.75">
      <c r="D22136" s="67"/>
      <c r="G22136" s="68"/>
      <c r="K22136" s="68"/>
    </row>
    <row r="22137" spans="4:11" ht="12.75">
      <c r="D22137" s="67"/>
      <c r="G22137" s="68"/>
      <c r="K22137" s="68"/>
    </row>
    <row r="22138" spans="4:11" ht="12.75">
      <c r="D22138" s="67"/>
      <c r="G22138" s="68"/>
      <c r="K22138" s="68"/>
    </row>
    <row r="22139" spans="4:11" ht="12.75">
      <c r="D22139" s="67"/>
      <c r="G22139" s="68"/>
      <c r="K22139" s="68"/>
    </row>
    <row r="22140" spans="4:11" ht="12.75">
      <c r="D22140" s="67"/>
      <c r="G22140" s="68"/>
      <c r="K22140" s="68"/>
    </row>
    <row r="22141" spans="4:11" ht="12.75">
      <c r="D22141" s="67"/>
      <c r="G22141" s="68"/>
      <c r="K22141" s="68"/>
    </row>
    <row r="22142" spans="4:11" ht="12.75">
      <c r="D22142" s="67"/>
      <c r="G22142" s="68"/>
      <c r="K22142" s="68"/>
    </row>
    <row r="22143" spans="4:11" ht="12.75">
      <c r="D22143" s="67"/>
      <c r="G22143" s="68"/>
      <c r="K22143" s="68"/>
    </row>
    <row r="22144" spans="4:11" ht="12.75">
      <c r="D22144" s="67"/>
      <c r="G22144" s="68"/>
      <c r="K22144" s="68"/>
    </row>
    <row r="22145" spans="4:11" ht="12.75">
      <c r="D22145" s="67"/>
      <c r="G22145" s="68"/>
      <c r="K22145" s="68"/>
    </row>
    <row r="22146" spans="4:11" ht="12.75">
      <c r="D22146" s="67"/>
      <c r="G22146" s="68"/>
      <c r="K22146" s="68"/>
    </row>
    <row r="22147" spans="4:11" ht="12.75">
      <c r="D22147" s="67"/>
      <c r="G22147" s="68"/>
      <c r="K22147" s="68"/>
    </row>
    <row r="22148" spans="4:11" ht="12.75">
      <c r="D22148" s="67"/>
      <c r="G22148" s="68"/>
      <c r="K22148" s="68"/>
    </row>
    <row r="22149" spans="4:11" ht="12.75">
      <c r="D22149" s="67"/>
      <c r="G22149" s="68"/>
      <c r="K22149" s="68"/>
    </row>
    <row r="22150" spans="4:11" ht="12.75">
      <c r="D22150" s="67"/>
      <c r="G22150" s="68"/>
      <c r="K22150" s="68"/>
    </row>
    <row r="22151" spans="4:11" ht="12.75">
      <c r="D22151" s="67"/>
      <c r="G22151" s="68"/>
      <c r="K22151" s="68"/>
    </row>
    <row r="22152" spans="4:11" ht="12.75">
      <c r="D22152" s="67"/>
      <c r="G22152" s="68"/>
      <c r="K22152" s="68"/>
    </row>
    <row r="22153" spans="4:11" ht="12.75">
      <c r="D22153" s="67"/>
      <c r="G22153" s="68"/>
      <c r="K22153" s="68"/>
    </row>
    <row r="22154" spans="4:11" ht="12.75">
      <c r="D22154" s="67"/>
      <c r="G22154" s="68"/>
      <c r="K22154" s="68"/>
    </row>
    <row r="22155" spans="4:11" ht="12.75">
      <c r="D22155" s="67"/>
      <c r="G22155" s="68"/>
      <c r="K22155" s="68"/>
    </row>
    <row r="22156" spans="4:11" ht="12.75">
      <c r="D22156" s="67"/>
      <c r="G22156" s="68"/>
      <c r="K22156" s="68"/>
    </row>
    <row r="22157" spans="4:11" ht="12.75">
      <c r="D22157" s="67"/>
      <c r="G22157" s="68"/>
      <c r="K22157" s="68"/>
    </row>
    <row r="22158" spans="4:11" ht="12.75">
      <c r="D22158" s="67"/>
      <c r="G22158" s="68"/>
      <c r="K22158" s="68"/>
    </row>
    <row r="22159" spans="4:11" ht="12.75">
      <c r="D22159" s="67"/>
      <c r="G22159" s="68"/>
      <c r="K22159" s="68"/>
    </row>
    <row r="22160" spans="4:11" ht="12.75">
      <c r="D22160" s="67"/>
      <c r="G22160" s="68"/>
      <c r="K22160" s="68"/>
    </row>
    <row r="22161" spans="4:11" ht="12.75">
      <c r="D22161" s="67"/>
      <c r="G22161" s="68"/>
      <c r="K22161" s="68"/>
    </row>
    <row r="22162" spans="4:11" ht="12.75">
      <c r="D22162" s="67"/>
      <c r="G22162" s="68"/>
      <c r="K22162" s="68"/>
    </row>
    <row r="22163" spans="4:11" ht="12.75">
      <c r="D22163" s="67"/>
      <c r="G22163" s="68"/>
      <c r="K22163" s="68"/>
    </row>
    <row r="22164" spans="4:11" ht="12.75">
      <c r="D22164" s="67"/>
      <c r="G22164" s="68"/>
      <c r="K22164" s="68"/>
    </row>
    <row r="22165" spans="4:11" ht="12.75">
      <c r="D22165" s="67"/>
      <c r="G22165" s="68"/>
      <c r="K22165" s="68"/>
    </row>
    <row r="22166" spans="4:11" ht="12.75">
      <c r="D22166" s="67"/>
      <c r="G22166" s="68"/>
      <c r="K22166" s="68"/>
    </row>
    <row r="22167" spans="4:11" ht="12.75">
      <c r="D22167" s="67"/>
      <c r="G22167" s="68"/>
      <c r="K22167" s="68"/>
    </row>
    <row r="22168" spans="4:11" ht="12.75">
      <c r="D22168" s="67"/>
      <c r="G22168" s="68"/>
      <c r="K22168" s="68"/>
    </row>
    <row r="22169" spans="4:11" ht="12.75">
      <c r="D22169" s="67"/>
      <c r="G22169" s="68"/>
      <c r="K22169" s="68"/>
    </row>
    <row r="22170" spans="4:11" ht="12.75">
      <c r="D22170" s="67"/>
      <c r="G22170" s="68"/>
      <c r="K22170" s="68"/>
    </row>
    <row r="22171" spans="4:11" ht="12.75">
      <c r="D22171" s="67"/>
      <c r="G22171" s="68"/>
      <c r="K22171" s="68"/>
    </row>
    <row r="22172" spans="4:11" ht="12.75">
      <c r="D22172" s="67"/>
      <c r="G22172" s="68"/>
      <c r="K22172" s="68"/>
    </row>
    <row r="22173" spans="4:11" ht="12.75">
      <c r="D22173" s="67"/>
      <c r="G22173" s="68"/>
      <c r="K22173" s="68"/>
    </row>
    <row r="22174" spans="4:11" ht="12.75">
      <c r="D22174" s="67"/>
      <c r="G22174" s="68"/>
      <c r="K22174" s="68"/>
    </row>
    <row r="22175" spans="4:11" ht="12.75">
      <c r="D22175" s="67"/>
      <c r="G22175" s="68"/>
      <c r="K22175" s="68"/>
    </row>
    <row r="22176" spans="4:11" ht="12.75">
      <c r="D22176" s="67"/>
      <c r="G22176" s="68"/>
      <c r="K22176" s="68"/>
    </row>
    <row r="22177" spans="4:11" ht="12.75">
      <c r="D22177" s="67"/>
      <c r="G22177" s="68"/>
      <c r="K22177" s="68"/>
    </row>
    <row r="22178" spans="4:11" ht="12.75">
      <c r="D22178" s="67"/>
      <c r="G22178" s="68"/>
      <c r="K22178" s="68"/>
    </row>
    <row r="22179" spans="4:11" ht="12.75">
      <c r="D22179" s="67"/>
      <c r="G22179" s="68"/>
      <c r="K22179" s="68"/>
    </row>
    <row r="22180" spans="4:11" ht="12.75">
      <c r="D22180" s="67"/>
      <c r="G22180" s="68"/>
      <c r="K22180" s="68"/>
    </row>
    <row r="22181" spans="4:11" ht="12.75">
      <c r="D22181" s="67"/>
      <c r="G22181" s="68"/>
      <c r="K22181" s="68"/>
    </row>
    <row r="22182" spans="4:11" ht="12.75">
      <c r="D22182" s="67"/>
      <c r="G22182" s="68"/>
      <c r="K22182" s="68"/>
    </row>
    <row r="22183" spans="4:11" ht="12.75">
      <c r="D22183" s="67"/>
      <c r="G22183" s="68"/>
      <c r="K22183" s="68"/>
    </row>
    <row r="22184" spans="4:11" ht="12.75">
      <c r="D22184" s="67"/>
      <c r="G22184" s="68"/>
      <c r="K22184" s="68"/>
    </row>
    <row r="22185" spans="4:11" ht="12.75">
      <c r="D22185" s="67"/>
      <c r="G22185" s="68"/>
      <c r="K22185" s="68"/>
    </row>
    <row r="22186" spans="4:11" ht="12.75">
      <c r="D22186" s="67"/>
      <c r="G22186" s="68"/>
      <c r="K22186" s="68"/>
    </row>
    <row r="22187" spans="4:11" ht="12.75">
      <c r="D22187" s="67"/>
      <c r="G22187" s="68"/>
      <c r="K22187" s="68"/>
    </row>
    <row r="22188" spans="4:11" ht="12.75">
      <c r="D22188" s="67"/>
      <c r="G22188" s="68"/>
      <c r="K22188" s="68"/>
    </row>
    <row r="22189" spans="4:11" ht="12.75">
      <c r="D22189" s="67"/>
      <c r="G22189" s="68"/>
      <c r="K22189" s="68"/>
    </row>
    <row r="22190" spans="4:11" ht="12.75">
      <c r="D22190" s="67"/>
      <c r="G22190" s="68"/>
      <c r="K22190" s="68"/>
    </row>
    <row r="22191" spans="4:11" ht="12.75">
      <c r="D22191" s="67"/>
      <c r="G22191" s="68"/>
      <c r="K22191" s="68"/>
    </row>
    <row r="22192" spans="4:11" ht="12.75">
      <c r="D22192" s="67"/>
      <c r="G22192" s="68"/>
      <c r="K22192" s="68"/>
    </row>
    <row r="22193" spans="4:11" ht="12.75">
      <c r="D22193" s="67"/>
      <c r="G22193" s="68"/>
      <c r="K22193" s="68"/>
    </row>
    <row r="22194" spans="4:11" ht="12.75">
      <c r="D22194" s="67"/>
      <c r="G22194" s="68"/>
      <c r="K22194" s="68"/>
    </row>
    <row r="22195" spans="4:11" ht="12.75">
      <c r="D22195" s="67"/>
      <c r="G22195" s="68"/>
      <c r="K22195" s="68"/>
    </row>
    <row r="22196" spans="4:11" ht="12.75">
      <c r="D22196" s="67"/>
      <c r="G22196" s="68"/>
      <c r="K22196" s="68"/>
    </row>
    <row r="22197" spans="4:11" ht="12.75">
      <c r="D22197" s="67"/>
      <c r="G22197" s="68"/>
      <c r="K22197" s="68"/>
    </row>
    <row r="22198" spans="4:11" ht="12.75">
      <c r="D22198" s="67"/>
      <c r="G22198" s="68"/>
      <c r="K22198" s="68"/>
    </row>
    <row r="22199" spans="4:11" ht="12.75">
      <c r="D22199" s="67"/>
      <c r="G22199" s="68"/>
      <c r="K22199" s="68"/>
    </row>
    <row r="22200" spans="4:11" ht="12.75">
      <c r="D22200" s="67"/>
      <c r="G22200" s="68"/>
      <c r="K22200" s="68"/>
    </row>
    <row r="22201" spans="4:11" ht="12.75">
      <c r="D22201" s="67"/>
      <c r="G22201" s="68"/>
      <c r="K22201" s="68"/>
    </row>
    <row r="22202" spans="4:11" ht="12.75">
      <c r="D22202" s="67"/>
      <c r="G22202" s="68"/>
      <c r="K22202" s="68"/>
    </row>
    <row r="22203" spans="4:11" ht="12.75">
      <c r="D22203" s="67"/>
      <c r="G22203" s="68"/>
      <c r="K22203" s="68"/>
    </row>
    <row r="22204" spans="4:11" ht="12.75">
      <c r="D22204" s="67"/>
      <c r="G22204" s="68"/>
      <c r="K22204" s="68"/>
    </row>
    <row r="22205" spans="4:11" ht="12.75">
      <c r="D22205" s="67"/>
      <c r="G22205" s="68"/>
      <c r="K22205" s="68"/>
    </row>
    <row r="22206" spans="4:11" ht="12.75">
      <c r="D22206" s="67"/>
      <c r="G22206" s="68"/>
      <c r="K22206" s="68"/>
    </row>
    <row r="22207" spans="4:11" ht="12.75">
      <c r="D22207" s="67"/>
      <c r="G22207" s="68"/>
      <c r="K22207" s="68"/>
    </row>
    <row r="22208" spans="4:11" ht="12.75">
      <c r="D22208" s="67"/>
      <c r="G22208" s="68"/>
      <c r="K22208" s="68"/>
    </row>
    <row r="22209" spans="4:11" ht="12.75">
      <c r="D22209" s="67"/>
      <c r="G22209" s="68"/>
      <c r="K22209" s="68"/>
    </row>
    <row r="22210" spans="4:11" ht="12.75">
      <c r="D22210" s="67"/>
      <c r="G22210" s="68"/>
      <c r="K22210" s="68"/>
    </row>
    <row r="22211" spans="4:11" ht="12.75">
      <c r="D22211" s="67"/>
      <c r="G22211" s="68"/>
      <c r="K22211" s="68"/>
    </row>
    <row r="22212" spans="4:11" ht="12.75">
      <c r="D22212" s="67"/>
      <c r="G22212" s="68"/>
      <c r="K22212" s="68"/>
    </row>
    <row r="22213" spans="4:11" ht="12.75">
      <c r="D22213" s="67"/>
      <c r="G22213" s="68"/>
      <c r="K22213" s="68"/>
    </row>
    <row r="22214" spans="4:11" ht="12.75">
      <c r="D22214" s="67"/>
      <c r="G22214" s="68"/>
      <c r="K22214" s="68"/>
    </row>
    <row r="22215" spans="4:11" ht="12.75">
      <c r="D22215" s="67"/>
      <c r="G22215" s="68"/>
      <c r="K22215" s="68"/>
    </row>
    <row r="22216" spans="4:11" ht="12.75">
      <c r="D22216" s="67"/>
      <c r="G22216" s="68"/>
      <c r="K22216" s="68"/>
    </row>
    <row r="22217" spans="4:11" ht="12.75">
      <c r="D22217" s="67"/>
      <c r="G22217" s="68"/>
      <c r="K22217" s="68"/>
    </row>
    <row r="22218" spans="4:11" ht="12.75">
      <c r="D22218" s="67"/>
      <c r="G22218" s="68"/>
      <c r="K22218" s="68"/>
    </row>
    <row r="22219" spans="4:11" ht="12.75">
      <c r="D22219" s="67"/>
      <c r="G22219" s="68"/>
      <c r="K22219" s="68"/>
    </row>
    <row r="22220" spans="4:11" ht="12.75">
      <c r="D22220" s="67"/>
      <c r="G22220" s="68"/>
      <c r="K22220" s="68"/>
    </row>
    <row r="22221" spans="4:11" ht="12.75">
      <c r="D22221" s="67"/>
      <c r="G22221" s="68"/>
      <c r="K22221" s="68"/>
    </row>
    <row r="22222" spans="4:11" ht="12.75">
      <c r="D22222" s="67"/>
      <c r="G22222" s="68"/>
      <c r="K22222" s="68"/>
    </row>
    <row r="22223" spans="4:11" ht="12.75">
      <c r="D22223" s="67"/>
      <c r="G22223" s="68"/>
      <c r="K22223" s="68"/>
    </row>
    <row r="22224" spans="4:11" ht="12.75">
      <c r="D22224" s="67"/>
      <c r="G22224" s="68"/>
      <c r="K22224" s="68"/>
    </row>
    <row r="22225" spans="4:11" ht="12.75">
      <c r="D22225" s="67"/>
      <c r="G22225" s="68"/>
      <c r="K22225" s="68"/>
    </row>
    <row r="22226" spans="4:11" ht="12.75">
      <c r="D22226" s="67"/>
      <c r="G22226" s="68"/>
      <c r="K22226" s="68"/>
    </row>
    <row r="22227" spans="4:11" ht="12.75">
      <c r="D22227" s="67"/>
      <c r="G22227" s="68"/>
      <c r="K22227" s="68"/>
    </row>
    <row r="22228" spans="4:11" ht="12.75">
      <c r="D22228" s="67"/>
      <c r="G22228" s="68"/>
      <c r="K22228" s="68"/>
    </row>
    <row r="22229" spans="4:11" ht="12.75">
      <c r="D22229" s="67"/>
      <c r="G22229" s="68"/>
      <c r="K22229" s="68"/>
    </row>
    <row r="22230" spans="4:11" ht="12.75">
      <c r="D22230" s="67"/>
      <c r="G22230" s="68"/>
      <c r="K22230" s="68"/>
    </row>
    <row r="22231" spans="4:11" ht="12.75">
      <c r="D22231" s="67"/>
      <c r="G22231" s="68"/>
      <c r="K22231" s="68"/>
    </row>
    <row r="22232" spans="4:11" ht="12.75">
      <c r="D22232" s="67"/>
      <c r="G22232" s="68"/>
      <c r="K22232" s="68"/>
    </row>
    <row r="22233" spans="4:11" ht="12.75">
      <c r="D22233" s="67"/>
      <c r="G22233" s="68"/>
      <c r="K22233" s="68"/>
    </row>
    <row r="22234" spans="4:11" ht="12.75">
      <c r="D22234" s="67"/>
      <c r="G22234" s="68"/>
      <c r="K22234" s="68"/>
    </row>
    <row r="22235" spans="4:11" ht="12.75">
      <c r="D22235" s="67"/>
      <c r="G22235" s="68"/>
      <c r="K22235" s="68"/>
    </row>
    <row r="22236" spans="4:11" ht="12.75">
      <c r="D22236" s="67"/>
      <c r="G22236" s="68"/>
      <c r="K22236" s="68"/>
    </row>
    <row r="22237" spans="4:11" ht="12.75">
      <c r="D22237" s="67"/>
      <c r="G22237" s="68"/>
      <c r="K22237" s="68"/>
    </row>
    <row r="22238" spans="4:11" ht="12.75">
      <c r="D22238" s="67"/>
      <c r="G22238" s="68"/>
      <c r="K22238" s="68"/>
    </row>
    <row r="22239" spans="4:11" ht="12.75">
      <c r="D22239" s="67"/>
      <c r="G22239" s="68"/>
      <c r="K22239" s="68"/>
    </row>
    <row r="22240" spans="4:11" ht="12.75">
      <c r="D22240" s="67"/>
      <c r="G22240" s="68"/>
      <c r="K22240" s="68"/>
    </row>
    <row r="22241" spans="4:11" ht="12.75">
      <c r="D22241" s="67"/>
      <c r="G22241" s="68"/>
      <c r="K22241" s="68"/>
    </row>
    <row r="22242" spans="4:11" ht="12.75">
      <c r="D22242" s="67"/>
      <c r="G22242" s="68"/>
      <c r="K22242" s="68"/>
    </row>
    <row r="22243" spans="4:11" ht="12.75">
      <c r="D22243" s="67"/>
      <c r="G22243" s="68"/>
      <c r="K22243" s="68"/>
    </row>
    <row r="22244" spans="4:11" ht="12.75">
      <c r="D22244" s="67"/>
      <c r="G22244" s="68"/>
      <c r="K22244" s="68"/>
    </row>
    <row r="22245" spans="4:11" ht="12.75">
      <c r="D22245" s="67"/>
      <c r="G22245" s="68"/>
      <c r="K22245" s="68"/>
    </row>
    <row r="22246" spans="4:11" ht="12.75">
      <c r="D22246" s="67"/>
      <c r="G22246" s="68"/>
      <c r="K22246" s="68"/>
    </row>
    <row r="22247" spans="4:11" ht="12.75">
      <c r="D22247" s="67"/>
      <c r="G22247" s="68"/>
      <c r="K22247" s="68"/>
    </row>
    <row r="22248" spans="4:11" ht="12.75">
      <c r="D22248" s="67"/>
      <c r="G22248" s="68"/>
      <c r="K22248" s="68"/>
    </row>
    <row r="22249" spans="4:11" ht="12.75">
      <c r="D22249" s="67"/>
      <c r="G22249" s="68"/>
      <c r="K22249" s="68"/>
    </row>
    <row r="22250" spans="4:11" ht="12.75">
      <c r="D22250" s="67"/>
      <c r="G22250" s="68"/>
      <c r="K22250" s="68"/>
    </row>
    <row r="22251" spans="4:11" ht="12.75">
      <c r="D22251" s="67"/>
      <c r="G22251" s="68"/>
      <c r="K22251" s="68"/>
    </row>
    <row r="22252" spans="4:11" ht="12.75">
      <c r="D22252" s="67"/>
      <c r="G22252" s="68"/>
      <c r="K22252" s="68"/>
    </row>
    <row r="22253" spans="4:11" ht="12.75">
      <c r="D22253" s="67"/>
      <c r="G22253" s="68"/>
      <c r="K22253" s="68"/>
    </row>
    <row r="22254" spans="4:11" ht="12.75">
      <c r="D22254" s="67"/>
      <c r="G22254" s="68"/>
      <c r="K22254" s="68"/>
    </row>
    <row r="22255" spans="4:11" ht="12.75">
      <c r="D22255" s="67"/>
      <c r="G22255" s="68"/>
      <c r="K22255" s="68"/>
    </row>
    <row r="22256" spans="4:11" ht="12.75">
      <c r="D22256" s="67"/>
      <c r="G22256" s="68"/>
      <c r="K22256" s="68"/>
    </row>
    <row r="22257" spans="4:11" ht="12.75">
      <c r="D22257" s="67"/>
      <c r="G22257" s="68"/>
      <c r="K22257" s="68"/>
    </row>
    <row r="22258" spans="4:11" ht="12.75">
      <c r="D22258" s="67"/>
      <c r="G22258" s="68"/>
      <c r="K22258" s="68"/>
    </row>
    <row r="22259" spans="4:11" ht="12.75">
      <c r="D22259" s="67"/>
      <c r="G22259" s="68"/>
      <c r="K22259" s="68"/>
    </row>
    <row r="22260" spans="4:11" ht="12.75">
      <c r="D22260" s="67"/>
      <c r="G22260" s="68"/>
      <c r="K22260" s="68"/>
    </row>
    <row r="22261" spans="4:11" ht="12.75">
      <c r="D22261" s="67"/>
      <c r="G22261" s="68"/>
      <c r="K22261" s="68"/>
    </row>
    <row r="22262" spans="4:11" ht="12.75">
      <c r="D22262" s="67"/>
      <c r="G22262" s="68"/>
      <c r="K22262" s="68"/>
    </row>
    <row r="22263" spans="4:11" ht="12.75">
      <c r="D22263" s="67"/>
      <c r="G22263" s="68"/>
      <c r="K22263" s="68"/>
    </row>
    <row r="22264" spans="4:11" ht="12.75">
      <c r="D22264" s="67"/>
      <c r="G22264" s="68"/>
      <c r="K22264" s="68"/>
    </row>
    <row r="22265" spans="4:11" ht="12.75">
      <c r="D22265" s="67"/>
      <c r="G22265" s="68"/>
      <c r="K22265" s="68"/>
    </row>
    <row r="22266" spans="4:11" ht="12.75">
      <c r="D22266" s="67"/>
      <c r="G22266" s="68"/>
      <c r="K22266" s="68"/>
    </row>
    <row r="22267" spans="4:11" ht="12.75">
      <c r="D22267" s="67"/>
      <c r="G22267" s="68"/>
      <c r="K22267" s="68"/>
    </row>
    <row r="22268" spans="4:11" ht="12.75">
      <c r="D22268" s="67"/>
      <c r="G22268" s="68"/>
      <c r="K22268" s="68"/>
    </row>
    <row r="22269" spans="4:11" ht="12.75">
      <c r="D22269" s="67"/>
      <c r="G22269" s="68"/>
      <c r="K22269" s="68"/>
    </row>
    <row r="22270" spans="4:11" ht="12.75">
      <c r="D22270" s="67"/>
      <c r="G22270" s="68"/>
      <c r="K22270" s="68"/>
    </row>
    <row r="22271" spans="4:11" ht="12.75">
      <c r="D22271" s="67"/>
      <c r="G22271" s="68"/>
      <c r="K22271" s="68"/>
    </row>
    <row r="22272" spans="4:11" ht="12.75">
      <c r="D22272" s="67"/>
      <c r="G22272" s="68"/>
      <c r="K22272" s="68"/>
    </row>
    <row r="22273" spans="4:11" ht="12.75">
      <c r="D22273" s="67"/>
      <c r="G22273" s="68"/>
      <c r="K22273" s="68"/>
    </row>
    <row r="22274" spans="4:11" ht="12.75">
      <c r="D22274" s="67"/>
      <c r="G22274" s="68"/>
      <c r="K22274" s="68"/>
    </row>
    <row r="22275" spans="4:11" ht="12.75">
      <c r="D22275" s="67"/>
      <c r="G22275" s="68"/>
      <c r="K22275" s="68"/>
    </row>
    <row r="22276" spans="4:11" ht="12.75">
      <c r="D22276" s="67"/>
      <c r="G22276" s="68"/>
      <c r="K22276" s="68"/>
    </row>
    <row r="22277" spans="4:11" ht="12.75">
      <c r="D22277" s="67"/>
      <c r="G22277" s="68"/>
      <c r="K22277" s="68"/>
    </row>
    <row r="22278" spans="4:11" ht="12.75">
      <c r="D22278" s="67"/>
      <c r="G22278" s="68"/>
      <c r="K22278" s="68"/>
    </row>
    <row r="22279" spans="4:11" ht="12.75">
      <c r="D22279" s="67"/>
      <c r="G22279" s="68"/>
      <c r="K22279" s="68"/>
    </row>
    <row r="22280" spans="4:11" ht="12.75">
      <c r="D22280" s="67"/>
      <c r="G22280" s="68"/>
      <c r="K22280" s="68"/>
    </row>
    <row r="22281" spans="4:11" ht="12.75">
      <c r="D22281" s="67"/>
      <c r="G22281" s="68"/>
      <c r="K22281" s="68"/>
    </row>
    <row r="22282" spans="4:11" ht="12.75">
      <c r="D22282" s="67"/>
      <c r="G22282" s="68"/>
      <c r="K22282" s="68"/>
    </row>
    <row r="22283" spans="4:11" ht="12.75">
      <c r="D22283" s="67"/>
      <c r="G22283" s="68"/>
      <c r="K22283" s="68"/>
    </row>
    <row r="22284" spans="4:11" ht="12.75">
      <c r="D22284" s="67"/>
      <c r="G22284" s="68"/>
      <c r="K22284" s="68"/>
    </row>
    <row r="22285" spans="4:11" ht="12.75">
      <c r="D22285" s="67"/>
      <c r="G22285" s="68"/>
      <c r="K22285" s="68"/>
    </row>
    <row r="22286" spans="4:11" ht="12.75">
      <c r="D22286" s="67"/>
      <c r="G22286" s="68"/>
      <c r="K22286" s="68"/>
    </row>
    <row r="22287" spans="4:11" ht="12.75">
      <c r="D22287" s="67"/>
      <c r="G22287" s="68"/>
      <c r="K22287" s="68"/>
    </row>
    <row r="22288" spans="4:11" ht="12.75">
      <c r="D22288" s="67"/>
      <c r="G22288" s="68"/>
      <c r="K22288" s="68"/>
    </row>
    <row r="22289" spans="4:11" ht="12.75">
      <c r="D22289" s="67"/>
      <c r="G22289" s="68"/>
      <c r="K22289" s="68"/>
    </row>
    <row r="22290" spans="4:11" ht="12.75">
      <c r="D22290" s="67"/>
      <c r="G22290" s="68"/>
      <c r="K22290" s="68"/>
    </row>
    <row r="22291" spans="4:11" ht="12.75">
      <c r="D22291" s="67"/>
      <c r="G22291" s="68"/>
      <c r="K22291" s="68"/>
    </row>
    <row r="22292" spans="4:11" ht="12.75">
      <c r="D22292" s="67"/>
      <c r="G22292" s="68"/>
      <c r="K22292" s="68"/>
    </row>
    <row r="22293" spans="4:11" ht="12.75">
      <c r="D22293" s="67"/>
      <c r="G22293" s="68"/>
      <c r="K22293" s="68"/>
    </row>
    <row r="22294" spans="4:11" ht="12.75">
      <c r="D22294" s="67"/>
      <c r="G22294" s="68"/>
      <c r="K22294" s="68"/>
    </row>
    <row r="22295" spans="4:11" ht="12.75">
      <c r="D22295" s="67"/>
      <c r="G22295" s="68"/>
      <c r="K22295" s="68"/>
    </row>
    <row r="22296" spans="4:11" ht="12.75">
      <c r="D22296" s="67"/>
      <c r="G22296" s="68"/>
      <c r="K22296" s="68"/>
    </row>
    <row r="22297" spans="4:11" ht="12.75">
      <c r="D22297" s="67"/>
      <c r="G22297" s="68"/>
      <c r="K22297" s="68"/>
    </row>
    <row r="22298" spans="4:11" ht="12.75">
      <c r="D22298" s="67"/>
      <c r="G22298" s="68"/>
      <c r="K22298" s="68"/>
    </row>
    <row r="22299" spans="4:11" ht="12.75">
      <c r="D22299" s="67"/>
      <c r="G22299" s="68"/>
      <c r="K22299" s="68"/>
    </row>
    <row r="22300" spans="4:11" ht="12.75">
      <c r="D22300" s="67"/>
      <c r="G22300" s="68"/>
      <c r="K22300" s="68"/>
    </row>
    <row r="22301" spans="4:11" ht="12.75">
      <c r="D22301" s="67"/>
      <c r="G22301" s="68"/>
      <c r="K22301" s="68"/>
    </row>
    <row r="22302" spans="4:11" ht="12.75">
      <c r="D22302" s="67"/>
      <c r="G22302" s="68"/>
      <c r="K22302" s="68"/>
    </row>
    <row r="22303" spans="4:11" ht="12.75">
      <c r="D22303" s="67"/>
      <c r="G22303" s="68"/>
      <c r="K22303" s="68"/>
    </row>
    <row r="22304" spans="4:11" ht="12.75">
      <c r="D22304" s="67"/>
      <c r="G22304" s="68"/>
      <c r="K22304" s="68"/>
    </row>
    <row r="22305" spans="4:11" ht="12.75">
      <c r="D22305" s="67"/>
      <c r="G22305" s="68"/>
      <c r="K22305" s="68"/>
    </row>
    <row r="22306" spans="4:11" ht="12.75">
      <c r="D22306" s="67"/>
      <c r="G22306" s="68"/>
      <c r="K22306" s="68"/>
    </row>
    <row r="22307" spans="4:11" ht="12.75">
      <c r="D22307" s="67"/>
      <c r="G22307" s="68"/>
      <c r="K22307" s="68"/>
    </row>
    <row r="22308" spans="4:11" ht="12.75">
      <c r="D22308" s="67"/>
      <c r="G22308" s="68"/>
      <c r="K22308" s="68"/>
    </row>
    <row r="22309" spans="4:11" ht="12.75">
      <c r="D22309" s="67"/>
      <c r="G22309" s="68"/>
      <c r="K22309" s="68"/>
    </row>
    <row r="22310" spans="4:11" ht="12.75">
      <c r="D22310" s="67"/>
      <c r="G22310" s="68"/>
      <c r="K22310" s="68"/>
    </row>
    <row r="22311" spans="4:11" ht="12.75">
      <c r="D22311" s="67"/>
      <c r="G22311" s="68"/>
      <c r="K22311" s="68"/>
    </row>
    <row r="22312" spans="4:11" ht="12.75">
      <c r="D22312" s="67"/>
      <c r="G22312" s="68"/>
      <c r="K22312" s="68"/>
    </row>
    <row r="22313" spans="4:11" ht="12.75">
      <c r="D22313" s="67"/>
      <c r="G22313" s="68"/>
      <c r="K22313" s="68"/>
    </row>
    <row r="22314" spans="4:11" ht="12.75">
      <c r="D22314" s="67"/>
      <c r="G22314" s="68"/>
      <c r="K22314" s="68"/>
    </row>
    <row r="22315" spans="4:11" ht="12.75">
      <c r="D22315" s="67"/>
      <c r="G22315" s="68"/>
      <c r="K22315" s="68"/>
    </row>
    <row r="22316" spans="4:11" ht="12.75">
      <c r="D22316" s="67"/>
      <c r="G22316" s="68"/>
      <c r="K22316" s="68"/>
    </row>
    <row r="22317" spans="4:11" ht="12.75">
      <c r="D22317" s="67"/>
      <c r="G22317" s="68"/>
      <c r="K22317" s="68"/>
    </row>
    <row r="22318" spans="4:11" ht="12.75">
      <c r="D22318" s="67"/>
      <c r="G22318" s="68"/>
      <c r="K22318" s="68"/>
    </row>
    <row r="22319" spans="4:11" ht="12.75">
      <c r="D22319" s="67"/>
      <c r="G22319" s="68"/>
      <c r="K22319" s="68"/>
    </row>
    <row r="22320" spans="4:11" ht="12.75">
      <c r="D22320" s="67"/>
      <c r="G22320" s="68"/>
      <c r="K22320" s="68"/>
    </row>
    <row r="22321" spans="4:11" ht="12.75">
      <c r="D22321" s="67"/>
      <c r="G22321" s="68"/>
      <c r="K22321" s="68"/>
    </row>
    <row r="22322" spans="4:11" ht="12.75">
      <c r="D22322" s="67"/>
      <c r="G22322" s="68"/>
      <c r="K22322" s="68"/>
    </row>
    <row r="22323" spans="4:11" ht="12.75">
      <c r="D22323" s="67"/>
      <c r="G22323" s="68"/>
      <c r="K22323" s="68"/>
    </row>
    <row r="22324" spans="4:11" ht="12.75">
      <c r="D22324" s="67"/>
      <c r="G22324" s="68"/>
      <c r="K22324" s="68"/>
    </row>
    <row r="22325" spans="4:11" ht="12.75">
      <c r="D22325" s="67"/>
      <c r="G22325" s="68"/>
      <c r="K22325" s="68"/>
    </row>
    <row r="22326" spans="4:11" ht="12.75">
      <c r="D22326" s="67"/>
      <c r="G22326" s="68"/>
      <c r="K22326" s="68"/>
    </row>
    <row r="22327" spans="4:11" ht="12.75">
      <c r="D22327" s="67"/>
      <c r="G22327" s="68"/>
      <c r="K22327" s="68"/>
    </row>
    <row r="22328" spans="4:11" ht="12.75">
      <c r="D22328" s="67"/>
      <c r="G22328" s="68"/>
      <c r="K22328" s="68"/>
    </row>
    <row r="22329" spans="4:11" ht="12.75">
      <c r="D22329" s="67"/>
      <c r="G22329" s="68"/>
      <c r="K22329" s="68"/>
    </row>
    <row r="22330" spans="4:11" ht="12.75">
      <c r="D22330" s="67"/>
      <c r="G22330" s="68"/>
      <c r="K22330" s="68"/>
    </row>
    <row r="22331" spans="4:11" ht="12.75">
      <c r="D22331" s="67"/>
      <c r="G22331" s="68"/>
      <c r="K22331" s="68"/>
    </row>
    <row r="22332" spans="4:11" ht="12.75">
      <c r="D22332" s="67"/>
      <c r="G22332" s="68"/>
      <c r="K22332" s="68"/>
    </row>
    <row r="22333" spans="4:11" ht="12.75">
      <c r="D22333" s="67"/>
      <c r="G22333" s="68"/>
      <c r="K22333" s="68"/>
    </row>
    <row r="22334" spans="4:11" ht="12.75">
      <c r="D22334" s="67"/>
      <c r="G22334" s="68"/>
      <c r="K22334" s="68"/>
    </row>
    <row r="22335" spans="4:11" ht="12.75">
      <c r="D22335" s="67"/>
      <c r="G22335" s="68"/>
      <c r="K22335" s="68"/>
    </row>
    <row r="22336" spans="4:11" ht="12.75">
      <c r="D22336" s="67"/>
      <c r="G22336" s="68"/>
      <c r="K22336" s="68"/>
    </row>
    <row r="22337" spans="4:11" ht="12.75">
      <c r="D22337" s="67"/>
      <c r="G22337" s="68"/>
      <c r="K22337" s="68"/>
    </row>
    <row r="22338" spans="4:11" ht="12.75">
      <c r="D22338" s="67"/>
      <c r="G22338" s="68"/>
      <c r="K22338" s="68"/>
    </row>
    <row r="22339" spans="4:11" ht="12.75">
      <c r="D22339" s="67"/>
      <c r="G22339" s="68"/>
      <c r="K22339" s="68"/>
    </row>
    <row r="22340" spans="4:11" ht="12.75">
      <c r="D22340" s="67"/>
      <c r="G22340" s="68"/>
      <c r="K22340" s="68"/>
    </row>
    <row r="22341" spans="4:11" ht="12.75">
      <c r="D22341" s="67"/>
      <c r="G22341" s="68"/>
      <c r="K22341" s="68"/>
    </row>
    <row r="22342" spans="4:11" ht="12.75">
      <c r="D22342" s="67"/>
      <c r="G22342" s="68"/>
      <c r="K22342" s="68"/>
    </row>
    <row r="22343" spans="4:11" ht="12.75">
      <c r="D22343" s="67"/>
      <c r="G22343" s="68"/>
      <c r="K22343" s="68"/>
    </row>
    <row r="22344" spans="4:11" ht="12.75">
      <c r="D22344" s="67"/>
      <c r="G22344" s="68"/>
      <c r="K22344" s="68"/>
    </row>
    <row r="22345" spans="4:11" ht="12.75">
      <c r="D22345" s="67"/>
      <c r="G22345" s="68"/>
      <c r="K22345" s="68"/>
    </row>
    <row r="22346" spans="4:11" ht="12.75">
      <c r="D22346" s="67"/>
      <c r="G22346" s="68"/>
      <c r="K22346" s="68"/>
    </row>
    <row r="22347" spans="4:11" ht="12.75">
      <c r="D22347" s="67"/>
      <c r="G22347" s="68"/>
      <c r="K22347" s="68"/>
    </row>
    <row r="22348" spans="4:11" ht="12.75">
      <c r="D22348" s="67"/>
      <c r="G22348" s="68"/>
      <c r="K22348" s="68"/>
    </row>
    <row r="22349" spans="4:11" ht="12.75">
      <c r="D22349" s="67"/>
      <c r="G22349" s="68"/>
      <c r="K22349" s="68"/>
    </row>
    <row r="22350" spans="4:11" ht="12.75">
      <c r="D22350" s="67"/>
      <c r="G22350" s="68"/>
      <c r="K22350" s="68"/>
    </row>
    <row r="22351" spans="4:11" ht="12.75">
      <c r="D22351" s="67"/>
      <c r="G22351" s="68"/>
      <c r="K22351" s="68"/>
    </row>
    <row r="22352" spans="4:11" ht="12.75">
      <c r="D22352" s="67"/>
      <c r="G22352" s="68"/>
      <c r="K22352" s="68"/>
    </row>
    <row r="22353" spans="4:11" ht="12.75">
      <c r="D22353" s="67"/>
      <c r="G22353" s="68"/>
      <c r="K22353" s="68"/>
    </row>
    <row r="22354" spans="4:11" ht="12.75">
      <c r="D22354" s="67"/>
      <c r="G22354" s="68"/>
      <c r="K22354" s="68"/>
    </row>
    <row r="22355" spans="4:11" ht="12.75">
      <c r="D22355" s="67"/>
      <c r="G22355" s="68"/>
      <c r="K22355" s="68"/>
    </row>
    <row r="22356" spans="4:11" ht="12.75">
      <c r="D22356" s="67"/>
      <c r="G22356" s="68"/>
      <c r="K22356" s="68"/>
    </row>
    <row r="22357" spans="4:11" ht="12.75">
      <c r="D22357" s="67"/>
      <c r="G22357" s="68"/>
      <c r="K22357" s="68"/>
    </row>
    <row r="22358" spans="4:11" ht="12.75">
      <c r="D22358" s="67"/>
      <c r="G22358" s="68"/>
      <c r="K22358" s="68"/>
    </row>
    <row r="22359" spans="4:11" ht="12.75">
      <c r="D22359" s="67"/>
      <c r="G22359" s="68"/>
      <c r="K22359" s="68"/>
    </row>
    <row r="22360" spans="4:11" ht="12.75">
      <c r="D22360" s="67"/>
      <c r="G22360" s="68"/>
      <c r="K22360" s="68"/>
    </row>
    <row r="22361" spans="4:11" ht="12.75">
      <c r="D22361" s="67"/>
      <c r="G22361" s="68"/>
      <c r="K22361" s="68"/>
    </row>
    <row r="22362" spans="4:11" ht="12.75">
      <c r="D22362" s="67"/>
      <c r="G22362" s="68"/>
      <c r="K22362" s="68"/>
    </row>
    <row r="22363" spans="4:11" ht="12.75">
      <c r="D22363" s="67"/>
      <c r="G22363" s="68"/>
      <c r="K22363" s="68"/>
    </row>
    <row r="22364" spans="4:11" ht="12.75">
      <c r="D22364" s="67"/>
      <c r="G22364" s="68"/>
      <c r="K22364" s="68"/>
    </row>
    <row r="22365" spans="4:11" ht="12.75">
      <c r="D22365" s="67"/>
      <c r="G22365" s="68"/>
      <c r="K22365" s="68"/>
    </row>
    <row r="22366" spans="4:11" ht="12.75">
      <c r="D22366" s="67"/>
      <c r="G22366" s="68"/>
      <c r="K22366" s="68"/>
    </row>
    <row r="22367" spans="4:11" ht="12.75">
      <c r="D22367" s="67"/>
      <c r="G22367" s="68"/>
      <c r="K22367" s="68"/>
    </row>
    <row r="22368" spans="4:11" ht="12.75">
      <c r="D22368" s="67"/>
      <c r="G22368" s="68"/>
      <c r="K22368" s="68"/>
    </row>
    <row r="22369" spans="4:11" ht="12.75">
      <c r="D22369" s="67"/>
      <c r="G22369" s="68"/>
      <c r="K22369" s="68"/>
    </row>
    <row r="22370" spans="4:11" ht="12.75">
      <c r="D22370" s="67"/>
      <c r="G22370" s="68"/>
      <c r="K22370" s="68"/>
    </row>
    <row r="22371" spans="4:11" ht="12.75">
      <c r="D22371" s="67"/>
      <c r="G22371" s="68"/>
      <c r="K22371" s="68"/>
    </row>
    <row r="22372" spans="4:11" ht="12.75">
      <c r="D22372" s="67"/>
      <c r="G22372" s="68"/>
      <c r="K22372" s="68"/>
    </row>
    <row r="22373" spans="4:11" ht="12.75">
      <c r="D22373" s="67"/>
      <c r="G22373" s="68"/>
      <c r="K22373" s="68"/>
    </row>
    <row r="22374" spans="4:11" ht="12.75">
      <c r="D22374" s="67"/>
      <c r="G22374" s="68"/>
      <c r="K22374" s="68"/>
    </row>
    <row r="22375" spans="4:11" ht="12.75">
      <c r="D22375" s="67"/>
      <c r="G22375" s="68"/>
      <c r="K22375" s="68"/>
    </row>
    <row r="22376" spans="4:11" ht="12.75">
      <c r="D22376" s="67"/>
      <c r="G22376" s="68"/>
      <c r="K22376" s="68"/>
    </row>
    <row r="22377" spans="4:11" ht="12.75">
      <c r="D22377" s="67"/>
      <c r="G22377" s="68"/>
      <c r="K22377" s="68"/>
    </row>
    <row r="22378" spans="4:11" ht="12.75">
      <c r="D22378" s="67"/>
      <c r="G22378" s="68"/>
      <c r="K22378" s="68"/>
    </row>
    <row r="22379" spans="4:11" ht="12.75">
      <c r="D22379" s="67"/>
      <c r="G22379" s="68"/>
      <c r="K22379" s="68"/>
    </row>
    <row r="22380" spans="4:11" ht="12.75">
      <c r="D22380" s="67"/>
      <c r="G22380" s="68"/>
      <c r="K22380" s="68"/>
    </row>
    <row r="22381" spans="4:11" ht="12.75">
      <c r="D22381" s="67"/>
      <c r="G22381" s="68"/>
      <c r="K22381" s="68"/>
    </row>
    <row r="22382" spans="4:11" ht="12.75">
      <c r="D22382" s="67"/>
      <c r="G22382" s="68"/>
      <c r="K22382" s="68"/>
    </row>
    <row r="22383" spans="4:11" ht="12.75">
      <c r="D22383" s="67"/>
      <c r="G22383" s="68"/>
      <c r="K22383" s="68"/>
    </row>
    <row r="22384" spans="4:11" ht="12.75">
      <c r="D22384" s="67"/>
      <c r="G22384" s="68"/>
      <c r="K22384" s="68"/>
    </row>
    <row r="22385" spans="4:11" ht="12.75">
      <c r="D22385" s="67"/>
      <c r="G22385" s="68"/>
      <c r="K22385" s="68"/>
    </row>
    <row r="22386" spans="4:11" ht="12.75">
      <c r="D22386" s="67"/>
      <c r="G22386" s="68"/>
      <c r="K22386" s="68"/>
    </row>
    <row r="22387" spans="4:11" ht="12.75">
      <c r="D22387" s="67"/>
      <c r="G22387" s="68"/>
      <c r="K22387" s="68"/>
    </row>
    <row r="22388" spans="4:11" ht="12.75">
      <c r="D22388" s="67"/>
      <c r="G22388" s="68"/>
      <c r="K22388" s="68"/>
    </row>
    <row r="22389" spans="4:11" ht="12.75">
      <c r="D22389" s="67"/>
      <c r="G22389" s="68"/>
      <c r="K22389" s="68"/>
    </row>
    <row r="22390" spans="4:11" ht="12.75">
      <c r="D22390" s="67"/>
      <c r="G22390" s="68"/>
      <c r="K22390" s="68"/>
    </row>
    <row r="22391" spans="4:11" ht="12.75">
      <c r="D22391" s="67"/>
      <c r="G22391" s="68"/>
      <c r="K22391" s="68"/>
    </row>
    <row r="22392" spans="4:11" ht="12.75">
      <c r="D22392" s="67"/>
      <c r="G22392" s="68"/>
      <c r="K22392" s="68"/>
    </row>
    <row r="22393" spans="4:11" ht="12.75">
      <c r="D22393" s="67"/>
      <c r="G22393" s="68"/>
      <c r="K22393" s="68"/>
    </row>
    <row r="22394" spans="4:11" ht="12.75">
      <c r="D22394" s="67"/>
      <c r="G22394" s="68"/>
      <c r="K22394" s="68"/>
    </row>
    <row r="22395" spans="4:11" ht="12.75">
      <c r="D22395" s="67"/>
      <c r="G22395" s="68"/>
      <c r="K22395" s="68"/>
    </row>
    <row r="22396" spans="4:11" ht="12.75">
      <c r="D22396" s="67"/>
      <c r="G22396" s="68"/>
      <c r="K22396" s="68"/>
    </row>
    <row r="22397" spans="4:11" ht="12.75">
      <c r="D22397" s="67"/>
      <c r="G22397" s="68"/>
      <c r="K22397" s="68"/>
    </row>
    <row r="22398" spans="4:11" ht="12.75">
      <c r="D22398" s="67"/>
      <c r="G22398" s="68"/>
      <c r="K22398" s="68"/>
    </row>
    <row r="22399" spans="4:11" ht="12.75">
      <c r="D22399" s="67"/>
      <c r="G22399" s="68"/>
      <c r="K22399" s="68"/>
    </row>
    <row r="22400" spans="4:11" ht="12.75">
      <c r="D22400" s="67"/>
      <c r="G22400" s="68"/>
      <c r="K22400" s="68"/>
    </row>
    <row r="22401" spans="4:11" ht="12.75">
      <c r="D22401" s="67"/>
      <c r="G22401" s="68"/>
      <c r="K22401" s="68"/>
    </row>
    <row r="22402" spans="4:11" ht="12.75">
      <c r="D22402" s="67"/>
      <c r="G22402" s="68"/>
      <c r="K22402" s="68"/>
    </row>
    <row r="22403" spans="4:11" ht="12.75">
      <c r="D22403" s="67"/>
      <c r="G22403" s="68"/>
      <c r="K22403" s="68"/>
    </row>
    <row r="22404" spans="4:11" ht="12.75">
      <c r="D22404" s="67"/>
      <c r="G22404" s="68"/>
      <c r="K22404" s="68"/>
    </row>
    <row r="22405" spans="4:11" ht="12.75">
      <c r="D22405" s="67"/>
      <c r="G22405" s="68"/>
      <c r="K22405" s="68"/>
    </row>
    <row r="22406" spans="4:11" ht="12.75">
      <c r="D22406" s="67"/>
      <c r="G22406" s="68"/>
      <c r="K22406" s="68"/>
    </row>
    <row r="22407" spans="4:11" ht="12.75">
      <c r="D22407" s="67"/>
      <c r="G22407" s="68"/>
      <c r="K22407" s="68"/>
    </row>
    <row r="22408" spans="4:11" ht="12.75">
      <c r="D22408" s="67"/>
      <c r="G22408" s="68"/>
      <c r="K22408" s="68"/>
    </row>
    <row r="22409" spans="4:11" ht="12.75">
      <c r="D22409" s="67"/>
      <c r="G22409" s="68"/>
      <c r="K22409" s="68"/>
    </row>
    <row r="22410" spans="4:11" ht="12.75">
      <c r="D22410" s="67"/>
      <c r="G22410" s="68"/>
      <c r="K22410" s="68"/>
    </row>
    <row r="22411" spans="4:11" ht="12.75">
      <c r="D22411" s="67"/>
      <c r="G22411" s="68"/>
      <c r="K22411" s="68"/>
    </row>
    <row r="22412" spans="4:11" ht="12.75">
      <c r="D22412" s="67"/>
      <c r="G22412" s="68"/>
      <c r="K22412" s="68"/>
    </row>
    <row r="22413" spans="4:11" ht="12.75">
      <c r="D22413" s="67"/>
      <c r="G22413" s="68"/>
      <c r="K22413" s="68"/>
    </row>
    <row r="22414" spans="4:11" ht="12.75">
      <c r="D22414" s="67"/>
      <c r="G22414" s="68"/>
      <c r="K22414" s="68"/>
    </row>
    <row r="22415" spans="4:11" ht="12.75">
      <c r="D22415" s="67"/>
      <c r="G22415" s="68"/>
      <c r="K22415" s="68"/>
    </row>
    <row r="22416" spans="4:11" ht="12.75">
      <c r="D22416" s="67"/>
      <c r="G22416" s="68"/>
      <c r="K22416" s="68"/>
    </row>
    <row r="22417" spans="4:11" ht="12.75">
      <c r="D22417" s="67"/>
      <c r="G22417" s="68"/>
      <c r="K22417" s="68"/>
    </row>
    <row r="22418" spans="4:11" ht="12.75">
      <c r="D22418" s="67"/>
      <c r="G22418" s="68"/>
      <c r="K22418" s="68"/>
    </row>
    <row r="22419" spans="4:11" ht="12.75">
      <c r="D22419" s="67"/>
      <c r="G22419" s="68"/>
      <c r="K22419" s="68"/>
    </row>
    <row r="22420" spans="4:11" ht="12.75">
      <c r="D22420" s="67"/>
      <c r="G22420" s="68"/>
      <c r="K22420" s="68"/>
    </row>
    <row r="22421" spans="4:11" ht="12.75">
      <c r="D22421" s="67"/>
      <c r="G22421" s="68"/>
      <c r="K22421" s="68"/>
    </row>
    <row r="22422" spans="4:11" ht="12.75">
      <c r="D22422" s="67"/>
      <c r="G22422" s="68"/>
      <c r="K22422" s="68"/>
    </row>
    <row r="22423" spans="4:11" ht="12.75">
      <c r="D22423" s="67"/>
      <c r="G22423" s="68"/>
      <c r="K22423" s="68"/>
    </row>
    <row r="22424" spans="4:11" ht="12.75">
      <c r="D22424" s="67"/>
      <c r="G22424" s="68"/>
      <c r="K22424" s="68"/>
    </row>
    <row r="22425" spans="4:11" ht="12.75">
      <c r="D22425" s="67"/>
      <c r="G22425" s="68"/>
      <c r="K22425" s="68"/>
    </row>
    <row r="22426" spans="4:11" ht="12.75">
      <c r="D22426" s="67"/>
      <c r="G22426" s="68"/>
      <c r="K22426" s="68"/>
    </row>
    <row r="22427" spans="4:11" ht="12.75">
      <c r="D22427" s="67"/>
      <c r="G22427" s="68"/>
      <c r="K22427" s="68"/>
    </row>
    <row r="22428" spans="4:11" ht="12.75">
      <c r="D22428" s="67"/>
      <c r="G22428" s="68"/>
      <c r="K22428" s="68"/>
    </row>
    <row r="22429" spans="4:11" ht="12.75">
      <c r="D22429" s="67"/>
      <c r="G22429" s="68"/>
      <c r="K22429" s="68"/>
    </row>
    <row r="22430" spans="4:11" ht="12.75">
      <c r="D22430" s="67"/>
      <c r="G22430" s="68"/>
      <c r="K22430" s="68"/>
    </row>
    <row r="22431" spans="4:11" ht="12.75">
      <c r="D22431" s="67"/>
      <c r="G22431" s="68"/>
      <c r="K22431" s="68"/>
    </row>
    <row r="22432" spans="4:11" ht="12.75">
      <c r="D22432" s="67"/>
      <c r="G22432" s="68"/>
      <c r="K22432" s="68"/>
    </row>
    <row r="22433" spans="4:11" ht="12.75">
      <c r="D22433" s="67"/>
      <c r="G22433" s="68"/>
      <c r="K22433" s="68"/>
    </row>
    <row r="22434" spans="4:11" ht="12.75">
      <c r="D22434" s="67"/>
      <c r="G22434" s="68"/>
      <c r="K22434" s="68"/>
    </row>
    <row r="22435" spans="4:11" ht="12.75">
      <c r="D22435" s="67"/>
      <c r="G22435" s="68"/>
      <c r="K22435" s="68"/>
    </row>
    <row r="22436" spans="4:11" ht="12.75">
      <c r="D22436" s="67"/>
      <c r="G22436" s="68"/>
      <c r="K22436" s="68"/>
    </row>
    <row r="22437" spans="4:11" ht="12.75">
      <c r="D22437" s="67"/>
      <c r="G22437" s="68"/>
      <c r="K22437" s="68"/>
    </row>
    <row r="22438" spans="4:11" ht="12.75">
      <c r="D22438" s="67"/>
      <c r="G22438" s="68"/>
      <c r="K22438" s="68"/>
    </row>
    <row r="22439" spans="4:11" ht="12.75">
      <c r="D22439" s="67"/>
      <c r="G22439" s="68"/>
      <c r="K22439" s="68"/>
    </row>
    <row r="22440" spans="4:11" ht="12.75">
      <c r="D22440" s="67"/>
      <c r="G22440" s="68"/>
      <c r="K22440" s="68"/>
    </row>
    <row r="22441" spans="4:11" ht="12.75">
      <c r="D22441" s="67"/>
      <c r="G22441" s="68"/>
      <c r="K22441" s="68"/>
    </row>
    <row r="22442" spans="4:11" ht="12.75">
      <c r="D22442" s="67"/>
      <c r="G22442" s="68"/>
      <c r="K22442" s="68"/>
    </row>
    <row r="22443" spans="4:11" ht="12.75">
      <c r="D22443" s="67"/>
      <c r="G22443" s="68"/>
      <c r="K22443" s="68"/>
    </row>
    <row r="22444" spans="4:11" ht="12.75">
      <c r="D22444" s="67"/>
      <c r="G22444" s="68"/>
      <c r="K22444" s="68"/>
    </row>
    <row r="22445" spans="4:11" ht="12.75">
      <c r="D22445" s="67"/>
      <c r="G22445" s="68"/>
      <c r="K22445" s="68"/>
    </row>
    <row r="22446" spans="4:11" ht="12.75">
      <c r="D22446" s="67"/>
      <c r="G22446" s="68"/>
      <c r="K22446" s="68"/>
    </row>
    <row r="22447" spans="4:11" ht="12.75">
      <c r="D22447" s="67"/>
      <c r="G22447" s="68"/>
      <c r="K22447" s="68"/>
    </row>
    <row r="22448" spans="4:11" ht="12.75">
      <c r="D22448" s="67"/>
      <c r="G22448" s="68"/>
      <c r="K22448" s="68"/>
    </row>
    <row r="22449" spans="4:11" ht="12.75">
      <c r="D22449" s="67"/>
      <c r="G22449" s="68"/>
      <c r="K22449" s="68"/>
    </row>
    <row r="22450" spans="4:11" ht="12.75">
      <c r="D22450" s="67"/>
      <c r="G22450" s="68"/>
      <c r="K22450" s="68"/>
    </row>
    <row r="22451" spans="4:11" ht="12.75">
      <c r="D22451" s="67"/>
      <c r="G22451" s="68"/>
      <c r="K22451" s="68"/>
    </row>
    <row r="22452" spans="4:11" ht="12.75">
      <c r="D22452" s="67"/>
      <c r="G22452" s="68"/>
      <c r="K22452" s="68"/>
    </row>
    <row r="22453" spans="4:11" ht="12.75">
      <c r="D22453" s="67"/>
      <c r="G22453" s="68"/>
      <c r="K22453" s="68"/>
    </row>
    <row r="22454" spans="4:11" ht="12.75">
      <c r="D22454" s="67"/>
      <c r="G22454" s="68"/>
      <c r="K22454" s="68"/>
    </row>
    <row r="22455" spans="4:11" ht="12.75">
      <c r="D22455" s="67"/>
      <c r="G22455" s="68"/>
      <c r="K22455" s="68"/>
    </row>
    <row r="22456" spans="4:11" ht="12.75">
      <c r="D22456" s="67"/>
      <c r="G22456" s="68"/>
      <c r="K22456" s="68"/>
    </row>
    <row r="22457" spans="4:11" ht="12.75">
      <c r="D22457" s="67"/>
      <c r="G22457" s="68"/>
      <c r="K22457" s="68"/>
    </row>
    <row r="22458" spans="4:11" ht="12.75">
      <c r="D22458" s="67"/>
      <c r="G22458" s="68"/>
      <c r="K22458" s="68"/>
    </row>
    <row r="22459" spans="4:11" ht="12.75">
      <c r="D22459" s="67"/>
      <c r="G22459" s="68"/>
      <c r="K22459" s="68"/>
    </row>
    <row r="22460" spans="4:11" ht="12.75">
      <c r="D22460" s="67"/>
      <c r="G22460" s="68"/>
      <c r="K22460" s="68"/>
    </row>
    <row r="22461" spans="4:11" ht="12.75">
      <c r="D22461" s="67"/>
      <c r="G22461" s="68"/>
      <c r="K22461" s="68"/>
    </row>
    <row r="22462" spans="4:11" ht="12.75">
      <c r="D22462" s="67"/>
      <c r="G22462" s="68"/>
      <c r="K22462" s="68"/>
    </row>
    <row r="22463" spans="4:11" ht="12.75">
      <c r="D22463" s="67"/>
      <c r="G22463" s="68"/>
      <c r="K22463" s="68"/>
    </row>
    <row r="22464" spans="4:11" ht="12.75">
      <c r="D22464" s="67"/>
      <c r="G22464" s="68"/>
      <c r="K22464" s="68"/>
    </row>
    <row r="22465" spans="4:11" ht="12.75">
      <c r="D22465" s="67"/>
      <c r="G22465" s="68"/>
      <c r="K22465" s="68"/>
    </row>
    <row r="22466" spans="4:11" ht="12.75">
      <c r="D22466" s="67"/>
      <c r="G22466" s="68"/>
      <c r="K22466" s="68"/>
    </row>
    <row r="22467" spans="4:11" ht="12.75">
      <c r="D22467" s="67"/>
      <c r="G22467" s="68"/>
      <c r="K22467" s="68"/>
    </row>
    <row r="22468" spans="4:11" ht="12.75">
      <c r="D22468" s="67"/>
      <c r="G22468" s="68"/>
      <c r="K22468" s="68"/>
    </row>
    <row r="22469" spans="4:11" ht="12.75">
      <c r="D22469" s="67"/>
      <c r="G22469" s="68"/>
      <c r="K22469" s="68"/>
    </row>
    <row r="22470" spans="4:11" ht="12.75">
      <c r="D22470" s="67"/>
      <c r="G22470" s="68"/>
      <c r="K22470" s="68"/>
    </row>
    <row r="22471" spans="4:11" ht="12.75">
      <c r="D22471" s="67"/>
      <c r="G22471" s="68"/>
      <c r="K22471" s="68"/>
    </row>
    <row r="22472" spans="4:11" ht="12.75">
      <c r="D22472" s="67"/>
      <c r="G22472" s="68"/>
      <c r="K22472" s="68"/>
    </row>
    <row r="22473" spans="4:11" ht="12.75">
      <c r="D22473" s="67"/>
      <c r="G22473" s="68"/>
      <c r="K22473" s="68"/>
    </row>
    <row r="22474" spans="4:11" ht="12.75">
      <c r="D22474" s="67"/>
      <c r="G22474" s="68"/>
      <c r="K22474" s="68"/>
    </row>
    <row r="22475" spans="4:11" ht="12.75">
      <c r="D22475" s="67"/>
      <c r="G22475" s="68"/>
      <c r="K22475" s="68"/>
    </row>
    <row r="22476" spans="4:11" ht="12.75">
      <c r="D22476" s="67"/>
      <c r="G22476" s="68"/>
      <c r="K22476" s="68"/>
    </row>
    <row r="22477" spans="4:11" ht="12.75">
      <c r="D22477" s="67"/>
      <c r="G22477" s="68"/>
      <c r="K22477" s="68"/>
    </row>
    <row r="22478" spans="4:11" ht="12.75">
      <c r="D22478" s="67"/>
      <c r="G22478" s="68"/>
      <c r="K22478" s="68"/>
    </row>
    <row r="22479" spans="4:11" ht="12.75">
      <c r="D22479" s="67"/>
      <c r="G22479" s="68"/>
      <c r="K22479" s="68"/>
    </row>
    <row r="22480" spans="4:11" ht="12.75">
      <c r="D22480" s="67"/>
      <c r="G22480" s="68"/>
      <c r="K22480" s="68"/>
    </row>
    <row r="22481" spans="4:11" ht="12.75">
      <c r="D22481" s="67"/>
      <c r="G22481" s="68"/>
      <c r="K22481" s="68"/>
    </row>
    <row r="22482" spans="4:11" ht="12.75">
      <c r="D22482" s="67"/>
      <c r="G22482" s="68"/>
      <c r="K22482" s="68"/>
    </row>
    <row r="22483" spans="4:11" ht="12.75">
      <c r="D22483" s="67"/>
      <c r="G22483" s="68"/>
      <c r="K22483" s="68"/>
    </row>
    <row r="22484" spans="4:11" ht="12.75">
      <c r="D22484" s="67"/>
      <c r="G22484" s="68"/>
      <c r="K22484" s="68"/>
    </row>
    <row r="22485" spans="4:11" ht="12.75">
      <c r="D22485" s="67"/>
      <c r="G22485" s="68"/>
      <c r="K22485" s="68"/>
    </row>
    <row r="22486" spans="4:11" ht="12.75">
      <c r="D22486" s="67"/>
      <c r="G22486" s="68"/>
      <c r="K22486" s="68"/>
    </row>
    <row r="22487" spans="4:11" ht="12.75">
      <c r="D22487" s="67"/>
      <c r="G22487" s="68"/>
      <c r="K22487" s="68"/>
    </row>
    <row r="22488" spans="4:11" ht="12.75">
      <c r="D22488" s="67"/>
      <c r="G22488" s="68"/>
      <c r="K22488" s="68"/>
    </row>
    <row r="22489" spans="4:11" ht="12.75">
      <c r="D22489" s="67"/>
      <c r="G22489" s="68"/>
      <c r="K22489" s="68"/>
    </row>
    <row r="22490" spans="4:11" ht="12.75">
      <c r="D22490" s="67"/>
      <c r="G22490" s="68"/>
      <c r="K22490" s="68"/>
    </row>
    <row r="22491" spans="4:11" ht="12.75">
      <c r="D22491" s="67"/>
      <c r="G22491" s="68"/>
      <c r="K22491" s="68"/>
    </row>
    <row r="22492" spans="4:11" ht="12.75">
      <c r="D22492" s="67"/>
      <c r="G22492" s="68"/>
      <c r="K22492" s="68"/>
    </row>
    <row r="22493" spans="4:11" ht="12.75">
      <c r="D22493" s="67"/>
      <c r="G22493" s="68"/>
      <c r="K22493" s="68"/>
    </row>
    <row r="22494" spans="4:11" ht="12.75">
      <c r="D22494" s="67"/>
      <c r="G22494" s="68"/>
      <c r="K22494" s="68"/>
    </row>
    <row r="22495" spans="4:11" ht="12.75">
      <c r="D22495" s="67"/>
      <c r="G22495" s="68"/>
      <c r="K22495" s="68"/>
    </row>
    <row r="22496" spans="4:11" ht="12.75">
      <c r="D22496" s="67"/>
      <c r="G22496" s="68"/>
      <c r="K22496" s="68"/>
    </row>
    <row r="22497" spans="4:11" ht="12.75">
      <c r="D22497" s="67"/>
      <c r="G22497" s="68"/>
      <c r="K22497" s="68"/>
    </row>
    <row r="22498" spans="4:11" ht="12.75">
      <c r="D22498" s="67"/>
      <c r="G22498" s="68"/>
      <c r="K22498" s="68"/>
    </row>
    <row r="22499" spans="4:11" ht="12.75">
      <c r="D22499" s="67"/>
      <c r="G22499" s="68"/>
      <c r="K22499" s="68"/>
    </row>
    <row r="22500" spans="4:11" ht="12.75">
      <c r="D22500" s="67"/>
      <c r="G22500" s="68"/>
      <c r="K22500" s="68"/>
    </row>
    <row r="22501" spans="4:11" ht="12.75">
      <c r="D22501" s="67"/>
      <c r="G22501" s="68"/>
      <c r="K22501" s="68"/>
    </row>
    <row r="22502" spans="4:11" ht="12.75">
      <c r="D22502" s="67"/>
      <c r="G22502" s="68"/>
      <c r="K22502" s="68"/>
    </row>
    <row r="22503" spans="4:11" ht="12.75">
      <c r="D22503" s="67"/>
      <c r="G22503" s="68"/>
      <c r="K22503" s="68"/>
    </row>
    <row r="22504" spans="4:11" ht="12.75">
      <c r="D22504" s="67"/>
      <c r="G22504" s="68"/>
      <c r="K22504" s="68"/>
    </row>
    <row r="22505" spans="4:11" ht="12.75">
      <c r="D22505" s="67"/>
      <c r="G22505" s="68"/>
      <c r="K22505" s="68"/>
    </row>
    <row r="22506" spans="4:11" ht="12.75">
      <c r="D22506" s="67"/>
      <c r="G22506" s="68"/>
      <c r="K22506" s="68"/>
    </row>
    <row r="22507" spans="4:11" ht="12.75">
      <c r="D22507" s="67"/>
      <c r="G22507" s="68"/>
      <c r="K22507" s="68"/>
    </row>
    <row r="22508" spans="4:11" ht="12.75">
      <c r="D22508" s="67"/>
      <c r="G22508" s="68"/>
      <c r="K22508" s="68"/>
    </row>
    <row r="22509" spans="4:11" ht="12.75">
      <c r="D22509" s="67"/>
      <c r="G22509" s="68"/>
      <c r="K22509" s="68"/>
    </row>
    <row r="22510" spans="4:11" ht="12.75">
      <c r="D22510" s="67"/>
      <c r="G22510" s="68"/>
      <c r="K22510" s="68"/>
    </row>
    <row r="22511" spans="4:11" ht="12.75">
      <c r="D22511" s="67"/>
      <c r="G22511" s="68"/>
      <c r="K22511" s="68"/>
    </row>
    <row r="22512" spans="4:11" ht="12.75">
      <c r="D22512" s="67"/>
      <c r="G22512" s="68"/>
      <c r="K22512" s="68"/>
    </row>
    <row r="22513" spans="4:11" ht="12.75">
      <c r="D22513" s="67"/>
      <c r="G22513" s="68"/>
      <c r="K22513" s="68"/>
    </row>
    <row r="22514" spans="4:11" ht="12.75">
      <c r="D22514" s="67"/>
      <c r="G22514" s="68"/>
      <c r="K22514" s="68"/>
    </row>
    <row r="22515" spans="4:11" ht="12.75">
      <c r="D22515" s="67"/>
      <c r="G22515" s="68"/>
      <c r="K22515" s="68"/>
    </row>
    <row r="22516" spans="4:11" ht="12.75">
      <c r="D22516" s="67"/>
      <c r="G22516" s="68"/>
      <c r="K22516" s="68"/>
    </row>
    <row r="22517" spans="4:11" ht="12.75">
      <c r="D22517" s="67"/>
      <c r="G22517" s="68"/>
      <c r="K22517" s="68"/>
    </row>
    <row r="22518" spans="4:11" ht="12.75">
      <c r="D22518" s="67"/>
      <c r="G22518" s="68"/>
      <c r="K22518" s="68"/>
    </row>
    <row r="22519" spans="4:11" ht="12.75">
      <c r="D22519" s="67"/>
      <c r="G22519" s="68"/>
      <c r="K22519" s="68"/>
    </row>
    <row r="22520" spans="4:11" ht="12.75">
      <c r="D22520" s="67"/>
      <c r="G22520" s="68"/>
      <c r="K22520" s="68"/>
    </row>
    <row r="22521" spans="4:11" ht="12.75">
      <c r="D22521" s="67"/>
      <c r="G22521" s="68"/>
      <c r="K22521" s="68"/>
    </row>
    <row r="22522" spans="4:11" ht="12.75">
      <c r="D22522" s="67"/>
      <c r="G22522" s="68"/>
      <c r="K22522" s="68"/>
    </row>
    <row r="22523" spans="4:11" ht="12.75">
      <c r="D22523" s="67"/>
      <c r="G22523" s="68"/>
      <c r="K22523" s="68"/>
    </row>
    <row r="22524" spans="4:11" ht="12.75">
      <c r="D22524" s="67"/>
      <c r="G22524" s="68"/>
      <c r="K22524" s="68"/>
    </row>
    <row r="22525" spans="4:11" ht="12.75">
      <c r="D22525" s="67"/>
      <c r="G22525" s="68"/>
      <c r="K22525" s="68"/>
    </row>
    <row r="22526" spans="4:11" ht="12.75">
      <c r="D22526" s="67"/>
      <c r="G22526" s="68"/>
      <c r="K22526" s="68"/>
    </row>
    <row r="22527" spans="4:11" ht="12.75">
      <c r="D22527" s="67"/>
      <c r="G22527" s="68"/>
      <c r="K22527" s="68"/>
    </row>
    <row r="22528" spans="4:11" ht="12.75">
      <c r="D22528" s="67"/>
      <c r="G22528" s="68"/>
      <c r="K22528" s="68"/>
    </row>
    <row r="22529" spans="4:11" ht="12.75">
      <c r="D22529" s="67"/>
      <c r="G22529" s="68"/>
      <c r="K22529" s="68"/>
    </row>
    <row r="22530" spans="4:11" ht="12.75">
      <c r="D22530" s="67"/>
      <c r="G22530" s="68"/>
      <c r="K22530" s="68"/>
    </row>
    <row r="22531" spans="4:11" ht="12.75">
      <c r="D22531" s="67"/>
      <c r="G22531" s="68"/>
      <c r="K22531" s="68"/>
    </row>
    <row r="22532" spans="4:11" ht="12.75">
      <c r="D22532" s="67"/>
      <c r="G22532" s="68"/>
      <c r="K22532" s="68"/>
    </row>
    <row r="22533" spans="4:11" ht="12.75">
      <c r="D22533" s="67"/>
      <c r="G22533" s="68"/>
      <c r="K22533" s="68"/>
    </row>
    <row r="22534" spans="4:11" ht="12.75">
      <c r="D22534" s="67"/>
      <c r="G22534" s="68"/>
      <c r="K22534" s="68"/>
    </row>
    <row r="22535" spans="4:11" ht="12.75">
      <c r="D22535" s="67"/>
      <c r="G22535" s="68"/>
      <c r="K22535" s="68"/>
    </row>
    <row r="22536" spans="4:11" ht="12.75">
      <c r="D22536" s="67"/>
      <c r="G22536" s="68"/>
      <c r="K22536" s="68"/>
    </row>
    <row r="22537" spans="4:11" ht="12.75">
      <c r="D22537" s="67"/>
      <c r="G22537" s="68"/>
      <c r="K22537" s="68"/>
    </row>
    <row r="22538" spans="4:11" ht="12.75">
      <c r="D22538" s="67"/>
      <c r="G22538" s="68"/>
      <c r="K22538" s="68"/>
    </row>
    <row r="22539" spans="4:11" ht="12.75">
      <c r="D22539" s="67"/>
      <c r="G22539" s="68"/>
      <c r="K22539" s="68"/>
    </row>
    <row r="22540" spans="4:11" ht="12.75">
      <c r="D22540" s="67"/>
      <c r="G22540" s="68"/>
      <c r="K22540" s="68"/>
    </row>
    <row r="22541" spans="4:11" ht="12.75">
      <c r="D22541" s="67"/>
      <c r="G22541" s="68"/>
      <c r="K22541" s="68"/>
    </row>
    <row r="22542" spans="4:11" ht="12.75">
      <c r="D22542" s="67"/>
      <c r="G22542" s="68"/>
      <c r="K22542" s="68"/>
    </row>
    <row r="22543" spans="4:11" ht="12.75">
      <c r="D22543" s="67"/>
      <c r="G22543" s="68"/>
      <c r="K22543" s="68"/>
    </row>
    <row r="22544" spans="4:11" ht="12.75">
      <c r="D22544" s="67"/>
      <c r="G22544" s="68"/>
      <c r="K22544" s="68"/>
    </row>
    <row r="22545" spans="4:11" ht="12.75">
      <c r="D22545" s="67"/>
      <c r="G22545" s="68"/>
      <c r="K22545" s="68"/>
    </row>
    <row r="22546" spans="4:11" ht="12.75">
      <c r="D22546" s="67"/>
      <c r="G22546" s="68"/>
      <c r="K22546" s="68"/>
    </row>
    <row r="22547" spans="4:11" ht="12.75">
      <c r="D22547" s="67"/>
      <c r="G22547" s="68"/>
      <c r="K22547" s="68"/>
    </row>
    <row r="22548" spans="4:11" ht="12.75">
      <c r="D22548" s="67"/>
      <c r="G22548" s="68"/>
      <c r="K22548" s="68"/>
    </row>
    <row r="22549" spans="4:11" ht="12.75">
      <c r="D22549" s="67"/>
      <c r="G22549" s="68"/>
      <c r="K22549" s="68"/>
    </row>
    <row r="22550" spans="4:11" ht="12.75">
      <c r="D22550" s="67"/>
      <c r="G22550" s="68"/>
      <c r="K22550" s="68"/>
    </row>
    <row r="22551" spans="4:11" ht="12.75">
      <c r="D22551" s="67"/>
      <c r="G22551" s="68"/>
      <c r="K22551" s="68"/>
    </row>
    <row r="22552" spans="4:11" ht="12.75">
      <c r="D22552" s="67"/>
      <c r="G22552" s="68"/>
      <c r="K22552" s="68"/>
    </row>
    <row r="22553" spans="4:11" ht="12.75">
      <c r="D22553" s="67"/>
      <c r="G22553" s="68"/>
      <c r="K22553" s="68"/>
    </row>
    <row r="22554" spans="4:11" ht="12.75">
      <c r="D22554" s="67"/>
      <c r="G22554" s="68"/>
      <c r="K22554" s="68"/>
    </row>
    <row r="22555" spans="4:11" ht="12.75">
      <c r="D22555" s="67"/>
      <c r="G22555" s="68"/>
      <c r="K22555" s="68"/>
    </row>
    <row r="22556" spans="4:11" ht="12.75">
      <c r="D22556" s="67"/>
      <c r="G22556" s="68"/>
      <c r="K22556" s="68"/>
    </row>
    <row r="22557" spans="4:11" ht="12.75">
      <c r="D22557" s="67"/>
      <c r="G22557" s="68"/>
      <c r="K22557" s="68"/>
    </row>
    <row r="22558" spans="4:11" ht="12.75">
      <c r="D22558" s="67"/>
      <c r="G22558" s="68"/>
      <c r="K22558" s="68"/>
    </row>
    <row r="22559" spans="4:11" ht="12.75">
      <c r="D22559" s="67"/>
      <c r="G22559" s="68"/>
      <c r="K22559" s="68"/>
    </row>
    <row r="22560" spans="4:11" ht="12.75">
      <c r="D22560" s="67"/>
      <c r="G22560" s="68"/>
      <c r="K22560" s="68"/>
    </row>
    <row r="22561" spans="4:11" ht="12.75">
      <c r="D22561" s="67"/>
      <c r="G22561" s="68"/>
      <c r="K22561" s="68"/>
    </row>
    <row r="22562" spans="4:11" ht="12.75">
      <c r="D22562" s="67"/>
      <c r="G22562" s="68"/>
      <c r="K22562" s="68"/>
    </row>
    <row r="22563" spans="4:11" ht="12.75">
      <c r="D22563" s="67"/>
      <c r="G22563" s="68"/>
      <c r="K22563" s="68"/>
    </row>
    <row r="22564" spans="4:11" ht="12.75">
      <c r="D22564" s="67"/>
      <c r="G22564" s="68"/>
      <c r="K22564" s="68"/>
    </row>
    <row r="22565" spans="4:11" ht="12.75">
      <c r="D22565" s="67"/>
      <c r="G22565" s="68"/>
      <c r="K22565" s="68"/>
    </row>
    <row r="22566" spans="4:11" ht="12.75">
      <c r="D22566" s="67"/>
      <c r="G22566" s="68"/>
      <c r="K22566" s="68"/>
    </row>
    <row r="22567" spans="4:11" ht="12.75">
      <c r="D22567" s="67"/>
      <c r="G22567" s="68"/>
      <c r="K22567" s="68"/>
    </row>
    <row r="22568" spans="4:11" ht="12.75">
      <c r="D22568" s="67"/>
      <c r="G22568" s="68"/>
      <c r="K22568" s="68"/>
    </row>
    <row r="22569" spans="4:11" ht="12.75">
      <c r="D22569" s="67"/>
      <c r="G22569" s="68"/>
      <c r="K22569" s="68"/>
    </row>
    <row r="22570" spans="4:11" ht="12.75">
      <c r="D22570" s="67"/>
      <c r="G22570" s="68"/>
      <c r="K22570" s="68"/>
    </row>
    <row r="22571" spans="4:11" ht="12.75">
      <c r="D22571" s="67"/>
      <c r="G22571" s="68"/>
      <c r="K22571" s="68"/>
    </row>
    <row r="22572" spans="4:11" ht="12.75">
      <c r="D22572" s="67"/>
      <c r="G22572" s="68"/>
      <c r="K22572" s="68"/>
    </row>
    <row r="22573" spans="4:11" ht="12.75">
      <c r="D22573" s="67"/>
      <c r="G22573" s="68"/>
      <c r="K22573" s="68"/>
    </row>
    <row r="22574" spans="4:11" ht="12.75">
      <c r="D22574" s="67"/>
      <c r="G22574" s="68"/>
      <c r="K22574" s="68"/>
    </row>
    <row r="22575" spans="4:11" ht="12.75">
      <c r="D22575" s="67"/>
      <c r="G22575" s="68"/>
      <c r="K22575" s="68"/>
    </row>
    <row r="22576" spans="4:11" ht="12.75">
      <c r="D22576" s="67"/>
      <c r="G22576" s="68"/>
      <c r="K22576" s="68"/>
    </row>
    <row r="22577" spans="4:11" ht="12.75">
      <c r="D22577" s="67"/>
      <c r="G22577" s="68"/>
      <c r="K22577" s="68"/>
    </row>
    <row r="22578" spans="4:11" ht="12.75">
      <c r="D22578" s="67"/>
      <c r="G22578" s="68"/>
      <c r="K22578" s="68"/>
    </row>
    <row r="22579" spans="4:11" ht="12.75">
      <c r="D22579" s="67"/>
      <c r="G22579" s="68"/>
      <c r="K22579" s="68"/>
    </row>
    <row r="22580" spans="4:11" ht="12.75">
      <c r="D22580" s="67"/>
      <c r="G22580" s="68"/>
      <c r="K22580" s="68"/>
    </row>
    <row r="22581" spans="4:11" ht="12.75">
      <c r="D22581" s="67"/>
      <c r="G22581" s="68"/>
      <c r="K22581" s="68"/>
    </row>
    <row r="22582" spans="4:11" ht="12.75">
      <c r="D22582" s="67"/>
      <c r="G22582" s="68"/>
      <c r="K22582" s="68"/>
    </row>
    <row r="22583" spans="4:11" ht="12.75">
      <c r="D22583" s="67"/>
      <c r="G22583" s="68"/>
      <c r="K22583" s="68"/>
    </row>
    <row r="22584" spans="4:11" ht="12.75">
      <c r="D22584" s="67"/>
      <c r="G22584" s="68"/>
      <c r="K22584" s="68"/>
    </row>
    <row r="22585" spans="4:11" ht="12.75">
      <c r="D22585" s="67"/>
      <c r="G22585" s="68"/>
      <c r="K22585" s="68"/>
    </row>
    <row r="22586" spans="4:11" ht="12.75">
      <c r="D22586" s="67"/>
      <c r="G22586" s="68"/>
      <c r="K22586" s="68"/>
    </row>
    <row r="22587" spans="4:11" ht="12.75">
      <c r="D22587" s="67"/>
      <c r="G22587" s="68"/>
      <c r="K22587" s="68"/>
    </row>
    <row r="22588" spans="4:11" ht="12.75">
      <c r="D22588" s="67"/>
      <c r="G22588" s="68"/>
      <c r="K22588" s="68"/>
    </row>
    <row r="22589" spans="4:11" ht="12.75">
      <c r="D22589" s="67"/>
      <c r="G22589" s="68"/>
      <c r="K22589" s="68"/>
    </row>
    <row r="22590" spans="4:11" ht="12.75">
      <c r="D22590" s="67"/>
      <c r="G22590" s="68"/>
      <c r="K22590" s="68"/>
    </row>
    <row r="22591" spans="4:11" ht="12.75">
      <c r="D22591" s="67"/>
      <c r="G22591" s="68"/>
      <c r="K22591" s="68"/>
    </row>
    <row r="22592" spans="4:11" ht="12.75">
      <c r="D22592" s="67"/>
      <c r="G22592" s="68"/>
      <c r="K22592" s="68"/>
    </row>
    <row r="22593" spans="4:11" ht="12.75">
      <c r="D22593" s="67"/>
      <c r="G22593" s="68"/>
      <c r="K22593" s="68"/>
    </row>
    <row r="22594" spans="4:11" ht="12.75">
      <c r="D22594" s="67"/>
      <c r="G22594" s="68"/>
      <c r="K22594" s="68"/>
    </row>
    <row r="22595" spans="4:11" ht="12.75">
      <c r="D22595" s="67"/>
      <c r="G22595" s="68"/>
      <c r="K22595" s="68"/>
    </row>
    <row r="22596" spans="4:11" ht="12.75">
      <c r="D22596" s="67"/>
      <c r="G22596" s="68"/>
      <c r="K22596" s="68"/>
    </row>
    <row r="22597" spans="4:11" ht="12.75">
      <c r="D22597" s="67"/>
      <c r="G22597" s="68"/>
      <c r="K22597" s="68"/>
    </row>
    <row r="22598" spans="4:11" ht="12.75">
      <c r="D22598" s="67"/>
      <c r="G22598" s="68"/>
      <c r="K22598" s="68"/>
    </row>
    <row r="22599" spans="4:11" ht="12.75">
      <c r="D22599" s="67"/>
      <c r="G22599" s="68"/>
      <c r="K22599" s="68"/>
    </row>
    <row r="22600" spans="4:11" ht="12.75">
      <c r="D22600" s="67"/>
      <c r="G22600" s="68"/>
      <c r="K22600" s="68"/>
    </row>
    <row r="22601" spans="4:11" ht="12.75">
      <c r="D22601" s="67"/>
      <c r="G22601" s="68"/>
      <c r="K22601" s="68"/>
    </row>
    <row r="22602" spans="4:11" ht="12.75">
      <c r="D22602" s="67"/>
      <c r="G22602" s="68"/>
      <c r="K22602" s="68"/>
    </row>
    <row r="22603" spans="4:11" ht="12.75">
      <c r="D22603" s="67"/>
      <c r="G22603" s="68"/>
      <c r="K22603" s="68"/>
    </row>
    <row r="22604" spans="4:11" ht="12.75">
      <c r="D22604" s="67"/>
      <c r="G22604" s="68"/>
      <c r="K22604" s="68"/>
    </row>
    <row r="22605" spans="4:11" ht="12.75">
      <c r="D22605" s="67"/>
      <c r="G22605" s="68"/>
      <c r="K22605" s="68"/>
    </row>
    <row r="22606" spans="4:11" ht="12.75">
      <c r="D22606" s="67"/>
      <c r="G22606" s="68"/>
      <c r="K22606" s="68"/>
    </row>
    <row r="22607" spans="4:11" ht="12.75">
      <c r="D22607" s="67"/>
      <c r="G22607" s="68"/>
      <c r="K22607" s="68"/>
    </row>
    <row r="22608" spans="4:11" ht="12.75">
      <c r="D22608" s="67"/>
      <c r="G22608" s="68"/>
      <c r="K22608" s="68"/>
    </row>
    <row r="22609" spans="4:11" ht="12.75">
      <c r="D22609" s="67"/>
      <c r="G22609" s="68"/>
      <c r="K22609" s="68"/>
    </row>
    <row r="22610" spans="4:11" ht="12.75">
      <c r="D22610" s="67"/>
      <c r="G22610" s="68"/>
      <c r="K22610" s="68"/>
    </row>
    <row r="22611" spans="4:11" ht="12.75">
      <c r="D22611" s="67"/>
      <c r="G22611" s="68"/>
      <c r="K22611" s="68"/>
    </row>
    <row r="22612" spans="4:11" ht="12.75">
      <c r="D22612" s="67"/>
      <c r="G22612" s="68"/>
      <c r="K22612" s="68"/>
    </row>
    <row r="22613" spans="4:11" ht="12.75">
      <c r="D22613" s="67"/>
      <c r="G22613" s="68"/>
      <c r="K22613" s="68"/>
    </row>
    <row r="22614" spans="4:11" ht="12.75">
      <c r="D22614" s="67"/>
      <c r="G22614" s="68"/>
      <c r="K22614" s="68"/>
    </row>
    <row r="22615" spans="4:11" ht="12.75">
      <c r="D22615" s="67"/>
      <c r="G22615" s="68"/>
      <c r="K22615" s="68"/>
    </row>
    <row r="22616" spans="4:11" ht="12.75">
      <c r="D22616" s="67"/>
      <c r="G22616" s="68"/>
      <c r="K22616" s="68"/>
    </row>
    <row r="22617" spans="4:11" ht="12.75">
      <c r="D22617" s="67"/>
      <c r="G22617" s="68"/>
      <c r="K22617" s="68"/>
    </row>
    <row r="22618" spans="4:11" ht="12.75">
      <c r="D22618" s="67"/>
      <c r="G22618" s="68"/>
      <c r="K22618" s="68"/>
    </row>
    <row r="22619" spans="4:11" ht="12.75">
      <c r="D22619" s="67"/>
      <c r="G22619" s="68"/>
      <c r="K22619" s="68"/>
    </row>
    <row r="22620" spans="4:11" ht="12.75">
      <c r="D22620" s="67"/>
      <c r="G22620" s="68"/>
      <c r="K22620" s="68"/>
    </row>
    <row r="22621" spans="4:11" ht="12.75">
      <c r="D22621" s="67"/>
      <c r="G22621" s="68"/>
      <c r="K22621" s="68"/>
    </row>
    <row r="22622" spans="4:11" ht="12.75">
      <c r="D22622" s="67"/>
      <c r="G22622" s="68"/>
      <c r="K22622" s="68"/>
    </row>
    <row r="22623" spans="4:11" ht="12.75">
      <c r="D22623" s="67"/>
      <c r="G22623" s="68"/>
      <c r="K22623" s="68"/>
    </row>
    <row r="22624" spans="4:11" ht="12.75">
      <c r="D22624" s="67"/>
      <c r="G22624" s="68"/>
      <c r="K22624" s="68"/>
    </row>
    <row r="22625" spans="4:11" ht="12.75">
      <c r="D22625" s="67"/>
      <c r="G22625" s="68"/>
      <c r="K22625" s="68"/>
    </row>
    <row r="22626" spans="4:11" ht="12.75">
      <c r="D22626" s="67"/>
      <c r="G22626" s="68"/>
      <c r="K22626" s="68"/>
    </row>
    <row r="22627" spans="4:11" ht="12.75">
      <c r="D22627" s="67"/>
      <c r="G22627" s="68"/>
      <c r="K22627" s="68"/>
    </row>
    <row r="22628" spans="4:11" ht="12.75">
      <c r="D22628" s="67"/>
      <c r="G22628" s="68"/>
      <c r="K22628" s="68"/>
    </row>
    <row r="22629" spans="4:11" ht="12.75">
      <c r="D22629" s="67"/>
      <c r="G22629" s="68"/>
      <c r="K22629" s="68"/>
    </row>
    <row r="22630" spans="4:11" ht="12.75">
      <c r="D22630" s="67"/>
      <c r="G22630" s="68"/>
      <c r="K22630" s="68"/>
    </row>
    <row r="22631" spans="4:11" ht="12.75">
      <c r="D22631" s="67"/>
      <c r="G22631" s="68"/>
      <c r="K22631" s="68"/>
    </row>
    <row r="22632" spans="4:11" ht="12.75">
      <c r="D22632" s="67"/>
      <c r="G22632" s="68"/>
      <c r="K22632" s="68"/>
    </row>
    <row r="22633" spans="4:11" ht="12.75">
      <c r="D22633" s="67"/>
      <c r="G22633" s="68"/>
      <c r="K22633" s="68"/>
    </row>
    <row r="22634" spans="4:11" ht="12.75">
      <c r="D22634" s="67"/>
      <c r="G22634" s="68"/>
      <c r="K22634" s="68"/>
    </row>
    <row r="22635" spans="4:11" ht="12.75">
      <c r="D22635" s="67"/>
      <c r="G22635" s="68"/>
      <c r="K22635" s="68"/>
    </row>
    <row r="22636" spans="4:11" ht="12.75">
      <c r="D22636" s="67"/>
      <c r="G22636" s="68"/>
      <c r="K22636" s="68"/>
    </row>
    <row r="22637" spans="4:11" ht="12.75">
      <c r="D22637" s="67"/>
      <c r="G22637" s="68"/>
      <c r="K22637" s="68"/>
    </row>
    <row r="22638" spans="4:11" ht="12.75">
      <c r="D22638" s="67"/>
      <c r="G22638" s="68"/>
      <c r="K22638" s="68"/>
    </row>
    <row r="22639" spans="4:11" ht="12.75">
      <c r="D22639" s="67"/>
      <c r="G22639" s="68"/>
      <c r="K22639" s="68"/>
    </row>
    <row r="22640" spans="4:11" ht="12.75">
      <c r="D22640" s="67"/>
      <c r="G22640" s="68"/>
      <c r="K22640" s="68"/>
    </row>
    <row r="22641" spans="4:11" ht="12.75">
      <c r="D22641" s="67"/>
      <c r="G22641" s="68"/>
      <c r="K22641" s="68"/>
    </row>
    <row r="22642" spans="4:11" ht="12.75">
      <c r="D22642" s="67"/>
      <c r="G22642" s="68"/>
      <c r="K22642" s="68"/>
    </row>
    <row r="22643" spans="4:11" ht="12.75">
      <c r="D22643" s="67"/>
      <c r="G22643" s="68"/>
      <c r="K22643" s="68"/>
    </row>
    <row r="22644" spans="4:11" ht="12.75">
      <c r="D22644" s="67"/>
      <c r="G22644" s="68"/>
      <c r="K22644" s="68"/>
    </row>
    <row r="22645" spans="4:11" ht="12.75">
      <c r="D22645" s="67"/>
      <c r="G22645" s="68"/>
      <c r="K22645" s="68"/>
    </row>
    <row r="22646" spans="4:11" ht="12.75">
      <c r="D22646" s="67"/>
      <c r="G22646" s="68"/>
      <c r="K22646" s="68"/>
    </row>
    <row r="22647" spans="4:11" ht="12.75">
      <c r="D22647" s="67"/>
      <c r="G22647" s="68"/>
      <c r="K22647" s="68"/>
    </row>
    <row r="22648" spans="4:11" ht="12.75">
      <c r="D22648" s="67"/>
      <c r="G22648" s="68"/>
      <c r="K22648" s="68"/>
    </row>
    <row r="22649" spans="4:11" ht="12.75">
      <c r="D22649" s="67"/>
      <c r="G22649" s="68"/>
      <c r="K22649" s="68"/>
    </row>
    <row r="22650" spans="4:11" ht="12.75">
      <c r="D22650" s="67"/>
      <c r="G22650" s="68"/>
      <c r="K22650" s="68"/>
    </row>
    <row r="22651" spans="4:11" ht="12.75">
      <c r="D22651" s="67"/>
      <c r="G22651" s="68"/>
      <c r="K22651" s="68"/>
    </row>
    <row r="22652" spans="4:11" ht="12.75">
      <c r="D22652" s="67"/>
      <c r="G22652" s="68"/>
      <c r="K22652" s="68"/>
    </row>
    <row r="22653" spans="4:11" ht="12.75">
      <c r="D22653" s="67"/>
      <c r="G22653" s="68"/>
      <c r="K22653" s="68"/>
    </row>
    <row r="22654" spans="4:11" ht="12.75">
      <c r="D22654" s="67"/>
      <c r="G22654" s="68"/>
      <c r="K22654" s="68"/>
    </row>
    <row r="22655" spans="4:11" ht="12.75">
      <c r="D22655" s="67"/>
      <c r="G22655" s="68"/>
      <c r="K22655" s="68"/>
    </row>
    <row r="22656" spans="4:11" ht="12.75">
      <c r="D22656" s="67"/>
      <c r="G22656" s="68"/>
      <c r="K22656" s="68"/>
    </row>
    <row r="22657" spans="4:11" ht="12.75">
      <c r="D22657" s="67"/>
      <c r="G22657" s="68"/>
      <c r="K22657" s="68"/>
    </row>
    <row r="22658" spans="4:11" ht="12.75">
      <c r="D22658" s="67"/>
      <c r="G22658" s="68"/>
      <c r="K22658" s="68"/>
    </row>
    <row r="22659" spans="4:11" ht="12.75">
      <c r="D22659" s="67"/>
      <c r="G22659" s="68"/>
      <c r="K22659" s="68"/>
    </row>
    <row r="22660" spans="4:11" ht="12.75">
      <c r="D22660" s="67"/>
      <c r="G22660" s="68"/>
      <c r="K22660" s="68"/>
    </row>
    <row r="22661" spans="4:11" ht="12.75">
      <c r="D22661" s="67"/>
      <c r="G22661" s="68"/>
      <c r="K22661" s="68"/>
    </row>
    <row r="22662" spans="4:11" ht="12.75">
      <c r="D22662" s="67"/>
      <c r="G22662" s="68"/>
      <c r="K22662" s="68"/>
    </row>
    <row r="22663" spans="4:11" ht="12.75">
      <c r="D22663" s="67"/>
      <c r="G22663" s="68"/>
      <c r="K22663" s="68"/>
    </row>
    <row r="22664" spans="4:11" ht="12.75">
      <c r="D22664" s="67"/>
      <c r="G22664" s="68"/>
      <c r="K22664" s="68"/>
    </row>
    <row r="22665" spans="4:11" ht="12.75">
      <c r="D22665" s="67"/>
      <c r="G22665" s="68"/>
      <c r="K22665" s="68"/>
    </row>
    <row r="22666" spans="4:11" ht="12.75">
      <c r="D22666" s="67"/>
      <c r="G22666" s="68"/>
      <c r="K22666" s="68"/>
    </row>
    <row r="22667" spans="4:11" ht="12.75">
      <c r="D22667" s="67"/>
      <c r="G22667" s="68"/>
      <c r="K22667" s="68"/>
    </row>
    <row r="22668" spans="4:11" ht="12.75">
      <c r="D22668" s="67"/>
      <c r="G22668" s="68"/>
      <c r="K22668" s="68"/>
    </row>
    <row r="22669" spans="4:11" ht="12.75">
      <c r="D22669" s="67"/>
      <c r="G22669" s="68"/>
      <c r="K22669" s="68"/>
    </row>
    <row r="22670" spans="4:11" ht="12.75">
      <c r="D22670" s="67"/>
      <c r="G22670" s="68"/>
      <c r="K22670" s="68"/>
    </row>
    <row r="22671" spans="4:11" ht="12.75">
      <c r="D22671" s="67"/>
      <c r="G22671" s="68"/>
      <c r="K22671" s="68"/>
    </row>
    <row r="22672" spans="4:11" ht="12.75">
      <c r="D22672" s="67"/>
      <c r="G22672" s="68"/>
      <c r="K22672" s="68"/>
    </row>
    <row r="22673" spans="4:11" ht="12.75">
      <c r="D22673" s="67"/>
      <c r="G22673" s="68"/>
      <c r="K22673" s="68"/>
    </row>
    <row r="22674" spans="4:11" ht="12.75">
      <c r="D22674" s="67"/>
      <c r="G22674" s="68"/>
      <c r="K22674" s="68"/>
    </row>
    <row r="22675" spans="4:11" ht="12.75">
      <c r="D22675" s="67"/>
      <c r="G22675" s="68"/>
      <c r="K22675" s="68"/>
    </row>
    <row r="22676" spans="4:11" ht="12.75">
      <c r="D22676" s="67"/>
      <c r="G22676" s="68"/>
      <c r="K22676" s="68"/>
    </row>
    <row r="22677" spans="4:11" ht="12.75">
      <c r="D22677" s="67"/>
      <c r="G22677" s="68"/>
      <c r="K22677" s="68"/>
    </row>
    <row r="22678" spans="4:11" ht="12.75">
      <c r="D22678" s="67"/>
      <c r="G22678" s="68"/>
      <c r="K22678" s="68"/>
    </row>
    <row r="22679" spans="4:11" ht="12.75">
      <c r="D22679" s="67"/>
      <c r="G22679" s="68"/>
      <c r="K22679" s="68"/>
    </row>
    <row r="22680" spans="4:11" ht="12.75">
      <c r="D22680" s="67"/>
      <c r="G22680" s="68"/>
      <c r="K22680" s="68"/>
    </row>
    <row r="22681" spans="4:11" ht="12.75">
      <c r="D22681" s="67"/>
      <c r="G22681" s="68"/>
      <c r="K22681" s="68"/>
    </row>
    <row r="22682" spans="4:11" ht="12.75">
      <c r="D22682" s="67"/>
      <c r="G22682" s="68"/>
      <c r="K22682" s="68"/>
    </row>
    <row r="22683" spans="4:11" ht="12.75">
      <c r="D22683" s="67"/>
      <c r="G22683" s="68"/>
      <c r="K22683" s="68"/>
    </row>
    <row r="22684" spans="4:11" ht="12.75">
      <c r="D22684" s="67"/>
      <c r="G22684" s="68"/>
      <c r="K22684" s="68"/>
    </row>
    <row r="22685" spans="4:11" ht="12.75">
      <c r="D22685" s="67"/>
      <c r="G22685" s="68"/>
      <c r="K22685" s="68"/>
    </row>
    <row r="22686" spans="4:11" ht="12.75">
      <c r="D22686" s="67"/>
      <c r="G22686" s="68"/>
      <c r="K22686" s="68"/>
    </row>
    <row r="22687" spans="4:11" ht="12.75">
      <c r="D22687" s="67"/>
      <c r="G22687" s="68"/>
      <c r="K22687" s="68"/>
    </row>
    <row r="22688" spans="4:11" ht="12.75">
      <c r="D22688" s="67"/>
      <c r="G22688" s="68"/>
      <c r="K22688" s="68"/>
    </row>
    <row r="22689" spans="4:11" ht="12.75">
      <c r="D22689" s="67"/>
      <c r="G22689" s="68"/>
      <c r="K22689" s="68"/>
    </row>
    <row r="22690" spans="4:11" ht="12.75">
      <c r="D22690" s="67"/>
      <c r="G22690" s="68"/>
      <c r="K22690" s="68"/>
    </row>
    <row r="22691" spans="4:11" ht="12.75">
      <c r="D22691" s="67"/>
      <c r="G22691" s="68"/>
      <c r="K22691" s="68"/>
    </row>
    <row r="22692" spans="4:11" ht="12.75">
      <c r="D22692" s="67"/>
      <c r="G22692" s="68"/>
      <c r="K22692" s="68"/>
    </row>
    <row r="22693" spans="4:11" ht="12.75">
      <c r="D22693" s="67"/>
      <c r="G22693" s="68"/>
      <c r="K22693" s="68"/>
    </row>
    <row r="22694" spans="4:11" ht="12.75">
      <c r="D22694" s="67"/>
      <c r="G22694" s="68"/>
      <c r="K22694" s="68"/>
    </row>
    <row r="22695" spans="4:11" ht="12.75">
      <c r="D22695" s="67"/>
      <c r="G22695" s="68"/>
      <c r="K22695" s="68"/>
    </row>
    <row r="22696" spans="4:11" ht="12.75">
      <c r="D22696" s="67"/>
      <c r="G22696" s="68"/>
      <c r="K22696" s="68"/>
    </row>
    <row r="22697" spans="4:11" ht="12.75">
      <c r="D22697" s="67"/>
      <c r="G22697" s="68"/>
      <c r="K22697" s="68"/>
    </row>
    <row r="22698" spans="4:11" ht="12.75">
      <c r="D22698" s="67"/>
      <c r="G22698" s="68"/>
      <c r="K22698" s="68"/>
    </row>
    <row r="22699" spans="4:11" ht="12.75">
      <c r="D22699" s="67"/>
      <c r="G22699" s="68"/>
      <c r="K22699" s="68"/>
    </row>
    <row r="22700" spans="4:11" ht="12.75">
      <c r="D22700" s="67"/>
      <c r="G22700" s="68"/>
      <c r="K22700" s="68"/>
    </row>
    <row r="22701" spans="4:11" ht="12.75">
      <c r="D22701" s="67"/>
      <c r="G22701" s="68"/>
      <c r="K22701" s="68"/>
    </row>
    <row r="22702" spans="4:11" ht="12.75">
      <c r="D22702" s="67"/>
      <c r="G22702" s="68"/>
      <c r="K22702" s="68"/>
    </row>
    <row r="22703" spans="4:11" ht="12.75">
      <c r="D22703" s="67"/>
      <c r="G22703" s="68"/>
      <c r="K22703" s="68"/>
    </row>
    <row r="22704" spans="4:11" ht="12.75">
      <c r="D22704" s="67"/>
      <c r="G22704" s="68"/>
      <c r="K22704" s="68"/>
    </row>
    <row r="22705" spans="4:11" ht="12.75">
      <c r="D22705" s="67"/>
      <c r="G22705" s="68"/>
      <c r="K22705" s="68"/>
    </row>
    <row r="22706" spans="4:11" ht="12.75">
      <c r="D22706" s="67"/>
      <c r="G22706" s="68"/>
      <c r="K22706" s="68"/>
    </row>
    <row r="22707" spans="4:11" ht="12.75">
      <c r="D22707" s="67"/>
      <c r="G22707" s="68"/>
      <c r="K22707" s="68"/>
    </row>
    <row r="22708" spans="4:11" ht="12.75">
      <c r="D22708" s="67"/>
      <c r="G22708" s="68"/>
      <c r="K22708" s="68"/>
    </row>
    <row r="22709" spans="4:11" ht="12.75">
      <c r="D22709" s="67"/>
      <c r="G22709" s="68"/>
      <c r="K22709" s="68"/>
    </row>
    <row r="22710" spans="4:11" ht="12.75">
      <c r="D22710" s="67"/>
      <c r="G22710" s="68"/>
      <c r="K22710" s="68"/>
    </row>
    <row r="22711" spans="4:11" ht="12.75">
      <c r="D22711" s="67"/>
      <c r="G22711" s="68"/>
      <c r="K22711" s="68"/>
    </row>
    <row r="22712" spans="4:11" ht="12.75">
      <c r="D22712" s="67"/>
      <c r="G22712" s="68"/>
      <c r="K22712" s="68"/>
    </row>
    <row r="22713" spans="4:11" ht="12.75">
      <c r="D22713" s="67"/>
      <c r="G22713" s="68"/>
      <c r="K22713" s="68"/>
    </row>
    <row r="22714" spans="4:11" ht="12.75">
      <c r="D22714" s="67"/>
      <c r="G22714" s="68"/>
      <c r="K22714" s="68"/>
    </row>
    <row r="22715" spans="4:11" ht="12.75">
      <c r="D22715" s="67"/>
      <c r="G22715" s="68"/>
      <c r="K22715" s="68"/>
    </row>
    <row r="22716" spans="4:11" ht="12.75">
      <c r="D22716" s="67"/>
      <c r="G22716" s="68"/>
      <c r="K22716" s="68"/>
    </row>
    <row r="22717" spans="4:11" ht="12.75">
      <c r="D22717" s="67"/>
      <c r="G22717" s="68"/>
      <c r="K22717" s="68"/>
    </row>
    <row r="22718" spans="4:11" ht="12.75">
      <c r="D22718" s="67"/>
      <c r="G22718" s="68"/>
      <c r="K22718" s="68"/>
    </row>
    <row r="22719" spans="4:11" ht="12.75">
      <c r="D22719" s="67"/>
      <c r="G22719" s="68"/>
      <c r="K22719" s="68"/>
    </row>
    <row r="22720" spans="4:11" ht="12.75">
      <c r="D22720" s="67"/>
      <c r="G22720" s="68"/>
      <c r="K22720" s="68"/>
    </row>
    <row r="22721" spans="4:11" ht="12.75">
      <c r="D22721" s="67"/>
      <c r="G22721" s="68"/>
      <c r="K22721" s="68"/>
    </row>
    <row r="22722" spans="4:11" ht="12.75">
      <c r="D22722" s="67"/>
      <c r="G22722" s="68"/>
      <c r="K22722" s="68"/>
    </row>
    <row r="22723" spans="4:11" ht="12.75">
      <c r="D22723" s="67"/>
      <c r="G22723" s="68"/>
      <c r="K22723" s="68"/>
    </row>
    <row r="22724" spans="4:11" ht="12.75">
      <c r="D22724" s="67"/>
      <c r="G22724" s="68"/>
      <c r="K22724" s="68"/>
    </row>
    <row r="22725" spans="4:11" ht="12.75">
      <c r="D22725" s="67"/>
      <c r="G22725" s="68"/>
      <c r="K22725" s="68"/>
    </row>
    <row r="22726" spans="4:11" ht="12.75">
      <c r="D22726" s="67"/>
      <c r="G22726" s="68"/>
      <c r="K22726" s="68"/>
    </row>
    <row r="22727" spans="4:11" ht="12.75">
      <c r="D22727" s="67"/>
      <c r="G22727" s="68"/>
      <c r="K22727" s="68"/>
    </row>
    <row r="22728" spans="4:11" ht="12.75">
      <c r="D22728" s="67"/>
      <c r="G22728" s="68"/>
      <c r="K22728" s="68"/>
    </row>
    <row r="22729" spans="4:11" ht="12.75">
      <c r="D22729" s="67"/>
      <c r="G22729" s="68"/>
      <c r="K22729" s="68"/>
    </row>
    <row r="22730" spans="4:11" ht="12.75">
      <c r="D22730" s="67"/>
      <c r="G22730" s="68"/>
      <c r="K22730" s="68"/>
    </row>
    <row r="22731" spans="4:11" ht="12.75">
      <c r="D22731" s="67"/>
      <c r="G22731" s="68"/>
      <c r="K22731" s="68"/>
    </row>
    <row r="22732" spans="4:11" ht="12.75">
      <c r="D22732" s="67"/>
      <c r="G22732" s="68"/>
      <c r="K22732" s="68"/>
    </row>
    <row r="22733" spans="4:11" ht="12.75">
      <c r="D22733" s="67"/>
      <c r="G22733" s="68"/>
      <c r="K22733" s="68"/>
    </row>
    <row r="22734" spans="4:11" ht="12.75">
      <c r="D22734" s="67"/>
      <c r="G22734" s="68"/>
      <c r="K22734" s="68"/>
    </row>
    <row r="22735" spans="4:11" ht="12.75">
      <c r="D22735" s="67"/>
      <c r="G22735" s="68"/>
      <c r="K22735" s="68"/>
    </row>
    <row r="22736" spans="4:11" ht="12.75">
      <c r="D22736" s="67"/>
      <c r="G22736" s="68"/>
      <c r="K22736" s="68"/>
    </row>
    <row r="22737" spans="4:11" ht="12.75">
      <c r="D22737" s="67"/>
      <c r="G22737" s="68"/>
      <c r="K22737" s="68"/>
    </row>
    <row r="22738" spans="4:11" ht="12.75">
      <c r="D22738" s="67"/>
      <c r="G22738" s="68"/>
      <c r="K22738" s="68"/>
    </row>
    <row r="22739" spans="4:11" ht="12.75">
      <c r="D22739" s="67"/>
      <c r="G22739" s="68"/>
      <c r="K22739" s="68"/>
    </row>
    <row r="22740" spans="4:11" ht="12.75">
      <c r="D22740" s="67"/>
      <c r="G22740" s="68"/>
      <c r="K22740" s="68"/>
    </row>
    <row r="22741" spans="4:11" ht="12.75">
      <c r="D22741" s="67"/>
      <c r="G22741" s="68"/>
      <c r="K22741" s="68"/>
    </row>
    <row r="22742" spans="4:11" ht="12.75">
      <c r="D22742" s="67"/>
      <c r="G22742" s="68"/>
      <c r="K22742" s="68"/>
    </row>
    <row r="22743" spans="4:11" ht="12.75">
      <c r="D22743" s="67"/>
      <c r="G22743" s="68"/>
      <c r="K22743" s="68"/>
    </row>
    <row r="22744" spans="4:11" ht="12.75">
      <c r="D22744" s="67"/>
      <c r="G22744" s="68"/>
      <c r="K22744" s="68"/>
    </row>
    <row r="22745" spans="4:11" ht="12.75">
      <c r="D22745" s="67"/>
      <c r="G22745" s="68"/>
      <c r="K22745" s="68"/>
    </row>
    <row r="22746" spans="4:11" ht="12.75">
      <c r="D22746" s="67"/>
      <c r="G22746" s="68"/>
      <c r="K22746" s="68"/>
    </row>
    <row r="22747" spans="4:11" ht="12.75">
      <c r="D22747" s="67"/>
      <c r="G22747" s="68"/>
      <c r="K22747" s="68"/>
    </row>
    <row r="22748" spans="4:11" ht="12.75">
      <c r="D22748" s="67"/>
      <c r="G22748" s="68"/>
      <c r="K22748" s="68"/>
    </row>
    <row r="22749" spans="4:11" ht="12.75">
      <c r="D22749" s="67"/>
      <c r="G22749" s="68"/>
      <c r="K22749" s="68"/>
    </row>
    <row r="22750" spans="4:11" ht="12.75">
      <c r="D22750" s="67"/>
      <c r="G22750" s="68"/>
      <c r="K22750" s="68"/>
    </row>
    <row r="22751" spans="4:11" ht="12.75">
      <c r="D22751" s="67"/>
      <c r="G22751" s="68"/>
      <c r="K22751" s="68"/>
    </row>
    <row r="22752" spans="4:11" ht="12.75">
      <c r="D22752" s="67"/>
      <c r="G22752" s="68"/>
      <c r="K22752" s="68"/>
    </row>
    <row r="22753" spans="4:11" ht="12.75">
      <c r="D22753" s="67"/>
      <c r="G22753" s="68"/>
      <c r="K22753" s="68"/>
    </row>
    <row r="22754" spans="4:11" ht="12.75">
      <c r="D22754" s="67"/>
      <c r="G22754" s="68"/>
      <c r="K22754" s="68"/>
    </row>
    <row r="22755" spans="4:11" ht="12.75">
      <c r="D22755" s="67"/>
      <c r="G22755" s="68"/>
      <c r="K22755" s="68"/>
    </row>
    <row r="22756" spans="4:11" ht="12.75">
      <c r="D22756" s="67"/>
      <c r="G22756" s="68"/>
      <c r="K22756" s="68"/>
    </row>
    <row r="22757" spans="4:11" ht="12.75">
      <c r="D22757" s="67"/>
      <c r="G22757" s="68"/>
      <c r="K22757" s="68"/>
    </row>
    <row r="22758" spans="4:11" ht="12.75">
      <c r="D22758" s="67"/>
      <c r="G22758" s="68"/>
      <c r="K22758" s="68"/>
    </row>
    <row r="22759" spans="4:11" ht="12.75">
      <c r="D22759" s="67"/>
      <c r="G22759" s="68"/>
      <c r="K22759" s="68"/>
    </row>
    <row r="22760" spans="4:11" ht="12.75">
      <c r="D22760" s="67"/>
      <c r="G22760" s="68"/>
      <c r="K22760" s="68"/>
    </row>
    <row r="22761" spans="4:11" ht="12.75">
      <c r="D22761" s="67"/>
      <c r="G22761" s="68"/>
      <c r="K22761" s="68"/>
    </row>
    <row r="22762" spans="4:11" ht="12.75">
      <c r="D22762" s="67"/>
      <c r="G22762" s="68"/>
      <c r="K22762" s="68"/>
    </row>
    <row r="22763" spans="4:11" ht="12.75">
      <c r="D22763" s="67"/>
      <c r="G22763" s="68"/>
      <c r="K22763" s="68"/>
    </row>
    <row r="22764" spans="4:11" ht="12.75">
      <c r="D22764" s="67"/>
      <c r="G22764" s="68"/>
      <c r="K22764" s="68"/>
    </row>
    <row r="22765" spans="4:11" ht="12.75">
      <c r="D22765" s="67"/>
      <c r="G22765" s="68"/>
      <c r="K22765" s="68"/>
    </row>
    <row r="22766" spans="4:11" ht="12.75">
      <c r="D22766" s="67"/>
      <c r="G22766" s="68"/>
      <c r="K22766" s="68"/>
    </row>
    <row r="22767" spans="4:11" ht="12.75">
      <c r="D22767" s="67"/>
      <c r="G22767" s="68"/>
      <c r="K22767" s="68"/>
    </row>
    <row r="22768" spans="4:11" ht="12.75">
      <c r="D22768" s="67"/>
      <c r="G22768" s="68"/>
      <c r="K22768" s="68"/>
    </row>
    <row r="22769" spans="4:11" ht="12.75">
      <c r="D22769" s="67"/>
      <c r="G22769" s="68"/>
      <c r="K22769" s="68"/>
    </row>
    <row r="22770" spans="4:11" ht="12.75">
      <c r="D22770" s="67"/>
      <c r="G22770" s="68"/>
      <c r="K22770" s="68"/>
    </row>
    <row r="22771" spans="4:11" ht="12.75">
      <c r="D22771" s="67"/>
      <c r="G22771" s="68"/>
      <c r="K22771" s="68"/>
    </row>
    <row r="22772" spans="4:11" ht="12.75">
      <c r="D22772" s="67"/>
      <c r="G22772" s="68"/>
      <c r="K22772" s="68"/>
    </row>
    <row r="22773" spans="4:11" ht="12.75">
      <c r="D22773" s="67"/>
      <c r="G22773" s="68"/>
      <c r="K22773" s="68"/>
    </row>
    <row r="22774" spans="4:11" ht="12.75">
      <c r="D22774" s="67"/>
      <c r="G22774" s="68"/>
      <c r="K22774" s="68"/>
    </row>
    <row r="22775" spans="4:11" ht="12.75">
      <c r="D22775" s="67"/>
      <c r="G22775" s="68"/>
      <c r="K22775" s="68"/>
    </row>
    <row r="22776" spans="4:11" ht="12.75">
      <c r="D22776" s="67"/>
      <c r="G22776" s="68"/>
      <c r="K22776" s="68"/>
    </row>
    <row r="22777" spans="4:11" ht="12.75">
      <c r="D22777" s="67"/>
      <c r="G22777" s="68"/>
      <c r="K22777" s="68"/>
    </row>
    <row r="22778" spans="4:11" ht="12.75">
      <c r="D22778" s="67"/>
      <c r="G22778" s="68"/>
      <c r="K22778" s="68"/>
    </row>
    <row r="22779" spans="4:11" ht="12.75">
      <c r="D22779" s="67"/>
      <c r="G22779" s="68"/>
      <c r="K22779" s="68"/>
    </row>
    <row r="22780" spans="4:11" ht="12.75">
      <c r="D22780" s="67"/>
      <c r="G22780" s="68"/>
      <c r="K22780" s="68"/>
    </row>
    <row r="22781" spans="4:11" ht="12.75">
      <c r="D22781" s="67"/>
      <c r="G22781" s="68"/>
      <c r="K22781" s="68"/>
    </row>
    <row r="22782" spans="4:11" ht="12.75">
      <c r="D22782" s="67"/>
      <c r="G22782" s="68"/>
      <c r="K22782" s="68"/>
    </row>
    <row r="22783" spans="4:11" ht="12.75">
      <c r="D22783" s="67"/>
      <c r="G22783" s="68"/>
      <c r="K22783" s="68"/>
    </row>
    <row r="22784" spans="4:11" ht="12.75">
      <c r="D22784" s="67"/>
      <c r="G22784" s="68"/>
      <c r="K22784" s="68"/>
    </row>
    <row r="22785" spans="4:11" ht="12.75">
      <c r="D22785" s="67"/>
      <c r="G22785" s="68"/>
      <c r="K22785" s="68"/>
    </row>
    <row r="22786" spans="4:11" ht="12.75">
      <c r="D22786" s="67"/>
      <c r="G22786" s="68"/>
      <c r="K22786" s="68"/>
    </row>
    <row r="22787" spans="4:11" ht="12.75">
      <c r="D22787" s="67"/>
      <c r="G22787" s="68"/>
      <c r="K22787" s="68"/>
    </row>
    <row r="22788" spans="4:11" ht="12.75">
      <c r="D22788" s="67"/>
      <c r="G22788" s="68"/>
      <c r="K22788" s="68"/>
    </row>
    <row r="22789" spans="4:11" ht="12.75">
      <c r="D22789" s="67"/>
      <c r="G22789" s="68"/>
      <c r="K22789" s="68"/>
    </row>
    <row r="22790" spans="4:11" ht="12.75">
      <c r="D22790" s="67"/>
      <c r="G22790" s="68"/>
      <c r="K22790" s="68"/>
    </row>
    <row r="22791" spans="4:11" ht="12.75">
      <c r="D22791" s="67"/>
      <c r="G22791" s="68"/>
      <c r="K22791" s="68"/>
    </row>
    <row r="22792" spans="4:11" ht="12.75">
      <c r="D22792" s="67"/>
      <c r="G22792" s="68"/>
      <c r="K22792" s="68"/>
    </row>
    <row r="22793" spans="4:11" ht="12.75">
      <c r="D22793" s="67"/>
      <c r="G22793" s="68"/>
      <c r="K22793" s="68"/>
    </row>
    <row r="22794" spans="4:11" ht="12.75">
      <c r="D22794" s="67"/>
      <c r="G22794" s="68"/>
      <c r="K22794" s="68"/>
    </row>
    <row r="22795" spans="4:11" ht="12.75">
      <c r="D22795" s="67"/>
      <c r="G22795" s="68"/>
      <c r="K22795" s="68"/>
    </row>
    <row r="22796" spans="4:11" ht="12.75">
      <c r="D22796" s="67"/>
      <c r="G22796" s="68"/>
      <c r="K22796" s="68"/>
    </row>
    <row r="22797" spans="4:11" ht="12.75">
      <c r="D22797" s="67"/>
      <c r="G22797" s="68"/>
      <c r="K22797" s="68"/>
    </row>
    <row r="22798" spans="4:11" ht="12.75">
      <c r="D22798" s="67"/>
      <c r="G22798" s="68"/>
      <c r="K22798" s="68"/>
    </row>
    <row r="22799" spans="4:11" ht="12.75">
      <c r="D22799" s="67"/>
      <c r="G22799" s="68"/>
      <c r="K22799" s="68"/>
    </row>
    <row r="22800" spans="4:11" ht="12.75">
      <c r="D22800" s="67"/>
      <c r="G22800" s="68"/>
      <c r="K22800" s="68"/>
    </row>
    <row r="22801" spans="4:11" ht="12.75">
      <c r="D22801" s="67"/>
      <c r="G22801" s="68"/>
      <c r="K22801" s="68"/>
    </row>
    <row r="22802" spans="4:11" ht="12.75">
      <c r="D22802" s="67"/>
      <c r="G22802" s="68"/>
      <c r="K22802" s="68"/>
    </row>
    <row r="22803" spans="4:11" ht="12.75">
      <c r="D22803" s="67"/>
      <c r="G22803" s="68"/>
      <c r="K22803" s="68"/>
    </row>
    <row r="22804" spans="4:11" ht="12.75">
      <c r="D22804" s="67"/>
      <c r="G22804" s="68"/>
      <c r="K22804" s="68"/>
    </row>
    <row r="22805" spans="4:11" ht="12.75">
      <c r="D22805" s="67"/>
      <c r="G22805" s="68"/>
      <c r="K22805" s="68"/>
    </row>
    <row r="22806" spans="4:11" ht="12.75">
      <c r="D22806" s="67"/>
      <c r="G22806" s="68"/>
      <c r="K22806" s="68"/>
    </row>
    <row r="22807" spans="4:11" ht="12.75">
      <c r="D22807" s="67"/>
      <c r="G22807" s="68"/>
      <c r="K22807" s="68"/>
    </row>
    <row r="22808" spans="4:11" ht="12.75">
      <c r="D22808" s="67"/>
      <c r="G22808" s="68"/>
      <c r="K22808" s="68"/>
    </row>
    <row r="22809" spans="4:11" ht="12.75">
      <c r="D22809" s="67"/>
      <c r="G22809" s="68"/>
      <c r="K22809" s="68"/>
    </row>
    <row r="22810" spans="4:11" ht="12.75">
      <c r="D22810" s="67"/>
      <c r="G22810" s="68"/>
      <c r="K22810" s="68"/>
    </row>
    <row r="22811" spans="4:11" ht="12.75">
      <c r="D22811" s="67"/>
      <c r="G22811" s="68"/>
      <c r="K22811" s="68"/>
    </row>
    <row r="22812" spans="4:11" ht="12.75">
      <c r="D22812" s="67"/>
      <c r="G22812" s="68"/>
      <c r="K22812" s="68"/>
    </row>
    <row r="22813" spans="4:11" ht="12.75">
      <c r="D22813" s="67"/>
      <c r="G22813" s="68"/>
      <c r="K22813" s="68"/>
    </row>
    <row r="22814" spans="4:11" ht="12.75">
      <c r="D22814" s="67"/>
      <c r="G22814" s="68"/>
      <c r="K22814" s="68"/>
    </row>
    <row r="22815" spans="4:11" ht="12.75">
      <c r="D22815" s="67"/>
      <c r="G22815" s="68"/>
      <c r="K22815" s="68"/>
    </row>
    <row r="22816" spans="4:11" ht="12.75">
      <c r="D22816" s="67"/>
      <c r="G22816" s="68"/>
      <c r="K22816" s="68"/>
    </row>
    <row r="22817" spans="4:11" ht="12.75">
      <c r="D22817" s="67"/>
      <c r="G22817" s="68"/>
      <c r="K22817" s="68"/>
    </row>
    <row r="22818" spans="4:11" ht="12.75">
      <c r="D22818" s="67"/>
      <c r="G22818" s="68"/>
      <c r="K22818" s="68"/>
    </row>
    <row r="22819" spans="4:11" ht="12.75">
      <c r="D22819" s="67"/>
      <c r="G22819" s="68"/>
      <c r="K22819" s="68"/>
    </row>
    <row r="22820" spans="4:11" ht="12.75">
      <c r="D22820" s="67"/>
      <c r="G22820" s="68"/>
      <c r="K22820" s="68"/>
    </row>
    <row r="22821" spans="4:11" ht="12.75">
      <c r="D22821" s="67"/>
      <c r="G22821" s="68"/>
      <c r="K22821" s="68"/>
    </row>
    <row r="22822" spans="4:11" ht="12.75">
      <c r="D22822" s="67"/>
      <c r="G22822" s="68"/>
      <c r="K22822" s="68"/>
    </row>
    <row r="22823" spans="4:11" ht="12.75">
      <c r="D22823" s="67"/>
      <c r="G22823" s="68"/>
      <c r="K22823" s="68"/>
    </row>
    <row r="22824" spans="4:11" ht="12.75">
      <c r="D22824" s="67"/>
      <c r="G22824" s="68"/>
      <c r="K22824" s="68"/>
    </row>
    <row r="22825" spans="4:11" ht="12.75">
      <c r="D22825" s="67"/>
      <c r="G22825" s="68"/>
      <c r="K22825" s="68"/>
    </row>
    <row r="22826" spans="4:11" ht="12.75">
      <c r="D22826" s="67"/>
      <c r="G22826" s="68"/>
      <c r="K22826" s="68"/>
    </row>
    <row r="22827" spans="4:11" ht="12.75">
      <c r="D22827" s="67"/>
      <c r="G22827" s="68"/>
      <c r="K22827" s="68"/>
    </row>
    <row r="22828" spans="4:11" ht="12.75">
      <c r="D22828" s="67"/>
      <c r="G22828" s="68"/>
      <c r="K22828" s="68"/>
    </row>
    <row r="22829" spans="4:11" ht="12.75">
      <c r="D22829" s="67"/>
      <c r="G22829" s="68"/>
      <c r="K22829" s="68"/>
    </row>
    <row r="22830" spans="4:11" ht="12.75">
      <c r="D22830" s="67"/>
      <c r="G22830" s="68"/>
      <c r="K22830" s="68"/>
    </row>
    <row r="22831" spans="4:11" ht="12.75">
      <c r="D22831" s="67"/>
      <c r="G22831" s="68"/>
      <c r="K22831" s="68"/>
    </row>
    <row r="22832" spans="4:11" ht="12.75">
      <c r="D22832" s="67"/>
      <c r="G22832" s="68"/>
      <c r="K22832" s="68"/>
    </row>
    <row r="22833" spans="4:11" ht="12.75">
      <c r="D22833" s="67"/>
      <c r="G22833" s="68"/>
      <c r="K22833" s="68"/>
    </row>
    <row r="22834" spans="4:11" ht="12.75">
      <c r="D22834" s="67"/>
      <c r="G22834" s="68"/>
      <c r="K22834" s="68"/>
    </row>
    <row r="22835" spans="4:11" ht="12.75">
      <c r="D22835" s="67"/>
      <c r="G22835" s="68"/>
      <c r="K22835" s="68"/>
    </row>
    <row r="22836" spans="4:11" ht="12.75">
      <c r="D22836" s="67"/>
      <c r="G22836" s="68"/>
      <c r="K22836" s="68"/>
    </row>
    <row r="22837" spans="4:11" ht="12.75">
      <c r="D22837" s="67"/>
      <c r="G22837" s="68"/>
      <c r="K22837" s="68"/>
    </row>
    <row r="22838" spans="4:11" ht="12.75">
      <c r="D22838" s="67"/>
      <c r="G22838" s="68"/>
      <c r="K22838" s="68"/>
    </row>
    <row r="22839" spans="4:11" ht="12.75">
      <c r="D22839" s="67"/>
      <c r="G22839" s="68"/>
      <c r="K22839" s="68"/>
    </row>
    <row r="22840" spans="4:11" ht="12.75">
      <c r="D22840" s="67"/>
      <c r="G22840" s="68"/>
      <c r="K22840" s="68"/>
    </row>
    <row r="22841" spans="4:11" ht="12.75">
      <c r="D22841" s="67"/>
      <c r="G22841" s="68"/>
      <c r="K22841" s="68"/>
    </row>
    <row r="22842" spans="4:11" ht="12.75">
      <c r="D22842" s="67"/>
      <c r="G22842" s="68"/>
      <c r="K22842" s="68"/>
    </row>
    <row r="22843" spans="4:11" ht="12.75">
      <c r="D22843" s="67"/>
      <c r="G22843" s="68"/>
      <c r="K22843" s="68"/>
    </row>
    <row r="22844" spans="4:11" ht="12.75">
      <c r="D22844" s="67"/>
      <c r="G22844" s="68"/>
      <c r="K22844" s="68"/>
    </row>
    <row r="22845" spans="4:11" ht="12.75">
      <c r="D22845" s="67"/>
      <c r="G22845" s="68"/>
      <c r="K22845" s="68"/>
    </row>
    <row r="22846" spans="4:11" ht="12.75">
      <c r="D22846" s="67"/>
      <c r="G22846" s="68"/>
      <c r="K22846" s="68"/>
    </row>
    <row r="22847" spans="4:11" ht="12.75">
      <c r="D22847" s="67"/>
      <c r="G22847" s="68"/>
      <c r="K22847" s="68"/>
    </row>
    <row r="22848" spans="4:11" ht="12.75">
      <c r="D22848" s="67"/>
      <c r="G22848" s="68"/>
      <c r="K22848" s="68"/>
    </row>
    <row r="22849" spans="4:11" ht="12.75">
      <c r="D22849" s="67"/>
      <c r="G22849" s="68"/>
      <c r="K22849" s="68"/>
    </row>
    <row r="22850" spans="4:11" ht="12.75">
      <c r="D22850" s="67"/>
      <c r="G22850" s="68"/>
      <c r="K22850" s="68"/>
    </row>
    <row r="22851" spans="4:11" ht="12.75">
      <c r="D22851" s="67"/>
      <c r="G22851" s="68"/>
      <c r="K22851" s="68"/>
    </row>
    <row r="22852" spans="4:11" ht="12.75">
      <c r="D22852" s="67"/>
      <c r="G22852" s="68"/>
      <c r="K22852" s="68"/>
    </row>
    <row r="22853" spans="4:11" ht="12.75">
      <c r="D22853" s="67"/>
      <c r="G22853" s="68"/>
      <c r="K22853" s="68"/>
    </row>
    <row r="22854" spans="4:11" ht="12.75">
      <c r="D22854" s="67"/>
      <c r="G22854" s="68"/>
      <c r="K22854" s="68"/>
    </row>
    <row r="22855" spans="4:11" ht="12.75">
      <c r="D22855" s="67"/>
      <c r="G22855" s="68"/>
      <c r="K22855" s="68"/>
    </row>
    <row r="22856" spans="4:11" ht="12.75">
      <c r="D22856" s="67"/>
      <c r="G22856" s="68"/>
      <c r="K22856" s="68"/>
    </row>
    <row r="22857" spans="4:11" ht="12.75">
      <c r="D22857" s="67"/>
      <c r="G22857" s="68"/>
      <c r="K22857" s="68"/>
    </row>
    <row r="22858" spans="4:11" ht="12.75">
      <c r="D22858" s="67"/>
      <c r="G22858" s="68"/>
      <c r="K22858" s="68"/>
    </row>
    <row r="22859" spans="4:11" ht="12.75">
      <c r="D22859" s="67"/>
      <c r="G22859" s="68"/>
      <c r="K22859" s="68"/>
    </row>
    <row r="22860" spans="4:11" ht="12.75">
      <c r="D22860" s="67"/>
      <c r="G22860" s="68"/>
      <c r="K22860" s="68"/>
    </row>
    <row r="22861" spans="4:11" ht="12.75">
      <c r="D22861" s="67"/>
      <c r="G22861" s="68"/>
      <c r="K22861" s="68"/>
    </row>
    <row r="22862" spans="4:11" ht="12.75">
      <c r="D22862" s="67"/>
      <c r="G22862" s="68"/>
      <c r="K22862" s="68"/>
    </row>
    <row r="22863" spans="4:11" ht="12.75">
      <c r="D22863" s="67"/>
      <c r="G22863" s="68"/>
      <c r="K22863" s="68"/>
    </row>
    <row r="22864" spans="4:11" ht="12.75">
      <c r="D22864" s="67"/>
      <c r="G22864" s="68"/>
      <c r="K22864" s="68"/>
    </row>
    <row r="22865" spans="4:11" ht="12.75">
      <c r="D22865" s="67"/>
      <c r="G22865" s="68"/>
      <c r="K22865" s="68"/>
    </row>
    <row r="22866" spans="4:11" ht="12.75">
      <c r="D22866" s="67"/>
      <c r="G22866" s="68"/>
      <c r="K22866" s="68"/>
    </row>
    <row r="22867" spans="4:11" ht="12.75">
      <c r="D22867" s="67"/>
      <c r="G22867" s="68"/>
      <c r="K22867" s="68"/>
    </row>
    <row r="22868" spans="4:11" ht="12.75">
      <c r="D22868" s="67"/>
      <c r="G22868" s="68"/>
      <c r="K22868" s="68"/>
    </row>
    <row r="22869" spans="4:11" ht="12.75">
      <c r="D22869" s="67"/>
      <c r="G22869" s="68"/>
      <c r="K22869" s="68"/>
    </row>
    <row r="22870" spans="4:11" ht="12.75">
      <c r="D22870" s="67"/>
      <c r="G22870" s="68"/>
      <c r="K22870" s="68"/>
    </row>
    <row r="22871" spans="4:11" ht="12.75">
      <c r="D22871" s="67"/>
      <c r="G22871" s="68"/>
      <c r="K22871" s="68"/>
    </row>
    <row r="22872" spans="4:11" ht="12.75">
      <c r="D22872" s="67"/>
      <c r="G22872" s="68"/>
      <c r="K22872" s="68"/>
    </row>
    <row r="22873" spans="4:11" ht="12.75">
      <c r="D22873" s="67"/>
      <c r="G22873" s="68"/>
      <c r="K22873" s="68"/>
    </row>
    <row r="22874" spans="4:11" ht="12.75">
      <c r="D22874" s="67"/>
      <c r="G22874" s="68"/>
      <c r="K22874" s="68"/>
    </row>
    <row r="22875" spans="4:11" ht="12.75">
      <c r="D22875" s="67"/>
      <c r="G22875" s="68"/>
      <c r="K22875" s="68"/>
    </row>
    <row r="22876" spans="4:11" ht="12.75">
      <c r="D22876" s="67"/>
      <c r="G22876" s="68"/>
      <c r="K22876" s="68"/>
    </row>
    <row r="22877" spans="4:11" ht="12.75">
      <c r="D22877" s="67"/>
      <c r="G22877" s="68"/>
      <c r="K22877" s="68"/>
    </row>
    <row r="22878" spans="4:11" ht="12.75">
      <c r="D22878" s="67"/>
      <c r="G22878" s="68"/>
      <c r="K22878" s="68"/>
    </row>
    <row r="22879" spans="4:11" ht="12.75">
      <c r="D22879" s="67"/>
      <c r="G22879" s="68"/>
      <c r="K22879" s="68"/>
    </row>
    <row r="22880" spans="4:11" ht="12.75">
      <c r="D22880" s="67"/>
      <c r="G22880" s="68"/>
      <c r="K22880" s="68"/>
    </row>
    <row r="22881" spans="4:11" ht="12.75">
      <c r="D22881" s="67"/>
      <c r="G22881" s="68"/>
      <c r="K22881" s="68"/>
    </row>
    <row r="22882" spans="4:11" ht="12.75">
      <c r="D22882" s="67"/>
      <c r="G22882" s="68"/>
      <c r="K22882" s="68"/>
    </row>
    <row r="22883" spans="4:11" ht="12.75">
      <c r="D22883" s="67"/>
      <c r="G22883" s="68"/>
      <c r="K22883" s="68"/>
    </row>
    <row r="22884" spans="4:11" ht="12.75">
      <c r="D22884" s="67"/>
      <c r="G22884" s="68"/>
      <c r="K22884" s="68"/>
    </row>
    <row r="22885" spans="4:11" ht="12.75">
      <c r="D22885" s="67"/>
      <c r="G22885" s="68"/>
      <c r="K22885" s="68"/>
    </row>
    <row r="22886" spans="4:11" ht="12.75">
      <c r="D22886" s="67"/>
      <c r="G22886" s="68"/>
      <c r="K22886" s="68"/>
    </row>
    <row r="22887" spans="4:11" ht="12.75">
      <c r="D22887" s="67"/>
      <c r="G22887" s="68"/>
      <c r="K22887" s="68"/>
    </row>
    <row r="22888" spans="4:11" ht="12.75">
      <c r="D22888" s="67"/>
      <c r="G22888" s="68"/>
      <c r="K22888" s="68"/>
    </row>
    <row r="22889" spans="4:11" ht="12.75">
      <c r="D22889" s="67"/>
      <c r="G22889" s="68"/>
      <c r="K22889" s="68"/>
    </row>
    <row r="22890" spans="4:11" ht="12.75">
      <c r="D22890" s="67"/>
      <c r="G22890" s="68"/>
      <c r="K22890" s="68"/>
    </row>
    <row r="22891" spans="4:11" ht="12.75">
      <c r="D22891" s="67"/>
      <c r="G22891" s="68"/>
      <c r="K22891" s="68"/>
    </row>
    <row r="22892" spans="4:11" ht="12.75">
      <c r="D22892" s="67"/>
      <c r="G22892" s="68"/>
      <c r="K22892" s="68"/>
    </row>
    <row r="22893" spans="4:11" ht="12.75">
      <c r="D22893" s="67"/>
      <c r="G22893" s="68"/>
      <c r="K22893" s="68"/>
    </row>
    <row r="22894" spans="4:11" ht="12.75">
      <c r="D22894" s="67"/>
      <c r="G22894" s="68"/>
      <c r="K22894" s="68"/>
    </row>
    <row r="22895" spans="4:11" ht="12.75">
      <c r="D22895" s="67"/>
      <c r="G22895" s="68"/>
      <c r="K22895" s="68"/>
    </row>
    <row r="22896" spans="4:11" ht="12.75">
      <c r="D22896" s="67"/>
      <c r="G22896" s="68"/>
      <c r="K22896" s="68"/>
    </row>
    <row r="22897" spans="4:11" ht="12.75">
      <c r="D22897" s="67"/>
      <c r="G22897" s="68"/>
      <c r="K22897" s="68"/>
    </row>
    <row r="22898" spans="4:11" ht="12.75">
      <c r="D22898" s="67"/>
      <c r="G22898" s="68"/>
      <c r="K22898" s="68"/>
    </row>
    <row r="22899" spans="4:11" ht="12.75">
      <c r="D22899" s="67"/>
      <c r="G22899" s="68"/>
      <c r="K22899" s="68"/>
    </row>
    <row r="22900" spans="4:11" ht="12.75">
      <c r="D22900" s="67"/>
      <c r="G22900" s="68"/>
      <c r="K22900" s="68"/>
    </row>
    <row r="22901" spans="4:11" ht="12.75">
      <c r="D22901" s="67"/>
      <c r="G22901" s="68"/>
      <c r="K22901" s="68"/>
    </row>
    <row r="22902" spans="4:11" ht="12.75">
      <c r="D22902" s="67"/>
      <c r="G22902" s="68"/>
      <c r="K22902" s="68"/>
    </row>
    <row r="22903" spans="4:11" ht="12.75">
      <c r="D22903" s="67"/>
      <c r="G22903" s="68"/>
      <c r="K22903" s="68"/>
    </row>
    <row r="22904" spans="4:11" ht="12.75">
      <c r="D22904" s="67"/>
      <c r="G22904" s="68"/>
      <c r="K22904" s="68"/>
    </row>
    <row r="22905" spans="4:11" ht="12.75">
      <c r="D22905" s="67"/>
      <c r="G22905" s="68"/>
      <c r="K22905" s="68"/>
    </row>
    <row r="22906" spans="4:11" ht="12.75">
      <c r="D22906" s="67"/>
      <c r="G22906" s="68"/>
      <c r="K22906" s="68"/>
    </row>
    <row r="22907" spans="4:11" ht="12.75">
      <c r="D22907" s="67"/>
      <c r="G22907" s="68"/>
      <c r="K22907" s="68"/>
    </row>
    <row r="22908" spans="4:11" ht="12.75">
      <c r="D22908" s="67"/>
      <c r="G22908" s="68"/>
      <c r="K22908" s="68"/>
    </row>
    <row r="22909" spans="4:11" ht="12.75">
      <c r="D22909" s="67"/>
      <c r="G22909" s="68"/>
      <c r="K22909" s="68"/>
    </row>
    <row r="22910" spans="4:11" ht="12.75">
      <c r="D22910" s="67"/>
      <c r="G22910" s="68"/>
      <c r="K22910" s="68"/>
    </row>
    <row r="22911" spans="4:11" ht="12.75">
      <c r="D22911" s="67"/>
      <c r="G22911" s="68"/>
      <c r="K22911" s="68"/>
    </row>
    <row r="22912" spans="4:11" ht="12.75">
      <c r="D22912" s="67"/>
      <c r="G22912" s="68"/>
      <c r="K22912" s="68"/>
    </row>
    <row r="22913" spans="4:11" ht="12.75">
      <c r="D22913" s="67"/>
      <c r="G22913" s="68"/>
      <c r="K22913" s="68"/>
    </row>
    <row r="22914" spans="4:11" ht="12.75">
      <c r="D22914" s="67"/>
      <c r="G22914" s="68"/>
      <c r="K22914" s="68"/>
    </row>
    <row r="22915" spans="4:11" ht="12.75">
      <c r="D22915" s="67"/>
      <c r="G22915" s="68"/>
      <c r="K22915" s="68"/>
    </row>
    <row r="22916" spans="4:11" ht="12.75">
      <c r="D22916" s="67"/>
      <c r="G22916" s="68"/>
      <c r="K22916" s="68"/>
    </row>
    <row r="22917" spans="4:11" ht="12.75">
      <c r="D22917" s="67"/>
      <c r="G22917" s="68"/>
      <c r="K22917" s="68"/>
    </row>
    <row r="22918" spans="4:11" ht="12.75">
      <c r="D22918" s="67"/>
      <c r="G22918" s="68"/>
      <c r="K22918" s="68"/>
    </row>
    <row r="22919" spans="4:11" ht="12.75">
      <c r="D22919" s="67"/>
      <c r="G22919" s="68"/>
      <c r="K22919" s="68"/>
    </row>
    <row r="22920" spans="4:11" ht="12.75">
      <c r="D22920" s="67"/>
      <c r="G22920" s="68"/>
      <c r="K22920" s="68"/>
    </row>
    <row r="22921" spans="4:11" ht="12.75">
      <c r="D22921" s="67"/>
      <c r="G22921" s="68"/>
      <c r="K22921" s="68"/>
    </row>
    <row r="22922" spans="4:11" ht="12.75">
      <c r="D22922" s="67"/>
      <c r="G22922" s="68"/>
      <c r="K22922" s="68"/>
    </row>
    <row r="22923" spans="4:11" ht="12.75">
      <c r="D22923" s="67"/>
      <c r="G22923" s="68"/>
      <c r="K22923" s="68"/>
    </row>
    <row r="22924" spans="4:11" ht="12.75">
      <c r="D22924" s="67"/>
      <c r="G22924" s="68"/>
      <c r="K22924" s="68"/>
    </row>
    <row r="22925" spans="4:11" ht="12.75">
      <c r="D22925" s="67"/>
      <c r="G22925" s="68"/>
      <c r="K22925" s="68"/>
    </row>
    <row r="22926" spans="4:11" ht="12.75">
      <c r="D22926" s="67"/>
      <c r="G22926" s="68"/>
      <c r="K22926" s="68"/>
    </row>
    <row r="22927" spans="4:11" ht="12.75">
      <c r="D22927" s="67"/>
      <c r="G22927" s="68"/>
      <c r="K22927" s="68"/>
    </row>
    <row r="22928" spans="4:11" ht="12.75">
      <c r="D22928" s="67"/>
      <c r="G22928" s="68"/>
      <c r="K22928" s="68"/>
    </row>
    <row r="22929" spans="4:11" ht="12.75">
      <c r="D22929" s="67"/>
      <c r="G22929" s="68"/>
      <c r="K22929" s="68"/>
    </row>
    <row r="22930" spans="4:11" ht="12.75">
      <c r="D22930" s="67"/>
      <c r="G22930" s="68"/>
      <c r="K22930" s="68"/>
    </row>
    <row r="22931" spans="4:11" ht="12.75">
      <c r="D22931" s="67"/>
      <c r="G22931" s="68"/>
      <c r="K22931" s="68"/>
    </row>
    <row r="22932" spans="4:11" ht="12.75">
      <c r="D22932" s="67"/>
      <c r="G22932" s="68"/>
      <c r="K22932" s="68"/>
    </row>
    <row r="22933" spans="4:11" ht="12.75">
      <c r="D22933" s="67"/>
      <c r="G22933" s="68"/>
      <c r="K22933" s="68"/>
    </row>
    <row r="22934" spans="4:11" ht="12.75">
      <c r="D22934" s="67"/>
      <c r="G22934" s="68"/>
      <c r="K22934" s="68"/>
    </row>
    <row r="22935" spans="4:11" ht="12.75">
      <c r="D22935" s="67"/>
      <c r="G22935" s="68"/>
      <c r="K22935" s="68"/>
    </row>
    <row r="22936" spans="4:11" ht="12.75">
      <c r="D22936" s="67"/>
      <c r="G22936" s="68"/>
      <c r="K22936" s="68"/>
    </row>
    <row r="22937" spans="4:11" ht="12.75">
      <c r="D22937" s="67"/>
      <c r="G22937" s="68"/>
      <c r="K22937" s="68"/>
    </row>
    <row r="22938" spans="4:11" ht="12.75">
      <c r="D22938" s="67"/>
      <c r="G22938" s="68"/>
      <c r="K22938" s="68"/>
    </row>
    <row r="22939" spans="4:11" ht="12.75">
      <c r="D22939" s="67"/>
      <c r="G22939" s="68"/>
      <c r="K22939" s="68"/>
    </row>
    <row r="22940" spans="4:11" ht="12.75">
      <c r="D22940" s="67"/>
      <c r="G22940" s="68"/>
      <c r="K22940" s="68"/>
    </row>
    <row r="22941" spans="4:11" ht="12.75">
      <c r="D22941" s="67"/>
      <c r="G22941" s="68"/>
      <c r="K22941" s="68"/>
    </row>
    <row r="22942" spans="4:11" ht="12.75">
      <c r="D22942" s="67"/>
      <c r="G22942" s="68"/>
      <c r="K22942" s="68"/>
    </row>
    <row r="22943" spans="4:11" ht="12.75">
      <c r="D22943" s="67"/>
      <c r="G22943" s="68"/>
      <c r="K22943" s="68"/>
    </row>
    <row r="22944" spans="4:11" ht="12.75">
      <c r="D22944" s="67"/>
      <c r="G22944" s="68"/>
      <c r="K22944" s="68"/>
    </row>
    <row r="22945" spans="4:11" ht="12.75">
      <c r="D22945" s="67"/>
      <c r="G22945" s="68"/>
      <c r="K22945" s="68"/>
    </row>
    <row r="22946" spans="4:11" ht="12.75">
      <c r="D22946" s="67"/>
      <c r="G22946" s="68"/>
      <c r="K22946" s="68"/>
    </row>
    <row r="22947" spans="4:11" ht="12.75">
      <c r="D22947" s="67"/>
      <c r="G22947" s="68"/>
      <c r="K22947" s="68"/>
    </row>
    <row r="22948" spans="4:11" ht="12.75">
      <c r="D22948" s="67"/>
      <c r="G22948" s="68"/>
      <c r="K22948" s="68"/>
    </row>
    <row r="22949" spans="4:11" ht="12.75">
      <c r="D22949" s="67"/>
      <c r="G22949" s="68"/>
      <c r="K22949" s="68"/>
    </row>
    <row r="22950" spans="4:11" ht="12.75">
      <c r="D22950" s="67"/>
      <c r="G22950" s="68"/>
      <c r="K22950" s="68"/>
    </row>
    <row r="22951" spans="4:11" ht="12.75">
      <c r="D22951" s="67"/>
      <c r="G22951" s="68"/>
      <c r="K22951" s="68"/>
    </row>
    <row r="22952" spans="4:11" ht="12.75">
      <c r="D22952" s="67"/>
      <c r="G22952" s="68"/>
      <c r="K22952" s="68"/>
    </row>
    <row r="22953" spans="4:11" ht="12.75">
      <c r="D22953" s="67"/>
      <c r="G22953" s="68"/>
      <c r="K22953" s="68"/>
    </row>
    <row r="22954" spans="4:11" ht="12.75">
      <c r="D22954" s="67"/>
      <c r="G22954" s="68"/>
      <c r="K22954" s="68"/>
    </row>
    <row r="22955" spans="4:11" ht="12.75">
      <c r="D22955" s="67"/>
      <c r="G22955" s="68"/>
      <c r="K22955" s="68"/>
    </row>
    <row r="22956" spans="4:11" ht="12.75">
      <c r="D22956" s="67"/>
      <c r="G22956" s="68"/>
      <c r="K22956" s="68"/>
    </row>
    <row r="22957" spans="4:11" ht="12.75">
      <c r="D22957" s="67"/>
      <c r="G22957" s="68"/>
      <c r="K22957" s="68"/>
    </row>
    <row r="22958" spans="4:11" ht="12.75">
      <c r="D22958" s="67"/>
      <c r="G22958" s="68"/>
      <c r="K22958" s="68"/>
    </row>
    <row r="22959" spans="4:11" ht="12.75">
      <c r="D22959" s="67"/>
      <c r="G22959" s="68"/>
      <c r="K22959" s="68"/>
    </row>
    <row r="22960" spans="4:11" ht="12.75">
      <c r="D22960" s="67"/>
      <c r="G22960" s="68"/>
      <c r="K22960" s="68"/>
    </row>
    <row r="22961" spans="4:11" ht="12.75">
      <c r="D22961" s="67"/>
      <c r="G22961" s="68"/>
      <c r="K22961" s="68"/>
    </row>
    <row r="22962" spans="4:11" ht="12.75">
      <c r="D22962" s="67"/>
      <c r="G22962" s="68"/>
      <c r="K22962" s="68"/>
    </row>
    <row r="22963" spans="4:11" ht="12.75">
      <c r="D22963" s="67"/>
      <c r="G22963" s="68"/>
      <c r="K22963" s="68"/>
    </row>
    <row r="22964" spans="4:11" ht="12.75">
      <c r="D22964" s="67"/>
      <c r="G22964" s="68"/>
      <c r="K22964" s="68"/>
    </row>
    <row r="22965" spans="4:11" ht="12.75">
      <c r="D22965" s="67"/>
      <c r="G22965" s="68"/>
      <c r="K22965" s="68"/>
    </row>
    <row r="22966" spans="4:11" ht="12.75">
      <c r="D22966" s="67"/>
      <c r="G22966" s="68"/>
      <c r="K22966" s="68"/>
    </row>
    <row r="22967" spans="4:11" ht="12.75">
      <c r="D22967" s="67"/>
      <c r="G22967" s="68"/>
      <c r="K22967" s="68"/>
    </row>
    <row r="22968" spans="4:11" ht="12.75">
      <c r="D22968" s="67"/>
      <c r="G22968" s="68"/>
      <c r="K22968" s="68"/>
    </row>
    <row r="22969" spans="4:11" ht="12.75">
      <c r="D22969" s="67"/>
      <c r="G22969" s="68"/>
      <c r="K22969" s="68"/>
    </row>
    <row r="22970" spans="4:11" ht="12.75">
      <c r="D22970" s="67"/>
      <c r="G22970" s="68"/>
      <c r="K22970" s="68"/>
    </row>
    <row r="22971" spans="4:11" ht="12.75">
      <c r="D22971" s="67"/>
      <c r="G22971" s="68"/>
      <c r="K22971" s="68"/>
    </row>
    <row r="22972" spans="4:11" ht="12.75">
      <c r="D22972" s="67"/>
      <c r="G22972" s="68"/>
      <c r="K22972" s="68"/>
    </row>
    <row r="22973" spans="4:11" ht="12.75">
      <c r="D22973" s="67"/>
      <c r="G22973" s="68"/>
      <c r="K22973" s="68"/>
    </row>
    <row r="22974" spans="4:11" ht="12.75">
      <c r="D22974" s="67"/>
      <c r="G22974" s="68"/>
      <c r="K22974" s="68"/>
    </row>
    <row r="22975" spans="4:11" ht="12.75">
      <c r="D22975" s="67"/>
      <c r="G22975" s="68"/>
      <c r="K22975" s="68"/>
    </row>
    <row r="22976" spans="4:11" ht="12.75">
      <c r="D22976" s="67"/>
      <c r="G22976" s="68"/>
      <c r="K22976" s="68"/>
    </row>
    <row r="22977" spans="4:11" ht="12.75">
      <c r="D22977" s="67"/>
      <c r="G22977" s="68"/>
      <c r="K22977" s="68"/>
    </row>
    <row r="22978" spans="4:11" ht="12.75">
      <c r="D22978" s="67"/>
      <c r="G22978" s="68"/>
      <c r="K22978" s="68"/>
    </row>
    <row r="22979" spans="4:11" ht="12.75">
      <c r="D22979" s="67"/>
      <c r="G22979" s="68"/>
      <c r="K22979" s="68"/>
    </row>
    <row r="22980" spans="4:11" ht="12.75">
      <c r="D22980" s="67"/>
      <c r="G22980" s="68"/>
      <c r="K22980" s="68"/>
    </row>
    <row r="22981" spans="4:11" ht="12.75">
      <c r="D22981" s="67"/>
      <c r="G22981" s="68"/>
      <c r="K22981" s="68"/>
    </row>
    <row r="22982" spans="4:11" ht="12.75">
      <c r="D22982" s="67"/>
      <c r="G22982" s="68"/>
      <c r="K22982" s="68"/>
    </row>
    <row r="22983" spans="4:11" ht="12.75">
      <c r="D22983" s="67"/>
      <c r="G22983" s="68"/>
      <c r="K22983" s="68"/>
    </row>
    <row r="22984" spans="4:11" ht="12.75">
      <c r="D22984" s="67"/>
      <c r="G22984" s="68"/>
      <c r="K22984" s="68"/>
    </row>
    <row r="22985" spans="4:11" ht="12.75">
      <c r="D22985" s="67"/>
      <c r="G22985" s="68"/>
      <c r="K22985" s="68"/>
    </row>
    <row r="22986" spans="4:11" ht="12.75">
      <c r="D22986" s="67"/>
      <c r="G22986" s="68"/>
      <c r="K22986" s="68"/>
    </row>
    <row r="22987" spans="4:11" ht="12.75">
      <c r="D22987" s="67"/>
      <c r="G22987" s="68"/>
      <c r="K22987" s="68"/>
    </row>
    <row r="22988" spans="4:11" ht="12.75">
      <c r="D22988" s="67"/>
      <c r="G22988" s="68"/>
      <c r="K22988" s="68"/>
    </row>
    <row r="22989" spans="4:11" ht="12.75">
      <c r="D22989" s="67"/>
      <c r="G22989" s="68"/>
      <c r="K22989" s="68"/>
    </row>
    <row r="22990" spans="4:11" ht="12.75">
      <c r="D22990" s="67"/>
      <c r="G22990" s="68"/>
      <c r="K22990" s="68"/>
    </row>
    <row r="22991" spans="4:11" ht="12.75">
      <c r="D22991" s="67"/>
      <c r="G22991" s="68"/>
      <c r="K22991" s="68"/>
    </row>
    <row r="22992" spans="4:11" ht="12.75">
      <c r="D22992" s="67"/>
      <c r="G22992" s="68"/>
      <c r="K22992" s="68"/>
    </row>
    <row r="22993" spans="4:11" ht="12.75">
      <c r="D22993" s="67"/>
      <c r="G22993" s="68"/>
      <c r="K22993" s="68"/>
    </row>
    <row r="22994" spans="4:11" ht="12.75">
      <c r="D22994" s="67"/>
      <c r="G22994" s="68"/>
      <c r="K22994" s="68"/>
    </row>
    <row r="22995" spans="4:11" ht="12.75">
      <c r="D22995" s="67"/>
      <c r="G22995" s="68"/>
      <c r="K22995" s="68"/>
    </row>
    <row r="22996" spans="4:11" ht="12.75">
      <c r="D22996" s="67"/>
      <c r="G22996" s="68"/>
      <c r="K22996" s="68"/>
    </row>
    <row r="22997" spans="4:11" ht="12.75">
      <c r="D22997" s="67"/>
      <c r="G22997" s="68"/>
      <c r="K22997" s="68"/>
    </row>
    <row r="22998" spans="4:11" ht="12.75">
      <c r="D22998" s="67"/>
      <c r="G22998" s="68"/>
      <c r="K22998" s="68"/>
    </row>
    <row r="22999" spans="4:11" ht="12.75">
      <c r="D22999" s="67"/>
      <c r="G22999" s="68"/>
      <c r="K22999" s="68"/>
    </row>
    <row r="23000" spans="4:11" ht="12.75">
      <c r="D23000" s="67"/>
      <c r="G23000" s="68"/>
      <c r="K23000" s="68"/>
    </row>
    <row r="23001" spans="4:11" ht="12.75">
      <c r="D23001" s="67"/>
      <c r="G23001" s="68"/>
      <c r="K23001" s="68"/>
    </row>
    <row r="23002" spans="4:11" ht="12.75">
      <c r="D23002" s="67"/>
      <c r="G23002" s="68"/>
      <c r="K23002" s="68"/>
    </row>
    <row r="23003" spans="4:11" ht="12.75">
      <c r="D23003" s="67"/>
      <c r="G23003" s="68"/>
      <c r="K23003" s="68"/>
    </row>
    <row r="23004" spans="4:11" ht="12.75">
      <c r="D23004" s="67"/>
      <c r="G23004" s="68"/>
      <c r="K23004" s="68"/>
    </row>
    <row r="23005" spans="4:11" ht="12.75">
      <c r="D23005" s="67"/>
      <c r="G23005" s="68"/>
      <c r="K23005" s="68"/>
    </row>
    <row r="23006" spans="4:11" ht="12.75">
      <c r="D23006" s="67"/>
      <c r="G23006" s="68"/>
      <c r="K23006" s="68"/>
    </row>
    <row r="23007" spans="4:11" ht="12.75">
      <c r="D23007" s="67"/>
      <c r="G23007" s="68"/>
      <c r="K23007" s="68"/>
    </row>
    <row r="23008" spans="4:11" ht="12.75">
      <c r="D23008" s="67"/>
      <c r="G23008" s="68"/>
      <c r="K23008" s="68"/>
    </row>
    <row r="23009" spans="4:11" ht="12.75">
      <c r="D23009" s="67"/>
      <c r="G23009" s="68"/>
      <c r="K23009" s="68"/>
    </row>
    <row r="23010" spans="4:11" ht="12.75">
      <c r="D23010" s="67"/>
      <c r="G23010" s="68"/>
      <c r="K23010" s="68"/>
    </row>
    <row r="23011" spans="4:11" ht="12.75">
      <c r="D23011" s="67"/>
      <c r="G23011" s="68"/>
      <c r="K23011" s="68"/>
    </row>
    <row r="23012" spans="4:11" ht="12.75">
      <c r="D23012" s="67"/>
      <c r="G23012" s="68"/>
      <c r="K23012" s="68"/>
    </row>
    <row r="23013" spans="4:11" ht="12.75">
      <c r="D23013" s="67"/>
      <c r="G23013" s="68"/>
      <c r="K23013" s="68"/>
    </row>
    <row r="23014" spans="4:11" ht="12.75">
      <c r="D23014" s="67"/>
      <c r="G23014" s="68"/>
      <c r="K23014" s="68"/>
    </row>
    <row r="23015" spans="4:11" ht="12.75">
      <c r="D23015" s="67"/>
      <c r="G23015" s="68"/>
      <c r="K23015" s="68"/>
    </row>
    <row r="23016" spans="4:11" ht="12.75">
      <c r="D23016" s="67"/>
      <c r="G23016" s="68"/>
      <c r="K23016" s="68"/>
    </row>
    <row r="23017" spans="4:11" ht="12.75">
      <c r="D23017" s="67"/>
      <c r="G23017" s="68"/>
      <c r="K23017" s="68"/>
    </row>
    <row r="23018" spans="4:11" ht="12.75">
      <c r="D23018" s="67"/>
      <c r="G23018" s="68"/>
      <c r="K23018" s="68"/>
    </row>
    <row r="23019" spans="4:11" ht="12.75">
      <c r="D23019" s="67"/>
      <c r="G23019" s="68"/>
      <c r="K23019" s="68"/>
    </row>
    <row r="23020" spans="4:11" ht="12.75">
      <c r="D23020" s="67"/>
      <c r="G23020" s="68"/>
      <c r="K23020" s="68"/>
    </row>
    <row r="23021" spans="4:11" ht="12.75">
      <c r="D23021" s="67"/>
      <c r="G23021" s="68"/>
      <c r="K23021" s="68"/>
    </row>
    <row r="23022" spans="4:11" ht="12.75">
      <c r="D23022" s="67"/>
      <c r="G23022" s="68"/>
      <c r="K23022" s="68"/>
    </row>
    <row r="23023" spans="4:11" ht="12.75">
      <c r="D23023" s="67"/>
      <c r="G23023" s="68"/>
      <c r="K23023" s="68"/>
    </row>
    <row r="23024" spans="4:11" ht="12.75">
      <c r="D23024" s="67"/>
      <c r="G23024" s="68"/>
      <c r="K23024" s="68"/>
    </row>
    <row r="23025" spans="4:11" ht="12.75">
      <c r="D23025" s="67"/>
      <c r="G23025" s="68"/>
      <c r="K23025" s="68"/>
    </row>
    <row r="23026" spans="4:11" ht="12.75">
      <c r="D23026" s="67"/>
      <c r="G23026" s="68"/>
      <c r="K23026" s="68"/>
    </row>
    <row r="23027" spans="4:11" ht="12.75">
      <c r="D23027" s="67"/>
      <c r="G23027" s="68"/>
      <c r="K23027" s="68"/>
    </row>
    <row r="23028" spans="4:11" ht="12.75">
      <c r="D23028" s="67"/>
      <c r="G23028" s="68"/>
      <c r="K23028" s="68"/>
    </row>
    <row r="23029" spans="4:11" ht="12.75">
      <c r="D23029" s="67"/>
      <c r="G23029" s="68"/>
      <c r="K23029" s="68"/>
    </row>
    <row r="23030" spans="4:11" ht="12.75">
      <c r="D23030" s="67"/>
      <c r="G23030" s="68"/>
      <c r="K23030" s="68"/>
    </row>
    <row r="23031" spans="4:11" ht="12.75">
      <c r="D23031" s="67"/>
      <c r="G23031" s="68"/>
      <c r="K23031" s="68"/>
    </row>
    <row r="23032" spans="4:11" ht="12.75">
      <c r="D23032" s="67"/>
      <c r="G23032" s="68"/>
      <c r="K23032" s="68"/>
    </row>
    <row r="23033" spans="4:11" ht="12.75">
      <c r="D23033" s="67"/>
      <c r="G23033" s="68"/>
      <c r="K23033" s="68"/>
    </row>
    <row r="23034" spans="4:11" ht="12.75">
      <c r="D23034" s="67"/>
      <c r="G23034" s="68"/>
      <c r="K23034" s="68"/>
    </row>
    <row r="23035" spans="4:11" ht="12.75">
      <c r="D23035" s="67"/>
      <c r="G23035" s="68"/>
      <c r="K23035" s="68"/>
    </row>
    <row r="23036" spans="4:11" ht="12.75">
      <c r="D23036" s="67"/>
      <c r="G23036" s="68"/>
      <c r="K23036" s="68"/>
    </row>
    <row r="23037" spans="4:11" ht="12.75">
      <c r="D23037" s="67"/>
      <c r="G23037" s="68"/>
      <c r="K23037" s="68"/>
    </row>
    <row r="23038" spans="4:11" ht="12.75">
      <c r="D23038" s="67"/>
      <c r="G23038" s="68"/>
      <c r="K23038" s="68"/>
    </row>
    <row r="23039" spans="4:11" ht="12.75">
      <c r="D23039" s="67"/>
      <c r="G23039" s="68"/>
      <c r="K23039" s="68"/>
    </row>
    <row r="23040" spans="4:11" ht="12.75">
      <c r="D23040" s="67"/>
      <c r="G23040" s="68"/>
      <c r="K23040" s="68"/>
    </row>
    <row r="23041" spans="4:11" ht="12.75">
      <c r="D23041" s="67"/>
      <c r="G23041" s="68"/>
      <c r="K23041" s="68"/>
    </row>
    <row r="23042" spans="4:11" ht="12.75">
      <c r="D23042" s="67"/>
      <c r="G23042" s="68"/>
      <c r="K23042" s="68"/>
    </row>
    <row r="23043" spans="4:11" ht="12.75">
      <c r="D23043" s="67"/>
      <c r="G23043" s="68"/>
      <c r="K23043" s="68"/>
    </row>
    <row r="23044" spans="4:11" ht="12.75">
      <c r="D23044" s="67"/>
      <c r="G23044" s="68"/>
      <c r="K23044" s="68"/>
    </row>
    <row r="23045" spans="4:11" ht="12.75">
      <c r="D23045" s="67"/>
      <c r="G23045" s="68"/>
      <c r="K23045" s="68"/>
    </row>
    <row r="23046" spans="4:11" ht="12.75">
      <c r="D23046" s="67"/>
      <c r="G23046" s="68"/>
      <c r="K23046" s="68"/>
    </row>
    <row r="23047" spans="4:11" ht="12.75">
      <c r="D23047" s="67"/>
      <c r="G23047" s="68"/>
      <c r="K23047" s="68"/>
    </row>
    <row r="23048" spans="4:11" ht="12.75">
      <c r="D23048" s="67"/>
      <c r="G23048" s="68"/>
      <c r="K23048" s="68"/>
    </row>
    <row r="23049" spans="4:11" ht="12.75">
      <c r="D23049" s="67"/>
      <c r="G23049" s="68"/>
      <c r="K23049" s="68"/>
    </row>
    <row r="23050" spans="4:11" ht="12.75">
      <c r="D23050" s="67"/>
      <c r="G23050" s="68"/>
      <c r="K23050" s="68"/>
    </row>
    <row r="23051" spans="4:11" ht="12.75">
      <c r="D23051" s="67"/>
      <c r="G23051" s="68"/>
      <c r="K23051" s="68"/>
    </row>
    <row r="23052" spans="4:11" ht="12.75">
      <c r="D23052" s="67"/>
      <c r="G23052" s="68"/>
      <c r="K23052" s="68"/>
    </row>
    <row r="23053" spans="4:11" ht="12.75">
      <c r="D23053" s="67"/>
      <c r="G23053" s="68"/>
      <c r="K23053" s="68"/>
    </row>
    <row r="23054" spans="4:11" ht="12.75">
      <c r="D23054" s="67"/>
      <c r="G23054" s="68"/>
      <c r="K23054" s="68"/>
    </row>
    <row r="23055" spans="4:11" ht="12.75">
      <c r="D23055" s="67"/>
      <c r="G23055" s="68"/>
      <c r="K23055" s="68"/>
    </row>
    <row r="23056" spans="4:11" ht="12.75">
      <c r="D23056" s="67"/>
      <c r="G23056" s="68"/>
      <c r="K23056" s="68"/>
    </row>
    <row r="23057" spans="4:11" ht="12.75">
      <c r="D23057" s="67"/>
      <c r="G23057" s="68"/>
      <c r="K23057" s="68"/>
    </row>
    <row r="23058" spans="4:11" ht="12.75">
      <c r="D23058" s="67"/>
      <c r="G23058" s="68"/>
      <c r="K23058" s="68"/>
    </row>
    <row r="23059" spans="4:11" ht="12.75">
      <c r="D23059" s="67"/>
      <c r="G23059" s="68"/>
      <c r="K23059" s="68"/>
    </row>
    <row r="23060" spans="4:11" ht="12.75">
      <c r="D23060" s="67"/>
      <c r="G23060" s="68"/>
      <c r="K23060" s="68"/>
    </row>
    <row r="23061" spans="4:11" ht="12.75">
      <c r="D23061" s="67"/>
      <c r="G23061" s="68"/>
      <c r="K23061" s="68"/>
    </row>
    <row r="23062" spans="4:11" ht="12.75">
      <c r="D23062" s="67"/>
      <c r="G23062" s="68"/>
      <c r="K23062" s="68"/>
    </row>
    <row r="23063" spans="4:11" ht="12.75">
      <c r="D23063" s="67"/>
      <c r="G23063" s="68"/>
      <c r="K23063" s="68"/>
    </row>
    <row r="23064" spans="4:11" ht="12.75">
      <c r="D23064" s="67"/>
      <c r="G23064" s="68"/>
      <c r="K23064" s="68"/>
    </row>
    <row r="23065" spans="4:11" ht="12.75">
      <c r="D23065" s="67"/>
      <c r="G23065" s="68"/>
      <c r="K23065" s="68"/>
    </row>
    <row r="23066" spans="4:11" ht="12.75">
      <c r="D23066" s="67"/>
      <c r="G23066" s="68"/>
      <c r="K23066" s="68"/>
    </row>
    <row r="23067" spans="4:11" ht="12.75">
      <c r="D23067" s="67"/>
      <c r="G23067" s="68"/>
      <c r="K23067" s="68"/>
    </row>
    <row r="23068" spans="4:11" ht="12.75">
      <c r="D23068" s="67"/>
      <c r="G23068" s="68"/>
      <c r="K23068" s="68"/>
    </row>
    <row r="23069" spans="4:11" ht="12.75">
      <c r="D23069" s="67"/>
      <c r="G23069" s="68"/>
      <c r="K23069" s="68"/>
    </row>
    <row r="23070" spans="4:11" ht="12.75">
      <c r="D23070" s="67"/>
      <c r="G23070" s="68"/>
      <c r="K23070" s="68"/>
    </row>
    <row r="23071" spans="4:11" ht="12.75">
      <c r="D23071" s="67"/>
      <c r="G23071" s="68"/>
      <c r="K23071" s="68"/>
    </row>
    <row r="23072" spans="4:11" ht="12.75">
      <c r="D23072" s="67"/>
      <c r="G23072" s="68"/>
      <c r="K23072" s="68"/>
    </row>
    <row r="23073" spans="4:11" ht="12.75">
      <c r="D23073" s="67"/>
      <c r="G23073" s="68"/>
      <c r="K23073" s="68"/>
    </row>
    <row r="23074" spans="4:11" ht="12.75">
      <c r="D23074" s="67"/>
      <c r="G23074" s="68"/>
      <c r="K23074" s="68"/>
    </row>
    <row r="23075" spans="4:11" ht="12.75">
      <c r="D23075" s="67"/>
      <c r="G23075" s="68"/>
      <c r="K23075" s="68"/>
    </row>
    <row r="23076" spans="4:11" ht="12.75">
      <c r="D23076" s="67"/>
      <c r="G23076" s="68"/>
      <c r="K23076" s="68"/>
    </row>
    <row r="23077" spans="4:11" ht="12.75">
      <c r="D23077" s="67"/>
      <c r="G23077" s="68"/>
      <c r="K23077" s="68"/>
    </row>
    <row r="23078" spans="4:11" ht="12.75">
      <c r="D23078" s="67"/>
      <c r="G23078" s="68"/>
      <c r="K23078" s="68"/>
    </row>
    <row r="23079" spans="4:11" ht="12.75">
      <c r="D23079" s="67"/>
      <c r="G23079" s="68"/>
      <c r="K23079" s="68"/>
    </row>
    <row r="23080" spans="4:11" ht="12.75">
      <c r="D23080" s="67"/>
      <c r="G23080" s="68"/>
      <c r="K23080" s="68"/>
    </row>
    <row r="23081" spans="4:11" ht="12.75">
      <c r="D23081" s="67"/>
      <c r="G23081" s="68"/>
      <c r="K23081" s="68"/>
    </row>
    <row r="23082" spans="4:11" ht="12.75">
      <c r="D23082" s="67"/>
      <c r="G23082" s="68"/>
      <c r="K23082" s="68"/>
    </row>
    <row r="23083" spans="4:11" ht="12.75">
      <c r="D23083" s="67"/>
      <c r="G23083" s="68"/>
      <c r="K23083" s="68"/>
    </row>
    <row r="23084" spans="4:11" ht="12.75">
      <c r="D23084" s="67"/>
      <c r="G23084" s="68"/>
      <c r="K23084" s="68"/>
    </row>
    <row r="23085" spans="4:11" ht="12.75">
      <c r="D23085" s="67"/>
      <c r="G23085" s="68"/>
      <c r="K23085" s="68"/>
    </row>
    <row r="23086" spans="4:11" ht="12.75">
      <c r="D23086" s="67"/>
      <c r="G23086" s="68"/>
      <c r="K23086" s="68"/>
    </row>
    <row r="23087" spans="4:11" ht="12.75">
      <c r="D23087" s="67"/>
      <c r="G23087" s="68"/>
      <c r="K23087" s="68"/>
    </row>
    <row r="23088" spans="4:11" ht="12.75">
      <c r="D23088" s="67"/>
      <c r="G23088" s="68"/>
      <c r="K23088" s="68"/>
    </row>
    <row r="23089" spans="4:11" ht="12.75">
      <c r="D23089" s="67"/>
      <c r="G23089" s="68"/>
      <c r="K23089" s="68"/>
    </row>
    <row r="23090" spans="4:11" ht="12.75">
      <c r="D23090" s="67"/>
      <c r="G23090" s="68"/>
      <c r="K23090" s="68"/>
    </row>
    <row r="23091" spans="4:11" ht="12.75">
      <c r="D23091" s="67"/>
      <c r="G23091" s="68"/>
      <c r="K23091" s="68"/>
    </row>
    <row r="23092" spans="4:11" ht="12.75">
      <c r="D23092" s="67"/>
      <c r="G23092" s="68"/>
      <c r="K23092" s="68"/>
    </row>
    <row r="23093" spans="4:11" ht="12.75">
      <c r="D23093" s="67"/>
      <c r="G23093" s="68"/>
      <c r="K23093" s="68"/>
    </row>
    <row r="23094" spans="4:11" ht="12.75">
      <c r="D23094" s="67"/>
      <c r="G23094" s="68"/>
      <c r="K23094" s="68"/>
    </row>
    <row r="23095" spans="4:11" ht="12.75">
      <c r="D23095" s="67"/>
      <c r="G23095" s="68"/>
      <c r="K23095" s="68"/>
    </row>
    <row r="23096" spans="4:11" ht="12.75">
      <c r="D23096" s="67"/>
      <c r="G23096" s="68"/>
      <c r="K23096" s="68"/>
    </row>
    <row r="23097" spans="4:11" ht="12.75">
      <c r="D23097" s="67"/>
      <c r="G23097" s="68"/>
      <c r="K23097" s="68"/>
    </row>
    <row r="23098" spans="4:11" ht="12.75">
      <c r="D23098" s="67"/>
      <c r="G23098" s="68"/>
      <c r="K23098" s="68"/>
    </row>
    <row r="23099" spans="4:11" ht="12.75">
      <c r="D23099" s="67"/>
      <c r="G23099" s="68"/>
      <c r="K23099" s="68"/>
    </row>
    <row r="23100" spans="4:11" ht="12.75">
      <c r="D23100" s="67"/>
      <c r="G23100" s="68"/>
      <c r="K23100" s="68"/>
    </row>
    <row r="23101" spans="4:11" ht="12.75">
      <c r="D23101" s="67"/>
      <c r="G23101" s="68"/>
      <c r="K23101" s="68"/>
    </row>
    <row r="23102" spans="4:11" ht="12.75">
      <c r="D23102" s="67"/>
      <c r="G23102" s="68"/>
      <c r="K23102" s="68"/>
    </row>
    <row r="23103" spans="4:11" ht="12.75">
      <c r="D23103" s="67"/>
      <c r="G23103" s="68"/>
      <c r="K23103" s="68"/>
    </row>
    <row r="23104" spans="4:11" ht="12.75">
      <c r="D23104" s="67"/>
      <c r="G23104" s="68"/>
      <c r="K23104" s="68"/>
    </row>
    <row r="23105" spans="4:11" ht="12.75">
      <c r="D23105" s="67"/>
      <c r="G23105" s="68"/>
      <c r="K23105" s="68"/>
    </row>
    <row r="23106" spans="4:11" ht="12.75">
      <c r="D23106" s="67"/>
      <c r="G23106" s="68"/>
      <c r="K23106" s="68"/>
    </row>
    <row r="23107" spans="4:11" ht="12.75">
      <c r="D23107" s="67"/>
      <c r="G23107" s="68"/>
      <c r="K23107" s="68"/>
    </row>
    <row r="23108" spans="4:11" ht="12.75">
      <c r="D23108" s="67"/>
      <c r="G23108" s="68"/>
      <c r="K23108" s="68"/>
    </row>
    <row r="23109" spans="4:11" ht="12.75">
      <c r="D23109" s="67"/>
      <c r="G23109" s="68"/>
      <c r="K23109" s="68"/>
    </row>
    <row r="23110" spans="4:11" ht="12.75">
      <c r="D23110" s="67"/>
      <c r="G23110" s="68"/>
      <c r="K23110" s="68"/>
    </row>
    <row r="23111" spans="4:11" ht="12.75">
      <c r="D23111" s="67"/>
      <c r="G23111" s="68"/>
      <c r="K23111" s="68"/>
    </row>
    <row r="23112" spans="4:11" ht="12.75">
      <c r="D23112" s="67"/>
      <c r="G23112" s="68"/>
      <c r="K23112" s="68"/>
    </row>
    <row r="23113" spans="4:11" ht="12.75">
      <c r="D23113" s="67"/>
      <c r="G23113" s="68"/>
      <c r="K23113" s="68"/>
    </row>
    <row r="23114" spans="4:11" ht="12.75">
      <c r="D23114" s="67"/>
      <c r="G23114" s="68"/>
      <c r="K23114" s="68"/>
    </row>
    <row r="23115" spans="4:11" ht="12.75">
      <c r="D23115" s="67"/>
      <c r="G23115" s="68"/>
      <c r="K23115" s="68"/>
    </row>
    <row r="23116" spans="4:11" ht="12.75">
      <c r="D23116" s="67"/>
      <c r="G23116" s="68"/>
      <c r="K23116" s="68"/>
    </row>
    <row r="23117" spans="4:11" ht="12.75">
      <c r="D23117" s="67"/>
      <c r="G23117" s="68"/>
      <c r="K23117" s="68"/>
    </row>
    <row r="23118" spans="4:11" ht="12.75">
      <c r="D23118" s="67"/>
      <c r="G23118" s="68"/>
      <c r="K23118" s="68"/>
    </row>
    <row r="23119" spans="4:11" ht="12.75">
      <c r="D23119" s="67"/>
      <c r="G23119" s="68"/>
      <c r="K23119" s="68"/>
    </row>
    <row r="23120" spans="4:11" ht="12.75">
      <c r="D23120" s="67"/>
      <c r="G23120" s="68"/>
      <c r="K23120" s="68"/>
    </row>
    <row r="23121" spans="4:11" ht="12.75">
      <c r="D23121" s="67"/>
      <c r="G23121" s="68"/>
      <c r="K23121" s="68"/>
    </row>
    <row r="23122" spans="4:11" ht="12.75">
      <c r="D23122" s="67"/>
      <c r="G23122" s="68"/>
      <c r="K23122" s="68"/>
    </row>
    <row r="23123" spans="4:11" ht="12.75">
      <c r="D23123" s="67"/>
      <c r="G23123" s="68"/>
      <c r="K23123" s="68"/>
    </row>
    <row r="23124" spans="4:11" ht="12.75">
      <c r="D23124" s="67"/>
      <c r="G23124" s="68"/>
      <c r="K23124" s="68"/>
    </row>
    <row r="23125" spans="4:11" ht="12.75">
      <c r="D23125" s="67"/>
      <c r="G23125" s="68"/>
      <c r="K23125" s="68"/>
    </row>
    <row r="23126" spans="4:11" ht="12.75">
      <c r="D23126" s="67"/>
      <c r="G23126" s="68"/>
      <c r="K23126" s="68"/>
    </row>
    <row r="23127" spans="4:11" ht="12.75">
      <c r="D23127" s="67"/>
      <c r="G23127" s="68"/>
      <c r="K23127" s="68"/>
    </row>
    <row r="23128" spans="4:11" ht="12.75">
      <c r="D23128" s="67"/>
      <c r="G23128" s="68"/>
      <c r="K23128" s="68"/>
    </row>
    <row r="23129" spans="4:11" ht="12.75">
      <c r="D23129" s="67"/>
      <c r="G23129" s="68"/>
      <c r="K23129" s="68"/>
    </row>
    <row r="23130" spans="4:11" ht="12.75">
      <c r="D23130" s="67"/>
      <c r="G23130" s="68"/>
      <c r="K23130" s="68"/>
    </row>
    <row r="23131" spans="4:11" ht="12.75">
      <c r="D23131" s="67"/>
      <c r="G23131" s="68"/>
      <c r="K23131" s="68"/>
    </row>
    <row r="23132" spans="4:11" ht="12.75">
      <c r="D23132" s="67"/>
      <c r="G23132" s="68"/>
      <c r="K23132" s="68"/>
    </row>
    <row r="23133" spans="4:11" ht="12.75">
      <c r="D23133" s="67"/>
      <c r="G23133" s="68"/>
      <c r="K23133" s="68"/>
    </row>
    <row r="23134" spans="4:11" ht="12.75">
      <c r="D23134" s="67"/>
      <c r="G23134" s="68"/>
      <c r="K23134" s="68"/>
    </row>
    <row r="23135" spans="4:11" ht="12.75">
      <c r="D23135" s="67"/>
      <c r="G23135" s="68"/>
      <c r="K23135" s="68"/>
    </row>
    <row r="23136" spans="4:11" ht="12.75">
      <c r="D23136" s="67"/>
      <c r="G23136" s="68"/>
      <c r="K23136" s="68"/>
    </row>
    <row r="23137" spans="4:11" ht="12.75">
      <c r="D23137" s="67"/>
      <c r="G23137" s="68"/>
      <c r="K23137" s="68"/>
    </row>
    <row r="23138" spans="4:11" ht="12.75">
      <c r="D23138" s="67"/>
      <c r="G23138" s="68"/>
      <c r="K23138" s="68"/>
    </row>
    <row r="23139" spans="4:11" ht="12.75">
      <c r="D23139" s="67"/>
      <c r="G23139" s="68"/>
      <c r="K23139" s="68"/>
    </row>
    <row r="23140" spans="4:11" ht="12.75">
      <c r="D23140" s="67"/>
      <c r="G23140" s="68"/>
      <c r="K23140" s="68"/>
    </row>
    <row r="23141" spans="4:11" ht="12.75">
      <c r="D23141" s="67"/>
      <c r="G23141" s="68"/>
      <c r="K23141" s="68"/>
    </row>
    <row r="23142" spans="4:11" ht="12.75">
      <c r="D23142" s="67"/>
      <c r="G23142" s="68"/>
      <c r="K23142" s="68"/>
    </row>
    <row r="23143" spans="4:11" ht="12.75">
      <c r="D23143" s="67"/>
      <c r="G23143" s="68"/>
      <c r="K23143" s="68"/>
    </row>
    <row r="23144" spans="4:11" ht="12.75">
      <c r="D23144" s="67"/>
      <c r="G23144" s="68"/>
      <c r="K23144" s="68"/>
    </row>
    <row r="23145" spans="4:11" ht="12.75">
      <c r="D23145" s="67"/>
      <c r="G23145" s="68"/>
      <c r="K23145" s="68"/>
    </row>
    <row r="23146" spans="4:11" ht="12.75">
      <c r="D23146" s="67"/>
      <c r="G23146" s="68"/>
      <c r="K23146" s="68"/>
    </row>
    <row r="23147" spans="4:11" ht="12.75">
      <c r="D23147" s="67"/>
      <c r="G23147" s="68"/>
      <c r="K23147" s="68"/>
    </row>
    <row r="23148" spans="4:11" ht="12.75">
      <c r="D23148" s="67"/>
      <c r="G23148" s="68"/>
      <c r="K23148" s="68"/>
    </row>
    <row r="23149" spans="4:11" ht="12.75">
      <c r="D23149" s="67"/>
      <c r="G23149" s="68"/>
      <c r="K23149" s="68"/>
    </row>
    <row r="23150" spans="4:11" ht="12.75">
      <c r="D23150" s="67"/>
      <c r="G23150" s="68"/>
      <c r="K23150" s="68"/>
    </row>
    <row r="23151" spans="4:11" ht="12.75">
      <c r="D23151" s="67"/>
      <c r="G23151" s="68"/>
      <c r="K23151" s="68"/>
    </row>
    <row r="23152" spans="4:11" ht="12.75">
      <c r="D23152" s="67"/>
      <c r="G23152" s="68"/>
      <c r="K23152" s="68"/>
    </row>
    <row r="23153" spans="4:11" ht="12.75">
      <c r="D23153" s="67"/>
      <c r="G23153" s="68"/>
      <c r="K23153" s="68"/>
    </row>
    <row r="23154" spans="4:11" ht="12.75">
      <c r="D23154" s="67"/>
      <c r="G23154" s="68"/>
      <c r="K23154" s="68"/>
    </row>
    <row r="23155" spans="4:11" ht="12.75">
      <c r="D23155" s="67"/>
      <c r="G23155" s="68"/>
      <c r="K23155" s="68"/>
    </row>
    <row r="23156" spans="4:11" ht="12.75">
      <c r="D23156" s="67"/>
      <c r="G23156" s="68"/>
      <c r="K23156" s="68"/>
    </row>
    <row r="23157" spans="4:11" ht="12.75">
      <c r="D23157" s="67"/>
      <c r="G23157" s="68"/>
      <c r="K23157" s="68"/>
    </row>
    <row r="23158" spans="4:11" ht="12.75">
      <c r="D23158" s="67"/>
      <c r="G23158" s="68"/>
      <c r="K23158" s="68"/>
    </row>
    <row r="23159" spans="4:11" ht="12.75">
      <c r="D23159" s="67"/>
      <c r="G23159" s="68"/>
      <c r="K23159" s="68"/>
    </row>
    <row r="23160" spans="4:11" ht="12.75">
      <c r="D23160" s="67"/>
      <c r="G23160" s="68"/>
      <c r="K23160" s="68"/>
    </row>
    <row r="23161" spans="4:11" ht="12.75">
      <c r="D23161" s="67"/>
      <c r="G23161" s="68"/>
      <c r="K23161" s="68"/>
    </row>
    <row r="23162" spans="4:11" ht="12.75">
      <c r="D23162" s="67"/>
      <c r="G23162" s="68"/>
      <c r="K23162" s="68"/>
    </row>
    <row r="23163" spans="4:11" ht="12.75">
      <c r="D23163" s="67"/>
      <c r="G23163" s="68"/>
      <c r="K23163" s="68"/>
    </row>
    <row r="23164" spans="4:11" ht="12.75">
      <c r="D23164" s="67"/>
      <c r="G23164" s="68"/>
      <c r="K23164" s="68"/>
    </row>
    <row r="23165" spans="4:11" ht="12.75">
      <c r="D23165" s="67"/>
      <c r="G23165" s="68"/>
      <c r="K23165" s="68"/>
    </row>
    <row r="23166" spans="4:11" ht="12.75">
      <c r="D23166" s="67"/>
      <c r="G23166" s="68"/>
      <c r="K23166" s="68"/>
    </row>
    <row r="23167" spans="4:11" ht="12.75">
      <c r="D23167" s="67"/>
      <c r="G23167" s="68"/>
      <c r="K23167" s="68"/>
    </row>
    <row r="23168" spans="4:11" ht="12.75">
      <c r="D23168" s="67"/>
      <c r="G23168" s="68"/>
      <c r="K23168" s="68"/>
    </row>
    <row r="23169" spans="4:11" ht="12.75">
      <c r="D23169" s="67"/>
      <c r="G23169" s="68"/>
      <c r="K23169" s="68"/>
    </row>
    <row r="23170" spans="4:11" ht="12.75">
      <c r="D23170" s="67"/>
      <c r="G23170" s="68"/>
      <c r="K23170" s="68"/>
    </row>
    <row r="23171" spans="4:11" ht="12.75">
      <c r="D23171" s="67"/>
      <c r="G23171" s="68"/>
      <c r="K23171" s="68"/>
    </row>
    <row r="23172" spans="4:11" ht="12.75">
      <c r="D23172" s="67"/>
      <c r="G23172" s="68"/>
      <c r="K23172" s="68"/>
    </row>
    <row r="23173" spans="4:11" ht="12.75">
      <c r="D23173" s="67"/>
      <c r="G23173" s="68"/>
      <c r="K23173" s="68"/>
    </row>
    <row r="23174" spans="4:11" ht="12.75">
      <c r="D23174" s="67"/>
      <c r="G23174" s="68"/>
      <c r="K23174" s="68"/>
    </row>
    <row r="23175" spans="4:11" ht="12.75">
      <c r="D23175" s="67"/>
      <c r="G23175" s="68"/>
      <c r="K23175" s="68"/>
    </row>
    <row r="23176" spans="4:11" ht="12.75">
      <c r="D23176" s="67"/>
      <c r="G23176" s="68"/>
      <c r="K23176" s="68"/>
    </row>
    <row r="23177" spans="4:11" ht="12.75">
      <c r="D23177" s="67"/>
      <c r="G23177" s="68"/>
      <c r="K23177" s="68"/>
    </row>
    <row r="23178" spans="4:11" ht="12.75">
      <c r="D23178" s="67"/>
      <c r="G23178" s="68"/>
      <c r="K23178" s="68"/>
    </row>
    <row r="23179" spans="4:11" ht="12.75">
      <c r="D23179" s="67"/>
      <c r="G23179" s="68"/>
      <c r="K23179" s="68"/>
    </row>
    <row r="23180" spans="4:11" ht="12.75">
      <c r="D23180" s="67"/>
      <c r="G23180" s="68"/>
      <c r="K23180" s="68"/>
    </row>
    <row r="23181" spans="4:11" ht="12.75">
      <c r="D23181" s="67"/>
      <c r="G23181" s="68"/>
      <c r="K23181" s="68"/>
    </row>
    <row r="23182" spans="4:11" ht="12.75">
      <c r="D23182" s="67"/>
      <c r="G23182" s="68"/>
      <c r="K23182" s="68"/>
    </row>
    <row r="23183" spans="4:11" ht="12.75">
      <c r="D23183" s="67"/>
      <c r="G23183" s="68"/>
      <c r="K23183" s="68"/>
    </row>
    <row r="23184" spans="4:11" ht="12.75">
      <c r="D23184" s="67"/>
      <c r="G23184" s="68"/>
      <c r="K23184" s="68"/>
    </row>
    <row r="23185" spans="4:11" ht="12.75">
      <c r="D23185" s="67"/>
      <c r="G23185" s="68"/>
      <c r="K23185" s="68"/>
    </row>
    <row r="23186" spans="4:11" ht="12.75">
      <c r="D23186" s="67"/>
      <c r="G23186" s="68"/>
      <c r="K23186" s="68"/>
    </row>
    <row r="23187" spans="4:11" ht="12.75">
      <c r="D23187" s="67"/>
      <c r="G23187" s="68"/>
      <c r="K23187" s="68"/>
    </row>
    <row r="23188" spans="4:11" ht="12.75">
      <c r="D23188" s="67"/>
      <c r="G23188" s="68"/>
      <c r="K23188" s="68"/>
    </row>
    <row r="23189" spans="4:11" ht="12.75">
      <c r="D23189" s="67"/>
      <c r="G23189" s="68"/>
      <c r="K23189" s="68"/>
    </row>
    <row r="23190" spans="4:11" ht="12.75">
      <c r="D23190" s="67"/>
      <c r="G23190" s="68"/>
      <c r="K23190" s="68"/>
    </row>
    <row r="23191" spans="4:11" ht="12.75">
      <c r="D23191" s="67"/>
      <c r="G23191" s="68"/>
      <c r="K23191" s="68"/>
    </row>
    <row r="23192" spans="4:11" ht="12.75">
      <c r="D23192" s="67"/>
      <c r="G23192" s="68"/>
      <c r="K23192" s="68"/>
    </row>
    <row r="23193" spans="4:11" ht="12.75">
      <c r="D23193" s="67"/>
      <c r="G23193" s="68"/>
      <c r="K23193" s="68"/>
    </row>
    <row r="23194" spans="4:11" ht="12.75">
      <c r="D23194" s="67"/>
      <c r="G23194" s="68"/>
      <c r="K23194" s="68"/>
    </row>
    <row r="23195" spans="4:11" ht="12.75">
      <c r="D23195" s="67"/>
      <c r="G23195" s="68"/>
      <c r="K23195" s="68"/>
    </row>
    <row r="23196" spans="4:11" ht="12.75">
      <c r="D23196" s="67"/>
      <c r="G23196" s="68"/>
      <c r="K23196" s="68"/>
    </row>
    <row r="23197" spans="4:11" ht="12.75">
      <c r="D23197" s="67"/>
      <c r="G23197" s="68"/>
      <c r="K23197" s="68"/>
    </row>
    <row r="23198" spans="4:11" ht="12.75">
      <c r="D23198" s="67"/>
      <c r="G23198" s="68"/>
      <c r="K23198" s="68"/>
    </row>
    <row r="23199" spans="4:11" ht="12.75">
      <c r="D23199" s="67"/>
      <c r="G23199" s="68"/>
      <c r="K23199" s="68"/>
    </row>
    <row r="23200" spans="4:11" ht="12.75">
      <c r="D23200" s="67"/>
      <c r="G23200" s="68"/>
      <c r="K23200" s="68"/>
    </row>
    <row r="23201" spans="4:11" ht="12.75">
      <c r="D23201" s="67"/>
      <c r="G23201" s="68"/>
      <c r="K23201" s="68"/>
    </row>
    <row r="23202" spans="4:11" ht="12.75">
      <c r="D23202" s="67"/>
      <c r="G23202" s="68"/>
      <c r="K23202" s="68"/>
    </row>
    <row r="23203" spans="4:11" ht="12.75">
      <c r="D23203" s="67"/>
      <c r="G23203" s="68"/>
      <c r="K23203" s="68"/>
    </row>
    <row r="23204" spans="4:11" ht="12.75">
      <c r="D23204" s="67"/>
      <c r="G23204" s="68"/>
      <c r="K23204" s="68"/>
    </row>
    <row r="23205" spans="4:11" ht="12.75">
      <c r="D23205" s="67"/>
      <c r="G23205" s="68"/>
      <c r="K23205" s="68"/>
    </row>
    <row r="23206" spans="4:11" ht="12.75">
      <c r="D23206" s="67"/>
      <c r="G23206" s="68"/>
      <c r="K23206" s="68"/>
    </row>
    <row r="23207" spans="4:11" ht="12.75">
      <c r="D23207" s="67"/>
      <c r="G23207" s="68"/>
      <c r="K23207" s="68"/>
    </row>
    <row r="23208" spans="4:11" ht="12.75">
      <c r="D23208" s="67"/>
      <c r="G23208" s="68"/>
      <c r="K23208" s="68"/>
    </row>
    <row r="23209" spans="4:11" ht="12.75">
      <c r="D23209" s="67"/>
      <c r="G23209" s="68"/>
      <c r="K23209" s="68"/>
    </row>
    <row r="23210" spans="4:11" ht="12.75">
      <c r="D23210" s="67"/>
      <c r="G23210" s="68"/>
      <c r="K23210" s="68"/>
    </row>
    <row r="23211" spans="4:11" ht="12.75">
      <c r="D23211" s="67"/>
      <c r="G23211" s="68"/>
      <c r="K23211" s="68"/>
    </row>
    <row r="23212" spans="4:11" ht="12.75">
      <c r="D23212" s="67"/>
      <c r="G23212" s="68"/>
      <c r="K23212" s="68"/>
    </row>
    <row r="23213" spans="4:11" ht="12.75">
      <c r="D23213" s="67"/>
      <c r="G23213" s="68"/>
      <c r="K23213" s="68"/>
    </row>
    <row r="23214" spans="4:11" ht="12.75">
      <c r="D23214" s="67"/>
      <c r="G23214" s="68"/>
      <c r="K23214" s="68"/>
    </row>
    <row r="23215" spans="4:11" ht="12.75">
      <c r="D23215" s="67"/>
      <c r="G23215" s="68"/>
      <c r="K23215" s="68"/>
    </row>
    <row r="23216" spans="4:11" ht="12.75">
      <c r="D23216" s="67"/>
      <c r="G23216" s="68"/>
      <c r="K23216" s="68"/>
    </row>
    <row r="23217" spans="4:11" ht="12.75">
      <c r="D23217" s="67"/>
      <c r="G23217" s="68"/>
      <c r="K23217" s="68"/>
    </row>
    <row r="23218" spans="4:11" ht="12.75">
      <c r="D23218" s="67"/>
      <c r="G23218" s="68"/>
      <c r="K23218" s="68"/>
    </row>
    <row r="23219" spans="4:11" ht="12.75">
      <c r="D23219" s="67"/>
      <c r="G23219" s="68"/>
      <c r="K23219" s="68"/>
    </row>
    <row r="23220" spans="4:11" ht="12.75">
      <c r="D23220" s="67"/>
      <c r="G23220" s="68"/>
      <c r="K23220" s="68"/>
    </row>
    <row r="23221" spans="4:11" ht="12.75">
      <c r="D23221" s="67"/>
      <c r="G23221" s="68"/>
      <c r="K23221" s="68"/>
    </row>
    <row r="23222" spans="4:11" ht="12.75">
      <c r="D23222" s="67"/>
      <c r="G23222" s="68"/>
      <c r="K23222" s="68"/>
    </row>
    <row r="23223" spans="4:11" ht="12.75">
      <c r="D23223" s="67"/>
      <c r="G23223" s="68"/>
      <c r="K23223" s="68"/>
    </row>
    <row r="23224" spans="4:11" ht="12.75">
      <c r="D23224" s="67"/>
      <c r="G23224" s="68"/>
      <c r="K23224" s="68"/>
    </row>
    <row r="23225" spans="4:11" ht="12.75">
      <c r="D23225" s="67"/>
      <c r="G23225" s="68"/>
      <c r="K23225" s="68"/>
    </row>
    <row r="23226" spans="4:11" ht="12.75">
      <c r="D23226" s="67"/>
      <c r="G23226" s="68"/>
      <c r="K23226" s="68"/>
    </row>
    <row r="23227" spans="4:11" ht="12.75">
      <c r="D23227" s="67"/>
      <c r="G23227" s="68"/>
      <c r="K23227" s="68"/>
    </row>
    <row r="23228" spans="4:11" ht="12.75">
      <c r="D23228" s="67"/>
      <c r="G23228" s="68"/>
      <c r="K23228" s="68"/>
    </row>
    <row r="23229" spans="4:11" ht="12.75">
      <c r="D23229" s="67"/>
      <c r="G23229" s="68"/>
      <c r="K23229" s="68"/>
    </row>
    <row r="23230" spans="4:11" ht="12.75">
      <c r="D23230" s="67"/>
      <c r="G23230" s="68"/>
      <c r="K23230" s="68"/>
    </row>
    <row r="23231" spans="4:11" ht="12.75">
      <c r="D23231" s="67"/>
      <c r="G23231" s="68"/>
      <c r="K23231" s="68"/>
    </row>
    <row r="23232" spans="4:11" ht="12.75">
      <c r="D23232" s="67"/>
      <c r="G23232" s="68"/>
      <c r="K23232" s="68"/>
    </row>
    <row r="23233" spans="4:11" ht="12.75">
      <c r="D23233" s="67"/>
      <c r="G23233" s="68"/>
      <c r="K23233" s="68"/>
    </row>
    <row r="23234" spans="4:11" ht="12.75">
      <c r="D23234" s="67"/>
      <c r="G23234" s="68"/>
      <c r="K23234" s="68"/>
    </row>
    <row r="23235" spans="4:11" ht="12.75">
      <c r="D23235" s="67"/>
      <c r="G23235" s="68"/>
      <c r="K23235" s="68"/>
    </row>
    <row r="23236" spans="4:11" ht="12.75">
      <c r="D23236" s="67"/>
      <c r="G23236" s="68"/>
      <c r="K23236" s="68"/>
    </row>
    <row r="23237" spans="4:11" ht="12.75">
      <c r="D23237" s="67"/>
      <c r="G23237" s="68"/>
      <c r="K23237" s="68"/>
    </row>
    <row r="23238" spans="4:11" ht="12.75">
      <c r="D23238" s="67"/>
      <c r="G23238" s="68"/>
      <c r="K23238" s="68"/>
    </row>
    <row r="23239" spans="4:11" ht="12.75">
      <c r="D23239" s="67"/>
      <c r="G23239" s="68"/>
      <c r="K23239" s="68"/>
    </row>
    <row r="23240" spans="4:11" ht="12.75">
      <c r="D23240" s="67"/>
      <c r="G23240" s="68"/>
      <c r="K23240" s="68"/>
    </row>
    <row r="23241" spans="4:11" ht="12.75">
      <c r="D23241" s="67"/>
      <c r="G23241" s="68"/>
      <c r="K23241" s="68"/>
    </row>
    <row r="23242" spans="4:11" ht="12.75">
      <c r="D23242" s="67"/>
      <c r="G23242" s="68"/>
      <c r="K23242" s="68"/>
    </row>
    <row r="23243" spans="4:11" ht="12.75">
      <c r="D23243" s="67"/>
      <c r="G23243" s="68"/>
      <c r="K23243" s="68"/>
    </row>
    <row r="23244" spans="4:11" ht="12.75">
      <c r="D23244" s="67"/>
      <c r="G23244" s="68"/>
      <c r="K23244" s="68"/>
    </row>
    <row r="23245" spans="4:11" ht="12.75">
      <c r="D23245" s="67"/>
      <c r="G23245" s="68"/>
      <c r="K23245" s="68"/>
    </row>
    <row r="23246" spans="4:11" ht="12.75">
      <c r="D23246" s="67"/>
      <c r="G23246" s="68"/>
      <c r="K23246" s="68"/>
    </row>
    <row r="23247" spans="4:11" ht="12.75">
      <c r="D23247" s="67"/>
      <c r="G23247" s="68"/>
      <c r="K23247" s="68"/>
    </row>
    <row r="23248" spans="4:11" ht="12.75">
      <c r="D23248" s="67"/>
      <c r="G23248" s="68"/>
      <c r="K23248" s="68"/>
    </row>
    <row r="23249" spans="4:11" ht="12.75">
      <c r="D23249" s="67"/>
      <c r="G23249" s="68"/>
      <c r="K23249" s="68"/>
    </row>
    <row r="23250" spans="4:11" ht="12.75">
      <c r="D23250" s="67"/>
      <c r="G23250" s="68"/>
      <c r="K23250" s="68"/>
    </row>
    <row r="23251" spans="4:11" ht="12.75">
      <c r="D23251" s="67"/>
      <c r="G23251" s="68"/>
      <c r="K23251" s="68"/>
    </row>
    <row r="23252" spans="4:11" ht="12.75">
      <c r="D23252" s="67"/>
      <c r="G23252" s="68"/>
      <c r="K23252" s="68"/>
    </row>
    <row r="23253" spans="4:11" ht="12.75">
      <c r="D23253" s="67"/>
      <c r="G23253" s="68"/>
      <c r="K23253" s="68"/>
    </row>
    <row r="23254" spans="4:11" ht="12.75">
      <c r="D23254" s="67"/>
      <c r="G23254" s="68"/>
      <c r="K23254" s="68"/>
    </row>
    <row r="23255" spans="4:11" ht="12.75">
      <c r="D23255" s="67"/>
      <c r="G23255" s="68"/>
      <c r="K23255" s="68"/>
    </row>
    <row r="23256" spans="4:11" ht="12.75">
      <c r="D23256" s="67"/>
      <c r="G23256" s="68"/>
      <c r="K23256" s="68"/>
    </row>
    <row r="23257" spans="4:11" ht="12.75">
      <c r="D23257" s="67"/>
      <c r="G23257" s="68"/>
      <c r="K23257" s="68"/>
    </row>
    <row r="23258" spans="4:11" ht="12.75">
      <c r="D23258" s="67"/>
      <c r="G23258" s="68"/>
      <c r="K23258" s="68"/>
    </row>
    <row r="23259" spans="4:11" ht="12.75">
      <c r="D23259" s="67"/>
      <c r="G23259" s="68"/>
      <c r="K23259" s="68"/>
    </row>
    <row r="23260" spans="4:11" ht="12.75">
      <c r="D23260" s="67"/>
      <c r="G23260" s="68"/>
      <c r="K23260" s="68"/>
    </row>
    <row r="23261" spans="4:11" ht="12.75">
      <c r="D23261" s="67"/>
      <c r="G23261" s="68"/>
      <c r="K23261" s="68"/>
    </row>
    <row r="23262" spans="4:11" ht="12.75">
      <c r="D23262" s="67"/>
      <c r="G23262" s="68"/>
      <c r="K23262" s="68"/>
    </row>
    <row r="23263" spans="4:11" ht="12.75">
      <c r="D23263" s="67"/>
      <c r="G23263" s="68"/>
      <c r="K23263" s="68"/>
    </row>
    <row r="23264" spans="4:11" ht="12.75">
      <c r="D23264" s="67"/>
      <c r="G23264" s="68"/>
      <c r="K23264" s="68"/>
    </row>
    <row r="23265" spans="4:11" ht="12.75">
      <c r="D23265" s="67"/>
      <c r="G23265" s="68"/>
      <c r="K23265" s="68"/>
    </row>
    <row r="23266" spans="4:11" ht="12.75">
      <c r="D23266" s="67"/>
      <c r="G23266" s="68"/>
      <c r="K23266" s="68"/>
    </row>
    <row r="23267" spans="4:11" ht="12.75">
      <c r="D23267" s="67"/>
      <c r="G23267" s="68"/>
      <c r="K23267" s="68"/>
    </row>
    <row r="23268" spans="4:11" ht="12.75">
      <c r="D23268" s="67"/>
      <c r="G23268" s="68"/>
      <c r="K23268" s="68"/>
    </row>
    <row r="23269" spans="4:11" ht="12.75">
      <c r="D23269" s="67"/>
      <c r="G23269" s="68"/>
      <c r="K23269" s="68"/>
    </row>
    <row r="23270" spans="4:11" ht="12.75">
      <c r="D23270" s="67"/>
      <c r="G23270" s="68"/>
      <c r="K23270" s="68"/>
    </row>
    <row r="23271" spans="4:11" ht="12.75">
      <c r="D23271" s="67"/>
      <c r="G23271" s="68"/>
      <c r="K23271" s="68"/>
    </row>
    <row r="23272" spans="4:11" ht="12.75">
      <c r="D23272" s="67"/>
      <c r="G23272" s="68"/>
      <c r="K23272" s="68"/>
    </row>
    <row r="23273" spans="4:11" ht="12.75">
      <c r="D23273" s="67"/>
      <c r="G23273" s="68"/>
      <c r="K23273" s="68"/>
    </row>
    <row r="23274" spans="4:11" ht="12.75">
      <c r="D23274" s="67"/>
      <c r="G23274" s="68"/>
      <c r="K23274" s="68"/>
    </row>
    <row r="23275" spans="4:11" ht="12.75">
      <c r="D23275" s="67"/>
      <c r="G23275" s="68"/>
      <c r="K23275" s="68"/>
    </row>
    <row r="23276" spans="4:11" ht="12.75">
      <c r="D23276" s="67"/>
      <c r="G23276" s="68"/>
      <c r="K23276" s="68"/>
    </row>
    <row r="23277" spans="4:11" ht="12.75">
      <c r="D23277" s="67"/>
      <c r="G23277" s="68"/>
      <c r="K23277" s="68"/>
    </row>
    <row r="23278" spans="4:11" ht="12.75">
      <c r="D23278" s="67"/>
      <c r="G23278" s="68"/>
      <c r="K23278" s="68"/>
    </row>
    <row r="23279" spans="4:11" ht="12.75">
      <c r="D23279" s="67"/>
      <c r="G23279" s="68"/>
      <c r="K23279" s="68"/>
    </row>
    <row r="23280" spans="4:11" ht="12.75">
      <c r="D23280" s="67"/>
      <c r="G23280" s="68"/>
      <c r="K23280" s="68"/>
    </row>
    <row r="23281" spans="4:11" ht="12.75">
      <c r="D23281" s="67"/>
      <c r="G23281" s="68"/>
      <c r="K23281" s="68"/>
    </row>
    <row r="23282" spans="4:11" ht="12.75">
      <c r="D23282" s="67"/>
      <c r="G23282" s="68"/>
      <c r="K23282" s="68"/>
    </row>
    <row r="23283" spans="4:11" ht="12.75">
      <c r="D23283" s="67"/>
      <c r="G23283" s="68"/>
      <c r="K23283" s="68"/>
    </row>
    <row r="23284" spans="4:11" ht="12.75">
      <c r="D23284" s="67"/>
      <c r="G23284" s="68"/>
      <c r="K23284" s="68"/>
    </row>
    <row r="23285" spans="4:11" ht="12.75">
      <c r="D23285" s="67"/>
      <c r="G23285" s="68"/>
      <c r="K23285" s="68"/>
    </row>
    <row r="23286" spans="4:11" ht="12.75">
      <c r="D23286" s="67"/>
      <c r="G23286" s="68"/>
      <c r="K23286" s="68"/>
    </row>
    <row r="23287" spans="4:11" ht="12.75">
      <c r="D23287" s="67"/>
      <c r="G23287" s="68"/>
      <c r="K23287" s="68"/>
    </row>
    <row r="23288" spans="4:11" ht="12.75">
      <c r="D23288" s="67"/>
      <c r="G23288" s="68"/>
      <c r="K23288" s="68"/>
    </row>
    <row r="23289" spans="4:11" ht="12.75">
      <c r="D23289" s="67"/>
      <c r="G23289" s="68"/>
      <c r="K23289" s="68"/>
    </row>
    <row r="23290" spans="4:11" ht="12.75">
      <c r="D23290" s="67"/>
      <c r="G23290" s="68"/>
      <c r="K23290" s="68"/>
    </row>
    <row r="23291" spans="4:11" ht="12.75">
      <c r="D23291" s="67"/>
      <c r="G23291" s="68"/>
      <c r="K23291" s="68"/>
    </row>
    <row r="23292" spans="4:11" ht="12.75">
      <c r="D23292" s="67"/>
      <c r="G23292" s="68"/>
      <c r="K23292" s="68"/>
    </row>
    <row r="23293" spans="4:11" ht="12.75">
      <c r="D23293" s="67"/>
      <c r="G23293" s="68"/>
      <c r="K23293" s="68"/>
    </row>
    <row r="23294" spans="4:11" ht="12.75">
      <c r="D23294" s="67"/>
      <c r="G23294" s="68"/>
      <c r="K23294" s="68"/>
    </row>
    <row r="23295" spans="4:11" ht="12.75">
      <c r="D23295" s="67"/>
      <c r="G23295" s="68"/>
      <c r="K23295" s="68"/>
    </row>
    <row r="23296" spans="4:11" ht="12.75">
      <c r="D23296" s="67"/>
      <c r="G23296" s="68"/>
      <c r="K23296" s="68"/>
    </row>
    <row r="23297" spans="4:11" ht="12.75">
      <c r="D23297" s="67"/>
      <c r="G23297" s="68"/>
      <c r="K23297" s="68"/>
    </row>
    <row r="23298" spans="4:11" ht="12.75">
      <c r="D23298" s="67"/>
      <c r="G23298" s="68"/>
      <c r="K23298" s="68"/>
    </row>
    <row r="23299" spans="4:11" ht="12.75">
      <c r="D23299" s="67"/>
      <c r="G23299" s="68"/>
      <c r="K23299" s="68"/>
    </row>
    <row r="23300" spans="4:11" ht="12.75">
      <c r="D23300" s="67"/>
      <c r="G23300" s="68"/>
      <c r="K23300" s="68"/>
    </row>
    <row r="23301" spans="4:11" ht="12.75">
      <c r="D23301" s="67"/>
      <c r="G23301" s="68"/>
      <c r="K23301" s="68"/>
    </row>
    <row r="23302" spans="4:11" ht="12.75">
      <c r="D23302" s="67"/>
      <c r="G23302" s="68"/>
      <c r="K23302" s="68"/>
    </row>
    <row r="23303" spans="4:11" ht="12.75">
      <c r="D23303" s="67"/>
      <c r="G23303" s="68"/>
      <c r="K23303" s="68"/>
    </row>
    <row r="23304" spans="4:11" ht="12.75">
      <c r="D23304" s="67"/>
      <c r="G23304" s="68"/>
      <c r="K23304" s="68"/>
    </row>
    <row r="23305" spans="4:11" ht="12.75">
      <c r="D23305" s="67"/>
      <c r="G23305" s="68"/>
      <c r="K23305" s="68"/>
    </row>
    <row r="23306" spans="4:11" ht="12.75">
      <c r="D23306" s="67"/>
      <c r="G23306" s="68"/>
      <c r="K23306" s="68"/>
    </row>
    <row r="23307" spans="4:11" ht="12.75">
      <c r="D23307" s="67"/>
      <c r="G23307" s="68"/>
      <c r="K23307" s="68"/>
    </row>
    <row r="23308" spans="4:11" ht="12.75">
      <c r="D23308" s="67"/>
      <c r="G23308" s="68"/>
      <c r="K23308" s="68"/>
    </row>
    <row r="23309" spans="4:11" ht="12.75">
      <c r="D23309" s="67"/>
      <c r="G23309" s="68"/>
      <c r="K23309" s="68"/>
    </row>
    <row r="23310" spans="4:11" ht="12.75">
      <c r="D23310" s="67"/>
      <c r="G23310" s="68"/>
      <c r="K23310" s="68"/>
    </row>
    <row r="23311" spans="4:11" ht="12.75">
      <c r="D23311" s="67"/>
      <c r="G23311" s="68"/>
      <c r="K23311" s="68"/>
    </row>
    <row r="23312" spans="4:11" ht="12.75">
      <c r="D23312" s="67"/>
      <c r="G23312" s="68"/>
      <c r="K23312" s="68"/>
    </row>
    <row r="23313" spans="4:11" ht="12.75">
      <c r="D23313" s="67"/>
      <c r="G23313" s="68"/>
      <c r="K23313" s="68"/>
    </row>
    <row r="23314" spans="4:11" ht="12.75">
      <c r="D23314" s="67"/>
      <c r="G23314" s="68"/>
      <c r="K23314" s="68"/>
    </row>
    <row r="23315" spans="4:11" ht="12.75">
      <c r="D23315" s="67"/>
      <c r="G23315" s="68"/>
      <c r="K23315" s="68"/>
    </row>
    <row r="23316" spans="4:11" ht="12.75">
      <c r="D23316" s="67"/>
      <c r="G23316" s="68"/>
      <c r="K23316" s="68"/>
    </row>
    <row r="23317" spans="4:11" ht="12.75">
      <c r="D23317" s="67"/>
      <c r="G23317" s="68"/>
      <c r="K23317" s="68"/>
    </row>
    <row r="23318" spans="4:11" ht="12.75">
      <c r="D23318" s="67"/>
      <c r="G23318" s="68"/>
      <c r="K23318" s="68"/>
    </row>
    <row r="23319" spans="4:11" ht="12.75">
      <c r="D23319" s="67"/>
      <c r="G23319" s="68"/>
      <c r="K23319" s="68"/>
    </row>
    <row r="23320" spans="4:11" ht="12.75">
      <c r="D23320" s="67"/>
      <c r="G23320" s="68"/>
      <c r="K23320" s="68"/>
    </row>
    <row r="23321" spans="4:11" ht="12.75">
      <c r="D23321" s="67"/>
      <c r="G23321" s="68"/>
      <c r="K23321" s="68"/>
    </row>
    <row r="23322" spans="4:11" ht="12.75">
      <c r="D23322" s="67"/>
      <c r="G23322" s="68"/>
      <c r="K23322" s="68"/>
    </row>
    <row r="23323" spans="4:11" ht="12.75">
      <c r="D23323" s="67"/>
      <c r="G23323" s="68"/>
      <c r="K23323" s="68"/>
    </row>
    <row r="23324" spans="4:11" ht="12.75">
      <c r="D23324" s="67"/>
      <c r="G23324" s="68"/>
      <c r="K23324" s="68"/>
    </row>
    <row r="23325" spans="4:11" ht="12.75">
      <c r="D23325" s="67"/>
      <c r="G23325" s="68"/>
      <c r="K23325" s="68"/>
    </row>
    <row r="23326" spans="4:11" ht="12.75">
      <c r="D23326" s="67"/>
      <c r="G23326" s="68"/>
      <c r="K23326" s="68"/>
    </row>
    <row r="23327" spans="4:11" ht="12.75">
      <c r="D23327" s="67"/>
      <c r="G23327" s="68"/>
      <c r="K23327" s="68"/>
    </row>
    <row r="23328" spans="4:11" ht="12.75">
      <c r="D23328" s="67"/>
      <c r="G23328" s="68"/>
      <c r="K23328" s="68"/>
    </row>
    <row r="23329" spans="4:11" ht="12.75">
      <c r="D23329" s="67"/>
      <c r="G23329" s="68"/>
      <c r="K23329" s="68"/>
    </row>
    <row r="23330" spans="4:11" ht="12.75">
      <c r="D23330" s="67"/>
      <c r="G23330" s="68"/>
      <c r="K23330" s="68"/>
    </row>
    <row r="23331" spans="4:11" ht="12.75">
      <c r="D23331" s="67"/>
      <c r="G23331" s="68"/>
      <c r="K23331" s="68"/>
    </row>
    <row r="23332" spans="4:11" ht="12.75">
      <c r="D23332" s="67"/>
      <c r="G23332" s="68"/>
      <c r="K23332" s="68"/>
    </row>
    <row r="23333" spans="4:11" ht="12.75">
      <c r="D23333" s="67"/>
      <c r="G23333" s="68"/>
      <c r="K23333" s="68"/>
    </row>
    <row r="23334" spans="4:11" ht="12.75">
      <c r="D23334" s="67"/>
      <c r="G23334" s="68"/>
      <c r="K23334" s="68"/>
    </row>
    <row r="23335" spans="4:11" ht="12.75">
      <c r="D23335" s="67"/>
      <c r="G23335" s="68"/>
      <c r="K23335" s="68"/>
    </row>
    <row r="23336" spans="4:11" ht="12.75">
      <c r="D23336" s="67"/>
      <c r="G23336" s="68"/>
      <c r="K23336" s="68"/>
    </row>
    <row r="23337" spans="4:11" ht="12.75">
      <c r="D23337" s="67"/>
      <c r="G23337" s="68"/>
      <c r="K23337" s="68"/>
    </row>
    <row r="23338" spans="4:11" ht="12.75">
      <c r="D23338" s="67"/>
      <c r="G23338" s="68"/>
      <c r="K23338" s="68"/>
    </row>
    <row r="23339" spans="4:11" ht="12.75">
      <c r="D23339" s="67"/>
      <c r="G23339" s="68"/>
      <c r="K23339" s="68"/>
    </row>
    <row r="23340" spans="4:11" ht="12.75">
      <c r="D23340" s="67"/>
      <c r="G23340" s="68"/>
      <c r="K23340" s="68"/>
    </row>
    <row r="23341" spans="4:11" ht="12.75">
      <c r="D23341" s="67"/>
      <c r="G23341" s="68"/>
      <c r="K23341" s="68"/>
    </row>
    <row r="23342" spans="4:11" ht="12.75">
      <c r="D23342" s="67"/>
      <c r="G23342" s="68"/>
      <c r="K23342" s="68"/>
    </row>
    <row r="23343" spans="4:11" ht="12.75">
      <c r="D23343" s="67"/>
      <c r="G23343" s="68"/>
      <c r="K23343" s="68"/>
    </row>
    <row r="23344" spans="4:11" ht="12.75">
      <c r="D23344" s="67"/>
      <c r="G23344" s="68"/>
      <c r="K23344" s="68"/>
    </row>
    <row r="23345" spans="4:11" ht="12.75">
      <c r="D23345" s="67"/>
      <c r="G23345" s="68"/>
      <c r="K23345" s="68"/>
    </row>
    <row r="23346" spans="4:11" ht="12.75">
      <c r="D23346" s="67"/>
      <c r="G23346" s="68"/>
      <c r="K23346" s="68"/>
    </row>
    <row r="23347" spans="4:11" ht="12.75">
      <c r="D23347" s="67"/>
      <c r="G23347" s="68"/>
      <c r="K23347" s="68"/>
    </row>
    <row r="23348" spans="4:11" ht="12.75">
      <c r="D23348" s="67"/>
      <c r="G23348" s="68"/>
      <c r="K23348" s="68"/>
    </row>
    <row r="23349" spans="4:11" ht="12.75">
      <c r="D23349" s="67"/>
      <c r="G23349" s="68"/>
      <c r="K23349" s="68"/>
    </row>
    <row r="23350" spans="4:11" ht="12.75">
      <c r="D23350" s="67"/>
      <c r="G23350" s="68"/>
      <c r="K23350" s="68"/>
    </row>
    <row r="23351" spans="4:11" ht="12.75">
      <c r="D23351" s="67"/>
      <c r="G23351" s="68"/>
      <c r="K23351" s="68"/>
    </row>
    <row r="23352" spans="4:11" ht="12.75">
      <c r="D23352" s="67"/>
      <c r="G23352" s="68"/>
      <c r="K23352" s="68"/>
    </row>
    <row r="23353" spans="4:11" ht="12.75">
      <c r="D23353" s="67"/>
      <c r="G23353" s="68"/>
      <c r="K23353" s="68"/>
    </row>
    <row r="23354" spans="4:11" ht="12.75">
      <c r="D23354" s="67"/>
      <c r="G23354" s="68"/>
      <c r="K23354" s="68"/>
    </row>
    <row r="23355" spans="4:11" ht="12.75">
      <c r="D23355" s="67"/>
      <c r="G23355" s="68"/>
      <c r="K23355" s="68"/>
    </row>
    <row r="23356" spans="4:11" ht="12.75">
      <c r="D23356" s="67"/>
      <c r="G23356" s="68"/>
      <c r="K23356" s="68"/>
    </row>
    <row r="23357" spans="4:11" ht="12.75">
      <c r="D23357" s="67"/>
      <c r="G23357" s="68"/>
      <c r="K23357" s="68"/>
    </row>
    <row r="23358" spans="4:11" ht="12.75">
      <c r="D23358" s="67"/>
      <c r="G23358" s="68"/>
      <c r="K23358" s="68"/>
    </row>
    <row r="23359" spans="4:11" ht="12.75">
      <c r="D23359" s="67"/>
      <c r="G23359" s="68"/>
      <c r="K23359" s="68"/>
    </row>
    <row r="23360" spans="4:11" ht="12.75">
      <c r="D23360" s="67"/>
      <c r="G23360" s="68"/>
      <c r="K23360" s="68"/>
    </row>
    <row r="23361" spans="4:11" ht="12.75">
      <c r="D23361" s="67"/>
      <c r="G23361" s="68"/>
      <c r="K23361" s="68"/>
    </row>
    <row r="23362" spans="4:11" ht="12.75">
      <c r="D23362" s="67"/>
      <c r="G23362" s="68"/>
      <c r="K23362" s="68"/>
    </row>
    <row r="23363" spans="4:11" ht="12.75">
      <c r="D23363" s="67"/>
      <c r="G23363" s="68"/>
      <c r="K23363" s="68"/>
    </row>
    <row r="23364" spans="4:11" ht="12.75">
      <c r="D23364" s="67"/>
      <c r="G23364" s="68"/>
      <c r="K23364" s="68"/>
    </row>
    <row r="23365" spans="4:11" ht="12.75">
      <c r="D23365" s="67"/>
      <c r="G23365" s="68"/>
      <c r="K23365" s="68"/>
    </row>
    <row r="23366" spans="4:11" ht="12.75">
      <c r="D23366" s="67"/>
      <c r="G23366" s="68"/>
      <c r="K23366" s="68"/>
    </row>
    <row r="23367" spans="4:11" ht="12.75">
      <c r="D23367" s="67"/>
      <c r="G23367" s="68"/>
      <c r="K23367" s="68"/>
    </row>
    <row r="23368" spans="4:11" ht="12.75">
      <c r="D23368" s="67"/>
      <c r="G23368" s="68"/>
      <c r="K23368" s="68"/>
    </row>
    <row r="23369" spans="4:11" ht="12.75">
      <c r="D23369" s="67"/>
      <c r="G23369" s="68"/>
      <c r="K23369" s="68"/>
    </row>
    <row r="23370" spans="4:11" ht="12.75">
      <c r="D23370" s="67"/>
      <c r="G23370" s="68"/>
      <c r="K23370" s="68"/>
    </row>
    <row r="23371" spans="4:11" ht="12.75">
      <c r="D23371" s="67"/>
      <c r="G23371" s="68"/>
      <c r="K23371" s="68"/>
    </row>
    <row r="23372" spans="4:11" ht="12.75">
      <c r="D23372" s="67"/>
      <c r="G23372" s="68"/>
      <c r="K23372" s="68"/>
    </row>
    <row r="23373" spans="4:11" ht="12.75">
      <c r="D23373" s="67"/>
      <c r="G23373" s="68"/>
      <c r="K23373" s="68"/>
    </row>
    <row r="23374" spans="4:11" ht="12.75">
      <c r="D23374" s="67"/>
      <c r="G23374" s="68"/>
      <c r="K23374" s="68"/>
    </row>
    <row r="23375" spans="4:11" ht="12.75">
      <c r="D23375" s="67"/>
      <c r="G23375" s="68"/>
      <c r="K23375" s="68"/>
    </row>
    <row r="23376" spans="4:11" ht="12.75">
      <c r="D23376" s="67"/>
      <c r="G23376" s="68"/>
      <c r="K23376" s="68"/>
    </row>
    <row r="23377" spans="4:11" ht="12.75">
      <c r="D23377" s="67"/>
      <c r="G23377" s="68"/>
      <c r="K23377" s="68"/>
    </row>
    <row r="23378" spans="4:11" ht="12.75">
      <c r="D23378" s="67"/>
      <c r="G23378" s="68"/>
      <c r="K23378" s="68"/>
    </row>
    <row r="23379" spans="4:11" ht="12.75">
      <c r="D23379" s="67"/>
      <c r="G23379" s="68"/>
      <c r="K23379" s="68"/>
    </row>
    <row r="23380" spans="4:11" ht="12.75">
      <c r="D23380" s="67"/>
      <c r="G23380" s="68"/>
      <c r="K23380" s="68"/>
    </row>
    <row r="23381" spans="4:11" ht="12.75">
      <c r="D23381" s="67"/>
      <c r="G23381" s="68"/>
      <c r="K23381" s="68"/>
    </row>
    <row r="23382" spans="4:11" ht="12.75">
      <c r="D23382" s="67"/>
      <c r="G23382" s="68"/>
      <c r="K23382" s="68"/>
    </row>
    <row r="23383" spans="4:11" ht="12.75">
      <c r="D23383" s="67"/>
      <c r="G23383" s="68"/>
      <c r="K23383" s="68"/>
    </row>
    <row r="23384" spans="4:11" ht="12.75">
      <c r="D23384" s="67"/>
      <c r="G23384" s="68"/>
      <c r="K23384" s="68"/>
    </row>
    <row r="23385" spans="4:11" ht="12.75">
      <c r="D23385" s="67"/>
      <c r="G23385" s="68"/>
      <c r="K23385" s="68"/>
    </row>
    <row r="23386" spans="4:11" ht="12.75">
      <c r="D23386" s="67"/>
      <c r="G23386" s="68"/>
      <c r="K23386" s="68"/>
    </row>
    <row r="23387" spans="4:11" ht="12.75">
      <c r="D23387" s="67"/>
      <c r="G23387" s="68"/>
      <c r="K23387" s="68"/>
    </row>
    <row r="23388" spans="4:11" ht="12.75">
      <c r="D23388" s="67"/>
      <c r="G23388" s="68"/>
      <c r="K23388" s="68"/>
    </row>
    <row r="23389" spans="4:11" ht="12.75">
      <c r="D23389" s="67"/>
      <c r="G23389" s="68"/>
      <c r="K23389" s="68"/>
    </row>
    <row r="23390" spans="4:11" ht="12.75">
      <c r="D23390" s="67"/>
      <c r="G23390" s="68"/>
      <c r="K23390" s="68"/>
    </row>
    <row r="23391" spans="4:11" ht="12.75">
      <c r="D23391" s="67"/>
      <c r="G23391" s="68"/>
      <c r="K23391" s="68"/>
    </row>
    <row r="23392" spans="4:11" ht="12.75">
      <c r="D23392" s="67"/>
      <c r="G23392" s="68"/>
      <c r="K23392" s="68"/>
    </row>
    <row r="23393" spans="4:11" ht="12.75">
      <c r="D23393" s="67"/>
      <c r="G23393" s="68"/>
      <c r="K23393" s="68"/>
    </row>
    <row r="23394" spans="4:11" ht="12.75">
      <c r="D23394" s="67"/>
      <c r="G23394" s="68"/>
      <c r="K23394" s="68"/>
    </row>
    <row r="23395" spans="4:11" ht="12.75">
      <c r="D23395" s="67"/>
      <c r="G23395" s="68"/>
      <c r="K23395" s="68"/>
    </row>
    <row r="23396" spans="4:11" ht="12.75">
      <c r="D23396" s="67"/>
      <c r="G23396" s="68"/>
      <c r="K23396" s="68"/>
    </row>
    <row r="23397" spans="4:11" ht="12.75">
      <c r="D23397" s="67"/>
      <c r="G23397" s="68"/>
      <c r="K23397" s="68"/>
    </row>
    <row r="23398" spans="4:11" ht="12.75">
      <c r="D23398" s="67"/>
      <c r="G23398" s="68"/>
      <c r="K23398" s="68"/>
    </row>
    <row r="23399" spans="4:11" ht="12.75">
      <c r="D23399" s="67"/>
      <c r="G23399" s="68"/>
      <c r="K23399" s="68"/>
    </row>
    <row r="23400" spans="4:11" ht="12.75">
      <c r="D23400" s="67"/>
      <c r="G23400" s="68"/>
      <c r="K23400" s="68"/>
    </row>
    <row r="23401" spans="4:11" ht="12.75">
      <c r="D23401" s="67"/>
      <c r="G23401" s="68"/>
      <c r="K23401" s="68"/>
    </row>
    <row r="23402" spans="4:11" ht="12.75">
      <c r="D23402" s="67"/>
      <c r="G23402" s="68"/>
      <c r="K23402" s="68"/>
    </row>
    <row r="23403" spans="4:11" ht="12.75">
      <c r="D23403" s="67"/>
      <c r="G23403" s="68"/>
      <c r="K23403" s="68"/>
    </row>
    <row r="23404" spans="4:11" ht="12.75">
      <c r="D23404" s="67"/>
      <c r="G23404" s="68"/>
      <c r="K23404" s="68"/>
    </row>
    <row r="23405" spans="4:11" ht="12.75">
      <c r="D23405" s="67"/>
      <c r="G23405" s="68"/>
      <c r="K23405" s="68"/>
    </row>
    <row r="23406" spans="4:11" ht="12.75">
      <c r="D23406" s="67"/>
      <c r="G23406" s="68"/>
      <c r="K23406" s="68"/>
    </row>
    <row r="23407" spans="4:11" ht="12.75">
      <c r="D23407" s="67"/>
      <c r="G23407" s="68"/>
      <c r="K23407" s="68"/>
    </row>
    <row r="23408" spans="4:11" ht="12.75">
      <c r="D23408" s="67"/>
      <c r="G23408" s="68"/>
      <c r="K23408" s="68"/>
    </row>
    <row r="23409" spans="4:11" ht="12.75">
      <c r="D23409" s="67"/>
      <c r="G23409" s="68"/>
      <c r="K23409" s="68"/>
    </row>
    <row r="23410" spans="4:11" ht="12.75">
      <c r="D23410" s="67"/>
      <c r="G23410" s="68"/>
      <c r="K23410" s="68"/>
    </row>
    <row r="23411" spans="4:11" ht="12.75">
      <c r="D23411" s="67"/>
      <c r="G23411" s="68"/>
      <c r="K23411" s="68"/>
    </row>
    <row r="23412" spans="4:11" ht="12.75">
      <c r="D23412" s="67"/>
      <c r="G23412" s="68"/>
      <c r="K23412" s="68"/>
    </row>
    <row r="23413" spans="4:11" ht="12.75">
      <c r="D23413" s="67"/>
      <c r="G23413" s="68"/>
      <c r="K23413" s="68"/>
    </row>
    <row r="23414" spans="4:11" ht="12.75">
      <c r="D23414" s="67"/>
      <c r="G23414" s="68"/>
      <c r="K23414" s="68"/>
    </row>
    <row r="23415" spans="4:11" ht="12.75">
      <c r="D23415" s="67"/>
      <c r="G23415" s="68"/>
      <c r="K23415" s="68"/>
    </row>
    <row r="23416" spans="4:11" ht="12.75">
      <c r="D23416" s="67"/>
      <c r="G23416" s="68"/>
      <c r="K23416" s="68"/>
    </row>
    <row r="23417" spans="4:11" ht="12.75">
      <c r="D23417" s="67"/>
      <c r="G23417" s="68"/>
      <c r="K23417" s="68"/>
    </row>
    <row r="23418" spans="4:11" ht="12.75">
      <c r="D23418" s="67"/>
      <c r="G23418" s="68"/>
      <c r="K23418" s="68"/>
    </row>
    <row r="23419" spans="4:11" ht="12.75">
      <c r="D23419" s="67"/>
      <c r="G23419" s="68"/>
      <c r="K23419" s="68"/>
    </row>
    <row r="23420" spans="4:11" ht="12.75">
      <c r="D23420" s="67"/>
      <c r="G23420" s="68"/>
      <c r="K23420" s="68"/>
    </row>
    <row r="23421" spans="4:11" ht="12.75">
      <c r="D23421" s="67"/>
      <c r="G23421" s="68"/>
      <c r="K23421" s="68"/>
    </row>
    <row r="23422" spans="4:11" ht="12.75">
      <c r="D23422" s="67"/>
      <c r="G23422" s="68"/>
      <c r="K23422" s="68"/>
    </row>
    <row r="23423" spans="4:11" ht="12.75">
      <c r="D23423" s="67"/>
      <c r="G23423" s="68"/>
      <c r="K23423" s="68"/>
    </row>
    <row r="23424" spans="4:11" ht="12.75">
      <c r="D23424" s="67"/>
      <c r="G23424" s="68"/>
      <c r="K23424" s="68"/>
    </row>
    <row r="23425" spans="4:11" ht="12.75">
      <c r="D23425" s="67"/>
      <c r="G23425" s="68"/>
      <c r="K23425" s="68"/>
    </row>
    <row r="23426" spans="4:11" ht="12.75">
      <c r="D23426" s="67"/>
      <c r="G23426" s="68"/>
      <c r="K23426" s="68"/>
    </row>
    <row r="23427" spans="4:11" ht="12.75">
      <c r="D23427" s="67"/>
      <c r="G23427" s="68"/>
      <c r="K23427" s="68"/>
    </row>
    <row r="23428" spans="4:11" ht="12.75">
      <c r="D23428" s="67"/>
      <c r="G23428" s="68"/>
      <c r="K23428" s="68"/>
    </row>
    <row r="23429" spans="4:11" ht="12.75">
      <c r="D23429" s="67"/>
      <c r="G23429" s="68"/>
      <c r="K23429" s="68"/>
    </row>
    <row r="23430" spans="4:11" ht="12.75">
      <c r="D23430" s="67"/>
      <c r="G23430" s="68"/>
      <c r="K23430" s="68"/>
    </row>
    <row r="23431" spans="4:11" ht="12.75">
      <c r="D23431" s="67"/>
      <c r="G23431" s="68"/>
      <c r="K23431" s="68"/>
    </row>
    <row r="23432" spans="4:11" ht="12.75">
      <c r="D23432" s="67"/>
      <c r="G23432" s="68"/>
      <c r="K23432" s="68"/>
    </row>
    <row r="23433" spans="4:11" ht="12.75">
      <c r="D23433" s="67"/>
      <c r="G23433" s="68"/>
      <c r="K23433" s="68"/>
    </row>
    <row r="23434" spans="4:11" ht="12.75">
      <c r="D23434" s="67"/>
      <c r="G23434" s="68"/>
      <c r="K23434" s="68"/>
    </row>
    <row r="23435" spans="4:11" ht="12.75">
      <c r="D23435" s="67"/>
      <c r="G23435" s="68"/>
      <c r="K23435" s="68"/>
    </row>
    <row r="23436" spans="4:11" ht="12.75">
      <c r="D23436" s="67"/>
      <c r="G23436" s="68"/>
      <c r="K23436" s="68"/>
    </row>
    <row r="23437" spans="4:11" ht="12.75">
      <c r="D23437" s="67"/>
      <c r="G23437" s="68"/>
      <c r="K23437" s="68"/>
    </row>
    <row r="23438" spans="4:11" ht="12.75">
      <c r="D23438" s="67"/>
      <c r="G23438" s="68"/>
      <c r="K23438" s="68"/>
    </row>
    <row r="23439" spans="4:11" ht="12.75">
      <c r="D23439" s="67"/>
      <c r="G23439" s="68"/>
      <c r="K23439" s="68"/>
    </row>
    <row r="23440" spans="4:11" ht="12.75">
      <c r="D23440" s="67"/>
      <c r="G23440" s="68"/>
      <c r="K23440" s="68"/>
    </row>
    <row r="23441" spans="4:11" ht="12.75">
      <c r="D23441" s="67"/>
      <c r="G23441" s="68"/>
      <c r="K23441" s="68"/>
    </row>
    <row r="23442" spans="4:11" ht="12.75">
      <c r="D23442" s="67"/>
      <c r="G23442" s="68"/>
      <c r="K23442" s="68"/>
    </row>
    <row r="23443" spans="4:11" ht="12.75">
      <c r="D23443" s="67"/>
      <c r="G23443" s="68"/>
      <c r="K23443" s="68"/>
    </row>
    <row r="23444" spans="4:11" ht="12.75">
      <c r="D23444" s="67"/>
      <c r="G23444" s="68"/>
      <c r="K23444" s="68"/>
    </row>
    <row r="23445" spans="4:11" ht="12.75">
      <c r="D23445" s="67"/>
      <c r="G23445" s="68"/>
      <c r="K23445" s="68"/>
    </row>
    <row r="23446" spans="4:11" ht="12.75">
      <c r="D23446" s="67"/>
      <c r="G23446" s="68"/>
      <c r="K23446" s="68"/>
    </row>
    <row r="23447" spans="4:11" ht="12.75">
      <c r="D23447" s="67"/>
      <c r="G23447" s="68"/>
      <c r="K23447" s="68"/>
    </row>
    <row r="23448" spans="4:11" ht="12.75">
      <c r="D23448" s="67"/>
      <c r="G23448" s="68"/>
      <c r="K23448" s="68"/>
    </row>
    <row r="23449" spans="4:11" ht="12.75">
      <c r="D23449" s="67"/>
      <c r="G23449" s="68"/>
      <c r="K23449" s="68"/>
    </row>
    <row r="23450" spans="4:11" ht="12.75">
      <c r="D23450" s="67"/>
      <c r="G23450" s="68"/>
      <c r="K23450" s="68"/>
    </row>
    <row r="23451" spans="4:11" ht="12.75">
      <c r="D23451" s="67"/>
      <c r="G23451" s="68"/>
      <c r="K23451" s="68"/>
    </row>
    <row r="23452" spans="4:11" ht="12.75">
      <c r="D23452" s="67"/>
      <c r="G23452" s="68"/>
      <c r="K23452" s="68"/>
    </row>
    <row r="23453" spans="4:11" ht="12.75">
      <c r="D23453" s="67"/>
      <c r="G23453" s="68"/>
      <c r="K23453" s="68"/>
    </row>
    <row r="23454" spans="4:11" ht="12.75">
      <c r="D23454" s="67"/>
      <c r="G23454" s="68"/>
      <c r="K23454" s="68"/>
    </row>
    <row r="23455" spans="4:11" ht="12.75">
      <c r="D23455" s="67"/>
      <c r="G23455" s="68"/>
      <c r="K23455" s="68"/>
    </row>
    <row r="23456" spans="4:11" ht="12.75">
      <c r="D23456" s="67"/>
      <c r="G23456" s="68"/>
      <c r="K23456" s="68"/>
    </row>
    <row r="23457" spans="4:11" ht="12.75">
      <c r="D23457" s="67"/>
      <c r="G23457" s="68"/>
      <c r="K23457" s="68"/>
    </row>
    <row r="23458" spans="4:11" ht="12.75">
      <c r="D23458" s="67"/>
      <c r="G23458" s="68"/>
      <c r="K23458" s="68"/>
    </row>
    <row r="23459" spans="4:11" ht="12.75">
      <c r="D23459" s="67"/>
      <c r="G23459" s="68"/>
      <c r="K23459" s="68"/>
    </row>
    <row r="23460" spans="4:11" ht="12.75">
      <c r="D23460" s="67"/>
      <c r="G23460" s="68"/>
      <c r="K23460" s="68"/>
    </row>
    <row r="23461" spans="4:11" ht="12.75">
      <c r="D23461" s="67"/>
      <c r="G23461" s="68"/>
      <c r="K23461" s="68"/>
    </row>
    <row r="23462" spans="4:11" ht="12.75">
      <c r="D23462" s="67"/>
      <c r="G23462" s="68"/>
      <c r="K23462" s="68"/>
    </row>
    <row r="23463" spans="4:11" ht="12.75">
      <c r="D23463" s="67"/>
      <c r="G23463" s="68"/>
      <c r="K23463" s="68"/>
    </row>
    <row r="23464" spans="4:11" ht="12.75">
      <c r="D23464" s="67"/>
      <c r="G23464" s="68"/>
      <c r="K23464" s="68"/>
    </row>
    <row r="23465" spans="4:11" ht="12.75">
      <c r="D23465" s="67"/>
      <c r="G23465" s="68"/>
      <c r="K23465" s="68"/>
    </row>
    <row r="23466" spans="4:11" ht="12.75">
      <c r="D23466" s="67"/>
      <c r="G23466" s="68"/>
      <c r="K23466" s="68"/>
    </row>
    <row r="23467" spans="4:11" ht="12.75">
      <c r="D23467" s="67"/>
      <c r="G23467" s="68"/>
      <c r="K23467" s="68"/>
    </row>
    <row r="23468" spans="4:11" ht="12.75">
      <c r="D23468" s="67"/>
      <c r="G23468" s="68"/>
      <c r="K23468" s="68"/>
    </row>
    <row r="23469" spans="4:11" ht="12.75">
      <c r="D23469" s="67"/>
      <c r="G23469" s="68"/>
      <c r="K23469" s="68"/>
    </row>
    <row r="23470" spans="4:11" ht="12.75">
      <c r="D23470" s="67"/>
      <c r="G23470" s="68"/>
      <c r="K23470" s="68"/>
    </row>
    <row r="23471" spans="4:11" ht="12.75">
      <c r="D23471" s="67"/>
      <c r="G23471" s="68"/>
      <c r="K23471" s="68"/>
    </row>
    <row r="23472" spans="4:11" ht="12.75">
      <c r="D23472" s="67"/>
      <c r="G23472" s="68"/>
      <c r="K23472" s="68"/>
    </row>
    <row r="23473" spans="4:11" ht="12.75">
      <c r="D23473" s="67"/>
      <c r="G23473" s="68"/>
      <c r="K23473" s="68"/>
    </row>
    <row r="23474" spans="4:11" ht="12.75">
      <c r="D23474" s="67"/>
      <c r="G23474" s="68"/>
      <c r="K23474" s="68"/>
    </row>
    <row r="23475" spans="4:11" ht="12.75">
      <c r="D23475" s="67"/>
      <c r="G23475" s="68"/>
      <c r="K23475" s="68"/>
    </row>
    <row r="23476" spans="4:11" ht="12.75">
      <c r="D23476" s="67"/>
      <c r="G23476" s="68"/>
      <c r="K23476" s="68"/>
    </row>
    <row r="23477" spans="4:11" ht="12.75">
      <c r="D23477" s="67"/>
      <c r="G23477" s="68"/>
      <c r="K23477" s="68"/>
    </row>
    <row r="23478" spans="4:11" ht="12.75">
      <c r="D23478" s="67"/>
      <c r="G23478" s="68"/>
      <c r="K23478" s="68"/>
    </row>
    <row r="23479" spans="4:11" ht="12.75">
      <c r="D23479" s="67"/>
      <c r="G23479" s="68"/>
      <c r="K23479" s="68"/>
    </row>
    <row r="23480" spans="4:11" ht="12.75">
      <c r="D23480" s="67"/>
      <c r="G23480" s="68"/>
      <c r="K23480" s="68"/>
    </row>
    <row r="23481" spans="4:11" ht="12.75">
      <c r="D23481" s="67"/>
      <c r="G23481" s="68"/>
      <c r="K23481" s="68"/>
    </row>
    <row r="23482" spans="4:11" ht="12.75">
      <c r="D23482" s="67"/>
      <c r="G23482" s="68"/>
      <c r="K23482" s="68"/>
    </row>
    <row r="23483" spans="4:11" ht="12.75">
      <c r="D23483" s="67"/>
      <c r="G23483" s="68"/>
      <c r="K23483" s="68"/>
    </row>
    <row r="23484" spans="4:11" ht="12.75">
      <c r="D23484" s="67"/>
      <c r="G23484" s="68"/>
      <c r="K23484" s="68"/>
    </row>
    <row r="23485" spans="4:11" ht="12.75">
      <c r="D23485" s="67"/>
      <c r="G23485" s="68"/>
      <c r="K23485" s="68"/>
    </row>
    <row r="23486" spans="4:11" ht="12.75">
      <c r="D23486" s="67"/>
      <c r="G23486" s="68"/>
      <c r="K23486" s="68"/>
    </row>
    <row r="23487" spans="4:11" ht="12.75">
      <c r="D23487" s="67"/>
      <c r="G23487" s="68"/>
      <c r="K23487" s="68"/>
    </row>
    <row r="23488" spans="4:11" ht="12.75">
      <c r="D23488" s="67"/>
      <c r="G23488" s="68"/>
      <c r="K23488" s="68"/>
    </row>
    <row r="23489" spans="4:11" ht="12.75">
      <c r="D23489" s="67"/>
      <c r="G23489" s="68"/>
      <c r="K23489" s="68"/>
    </row>
    <row r="23490" spans="4:11" ht="12.75">
      <c r="D23490" s="67"/>
      <c r="G23490" s="68"/>
      <c r="K23490" s="68"/>
    </row>
    <row r="23491" spans="4:11" ht="12.75">
      <c r="D23491" s="67"/>
      <c r="G23491" s="68"/>
      <c r="K23491" s="68"/>
    </row>
    <row r="23492" spans="4:11" ht="12.75">
      <c r="D23492" s="67"/>
      <c r="G23492" s="68"/>
      <c r="K23492" s="68"/>
    </row>
    <row r="23493" spans="4:11" ht="12.75">
      <c r="D23493" s="67"/>
      <c r="G23493" s="68"/>
      <c r="K23493" s="68"/>
    </row>
    <row r="23494" spans="4:11" ht="12.75">
      <c r="D23494" s="67"/>
      <c r="G23494" s="68"/>
      <c r="K23494" s="68"/>
    </row>
    <row r="23495" spans="4:11" ht="12.75">
      <c r="D23495" s="67"/>
      <c r="G23495" s="68"/>
      <c r="K23495" s="68"/>
    </row>
    <row r="23496" spans="4:11" ht="12.75">
      <c r="D23496" s="67"/>
      <c r="G23496" s="68"/>
      <c r="K23496" s="68"/>
    </row>
    <row r="23497" spans="4:11" ht="12.75">
      <c r="D23497" s="67"/>
      <c r="G23497" s="68"/>
      <c r="K23497" s="68"/>
    </row>
    <row r="23498" spans="4:11" ht="12.75">
      <c r="D23498" s="67"/>
      <c r="G23498" s="68"/>
      <c r="K23498" s="68"/>
    </row>
    <row r="23499" spans="4:11" ht="12.75">
      <c r="D23499" s="67"/>
      <c r="G23499" s="68"/>
      <c r="K23499" s="68"/>
    </row>
    <row r="23500" spans="4:11" ht="12.75">
      <c r="D23500" s="67"/>
      <c r="G23500" s="68"/>
      <c r="K23500" s="68"/>
    </row>
    <row r="23501" spans="4:11" ht="12.75">
      <c r="D23501" s="67"/>
      <c r="G23501" s="68"/>
      <c r="K23501" s="68"/>
    </row>
    <row r="23502" spans="4:11" ht="12.75">
      <c r="D23502" s="67"/>
      <c r="G23502" s="68"/>
      <c r="K23502" s="68"/>
    </row>
    <row r="23503" spans="4:11" ht="12.75">
      <c r="D23503" s="67"/>
      <c r="G23503" s="68"/>
      <c r="K23503" s="68"/>
    </row>
    <row r="23504" spans="4:11" ht="12.75">
      <c r="D23504" s="67"/>
      <c r="G23504" s="68"/>
      <c r="K23504" s="68"/>
    </row>
    <row r="23505" spans="4:11" ht="12.75">
      <c r="D23505" s="67"/>
      <c r="G23505" s="68"/>
      <c r="K23505" s="68"/>
    </row>
    <row r="23506" spans="4:11" ht="12.75">
      <c r="D23506" s="67"/>
      <c r="G23506" s="68"/>
      <c r="K23506" s="68"/>
    </row>
    <row r="23507" spans="4:11" ht="12.75">
      <c r="D23507" s="67"/>
      <c r="G23507" s="68"/>
      <c r="K23507" s="68"/>
    </row>
    <row r="23508" spans="4:11" ht="12.75">
      <c r="D23508" s="67"/>
      <c r="G23508" s="68"/>
      <c r="K23508" s="68"/>
    </row>
    <row r="23509" spans="4:11" ht="12.75">
      <c r="D23509" s="67"/>
      <c r="G23509" s="68"/>
      <c r="K23509" s="68"/>
    </row>
    <row r="23510" spans="4:11" ht="12.75">
      <c r="D23510" s="67"/>
      <c r="G23510" s="68"/>
      <c r="K23510" s="68"/>
    </row>
    <row r="23511" spans="4:11" ht="12.75">
      <c r="D23511" s="67"/>
      <c r="G23511" s="68"/>
      <c r="K23511" s="68"/>
    </row>
    <row r="23512" spans="4:11" ht="12.75">
      <c r="D23512" s="67"/>
      <c r="G23512" s="68"/>
      <c r="K23512" s="68"/>
    </row>
    <row r="23513" spans="4:11" ht="12.75">
      <c r="D23513" s="67"/>
      <c r="G23513" s="68"/>
      <c r="K23513" s="68"/>
    </row>
    <row r="23514" spans="4:11" ht="12.75">
      <c r="D23514" s="67"/>
      <c r="G23514" s="68"/>
      <c r="K23514" s="68"/>
    </row>
    <row r="23515" spans="4:11" ht="12.75">
      <c r="D23515" s="67"/>
      <c r="G23515" s="68"/>
      <c r="K23515" s="68"/>
    </row>
    <row r="23516" spans="4:11" ht="12.75">
      <c r="D23516" s="67"/>
      <c r="G23516" s="68"/>
      <c r="K23516" s="68"/>
    </row>
    <row r="23517" spans="4:11" ht="12.75">
      <c r="D23517" s="67"/>
      <c r="G23517" s="68"/>
      <c r="K23517" s="68"/>
    </row>
    <row r="23518" spans="4:11" ht="12.75">
      <c r="D23518" s="67"/>
      <c r="G23518" s="68"/>
      <c r="K23518" s="68"/>
    </row>
    <row r="23519" spans="4:11" ht="12.75">
      <c r="D23519" s="67"/>
      <c r="G23519" s="68"/>
      <c r="K23519" s="68"/>
    </row>
    <row r="23520" spans="4:11" ht="12.75">
      <c r="D23520" s="67"/>
      <c r="G23520" s="68"/>
      <c r="K23520" s="68"/>
    </row>
    <row r="23521" spans="4:11" ht="12.75">
      <c r="D23521" s="67"/>
      <c r="G23521" s="68"/>
      <c r="K23521" s="68"/>
    </row>
    <row r="23522" spans="4:11" ht="12.75">
      <c r="D23522" s="67"/>
      <c r="G23522" s="68"/>
      <c r="K23522" s="68"/>
    </row>
    <row r="23523" spans="4:11" ht="12.75">
      <c r="D23523" s="67"/>
      <c r="G23523" s="68"/>
      <c r="K23523" s="68"/>
    </row>
    <row r="23524" spans="4:11" ht="12.75">
      <c r="D23524" s="67"/>
      <c r="G23524" s="68"/>
      <c r="K23524" s="68"/>
    </row>
    <row r="23525" spans="4:11" ht="12.75">
      <c r="D23525" s="67"/>
      <c r="G23525" s="68"/>
      <c r="K23525" s="68"/>
    </row>
    <row r="23526" spans="4:11" ht="12.75">
      <c r="D23526" s="67"/>
      <c r="G23526" s="68"/>
      <c r="K23526" s="68"/>
    </row>
    <row r="23527" spans="4:11" ht="12.75">
      <c r="D23527" s="67"/>
      <c r="G23527" s="68"/>
      <c r="K23527" s="68"/>
    </row>
    <row r="23528" spans="4:11" ht="12.75">
      <c r="D23528" s="67"/>
      <c r="G23528" s="68"/>
      <c r="K23528" s="68"/>
    </row>
    <row r="23529" spans="4:11" ht="12.75">
      <c r="D23529" s="67"/>
      <c r="G23529" s="68"/>
      <c r="K23529" s="68"/>
    </row>
    <row r="23530" spans="4:11" ht="12.75">
      <c r="D23530" s="67"/>
      <c r="G23530" s="68"/>
      <c r="K23530" s="68"/>
    </row>
    <row r="23531" spans="4:11" ht="12.75">
      <c r="D23531" s="67"/>
      <c r="G23531" s="68"/>
      <c r="K23531" s="68"/>
    </row>
    <row r="23532" spans="4:11" ht="12.75">
      <c r="D23532" s="67"/>
      <c r="G23532" s="68"/>
      <c r="K23532" s="68"/>
    </row>
    <row r="23533" spans="4:11" ht="12.75">
      <c r="D23533" s="67"/>
      <c r="G23533" s="68"/>
      <c r="K23533" s="68"/>
    </row>
    <row r="23534" spans="4:11" ht="12.75">
      <c r="D23534" s="67"/>
      <c r="G23534" s="68"/>
      <c r="K23534" s="68"/>
    </row>
    <row r="23535" spans="4:11" ht="12.75">
      <c r="D23535" s="67"/>
      <c r="G23535" s="68"/>
      <c r="K23535" s="68"/>
    </row>
    <row r="23536" spans="4:11" ht="12.75">
      <c r="D23536" s="67"/>
      <c r="G23536" s="68"/>
      <c r="K23536" s="68"/>
    </row>
    <row r="23537" spans="4:11" ht="12.75">
      <c r="D23537" s="67"/>
      <c r="G23537" s="68"/>
      <c r="K23537" s="68"/>
    </row>
    <row r="23538" spans="4:11" ht="12.75">
      <c r="D23538" s="67"/>
      <c r="G23538" s="68"/>
      <c r="K23538" s="68"/>
    </row>
    <row r="23539" spans="4:11" ht="12.75">
      <c r="D23539" s="67"/>
      <c r="G23539" s="68"/>
      <c r="K23539" s="68"/>
    </row>
    <row r="23540" spans="4:11" ht="12.75">
      <c r="D23540" s="67"/>
      <c r="G23540" s="68"/>
      <c r="K23540" s="68"/>
    </row>
    <row r="23541" spans="4:11" ht="12.75">
      <c r="D23541" s="67"/>
      <c r="G23541" s="68"/>
      <c r="K23541" s="68"/>
    </row>
    <row r="23542" spans="4:11" ht="12.75">
      <c r="D23542" s="67"/>
      <c r="G23542" s="68"/>
      <c r="K23542" s="68"/>
    </row>
    <row r="23543" spans="4:11" ht="12.75">
      <c r="D23543" s="67"/>
      <c r="G23543" s="68"/>
      <c r="K23543" s="68"/>
    </row>
    <row r="23544" spans="4:11" ht="12.75">
      <c r="D23544" s="67"/>
      <c r="G23544" s="68"/>
      <c r="K23544" s="68"/>
    </row>
    <row r="23545" spans="4:11" ht="12.75">
      <c r="D23545" s="67"/>
      <c r="G23545" s="68"/>
      <c r="K23545" s="68"/>
    </row>
    <row r="23546" spans="4:11" ht="12.75">
      <c r="D23546" s="67"/>
      <c r="G23546" s="68"/>
      <c r="K23546" s="68"/>
    </row>
    <row r="23547" spans="4:11" ht="12.75">
      <c r="D23547" s="67"/>
      <c r="G23547" s="68"/>
      <c r="K23547" s="68"/>
    </row>
    <row r="23548" spans="4:11" ht="12.75">
      <c r="D23548" s="67"/>
      <c r="G23548" s="68"/>
      <c r="K23548" s="68"/>
    </row>
    <row r="23549" spans="4:11" ht="12.75">
      <c r="D23549" s="67"/>
      <c r="G23549" s="68"/>
      <c r="K23549" s="68"/>
    </row>
    <row r="23550" spans="4:11" ht="12.75">
      <c r="D23550" s="67"/>
      <c r="G23550" s="68"/>
      <c r="K23550" s="68"/>
    </row>
    <row r="23551" spans="4:11" ht="12.75">
      <c r="D23551" s="67"/>
      <c r="G23551" s="68"/>
      <c r="K23551" s="68"/>
    </row>
    <row r="23552" spans="4:11" ht="12.75">
      <c r="D23552" s="67"/>
      <c r="G23552" s="68"/>
      <c r="K23552" s="68"/>
    </row>
    <row r="23553" spans="4:11" ht="12.75">
      <c r="D23553" s="67"/>
      <c r="G23553" s="68"/>
      <c r="K23553" s="68"/>
    </row>
    <row r="23554" spans="4:11" ht="12.75">
      <c r="D23554" s="67"/>
      <c r="G23554" s="68"/>
      <c r="K23554" s="68"/>
    </row>
    <row r="23555" spans="4:11" ht="12.75">
      <c r="D23555" s="67"/>
      <c r="G23555" s="68"/>
      <c r="K23555" s="68"/>
    </row>
    <row r="23556" spans="4:11" ht="12.75">
      <c r="D23556" s="67"/>
      <c r="G23556" s="68"/>
      <c r="K23556" s="68"/>
    </row>
    <row r="23557" spans="4:11" ht="12.75">
      <c r="D23557" s="67"/>
      <c r="G23557" s="68"/>
      <c r="K23557" s="68"/>
    </row>
    <row r="23558" spans="4:11" ht="12.75">
      <c r="D23558" s="67"/>
      <c r="G23558" s="68"/>
      <c r="K23558" s="68"/>
    </row>
    <row r="23559" spans="4:11" ht="12.75">
      <c r="D23559" s="67"/>
      <c r="G23559" s="68"/>
      <c r="K23559" s="68"/>
    </row>
    <row r="23560" spans="4:11" ht="12.75">
      <c r="D23560" s="67"/>
      <c r="G23560" s="68"/>
      <c r="K23560" s="68"/>
    </row>
    <row r="23561" spans="4:11" ht="12.75">
      <c r="D23561" s="67"/>
      <c r="G23561" s="68"/>
      <c r="K23561" s="68"/>
    </row>
    <row r="23562" spans="4:11" ht="12.75">
      <c r="D23562" s="67"/>
      <c r="G23562" s="68"/>
      <c r="K23562" s="68"/>
    </row>
    <row r="23563" spans="4:11" ht="12.75">
      <c r="D23563" s="67"/>
      <c r="G23563" s="68"/>
      <c r="K23563" s="68"/>
    </row>
    <row r="23564" spans="4:11" ht="12.75">
      <c r="D23564" s="67"/>
      <c r="G23564" s="68"/>
      <c r="K23564" s="68"/>
    </row>
    <row r="23565" spans="4:11" ht="12.75">
      <c r="D23565" s="67"/>
      <c r="G23565" s="68"/>
      <c r="K23565" s="68"/>
    </row>
    <row r="23566" spans="4:11" ht="12.75">
      <c r="D23566" s="67"/>
      <c r="G23566" s="68"/>
      <c r="K23566" s="68"/>
    </row>
    <row r="23567" spans="4:11" ht="12.75">
      <c r="D23567" s="67"/>
      <c r="G23567" s="68"/>
      <c r="K23567" s="68"/>
    </row>
    <row r="23568" spans="4:11" ht="12.75">
      <c r="D23568" s="67"/>
      <c r="G23568" s="68"/>
      <c r="K23568" s="68"/>
    </row>
    <row r="23569" spans="4:11" ht="12.75">
      <c r="D23569" s="67"/>
      <c r="G23569" s="68"/>
      <c r="K23569" s="68"/>
    </row>
    <row r="23570" spans="4:11" ht="12.75">
      <c r="D23570" s="67"/>
      <c r="G23570" s="68"/>
      <c r="K23570" s="68"/>
    </row>
    <row r="23571" spans="4:11" ht="12.75">
      <c r="D23571" s="67"/>
      <c r="G23571" s="68"/>
      <c r="K23571" s="68"/>
    </row>
    <row r="23572" spans="4:11" ht="12.75">
      <c r="D23572" s="67"/>
      <c r="G23572" s="68"/>
      <c r="K23572" s="68"/>
    </row>
    <row r="23573" spans="4:11" ht="12.75">
      <c r="D23573" s="67"/>
      <c r="G23573" s="68"/>
      <c r="K23573" s="68"/>
    </row>
    <row r="23574" spans="4:11" ht="12.75">
      <c r="D23574" s="67"/>
      <c r="G23574" s="68"/>
      <c r="K23574" s="68"/>
    </row>
    <row r="23575" spans="4:11" ht="12.75">
      <c r="D23575" s="67"/>
      <c r="G23575" s="68"/>
      <c r="K23575" s="68"/>
    </row>
    <row r="23576" spans="4:11" ht="12.75">
      <c r="D23576" s="67"/>
      <c r="G23576" s="68"/>
      <c r="K23576" s="68"/>
    </row>
    <row r="23577" spans="4:11" ht="12.75">
      <c r="D23577" s="67"/>
      <c r="G23577" s="68"/>
      <c r="K23577" s="68"/>
    </row>
    <row r="23578" spans="4:11" ht="12.75">
      <c r="D23578" s="67"/>
      <c r="G23578" s="68"/>
      <c r="K23578" s="68"/>
    </row>
    <row r="23579" spans="4:11" ht="12.75">
      <c r="D23579" s="67"/>
      <c r="G23579" s="68"/>
      <c r="K23579" s="68"/>
    </row>
    <row r="23580" spans="4:11" ht="12.75">
      <c r="D23580" s="67"/>
      <c r="G23580" s="68"/>
      <c r="K23580" s="68"/>
    </row>
    <row r="23581" spans="4:11" ht="12.75">
      <c r="D23581" s="67"/>
      <c r="G23581" s="68"/>
      <c r="K23581" s="68"/>
    </row>
    <row r="23582" spans="4:11" ht="12.75">
      <c r="D23582" s="67"/>
      <c r="G23582" s="68"/>
      <c r="K23582" s="68"/>
    </row>
    <row r="23583" spans="4:11" ht="12.75">
      <c r="D23583" s="67"/>
      <c r="G23583" s="68"/>
      <c r="K23583" s="68"/>
    </row>
    <row r="23584" spans="4:11" ht="12.75">
      <c r="D23584" s="67"/>
      <c r="G23584" s="68"/>
      <c r="K23584" s="68"/>
    </row>
    <row r="23585" spans="4:11" ht="12.75">
      <c r="D23585" s="67"/>
      <c r="G23585" s="68"/>
      <c r="K23585" s="68"/>
    </row>
    <row r="23586" spans="4:11" ht="12.75">
      <c r="D23586" s="67"/>
      <c r="G23586" s="68"/>
      <c r="K23586" s="68"/>
    </row>
    <row r="23587" spans="4:11" ht="12.75">
      <c r="D23587" s="67"/>
      <c r="G23587" s="68"/>
      <c r="K23587" s="68"/>
    </row>
    <row r="23588" spans="4:11" ht="12.75">
      <c r="D23588" s="67"/>
      <c r="G23588" s="68"/>
      <c r="K23588" s="68"/>
    </row>
    <row r="23589" spans="4:11" ht="12.75">
      <c r="D23589" s="67"/>
      <c r="G23589" s="68"/>
      <c r="K23589" s="68"/>
    </row>
    <row r="23590" spans="4:11" ht="12.75">
      <c r="D23590" s="67"/>
      <c r="G23590" s="68"/>
      <c r="K23590" s="68"/>
    </row>
    <row r="23591" spans="4:11" ht="12.75">
      <c r="D23591" s="67"/>
      <c r="G23591" s="68"/>
      <c r="K23591" s="68"/>
    </row>
    <row r="23592" spans="4:11" ht="12.75">
      <c r="D23592" s="67"/>
      <c r="G23592" s="68"/>
      <c r="K23592" s="68"/>
    </row>
    <row r="23593" spans="4:11" ht="12.75">
      <c r="D23593" s="67"/>
      <c r="G23593" s="68"/>
      <c r="K23593" s="68"/>
    </row>
    <row r="23594" spans="4:11" ht="12.75">
      <c r="D23594" s="67"/>
      <c r="G23594" s="68"/>
      <c r="K23594" s="68"/>
    </row>
    <row r="23595" spans="4:11" ht="12.75">
      <c r="D23595" s="67"/>
      <c r="G23595" s="68"/>
      <c r="K23595" s="68"/>
    </row>
    <row r="23596" spans="4:11" ht="12.75">
      <c r="D23596" s="67"/>
      <c r="G23596" s="68"/>
      <c r="K23596" s="68"/>
    </row>
    <row r="23597" spans="4:11" ht="12.75">
      <c r="D23597" s="67"/>
      <c r="G23597" s="68"/>
      <c r="K23597" s="68"/>
    </row>
    <row r="23598" spans="4:11" ht="12.75">
      <c r="D23598" s="67"/>
      <c r="G23598" s="68"/>
      <c r="K23598" s="68"/>
    </row>
    <row r="23599" spans="4:11" ht="12.75">
      <c r="D23599" s="67"/>
      <c r="G23599" s="68"/>
      <c r="K23599" s="68"/>
    </row>
    <row r="23600" spans="4:11" ht="12.75">
      <c r="D23600" s="67"/>
      <c r="G23600" s="68"/>
      <c r="K23600" s="68"/>
    </row>
    <row r="23601" spans="4:11" ht="12.75">
      <c r="D23601" s="67"/>
      <c r="G23601" s="68"/>
      <c r="K23601" s="68"/>
    </row>
    <row r="23602" spans="4:11" ht="12.75">
      <c r="D23602" s="67"/>
      <c r="G23602" s="68"/>
      <c r="K23602" s="68"/>
    </row>
    <row r="23603" spans="4:11" ht="12.75">
      <c r="D23603" s="67"/>
      <c r="G23603" s="68"/>
      <c r="K23603" s="68"/>
    </row>
    <row r="23604" spans="4:11" ht="12.75">
      <c r="D23604" s="67"/>
      <c r="G23604" s="68"/>
      <c r="K23604" s="68"/>
    </row>
    <row r="23605" spans="4:11" ht="12.75">
      <c r="D23605" s="67"/>
      <c r="G23605" s="68"/>
      <c r="K23605" s="68"/>
    </row>
    <row r="23606" spans="4:11" ht="12.75">
      <c r="D23606" s="67"/>
      <c r="G23606" s="68"/>
      <c r="K23606" s="68"/>
    </row>
    <row r="23607" spans="4:11" ht="12.75">
      <c r="D23607" s="67"/>
      <c r="G23607" s="68"/>
      <c r="K23607" s="68"/>
    </row>
    <row r="23608" spans="4:11" ht="12.75">
      <c r="D23608" s="67"/>
      <c r="G23608" s="68"/>
      <c r="K23608" s="68"/>
    </row>
    <row r="23609" spans="4:11" ht="12.75">
      <c r="D23609" s="67"/>
      <c r="G23609" s="68"/>
      <c r="K23609" s="68"/>
    </row>
    <row r="23610" spans="4:11" ht="12.75">
      <c r="D23610" s="67"/>
      <c r="G23610" s="68"/>
      <c r="K23610" s="68"/>
    </row>
    <row r="23611" spans="4:11" ht="12.75">
      <c r="D23611" s="67"/>
      <c r="G23611" s="68"/>
      <c r="K23611" s="68"/>
    </row>
    <row r="23612" spans="4:11" ht="12.75">
      <c r="D23612" s="67"/>
      <c r="G23612" s="68"/>
      <c r="K23612" s="68"/>
    </row>
    <row r="23613" spans="4:11" ht="12.75">
      <c r="D23613" s="67"/>
      <c r="G23613" s="68"/>
      <c r="K23613" s="68"/>
    </row>
    <row r="23614" spans="4:11" ht="12.75">
      <c r="D23614" s="67"/>
      <c r="G23614" s="68"/>
      <c r="K23614" s="68"/>
    </row>
    <row r="23615" spans="4:11" ht="12.75">
      <c r="D23615" s="67"/>
      <c r="G23615" s="68"/>
      <c r="K23615" s="68"/>
    </row>
    <row r="23616" spans="4:11" ht="12.75">
      <c r="D23616" s="67"/>
      <c r="G23616" s="68"/>
      <c r="K23616" s="68"/>
    </row>
    <row r="23617" spans="4:11" ht="12.75">
      <c r="D23617" s="67"/>
      <c r="G23617" s="68"/>
      <c r="K23617" s="68"/>
    </row>
    <row r="23618" spans="4:11" ht="12.75">
      <c r="D23618" s="67"/>
      <c r="G23618" s="68"/>
      <c r="K23618" s="68"/>
    </row>
    <row r="23619" spans="4:11" ht="12.75">
      <c r="D23619" s="67"/>
      <c r="G23619" s="68"/>
      <c r="K23619" s="68"/>
    </row>
    <row r="23620" spans="4:11" ht="12.75">
      <c r="D23620" s="67"/>
      <c r="G23620" s="68"/>
      <c r="K23620" s="68"/>
    </row>
    <row r="23621" spans="4:11" ht="12.75">
      <c r="D23621" s="67"/>
      <c r="G23621" s="68"/>
      <c r="K23621" s="68"/>
    </row>
    <row r="23622" spans="4:11" ht="12.75">
      <c r="D23622" s="67"/>
      <c r="G23622" s="68"/>
      <c r="K23622" s="68"/>
    </row>
    <row r="23623" spans="4:11" ht="12.75">
      <c r="D23623" s="67"/>
      <c r="G23623" s="68"/>
      <c r="K23623" s="68"/>
    </row>
    <row r="23624" spans="4:11" ht="12.75">
      <c r="D23624" s="67"/>
      <c r="G23624" s="68"/>
      <c r="K23624" s="68"/>
    </row>
    <row r="23625" spans="4:11" ht="12.75">
      <c r="D23625" s="67"/>
      <c r="G23625" s="68"/>
      <c r="K23625" s="68"/>
    </row>
    <row r="23626" spans="4:11" ht="12.75">
      <c r="D23626" s="67"/>
      <c r="G23626" s="68"/>
      <c r="K23626" s="68"/>
    </row>
    <row r="23627" spans="4:11" ht="12.75">
      <c r="D23627" s="67"/>
      <c r="G23627" s="68"/>
      <c r="K23627" s="68"/>
    </row>
    <row r="23628" spans="4:11" ht="12.75">
      <c r="D23628" s="67"/>
      <c r="G23628" s="68"/>
      <c r="K23628" s="68"/>
    </row>
    <row r="23629" spans="4:11" ht="12.75">
      <c r="D23629" s="67"/>
      <c r="G23629" s="68"/>
      <c r="K23629" s="68"/>
    </row>
    <row r="23630" spans="4:11" ht="12.75">
      <c r="D23630" s="67"/>
      <c r="G23630" s="68"/>
      <c r="K23630" s="68"/>
    </row>
    <row r="23631" spans="4:11" ht="12.75">
      <c r="D23631" s="67"/>
      <c r="G23631" s="68"/>
      <c r="K23631" s="68"/>
    </row>
    <row r="23632" spans="4:11" ht="12.75">
      <c r="D23632" s="67"/>
      <c r="G23632" s="68"/>
      <c r="K23632" s="68"/>
    </row>
    <row r="23633" spans="4:11" ht="12.75">
      <c r="D23633" s="67"/>
      <c r="G23633" s="68"/>
      <c r="K23633" s="68"/>
    </row>
    <row r="23634" spans="4:11" ht="12.75">
      <c r="D23634" s="67"/>
      <c r="G23634" s="68"/>
      <c r="K23634" s="68"/>
    </row>
    <row r="23635" spans="4:11" ht="12.75">
      <c r="D23635" s="67"/>
      <c r="G23635" s="68"/>
      <c r="K23635" s="68"/>
    </row>
    <row r="23636" spans="4:11" ht="12.75">
      <c r="D23636" s="67"/>
      <c r="G23636" s="68"/>
      <c r="K23636" s="68"/>
    </row>
    <row r="23637" spans="4:11" ht="12.75">
      <c r="D23637" s="67"/>
      <c r="G23637" s="68"/>
      <c r="K23637" s="68"/>
    </row>
    <row r="23638" spans="4:11" ht="12.75">
      <c r="D23638" s="67"/>
      <c r="G23638" s="68"/>
      <c r="K23638" s="68"/>
    </row>
    <row r="23639" spans="4:11" ht="12.75">
      <c r="D23639" s="67"/>
      <c r="G23639" s="68"/>
      <c r="K23639" s="68"/>
    </row>
    <row r="23640" spans="4:11" ht="12.75">
      <c r="D23640" s="67"/>
      <c r="G23640" s="68"/>
      <c r="K23640" s="68"/>
    </row>
    <row r="23641" spans="4:11" ht="12.75">
      <c r="D23641" s="67"/>
      <c r="G23641" s="68"/>
      <c r="K23641" s="68"/>
    </row>
    <row r="23642" spans="4:11" ht="12.75">
      <c r="D23642" s="67"/>
      <c r="G23642" s="68"/>
      <c r="K23642" s="68"/>
    </row>
    <row r="23643" spans="4:11" ht="12.75">
      <c r="D23643" s="67"/>
      <c r="G23643" s="68"/>
      <c r="K23643" s="68"/>
    </row>
    <row r="23644" spans="4:11" ht="12.75">
      <c r="D23644" s="67"/>
      <c r="G23644" s="68"/>
      <c r="K23644" s="68"/>
    </row>
    <row r="23645" spans="4:11" ht="12.75">
      <c r="D23645" s="67"/>
      <c r="G23645" s="68"/>
      <c r="K23645" s="68"/>
    </row>
    <row r="23646" spans="4:11" ht="12.75">
      <c r="D23646" s="67"/>
      <c r="G23646" s="68"/>
      <c r="K23646" s="68"/>
    </row>
    <row r="23647" spans="4:11" ht="12.75">
      <c r="D23647" s="67"/>
      <c r="G23647" s="68"/>
      <c r="K23647" s="68"/>
    </row>
    <row r="23648" spans="4:11" ht="12.75">
      <c r="D23648" s="67"/>
      <c r="G23648" s="68"/>
      <c r="K23648" s="68"/>
    </row>
    <row r="23649" spans="4:11" ht="12.75">
      <c r="D23649" s="67"/>
      <c r="G23649" s="68"/>
      <c r="K23649" s="68"/>
    </row>
    <row r="23650" spans="4:11" ht="12.75">
      <c r="D23650" s="67"/>
      <c r="G23650" s="68"/>
      <c r="K23650" s="68"/>
    </row>
    <row r="23651" spans="4:11" ht="12.75">
      <c r="D23651" s="67"/>
      <c r="G23651" s="68"/>
      <c r="K23651" s="68"/>
    </row>
    <row r="23652" spans="4:11" ht="12.75">
      <c r="D23652" s="67"/>
      <c r="G23652" s="68"/>
      <c r="K23652" s="68"/>
    </row>
    <row r="23653" spans="4:11" ht="12.75">
      <c r="D23653" s="67"/>
      <c r="G23653" s="68"/>
      <c r="K23653" s="68"/>
    </row>
    <row r="23654" spans="4:11" ht="12.75">
      <c r="D23654" s="67"/>
      <c r="G23654" s="68"/>
      <c r="K23654" s="68"/>
    </row>
    <row r="23655" spans="4:11" ht="12.75">
      <c r="D23655" s="67"/>
      <c r="G23655" s="68"/>
      <c r="K23655" s="68"/>
    </row>
    <row r="23656" spans="4:11" ht="12.75">
      <c r="D23656" s="67"/>
      <c r="G23656" s="68"/>
      <c r="K23656" s="68"/>
    </row>
    <row r="23657" spans="4:11" ht="12.75">
      <c r="D23657" s="67"/>
      <c r="G23657" s="68"/>
      <c r="K23657" s="68"/>
    </row>
    <row r="23658" spans="4:11" ht="12.75">
      <c r="D23658" s="67"/>
      <c r="G23658" s="68"/>
      <c r="K23658" s="68"/>
    </row>
    <row r="23659" spans="4:11" ht="12.75">
      <c r="D23659" s="67"/>
      <c r="G23659" s="68"/>
      <c r="K23659" s="68"/>
    </row>
    <row r="23660" spans="4:11" ht="12.75">
      <c r="D23660" s="67"/>
      <c r="G23660" s="68"/>
      <c r="K23660" s="68"/>
    </row>
    <row r="23661" spans="4:11" ht="12.75">
      <c r="D23661" s="67"/>
      <c r="G23661" s="68"/>
      <c r="K23661" s="68"/>
    </row>
    <row r="23662" spans="4:11" ht="12.75">
      <c r="D23662" s="67"/>
      <c r="G23662" s="68"/>
      <c r="K23662" s="68"/>
    </row>
    <row r="23663" spans="4:11" ht="12.75">
      <c r="D23663" s="67"/>
      <c r="G23663" s="68"/>
      <c r="K23663" s="68"/>
    </row>
    <row r="23664" spans="4:11" ht="12.75">
      <c r="D23664" s="67"/>
      <c r="G23664" s="68"/>
      <c r="K23664" s="68"/>
    </row>
    <row r="23665" spans="4:11" ht="12.75">
      <c r="D23665" s="67"/>
      <c r="G23665" s="68"/>
      <c r="K23665" s="68"/>
    </row>
    <row r="23666" spans="4:11" ht="12.75">
      <c r="D23666" s="67"/>
      <c r="G23666" s="68"/>
      <c r="K23666" s="68"/>
    </row>
    <row r="23667" spans="4:11" ht="12.75">
      <c r="D23667" s="67"/>
      <c r="G23667" s="68"/>
      <c r="K23667" s="68"/>
    </row>
    <row r="23668" spans="4:11" ht="12.75">
      <c r="D23668" s="67"/>
      <c r="G23668" s="68"/>
      <c r="K23668" s="68"/>
    </row>
    <row r="23669" spans="4:11" ht="12.75">
      <c r="D23669" s="67"/>
      <c r="G23669" s="68"/>
      <c r="K23669" s="68"/>
    </row>
    <row r="23670" spans="4:11" ht="12.75">
      <c r="D23670" s="67"/>
      <c r="G23670" s="68"/>
      <c r="K23670" s="68"/>
    </row>
    <row r="23671" spans="4:11" ht="12.75">
      <c r="D23671" s="67"/>
      <c r="G23671" s="68"/>
      <c r="K23671" s="68"/>
    </row>
    <row r="23672" spans="4:11" ht="12.75">
      <c r="D23672" s="67"/>
      <c r="G23672" s="68"/>
      <c r="K23672" s="68"/>
    </row>
    <row r="23673" spans="4:11" ht="12.75">
      <c r="D23673" s="67"/>
      <c r="G23673" s="68"/>
      <c r="K23673" s="68"/>
    </row>
    <row r="23674" spans="4:11" ht="12.75">
      <c r="D23674" s="67"/>
      <c r="G23674" s="68"/>
      <c r="K23674" s="68"/>
    </row>
    <row r="23675" spans="4:11" ht="12.75">
      <c r="D23675" s="67"/>
      <c r="G23675" s="68"/>
      <c r="K23675" s="68"/>
    </row>
    <row r="23676" spans="4:11" ht="12.75">
      <c r="D23676" s="67"/>
      <c r="G23676" s="68"/>
      <c r="K23676" s="68"/>
    </row>
    <row r="23677" spans="4:11" ht="12.75">
      <c r="D23677" s="67"/>
      <c r="G23677" s="68"/>
      <c r="K23677" s="68"/>
    </row>
    <row r="23678" spans="4:11" ht="12.75">
      <c r="D23678" s="67"/>
      <c r="G23678" s="68"/>
      <c r="K23678" s="68"/>
    </row>
    <row r="23679" spans="4:11" ht="12.75">
      <c r="D23679" s="67"/>
      <c r="G23679" s="68"/>
      <c r="K23679" s="68"/>
    </row>
    <row r="23680" spans="4:11" ht="12.75">
      <c r="D23680" s="67"/>
      <c r="G23680" s="68"/>
      <c r="K23680" s="68"/>
    </row>
    <row r="23681" spans="4:11" ht="12.75">
      <c r="D23681" s="67"/>
      <c r="G23681" s="68"/>
      <c r="K23681" s="68"/>
    </row>
    <row r="23682" spans="4:11" ht="12.75">
      <c r="D23682" s="67"/>
      <c r="G23682" s="68"/>
      <c r="K23682" s="68"/>
    </row>
    <row r="23683" spans="4:11" ht="12.75">
      <c r="D23683" s="67"/>
      <c r="G23683" s="68"/>
      <c r="K23683" s="68"/>
    </row>
    <row r="23684" spans="4:11" ht="12.75">
      <c r="D23684" s="67"/>
      <c r="G23684" s="68"/>
      <c r="K23684" s="68"/>
    </row>
    <row r="23685" spans="4:11" ht="12.75">
      <c r="D23685" s="67"/>
      <c r="G23685" s="68"/>
      <c r="K23685" s="68"/>
    </row>
    <row r="23686" spans="4:11" ht="12.75">
      <c r="D23686" s="67"/>
      <c r="G23686" s="68"/>
      <c r="K23686" s="68"/>
    </row>
    <row r="23687" spans="4:11" ht="12.75">
      <c r="D23687" s="67"/>
      <c r="G23687" s="68"/>
      <c r="K23687" s="68"/>
    </row>
    <row r="23688" spans="4:11" ht="12.75">
      <c r="D23688" s="67"/>
      <c r="G23688" s="68"/>
      <c r="K23688" s="68"/>
    </row>
    <row r="23689" spans="4:11" ht="12.75">
      <c r="D23689" s="67"/>
      <c r="G23689" s="68"/>
      <c r="K23689" s="68"/>
    </row>
    <row r="23690" spans="4:11" ht="12.75">
      <c r="D23690" s="67"/>
      <c r="G23690" s="68"/>
      <c r="K23690" s="68"/>
    </row>
    <row r="23691" spans="4:11" ht="12.75">
      <c r="D23691" s="67"/>
      <c r="G23691" s="68"/>
      <c r="K23691" s="68"/>
    </row>
    <row r="23692" spans="4:11" ht="12.75">
      <c r="D23692" s="67"/>
      <c r="G23692" s="68"/>
      <c r="K23692" s="68"/>
    </row>
    <row r="23693" spans="4:11" ht="12.75">
      <c r="D23693" s="67"/>
      <c r="G23693" s="68"/>
      <c r="K23693" s="68"/>
    </row>
    <row r="23694" spans="4:11" ht="12.75">
      <c r="D23694" s="67"/>
      <c r="G23694" s="68"/>
      <c r="K23694" s="68"/>
    </row>
    <row r="23695" spans="4:11" ht="12.75">
      <c r="D23695" s="67"/>
      <c r="G23695" s="68"/>
      <c r="K23695" s="68"/>
    </row>
    <row r="23696" spans="4:11" ht="12.75">
      <c r="D23696" s="67"/>
      <c r="G23696" s="68"/>
      <c r="K23696" s="68"/>
    </row>
    <row r="23697" spans="4:11" ht="12.75">
      <c r="D23697" s="67"/>
      <c r="G23697" s="68"/>
      <c r="K23697" s="68"/>
    </row>
    <row r="23698" spans="4:11" ht="12.75">
      <c r="D23698" s="67"/>
      <c r="G23698" s="68"/>
      <c r="K23698" s="68"/>
    </row>
    <row r="23699" spans="4:11" ht="12.75">
      <c r="D23699" s="67"/>
      <c r="G23699" s="68"/>
      <c r="K23699" s="68"/>
    </row>
    <row r="23700" spans="4:11" ht="12.75">
      <c r="D23700" s="67"/>
      <c r="G23700" s="68"/>
      <c r="K23700" s="68"/>
    </row>
    <row r="23701" spans="4:11" ht="12.75">
      <c r="D23701" s="67"/>
      <c r="G23701" s="68"/>
      <c r="K23701" s="68"/>
    </row>
    <row r="23702" spans="4:11" ht="12.75">
      <c r="D23702" s="67"/>
      <c r="G23702" s="68"/>
      <c r="K23702" s="68"/>
    </row>
    <row r="23703" spans="4:11" ht="12.75">
      <c r="D23703" s="67"/>
      <c r="G23703" s="68"/>
      <c r="K23703" s="68"/>
    </row>
    <row r="23704" spans="4:11" ht="12.75">
      <c r="D23704" s="67"/>
      <c r="G23704" s="68"/>
      <c r="K23704" s="68"/>
    </row>
    <row r="23705" spans="4:11" ht="12.75">
      <c r="D23705" s="67"/>
      <c r="G23705" s="68"/>
      <c r="K23705" s="68"/>
    </row>
    <row r="23706" spans="4:11" ht="12.75">
      <c r="D23706" s="67"/>
      <c r="G23706" s="68"/>
      <c r="K23706" s="68"/>
    </row>
    <row r="23707" spans="4:11" ht="12.75">
      <c r="D23707" s="67"/>
      <c r="G23707" s="68"/>
      <c r="K23707" s="68"/>
    </row>
    <row r="23708" spans="4:11" ht="12.75">
      <c r="D23708" s="67"/>
      <c r="G23708" s="68"/>
      <c r="K23708" s="68"/>
    </row>
    <row r="23709" spans="4:11" ht="12.75">
      <c r="D23709" s="67"/>
      <c r="G23709" s="68"/>
      <c r="K23709" s="68"/>
    </row>
    <row r="23710" spans="4:11" ht="12.75">
      <c r="D23710" s="67"/>
      <c r="G23710" s="68"/>
      <c r="K23710" s="68"/>
    </row>
    <row r="23711" spans="4:11" ht="12.75">
      <c r="D23711" s="67"/>
      <c r="G23711" s="68"/>
      <c r="K23711" s="68"/>
    </row>
    <row r="23712" spans="4:11" ht="12.75">
      <c r="D23712" s="67"/>
      <c r="G23712" s="68"/>
      <c r="K23712" s="68"/>
    </row>
    <row r="23713" spans="4:11" ht="12.75">
      <c r="D23713" s="67"/>
      <c r="G23713" s="68"/>
      <c r="K23713" s="68"/>
    </row>
    <row r="23714" spans="4:11" ht="12.75">
      <c r="D23714" s="67"/>
      <c r="G23714" s="68"/>
      <c r="K23714" s="68"/>
    </row>
    <row r="23715" spans="4:11" ht="12.75">
      <c r="D23715" s="67"/>
      <c r="G23715" s="68"/>
      <c r="K23715" s="68"/>
    </row>
    <row r="23716" spans="4:11" ht="12.75">
      <c r="D23716" s="67"/>
      <c r="G23716" s="68"/>
      <c r="K23716" s="68"/>
    </row>
    <row r="23717" spans="4:11" ht="12.75">
      <c r="D23717" s="67"/>
      <c r="G23717" s="68"/>
      <c r="K23717" s="68"/>
    </row>
    <row r="23718" spans="4:11" ht="12.75">
      <c r="D23718" s="67"/>
      <c r="G23718" s="68"/>
      <c r="K23718" s="68"/>
    </row>
    <row r="23719" spans="4:11" ht="12.75">
      <c r="D23719" s="67"/>
      <c r="G23719" s="68"/>
      <c r="K23719" s="68"/>
    </row>
    <row r="23720" spans="4:11" ht="12.75">
      <c r="D23720" s="67"/>
      <c r="G23720" s="68"/>
      <c r="K23720" s="68"/>
    </row>
    <row r="23721" spans="4:11" ht="12.75">
      <c r="D23721" s="67"/>
      <c r="G23721" s="68"/>
      <c r="K23721" s="68"/>
    </row>
    <row r="23722" spans="4:11" ht="12.75">
      <c r="D23722" s="67"/>
      <c r="G23722" s="68"/>
      <c r="K23722" s="68"/>
    </row>
    <row r="23723" spans="4:11" ht="12.75">
      <c r="D23723" s="67"/>
      <c r="G23723" s="68"/>
      <c r="K23723" s="68"/>
    </row>
    <row r="23724" spans="4:11" ht="12.75">
      <c r="D23724" s="67"/>
      <c r="G23724" s="68"/>
      <c r="K23724" s="68"/>
    </row>
    <row r="23725" spans="4:11" ht="12.75">
      <c r="D23725" s="67"/>
      <c r="G23725" s="68"/>
      <c r="K23725" s="68"/>
    </row>
    <row r="23726" spans="4:11" ht="12.75">
      <c r="D23726" s="67"/>
      <c r="G23726" s="68"/>
      <c r="K23726" s="68"/>
    </row>
    <row r="23727" spans="4:11" ht="12.75">
      <c r="D23727" s="67"/>
      <c r="G23727" s="68"/>
      <c r="K23727" s="68"/>
    </row>
    <row r="23728" spans="4:11" ht="12.75">
      <c r="D23728" s="67"/>
      <c r="G23728" s="68"/>
      <c r="K23728" s="68"/>
    </row>
    <row r="23729" spans="4:11" ht="12.75">
      <c r="D23729" s="67"/>
      <c r="G23729" s="68"/>
      <c r="K23729" s="68"/>
    </row>
    <row r="23730" spans="4:11" ht="12.75">
      <c r="D23730" s="67"/>
      <c r="G23730" s="68"/>
      <c r="K23730" s="68"/>
    </row>
    <row r="23731" spans="4:11" ht="12.75">
      <c r="D23731" s="67"/>
      <c r="G23731" s="68"/>
      <c r="K23731" s="68"/>
    </row>
    <row r="23732" spans="4:11" ht="12.75">
      <c r="D23732" s="67"/>
      <c r="G23732" s="68"/>
      <c r="K23732" s="68"/>
    </row>
    <row r="23733" spans="4:11" ht="12.75">
      <c r="D23733" s="67"/>
      <c r="G23733" s="68"/>
      <c r="K23733" s="68"/>
    </row>
    <row r="23734" spans="4:11" ht="12.75">
      <c r="D23734" s="67"/>
      <c r="G23734" s="68"/>
      <c r="K23734" s="68"/>
    </row>
    <row r="23735" spans="4:11" ht="12.75">
      <c r="D23735" s="67"/>
      <c r="G23735" s="68"/>
      <c r="K23735" s="68"/>
    </row>
    <row r="23736" spans="4:11" ht="12.75">
      <c r="D23736" s="67"/>
      <c r="G23736" s="68"/>
      <c r="K23736" s="68"/>
    </row>
    <row r="23737" spans="4:11" ht="12.75">
      <c r="D23737" s="67"/>
      <c r="G23737" s="68"/>
      <c r="K23737" s="68"/>
    </row>
    <row r="23738" spans="4:11" ht="12.75">
      <c r="D23738" s="67"/>
      <c r="G23738" s="68"/>
      <c r="K23738" s="68"/>
    </row>
    <row r="23739" spans="4:11" ht="12.75">
      <c r="D23739" s="67"/>
      <c r="G23739" s="68"/>
      <c r="K23739" s="68"/>
    </row>
    <row r="23740" spans="4:11" ht="12.75">
      <c r="D23740" s="67"/>
      <c r="G23740" s="68"/>
      <c r="K23740" s="68"/>
    </row>
    <row r="23741" spans="4:11" ht="12.75">
      <c r="D23741" s="67"/>
      <c r="G23741" s="68"/>
      <c r="K23741" s="68"/>
    </row>
    <row r="23742" spans="4:11" ht="12.75">
      <c r="D23742" s="67"/>
      <c r="G23742" s="68"/>
      <c r="K23742" s="68"/>
    </row>
    <row r="23743" spans="4:11" ht="12.75">
      <c r="D23743" s="67"/>
      <c r="G23743" s="68"/>
      <c r="K23743" s="68"/>
    </row>
    <row r="23744" spans="4:11" ht="12.75">
      <c r="D23744" s="67"/>
      <c r="G23744" s="68"/>
      <c r="K23744" s="68"/>
    </row>
    <row r="23745" spans="4:11" ht="12.75">
      <c r="D23745" s="67"/>
      <c r="G23745" s="68"/>
      <c r="K23745" s="68"/>
    </row>
    <row r="23746" spans="4:11" ht="12.75">
      <c r="D23746" s="67"/>
      <c r="G23746" s="68"/>
      <c r="K23746" s="68"/>
    </row>
    <row r="23747" spans="4:11" ht="12.75">
      <c r="D23747" s="67"/>
      <c r="G23747" s="68"/>
      <c r="K23747" s="68"/>
    </row>
    <row r="23748" spans="4:11" ht="12.75">
      <c r="D23748" s="67"/>
      <c r="G23748" s="68"/>
      <c r="K23748" s="68"/>
    </row>
    <row r="23749" spans="4:11" ht="12.75">
      <c r="D23749" s="67"/>
      <c r="G23749" s="68"/>
      <c r="K23749" s="68"/>
    </row>
    <row r="23750" spans="4:11" ht="12.75">
      <c r="D23750" s="67"/>
      <c r="G23750" s="68"/>
      <c r="K23750" s="68"/>
    </row>
    <row r="23751" spans="4:11" ht="12.75">
      <c r="D23751" s="67"/>
      <c r="G23751" s="68"/>
      <c r="K23751" s="68"/>
    </row>
    <row r="23752" spans="4:11" ht="12.75">
      <c r="D23752" s="67"/>
      <c r="G23752" s="68"/>
      <c r="K23752" s="68"/>
    </row>
    <row r="23753" spans="4:11" ht="12.75">
      <c r="D23753" s="67"/>
      <c r="G23753" s="68"/>
      <c r="K23753" s="68"/>
    </row>
    <row r="23754" spans="4:11" ht="12.75">
      <c r="D23754" s="67"/>
      <c r="G23754" s="68"/>
      <c r="K23754" s="68"/>
    </row>
    <row r="23755" spans="4:11" ht="12.75">
      <c r="D23755" s="67"/>
      <c r="G23755" s="68"/>
      <c r="K23755" s="68"/>
    </row>
    <row r="23756" spans="4:11" ht="12.75">
      <c r="D23756" s="67"/>
      <c r="G23756" s="68"/>
      <c r="K23756" s="68"/>
    </row>
    <row r="23757" spans="4:11" ht="12.75">
      <c r="D23757" s="67"/>
      <c r="G23757" s="68"/>
      <c r="K23757" s="68"/>
    </row>
    <row r="23758" spans="4:11" ht="12.75">
      <c r="D23758" s="67"/>
      <c r="G23758" s="68"/>
      <c r="K23758" s="68"/>
    </row>
    <row r="23759" spans="4:11" ht="12.75">
      <c r="D23759" s="67"/>
      <c r="G23759" s="68"/>
      <c r="K23759" s="68"/>
    </row>
    <row r="23760" spans="4:11" ht="12.75">
      <c r="D23760" s="67"/>
      <c r="G23760" s="68"/>
      <c r="K23760" s="68"/>
    </row>
    <row r="23761" spans="4:11" ht="12.75">
      <c r="D23761" s="67"/>
      <c r="G23761" s="68"/>
      <c r="K23761" s="68"/>
    </row>
    <row r="23762" spans="4:11" ht="12.75">
      <c r="D23762" s="67"/>
      <c r="G23762" s="68"/>
      <c r="K23762" s="68"/>
    </row>
    <row r="23763" spans="4:11" ht="12.75">
      <c r="D23763" s="67"/>
      <c r="G23763" s="68"/>
      <c r="K23763" s="68"/>
    </row>
    <row r="23764" spans="4:11" ht="12.75">
      <c r="D23764" s="67"/>
      <c r="G23764" s="68"/>
      <c r="K23764" s="68"/>
    </row>
    <row r="23765" spans="4:11" ht="12.75">
      <c r="D23765" s="67"/>
      <c r="G23765" s="68"/>
      <c r="K23765" s="68"/>
    </row>
    <row r="23766" spans="4:11" ht="12.75">
      <c r="D23766" s="67"/>
      <c r="G23766" s="68"/>
      <c r="K23766" s="68"/>
    </row>
    <row r="23767" spans="4:11" ht="12.75">
      <c r="D23767" s="67"/>
      <c r="G23767" s="68"/>
      <c r="K23767" s="68"/>
    </row>
    <row r="23768" spans="4:11" ht="12.75">
      <c r="D23768" s="67"/>
      <c r="G23768" s="68"/>
      <c r="K23768" s="68"/>
    </row>
    <row r="23769" spans="4:11" ht="12.75">
      <c r="D23769" s="67"/>
      <c r="G23769" s="68"/>
      <c r="K23769" s="68"/>
    </row>
    <row r="23770" spans="4:11" ht="12.75">
      <c r="D23770" s="67"/>
      <c r="G23770" s="68"/>
      <c r="K23770" s="68"/>
    </row>
    <row r="23771" spans="4:11" ht="12.75">
      <c r="D23771" s="67"/>
      <c r="G23771" s="68"/>
      <c r="K23771" s="68"/>
    </row>
    <row r="23772" spans="4:11" ht="12.75">
      <c r="D23772" s="67"/>
      <c r="G23772" s="68"/>
      <c r="K23772" s="68"/>
    </row>
    <row r="23773" spans="4:11" ht="12.75">
      <c r="D23773" s="67"/>
      <c r="G23773" s="68"/>
      <c r="K23773" s="68"/>
    </row>
    <row r="23774" spans="4:11" ht="12.75">
      <c r="D23774" s="67"/>
      <c r="G23774" s="68"/>
      <c r="K23774" s="68"/>
    </row>
    <row r="23775" spans="4:11" ht="12.75">
      <c r="D23775" s="67"/>
      <c r="G23775" s="68"/>
      <c r="K23775" s="68"/>
    </row>
    <row r="23776" spans="4:11" ht="12.75">
      <c r="D23776" s="67"/>
      <c r="G23776" s="68"/>
      <c r="K23776" s="68"/>
    </row>
    <row r="23777" spans="4:11" ht="12.75">
      <c r="D23777" s="67"/>
      <c r="G23777" s="68"/>
      <c r="K23777" s="68"/>
    </row>
    <row r="23778" spans="4:11" ht="12.75">
      <c r="D23778" s="67"/>
      <c r="G23778" s="68"/>
      <c r="K23778" s="68"/>
    </row>
    <row r="23779" spans="4:11" ht="12.75">
      <c r="D23779" s="67"/>
      <c r="G23779" s="68"/>
      <c r="K23779" s="68"/>
    </row>
    <row r="23780" spans="4:11" ht="12.75">
      <c r="D23780" s="67"/>
      <c r="G23780" s="68"/>
      <c r="K23780" s="68"/>
    </row>
    <row r="23781" spans="4:11" ht="12.75">
      <c r="D23781" s="67"/>
      <c r="G23781" s="68"/>
      <c r="K23781" s="68"/>
    </row>
    <row r="23782" spans="4:11" ht="12.75">
      <c r="D23782" s="67"/>
      <c r="G23782" s="68"/>
      <c r="K23782" s="68"/>
    </row>
    <row r="23783" spans="4:11" ht="12.75">
      <c r="D23783" s="67"/>
      <c r="G23783" s="68"/>
      <c r="K23783" s="68"/>
    </row>
    <row r="23784" spans="4:11" ht="12.75">
      <c r="D23784" s="67"/>
      <c r="G23784" s="68"/>
      <c r="K23784" s="68"/>
    </row>
    <row r="23785" spans="4:11" ht="12.75">
      <c r="D23785" s="67"/>
      <c r="G23785" s="68"/>
      <c r="K23785" s="68"/>
    </row>
    <row r="23786" spans="4:11" ht="12.75">
      <c r="D23786" s="67"/>
      <c r="G23786" s="68"/>
      <c r="K23786" s="68"/>
    </row>
    <row r="23787" spans="4:11" ht="12.75">
      <c r="D23787" s="67"/>
      <c r="G23787" s="68"/>
      <c r="K23787" s="68"/>
    </row>
    <row r="23788" spans="4:11" ht="12.75">
      <c r="D23788" s="67"/>
      <c r="G23788" s="68"/>
      <c r="K23788" s="68"/>
    </row>
    <row r="23789" spans="4:11" ht="12.75">
      <c r="D23789" s="67"/>
      <c r="G23789" s="68"/>
      <c r="K23789" s="68"/>
    </row>
    <row r="23790" spans="4:11" ht="12.75">
      <c r="D23790" s="67"/>
      <c r="G23790" s="68"/>
      <c r="K23790" s="68"/>
    </row>
    <row r="23791" spans="4:11" ht="12.75">
      <c r="D23791" s="67"/>
      <c r="G23791" s="68"/>
      <c r="K23791" s="68"/>
    </row>
    <row r="23792" spans="4:11" ht="12.75">
      <c r="D23792" s="67"/>
      <c r="G23792" s="68"/>
      <c r="K23792" s="68"/>
    </row>
    <row r="23793" spans="4:11" ht="12.75">
      <c r="D23793" s="67"/>
      <c r="G23793" s="68"/>
      <c r="K23793" s="68"/>
    </row>
    <row r="23794" spans="4:11" ht="12.75">
      <c r="D23794" s="67"/>
      <c r="G23794" s="68"/>
      <c r="K23794" s="68"/>
    </row>
    <row r="23795" spans="4:11" ht="12.75">
      <c r="D23795" s="67"/>
      <c r="G23795" s="68"/>
      <c r="K23795" s="68"/>
    </row>
    <row r="23796" spans="4:11" ht="12.75">
      <c r="D23796" s="67"/>
      <c r="G23796" s="68"/>
      <c r="K23796" s="68"/>
    </row>
    <row r="23797" spans="4:11" ht="12.75">
      <c r="D23797" s="67"/>
      <c r="G23797" s="68"/>
      <c r="K23797" s="68"/>
    </row>
    <row r="23798" spans="4:11" ht="12.75">
      <c r="D23798" s="67"/>
      <c r="G23798" s="68"/>
      <c r="K23798" s="68"/>
    </row>
    <row r="23799" spans="4:11" ht="12.75">
      <c r="D23799" s="67"/>
      <c r="G23799" s="68"/>
      <c r="K23799" s="68"/>
    </row>
    <row r="23800" spans="4:11" ht="12.75">
      <c r="D23800" s="67"/>
      <c r="G23800" s="68"/>
      <c r="K23800" s="68"/>
    </row>
    <row r="23801" spans="4:11" ht="12.75">
      <c r="D23801" s="67"/>
      <c r="G23801" s="68"/>
      <c r="K23801" s="68"/>
    </row>
    <row r="23802" spans="4:11" ht="12.75">
      <c r="D23802" s="67"/>
      <c r="G23802" s="68"/>
      <c r="K23802" s="68"/>
    </row>
    <row r="23803" spans="4:11" ht="12.75">
      <c r="D23803" s="67"/>
      <c r="G23803" s="68"/>
      <c r="K23803" s="68"/>
    </row>
    <row r="23804" spans="4:11" ht="12.75">
      <c r="D23804" s="67"/>
      <c r="G23804" s="68"/>
      <c r="K23804" s="68"/>
    </row>
    <row r="23805" spans="4:11" ht="12.75">
      <c r="D23805" s="67"/>
      <c r="G23805" s="68"/>
      <c r="K23805" s="68"/>
    </row>
    <row r="23806" spans="4:11" ht="12.75">
      <c r="D23806" s="67"/>
      <c r="G23806" s="68"/>
      <c r="K23806" s="68"/>
    </row>
    <row r="23807" spans="4:11" ht="12.75">
      <c r="D23807" s="67"/>
      <c r="G23807" s="68"/>
      <c r="K23807" s="68"/>
    </row>
    <row r="23808" spans="4:11" ht="12.75">
      <c r="D23808" s="67"/>
      <c r="G23808" s="68"/>
      <c r="K23808" s="68"/>
    </row>
    <row r="23809" spans="4:11" ht="12.75">
      <c r="D23809" s="67"/>
      <c r="G23809" s="68"/>
      <c r="K23809" s="68"/>
    </row>
    <row r="23810" spans="4:11" ht="12.75">
      <c r="D23810" s="67"/>
      <c r="G23810" s="68"/>
      <c r="K23810" s="68"/>
    </row>
    <row r="23811" spans="4:11" ht="12.75">
      <c r="D23811" s="67"/>
      <c r="G23811" s="68"/>
      <c r="K23811" s="68"/>
    </row>
    <row r="23812" spans="4:11" ht="12.75">
      <c r="D23812" s="67"/>
      <c r="G23812" s="68"/>
      <c r="K23812" s="68"/>
    </row>
    <row r="23813" spans="4:11" ht="12.75">
      <c r="D23813" s="67"/>
      <c r="G23813" s="68"/>
      <c r="K23813" s="68"/>
    </row>
    <row r="23814" spans="4:11" ht="12.75">
      <c r="D23814" s="67"/>
      <c r="G23814" s="68"/>
      <c r="K23814" s="68"/>
    </row>
    <row r="23815" spans="4:11" ht="12.75">
      <c r="D23815" s="67"/>
      <c r="G23815" s="68"/>
      <c r="K23815" s="68"/>
    </row>
    <row r="23816" spans="4:11" ht="12.75">
      <c r="D23816" s="67"/>
      <c r="G23816" s="68"/>
      <c r="K23816" s="68"/>
    </row>
    <row r="23817" spans="4:11" ht="12.75">
      <c r="D23817" s="67"/>
      <c r="G23817" s="68"/>
      <c r="K23817" s="68"/>
    </row>
    <row r="23818" spans="4:11" ht="12.75">
      <c r="D23818" s="67"/>
      <c r="G23818" s="68"/>
      <c r="K23818" s="68"/>
    </row>
    <row r="23819" spans="4:11" ht="12.75">
      <c r="D23819" s="67"/>
      <c r="G23819" s="68"/>
      <c r="K23819" s="68"/>
    </row>
    <row r="23820" spans="4:11" ht="12.75">
      <c r="D23820" s="67"/>
      <c r="G23820" s="68"/>
      <c r="K23820" s="68"/>
    </row>
    <row r="23821" spans="4:11" ht="12.75">
      <c r="D23821" s="67"/>
      <c r="G23821" s="68"/>
      <c r="K23821" s="68"/>
    </row>
    <row r="23822" spans="4:11" ht="12.75">
      <c r="D23822" s="67"/>
      <c r="G23822" s="68"/>
      <c r="K23822" s="68"/>
    </row>
    <row r="23823" spans="4:11" ht="12.75">
      <c r="D23823" s="67"/>
      <c r="G23823" s="68"/>
      <c r="K23823" s="68"/>
    </row>
    <row r="23824" spans="4:11" ht="12.75">
      <c r="D23824" s="67"/>
      <c r="G23824" s="68"/>
      <c r="K23824" s="68"/>
    </row>
    <row r="23825" spans="4:11" ht="12.75">
      <c r="D23825" s="67"/>
      <c r="G23825" s="68"/>
      <c r="K23825" s="68"/>
    </row>
    <row r="23826" spans="4:11" ht="12.75">
      <c r="D23826" s="67"/>
      <c r="G23826" s="68"/>
      <c r="K23826" s="68"/>
    </row>
    <row r="23827" spans="4:11" ht="12.75">
      <c r="D23827" s="67"/>
      <c r="G23827" s="68"/>
      <c r="K23827" s="68"/>
    </row>
    <row r="23828" spans="4:11" ht="12.75">
      <c r="D23828" s="67"/>
      <c r="G23828" s="68"/>
      <c r="K23828" s="68"/>
    </row>
    <row r="23829" spans="4:11" ht="12.75">
      <c r="D23829" s="67"/>
      <c r="G23829" s="68"/>
      <c r="K23829" s="68"/>
    </row>
    <row r="23830" spans="4:11" ht="12.75">
      <c r="D23830" s="67"/>
      <c r="G23830" s="68"/>
      <c r="K23830" s="68"/>
    </row>
    <row r="23831" spans="4:11" ht="12.75">
      <c r="D23831" s="67"/>
      <c r="G23831" s="68"/>
      <c r="K23831" s="68"/>
    </row>
    <row r="23832" spans="4:11" ht="12.75">
      <c r="D23832" s="67"/>
      <c r="G23832" s="68"/>
      <c r="K23832" s="68"/>
    </row>
    <row r="23833" spans="4:11" ht="12.75">
      <c r="D23833" s="67"/>
      <c r="G23833" s="68"/>
      <c r="K23833" s="68"/>
    </row>
    <row r="23834" spans="4:11" ht="12.75">
      <c r="D23834" s="67"/>
      <c r="G23834" s="68"/>
      <c r="K23834" s="68"/>
    </row>
    <row r="23835" spans="4:11" ht="12.75">
      <c r="D23835" s="67"/>
      <c r="G23835" s="68"/>
      <c r="K23835" s="68"/>
    </row>
    <row r="23836" spans="4:11" ht="12.75">
      <c r="D23836" s="67"/>
      <c r="G23836" s="68"/>
      <c r="K23836" s="68"/>
    </row>
    <row r="23837" spans="4:11" ht="12.75">
      <c r="D23837" s="67"/>
      <c r="G23837" s="68"/>
      <c r="K23837" s="68"/>
    </row>
    <row r="23838" spans="4:11" ht="12.75">
      <c r="D23838" s="67"/>
      <c r="G23838" s="68"/>
      <c r="K23838" s="68"/>
    </row>
    <row r="23839" spans="4:11" ht="12.75">
      <c r="D23839" s="67"/>
      <c r="G23839" s="68"/>
      <c r="K23839" s="68"/>
    </row>
    <row r="23840" spans="4:11" ht="12.75">
      <c r="D23840" s="67"/>
      <c r="G23840" s="68"/>
      <c r="K23840" s="68"/>
    </row>
    <row r="23841" spans="4:11" ht="12.75">
      <c r="D23841" s="67"/>
      <c r="G23841" s="68"/>
      <c r="K23841" s="68"/>
    </row>
    <row r="23842" spans="4:11" ht="12.75">
      <c r="D23842" s="67"/>
      <c r="G23842" s="68"/>
      <c r="K23842" s="68"/>
    </row>
    <row r="23843" spans="4:11" ht="12.75">
      <c r="D23843" s="67"/>
      <c r="G23843" s="68"/>
      <c r="K23843" s="68"/>
    </row>
    <row r="23844" spans="4:11" ht="12.75">
      <c r="D23844" s="67"/>
      <c r="G23844" s="68"/>
      <c r="K23844" s="68"/>
    </row>
    <row r="23845" spans="4:11" ht="12.75">
      <c r="D23845" s="67"/>
      <c r="G23845" s="68"/>
      <c r="K23845" s="68"/>
    </row>
    <row r="23846" spans="4:11" ht="12.75">
      <c r="D23846" s="67"/>
      <c r="G23846" s="68"/>
      <c r="K23846" s="68"/>
    </row>
    <row r="23847" spans="4:11" ht="12.75">
      <c r="D23847" s="67"/>
      <c r="G23847" s="68"/>
      <c r="K23847" s="68"/>
    </row>
    <row r="23848" spans="4:11" ht="12.75">
      <c r="D23848" s="67"/>
      <c r="G23848" s="68"/>
      <c r="K23848" s="68"/>
    </row>
    <row r="23849" spans="4:11" ht="12.75">
      <c r="D23849" s="67"/>
      <c r="G23849" s="68"/>
      <c r="K23849" s="68"/>
    </row>
    <row r="23850" spans="4:11" ht="12.75">
      <c r="D23850" s="67"/>
      <c r="G23850" s="68"/>
      <c r="K23850" s="68"/>
    </row>
    <row r="23851" spans="4:11" ht="12.75">
      <c r="D23851" s="67"/>
      <c r="G23851" s="68"/>
      <c r="K23851" s="68"/>
    </row>
    <row r="23852" spans="4:11" ht="12.75">
      <c r="D23852" s="67"/>
      <c r="G23852" s="68"/>
      <c r="K23852" s="68"/>
    </row>
    <row r="23853" spans="4:11" ht="12.75">
      <c r="D23853" s="67"/>
      <c r="G23853" s="68"/>
      <c r="K23853" s="68"/>
    </row>
    <row r="23854" spans="4:11" ht="12.75">
      <c r="D23854" s="67"/>
      <c r="G23854" s="68"/>
      <c r="K23854" s="68"/>
    </row>
    <row r="23855" spans="4:11" ht="12.75">
      <c r="D23855" s="67"/>
      <c r="G23855" s="68"/>
      <c r="K23855" s="68"/>
    </row>
    <row r="23856" spans="4:11" ht="12.75">
      <c r="D23856" s="67"/>
      <c r="G23856" s="68"/>
      <c r="K23856" s="68"/>
    </row>
    <row r="23857" spans="4:11" ht="12.75">
      <c r="D23857" s="67"/>
      <c r="G23857" s="68"/>
      <c r="K23857" s="68"/>
    </row>
    <row r="23858" spans="4:11" ht="12.75">
      <c r="D23858" s="67"/>
      <c r="G23858" s="68"/>
      <c r="K23858" s="68"/>
    </row>
    <row r="23859" spans="4:11" ht="12.75">
      <c r="D23859" s="67"/>
      <c r="G23859" s="68"/>
      <c r="K23859" s="68"/>
    </row>
    <row r="23860" spans="4:11" ht="12.75">
      <c r="D23860" s="67"/>
      <c r="G23860" s="68"/>
      <c r="K23860" s="68"/>
    </row>
    <row r="23861" spans="4:11" ht="12.75">
      <c r="D23861" s="67"/>
      <c r="G23861" s="68"/>
      <c r="K23861" s="68"/>
    </row>
    <row r="23862" spans="4:11" ht="12.75">
      <c r="D23862" s="67"/>
      <c r="G23862" s="68"/>
      <c r="K23862" s="68"/>
    </row>
    <row r="23863" spans="4:11" ht="12.75">
      <c r="D23863" s="67"/>
      <c r="G23863" s="68"/>
      <c r="K23863" s="68"/>
    </row>
    <row r="23864" spans="4:11" ht="12.75">
      <c r="D23864" s="67"/>
      <c r="G23864" s="68"/>
      <c r="K23864" s="68"/>
    </row>
    <row r="23865" spans="4:11" ht="12.75">
      <c r="D23865" s="67"/>
      <c r="G23865" s="68"/>
      <c r="K23865" s="68"/>
    </row>
    <row r="23866" spans="4:11" ht="12.75">
      <c r="D23866" s="67"/>
      <c r="G23866" s="68"/>
      <c r="K23866" s="68"/>
    </row>
    <row r="23867" spans="4:11" ht="12.75">
      <c r="D23867" s="67"/>
      <c r="G23867" s="68"/>
      <c r="K23867" s="68"/>
    </row>
    <row r="23868" spans="4:11" ht="12.75">
      <c r="D23868" s="67"/>
      <c r="G23868" s="68"/>
      <c r="K23868" s="68"/>
    </row>
    <row r="23869" spans="4:11" ht="12.75">
      <c r="D23869" s="67"/>
      <c r="G23869" s="68"/>
      <c r="K23869" s="68"/>
    </row>
    <row r="23870" spans="4:11" ht="12.75">
      <c r="D23870" s="67"/>
      <c r="G23870" s="68"/>
      <c r="K23870" s="68"/>
    </row>
    <row r="23871" spans="4:11" ht="12.75">
      <c r="D23871" s="67"/>
      <c r="G23871" s="68"/>
      <c r="K23871" s="68"/>
    </row>
    <row r="23872" spans="4:11" ht="12.75">
      <c r="D23872" s="67"/>
      <c r="G23872" s="68"/>
      <c r="K23872" s="68"/>
    </row>
    <row r="23873" spans="4:11" ht="12.75">
      <c r="D23873" s="67"/>
      <c r="G23873" s="68"/>
      <c r="K23873" s="68"/>
    </row>
    <row r="23874" spans="4:11" ht="12.75">
      <c r="D23874" s="67"/>
      <c r="G23874" s="68"/>
      <c r="K23874" s="68"/>
    </row>
    <row r="23875" spans="4:11" ht="12.75">
      <c r="D23875" s="67"/>
      <c r="G23875" s="68"/>
      <c r="K23875" s="68"/>
    </row>
    <row r="23876" spans="4:11" ht="12.75">
      <c r="D23876" s="67"/>
      <c r="G23876" s="68"/>
      <c r="K23876" s="68"/>
    </row>
    <row r="23877" spans="4:11" ht="12.75">
      <c r="D23877" s="67"/>
      <c r="G23877" s="68"/>
      <c r="K23877" s="68"/>
    </row>
    <row r="23878" spans="4:11" ht="12.75">
      <c r="D23878" s="67"/>
      <c r="G23878" s="68"/>
      <c r="K23878" s="68"/>
    </row>
    <row r="23879" spans="4:11" ht="12.75">
      <c r="D23879" s="67"/>
      <c r="G23879" s="68"/>
      <c r="K23879" s="68"/>
    </row>
    <row r="23880" spans="4:11" ht="12.75">
      <c r="D23880" s="67"/>
      <c r="G23880" s="68"/>
      <c r="K23880" s="68"/>
    </row>
    <row r="23881" spans="4:11" ht="12.75">
      <c r="D23881" s="67"/>
      <c r="G23881" s="68"/>
      <c r="K23881" s="68"/>
    </row>
    <row r="23882" spans="4:11" ht="12.75">
      <c r="D23882" s="67"/>
      <c r="G23882" s="68"/>
      <c r="K23882" s="68"/>
    </row>
    <row r="23883" spans="4:11" ht="12.75">
      <c r="D23883" s="67"/>
      <c r="G23883" s="68"/>
      <c r="K23883" s="68"/>
    </row>
    <row r="23884" spans="4:11" ht="12.75">
      <c r="D23884" s="67"/>
      <c r="G23884" s="68"/>
      <c r="K23884" s="68"/>
    </row>
    <row r="23885" spans="4:11" ht="12.75">
      <c r="D23885" s="67"/>
      <c r="G23885" s="68"/>
      <c r="K23885" s="68"/>
    </row>
    <row r="23886" spans="4:11" ht="12.75">
      <c r="D23886" s="67"/>
      <c r="G23886" s="68"/>
      <c r="K23886" s="68"/>
    </row>
    <row r="23887" spans="4:11" ht="12.75">
      <c r="D23887" s="67"/>
      <c r="G23887" s="68"/>
      <c r="K23887" s="68"/>
    </row>
    <row r="23888" spans="4:11" ht="12.75">
      <c r="D23888" s="67"/>
      <c r="G23888" s="68"/>
      <c r="K23888" s="68"/>
    </row>
    <row r="23889" spans="4:11" ht="12.75">
      <c r="D23889" s="67"/>
      <c r="G23889" s="68"/>
      <c r="K23889" s="68"/>
    </row>
    <row r="23890" spans="4:11" ht="12.75">
      <c r="D23890" s="67"/>
      <c r="G23890" s="68"/>
      <c r="K23890" s="68"/>
    </row>
    <row r="23891" spans="4:11" ht="12.75">
      <c r="D23891" s="67"/>
      <c r="G23891" s="68"/>
      <c r="K23891" s="68"/>
    </row>
    <row r="23892" spans="4:11" ht="12.75">
      <c r="D23892" s="67"/>
      <c r="G23892" s="68"/>
      <c r="K23892" s="68"/>
    </row>
    <row r="23893" spans="4:11" ht="12.75">
      <c r="D23893" s="67"/>
      <c r="G23893" s="68"/>
      <c r="K23893" s="68"/>
    </row>
    <row r="23894" spans="4:11" ht="12.75">
      <c r="D23894" s="67"/>
      <c r="G23894" s="68"/>
      <c r="K23894" s="68"/>
    </row>
    <row r="23895" spans="4:11" ht="12.75">
      <c r="D23895" s="67"/>
      <c r="G23895" s="68"/>
      <c r="K23895" s="68"/>
    </row>
    <row r="23896" spans="4:11" ht="12.75">
      <c r="D23896" s="67"/>
      <c r="G23896" s="68"/>
      <c r="K23896" s="68"/>
    </row>
    <row r="23897" spans="4:11" ht="12.75">
      <c r="D23897" s="67"/>
      <c r="G23897" s="68"/>
      <c r="K23897" s="68"/>
    </row>
    <row r="23898" spans="4:11" ht="12.75">
      <c r="D23898" s="67"/>
      <c r="G23898" s="68"/>
      <c r="K23898" s="68"/>
    </row>
    <row r="23899" spans="4:11" ht="12.75">
      <c r="D23899" s="67"/>
      <c r="G23899" s="68"/>
      <c r="K23899" s="68"/>
    </row>
    <row r="23900" spans="4:11" ht="12.75">
      <c r="D23900" s="67"/>
      <c r="G23900" s="68"/>
      <c r="K23900" s="68"/>
    </row>
    <row r="23901" spans="4:11" ht="12.75">
      <c r="D23901" s="67"/>
      <c r="G23901" s="68"/>
      <c r="K23901" s="68"/>
    </row>
    <row r="23902" spans="4:11" ht="12.75">
      <c r="D23902" s="67"/>
      <c r="G23902" s="68"/>
      <c r="K23902" s="68"/>
    </row>
    <row r="23903" spans="4:11" ht="12.75">
      <c r="D23903" s="67"/>
      <c r="G23903" s="68"/>
      <c r="K23903" s="68"/>
    </row>
    <row r="23904" spans="4:11" ht="12.75">
      <c r="D23904" s="67"/>
      <c r="G23904" s="68"/>
      <c r="K23904" s="68"/>
    </row>
    <row r="23905" spans="4:11" ht="12.75">
      <c r="D23905" s="67"/>
      <c r="G23905" s="68"/>
      <c r="K23905" s="68"/>
    </row>
    <row r="23906" spans="4:11" ht="12.75">
      <c r="D23906" s="67"/>
      <c r="G23906" s="68"/>
      <c r="K23906" s="68"/>
    </row>
    <row r="23907" spans="4:11" ht="12.75">
      <c r="D23907" s="67"/>
      <c r="G23907" s="68"/>
      <c r="K23907" s="68"/>
    </row>
    <row r="23908" spans="4:11" ht="12.75">
      <c r="D23908" s="67"/>
      <c r="G23908" s="68"/>
      <c r="K23908" s="68"/>
    </row>
    <row r="23909" spans="4:11" ht="12.75">
      <c r="D23909" s="67"/>
      <c r="G23909" s="68"/>
      <c r="K23909" s="68"/>
    </row>
    <row r="23910" spans="4:11" ht="12.75">
      <c r="D23910" s="67"/>
      <c r="G23910" s="68"/>
      <c r="K23910" s="68"/>
    </row>
    <row r="23911" spans="4:11" ht="12.75">
      <c r="D23911" s="67"/>
      <c r="G23911" s="68"/>
      <c r="K23911" s="68"/>
    </row>
    <row r="23912" spans="4:11" ht="12.75">
      <c r="D23912" s="67"/>
      <c r="G23912" s="68"/>
      <c r="K23912" s="68"/>
    </row>
    <row r="23913" spans="4:11" ht="12.75">
      <c r="D23913" s="67"/>
      <c r="G23913" s="68"/>
      <c r="K23913" s="68"/>
    </row>
    <row r="23914" spans="4:11" ht="12.75">
      <c r="D23914" s="67"/>
      <c r="G23914" s="68"/>
      <c r="K23914" s="68"/>
    </row>
    <row r="23915" spans="4:11" ht="12.75">
      <c r="D23915" s="67"/>
      <c r="G23915" s="68"/>
      <c r="K23915" s="68"/>
    </row>
    <row r="23916" spans="4:11" ht="12.75">
      <c r="D23916" s="67"/>
      <c r="G23916" s="68"/>
      <c r="K23916" s="68"/>
    </row>
    <row r="23917" spans="4:11" ht="12.75">
      <c r="D23917" s="67"/>
      <c r="G23917" s="68"/>
      <c r="K23917" s="68"/>
    </row>
    <row r="23918" spans="4:11" ht="12.75">
      <c r="D23918" s="67"/>
      <c r="G23918" s="68"/>
      <c r="K23918" s="68"/>
    </row>
    <row r="23919" spans="4:11" ht="12.75">
      <c r="D23919" s="67"/>
      <c r="G23919" s="68"/>
      <c r="K23919" s="68"/>
    </row>
    <row r="23920" spans="4:11" ht="12.75">
      <c r="D23920" s="67"/>
      <c r="G23920" s="68"/>
      <c r="K23920" s="68"/>
    </row>
    <row r="23921" spans="4:11" ht="12.75">
      <c r="D23921" s="67"/>
      <c r="G23921" s="68"/>
      <c r="K23921" s="68"/>
    </row>
    <row r="23922" spans="4:11" ht="12.75">
      <c r="D23922" s="67"/>
      <c r="G23922" s="68"/>
      <c r="K23922" s="68"/>
    </row>
    <row r="23923" spans="4:11" ht="12.75">
      <c r="D23923" s="67"/>
      <c r="G23923" s="68"/>
      <c r="K23923" s="68"/>
    </row>
    <row r="23924" spans="4:11" ht="12.75">
      <c r="D23924" s="67"/>
      <c r="G23924" s="68"/>
      <c r="K23924" s="68"/>
    </row>
    <row r="23925" spans="4:11" ht="12.75">
      <c r="D23925" s="67"/>
      <c r="G23925" s="68"/>
      <c r="K23925" s="68"/>
    </row>
    <row r="23926" spans="4:11" ht="12.75">
      <c r="D23926" s="67"/>
      <c r="G23926" s="68"/>
      <c r="K23926" s="68"/>
    </row>
    <row r="23927" spans="4:11" ht="12.75">
      <c r="D23927" s="67"/>
      <c r="G23927" s="68"/>
      <c r="K23927" s="68"/>
    </row>
    <row r="23928" spans="4:11" ht="12.75">
      <c r="D23928" s="67"/>
      <c r="G23928" s="68"/>
      <c r="K23928" s="68"/>
    </row>
    <row r="23929" spans="4:11" ht="12.75">
      <c r="D23929" s="67"/>
      <c r="G23929" s="68"/>
      <c r="K23929" s="68"/>
    </row>
    <row r="23930" spans="4:11" ht="12.75">
      <c r="D23930" s="67"/>
      <c r="G23930" s="68"/>
      <c r="K23930" s="68"/>
    </row>
    <row r="23931" spans="4:11" ht="12.75">
      <c r="D23931" s="67"/>
      <c r="G23931" s="68"/>
      <c r="K23931" s="68"/>
    </row>
    <row r="23932" spans="4:11" ht="12.75">
      <c r="D23932" s="67"/>
      <c r="G23932" s="68"/>
      <c r="K23932" s="68"/>
    </row>
    <row r="23933" spans="4:11" ht="12.75">
      <c r="D23933" s="67"/>
      <c r="G23933" s="68"/>
      <c r="K23933" s="68"/>
    </row>
    <row r="23934" spans="4:11" ht="12.75">
      <c r="D23934" s="67"/>
      <c r="G23934" s="68"/>
      <c r="K23934" s="68"/>
    </row>
    <row r="23935" spans="4:11" ht="12.75">
      <c r="D23935" s="67"/>
      <c r="G23935" s="68"/>
      <c r="K23935" s="68"/>
    </row>
    <row r="23936" spans="4:11" ht="12.75">
      <c r="D23936" s="67"/>
      <c r="G23936" s="68"/>
      <c r="K23936" s="68"/>
    </row>
    <row r="23937" spans="4:11" ht="12.75">
      <c r="D23937" s="67"/>
      <c r="G23937" s="68"/>
      <c r="K23937" s="68"/>
    </row>
    <row r="23938" spans="4:11" ht="12.75">
      <c r="D23938" s="67"/>
      <c r="G23938" s="68"/>
      <c r="K23938" s="68"/>
    </row>
    <row r="23939" spans="4:11" ht="12.75">
      <c r="D23939" s="67"/>
      <c r="G23939" s="68"/>
      <c r="K23939" s="68"/>
    </row>
    <row r="23940" spans="4:11" ht="12.75">
      <c r="D23940" s="67"/>
      <c r="G23940" s="68"/>
      <c r="K23940" s="68"/>
    </row>
    <row r="23941" spans="4:11" ht="12.75">
      <c r="D23941" s="67"/>
      <c r="G23941" s="68"/>
      <c r="K23941" s="68"/>
    </row>
    <row r="23942" spans="4:11" ht="12.75">
      <c r="D23942" s="67"/>
      <c r="G23942" s="68"/>
      <c r="K23942" s="68"/>
    </row>
    <row r="23943" spans="4:11" ht="12.75">
      <c r="D23943" s="67"/>
      <c r="G23943" s="68"/>
      <c r="K23943" s="68"/>
    </row>
    <row r="23944" spans="4:11" ht="12.75">
      <c r="D23944" s="67"/>
      <c r="G23944" s="68"/>
      <c r="K23944" s="68"/>
    </row>
    <row r="23945" spans="4:11" ht="12.75">
      <c r="D23945" s="67"/>
      <c r="G23945" s="68"/>
      <c r="K23945" s="68"/>
    </row>
    <row r="23946" spans="4:11" ht="12.75">
      <c r="D23946" s="67"/>
      <c r="G23946" s="68"/>
      <c r="K23946" s="68"/>
    </row>
    <row r="23947" spans="4:11" ht="12.75">
      <c r="D23947" s="67"/>
      <c r="G23947" s="68"/>
      <c r="K23947" s="68"/>
    </row>
    <row r="23948" spans="4:11" ht="12.75">
      <c r="D23948" s="67"/>
      <c r="G23948" s="68"/>
      <c r="K23948" s="68"/>
    </row>
    <row r="23949" spans="4:11" ht="12.75">
      <c r="D23949" s="67"/>
      <c r="G23949" s="68"/>
      <c r="K23949" s="68"/>
    </row>
    <row r="23950" spans="4:11" ht="12.75">
      <c r="D23950" s="67"/>
      <c r="G23950" s="68"/>
      <c r="K23950" s="68"/>
    </row>
    <row r="23951" spans="4:11" ht="12.75">
      <c r="D23951" s="67"/>
      <c r="G23951" s="68"/>
      <c r="K23951" s="68"/>
    </row>
    <row r="23952" spans="4:11" ht="12.75">
      <c r="D23952" s="67"/>
      <c r="G23952" s="68"/>
      <c r="K23952" s="68"/>
    </row>
    <row r="23953" spans="4:11" ht="12.75">
      <c r="D23953" s="67"/>
      <c r="G23953" s="68"/>
      <c r="K23953" s="68"/>
    </row>
    <row r="23954" spans="4:11" ht="12.75">
      <c r="D23954" s="67"/>
      <c r="G23954" s="68"/>
      <c r="K23954" s="68"/>
    </row>
    <row r="23955" spans="4:11" ht="12.75">
      <c r="D23955" s="67"/>
      <c r="G23955" s="68"/>
      <c r="K23955" s="68"/>
    </row>
    <row r="23956" spans="4:11" ht="12.75">
      <c r="D23956" s="67"/>
      <c r="G23956" s="68"/>
      <c r="K23956" s="68"/>
    </row>
    <row r="23957" spans="4:11" ht="12.75">
      <c r="D23957" s="67"/>
      <c r="G23957" s="68"/>
      <c r="K23957" s="68"/>
    </row>
    <row r="23958" spans="4:11" ht="12.75">
      <c r="D23958" s="67"/>
      <c r="G23958" s="68"/>
      <c r="K23958" s="68"/>
    </row>
    <row r="23959" spans="4:11" ht="12.75">
      <c r="D23959" s="67"/>
      <c r="G23959" s="68"/>
      <c r="K23959" s="68"/>
    </row>
    <row r="23960" spans="4:11" ht="12.75">
      <c r="D23960" s="67"/>
      <c r="G23960" s="68"/>
      <c r="K23960" s="68"/>
    </row>
    <row r="23961" spans="4:11" ht="12.75">
      <c r="D23961" s="67"/>
      <c r="G23961" s="68"/>
      <c r="K23961" s="68"/>
    </row>
    <row r="23962" spans="4:11" ht="12.75">
      <c r="D23962" s="67"/>
      <c r="G23962" s="68"/>
      <c r="K23962" s="68"/>
    </row>
    <row r="23963" spans="4:11" ht="12.75">
      <c r="D23963" s="67"/>
      <c r="G23963" s="68"/>
      <c r="K23963" s="68"/>
    </row>
    <row r="23964" spans="4:11" ht="12.75">
      <c r="D23964" s="67"/>
      <c r="G23964" s="68"/>
      <c r="K23964" s="68"/>
    </row>
    <row r="23965" spans="4:11" ht="12.75">
      <c r="D23965" s="67"/>
      <c r="G23965" s="68"/>
      <c r="K23965" s="68"/>
    </row>
    <row r="23966" spans="4:11" ht="12.75">
      <c r="D23966" s="67"/>
      <c r="G23966" s="68"/>
      <c r="K23966" s="68"/>
    </row>
    <row r="23967" spans="4:11" ht="12.75">
      <c r="D23967" s="67"/>
      <c r="G23967" s="68"/>
      <c r="K23967" s="68"/>
    </row>
    <row r="23968" spans="4:11" ht="12.75">
      <c r="D23968" s="67"/>
      <c r="G23968" s="68"/>
      <c r="K23968" s="68"/>
    </row>
    <row r="23969" spans="4:11" ht="12.75">
      <c r="D23969" s="67"/>
      <c r="G23969" s="68"/>
      <c r="K23969" s="68"/>
    </row>
    <row r="23970" spans="4:11" ht="12.75">
      <c r="D23970" s="67"/>
      <c r="G23970" s="68"/>
      <c r="K23970" s="68"/>
    </row>
    <row r="23971" spans="4:11" ht="12.75">
      <c r="D23971" s="67"/>
      <c r="G23971" s="68"/>
      <c r="K23971" s="68"/>
    </row>
    <row r="23972" spans="4:11" ht="12.75">
      <c r="D23972" s="67"/>
      <c r="G23972" s="68"/>
      <c r="K23972" s="68"/>
    </row>
    <row r="23973" spans="4:11" ht="12.75">
      <c r="D23973" s="67"/>
      <c r="G23973" s="68"/>
      <c r="K23973" s="68"/>
    </row>
    <row r="23974" spans="4:11" ht="12.75">
      <c r="D23974" s="67"/>
      <c r="G23974" s="68"/>
      <c r="K23974" s="68"/>
    </row>
    <row r="23975" spans="4:11" ht="12.75">
      <c r="D23975" s="67"/>
      <c r="G23975" s="68"/>
      <c r="K23975" s="68"/>
    </row>
    <row r="23976" spans="4:11" ht="12.75">
      <c r="D23976" s="67"/>
      <c r="G23976" s="68"/>
      <c r="K23976" s="68"/>
    </row>
    <row r="23977" spans="4:11" ht="12.75">
      <c r="D23977" s="67"/>
      <c r="G23977" s="68"/>
      <c r="K23977" s="68"/>
    </row>
    <row r="23978" spans="4:11" ht="12.75">
      <c r="D23978" s="67"/>
      <c r="G23978" s="68"/>
      <c r="K23978" s="68"/>
    </row>
    <row r="23979" spans="4:11" ht="12.75">
      <c r="D23979" s="67"/>
      <c r="G23979" s="68"/>
      <c r="K23979" s="68"/>
    </row>
    <row r="23980" spans="4:11" ht="12.75">
      <c r="D23980" s="67"/>
      <c r="G23980" s="68"/>
      <c r="K23980" s="68"/>
    </row>
    <row r="23981" spans="4:11" ht="12.75">
      <c r="D23981" s="67"/>
      <c r="G23981" s="68"/>
      <c r="K23981" s="68"/>
    </row>
    <row r="23982" spans="4:11" ht="12.75">
      <c r="D23982" s="67"/>
      <c r="G23982" s="68"/>
      <c r="K23982" s="68"/>
    </row>
    <row r="23983" spans="4:11" ht="12.75">
      <c r="D23983" s="67"/>
      <c r="G23983" s="68"/>
      <c r="K23983" s="68"/>
    </row>
    <row r="23984" spans="4:11" ht="12.75">
      <c r="D23984" s="67"/>
      <c r="G23984" s="68"/>
      <c r="K23984" s="68"/>
    </row>
    <row r="23985" spans="4:11" ht="12.75">
      <c r="D23985" s="67"/>
      <c r="G23985" s="68"/>
      <c r="K23985" s="68"/>
    </row>
    <row r="23986" spans="4:11" ht="12.75">
      <c r="D23986" s="67"/>
      <c r="G23986" s="68"/>
      <c r="K23986" s="68"/>
    </row>
    <row r="23987" spans="4:11" ht="12.75">
      <c r="D23987" s="67"/>
      <c r="G23987" s="68"/>
      <c r="K23987" s="68"/>
    </row>
    <row r="23988" spans="4:11" ht="12.75">
      <c r="D23988" s="67"/>
      <c r="G23988" s="68"/>
      <c r="K23988" s="68"/>
    </row>
    <row r="23989" spans="4:11" ht="12.75">
      <c r="D23989" s="67"/>
      <c r="G23989" s="68"/>
      <c r="K23989" s="68"/>
    </row>
    <row r="23990" spans="4:11" ht="12.75">
      <c r="D23990" s="67"/>
      <c r="G23990" s="68"/>
      <c r="K23990" s="68"/>
    </row>
    <row r="23991" spans="4:11" ht="12.75">
      <c r="D23991" s="67"/>
      <c r="G23991" s="68"/>
      <c r="K23991" s="68"/>
    </row>
    <row r="23992" spans="4:11" ht="12.75">
      <c r="D23992" s="67"/>
      <c r="G23992" s="68"/>
      <c r="K23992" s="68"/>
    </row>
    <row r="23993" spans="4:11" ht="12.75">
      <c r="D23993" s="67"/>
      <c r="G23993" s="68"/>
      <c r="K23993" s="68"/>
    </row>
    <row r="23994" spans="4:11" ht="12.75">
      <c r="D23994" s="67"/>
      <c r="G23994" s="68"/>
      <c r="K23994" s="68"/>
    </row>
    <row r="23995" spans="4:11" ht="12.75">
      <c r="D23995" s="67"/>
      <c r="G23995" s="68"/>
      <c r="K23995" s="68"/>
    </row>
    <row r="23996" spans="4:11" ht="12.75">
      <c r="D23996" s="67"/>
      <c r="G23996" s="68"/>
      <c r="K23996" s="68"/>
    </row>
    <row r="23997" spans="4:11" ht="12.75">
      <c r="D23997" s="67"/>
      <c r="G23997" s="68"/>
      <c r="K23997" s="68"/>
    </row>
    <row r="23998" spans="4:11" ht="12.75">
      <c r="D23998" s="67"/>
      <c r="G23998" s="68"/>
      <c r="K23998" s="68"/>
    </row>
    <row r="23999" spans="4:11" ht="12.75">
      <c r="D23999" s="67"/>
      <c r="G23999" s="68"/>
      <c r="K23999" s="68"/>
    </row>
    <row r="24000" spans="4:11" ht="12.75">
      <c r="D24000" s="67"/>
      <c r="G24000" s="68"/>
      <c r="K24000" s="68"/>
    </row>
    <row r="24001" spans="4:11" ht="12.75">
      <c r="D24001" s="67"/>
      <c r="G24001" s="68"/>
      <c r="K24001" s="68"/>
    </row>
    <row r="24002" spans="4:11" ht="12.75">
      <c r="D24002" s="67"/>
      <c r="G24002" s="68"/>
      <c r="K24002" s="68"/>
    </row>
    <row r="24003" spans="4:11" ht="12.75">
      <c r="D24003" s="67"/>
      <c r="G24003" s="68"/>
      <c r="K24003" s="68"/>
    </row>
    <row r="24004" spans="4:11" ht="12.75">
      <c r="D24004" s="67"/>
      <c r="G24004" s="68"/>
      <c r="K24004" s="68"/>
    </row>
    <row r="24005" spans="4:11" ht="12.75">
      <c r="D24005" s="67"/>
      <c r="G24005" s="68"/>
      <c r="K24005" s="68"/>
    </row>
    <row r="24006" spans="4:11" ht="12.75">
      <c r="D24006" s="67"/>
      <c r="G24006" s="68"/>
      <c r="K24006" s="68"/>
    </row>
    <row r="24007" spans="4:11" ht="12.75">
      <c r="D24007" s="67"/>
      <c r="G24007" s="68"/>
      <c r="K24007" s="68"/>
    </row>
    <row r="24008" spans="4:11" ht="12.75">
      <c r="D24008" s="67"/>
      <c r="G24008" s="68"/>
      <c r="K24008" s="68"/>
    </row>
    <row r="24009" spans="4:11" ht="12.75">
      <c r="D24009" s="67"/>
      <c r="G24009" s="68"/>
      <c r="K24009" s="68"/>
    </row>
    <row r="24010" spans="4:11" ht="12.75">
      <c r="D24010" s="67"/>
      <c r="G24010" s="68"/>
      <c r="K24010" s="68"/>
    </row>
    <row r="24011" spans="4:11" ht="12.75">
      <c r="D24011" s="67"/>
      <c r="G24011" s="68"/>
      <c r="K24011" s="68"/>
    </row>
    <row r="24012" spans="4:11" ht="12.75">
      <c r="D24012" s="67"/>
      <c r="G24012" s="68"/>
      <c r="K24012" s="68"/>
    </row>
    <row r="24013" spans="4:11" ht="12.75">
      <c r="D24013" s="67"/>
      <c r="G24013" s="68"/>
      <c r="K24013" s="68"/>
    </row>
    <row r="24014" spans="4:11" ht="12.75">
      <c r="D24014" s="67"/>
      <c r="G24014" s="68"/>
      <c r="K24014" s="68"/>
    </row>
    <row r="24015" spans="4:11" ht="12.75">
      <c r="D24015" s="67"/>
      <c r="G24015" s="68"/>
      <c r="K24015" s="68"/>
    </row>
    <row r="24016" spans="4:11" ht="12.75">
      <c r="D24016" s="67"/>
      <c r="G24016" s="68"/>
      <c r="K24016" s="68"/>
    </row>
    <row r="24017" spans="4:11" ht="12.75">
      <c r="D24017" s="67"/>
      <c r="G24017" s="68"/>
      <c r="K24017" s="68"/>
    </row>
    <row r="24018" spans="4:11" ht="12.75">
      <c r="D24018" s="67"/>
      <c r="G24018" s="68"/>
      <c r="K24018" s="68"/>
    </row>
    <row r="24019" spans="4:11" ht="12.75">
      <c r="D24019" s="67"/>
      <c r="G24019" s="68"/>
      <c r="K24019" s="68"/>
    </row>
    <row r="24020" spans="4:11" ht="12.75">
      <c r="D24020" s="67"/>
      <c r="G24020" s="68"/>
      <c r="K24020" s="68"/>
    </row>
    <row r="24021" spans="4:11" ht="12.75">
      <c r="D24021" s="67"/>
      <c r="G24021" s="68"/>
      <c r="K24021" s="68"/>
    </row>
    <row r="24022" spans="4:11" ht="12.75">
      <c r="D24022" s="67"/>
      <c r="G24022" s="68"/>
      <c r="K24022" s="68"/>
    </row>
    <row r="24023" spans="4:11" ht="12.75">
      <c r="D24023" s="67"/>
      <c r="G24023" s="68"/>
      <c r="K24023" s="68"/>
    </row>
    <row r="24024" spans="4:11" ht="12.75">
      <c r="D24024" s="67"/>
      <c r="G24024" s="68"/>
      <c r="K24024" s="68"/>
    </row>
    <row r="24025" spans="4:11" ht="12.75">
      <c r="D24025" s="67"/>
      <c r="G24025" s="68"/>
      <c r="K24025" s="68"/>
    </row>
    <row r="24026" spans="4:11" ht="12.75">
      <c r="D24026" s="67"/>
      <c r="G24026" s="68"/>
      <c r="K24026" s="68"/>
    </row>
    <row r="24027" spans="4:11" ht="12.75">
      <c r="D24027" s="67"/>
      <c r="G24027" s="68"/>
      <c r="K24027" s="68"/>
    </row>
    <row r="24028" spans="4:11" ht="12.75">
      <c r="D24028" s="67"/>
      <c r="G24028" s="68"/>
      <c r="K24028" s="68"/>
    </row>
    <row r="24029" spans="4:11" ht="12.75">
      <c r="D24029" s="67"/>
      <c r="G24029" s="68"/>
      <c r="K24029" s="68"/>
    </row>
    <row r="24030" spans="4:11" ht="12.75">
      <c r="D24030" s="67"/>
      <c r="G24030" s="68"/>
      <c r="K24030" s="68"/>
    </row>
    <row r="24031" spans="4:11" ht="12.75">
      <c r="D24031" s="67"/>
      <c r="G24031" s="68"/>
      <c r="K24031" s="68"/>
    </row>
    <row r="24032" spans="4:11" ht="12.75">
      <c r="D24032" s="67"/>
      <c r="G24032" s="68"/>
      <c r="K24032" s="68"/>
    </row>
    <row r="24033" spans="4:11" ht="12.75">
      <c r="D24033" s="67"/>
      <c r="G24033" s="68"/>
      <c r="K24033" s="68"/>
    </row>
    <row r="24034" spans="4:11" ht="12.75">
      <c r="D24034" s="67"/>
      <c r="G24034" s="68"/>
      <c r="K24034" s="68"/>
    </row>
    <row r="24035" spans="4:11" ht="12.75">
      <c r="D24035" s="67"/>
      <c r="G24035" s="68"/>
      <c r="K24035" s="68"/>
    </row>
    <row r="24036" spans="4:11" ht="12.75">
      <c r="D24036" s="67"/>
      <c r="G24036" s="68"/>
      <c r="K24036" s="68"/>
    </row>
    <row r="24037" spans="4:11" ht="12.75">
      <c r="D24037" s="67"/>
      <c r="G24037" s="68"/>
      <c r="K24037" s="68"/>
    </row>
    <row r="24038" spans="4:11" ht="12.75">
      <c r="D24038" s="67"/>
      <c r="G24038" s="68"/>
      <c r="K24038" s="68"/>
    </row>
    <row r="24039" spans="4:11" ht="12.75">
      <c r="D24039" s="67"/>
      <c r="G24039" s="68"/>
      <c r="K24039" s="68"/>
    </row>
    <row r="24040" spans="4:11" ht="12.75">
      <c r="D24040" s="67"/>
      <c r="G24040" s="68"/>
      <c r="K24040" s="68"/>
    </row>
    <row r="24041" spans="4:11" ht="12.75">
      <c r="D24041" s="67"/>
      <c r="G24041" s="68"/>
      <c r="K24041" s="68"/>
    </row>
    <row r="24042" spans="4:11" ht="12.75">
      <c r="D24042" s="67"/>
      <c r="G24042" s="68"/>
      <c r="K24042" s="68"/>
    </row>
    <row r="24043" spans="4:11" ht="12.75">
      <c r="D24043" s="67"/>
      <c r="G24043" s="68"/>
      <c r="K24043" s="68"/>
    </row>
    <row r="24044" spans="4:11" ht="12.75">
      <c r="D24044" s="67"/>
      <c r="G24044" s="68"/>
      <c r="K24044" s="68"/>
    </row>
    <row r="24045" spans="4:11" ht="12.75">
      <c r="D24045" s="67"/>
      <c r="G24045" s="68"/>
      <c r="K24045" s="68"/>
    </row>
    <row r="24046" spans="4:11" ht="12.75">
      <c r="D24046" s="67"/>
      <c r="G24046" s="68"/>
      <c r="K24046" s="68"/>
    </row>
    <row r="24047" spans="4:11" ht="12.75">
      <c r="D24047" s="67"/>
      <c r="G24047" s="68"/>
      <c r="K24047" s="68"/>
    </row>
    <row r="24048" spans="4:11" ht="12.75">
      <c r="D24048" s="67"/>
      <c r="G24048" s="68"/>
      <c r="K24048" s="68"/>
    </row>
    <row r="24049" spans="4:11" ht="12.75">
      <c r="D24049" s="67"/>
      <c r="G24049" s="68"/>
      <c r="K24049" s="68"/>
    </row>
    <row r="24050" spans="4:11" ht="12.75">
      <c r="D24050" s="67"/>
      <c r="G24050" s="68"/>
      <c r="K24050" s="68"/>
    </row>
    <row r="24051" spans="4:11" ht="12.75">
      <c r="D24051" s="67"/>
      <c r="G24051" s="68"/>
      <c r="K24051" s="68"/>
    </row>
    <row r="24052" spans="4:11" ht="12.75">
      <c r="D24052" s="67"/>
      <c r="G24052" s="68"/>
      <c r="K24052" s="68"/>
    </row>
    <row r="24053" spans="4:11" ht="12.75">
      <c r="D24053" s="67"/>
      <c r="G24053" s="68"/>
      <c r="K24053" s="68"/>
    </row>
    <row r="24054" spans="4:11" ht="12.75">
      <c r="D24054" s="67"/>
      <c r="G24054" s="68"/>
      <c r="K24054" s="68"/>
    </row>
    <row r="24055" spans="4:11" ht="12.75">
      <c r="D24055" s="67"/>
      <c r="G24055" s="68"/>
      <c r="K24055" s="68"/>
    </row>
    <row r="24056" spans="4:11" ht="12.75">
      <c r="D24056" s="67"/>
      <c r="G24056" s="68"/>
      <c r="K24056" s="68"/>
    </row>
    <row r="24057" spans="4:11" ht="12.75">
      <c r="D24057" s="67"/>
      <c r="G24057" s="68"/>
      <c r="K24057" s="68"/>
    </row>
    <row r="24058" spans="4:11" ht="12.75">
      <c r="D24058" s="67"/>
      <c r="G24058" s="68"/>
      <c r="K24058" s="68"/>
    </row>
    <row r="24059" spans="4:11" ht="12.75">
      <c r="D24059" s="67"/>
      <c r="G24059" s="68"/>
      <c r="K24059" s="68"/>
    </row>
    <row r="24060" spans="4:11" ht="12.75">
      <c r="D24060" s="67"/>
      <c r="G24060" s="68"/>
      <c r="K24060" s="68"/>
    </row>
    <row r="24061" spans="4:11" ht="12.75">
      <c r="D24061" s="67"/>
      <c r="G24061" s="68"/>
      <c r="K24061" s="68"/>
    </row>
    <row r="24062" spans="4:11" ht="12.75">
      <c r="D24062" s="67"/>
      <c r="G24062" s="68"/>
      <c r="K24062" s="68"/>
    </row>
    <row r="24063" spans="4:11" ht="12.75">
      <c r="D24063" s="67"/>
      <c r="G24063" s="68"/>
      <c r="K24063" s="68"/>
    </row>
    <row r="24064" spans="4:11" ht="12.75">
      <c r="D24064" s="67"/>
      <c r="G24064" s="68"/>
      <c r="K24064" s="68"/>
    </row>
    <row r="24065" spans="4:11" ht="12.75">
      <c r="D24065" s="67"/>
      <c r="G24065" s="68"/>
      <c r="K24065" s="68"/>
    </row>
    <row r="24066" spans="4:11" ht="12.75">
      <c r="D24066" s="67"/>
      <c r="G24066" s="68"/>
      <c r="K24066" s="68"/>
    </row>
    <row r="24067" spans="4:11" ht="12.75">
      <c r="D24067" s="67"/>
      <c r="G24067" s="68"/>
      <c r="K24067" s="68"/>
    </row>
    <row r="24068" spans="4:11" ht="12.75">
      <c r="D24068" s="67"/>
      <c r="G24068" s="68"/>
      <c r="K24068" s="68"/>
    </row>
    <row r="24069" spans="4:11" ht="12.75">
      <c r="D24069" s="67"/>
      <c r="G24069" s="68"/>
      <c r="K24069" s="68"/>
    </row>
    <row r="24070" spans="4:11" ht="12.75">
      <c r="D24070" s="67"/>
      <c r="G24070" s="68"/>
      <c r="K24070" s="68"/>
    </row>
    <row r="24071" spans="4:11" ht="12.75">
      <c r="D24071" s="67"/>
      <c r="G24071" s="68"/>
      <c r="K24071" s="68"/>
    </row>
    <row r="24072" spans="4:11" ht="12.75">
      <c r="D24072" s="67"/>
      <c r="G24072" s="68"/>
      <c r="K24072" s="68"/>
    </row>
    <row r="24073" spans="4:11" ht="12.75">
      <c r="D24073" s="67"/>
      <c r="G24073" s="68"/>
      <c r="K24073" s="68"/>
    </row>
    <row r="24074" spans="4:11" ht="12.75">
      <c r="D24074" s="67"/>
      <c r="G24074" s="68"/>
      <c r="K24074" s="68"/>
    </row>
    <row r="24075" spans="4:11" ht="12.75">
      <c r="D24075" s="67"/>
      <c r="G24075" s="68"/>
      <c r="K24075" s="68"/>
    </row>
    <row r="24076" spans="4:11" ht="12.75">
      <c r="D24076" s="67"/>
      <c r="G24076" s="68"/>
      <c r="K24076" s="68"/>
    </row>
    <row r="24077" spans="4:11" ht="12.75">
      <c r="D24077" s="67"/>
      <c r="G24077" s="68"/>
      <c r="K24077" s="68"/>
    </row>
    <row r="24078" spans="4:11" ht="12.75">
      <c r="D24078" s="67"/>
      <c r="G24078" s="68"/>
      <c r="K24078" s="68"/>
    </row>
    <row r="24079" spans="4:11" ht="12.75">
      <c r="D24079" s="67"/>
      <c r="G24079" s="68"/>
      <c r="K24079" s="68"/>
    </row>
    <row r="24080" spans="4:11" ht="12.75">
      <c r="D24080" s="67"/>
      <c r="G24080" s="68"/>
      <c r="K24080" s="68"/>
    </row>
    <row r="24081" spans="4:11" ht="12.75">
      <c r="D24081" s="67"/>
      <c r="G24081" s="68"/>
      <c r="K24081" s="68"/>
    </row>
    <row r="24082" spans="4:11" ht="12.75">
      <c r="D24082" s="67"/>
      <c r="G24082" s="68"/>
      <c r="K24082" s="68"/>
    </row>
    <row r="24083" spans="4:11" ht="12.75">
      <c r="D24083" s="67"/>
      <c r="G24083" s="68"/>
      <c r="K24083" s="68"/>
    </row>
    <row r="24084" spans="4:11" ht="12.75">
      <c r="D24084" s="67"/>
      <c r="G24084" s="68"/>
      <c r="K24084" s="68"/>
    </row>
    <row r="24085" spans="4:11" ht="12.75">
      <c r="D24085" s="67"/>
      <c r="G24085" s="68"/>
      <c r="K24085" s="68"/>
    </row>
    <row r="24086" spans="4:11" ht="12.75">
      <c r="D24086" s="67"/>
      <c r="G24086" s="68"/>
      <c r="K24086" s="68"/>
    </row>
    <row r="24087" spans="4:11" ht="12.75">
      <c r="D24087" s="67"/>
      <c r="G24087" s="68"/>
      <c r="K24087" s="68"/>
    </row>
    <row r="24088" spans="4:11" ht="12.75">
      <c r="D24088" s="67"/>
      <c r="G24088" s="68"/>
      <c r="K24088" s="68"/>
    </row>
    <row r="24089" spans="4:11" ht="12.75">
      <c r="D24089" s="67"/>
      <c r="G24089" s="68"/>
      <c r="K24089" s="68"/>
    </row>
    <row r="24090" spans="4:11" ht="12.75">
      <c r="D24090" s="67"/>
      <c r="G24090" s="68"/>
      <c r="K24090" s="68"/>
    </row>
    <row r="24091" spans="4:11" ht="12.75">
      <c r="D24091" s="67"/>
      <c r="G24091" s="68"/>
      <c r="K24091" s="68"/>
    </row>
    <row r="24092" spans="4:11" ht="12.75">
      <c r="D24092" s="67"/>
      <c r="G24092" s="68"/>
      <c r="K24092" s="68"/>
    </row>
    <row r="24093" spans="4:11" ht="12.75">
      <c r="D24093" s="67"/>
      <c r="G24093" s="68"/>
      <c r="K24093" s="68"/>
    </row>
    <row r="24094" spans="4:11" ht="12.75">
      <c r="D24094" s="67"/>
      <c r="G24094" s="68"/>
      <c r="K24094" s="68"/>
    </row>
    <row r="24095" spans="4:11" ht="12.75">
      <c r="D24095" s="67"/>
      <c r="G24095" s="68"/>
      <c r="K24095" s="68"/>
    </row>
    <row r="24096" spans="4:11" ht="12.75">
      <c r="D24096" s="67"/>
      <c r="G24096" s="68"/>
      <c r="K24096" s="68"/>
    </row>
    <row r="24097" spans="4:11" ht="12.75">
      <c r="D24097" s="67"/>
      <c r="G24097" s="68"/>
      <c r="K24097" s="68"/>
    </row>
    <row r="24098" spans="4:11" ht="12.75">
      <c r="D24098" s="67"/>
      <c r="G24098" s="68"/>
      <c r="K24098" s="68"/>
    </row>
    <row r="24099" spans="4:11" ht="12.75">
      <c r="D24099" s="67"/>
      <c r="G24099" s="68"/>
      <c r="K24099" s="68"/>
    </row>
    <row r="24100" spans="4:11" ht="12.75">
      <c r="D24100" s="67"/>
      <c r="G24100" s="68"/>
      <c r="K24100" s="68"/>
    </row>
    <row r="24101" spans="4:11" ht="12.75">
      <c r="D24101" s="67"/>
      <c r="G24101" s="68"/>
      <c r="K24101" s="68"/>
    </row>
    <row r="24102" spans="4:11" ht="12.75">
      <c r="D24102" s="67"/>
      <c r="G24102" s="68"/>
      <c r="K24102" s="68"/>
    </row>
    <row r="24103" spans="4:11" ht="12.75">
      <c r="D24103" s="67"/>
      <c r="G24103" s="68"/>
      <c r="K24103" s="68"/>
    </row>
    <row r="24104" spans="4:11" ht="12.75">
      <c r="D24104" s="67"/>
      <c r="G24104" s="68"/>
      <c r="K24104" s="68"/>
    </row>
    <row r="24105" spans="4:11" ht="12.75">
      <c r="D24105" s="67"/>
      <c r="G24105" s="68"/>
      <c r="K24105" s="68"/>
    </row>
    <row r="24106" spans="4:11" ht="12.75">
      <c r="D24106" s="67"/>
      <c r="G24106" s="68"/>
      <c r="K24106" s="68"/>
    </row>
    <row r="24107" spans="4:11" ht="12.75">
      <c r="D24107" s="67"/>
      <c r="G24107" s="68"/>
      <c r="K24107" s="68"/>
    </row>
    <row r="24108" spans="4:11" ht="12.75">
      <c r="D24108" s="67"/>
      <c r="G24108" s="68"/>
      <c r="K24108" s="68"/>
    </row>
    <row r="24109" spans="4:11" ht="12.75">
      <c r="D24109" s="67"/>
      <c r="G24109" s="68"/>
      <c r="K24109" s="68"/>
    </row>
    <row r="24110" spans="4:11" ht="12.75">
      <c r="D24110" s="67"/>
      <c r="G24110" s="68"/>
      <c r="K24110" s="68"/>
    </row>
    <row r="24111" spans="4:11" ht="12.75">
      <c r="D24111" s="67"/>
      <c r="G24111" s="68"/>
      <c r="K24111" s="68"/>
    </row>
    <row r="24112" spans="4:11" ht="12.75">
      <c r="D24112" s="67"/>
      <c r="G24112" s="68"/>
      <c r="K24112" s="68"/>
    </row>
    <row r="24113" spans="4:11" ht="12.75">
      <c r="D24113" s="67"/>
      <c r="G24113" s="68"/>
      <c r="K24113" s="68"/>
    </row>
    <row r="24114" spans="4:11" ht="12.75">
      <c r="D24114" s="67"/>
      <c r="G24114" s="68"/>
      <c r="K24114" s="68"/>
    </row>
    <row r="24115" spans="4:11" ht="12.75">
      <c r="D24115" s="67"/>
      <c r="G24115" s="68"/>
      <c r="K24115" s="68"/>
    </row>
    <row r="24116" spans="4:11" ht="12.75">
      <c r="D24116" s="67"/>
      <c r="G24116" s="68"/>
      <c r="K24116" s="68"/>
    </row>
    <row r="24117" spans="4:11" ht="12.75">
      <c r="D24117" s="67"/>
      <c r="G24117" s="68"/>
      <c r="K24117" s="68"/>
    </row>
    <row r="24118" spans="4:11" ht="12.75">
      <c r="D24118" s="67"/>
      <c r="G24118" s="68"/>
      <c r="K24118" s="68"/>
    </row>
    <row r="24119" spans="4:11" ht="12.75">
      <c r="D24119" s="67"/>
      <c r="G24119" s="68"/>
      <c r="K24119" s="68"/>
    </row>
    <row r="24120" spans="4:11" ht="12.75">
      <c r="D24120" s="67"/>
      <c r="G24120" s="68"/>
      <c r="K24120" s="68"/>
    </row>
    <row r="24121" spans="4:11" ht="12.75">
      <c r="D24121" s="67"/>
      <c r="G24121" s="68"/>
      <c r="K24121" s="68"/>
    </row>
    <row r="24122" spans="4:11" ht="12.75">
      <c r="D24122" s="67"/>
      <c r="G24122" s="68"/>
      <c r="K24122" s="68"/>
    </row>
    <row r="24123" spans="4:11" ht="12.75">
      <c r="D24123" s="67"/>
      <c r="G24123" s="68"/>
      <c r="K24123" s="68"/>
    </row>
    <row r="24124" spans="4:11" ht="12.75">
      <c r="D24124" s="67"/>
      <c r="G24124" s="68"/>
      <c r="K24124" s="68"/>
    </row>
    <row r="24125" spans="4:11" ht="12.75">
      <c r="D24125" s="67"/>
      <c r="G24125" s="68"/>
      <c r="K24125" s="68"/>
    </row>
    <row r="24126" spans="4:11" ht="12.75">
      <c r="D24126" s="67"/>
      <c r="G24126" s="68"/>
      <c r="K24126" s="68"/>
    </row>
    <row r="24127" spans="4:11" ht="12.75">
      <c r="D24127" s="67"/>
      <c r="G24127" s="68"/>
      <c r="K24127" s="68"/>
    </row>
    <row r="24128" spans="4:11" ht="12.75">
      <c r="D24128" s="67"/>
      <c r="G24128" s="68"/>
      <c r="K24128" s="68"/>
    </row>
    <row r="24129" spans="4:11" ht="12.75">
      <c r="D24129" s="67"/>
      <c r="G24129" s="68"/>
      <c r="K24129" s="68"/>
    </row>
    <row r="24130" spans="4:11" ht="12.75">
      <c r="D24130" s="67"/>
      <c r="G24130" s="68"/>
      <c r="K24130" s="68"/>
    </row>
    <row r="24131" spans="4:11" ht="12.75">
      <c r="D24131" s="67"/>
      <c r="G24131" s="68"/>
      <c r="K24131" s="68"/>
    </row>
    <row r="24132" spans="4:11" ht="12.75">
      <c r="D24132" s="67"/>
      <c r="G24132" s="68"/>
      <c r="K24132" s="68"/>
    </row>
    <row r="24133" spans="4:11" ht="12.75">
      <c r="D24133" s="67"/>
      <c r="G24133" s="68"/>
      <c r="K24133" s="68"/>
    </row>
    <row r="24134" spans="4:11" ht="12.75">
      <c r="D24134" s="67"/>
      <c r="G24134" s="68"/>
      <c r="K24134" s="68"/>
    </row>
    <row r="24135" spans="4:11" ht="12.75">
      <c r="D24135" s="67"/>
      <c r="G24135" s="68"/>
      <c r="K24135" s="68"/>
    </row>
    <row r="24136" spans="4:11" ht="12.75">
      <c r="D24136" s="67"/>
      <c r="G24136" s="68"/>
      <c r="K24136" s="68"/>
    </row>
    <row r="24137" spans="4:11" ht="12.75">
      <c r="D24137" s="67"/>
      <c r="G24137" s="68"/>
      <c r="K24137" s="68"/>
    </row>
    <row r="24138" spans="4:11" ht="12.75">
      <c r="D24138" s="67"/>
      <c r="G24138" s="68"/>
      <c r="K24138" s="68"/>
    </row>
    <row r="24139" spans="4:11" ht="12.75">
      <c r="D24139" s="67"/>
      <c r="G24139" s="68"/>
      <c r="K24139" s="68"/>
    </row>
    <row r="24140" spans="4:11" ht="12.75">
      <c r="D24140" s="67"/>
      <c r="G24140" s="68"/>
      <c r="K24140" s="68"/>
    </row>
    <row r="24141" spans="4:11" ht="12.75">
      <c r="D24141" s="67"/>
      <c r="G24141" s="68"/>
      <c r="K24141" s="68"/>
    </row>
    <row r="24142" spans="4:11" ht="12.75">
      <c r="D24142" s="67"/>
      <c r="G24142" s="68"/>
      <c r="K24142" s="68"/>
    </row>
    <row r="24143" spans="4:11" ht="12.75">
      <c r="D24143" s="67"/>
      <c r="G24143" s="68"/>
      <c r="K24143" s="68"/>
    </row>
    <row r="24144" spans="4:11" ht="12.75">
      <c r="D24144" s="67"/>
      <c r="G24144" s="68"/>
      <c r="K24144" s="68"/>
    </row>
    <row r="24145" spans="4:11" ht="12.75">
      <c r="D24145" s="67"/>
      <c r="G24145" s="68"/>
      <c r="K24145" s="68"/>
    </row>
    <row r="24146" spans="4:11" ht="12.75">
      <c r="D24146" s="67"/>
      <c r="G24146" s="68"/>
      <c r="K24146" s="68"/>
    </row>
    <row r="24147" spans="4:11" ht="12.75">
      <c r="D24147" s="67"/>
      <c r="G24147" s="68"/>
      <c r="K24147" s="68"/>
    </row>
    <row r="24148" spans="4:11" ht="12.75">
      <c r="D24148" s="67"/>
      <c r="G24148" s="68"/>
      <c r="K24148" s="68"/>
    </row>
    <row r="24149" spans="4:11" ht="12.75">
      <c r="D24149" s="67"/>
      <c r="G24149" s="68"/>
      <c r="K24149" s="68"/>
    </row>
    <row r="24150" spans="4:11" ht="12.75">
      <c r="D24150" s="67"/>
      <c r="G24150" s="68"/>
      <c r="K24150" s="68"/>
    </row>
    <row r="24151" spans="4:11" ht="12.75">
      <c r="D24151" s="67"/>
      <c r="G24151" s="68"/>
      <c r="K24151" s="68"/>
    </row>
    <row r="24152" spans="4:11" ht="12.75">
      <c r="D24152" s="67"/>
      <c r="G24152" s="68"/>
      <c r="K24152" s="68"/>
    </row>
    <row r="24153" spans="4:11" ht="12.75">
      <c r="D24153" s="67"/>
      <c r="G24153" s="68"/>
      <c r="K24153" s="68"/>
    </row>
    <row r="24154" spans="4:11" ht="12.75">
      <c r="D24154" s="67"/>
      <c r="G24154" s="68"/>
      <c r="K24154" s="68"/>
    </row>
    <row r="24155" spans="4:11" ht="12.75">
      <c r="D24155" s="67"/>
      <c r="G24155" s="68"/>
      <c r="K24155" s="68"/>
    </row>
    <row r="24156" spans="4:11" ht="12.75">
      <c r="D24156" s="67"/>
      <c r="G24156" s="68"/>
      <c r="K24156" s="68"/>
    </row>
    <row r="24157" spans="4:11" ht="12.75">
      <c r="D24157" s="67"/>
      <c r="G24157" s="68"/>
      <c r="K24157" s="68"/>
    </row>
    <row r="24158" spans="4:11" ht="12.75">
      <c r="D24158" s="67"/>
      <c r="G24158" s="68"/>
      <c r="K24158" s="68"/>
    </row>
    <row r="24159" spans="4:11" ht="12.75">
      <c r="D24159" s="67"/>
      <c r="G24159" s="68"/>
      <c r="K24159" s="68"/>
    </row>
    <row r="24160" spans="4:11" ht="12.75">
      <c r="D24160" s="67"/>
      <c r="G24160" s="68"/>
      <c r="K24160" s="68"/>
    </row>
    <row r="24161" spans="4:11" ht="12.75">
      <c r="D24161" s="67"/>
      <c r="G24161" s="68"/>
      <c r="K24161" s="68"/>
    </row>
    <row r="24162" spans="4:11" ht="12.75">
      <c r="D24162" s="67"/>
      <c r="G24162" s="68"/>
      <c r="K24162" s="68"/>
    </row>
    <row r="24163" spans="4:11" ht="12.75">
      <c r="D24163" s="67"/>
      <c r="G24163" s="68"/>
      <c r="K24163" s="68"/>
    </row>
    <row r="24164" spans="4:11" ht="12.75">
      <c r="D24164" s="67"/>
      <c r="G24164" s="68"/>
      <c r="K24164" s="68"/>
    </row>
    <row r="24165" spans="4:11" ht="12.75">
      <c r="D24165" s="67"/>
      <c r="G24165" s="68"/>
      <c r="K24165" s="68"/>
    </row>
    <row r="24166" spans="4:11" ht="12.75">
      <c r="D24166" s="67"/>
      <c r="G24166" s="68"/>
      <c r="K24166" s="68"/>
    </row>
    <row r="24167" spans="4:11" ht="12.75">
      <c r="D24167" s="67"/>
      <c r="G24167" s="68"/>
      <c r="K24167" s="68"/>
    </row>
    <row r="24168" spans="4:11" ht="12.75">
      <c r="D24168" s="67"/>
      <c r="G24168" s="68"/>
      <c r="K24168" s="68"/>
    </row>
    <row r="24169" spans="4:11" ht="12.75">
      <c r="D24169" s="67"/>
      <c r="G24169" s="68"/>
      <c r="K24169" s="68"/>
    </row>
    <row r="24170" spans="4:11" ht="12.75">
      <c r="D24170" s="67"/>
      <c r="G24170" s="68"/>
      <c r="K24170" s="68"/>
    </row>
    <row r="24171" spans="4:11" ht="12.75">
      <c r="D24171" s="67"/>
      <c r="G24171" s="68"/>
      <c r="K24171" s="68"/>
    </row>
    <row r="24172" spans="4:11" ht="12.75">
      <c r="D24172" s="67"/>
      <c r="G24172" s="68"/>
      <c r="K24172" s="68"/>
    </row>
    <row r="24173" spans="4:11" ht="12.75">
      <c r="D24173" s="67"/>
      <c r="G24173" s="68"/>
      <c r="K24173" s="68"/>
    </row>
    <row r="24174" spans="4:11" ht="12.75">
      <c r="D24174" s="67"/>
      <c r="G24174" s="68"/>
      <c r="K24174" s="68"/>
    </row>
    <row r="24175" spans="4:11" ht="12.75">
      <c r="D24175" s="67"/>
      <c r="G24175" s="68"/>
      <c r="K24175" s="68"/>
    </row>
    <row r="24176" spans="4:11" ht="12.75">
      <c r="D24176" s="67"/>
      <c r="G24176" s="68"/>
      <c r="K24176" s="68"/>
    </row>
    <row r="24177" spans="4:11" ht="12.75">
      <c r="D24177" s="67"/>
      <c r="G24177" s="68"/>
      <c r="K24177" s="68"/>
    </row>
    <row r="24178" spans="4:11" ht="12.75">
      <c r="D24178" s="67"/>
      <c r="G24178" s="68"/>
      <c r="K24178" s="68"/>
    </row>
    <row r="24179" spans="4:11" ht="12.75">
      <c r="D24179" s="67"/>
      <c r="G24179" s="68"/>
      <c r="K24179" s="68"/>
    </row>
    <row r="24180" spans="4:11" ht="12.75">
      <c r="D24180" s="67"/>
      <c r="G24180" s="68"/>
      <c r="K24180" s="68"/>
    </row>
    <row r="24181" spans="4:11" ht="12.75">
      <c r="D24181" s="67"/>
      <c r="G24181" s="68"/>
      <c r="K24181" s="68"/>
    </row>
    <row r="24182" spans="4:11" ht="12.75">
      <c r="D24182" s="67"/>
      <c r="G24182" s="68"/>
      <c r="K24182" s="68"/>
    </row>
    <row r="24183" spans="4:11" ht="12.75">
      <c r="D24183" s="67"/>
      <c r="G24183" s="68"/>
      <c r="K24183" s="68"/>
    </row>
    <row r="24184" spans="4:11" ht="12.75">
      <c r="D24184" s="67"/>
      <c r="G24184" s="68"/>
      <c r="K24184" s="68"/>
    </row>
    <row r="24185" spans="4:11" ht="12.75">
      <c r="D24185" s="67"/>
      <c r="G24185" s="68"/>
      <c r="K24185" s="68"/>
    </row>
    <row r="24186" spans="4:11" ht="12.75">
      <c r="D24186" s="67"/>
      <c r="G24186" s="68"/>
      <c r="K24186" s="68"/>
    </row>
    <row r="24187" spans="4:11" ht="12.75">
      <c r="D24187" s="67"/>
      <c r="G24187" s="68"/>
      <c r="K24187" s="68"/>
    </row>
    <row r="24188" spans="4:11" ht="12.75">
      <c r="D24188" s="67"/>
      <c r="G24188" s="68"/>
      <c r="K24188" s="68"/>
    </row>
    <row r="24189" spans="4:11" ht="12.75">
      <c r="D24189" s="67"/>
      <c r="G24189" s="68"/>
      <c r="K24189" s="68"/>
    </row>
    <row r="24190" spans="4:11" ht="12.75">
      <c r="D24190" s="67"/>
      <c r="G24190" s="68"/>
      <c r="K24190" s="68"/>
    </row>
    <row r="24191" spans="4:11" ht="12.75">
      <c r="D24191" s="67"/>
      <c r="G24191" s="68"/>
      <c r="K24191" s="68"/>
    </row>
    <row r="24192" spans="4:11" ht="12.75">
      <c r="D24192" s="67"/>
      <c r="G24192" s="68"/>
      <c r="K24192" s="68"/>
    </row>
    <row r="24193" spans="4:11" ht="12.75">
      <c r="D24193" s="67"/>
      <c r="G24193" s="68"/>
      <c r="K24193" s="68"/>
    </row>
    <row r="24194" spans="4:11" ht="12.75">
      <c r="D24194" s="67"/>
      <c r="G24194" s="68"/>
      <c r="K24194" s="68"/>
    </row>
    <row r="24195" spans="4:11" ht="12.75">
      <c r="D24195" s="67"/>
      <c r="G24195" s="68"/>
      <c r="K24195" s="68"/>
    </row>
    <row r="24196" spans="4:11" ht="12.75">
      <c r="D24196" s="67"/>
      <c r="G24196" s="68"/>
      <c r="K24196" s="68"/>
    </row>
    <row r="24197" spans="4:11" ht="12.75">
      <c r="D24197" s="67"/>
      <c r="G24197" s="68"/>
      <c r="K24197" s="68"/>
    </row>
    <row r="24198" spans="4:11" ht="12.75">
      <c r="D24198" s="67"/>
      <c r="G24198" s="68"/>
      <c r="K24198" s="68"/>
    </row>
    <row r="24199" spans="4:11" ht="12.75">
      <c r="D24199" s="67"/>
      <c r="G24199" s="68"/>
      <c r="K24199" s="68"/>
    </row>
    <row r="24200" spans="4:11" ht="12.75">
      <c r="D24200" s="67"/>
      <c r="G24200" s="68"/>
      <c r="K24200" s="68"/>
    </row>
    <row r="24201" spans="4:11" ht="12.75">
      <c r="D24201" s="67"/>
      <c r="G24201" s="68"/>
      <c r="K24201" s="68"/>
    </row>
    <row r="24202" spans="4:11" ht="12.75">
      <c r="D24202" s="67"/>
      <c r="G24202" s="68"/>
      <c r="K24202" s="68"/>
    </row>
    <row r="24203" spans="4:11" ht="12.75">
      <c r="D24203" s="67"/>
      <c r="G24203" s="68"/>
      <c r="K24203" s="68"/>
    </row>
    <row r="24204" spans="4:11" ht="12.75">
      <c r="D24204" s="67"/>
      <c r="G24204" s="68"/>
      <c r="K24204" s="68"/>
    </row>
    <row r="24205" spans="4:11" ht="12.75">
      <c r="D24205" s="67"/>
      <c r="G24205" s="68"/>
      <c r="K24205" s="68"/>
    </row>
    <row r="24206" spans="4:11" ht="12.75">
      <c r="D24206" s="67"/>
      <c r="G24206" s="68"/>
      <c r="K24206" s="68"/>
    </row>
    <row r="24207" spans="4:11" ht="12.75">
      <c r="D24207" s="67"/>
      <c r="G24207" s="68"/>
      <c r="K24207" s="68"/>
    </row>
    <row r="24208" spans="4:11" ht="12.75">
      <c r="D24208" s="67"/>
      <c r="G24208" s="68"/>
      <c r="K24208" s="68"/>
    </row>
    <row r="24209" spans="4:11" ht="12.75">
      <c r="D24209" s="67"/>
      <c r="G24209" s="68"/>
      <c r="K24209" s="68"/>
    </row>
    <row r="24210" spans="4:11" ht="12.75">
      <c r="D24210" s="67"/>
      <c r="G24210" s="68"/>
      <c r="K24210" s="68"/>
    </row>
    <row r="24211" spans="4:11" ht="12.75">
      <c r="D24211" s="67"/>
      <c r="G24211" s="68"/>
      <c r="K24211" s="68"/>
    </row>
    <row r="24212" spans="4:11" ht="12.75">
      <c r="D24212" s="67"/>
      <c r="G24212" s="68"/>
      <c r="K24212" s="68"/>
    </row>
    <row r="24213" spans="4:11" ht="12.75">
      <c r="D24213" s="67"/>
      <c r="G24213" s="68"/>
      <c r="K24213" s="68"/>
    </row>
    <row r="24214" spans="4:11" ht="12.75">
      <c r="D24214" s="67"/>
      <c r="G24214" s="68"/>
      <c r="K24214" s="68"/>
    </row>
    <row r="24215" spans="4:11" ht="12.75">
      <c r="D24215" s="67"/>
      <c r="G24215" s="68"/>
      <c r="K24215" s="68"/>
    </row>
    <row r="24216" spans="4:11" ht="12.75">
      <c r="D24216" s="67"/>
      <c r="G24216" s="68"/>
      <c r="K24216" s="68"/>
    </row>
    <row r="24217" spans="4:11" ht="12.75">
      <c r="D24217" s="67"/>
      <c r="G24217" s="68"/>
      <c r="K24217" s="68"/>
    </row>
    <row r="24218" spans="4:11" ht="12.75">
      <c r="D24218" s="67"/>
      <c r="G24218" s="68"/>
      <c r="K24218" s="68"/>
    </row>
    <row r="24219" spans="4:11" ht="12.75">
      <c r="D24219" s="67"/>
      <c r="G24219" s="68"/>
      <c r="K24219" s="68"/>
    </row>
    <row r="24220" spans="4:11" ht="12.75">
      <c r="D24220" s="67"/>
      <c r="G24220" s="68"/>
      <c r="K24220" s="68"/>
    </row>
    <row r="24221" spans="4:11" ht="12.75">
      <c r="D24221" s="67"/>
      <c r="G24221" s="68"/>
      <c r="K24221" s="68"/>
    </row>
    <row r="24222" spans="4:11" ht="12.75">
      <c r="D24222" s="67"/>
      <c r="G24222" s="68"/>
      <c r="K24222" s="68"/>
    </row>
    <row r="24223" spans="4:11" ht="12.75">
      <c r="D24223" s="67"/>
      <c r="G24223" s="68"/>
      <c r="K24223" s="68"/>
    </row>
    <row r="24224" spans="4:11" ht="12.75">
      <c r="D24224" s="67"/>
      <c r="G24224" s="68"/>
      <c r="K24224" s="68"/>
    </row>
    <row r="24225" spans="4:11" ht="12.75">
      <c r="D24225" s="67"/>
      <c r="G24225" s="68"/>
      <c r="K24225" s="68"/>
    </row>
    <row r="24226" spans="4:11" ht="12.75">
      <c r="D24226" s="67"/>
      <c r="G24226" s="68"/>
      <c r="K24226" s="68"/>
    </row>
    <row r="24227" spans="4:11" ht="12.75">
      <c r="D24227" s="67"/>
      <c r="G24227" s="68"/>
      <c r="K24227" s="68"/>
    </row>
    <row r="24228" spans="4:11" ht="12.75">
      <c r="D24228" s="67"/>
      <c r="G24228" s="68"/>
      <c r="K24228" s="68"/>
    </row>
    <row r="24229" spans="4:11" ht="12.75">
      <c r="D24229" s="67"/>
      <c r="G24229" s="68"/>
      <c r="K24229" s="68"/>
    </row>
    <row r="24230" spans="4:11" ht="12.75">
      <c r="D24230" s="67"/>
      <c r="G24230" s="68"/>
      <c r="K24230" s="68"/>
    </row>
    <row r="24231" spans="4:11" ht="12.75">
      <c r="D24231" s="67"/>
      <c r="G24231" s="68"/>
      <c r="K24231" s="68"/>
    </row>
    <row r="24232" spans="4:11" ht="12.75">
      <c r="D24232" s="67"/>
      <c r="G24232" s="68"/>
      <c r="K24232" s="68"/>
    </row>
    <row r="24233" spans="4:11" ht="12.75">
      <c r="D24233" s="67"/>
      <c r="G24233" s="68"/>
      <c r="K24233" s="68"/>
    </row>
    <row r="24234" spans="4:11" ht="12.75">
      <c r="D24234" s="67"/>
      <c r="G24234" s="68"/>
      <c r="K24234" s="68"/>
    </row>
    <row r="24235" spans="4:11" ht="12.75">
      <c r="D24235" s="67"/>
      <c r="G24235" s="68"/>
      <c r="K24235" s="68"/>
    </row>
    <row r="24236" spans="4:11" ht="12.75">
      <c r="D24236" s="67"/>
      <c r="G24236" s="68"/>
      <c r="K24236" s="68"/>
    </row>
    <row r="24237" spans="4:11" ht="12.75">
      <c r="D24237" s="67"/>
      <c r="G24237" s="68"/>
      <c r="K24237" s="68"/>
    </row>
    <row r="24238" spans="4:11" ht="12.75">
      <c r="D24238" s="67"/>
      <c r="G24238" s="68"/>
      <c r="K24238" s="68"/>
    </row>
    <row r="24239" spans="4:11" ht="12.75">
      <c r="D24239" s="67"/>
      <c r="G24239" s="68"/>
      <c r="K24239" s="68"/>
    </row>
    <row r="24240" spans="4:11" ht="12.75">
      <c r="D24240" s="67"/>
      <c r="G24240" s="68"/>
      <c r="K24240" s="68"/>
    </row>
    <row r="24241" spans="4:11" ht="12.75">
      <c r="D24241" s="67"/>
      <c r="G24241" s="68"/>
      <c r="K24241" s="68"/>
    </row>
    <row r="24242" spans="4:11" ht="12.75">
      <c r="D24242" s="67"/>
      <c r="G24242" s="68"/>
      <c r="K24242" s="68"/>
    </row>
    <row r="24243" spans="4:11" ht="12.75">
      <c r="D24243" s="67"/>
      <c r="G24243" s="68"/>
      <c r="K24243" s="68"/>
    </row>
    <row r="24244" spans="4:11" ht="12.75">
      <c r="D24244" s="67"/>
      <c r="G24244" s="68"/>
      <c r="K24244" s="68"/>
    </row>
    <row r="24245" spans="4:11" ht="12.75">
      <c r="D24245" s="67"/>
      <c r="G24245" s="68"/>
      <c r="K24245" s="68"/>
    </row>
    <row r="24246" spans="4:11" ht="12.75">
      <c r="D24246" s="67"/>
      <c r="G24246" s="68"/>
      <c r="K24246" s="68"/>
    </row>
    <row r="24247" spans="4:11" ht="12.75">
      <c r="D24247" s="67"/>
      <c r="G24247" s="68"/>
      <c r="K24247" s="68"/>
    </row>
    <row r="24248" spans="4:11" ht="12.75">
      <c r="D24248" s="67"/>
      <c r="G24248" s="68"/>
      <c r="K24248" s="68"/>
    </row>
    <row r="24249" spans="4:11" ht="12.75">
      <c r="D24249" s="67"/>
      <c r="G24249" s="68"/>
      <c r="K24249" s="68"/>
    </row>
    <row r="24250" spans="4:11" ht="12.75">
      <c r="D24250" s="67"/>
      <c r="G24250" s="68"/>
      <c r="K24250" s="68"/>
    </row>
    <row r="24251" spans="4:11" ht="12.75">
      <c r="D24251" s="67"/>
      <c r="G24251" s="68"/>
      <c r="K24251" s="68"/>
    </row>
    <row r="24252" spans="4:11" ht="12.75">
      <c r="D24252" s="67"/>
      <c r="G24252" s="68"/>
      <c r="K24252" s="68"/>
    </row>
    <row r="24253" spans="4:11" ht="12.75">
      <c r="D24253" s="67"/>
      <c r="G24253" s="68"/>
      <c r="K24253" s="68"/>
    </row>
    <row r="24254" spans="4:11" ht="12.75">
      <c r="D24254" s="67"/>
      <c r="G24254" s="68"/>
      <c r="K24254" s="68"/>
    </row>
    <row r="24255" spans="4:11" ht="12.75">
      <c r="D24255" s="67"/>
      <c r="G24255" s="68"/>
      <c r="K24255" s="68"/>
    </row>
    <row r="24256" spans="4:11" ht="12.75">
      <c r="D24256" s="67"/>
      <c r="G24256" s="68"/>
      <c r="K24256" s="68"/>
    </row>
    <row r="24257" spans="4:11" ht="12.75">
      <c r="D24257" s="67"/>
      <c r="G24257" s="68"/>
      <c r="K24257" s="68"/>
    </row>
    <row r="24258" spans="4:11" ht="12.75">
      <c r="D24258" s="67"/>
      <c r="G24258" s="68"/>
      <c r="K24258" s="68"/>
    </row>
    <row r="24259" spans="4:11" ht="12.75">
      <c r="D24259" s="67"/>
      <c r="G24259" s="68"/>
      <c r="K24259" s="68"/>
    </row>
    <row r="24260" spans="4:11" ht="12.75">
      <c r="D24260" s="67"/>
      <c r="G24260" s="68"/>
      <c r="K24260" s="68"/>
    </row>
    <row r="24261" spans="4:11" ht="12.75">
      <c r="D24261" s="67"/>
      <c r="G24261" s="68"/>
      <c r="K24261" s="68"/>
    </row>
    <row r="24262" spans="4:11" ht="12.75">
      <c r="D24262" s="67"/>
      <c r="G24262" s="68"/>
      <c r="K24262" s="68"/>
    </row>
    <row r="24263" spans="4:11" ht="12.75">
      <c r="D24263" s="67"/>
      <c r="G24263" s="68"/>
      <c r="K24263" s="68"/>
    </row>
    <row r="24264" spans="4:11" ht="12.75">
      <c r="D24264" s="67"/>
      <c r="G24264" s="68"/>
      <c r="K24264" s="68"/>
    </row>
    <row r="24265" spans="4:11" ht="12.75">
      <c r="D24265" s="67"/>
      <c r="G24265" s="68"/>
      <c r="K24265" s="68"/>
    </row>
    <row r="24266" spans="4:11" ht="12.75">
      <c r="D24266" s="67"/>
      <c r="G24266" s="68"/>
      <c r="K24266" s="68"/>
    </row>
    <row r="24267" spans="4:11" ht="12.75">
      <c r="D24267" s="67"/>
      <c r="G24267" s="68"/>
      <c r="K24267" s="68"/>
    </row>
    <row r="24268" spans="4:11" ht="12.75">
      <c r="D24268" s="67"/>
      <c r="G24268" s="68"/>
      <c r="K24268" s="68"/>
    </row>
    <row r="24269" spans="4:11" ht="12.75">
      <c r="D24269" s="67"/>
      <c r="G24269" s="68"/>
      <c r="K24269" s="68"/>
    </row>
    <row r="24270" spans="4:11" ht="12.75">
      <c r="D24270" s="67"/>
      <c r="G24270" s="68"/>
      <c r="K24270" s="68"/>
    </row>
    <row r="24271" spans="4:11" ht="12.75">
      <c r="D24271" s="67"/>
      <c r="G24271" s="68"/>
      <c r="K24271" s="68"/>
    </row>
    <row r="24272" spans="4:11" ht="12.75">
      <c r="D24272" s="67"/>
      <c r="G24272" s="68"/>
      <c r="K24272" s="68"/>
    </row>
    <row r="24273" spans="4:11" ht="12.75">
      <c r="D24273" s="67"/>
      <c r="G24273" s="68"/>
      <c r="K24273" s="68"/>
    </row>
    <row r="24274" spans="4:11" ht="12.75">
      <c r="D24274" s="67"/>
      <c r="G24274" s="68"/>
      <c r="K24274" s="68"/>
    </row>
    <row r="24275" spans="4:11" ht="12.75">
      <c r="D24275" s="67"/>
      <c r="G24275" s="68"/>
      <c r="K24275" s="68"/>
    </row>
    <row r="24276" spans="4:11" ht="12.75">
      <c r="D24276" s="67"/>
      <c r="G24276" s="68"/>
      <c r="K24276" s="68"/>
    </row>
    <row r="24277" spans="4:11" ht="12.75">
      <c r="D24277" s="67"/>
      <c r="G24277" s="68"/>
      <c r="K24277" s="68"/>
    </row>
    <row r="24278" spans="4:11" ht="12.75">
      <c r="D24278" s="67"/>
      <c r="G24278" s="68"/>
      <c r="K24278" s="68"/>
    </row>
    <row r="24279" spans="4:11" ht="12.75">
      <c r="D24279" s="67"/>
      <c r="G24279" s="68"/>
      <c r="K24279" s="68"/>
    </row>
    <row r="24280" spans="4:11" ht="12.75">
      <c r="D24280" s="67"/>
      <c r="G24280" s="68"/>
      <c r="K24280" s="68"/>
    </row>
    <row r="24281" spans="4:11" ht="12.75">
      <c r="D24281" s="67"/>
      <c r="G24281" s="68"/>
      <c r="K24281" s="68"/>
    </row>
    <row r="24282" spans="4:11" ht="12.75">
      <c r="D24282" s="67"/>
      <c r="G24282" s="68"/>
      <c r="K24282" s="68"/>
    </row>
    <row r="24283" spans="4:11" ht="12.75">
      <c r="D24283" s="67"/>
      <c r="G24283" s="68"/>
      <c r="K24283" s="68"/>
    </row>
    <row r="24284" spans="4:11" ht="12.75">
      <c r="D24284" s="67"/>
      <c r="G24284" s="68"/>
      <c r="K24284" s="68"/>
    </row>
    <row r="24285" spans="4:11" ht="12.75">
      <c r="D24285" s="67"/>
      <c r="G24285" s="68"/>
      <c r="K24285" s="68"/>
    </row>
    <row r="24286" spans="4:11" ht="12.75">
      <c r="D24286" s="67"/>
      <c r="G24286" s="68"/>
      <c r="K24286" s="68"/>
    </row>
    <row r="24287" spans="4:11" ht="12.75">
      <c r="D24287" s="67"/>
      <c r="G24287" s="68"/>
      <c r="K24287" s="68"/>
    </row>
    <row r="24288" spans="4:11" ht="12.75">
      <c r="D24288" s="67"/>
      <c r="G24288" s="68"/>
      <c r="K24288" s="68"/>
    </row>
    <row r="24289" spans="4:11" ht="12.75">
      <c r="D24289" s="67"/>
      <c r="G24289" s="68"/>
      <c r="K24289" s="68"/>
    </row>
    <row r="24290" spans="4:11" ht="12.75">
      <c r="D24290" s="67"/>
      <c r="G24290" s="68"/>
      <c r="K24290" s="68"/>
    </row>
    <row r="24291" spans="4:11" ht="12.75">
      <c r="D24291" s="67"/>
      <c r="G24291" s="68"/>
      <c r="K24291" s="68"/>
    </row>
    <row r="24292" spans="4:11" ht="12.75">
      <c r="D24292" s="67"/>
      <c r="G24292" s="68"/>
      <c r="K24292" s="68"/>
    </row>
    <row r="24293" spans="4:11" ht="12.75">
      <c r="D24293" s="67"/>
      <c r="G24293" s="68"/>
      <c r="K24293" s="68"/>
    </row>
    <row r="24294" spans="4:11" ht="12.75">
      <c r="D24294" s="67"/>
      <c r="G24294" s="68"/>
      <c r="K24294" s="68"/>
    </row>
    <row r="24295" spans="4:11" ht="12.75">
      <c r="D24295" s="67"/>
      <c r="G24295" s="68"/>
      <c r="K24295" s="68"/>
    </row>
    <row r="24296" spans="4:11" ht="12.75">
      <c r="D24296" s="67"/>
      <c r="G24296" s="68"/>
      <c r="K24296" s="68"/>
    </row>
    <row r="24297" spans="4:11" ht="12.75">
      <c r="D24297" s="67"/>
      <c r="G24297" s="68"/>
      <c r="K24297" s="68"/>
    </row>
    <row r="24298" spans="4:11" ht="12.75">
      <c r="D24298" s="67"/>
      <c r="G24298" s="68"/>
      <c r="K24298" s="68"/>
    </row>
    <row r="24299" spans="4:11" ht="12.75">
      <c r="D24299" s="67"/>
      <c r="G24299" s="68"/>
      <c r="K24299" s="68"/>
    </row>
    <row r="24300" spans="4:11" ht="12.75">
      <c r="D24300" s="67"/>
      <c r="G24300" s="68"/>
      <c r="K24300" s="68"/>
    </row>
    <row r="24301" spans="4:11" ht="12.75">
      <c r="D24301" s="67"/>
      <c r="G24301" s="68"/>
      <c r="K24301" s="68"/>
    </row>
    <row r="24302" spans="4:11" ht="12.75">
      <c r="D24302" s="67"/>
      <c r="G24302" s="68"/>
      <c r="K24302" s="68"/>
    </row>
    <row r="24303" spans="4:11" ht="12.75">
      <c r="D24303" s="67"/>
      <c r="G24303" s="68"/>
      <c r="K24303" s="68"/>
    </row>
    <row r="24304" spans="4:11" ht="12.75">
      <c r="D24304" s="67"/>
      <c r="G24304" s="68"/>
      <c r="K24304" s="68"/>
    </row>
    <row r="24305" spans="4:11" ht="12.75">
      <c r="D24305" s="67"/>
      <c r="G24305" s="68"/>
      <c r="K24305" s="68"/>
    </row>
    <row r="24306" spans="4:11" ht="12.75">
      <c r="D24306" s="67"/>
      <c r="G24306" s="68"/>
      <c r="K24306" s="68"/>
    </row>
    <row r="24307" spans="4:11" ht="12.75">
      <c r="D24307" s="67"/>
      <c r="G24307" s="68"/>
      <c r="K24307" s="68"/>
    </row>
    <row r="24308" spans="4:11" ht="12.75">
      <c r="D24308" s="67"/>
      <c r="G24308" s="68"/>
      <c r="K24308" s="68"/>
    </row>
    <row r="24309" spans="4:11" ht="12.75">
      <c r="D24309" s="67"/>
      <c r="G24309" s="68"/>
      <c r="K24309" s="68"/>
    </row>
    <row r="24310" spans="4:11" ht="12.75">
      <c r="D24310" s="67"/>
      <c r="G24310" s="68"/>
      <c r="K24310" s="68"/>
    </row>
    <row r="24311" spans="4:11" ht="12.75">
      <c r="D24311" s="67"/>
      <c r="G24311" s="68"/>
      <c r="K24311" s="68"/>
    </row>
    <row r="24312" spans="4:11" ht="12.75">
      <c r="D24312" s="67"/>
      <c r="G24312" s="68"/>
      <c r="K24312" s="68"/>
    </row>
    <row r="24313" spans="4:11" ht="12.75">
      <c r="D24313" s="67"/>
      <c r="G24313" s="68"/>
      <c r="K24313" s="68"/>
    </row>
    <row r="24314" spans="4:11" ht="12.75">
      <c r="D24314" s="67"/>
      <c r="G24314" s="68"/>
      <c r="K24314" s="68"/>
    </row>
    <row r="24315" spans="4:11" ht="12.75">
      <c r="D24315" s="67"/>
      <c r="G24315" s="68"/>
      <c r="K24315" s="68"/>
    </row>
    <row r="24316" spans="4:11" ht="12.75">
      <c r="D24316" s="67"/>
      <c r="G24316" s="68"/>
      <c r="K24316" s="68"/>
    </row>
    <row r="24317" spans="4:11" ht="12.75">
      <c r="D24317" s="67"/>
      <c r="G24317" s="68"/>
      <c r="K24317" s="68"/>
    </row>
    <row r="24318" spans="4:11" ht="12.75">
      <c r="D24318" s="67"/>
      <c r="G24318" s="68"/>
      <c r="K24318" s="68"/>
    </row>
    <row r="24319" spans="4:11" ht="12.75">
      <c r="D24319" s="67"/>
      <c r="G24319" s="68"/>
      <c r="K24319" s="68"/>
    </row>
    <row r="24320" spans="4:11" ht="12.75">
      <c r="D24320" s="67"/>
      <c r="G24320" s="68"/>
      <c r="K24320" s="68"/>
    </row>
    <row r="24321" spans="4:11" ht="12.75">
      <c r="D24321" s="67"/>
      <c r="G24321" s="68"/>
      <c r="K24321" s="68"/>
    </row>
    <row r="24322" spans="4:11" ht="12.75">
      <c r="D24322" s="67"/>
      <c r="G24322" s="68"/>
      <c r="K24322" s="68"/>
    </row>
    <row r="24323" spans="4:11" ht="12.75">
      <c r="D24323" s="67"/>
      <c r="G24323" s="68"/>
      <c r="K24323" s="68"/>
    </row>
    <row r="24324" spans="4:11" ht="12.75">
      <c r="D24324" s="67"/>
      <c r="G24324" s="68"/>
      <c r="K24324" s="68"/>
    </row>
    <row r="24325" spans="4:11" ht="12.75">
      <c r="D24325" s="67"/>
      <c r="G24325" s="68"/>
      <c r="K24325" s="68"/>
    </row>
    <row r="24326" spans="4:11" ht="12.75">
      <c r="D24326" s="67"/>
      <c r="G24326" s="68"/>
      <c r="K24326" s="68"/>
    </row>
    <row r="24327" spans="4:11" ht="12.75">
      <c r="D24327" s="67"/>
      <c r="G24327" s="68"/>
      <c r="K24327" s="68"/>
    </row>
    <row r="24328" spans="4:11" ht="12.75">
      <c r="D24328" s="67"/>
      <c r="G24328" s="68"/>
      <c r="K24328" s="68"/>
    </row>
    <row r="24329" spans="4:11" ht="12.75">
      <c r="D24329" s="67"/>
      <c r="G24329" s="68"/>
      <c r="K24329" s="68"/>
    </row>
    <row r="24330" spans="4:11" ht="12.75">
      <c r="D24330" s="67"/>
      <c r="G24330" s="68"/>
      <c r="K24330" s="68"/>
    </row>
    <row r="24331" spans="4:11" ht="12.75">
      <c r="D24331" s="67"/>
      <c r="G24331" s="68"/>
      <c r="K24331" s="68"/>
    </row>
    <row r="24332" spans="4:11" ht="12.75">
      <c r="D24332" s="67"/>
      <c r="G24332" s="68"/>
      <c r="K24332" s="68"/>
    </row>
    <row r="24333" spans="4:11" ht="12.75">
      <c r="D24333" s="67"/>
      <c r="G24333" s="68"/>
      <c r="K24333" s="68"/>
    </row>
    <row r="24334" spans="4:11" ht="12.75">
      <c r="D24334" s="67"/>
      <c r="G24334" s="68"/>
      <c r="K24334" s="68"/>
    </row>
    <row r="24335" spans="4:11" ht="12.75">
      <c r="D24335" s="67"/>
      <c r="G24335" s="68"/>
      <c r="K24335" s="68"/>
    </row>
    <row r="24336" spans="4:11" ht="12.75">
      <c r="D24336" s="67"/>
      <c r="G24336" s="68"/>
      <c r="K24336" s="68"/>
    </row>
    <row r="24337" spans="4:11" ht="12.75">
      <c r="D24337" s="67"/>
      <c r="G24337" s="68"/>
      <c r="K24337" s="68"/>
    </row>
    <row r="24338" spans="4:11" ht="12.75">
      <c r="D24338" s="67"/>
      <c r="G24338" s="68"/>
      <c r="K24338" s="68"/>
    </row>
    <row r="24339" spans="4:11" ht="12.75">
      <c r="D24339" s="67"/>
      <c r="G24339" s="68"/>
      <c r="K24339" s="68"/>
    </row>
    <row r="24340" spans="4:11" ht="12.75">
      <c r="D24340" s="67"/>
      <c r="G24340" s="68"/>
      <c r="K24340" s="68"/>
    </row>
    <row r="24341" spans="4:11" ht="12.75">
      <c r="D24341" s="67"/>
      <c r="G24341" s="68"/>
      <c r="K24341" s="68"/>
    </row>
    <row r="24342" spans="4:11" ht="12.75">
      <c r="D24342" s="67"/>
      <c r="G24342" s="68"/>
      <c r="K24342" s="68"/>
    </row>
    <row r="24343" spans="4:11" ht="12.75">
      <c r="D24343" s="67"/>
      <c r="G24343" s="68"/>
      <c r="K24343" s="68"/>
    </row>
    <row r="24344" spans="4:11" ht="12.75">
      <c r="D24344" s="67"/>
      <c r="G24344" s="68"/>
      <c r="K24344" s="68"/>
    </row>
    <row r="24345" spans="4:11" ht="12.75">
      <c r="D24345" s="67"/>
      <c r="G24345" s="68"/>
      <c r="K24345" s="68"/>
    </row>
    <row r="24346" spans="4:11" ht="12.75">
      <c r="D24346" s="67"/>
      <c r="G24346" s="68"/>
      <c r="K24346" s="68"/>
    </row>
    <row r="24347" spans="4:11" ht="12.75">
      <c r="D24347" s="67"/>
      <c r="G24347" s="68"/>
      <c r="K24347" s="68"/>
    </row>
    <row r="24348" spans="4:11" ht="12.75">
      <c r="D24348" s="67"/>
      <c r="G24348" s="68"/>
      <c r="K24348" s="68"/>
    </row>
    <row r="24349" spans="4:11" ht="12.75">
      <c r="D24349" s="67"/>
      <c r="G24349" s="68"/>
      <c r="K24349" s="68"/>
    </row>
    <row r="24350" spans="4:11" ht="12.75">
      <c r="D24350" s="67"/>
      <c r="G24350" s="68"/>
      <c r="K24350" s="68"/>
    </row>
    <row r="24351" spans="4:11" ht="12.75">
      <c r="D24351" s="67"/>
      <c r="G24351" s="68"/>
      <c r="K24351" s="68"/>
    </row>
    <row r="24352" spans="4:11" ht="12.75">
      <c r="D24352" s="67"/>
      <c r="G24352" s="68"/>
      <c r="K24352" s="68"/>
    </row>
    <row r="24353" spans="4:11" ht="12.75">
      <c r="D24353" s="67"/>
      <c r="G24353" s="68"/>
      <c r="K24353" s="68"/>
    </row>
    <row r="24354" spans="4:11" ht="12.75">
      <c r="D24354" s="67"/>
      <c r="G24354" s="68"/>
      <c r="K24354" s="68"/>
    </row>
    <row r="24355" spans="4:11" ht="12.75">
      <c r="D24355" s="67"/>
      <c r="G24355" s="68"/>
      <c r="K24355" s="68"/>
    </row>
    <row r="24356" spans="4:11" ht="12.75">
      <c r="D24356" s="67"/>
      <c r="G24356" s="68"/>
      <c r="K24356" s="68"/>
    </row>
    <row r="24357" spans="4:11" ht="12.75">
      <c r="D24357" s="67"/>
      <c r="G24357" s="68"/>
      <c r="K24357" s="68"/>
    </row>
    <row r="24358" spans="4:11" ht="12.75">
      <c r="D24358" s="67"/>
      <c r="G24358" s="68"/>
      <c r="K24358" s="68"/>
    </row>
    <row r="24359" spans="4:11" ht="12.75">
      <c r="D24359" s="67"/>
      <c r="G24359" s="68"/>
      <c r="K24359" s="68"/>
    </row>
    <row r="24360" spans="4:11" ht="12.75">
      <c r="D24360" s="67"/>
      <c r="G24360" s="68"/>
      <c r="K24360" s="68"/>
    </row>
    <row r="24361" spans="4:11" ht="12.75">
      <c r="D24361" s="67"/>
      <c r="G24361" s="68"/>
      <c r="K24361" s="68"/>
    </row>
    <row r="24362" spans="4:11" ht="12.75">
      <c r="D24362" s="67"/>
      <c r="G24362" s="68"/>
      <c r="K24362" s="68"/>
    </row>
    <row r="24363" spans="4:11" ht="12.75">
      <c r="D24363" s="67"/>
      <c r="G24363" s="68"/>
      <c r="K24363" s="68"/>
    </row>
    <row r="24364" spans="4:11" ht="12.75">
      <c r="D24364" s="67"/>
      <c r="G24364" s="68"/>
      <c r="K24364" s="68"/>
    </row>
    <row r="24365" spans="4:11" ht="12.75">
      <c r="D24365" s="67"/>
      <c r="G24365" s="68"/>
      <c r="K24365" s="68"/>
    </row>
    <row r="24366" spans="4:11" ht="12.75">
      <c r="D24366" s="67"/>
      <c r="G24366" s="68"/>
      <c r="K24366" s="68"/>
    </row>
    <row r="24367" spans="4:11" ht="12.75">
      <c r="D24367" s="67"/>
      <c r="G24367" s="68"/>
      <c r="K24367" s="68"/>
    </row>
    <row r="24368" spans="4:11" ht="12.75">
      <c r="D24368" s="67"/>
      <c r="G24368" s="68"/>
      <c r="K24368" s="68"/>
    </row>
    <row r="24369" spans="4:11" ht="12.75">
      <c r="D24369" s="67"/>
      <c r="G24369" s="68"/>
      <c r="K24369" s="68"/>
    </row>
    <row r="24370" spans="4:11" ht="12.75">
      <c r="D24370" s="67"/>
      <c r="G24370" s="68"/>
      <c r="K24370" s="68"/>
    </row>
    <row r="24371" spans="4:11" ht="12.75">
      <c r="D24371" s="67"/>
      <c r="G24371" s="68"/>
      <c r="K24371" s="68"/>
    </row>
    <row r="24372" spans="4:11" ht="12.75">
      <c r="D24372" s="67"/>
      <c r="G24372" s="68"/>
      <c r="K24372" s="68"/>
    </row>
    <row r="24373" spans="4:11" ht="12.75">
      <c r="D24373" s="67"/>
      <c r="G24373" s="68"/>
      <c r="K24373" s="68"/>
    </row>
    <row r="24374" spans="4:11" ht="12.75">
      <c r="D24374" s="67"/>
      <c r="G24374" s="68"/>
      <c r="K24374" s="68"/>
    </row>
    <row r="24375" spans="4:11" ht="12.75">
      <c r="D24375" s="67"/>
      <c r="G24375" s="68"/>
      <c r="K24375" s="68"/>
    </row>
    <row r="24376" spans="4:11" ht="12.75">
      <c r="D24376" s="67"/>
      <c r="G24376" s="68"/>
      <c r="K24376" s="68"/>
    </row>
    <row r="24377" spans="4:11" ht="12.75">
      <c r="D24377" s="67"/>
      <c r="G24377" s="68"/>
      <c r="K24377" s="68"/>
    </row>
    <row r="24378" spans="4:11" ht="12.75">
      <c r="D24378" s="67"/>
      <c r="G24378" s="68"/>
      <c r="K24378" s="68"/>
    </row>
    <row r="24379" spans="4:11" ht="12.75">
      <c r="D24379" s="67"/>
      <c r="G24379" s="68"/>
      <c r="K24379" s="68"/>
    </row>
    <row r="24380" spans="4:11" ht="12.75">
      <c r="D24380" s="67"/>
      <c r="G24380" s="68"/>
      <c r="K24380" s="68"/>
    </row>
    <row r="24381" spans="4:11" ht="12.75">
      <c r="D24381" s="67"/>
      <c r="G24381" s="68"/>
      <c r="K24381" s="68"/>
    </row>
    <row r="24382" spans="4:11" ht="12.75">
      <c r="D24382" s="67"/>
      <c r="G24382" s="68"/>
      <c r="K24382" s="68"/>
    </row>
    <row r="24383" spans="4:11" ht="12.75">
      <c r="D24383" s="67"/>
      <c r="G24383" s="68"/>
      <c r="K24383" s="68"/>
    </row>
    <row r="24384" spans="4:11" ht="12.75">
      <c r="D24384" s="67"/>
      <c r="G24384" s="68"/>
      <c r="K24384" s="68"/>
    </row>
    <row r="24385" spans="4:11" ht="12.75">
      <c r="D24385" s="67"/>
      <c r="G24385" s="68"/>
      <c r="K24385" s="68"/>
    </row>
    <row r="24386" spans="4:11" ht="12.75">
      <c r="D24386" s="67"/>
      <c r="G24386" s="68"/>
      <c r="K24386" s="68"/>
    </row>
    <row r="24387" spans="4:11" ht="12.75">
      <c r="D24387" s="67"/>
      <c r="G24387" s="68"/>
      <c r="K24387" s="68"/>
    </row>
    <row r="24388" spans="4:11" ht="12.75">
      <c r="D24388" s="67"/>
      <c r="G24388" s="68"/>
      <c r="K24388" s="68"/>
    </row>
    <row r="24389" spans="4:11" ht="12.75">
      <c r="D24389" s="67"/>
      <c r="G24389" s="68"/>
      <c r="K24389" s="68"/>
    </row>
    <row r="24390" spans="4:11" ht="12.75">
      <c r="D24390" s="67"/>
      <c r="G24390" s="68"/>
      <c r="K24390" s="68"/>
    </row>
    <row r="24391" spans="4:11" ht="12.75">
      <c r="D24391" s="67"/>
      <c r="G24391" s="68"/>
      <c r="K24391" s="68"/>
    </row>
    <row r="24392" spans="4:11" ht="12.75">
      <c r="D24392" s="67"/>
      <c r="G24392" s="68"/>
      <c r="K24392" s="68"/>
    </row>
    <row r="24393" spans="4:11" ht="12.75">
      <c r="D24393" s="67"/>
      <c r="G24393" s="68"/>
      <c r="K24393" s="68"/>
    </row>
    <row r="24394" spans="4:11" ht="12.75">
      <c r="D24394" s="67"/>
      <c r="G24394" s="68"/>
      <c r="K24394" s="68"/>
    </row>
    <row r="24395" spans="4:11" ht="12.75">
      <c r="D24395" s="67"/>
      <c r="G24395" s="68"/>
      <c r="K24395" s="68"/>
    </row>
    <row r="24396" spans="4:11" ht="12.75">
      <c r="D24396" s="67"/>
      <c r="G24396" s="68"/>
      <c r="K24396" s="68"/>
    </row>
    <row r="24397" spans="4:11" ht="12.75">
      <c r="D24397" s="67"/>
      <c r="G24397" s="68"/>
      <c r="K24397" s="68"/>
    </row>
    <row r="24398" spans="4:11" ht="12.75">
      <c r="D24398" s="67"/>
      <c r="G24398" s="68"/>
      <c r="K24398" s="68"/>
    </row>
    <row r="24399" spans="4:11" ht="12.75">
      <c r="D24399" s="67"/>
      <c r="G24399" s="68"/>
      <c r="K24399" s="68"/>
    </row>
    <row r="24400" spans="4:11" ht="12.75">
      <c r="D24400" s="67"/>
      <c r="G24400" s="68"/>
      <c r="K24400" s="68"/>
    </row>
    <row r="24401" spans="4:11" ht="12.75">
      <c r="D24401" s="67"/>
      <c r="G24401" s="68"/>
      <c r="K24401" s="68"/>
    </row>
    <row r="24402" spans="4:11" ht="12.75">
      <c r="D24402" s="67"/>
      <c r="G24402" s="68"/>
      <c r="K24402" s="68"/>
    </row>
    <row r="24403" spans="4:11" ht="12.75">
      <c r="D24403" s="67"/>
      <c r="G24403" s="68"/>
      <c r="K24403" s="68"/>
    </row>
    <row r="24404" spans="4:11" ht="12.75">
      <c r="D24404" s="67"/>
      <c r="G24404" s="68"/>
      <c r="K24404" s="68"/>
    </row>
    <row r="24405" spans="4:11" ht="12.75">
      <c r="D24405" s="67"/>
      <c r="G24405" s="68"/>
      <c r="K24405" s="68"/>
    </row>
    <row r="24406" spans="4:11" ht="12.75">
      <c r="D24406" s="67"/>
      <c r="G24406" s="68"/>
      <c r="K24406" s="68"/>
    </row>
    <row r="24407" spans="4:11" ht="12.75">
      <c r="D24407" s="67"/>
      <c r="G24407" s="68"/>
      <c r="K24407" s="68"/>
    </row>
    <row r="24408" spans="4:11" ht="12.75">
      <c r="D24408" s="67"/>
      <c r="G24408" s="68"/>
      <c r="K24408" s="68"/>
    </row>
    <row r="24409" spans="4:11" ht="12.75">
      <c r="D24409" s="67"/>
      <c r="G24409" s="68"/>
      <c r="K24409" s="68"/>
    </row>
    <row r="24410" spans="4:11" ht="12.75">
      <c r="D24410" s="67"/>
      <c r="G24410" s="68"/>
      <c r="K24410" s="68"/>
    </row>
    <row r="24411" spans="4:11" ht="12.75">
      <c r="D24411" s="67"/>
      <c r="G24411" s="68"/>
      <c r="K24411" s="68"/>
    </row>
    <row r="24412" spans="4:11" ht="12.75">
      <c r="D24412" s="67"/>
      <c r="G24412" s="68"/>
      <c r="K24412" s="68"/>
    </row>
    <row r="24413" spans="4:11" ht="12.75">
      <c r="D24413" s="67"/>
      <c r="G24413" s="68"/>
      <c r="K24413" s="68"/>
    </row>
    <row r="24414" spans="4:11" ht="12.75">
      <c r="D24414" s="67"/>
      <c r="G24414" s="68"/>
      <c r="K24414" s="68"/>
    </row>
    <row r="24415" spans="4:11" ht="12.75">
      <c r="D24415" s="67"/>
      <c r="G24415" s="68"/>
      <c r="K24415" s="68"/>
    </row>
    <row r="24416" spans="4:11" ht="12.75">
      <c r="D24416" s="67"/>
      <c r="G24416" s="68"/>
      <c r="K24416" s="68"/>
    </row>
    <row r="24417" spans="4:11" ht="12.75">
      <c r="D24417" s="67"/>
      <c r="G24417" s="68"/>
      <c r="K24417" s="68"/>
    </row>
    <row r="24418" spans="4:11" ht="12.75">
      <c r="D24418" s="67"/>
      <c r="G24418" s="68"/>
      <c r="K24418" s="68"/>
    </row>
    <row r="24419" spans="4:11" ht="12.75">
      <c r="D24419" s="67"/>
      <c r="G24419" s="68"/>
      <c r="K24419" s="68"/>
    </row>
    <row r="24420" spans="4:11" ht="12.75">
      <c r="D24420" s="67"/>
      <c r="G24420" s="68"/>
      <c r="K24420" s="68"/>
    </row>
    <row r="24421" spans="4:11" ht="12.75">
      <c r="D24421" s="67"/>
      <c r="G24421" s="68"/>
      <c r="K24421" s="68"/>
    </row>
    <row r="24422" spans="4:11" ht="12.75">
      <c r="D24422" s="67"/>
      <c r="G24422" s="68"/>
      <c r="K24422" s="68"/>
    </row>
    <row r="24423" spans="4:11" ht="12.75">
      <c r="D24423" s="67"/>
      <c r="G24423" s="68"/>
      <c r="K24423" s="68"/>
    </row>
    <row r="24424" spans="4:11" ht="12.75">
      <c r="D24424" s="67"/>
      <c r="G24424" s="68"/>
      <c r="K24424" s="68"/>
    </row>
    <row r="24425" spans="4:11" ht="12.75">
      <c r="D24425" s="67"/>
      <c r="G24425" s="68"/>
      <c r="K24425" s="68"/>
    </row>
    <row r="24426" spans="4:11" ht="12.75">
      <c r="D24426" s="67"/>
      <c r="G24426" s="68"/>
      <c r="K24426" s="68"/>
    </row>
    <row r="24427" spans="4:11" ht="12.75">
      <c r="D24427" s="67"/>
      <c r="G24427" s="68"/>
      <c r="K24427" s="68"/>
    </row>
    <row r="24428" spans="4:11" ht="12.75">
      <c r="D24428" s="67"/>
      <c r="G24428" s="68"/>
      <c r="K24428" s="68"/>
    </row>
    <row r="24429" spans="4:11" ht="12.75">
      <c r="D24429" s="67"/>
      <c r="G24429" s="68"/>
      <c r="K24429" s="68"/>
    </row>
    <row r="24430" spans="4:11" ht="12.75">
      <c r="D24430" s="67"/>
      <c r="G24430" s="68"/>
      <c r="K24430" s="68"/>
    </row>
    <row r="24431" spans="4:11" ht="12.75">
      <c r="D24431" s="67"/>
      <c r="G24431" s="68"/>
      <c r="K24431" s="68"/>
    </row>
    <row r="24432" spans="4:11" ht="12.75">
      <c r="D24432" s="67"/>
      <c r="G24432" s="68"/>
      <c r="K24432" s="68"/>
    </row>
    <row r="24433" spans="4:11" ht="12.75">
      <c r="D24433" s="67"/>
      <c r="G24433" s="68"/>
      <c r="K24433" s="68"/>
    </row>
    <row r="24434" spans="4:11" ht="12.75">
      <c r="D24434" s="67"/>
      <c r="G24434" s="68"/>
      <c r="K24434" s="68"/>
    </row>
    <row r="24435" spans="4:11" ht="12.75">
      <c r="D24435" s="67"/>
      <c r="G24435" s="68"/>
      <c r="K24435" s="68"/>
    </row>
    <row r="24436" spans="4:11" ht="12.75">
      <c r="D24436" s="67"/>
      <c r="G24436" s="68"/>
      <c r="K24436" s="68"/>
    </row>
    <row r="24437" spans="4:11" ht="12.75">
      <c r="D24437" s="67"/>
      <c r="G24437" s="68"/>
      <c r="K24437" s="68"/>
    </row>
    <row r="24438" spans="4:11" ht="12.75">
      <c r="D24438" s="67"/>
      <c r="G24438" s="68"/>
      <c r="K24438" s="68"/>
    </row>
    <row r="24439" spans="4:11" ht="12.75">
      <c r="D24439" s="67"/>
      <c r="G24439" s="68"/>
      <c r="K24439" s="68"/>
    </row>
    <row r="24440" spans="4:11" ht="12.75">
      <c r="D24440" s="67"/>
      <c r="G24440" s="68"/>
      <c r="K24440" s="68"/>
    </row>
    <row r="24441" spans="4:11" ht="12.75">
      <c r="D24441" s="67"/>
      <c r="G24441" s="68"/>
      <c r="K24441" s="68"/>
    </row>
    <row r="24442" spans="4:11" ht="12.75">
      <c r="D24442" s="67"/>
      <c r="G24442" s="68"/>
      <c r="K24442" s="68"/>
    </row>
    <row r="24443" spans="4:11" ht="12.75">
      <c r="D24443" s="67"/>
      <c r="G24443" s="68"/>
      <c r="K24443" s="68"/>
    </row>
    <row r="24444" spans="4:11" ht="12.75">
      <c r="D24444" s="67"/>
      <c r="G24444" s="68"/>
      <c r="K24444" s="68"/>
    </row>
    <row r="24445" spans="4:11" ht="12.75">
      <c r="D24445" s="67"/>
      <c r="G24445" s="68"/>
      <c r="K24445" s="68"/>
    </row>
    <row r="24446" spans="4:11" ht="12.75">
      <c r="D24446" s="67"/>
      <c r="G24446" s="68"/>
      <c r="K24446" s="68"/>
    </row>
    <row r="24447" spans="4:11" ht="12.75">
      <c r="D24447" s="67"/>
      <c r="G24447" s="68"/>
      <c r="K24447" s="68"/>
    </row>
    <row r="24448" spans="4:11" ht="12.75">
      <c r="D24448" s="67"/>
      <c r="G24448" s="68"/>
      <c r="K24448" s="68"/>
    </row>
    <row r="24449" spans="4:11" ht="12.75">
      <c r="D24449" s="67"/>
      <c r="G24449" s="68"/>
      <c r="K24449" s="68"/>
    </row>
    <row r="24450" spans="4:11" ht="12.75">
      <c r="D24450" s="67"/>
      <c r="G24450" s="68"/>
      <c r="K24450" s="68"/>
    </row>
    <row r="24451" spans="4:11" ht="12.75">
      <c r="D24451" s="67"/>
      <c r="G24451" s="68"/>
      <c r="K24451" s="68"/>
    </row>
    <row r="24452" spans="4:11" ht="12.75">
      <c r="D24452" s="67"/>
      <c r="G24452" s="68"/>
      <c r="K24452" s="68"/>
    </row>
    <row r="24453" spans="4:11" ht="12.75">
      <c r="D24453" s="67"/>
      <c r="G24453" s="68"/>
      <c r="K24453" s="68"/>
    </row>
    <row r="24454" spans="4:11" ht="12.75">
      <c r="D24454" s="67"/>
      <c r="G24454" s="68"/>
      <c r="K24454" s="68"/>
    </row>
    <row r="24455" spans="4:11" ht="12.75">
      <c r="D24455" s="67"/>
      <c r="G24455" s="68"/>
      <c r="K24455" s="68"/>
    </row>
    <row r="24456" spans="4:11" ht="12.75">
      <c r="D24456" s="67"/>
      <c r="G24456" s="68"/>
      <c r="K24456" s="68"/>
    </row>
    <row r="24457" spans="4:11" ht="12.75">
      <c r="D24457" s="67"/>
      <c r="G24457" s="68"/>
      <c r="K24457" s="68"/>
    </row>
    <row r="24458" spans="4:11" ht="12.75">
      <c r="D24458" s="67"/>
      <c r="G24458" s="68"/>
      <c r="K24458" s="68"/>
    </row>
    <row r="24459" spans="4:11" ht="12.75">
      <c r="D24459" s="67"/>
      <c r="G24459" s="68"/>
      <c r="K24459" s="68"/>
    </row>
    <row r="24460" spans="4:11" ht="12.75">
      <c r="D24460" s="67"/>
      <c r="G24460" s="68"/>
      <c r="K24460" s="68"/>
    </row>
    <row r="24461" spans="4:11" ht="12.75">
      <c r="D24461" s="67"/>
      <c r="G24461" s="68"/>
      <c r="K24461" s="68"/>
    </row>
    <row r="24462" spans="4:11" ht="12.75">
      <c r="D24462" s="67"/>
      <c r="G24462" s="68"/>
      <c r="K24462" s="68"/>
    </row>
    <row r="24463" spans="4:11" ht="12.75">
      <c r="D24463" s="67"/>
      <c r="G24463" s="68"/>
      <c r="K24463" s="68"/>
    </row>
    <row r="24464" spans="4:11" ht="12.75">
      <c r="D24464" s="67"/>
      <c r="G24464" s="68"/>
      <c r="K24464" s="68"/>
    </row>
    <row r="24465" spans="4:11" ht="12.75">
      <c r="D24465" s="67"/>
      <c r="G24465" s="68"/>
      <c r="K24465" s="68"/>
    </row>
    <row r="24466" spans="4:11" ht="12.75">
      <c r="D24466" s="67"/>
      <c r="G24466" s="68"/>
      <c r="K24466" s="68"/>
    </row>
    <row r="24467" spans="4:11" ht="12.75">
      <c r="D24467" s="67"/>
      <c r="G24467" s="68"/>
      <c r="K24467" s="68"/>
    </row>
    <row r="24468" spans="4:11" ht="12.75">
      <c r="D24468" s="67"/>
      <c r="G24468" s="68"/>
      <c r="K24468" s="68"/>
    </row>
    <row r="24469" spans="4:11" ht="12.75">
      <c r="D24469" s="67"/>
      <c r="G24469" s="68"/>
      <c r="K24469" s="68"/>
    </row>
    <row r="24470" spans="4:11" ht="12.75">
      <c r="D24470" s="67"/>
      <c r="G24470" s="68"/>
      <c r="K24470" s="68"/>
    </row>
    <row r="24471" spans="4:11" ht="12.75">
      <c r="D24471" s="67"/>
      <c r="G24471" s="68"/>
      <c r="K24471" s="68"/>
    </row>
    <row r="24472" spans="4:11" ht="12.75">
      <c r="D24472" s="67"/>
      <c r="G24472" s="68"/>
      <c r="K24472" s="68"/>
    </row>
    <row r="24473" spans="4:11" ht="12.75">
      <c r="D24473" s="67"/>
      <c r="G24473" s="68"/>
      <c r="K24473" s="68"/>
    </row>
    <row r="24474" spans="4:11" ht="12.75">
      <c r="D24474" s="67"/>
      <c r="G24474" s="68"/>
      <c r="K24474" s="68"/>
    </row>
    <row r="24475" spans="4:11" ht="12.75">
      <c r="D24475" s="67"/>
      <c r="G24475" s="68"/>
      <c r="K24475" s="68"/>
    </row>
    <row r="24476" spans="4:11" ht="12.75">
      <c r="D24476" s="67"/>
      <c r="G24476" s="68"/>
      <c r="K24476" s="68"/>
    </row>
    <row r="24477" spans="4:11" ht="12.75">
      <c r="D24477" s="67"/>
      <c r="G24477" s="68"/>
      <c r="K24477" s="68"/>
    </row>
    <row r="24478" spans="4:11" ht="12.75">
      <c r="D24478" s="67"/>
      <c r="G24478" s="68"/>
      <c r="K24478" s="68"/>
    </row>
    <row r="24479" spans="4:11" ht="12.75">
      <c r="D24479" s="67"/>
      <c r="G24479" s="68"/>
      <c r="K24479" s="68"/>
    </row>
    <row r="24480" spans="4:11" ht="12.75">
      <c r="D24480" s="67"/>
      <c r="G24480" s="68"/>
      <c r="K24480" s="68"/>
    </row>
    <row r="24481" spans="4:11" ht="12.75">
      <c r="D24481" s="67"/>
      <c r="G24481" s="68"/>
      <c r="K24481" s="68"/>
    </row>
    <row r="24482" spans="4:11" ht="12.75">
      <c r="D24482" s="67"/>
      <c r="G24482" s="68"/>
      <c r="K24482" s="68"/>
    </row>
    <row r="24483" spans="4:11" ht="12.75">
      <c r="D24483" s="67"/>
      <c r="G24483" s="68"/>
      <c r="K24483" s="68"/>
    </row>
    <row r="24484" spans="4:11" ht="12.75">
      <c r="D24484" s="67"/>
      <c r="G24484" s="68"/>
      <c r="K24484" s="68"/>
    </row>
    <row r="24485" spans="4:11" ht="12.75">
      <c r="D24485" s="67"/>
      <c r="G24485" s="68"/>
      <c r="K24485" s="68"/>
    </row>
    <row r="24486" spans="4:11" ht="12.75">
      <c r="D24486" s="67"/>
      <c r="G24486" s="68"/>
      <c r="K24486" s="68"/>
    </row>
    <row r="24487" spans="4:11" ht="12.75">
      <c r="D24487" s="67"/>
      <c r="G24487" s="68"/>
      <c r="K24487" s="68"/>
    </row>
    <row r="24488" spans="4:11" ht="12.75">
      <c r="D24488" s="67"/>
      <c r="G24488" s="68"/>
      <c r="K24488" s="68"/>
    </row>
    <row r="24489" spans="4:11" ht="12.75">
      <c r="D24489" s="67"/>
      <c r="G24489" s="68"/>
      <c r="K24489" s="68"/>
    </row>
    <row r="24490" spans="4:11" ht="12.75">
      <c r="D24490" s="67"/>
      <c r="G24490" s="68"/>
      <c r="K24490" s="68"/>
    </row>
    <row r="24491" spans="4:11" ht="12.75">
      <c r="D24491" s="67"/>
      <c r="G24491" s="68"/>
      <c r="K24491" s="68"/>
    </row>
    <row r="24492" spans="4:11" ht="12.75">
      <c r="D24492" s="67"/>
      <c r="G24492" s="68"/>
      <c r="K24492" s="68"/>
    </row>
    <row r="24493" spans="4:11" ht="12.75">
      <c r="D24493" s="67"/>
      <c r="G24493" s="68"/>
      <c r="K24493" s="68"/>
    </row>
    <row r="24494" spans="4:11" ht="12.75">
      <c r="D24494" s="67"/>
      <c r="G24494" s="68"/>
      <c r="K24494" s="68"/>
    </row>
    <row r="24495" spans="4:11" ht="12.75">
      <c r="D24495" s="67"/>
      <c r="G24495" s="68"/>
      <c r="K24495" s="68"/>
    </row>
    <row r="24496" spans="4:11" ht="12.75">
      <c r="D24496" s="67"/>
      <c r="G24496" s="68"/>
      <c r="K24496" s="68"/>
    </row>
    <row r="24497" spans="4:11" ht="12.75">
      <c r="D24497" s="67"/>
      <c r="G24497" s="68"/>
      <c r="K24497" s="68"/>
    </row>
    <row r="24498" spans="4:11" ht="12.75">
      <c r="D24498" s="67"/>
      <c r="G24498" s="68"/>
      <c r="K24498" s="68"/>
    </row>
    <row r="24499" spans="4:11" ht="12.75">
      <c r="D24499" s="67"/>
      <c r="G24499" s="68"/>
      <c r="K24499" s="68"/>
    </row>
    <row r="24500" spans="4:11" ht="12.75">
      <c r="D24500" s="67"/>
      <c r="G24500" s="68"/>
      <c r="K24500" s="68"/>
    </row>
    <row r="24501" spans="4:11" ht="12.75">
      <c r="D24501" s="67"/>
      <c r="G24501" s="68"/>
      <c r="K24501" s="68"/>
    </row>
    <row r="24502" spans="4:11" ht="12.75">
      <c r="D24502" s="67"/>
      <c r="G24502" s="68"/>
      <c r="K24502" s="68"/>
    </row>
    <row r="24503" spans="4:11" ht="12.75">
      <c r="D24503" s="67"/>
      <c r="G24503" s="68"/>
      <c r="K24503" s="68"/>
    </row>
    <row r="24504" spans="4:11" ht="12.75">
      <c r="D24504" s="67"/>
      <c r="G24504" s="68"/>
      <c r="K24504" s="68"/>
    </row>
    <row r="24505" spans="4:11" ht="12.75">
      <c r="D24505" s="67"/>
      <c r="G24505" s="68"/>
      <c r="K24505" s="68"/>
    </row>
    <row r="24506" spans="4:11" ht="12.75">
      <c r="D24506" s="67"/>
      <c r="G24506" s="68"/>
      <c r="K24506" s="68"/>
    </row>
    <row r="24507" spans="4:11" ht="12.75">
      <c r="D24507" s="67"/>
      <c r="G24507" s="68"/>
      <c r="K24507" s="68"/>
    </row>
    <row r="24508" spans="4:11" ht="12.75">
      <c r="D24508" s="67"/>
      <c r="G24508" s="68"/>
      <c r="K24508" s="68"/>
    </row>
    <row r="24509" spans="4:11" ht="12.75">
      <c r="D24509" s="67"/>
      <c r="G24509" s="68"/>
      <c r="K24509" s="68"/>
    </row>
    <row r="24510" spans="4:11" ht="12.75">
      <c r="D24510" s="67"/>
      <c r="G24510" s="68"/>
      <c r="K24510" s="68"/>
    </row>
    <row r="24511" spans="4:11" ht="12.75">
      <c r="D24511" s="67"/>
      <c r="G24511" s="68"/>
      <c r="K24511" s="68"/>
    </row>
    <row r="24512" spans="4:11" ht="12.75">
      <c r="D24512" s="67"/>
      <c r="G24512" s="68"/>
      <c r="K24512" s="68"/>
    </row>
    <row r="24513" spans="4:11" ht="12.75">
      <c r="D24513" s="67"/>
      <c r="G24513" s="68"/>
      <c r="K24513" s="68"/>
    </row>
    <row r="24514" spans="4:11" ht="12.75">
      <c r="D24514" s="67"/>
      <c r="G24514" s="68"/>
      <c r="K24514" s="68"/>
    </row>
    <row r="24515" spans="4:11" ht="12.75">
      <c r="D24515" s="67"/>
      <c r="G24515" s="68"/>
      <c r="K24515" s="68"/>
    </row>
    <row r="24516" spans="4:11" ht="12.75">
      <c r="D24516" s="67"/>
      <c r="G24516" s="68"/>
      <c r="K24516" s="68"/>
    </row>
    <row r="24517" spans="4:11" ht="12.75">
      <c r="D24517" s="67"/>
      <c r="G24517" s="68"/>
      <c r="K24517" s="68"/>
    </row>
    <row r="24518" spans="4:11" ht="12.75">
      <c r="D24518" s="67"/>
      <c r="G24518" s="68"/>
      <c r="K24518" s="68"/>
    </row>
    <row r="24519" spans="4:11" ht="12.75">
      <c r="D24519" s="67"/>
      <c r="G24519" s="68"/>
      <c r="K24519" s="68"/>
    </row>
    <row r="24520" spans="4:11" ht="12.75">
      <c r="D24520" s="67"/>
      <c r="G24520" s="68"/>
      <c r="K24520" s="68"/>
    </row>
    <row r="24521" spans="4:11" ht="12.75">
      <c r="D24521" s="67"/>
      <c r="G24521" s="68"/>
      <c r="K24521" s="68"/>
    </row>
    <row r="24522" spans="4:11" ht="12.75">
      <c r="D24522" s="67"/>
      <c r="G24522" s="68"/>
      <c r="K24522" s="68"/>
    </row>
    <row r="24523" spans="4:11" ht="12.75">
      <c r="D24523" s="67"/>
      <c r="G24523" s="68"/>
      <c r="K24523" s="68"/>
    </row>
    <row r="24524" spans="4:11" ht="12.75">
      <c r="D24524" s="67"/>
      <c r="G24524" s="68"/>
      <c r="K24524" s="68"/>
    </row>
    <row r="24525" spans="4:11" ht="12.75">
      <c r="D24525" s="67"/>
      <c r="G24525" s="68"/>
      <c r="K24525" s="68"/>
    </row>
    <row r="24526" spans="4:11" ht="12.75">
      <c r="D24526" s="67"/>
      <c r="G24526" s="68"/>
      <c r="K24526" s="68"/>
    </row>
    <row r="24527" spans="4:11" ht="12.75">
      <c r="D24527" s="67"/>
      <c r="G24527" s="68"/>
      <c r="K24527" s="68"/>
    </row>
    <row r="24528" spans="4:11" ht="12.75">
      <c r="D24528" s="67"/>
      <c r="G24528" s="68"/>
      <c r="K24528" s="68"/>
    </row>
    <row r="24529" spans="4:11" ht="12.75">
      <c r="D24529" s="67"/>
      <c r="G24529" s="68"/>
      <c r="K24529" s="68"/>
    </row>
    <row r="24530" spans="4:11" ht="12.75">
      <c r="D24530" s="67"/>
      <c r="G24530" s="68"/>
      <c r="K24530" s="68"/>
    </row>
    <row r="24531" spans="4:11" ht="12.75">
      <c r="D24531" s="67"/>
      <c r="G24531" s="68"/>
      <c r="K24531" s="68"/>
    </row>
    <row r="24532" spans="4:11" ht="12.75">
      <c r="D24532" s="67"/>
      <c r="G24532" s="68"/>
      <c r="K24532" s="68"/>
    </row>
    <row r="24533" spans="4:11" ht="12.75">
      <c r="D24533" s="67"/>
      <c r="G24533" s="68"/>
      <c r="K24533" s="68"/>
    </row>
    <row r="24534" spans="4:11" ht="12.75">
      <c r="D24534" s="67"/>
      <c r="G24534" s="68"/>
      <c r="K24534" s="68"/>
    </row>
    <row r="24535" spans="4:11" ht="12.75">
      <c r="D24535" s="67"/>
      <c r="G24535" s="68"/>
      <c r="K24535" s="68"/>
    </row>
    <row r="24536" spans="4:11" ht="12.75">
      <c r="D24536" s="67"/>
      <c r="G24536" s="68"/>
      <c r="K24536" s="68"/>
    </row>
    <row r="24537" spans="4:11" ht="12.75">
      <c r="D24537" s="67"/>
      <c r="G24537" s="68"/>
      <c r="K24537" s="68"/>
    </row>
    <row r="24538" spans="4:11" ht="12.75">
      <c r="D24538" s="67"/>
      <c r="G24538" s="68"/>
      <c r="K24538" s="68"/>
    </row>
    <row r="24539" spans="4:11" ht="12.75">
      <c r="D24539" s="67"/>
      <c r="G24539" s="68"/>
      <c r="K24539" s="68"/>
    </row>
    <row r="24540" spans="4:11" ht="12.75">
      <c r="D24540" s="67"/>
      <c r="G24540" s="68"/>
      <c r="K24540" s="68"/>
    </row>
    <row r="24541" spans="4:11" ht="12.75">
      <c r="D24541" s="67"/>
      <c r="G24541" s="68"/>
      <c r="K24541" s="68"/>
    </row>
    <row r="24542" spans="4:11" ht="12.75">
      <c r="D24542" s="67"/>
      <c r="G24542" s="68"/>
      <c r="K24542" s="68"/>
    </row>
    <row r="24543" spans="4:11" ht="12.75">
      <c r="D24543" s="67"/>
      <c r="G24543" s="68"/>
      <c r="K24543" s="68"/>
    </row>
    <row r="24544" spans="4:11" ht="12.75">
      <c r="D24544" s="67"/>
      <c r="G24544" s="68"/>
      <c r="K24544" s="68"/>
    </row>
    <row r="24545" spans="4:11" ht="12.75">
      <c r="D24545" s="67"/>
      <c r="G24545" s="68"/>
      <c r="K24545" s="68"/>
    </row>
    <row r="24546" spans="4:11" ht="12.75">
      <c r="D24546" s="67"/>
      <c r="G24546" s="68"/>
      <c r="K24546" s="68"/>
    </row>
    <row r="24547" spans="4:11" ht="12.75">
      <c r="D24547" s="67"/>
      <c r="G24547" s="68"/>
      <c r="K24547" s="68"/>
    </row>
    <row r="24548" spans="4:11" ht="12.75">
      <c r="D24548" s="67"/>
      <c r="G24548" s="68"/>
      <c r="K24548" s="68"/>
    </row>
    <row r="24549" spans="4:11" ht="12.75">
      <c r="D24549" s="67"/>
      <c r="G24549" s="68"/>
      <c r="K24549" s="68"/>
    </row>
    <row r="24550" spans="4:11" ht="12.75">
      <c r="D24550" s="67"/>
      <c r="G24550" s="68"/>
      <c r="K24550" s="68"/>
    </row>
    <row r="24551" spans="4:11" ht="12.75">
      <c r="D24551" s="67"/>
      <c r="G24551" s="68"/>
      <c r="K24551" s="68"/>
    </row>
    <row r="24552" spans="4:11" ht="12.75">
      <c r="D24552" s="67"/>
      <c r="G24552" s="68"/>
      <c r="K24552" s="68"/>
    </row>
    <row r="24553" spans="4:11" ht="12.75">
      <c r="D24553" s="67"/>
      <c r="G24553" s="68"/>
      <c r="K24553" s="68"/>
    </row>
    <row r="24554" spans="4:11" ht="12.75">
      <c r="D24554" s="67"/>
      <c r="G24554" s="68"/>
      <c r="K24554" s="68"/>
    </row>
    <row r="24555" spans="4:11" ht="12.75">
      <c r="D24555" s="67"/>
      <c r="G24555" s="68"/>
      <c r="K24555" s="68"/>
    </row>
    <row r="24556" spans="4:11" ht="12.75">
      <c r="D24556" s="67"/>
      <c r="G24556" s="68"/>
      <c r="K24556" s="68"/>
    </row>
    <row r="24557" spans="4:11" ht="12.75">
      <c r="D24557" s="67"/>
      <c r="G24557" s="68"/>
      <c r="K24557" s="68"/>
    </row>
    <row r="24558" spans="4:11" ht="12.75">
      <c r="D24558" s="67"/>
      <c r="G24558" s="68"/>
      <c r="K24558" s="68"/>
    </row>
    <row r="24559" spans="4:11" ht="12.75">
      <c r="D24559" s="67"/>
      <c r="G24559" s="68"/>
      <c r="K24559" s="68"/>
    </row>
    <row r="24560" spans="4:11" ht="12.75">
      <c r="D24560" s="67"/>
      <c r="G24560" s="68"/>
      <c r="K24560" s="68"/>
    </row>
    <row r="24561" spans="4:11" ht="12.75">
      <c r="D24561" s="67"/>
      <c r="G24561" s="68"/>
      <c r="K24561" s="68"/>
    </row>
    <row r="24562" spans="4:11" ht="12.75">
      <c r="D24562" s="67"/>
      <c r="G24562" s="68"/>
      <c r="K24562" s="68"/>
    </row>
    <row r="24563" spans="4:11" ht="12.75">
      <c r="D24563" s="67"/>
      <c r="G24563" s="68"/>
      <c r="K24563" s="68"/>
    </row>
    <row r="24564" spans="4:11" ht="12.75">
      <c r="D24564" s="67"/>
      <c r="G24564" s="68"/>
      <c r="K24564" s="68"/>
    </row>
    <row r="24565" spans="4:11" ht="12.75">
      <c r="D24565" s="67"/>
      <c r="G24565" s="68"/>
      <c r="K24565" s="68"/>
    </row>
    <row r="24566" spans="4:11" ht="12.75">
      <c r="D24566" s="67"/>
      <c r="G24566" s="68"/>
      <c r="K24566" s="68"/>
    </row>
    <row r="24567" spans="4:11" ht="12.75">
      <c r="D24567" s="67"/>
      <c r="G24567" s="68"/>
      <c r="K24567" s="68"/>
    </row>
    <row r="24568" spans="4:11" ht="12.75">
      <c r="D24568" s="67"/>
      <c r="G24568" s="68"/>
      <c r="K24568" s="68"/>
    </row>
    <row r="24569" spans="4:11" ht="12.75">
      <c r="D24569" s="67"/>
      <c r="G24569" s="68"/>
      <c r="K24569" s="68"/>
    </row>
    <row r="24570" spans="4:11" ht="12.75">
      <c r="D24570" s="67"/>
      <c r="G24570" s="68"/>
      <c r="K24570" s="68"/>
    </row>
    <row r="24571" spans="4:11" ht="12.75">
      <c r="D24571" s="67"/>
      <c r="G24571" s="68"/>
      <c r="K24571" s="68"/>
    </row>
    <row r="24572" spans="4:11" ht="12.75">
      <c r="D24572" s="67"/>
      <c r="G24572" s="68"/>
      <c r="K24572" s="68"/>
    </row>
    <row r="24573" spans="4:11" ht="12.75">
      <c r="D24573" s="67"/>
      <c r="G24573" s="68"/>
      <c r="K24573" s="68"/>
    </row>
    <row r="24574" spans="4:11" ht="12.75">
      <c r="D24574" s="67"/>
      <c r="G24574" s="68"/>
      <c r="K24574" s="68"/>
    </row>
    <row r="24575" spans="4:11" ht="12.75">
      <c r="D24575" s="67"/>
      <c r="G24575" s="68"/>
      <c r="K24575" s="68"/>
    </row>
    <row r="24576" spans="4:11" ht="12.75">
      <c r="D24576" s="67"/>
      <c r="G24576" s="68"/>
      <c r="K24576" s="68"/>
    </row>
    <row r="24577" spans="4:11" ht="12.75">
      <c r="D24577" s="67"/>
      <c r="G24577" s="68"/>
      <c r="K24577" s="68"/>
    </row>
    <row r="24578" spans="4:11" ht="12.75">
      <c r="D24578" s="67"/>
      <c r="G24578" s="68"/>
      <c r="K24578" s="68"/>
    </row>
    <row r="24579" spans="4:11" ht="12.75">
      <c r="D24579" s="67"/>
      <c r="G24579" s="68"/>
      <c r="K24579" s="68"/>
    </row>
    <row r="24580" spans="4:11" ht="12.75">
      <c r="D24580" s="67"/>
      <c r="G24580" s="68"/>
      <c r="K24580" s="68"/>
    </row>
    <row r="24581" spans="4:11" ht="12.75">
      <c r="D24581" s="67"/>
      <c r="G24581" s="68"/>
      <c r="K24581" s="68"/>
    </row>
    <row r="24582" spans="4:11" ht="12.75">
      <c r="D24582" s="67"/>
      <c r="G24582" s="68"/>
      <c r="K24582" s="68"/>
    </row>
    <row r="24583" spans="4:11" ht="12.75">
      <c r="D24583" s="67"/>
      <c r="G24583" s="68"/>
      <c r="K24583" s="68"/>
    </row>
    <row r="24584" spans="4:11" ht="12.75">
      <c r="D24584" s="67"/>
      <c r="G24584" s="68"/>
      <c r="K24584" s="68"/>
    </row>
    <row r="24585" spans="4:11" ht="12.75">
      <c r="D24585" s="67"/>
      <c r="G24585" s="68"/>
      <c r="K24585" s="68"/>
    </row>
    <row r="24586" spans="4:11" ht="12.75">
      <c r="D24586" s="67"/>
      <c r="G24586" s="68"/>
      <c r="K24586" s="68"/>
    </row>
    <row r="24587" spans="4:11" ht="12.75">
      <c r="D24587" s="67"/>
      <c r="G24587" s="68"/>
      <c r="K24587" s="68"/>
    </row>
    <row r="24588" spans="4:11" ht="12.75">
      <c r="D24588" s="67"/>
      <c r="G24588" s="68"/>
      <c r="K24588" s="68"/>
    </row>
    <row r="24589" spans="4:11" ht="12.75">
      <c r="D24589" s="67"/>
      <c r="G24589" s="68"/>
      <c r="K24589" s="68"/>
    </row>
    <row r="24590" spans="4:11" ht="12.75">
      <c r="D24590" s="67"/>
      <c r="G24590" s="68"/>
      <c r="K24590" s="68"/>
    </row>
    <row r="24591" spans="4:11" ht="12.75">
      <c r="D24591" s="67"/>
      <c r="G24591" s="68"/>
      <c r="K24591" s="68"/>
    </row>
    <row r="24592" spans="4:11" ht="12.75">
      <c r="D24592" s="67"/>
      <c r="G24592" s="68"/>
      <c r="K24592" s="68"/>
    </row>
    <row r="24593" spans="4:11" ht="12.75">
      <c r="D24593" s="67"/>
      <c r="G24593" s="68"/>
      <c r="K24593" s="68"/>
    </row>
    <row r="24594" spans="4:11" ht="12.75">
      <c r="D24594" s="67"/>
      <c r="G24594" s="68"/>
      <c r="K24594" s="68"/>
    </row>
    <row r="24595" spans="4:11" ht="12.75">
      <c r="D24595" s="67"/>
      <c r="G24595" s="68"/>
      <c r="K24595" s="68"/>
    </row>
    <row r="24596" spans="4:11" ht="12.75">
      <c r="D24596" s="67"/>
      <c r="G24596" s="68"/>
      <c r="K24596" s="68"/>
    </row>
    <row r="24597" spans="4:11" ht="12.75">
      <c r="D24597" s="67"/>
      <c r="G24597" s="68"/>
      <c r="K24597" s="68"/>
    </row>
    <row r="24598" spans="4:11" ht="12.75">
      <c r="D24598" s="67"/>
      <c r="G24598" s="68"/>
      <c r="K24598" s="68"/>
    </row>
    <row r="24599" spans="4:11" ht="12.75">
      <c r="D24599" s="67"/>
      <c r="G24599" s="68"/>
      <c r="K24599" s="68"/>
    </row>
    <row r="24600" spans="4:11" ht="12.75">
      <c r="D24600" s="67"/>
      <c r="G24600" s="68"/>
      <c r="K24600" s="68"/>
    </row>
    <row r="24601" spans="4:11" ht="12.75">
      <c r="D24601" s="67"/>
      <c r="G24601" s="68"/>
      <c r="K24601" s="68"/>
    </row>
    <row r="24602" spans="4:11" ht="12.75">
      <c r="D24602" s="67"/>
      <c r="G24602" s="68"/>
      <c r="K24602" s="68"/>
    </row>
    <row r="24603" spans="4:11" ht="12.75">
      <c r="D24603" s="67"/>
      <c r="G24603" s="68"/>
      <c r="K24603" s="68"/>
    </row>
    <row r="24604" spans="4:11" ht="12.75">
      <c r="D24604" s="67"/>
      <c r="G24604" s="68"/>
      <c r="K24604" s="68"/>
    </row>
    <row r="24605" spans="4:11" ht="12.75">
      <c r="D24605" s="67"/>
      <c r="G24605" s="68"/>
      <c r="K24605" s="68"/>
    </row>
    <row r="24606" spans="4:11" ht="12.75">
      <c r="D24606" s="67"/>
      <c r="G24606" s="68"/>
      <c r="K24606" s="68"/>
    </row>
    <row r="24607" spans="4:11" ht="12.75">
      <c r="D24607" s="67"/>
      <c r="G24607" s="68"/>
      <c r="K24607" s="68"/>
    </row>
    <row r="24608" spans="4:11" ht="12.75">
      <c r="D24608" s="67"/>
      <c r="G24608" s="68"/>
      <c r="K24608" s="68"/>
    </row>
    <row r="24609" spans="4:11" ht="12.75">
      <c r="D24609" s="67"/>
      <c r="G24609" s="68"/>
      <c r="K24609" s="68"/>
    </row>
    <row r="24610" spans="4:11" ht="12.75">
      <c r="D24610" s="67"/>
      <c r="G24610" s="68"/>
      <c r="K24610" s="68"/>
    </row>
    <row r="24611" spans="4:11" ht="12.75">
      <c r="D24611" s="67"/>
      <c r="G24611" s="68"/>
      <c r="K24611" s="68"/>
    </row>
    <row r="24612" spans="4:11" ht="12.75">
      <c r="D24612" s="67"/>
      <c r="G24612" s="68"/>
      <c r="K24612" s="68"/>
    </row>
    <row r="24613" spans="4:11" ht="12.75">
      <c r="D24613" s="67"/>
      <c r="G24613" s="68"/>
      <c r="K24613" s="68"/>
    </row>
    <row r="24614" spans="4:11" ht="12.75">
      <c r="D24614" s="67"/>
      <c r="G24614" s="68"/>
      <c r="K24614" s="68"/>
    </row>
    <row r="24615" spans="4:11" ht="12.75">
      <c r="D24615" s="67"/>
      <c r="G24615" s="68"/>
      <c r="K24615" s="68"/>
    </row>
    <row r="24616" spans="4:11" ht="12.75">
      <c r="D24616" s="67"/>
      <c r="G24616" s="68"/>
      <c r="K24616" s="68"/>
    </row>
    <row r="24617" spans="4:11" ht="12.75">
      <c r="D24617" s="67"/>
      <c r="G24617" s="68"/>
      <c r="K24617" s="68"/>
    </row>
    <row r="24618" spans="4:11" ht="12.75">
      <c r="D24618" s="67"/>
      <c r="G24618" s="68"/>
      <c r="K24618" s="68"/>
    </row>
    <row r="24619" spans="4:11" ht="12.75">
      <c r="D24619" s="67"/>
      <c r="G24619" s="68"/>
      <c r="K24619" s="68"/>
    </row>
    <row r="24620" spans="4:11" ht="12.75">
      <c r="D24620" s="67"/>
      <c r="G24620" s="68"/>
      <c r="K24620" s="68"/>
    </row>
    <row r="24621" spans="4:11" ht="12.75">
      <c r="D24621" s="67"/>
      <c r="G24621" s="68"/>
      <c r="K24621" s="68"/>
    </row>
    <row r="24622" spans="4:11" ht="12.75">
      <c r="D24622" s="67"/>
      <c r="G24622" s="68"/>
      <c r="K24622" s="68"/>
    </row>
    <row r="24623" spans="4:11" ht="12.75">
      <c r="D24623" s="67"/>
      <c r="G24623" s="68"/>
      <c r="K24623" s="68"/>
    </row>
    <row r="24624" spans="4:11" ht="12.75">
      <c r="D24624" s="67"/>
      <c r="G24624" s="68"/>
      <c r="K24624" s="68"/>
    </row>
    <row r="24625" spans="4:11" ht="12.75">
      <c r="D24625" s="67"/>
      <c r="G24625" s="68"/>
      <c r="K24625" s="68"/>
    </row>
    <row r="24626" spans="4:11" ht="12.75">
      <c r="D24626" s="67"/>
      <c r="G24626" s="68"/>
      <c r="K24626" s="68"/>
    </row>
    <row r="24627" spans="4:11" ht="12.75">
      <c r="D24627" s="67"/>
      <c r="G24627" s="68"/>
      <c r="K24627" s="68"/>
    </row>
    <row r="24628" spans="4:11" ht="12.75">
      <c r="D24628" s="67"/>
      <c r="G24628" s="68"/>
      <c r="K24628" s="68"/>
    </row>
    <row r="24629" spans="4:11" ht="12.75">
      <c r="D24629" s="67"/>
      <c r="G24629" s="68"/>
      <c r="K24629" s="68"/>
    </row>
    <row r="24630" spans="4:11" ht="12.75">
      <c r="D24630" s="67"/>
      <c r="G24630" s="68"/>
      <c r="K24630" s="68"/>
    </row>
    <row r="24631" spans="4:11" ht="12.75">
      <c r="D24631" s="67"/>
      <c r="G24631" s="68"/>
      <c r="K24631" s="68"/>
    </row>
    <row r="24632" spans="4:11" ht="12.75">
      <c r="D24632" s="67"/>
      <c r="G24632" s="68"/>
      <c r="K24632" s="68"/>
    </row>
    <row r="24633" spans="4:11" ht="12.75">
      <c r="D24633" s="67"/>
      <c r="G24633" s="68"/>
      <c r="K24633" s="68"/>
    </row>
    <row r="24634" spans="4:11" ht="12.75">
      <c r="D24634" s="67"/>
      <c r="G24634" s="68"/>
      <c r="K24634" s="68"/>
    </row>
    <row r="24635" spans="4:11" ht="12.75">
      <c r="D24635" s="67"/>
      <c r="G24635" s="68"/>
      <c r="K24635" s="68"/>
    </row>
    <row r="24636" spans="4:11" ht="12.75">
      <c r="D24636" s="67"/>
      <c r="G24636" s="68"/>
      <c r="K24636" s="68"/>
    </row>
    <row r="24637" spans="4:11" ht="12.75">
      <c r="D24637" s="67"/>
      <c r="G24637" s="68"/>
      <c r="K24637" s="68"/>
    </row>
    <row r="24638" spans="4:11" ht="12.75">
      <c r="D24638" s="67"/>
      <c r="G24638" s="68"/>
      <c r="K24638" s="68"/>
    </row>
    <row r="24639" spans="4:11" ht="12.75">
      <c r="D24639" s="67"/>
      <c r="G24639" s="68"/>
      <c r="K24639" s="68"/>
    </row>
    <row r="24640" spans="4:11" ht="12.75">
      <c r="D24640" s="67"/>
      <c r="G24640" s="68"/>
      <c r="K24640" s="68"/>
    </row>
    <row r="24641" spans="4:11" ht="12.75">
      <c r="D24641" s="67"/>
      <c r="G24641" s="68"/>
      <c r="K24641" s="68"/>
    </row>
    <row r="24642" spans="4:11" ht="12.75">
      <c r="D24642" s="67"/>
      <c r="G24642" s="68"/>
      <c r="K24642" s="68"/>
    </row>
    <row r="24643" spans="4:11" ht="12.75">
      <c r="D24643" s="67"/>
      <c r="G24643" s="68"/>
      <c r="K24643" s="68"/>
    </row>
    <row r="24644" spans="4:11" ht="12.75">
      <c r="D24644" s="67"/>
      <c r="G24644" s="68"/>
      <c r="K24644" s="68"/>
    </row>
    <row r="24645" spans="4:11" ht="12.75">
      <c r="D24645" s="67"/>
      <c r="G24645" s="68"/>
      <c r="K24645" s="68"/>
    </row>
    <row r="24646" spans="4:11" ht="12.75">
      <c r="D24646" s="67"/>
      <c r="G24646" s="68"/>
      <c r="K24646" s="68"/>
    </row>
    <row r="24647" spans="4:11" ht="12.75">
      <c r="D24647" s="67"/>
      <c r="G24647" s="68"/>
      <c r="K24647" s="68"/>
    </row>
    <row r="24648" spans="4:11" ht="12.75">
      <c r="D24648" s="67"/>
      <c r="G24648" s="68"/>
      <c r="K24648" s="68"/>
    </row>
    <row r="24649" spans="4:11" ht="12.75">
      <c r="D24649" s="67"/>
      <c r="G24649" s="68"/>
      <c r="K24649" s="68"/>
    </row>
    <row r="24650" spans="4:11" ht="12.75">
      <c r="D24650" s="67"/>
      <c r="G24650" s="68"/>
      <c r="K24650" s="68"/>
    </row>
    <row r="24651" spans="4:11" ht="12.75">
      <c r="D24651" s="67"/>
      <c r="G24651" s="68"/>
      <c r="K24651" s="68"/>
    </row>
    <row r="24652" spans="4:11" ht="12.75">
      <c r="D24652" s="67"/>
      <c r="G24652" s="68"/>
      <c r="K24652" s="68"/>
    </row>
    <row r="24653" spans="4:11" ht="12.75">
      <c r="D24653" s="67"/>
      <c r="G24653" s="68"/>
      <c r="K24653" s="68"/>
    </row>
    <row r="24654" spans="4:11" ht="12.75">
      <c r="D24654" s="67"/>
      <c r="G24654" s="68"/>
      <c r="K24654" s="68"/>
    </row>
    <row r="24655" spans="4:11" ht="12.75">
      <c r="D24655" s="67"/>
      <c r="G24655" s="68"/>
      <c r="K24655" s="68"/>
    </row>
    <row r="24656" spans="4:11" ht="12.75">
      <c r="D24656" s="67"/>
      <c r="G24656" s="68"/>
      <c r="K24656" s="68"/>
    </row>
    <row r="24657" spans="4:11" ht="12.75">
      <c r="D24657" s="67"/>
      <c r="G24657" s="68"/>
      <c r="K24657" s="68"/>
    </row>
    <row r="24658" spans="4:11" ht="12.75">
      <c r="D24658" s="67"/>
      <c r="G24658" s="68"/>
      <c r="K24658" s="68"/>
    </row>
    <row r="24659" spans="4:11" ht="12.75">
      <c r="D24659" s="67"/>
      <c r="G24659" s="68"/>
      <c r="K24659" s="68"/>
    </row>
    <row r="24660" spans="4:11" ht="12.75">
      <c r="D24660" s="67"/>
      <c r="G24660" s="68"/>
      <c r="K24660" s="68"/>
    </row>
    <row r="24661" spans="4:11" ht="12.75">
      <c r="D24661" s="67"/>
      <c r="G24661" s="68"/>
      <c r="K24661" s="68"/>
    </row>
    <row r="24662" spans="4:11" ht="12.75">
      <c r="D24662" s="67"/>
      <c r="G24662" s="68"/>
      <c r="K24662" s="68"/>
    </row>
    <row r="24663" spans="4:11" ht="12.75">
      <c r="D24663" s="67"/>
      <c r="G24663" s="68"/>
      <c r="K24663" s="68"/>
    </row>
    <row r="24664" spans="4:11" ht="12.75">
      <c r="D24664" s="67"/>
      <c r="G24664" s="68"/>
      <c r="K24664" s="68"/>
    </row>
    <row r="24665" spans="4:11" ht="12.75">
      <c r="D24665" s="67"/>
      <c r="G24665" s="68"/>
      <c r="K24665" s="68"/>
    </row>
    <row r="24666" spans="4:11" ht="12.75">
      <c r="D24666" s="67"/>
      <c r="G24666" s="68"/>
      <c r="K24666" s="68"/>
    </row>
    <row r="24667" spans="4:11" ht="12.75">
      <c r="D24667" s="67"/>
      <c r="G24667" s="68"/>
      <c r="K24667" s="68"/>
    </row>
    <row r="24668" spans="4:11" ht="12.75">
      <c r="D24668" s="67"/>
      <c r="G24668" s="68"/>
      <c r="K24668" s="68"/>
    </row>
    <row r="24669" spans="4:11" ht="12.75">
      <c r="D24669" s="67"/>
      <c r="G24669" s="68"/>
      <c r="K24669" s="68"/>
    </row>
    <row r="24670" spans="4:11" ht="12.75">
      <c r="D24670" s="67"/>
      <c r="G24670" s="68"/>
      <c r="K24670" s="68"/>
    </row>
    <row r="24671" spans="4:11" ht="12.75">
      <c r="D24671" s="67"/>
      <c r="G24671" s="68"/>
      <c r="K24671" s="68"/>
    </row>
    <row r="24672" spans="4:11" ht="12.75">
      <c r="D24672" s="67"/>
      <c r="G24672" s="68"/>
      <c r="K24672" s="68"/>
    </row>
    <row r="24673" spans="4:11" ht="12.75">
      <c r="D24673" s="67"/>
      <c r="G24673" s="68"/>
      <c r="K24673" s="68"/>
    </row>
    <row r="24674" spans="4:11" ht="12.75">
      <c r="D24674" s="67"/>
      <c r="G24674" s="68"/>
      <c r="K24674" s="68"/>
    </row>
    <row r="24675" spans="4:11" ht="12.75">
      <c r="D24675" s="67"/>
      <c r="G24675" s="68"/>
      <c r="K24675" s="68"/>
    </row>
    <row r="24676" spans="4:11" ht="12.75">
      <c r="D24676" s="67"/>
      <c r="G24676" s="68"/>
      <c r="K24676" s="68"/>
    </row>
    <row r="24677" spans="4:11" ht="12.75">
      <c r="D24677" s="67"/>
      <c r="G24677" s="68"/>
      <c r="K24677" s="68"/>
    </row>
    <row r="24678" spans="4:11" ht="12.75">
      <c r="D24678" s="67"/>
      <c r="G24678" s="68"/>
      <c r="K24678" s="68"/>
    </row>
    <row r="24679" spans="4:11" ht="12.75">
      <c r="D24679" s="67"/>
      <c r="G24679" s="68"/>
      <c r="K24679" s="68"/>
    </row>
    <row r="24680" spans="4:11" ht="12.75">
      <c r="D24680" s="67"/>
      <c r="G24680" s="68"/>
      <c r="K24680" s="68"/>
    </row>
    <row r="24681" spans="4:11" ht="12.75">
      <c r="D24681" s="67"/>
      <c r="G24681" s="68"/>
      <c r="K24681" s="68"/>
    </row>
    <row r="24682" spans="4:11" ht="12.75">
      <c r="D24682" s="67"/>
      <c r="G24682" s="68"/>
      <c r="K24682" s="68"/>
    </row>
    <row r="24683" spans="4:11" ht="12.75">
      <c r="D24683" s="67"/>
      <c r="G24683" s="68"/>
      <c r="K24683" s="68"/>
    </row>
    <row r="24684" spans="4:11" ht="12.75">
      <c r="D24684" s="67"/>
      <c r="G24684" s="68"/>
      <c r="K24684" s="68"/>
    </row>
    <row r="24685" spans="4:11" ht="12.75">
      <c r="D24685" s="67"/>
      <c r="G24685" s="68"/>
      <c r="K24685" s="68"/>
    </row>
    <row r="24686" spans="4:11" ht="12.75">
      <c r="D24686" s="67"/>
      <c r="G24686" s="68"/>
      <c r="K24686" s="68"/>
    </row>
    <row r="24687" spans="4:11" ht="12.75">
      <c r="D24687" s="67"/>
      <c r="G24687" s="68"/>
      <c r="K24687" s="68"/>
    </row>
    <row r="24688" spans="4:11" ht="12.75">
      <c r="D24688" s="67"/>
      <c r="G24688" s="68"/>
      <c r="K24688" s="68"/>
    </row>
    <row r="24689" spans="4:11" ht="12.75">
      <c r="D24689" s="67"/>
      <c r="G24689" s="68"/>
      <c r="K24689" s="68"/>
    </row>
    <row r="24690" spans="4:11" ht="12.75">
      <c r="D24690" s="67"/>
      <c r="G24690" s="68"/>
      <c r="K24690" s="68"/>
    </row>
    <row r="24691" spans="4:11" ht="12.75">
      <c r="D24691" s="67"/>
      <c r="G24691" s="68"/>
      <c r="K24691" s="68"/>
    </row>
    <row r="24692" spans="4:11" ht="12.75">
      <c r="D24692" s="67"/>
      <c r="G24692" s="68"/>
      <c r="K24692" s="68"/>
    </row>
    <row r="24693" spans="4:11" ht="12.75">
      <c r="D24693" s="67"/>
      <c r="G24693" s="68"/>
      <c r="K24693" s="68"/>
    </row>
    <row r="24694" spans="4:11" ht="12.75">
      <c r="D24694" s="67"/>
      <c r="G24694" s="68"/>
      <c r="K24694" s="68"/>
    </row>
    <row r="24695" spans="4:11" ht="12.75">
      <c r="D24695" s="67"/>
      <c r="G24695" s="68"/>
      <c r="K24695" s="68"/>
    </row>
    <row r="24696" spans="4:11" ht="12.75">
      <c r="D24696" s="67"/>
      <c r="G24696" s="68"/>
      <c r="K24696" s="68"/>
    </row>
    <row r="24697" spans="4:11" ht="12.75">
      <c r="D24697" s="67"/>
      <c r="G24697" s="68"/>
      <c r="K24697" s="68"/>
    </row>
    <row r="24698" spans="4:11" ht="12.75">
      <c r="D24698" s="67"/>
      <c r="G24698" s="68"/>
      <c r="K24698" s="68"/>
    </row>
    <row r="24699" spans="4:11" ht="12.75">
      <c r="D24699" s="67"/>
      <c r="G24699" s="68"/>
      <c r="K24699" s="68"/>
    </row>
    <row r="24700" spans="4:11" ht="12.75">
      <c r="D24700" s="67"/>
      <c r="G24700" s="68"/>
      <c r="K24700" s="68"/>
    </row>
    <row r="24701" spans="4:11" ht="12.75">
      <c r="D24701" s="67"/>
      <c r="G24701" s="68"/>
      <c r="K24701" s="68"/>
    </row>
    <row r="24702" spans="4:11" ht="12.75">
      <c r="D24702" s="67"/>
      <c r="G24702" s="68"/>
      <c r="K24702" s="68"/>
    </row>
    <row r="24703" spans="4:11" ht="12.75">
      <c r="D24703" s="67"/>
      <c r="G24703" s="68"/>
      <c r="K24703" s="68"/>
    </row>
    <row r="24704" spans="4:11" ht="12.75">
      <c r="D24704" s="67"/>
      <c r="G24704" s="68"/>
      <c r="K24704" s="68"/>
    </row>
    <row r="24705" spans="4:11" ht="12.75">
      <c r="D24705" s="67"/>
      <c r="G24705" s="68"/>
      <c r="K24705" s="68"/>
    </row>
    <row r="24706" spans="4:11" ht="12.75">
      <c r="D24706" s="67"/>
      <c r="G24706" s="68"/>
      <c r="K24706" s="68"/>
    </row>
    <row r="24707" spans="4:11" ht="12.75">
      <c r="D24707" s="67"/>
      <c r="G24707" s="68"/>
      <c r="K24707" s="68"/>
    </row>
    <row r="24708" spans="4:11" ht="12.75">
      <c r="D24708" s="67"/>
      <c r="G24708" s="68"/>
      <c r="K24708" s="68"/>
    </row>
    <row r="24709" spans="4:11" ht="12.75">
      <c r="D24709" s="67"/>
      <c r="G24709" s="68"/>
      <c r="K24709" s="68"/>
    </row>
    <row r="24710" spans="4:11" ht="12.75">
      <c r="D24710" s="67"/>
      <c r="G24710" s="68"/>
      <c r="K24710" s="68"/>
    </row>
    <row r="24711" spans="4:11" ht="12.75">
      <c r="D24711" s="67"/>
      <c r="G24711" s="68"/>
      <c r="K24711" s="68"/>
    </row>
    <row r="24712" spans="4:11" ht="12.75">
      <c r="D24712" s="67"/>
      <c r="G24712" s="68"/>
      <c r="K24712" s="68"/>
    </row>
    <row r="24713" spans="4:11" ht="12.75">
      <c r="D24713" s="67"/>
      <c r="G24713" s="68"/>
      <c r="K24713" s="68"/>
    </row>
    <row r="24714" spans="4:11" ht="12.75">
      <c r="D24714" s="67"/>
      <c r="G24714" s="68"/>
      <c r="K24714" s="68"/>
    </row>
    <row r="24715" spans="4:11" ht="12.75">
      <c r="D24715" s="67"/>
      <c r="G24715" s="68"/>
      <c r="K24715" s="68"/>
    </row>
    <row r="24716" spans="4:11" ht="12.75">
      <c r="D24716" s="67"/>
      <c r="G24716" s="68"/>
      <c r="K24716" s="68"/>
    </row>
    <row r="24717" spans="4:11" ht="12.75">
      <c r="D24717" s="67"/>
      <c r="G24717" s="68"/>
      <c r="K24717" s="68"/>
    </row>
    <row r="24718" spans="4:11" ht="12.75">
      <c r="D24718" s="67"/>
      <c r="G24718" s="68"/>
      <c r="K24718" s="68"/>
    </row>
    <row r="24719" spans="4:11" ht="12.75">
      <c r="D24719" s="67"/>
      <c r="G24719" s="68"/>
      <c r="K24719" s="68"/>
    </row>
    <row r="24720" spans="4:11" ht="12.75">
      <c r="D24720" s="67"/>
      <c r="G24720" s="68"/>
      <c r="K24720" s="68"/>
    </row>
    <row r="24721" spans="4:11" ht="12.75">
      <c r="D24721" s="67"/>
      <c r="G24721" s="68"/>
      <c r="K24721" s="68"/>
    </row>
    <row r="24722" spans="4:11" ht="12.75">
      <c r="D24722" s="67"/>
      <c r="G24722" s="68"/>
      <c r="K24722" s="68"/>
    </row>
    <row r="24723" spans="4:11" ht="12.75">
      <c r="D24723" s="67"/>
      <c r="G24723" s="68"/>
      <c r="K24723" s="68"/>
    </row>
    <row r="24724" spans="4:11" ht="12.75">
      <c r="D24724" s="67"/>
      <c r="G24724" s="68"/>
      <c r="K24724" s="68"/>
    </row>
    <row r="24725" spans="4:11" ht="12.75">
      <c r="D24725" s="67"/>
      <c r="G24725" s="68"/>
      <c r="K24725" s="68"/>
    </row>
    <row r="24726" spans="4:11" ht="12.75">
      <c r="D24726" s="67"/>
      <c r="G24726" s="68"/>
      <c r="K24726" s="68"/>
    </row>
    <row r="24727" spans="4:11" ht="12.75">
      <c r="D24727" s="67"/>
      <c r="G24727" s="68"/>
      <c r="K24727" s="68"/>
    </row>
    <row r="24728" spans="4:11" ht="12.75">
      <c r="D24728" s="67"/>
      <c r="G24728" s="68"/>
      <c r="K24728" s="68"/>
    </row>
    <row r="24729" spans="4:11" ht="12.75">
      <c r="D24729" s="67"/>
      <c r="G24729" s="68"/>
      <c r="K24729" s="68"/>
    </row>
    <row r="24730" spans="4:11" ht="12.75">
      <c r="D24730" s="67"/>
      <c r="G24730" s="68"/>
      <c r="K24730" s="68"/>
    </row>
    <row r="24731" spans="4:11" ht="12.75">
      <c r="D24731" s="67"/>
      <c r="G24731" s="68"/>
      <c r="K24731" s="68"/>
    </row>
    <row r="24732" spans="4:11" ht="12.75">
      <c r="D24732" s="67"/>
      <c r="G24732" s="68"/>
      <c r="K24732" s="68"/>
    </row>
    <row r="24733" spans="4:11" ht="12.75">
      <c r="D24733" s="67"/>
      <c r="G24733" s="68"/>
      <c r="K24733" s="68"/>
    </row>
    <row r="24734" spans="4:11" ht="12.75">
      <c r="D24734" s="67"/>
      <c r="G24734" s="68"/>
      <c r="K24734" s="68"/>
    </row>
    <row r="24735" spans="4:11" ht="12.75">
      <c r="D24735" s="67"/>
      <c r="G24735" s="68"/>
      <c r="K24735" s="68"/>
    </row>
    <row r="24736" spans="4:11" ht="12.75">
      <c r="D24736" s="67"/>
      <c r="G24736" s="68"/>
      <c r="K24736" s="68"/>
    </row>
    <row r="24737" spans="4:11" ht="12.75">
      <c r="D24737" s="67"/>
      <c r="G24737" s="68"/>
      <c r="K24737" s="68"/>
    </row>
    <row r="24738" spans="4:11" ht="12.75">
      <c r="D24738" s="67"/>
      <c r="G24738" s="68"/>
      <c r="K24738" s="68"/>
    </row>
    <row r="24739" spans="4:11" ht="12.75">
      <c r="D24739" s="67"/>
      <c r="G24739" s="68"/>
      <c r="K24739" s="68"/>
    </row>
    <row r="24740" spans="4:11" ht="12.75">
      <c r="D24740" s="67"/>
      <c r="G24740" s="68"/>
      <c r="K24740" s="68"/>
    </row>
    <row r="24741" spans="4:11" ht="12.75">
      <c r="D24741" s="67"/>
      <c r="G24741" s="68"/>
      <c r="K24741" s="68"/>
    </row>
    <row r="24742" spans="4:11" ht="12.75">
      <c r="D24742" s="67"/>
      <c r="G24742" s="68"/>
      <c r="K24742" s="68"/>
    </row>
    <row r="24743" spans="4:11" ht="12.75">
      <c r="D24743" s="67"/>
      <c r="G24743" s="68"/>
      <c r="K24743" s="68"/>
    </row>
    <row r="24744" spans="4:11" ht="12.75">
      <c r="D24744" s="67"/>
      <c r="G24744" s="68"/>
      <c r="K24744" s="68"/>
    </row>
    <row r="24745" spans="4:11" ht="12.75">
      <c r="D24745" s="67"/>
      <c r="G24745" s="68"/>
      <c r="K24745" s="68"/>
    </row>
    <row r="24746" spans="4:11" ht="12.75">
      <c r="D24746" s="67"/>
      <c r="G24746" s="68"/>
      <c r="K24746" s="68"/>
    </row>
    <row r="24747" spans="4:11" ht="12.75">
      <c r="D24747" s="67"/>
      <c r="G24747" s="68"/>
      <c r="K24747" s="68"/>
    </row>
    <row r="24748" spans="4:11" ht="12.75">
      <c r="D24748" s="67"/>
      <c r="G24748" s="68"/>
      <c r="K24748" s="68"/>
    </row>
    <row r="24749" spans="4:11" ht="12.75">
      <c r="D24749" s="67"/>
      <c r="G24749" s="68"/>
      <c r="K24749" s="68"/>
    </row>
    <row r="24750" spans="4:11" ht="12.75">
      <c r="D24750" s="67"/>
      <c r="G24750" s="68"/>
      <c r="K24750" s="68"/>
    </row>
    <row r="24751" spans="4:11" ht="12.75">
      <c r="D24751" s="67"/>
      <c r="G24751" s="68"/>
      <c r="K24751" s="68"/>
    </row>
    <row r="24752" spans="4:11" ht="12.75">
      <c r="D24752" s="67"/>
      <c r="G24752" s="68"/>
      <c r="K24752" s="68"/>
    </row>
    <row r="24753" spans="4:11" ht="12.75">
      <c r="D24753" s="67"/>
      <c r="G24753" s="68"/>
      <c r="K24753" s="68"/>
    </row>
    <row r="24754" spans="4:11" ht="12.75">
      <c r="D24754" s="67"/>
      <c r="G24754" s="68"/>
      <c r="K24754" s="68"/>
    </row>
    <row r="24755" spans="4:11" ht="12.75">
      <c r="D24755" s="67"/>
      <c r="G24755" s="68"/>
      <c r="K24755" s="68"/>
    </row>
    <row r="24756" spans="4:11" ht="12.75">
      <c r="D24756" s="67"/>
      <c r="G24756" s="68"/>
      <c r="K24756" s="68"/>
    </row>
    <row r="24757" spans="4:11" ht="12.75">
      <c r="D24757" s="67"/>
      <c r="G24757" s="68"/>
      <c r="K24757" s="68"/>
    </row>
    <row r="24758" spans="4:11" ht="12.75">
      <c r="D24758" s="67"/>
      <c r="G24758" s="68"/>
      <c r="K24758" s="68"/>
    </row>
    <row r="24759" spans="4:11" ht="12.75">
      <c r="D24759" s="67"/>
      <c r="G24759" s="68"/>
      <c r="K24759" s="68"/>
    </row>
    <row r="24760" spans="4:11" ht="12.75">
      <c r="D24760" s="67"/>
      <c r="G24760" s="68"/>
      <c r="K24760" s="68"/>
    </row>
    <row r="24761" spans="4:11" ht="12.75">
      <c r="D24761" s="67"/>
      <c r="G24761" s="68"/>
      <c r="K24761" s="68"/>
    </row>
    <row r="24762" spans="4:11" ht="12.75">
      <c r="D24762" s="67"/>
      <c r="G24762" s="68"/>
      <c r="K24762" s="68"/>
    </row>
    <row r="24763" spans="4:11" ht="12.75">
      <c r="D24763" s="67"/>
      <c r="G24763" s="68"/>
      <c r="K24763" s="68"/>
    </row>
    <row r="24764" spans="4:11" ht="12.75">
      <c r="D24764" s="67"/>
      <c r="G24764" s="68"/>
      <c r="K24764" s="68"/>
    </row>
    <row r="24765" spans="4:11" ht="12.75">
      <c r="D24765" s="67"/>
      <c r="G24765" s="68"/>
      <c r="K24765" s="68"/>
    </row>
    <row r="24766" spans="4:11" ht="12.75">
      <c r="D24766" s="67"/>
      <c r="G24766" s="68"/>
      <c r="K24766" s="68"/>
    </row>
    <row r="24767" spans="4:11" ht="12.75">
      <c r="D24767" s="67"/>
      <c r="G24767" s="68"/>
      <c r="K24767" s="68"/>
    </row>
    <row r="24768" spans="4:11" ht="12.75">
      <c r="D24768" s="67"/>
      <c r="G24768" s="68"/>
      <c r="K24768" s="68"/>
    </row>
    <row r="24769" spans="4:11" ht="12.75">
      <c r="D24769" s="67"/>
      <c r="G24769" s="68"/>
      <c r="K24769" s="68"/>
    </row>
    <row r="24770" spans="4:11" ht="12.75">
      <c r="D24770" s="67"/>
      <c r="G24770" s="68"/>
      <c r="K24770" s="68"/>
    </row>
    <row r="24771" spans="4:11" ht="12.75">
      <c r="D24771" s="67"/>
      <c r="G24771" s="68"/>
      <c r="K24771" s="68"/>
    </row>
    <row r="24772" spans="4:11" ht="12.75">
      <c r="D24772" s="67"/>
      <c r="G24772" s="68"/>
      <c r="K24772" s="68"/>
    </row>
    <row r="24773" spans="4:11" ht="12.75">
      <c r="D24773" s="67"/>
      <c r="G24773" s="68"/>
      <c r="K24773" s="68"/>
    </row>
    <row r="24774" spans="4:11" ht="12.75">
      <c r="D24774" s="67"/>
      <c r="G24774" s="68"/>
      <c r="K24774" s="68"/>
    </row>
    <row r="24775" spans="4:11" ht="12.75">
      <c r="D24775" s="67"/>
      <c r="G24775" s="68"/>
      <c r="K24775" s="68"/>
    </row>
    <row r="24776" spans="4:11" ht="12.75">
      <c r="D24776" s="67"/>
      <c r="G24776" s="68"/>
      <c r="K24776" s="68"/>
    </row>
    <row r="24777" spans="4:11" ht="12.75">
      <c r="D24777" s="67"/>
      <c r="G24777" s="68"/>
      <c r="K24777" s="68"/>
    </row>
    <row r="24778" spans="4:11" ht="12.75">
      <c r="D24778" s="67"/>
      <c r="G24778" s="68"/>
      <c r="K24778" s="68"/>
    </row>
    <row r="24779" spans="4:11" ht="12.75">
      <c r="D24779" s="67"/>
      <c r="G24779" s="68"/>
      <c r="K24779" s="68"/>
    </row>
    <row r="24780" spans="4:11" ht="12.75">
      <c r="D24780" s="67"/>
      <c r="G24780" s="68"/>
      <c r="K24780" s="68"/>
    </row>
    <row r="24781" spans="4:11" ht="12.75">
      <c r="D24781" s="67"/>
      <c r="G24781" s="68"/>
      <c r="K24781" s="68"/>
    </row>
    <row r="24782" spans="4:11" ht="12.75">
      <c r="D24782" s="67"/>
      <c r="G24782" s="68"/>
      <c r="K24782" s="68"/>
    </row>
    <row r="24783" spans="4:11" ht="12.75">
      <c r="D24783" s="67"/>
      <c r="G24783" s="68"/>
      <c r="K24783" s="68"/>
    </row>
    <row r="24784" spans="4:11" ht="12.75">
      <c r="D24784" s="67"/>
      <c r="G24784" s="68"/>
      <c r="K24784" s="68"/>
    </row>
    <row r="24785" spans="4:11" ht="12.75">
      <c r="D24785" s="67"/>
      <c r="G24785" s="68"/>
      <c r="K24785" s="68"/>
    </row>
    <row r="24786" spans="4:11" ht="12.75">
      <c r="D24786" s="67"/>
      <c r="G24786" s="68"/>
      <c r="K24786" s="68"/>
    </row>
    <row r="24787" spans="4:11" ht="12.75">
      <c r="D24787" s="67"/>
      <c r="G24787" s="68"/>
      <c r="K24787" s="68"/>
    </row>
    <row r="24788" spans="4:11" ht="12.75">
      <c r="D24788" s="67"/>
      <c r="G24788" s="68"/>
      <c r="K24788" s="68"/>
    </row>
    <row r="24789" spans="4:11" ht="12.75">
      <c r="D24789" s="67"/>
      <c r="G24789" s="68"/>
      <c r="K24789" s="68"/>
    </row>
    <row r="24790" spans="4:11" ht="12.75">
      <c r="D24790" s="67"/>
      <c r="G24790" s="68"/>
      <c r="K24790" s="68"/>
    </row>
    <row r="24791" spans="4:11" ht="12.75">
      <c r="D24791" s="67"/>
      <c r="G24791" s="68"/>
      <c r="K24791" s="68"/>
    </row>
    <row r="24792" spans="4:11" ht="12.75">
      <c r="D24792" s="67"/>
      <c r="G24792" s="68"/>
      <c r="K24792" s="68"/>
    </row>
    <row r="24793" spans="4:11" ht="12.75">
      <c r="D24793" s="67"/>
      <c r="G24793" s="68"/>
      <c r="K24793" s="68"/>
    </row>
    <row r="24794" spans="4:11" ht="12.75">
      <c r="D24794" s="67"/>
      <c r="G24794" s="68"/>
      <c r="K24794" s="68"/>
    </row>
    <row r="24795" spans="4:11" ht="12.75">
      <c r="D24795" s="67"/>
      <c r="G24795" s="68"/>
      <c r="K24795" s="68"/>
    </row>
    <row r="24796" spans="4:11" ht="12.75">
      <c r="D24796" s="67"/>
      <c r="G24796" s="68"/>
      <c r="K24796" s="68"/>
    </row>
    <row r="24797" spans="4:11" ht="12.75">
      <c r="D24797" s="67"/>
      <c r="G24797" s="68"/>
      <c r="K24797" s="68"/>
    </row>
    <row r="24798" spans="4:11" ht="12.75">
      <c r="D24798" s="67"/>
      <c r="G24798" s="68"/>
      <c r="K24798" s="68"/>
    </row>
    <row r="24799" spans="4:11" ht="12.75">
      <c r="D24799" s="67"/>
      <c r="G24799" s="68"/>
      <c r="K24799" s="68"/>
    </row>
    <row r="24800" spans="4:11" ht="12.75">
      <c r="D24800" s="67"/>
      <c r="G24800" s="68"/>
      <c r="K24800" s="68"/>
    </row>
    <row r="24801" spans="4:11" ht="12.75">
      <c r="D24801" s="67"/>
      <c r="G24801" s="68"/>
      <c r="K24801" s="68"/>
    </row>
    <row r="24802" spans="4:11" ht="12.75">
      <c r="D24802" s="67"/>
      <c r="G24802" s="68"/>
      <c r="K24802" s="68"/>
    </row>
    <row r="24803" spans="4:11" ht="12.75">
      <c r="D24803" s="67"/>
      <c r="G24803" s="68"/>
      <c r="K24803" s="68"/>
    </row>
    <row r="24804" spans="4:11" ht="12.75">
      <c r="D24804" s="67"/>
      <c r="G24804" s="68"/>
      <c r="K24804" s="68"/>
    </row>
    <row r="24805" spans="4:11" ht="12.75">
      <c r="D24805" s="67"/>
      <c r="G24805" s="68"/>
      <c r="K24805" s="68"/>
    </row>
    <row r="24806" spans="4:11" ht="12.75">
      <c r="D24806" s="67"/>
      <c r="G24806" s="68"/>
      <c r="K24806" s="68"/>
    </row>
    <row r="24807" spans="4:11" ht="12.75">
      <c r="D24807" s="67"/>
      <c r="G24807" s="68"/>
      <c r="K24807" s="68"/>
    </row>
    <row r="24808" spans="4:11" ht="12.75">
      <c r="D24808" s="67"/>
      <c r="G24808" s="68"/>
      <c r="K24808" s="68"/>
    </row>
    <row r="24809" spans="4:11" ht="12.75">
      <c r="D24809" s="67"/>
      <c r="G24809" s="68"/>
      <c r="K24809" s="68"/>
    </row>
    <row r="24810" spans="4:11" ht="12.75">
      <c r="D24810" s="67"/>
      <c r="G24810" s="68"/>
      <c r="K24810" s="68"/>
    </row>
    <row r="24811" spans="4:11" ht="12.75">
      <c r="D24811" s="67"/>
      <c r="G24811" s="68"/>
      <c r="K24811" s="68"/>
    </row>
    <row r="24812" spans="4:11" ht="12.75">
      <c r="D24812" s="67"/>
      <c r="G24812" s="68"/>
      <c r="K24812" s="68"/>
    </row>
    <row r="24813" spans="4:11" ht="12.75">
      <c r="D24813" s="67"/>
      <c r="G24813" s="68"/>
      <c r="K24813" s="68"/>
    </row>
    <row r="24814" spans="4:11" ht="12.75">
      <c r="D24814" s="67"/>
      <c r="G24814" s="68"/>
      <c r="K24814" s="68"/>
    </row>
    <row r="24815" spans="4:11" ht="12.75">
      <c r="D24815" s="67"/>
      <c r="G24815" s="68"/>
      <c r="K24815" s="68"/>
    </row>
    <row r="24816" spans="4:11" ht="12.75">
      <c r="D24816" s="67"/>
      <c r="G24816" s="68"/>
      <c r="K24816" s="68"/>
    </row>
    <row r="24817" spans="4:11" ht="12.75">
      <c r="D24817" s="67"/>
      <c r="G24817" s="68"/>
      <c r="K24817" s="68"/>
    </row>
    <row r="24818" spans="4:11" ht="12.75">
      <c r="D24818" s="67"/>
      <c r="G24818" s="68"/>
      <c r="K24818" s="68"/>
    </row>
    <row r="24819" spans="4:11" ht="12.75">
      <c r="D24819" s="67"/>
      <c r="G24819" s="68"/>
      <c r="K24819" s="68"/>
    </row>
    <row r="24820" spans="4:11" ht="12.75">
      <c r="D24820" s="67"/>
      <c r="G24820" s="68"/>
      <c r="K24820" s="68"/>
    </row>
    <row r="24821" spans="4:11" ht="12.75">
      <c r="D24821" s="67"/>
      <c r="G24821" s="68"/>
      <c r="K24821" s="68"/>
    </row>
    <row r="24822" spans="4:11" ht="12.75">
      <c r="D24822" s="67"/>
      <c r="G24822" s="68"/>
      <c r="K24822" s="68"/>
    </row>
    <row r="24823" spans="4:11" ht="12.75">
      <c r="D24823" s="67"/>
      <c r="G24823" s="68"/>
      <c r="K24823" s="68"/>
    </row>
    <row r="24824" spans="4:11" ht="12.75">
      <c r="D24824" s="67"/>
      <c r="G24824" s="68"/>
      <c r="K24824" s="68"/>
    </row>
    <row r="24825" spans="4:11" ht="12.75">
      <c r="D24825" s="67"/>
      <c r="G24825" s="68"/>
      <c r="K24825" s="68"/>
    </row>
    <row r="24826" spans="4:11" ht="12.75">
      <c r="D24826" s="67"/>
      <c r="G24826" s="68"/>
      <c r="K24826" s="68"/>
    </row>
    <row r="24827" spans="4:11" ht="12.75">
      <c r="D24827" s="67"/>
      <c r="G24827" s="68"/>
      <c r="K24827" s="68"/>
    </row>
    <row r="24828" spans="4:11" ht="12.75">
      <c r="D24828" s="67"/>
      <c r="G24828" s="68"/>
      <c r="K24828" s="68"/>
    </row>
    <row r="24829" spans="4:11" ht="12.75">
      <c r="D24829" s="67"/>
      <c r="G24829" s="68"/>
      <c r="K24829" s="68"/>
    </row>
    <row r="24830" spans="4:11" ht="12.75">
      <c r="D24830" s="67"/>
      <c r="G24830" s="68"/>
      <c r="K24830" s="68"/>
    </row>
    <row r="24831" spans="4:11" ht="12.75">
      <c r="D24831" s="67"/>
      <c r="G24831" s="68"/>
      <c r="K24831" s="68"/>
    </row>
    <row r="24832" spans="4:11" ht="12.75">
      <c r="D24832" s="67"/>
      <c r="G24832" s="68"/>
      <c r="K24832" s="68"/>
    </row>
    <row r="24833" spans="4:11" ht="12.75">
      <c r="D24833" s="67"/>
      <c r="G24833" s="68"/>
      <c r="K24833" s="68"/>
    </row>
    <row r="24834" spans="4:11" ht="12.75">
      <c r="D24834" s="67"/>
      <c r="G24834" s="68"/>
      <c r="K24834" s="68"/>
    </row>
    <row r="24835" spans="4:11" ht="12.75">
      <c r="D24835" s="67"/>
      <c r="G24835" s="68"/>
      <c r="K24835" s="68"/>
    </row>
    <row r="24836" spans="4:11" ht="12.75">
      <c r="D24836" s="67"/>
      <c r="G24836" s="68"/>
      <c r="K24836" s="68"/>
    </row>
    <row r="24837" spans="4:11" ht="12.75">
      <c r="D24837" s="67"/>
      <c r="G24837" s="68"/>
      <c r="K24837" s="68"/>
    </row>
    <row r="24838" spans="4:11" ht="12.75">
      <c r="D24838" s="67"/>
      <c r="G24838" s="68"/>
      <c r="K24838" s="68"/>
    </row>
    <row r="24839" spans="4:11" ht="12.75">
      <c r="D24839" s="67"/>
      <c r="G24839" s="68"/>
      <c r="K24839" s="68"/>
    </row>
    <row r="24840" spans="4:11" ht="12.75">
      <c r="D24840" s="67"/>
      <c r="G24840" s="68"/>
      <c r="K24840" s="68"/>
    </row>
    <row r="24841" spans="4:11" ht="12.75">
      <c r="D24841" s="67"/>
      <c r="G24841" s="68"/>
      <c r="K24841" s="68"/>
    </row>
    <row r="24842" spans="4:11" ht="12.75">
      <c r="D24842" s="67"/>
      <c r="G24842" s="68"/>
      <c r="K24842" s="68"/>
    </row>
    <row r="24843" spans="4:11" ht="12.75">
      <c r="D24843" s="67"/>
      <c r="G24843" s="68"/>
      <c r="K24843" s="68"/>
    </row>
    <row r="24844" spans="4:11" ht="12.75">
      <c r="D24844" s="67"/>
      <c r="G24844" s="68"/>
      <c r="K24844" s="68"/>
    </row>
    <row r="24845" spans="4:11" ht="12.75">
      <c r="D24845" s="67"/>
      <c r="G24845" s="68"/>
      <c r="K24845" s="68"/>
    </row>
    <row r="24846" spans="4:11" ht="12.75">
      <c r="D24846" s="67"/>
      <c r="G24846" s="68"/>
      <c r="K24846" s="68"/>
    </row>
    <row r="24847" spans="4:11" ht="12.75">
      <c r="D24847" s="67"/>
      <c r="G24847" s="68"/>
      <c r="K24847" s="68"/>
    </row>
    <row r="24848" spans="4:11" ht="12.75">
      <c r="D24848" s="67"/>
      <c r="G24848" s="68"/>
      <c r="K24848" s="68"/>
    </row>
    <row r="24849" spans="4:11" ht="12.75">
      <c r="D24849" s="67"/>
      <c r="G24849" s="68"/>
      <c r="K24849" s="68"/>
    </row>
    <row r="24850" spans="4:11" ht="12.75">
      <c r="D24850" s="67"/>
      <c r="G24850" s="68"/>
      <c r="K24850" s="68"/>
    </row>
    <row r="24851" spans="4:11" ht="12.75">
      <c r="D24851" s="67"/>
      <c r="G24851" s="68"/>
      <c r="K24851" s="68"/>
    </row>
    <row r="24852" spans="4:11" ht="12.75">
      <c r="D24852" s="67"/>
      <c r="G24852" s="68"/>
      <c r="K24852" s="68"/>
    </row>
    <row r="24853" spans="4:11" ht="12.75">
      <c r="D24853" s="67"/>
      <c r="G24853" s="68"/>
      <c r="K24853" s="68"/>
    </row>
    <row r="24854" spans="4:11" ht="12.75">
      <c r="D24854" s="67"/>
      <c r="G24854" s="68"/>
      <c r="K24854" s="68"/>
    </row>
    <row r="24855" spans="4:11" ht="12.75">
      <c r="D24855" s="67"/>
      <c r="G24855" s="68"/>
      <c r="K24855" s="68"/>
    </row>
    <row r="24856" spans="4:11" ht="12.75">
      <c r="D24856" s="67"/>
      <c r="G24856" s="68"/>
      <c r="K24856" s="68"/>
    </row>
    <row r="24857" spans="4:11" ht="12.75">
      <c r="D24857" s="67"/>
      <c r="G24857" s="68"/>
      <c r="K24857" s="68"/>
    </row>
    <row r="24858" spans="4:11" ht="12.75">
      <c r="D24858" s="67"/>
      <c r="G24858" s="68"/>
      <c r="K24858" s="68"/>
    </row>
    <row r="24859" spans="4:11" ht="12.75">
      <c r="D24859" s="67"/>
      <c r="G24859" s="68"/>
      <c r="K24859" s="68"/>
    </row>
    <row r="24860" spans="4:11" ht="12.75">
      <c r="D24860" s="67"/>
      <c r="G24860" s="68"/>
      <c r="K24860" s="68"/>
    </row>
    <row r="24861" spans="4:11" ht="12.75">
      <c r="D24861" s="67"/>
      <c r="G24861" s="68"/>
      <c r="K24861" s="68"/>
    </row>
    <row r="24862" spans="4:11" ht="12.75">
      <c r="D24862" s="67"/>
      <c r="G24862" s="68"/>
      <c r="K24862" s="68"/>
    </row>
    <row r="24863" spans="4:11" ht="12.75">
      <c r="D24863" s="67"/>
      <c r="G24863" s="68"/>
      <c r="K24863" s="68"/>
    </row>
    <row r="24864" spans="4:11" ht="12.75">
      <c r="D24864" s="67"/>
      <c r="G24864" s="68"/>
      <c r="K24864" s="68"/>
    </row>
    <row r="24865" spans="4:11" ht="12.75">
      <c r="D24865" s="67"/>
      <c r="G24865" s="68"/>
      <c r="K24865" s="68"/>
    </row>
    <row r="24866" spans="4:11" ht="12.75">
      <c r="D24866" s="67"/>
      <c r="G24866" s="68"/>
      <c r="K24866" s="68"/>
    </row>
    <row r="24867" spans="4:11" ht="12.75">
      <c r="D24867" s="67"/>
      <c r="G24867" s="68"/>
      <c r="K24867" s="68"/>
    </row>
    <row r="24868" spans="4:11" ht="12.75">
      <c r="D24868" s="67"/>
      <c r="G24868" s="68"/>
      <c r="K24868" s="68"/>
    </row>
    <row r="24869" spans="4:11" ht="12.75">
      <c r="D24869" s="67"/>
      <c r="G24869" s="68"/>
      <c r="K24869" s="68"/>
    </row>
    <row r="24870" spans="4:11" ht="12.75">
      <c r="D24870" s="67"/>
      <c r="G24870" s="68"/>
      <c r="K24870" s="68"/>
    </row>
    <row r="24871" spans="4:11" ht="12.75">
      <c r="D24871" s="67"/>
      <c r="G24871" s="68"/>
      <c r="K24871" s="68"/>
    </row>
    <row r="24872" spans="4:11" ht="12.75">
      <c r="D24872" s="67"/>
      <c r="G24872" s="68"/>
      <c r="K24872" s="68"/>
    </row>
    <row r="24873" spans="4:11" ht="12.75">
      <c r="D24873" s="67"/>
      <c r="G24873" s="68"/>
      <c r="K24873" s="68"/>
    </row>
    <row r="24874" spans="4:11" ht="12.75">
      <c r="D24874" s="67"/>
      <c r="G24874" s="68"/>
      <c r="K24874" s="68"/>
    </row>
    <row r="24875" spans="4:11" ht="12.75">
      <c r="D24875" s="67"/>
      <c r="G24875" s="68"/>
      <c r="K24875" s="68"/>
    </row>
    <row r="24876" spans="4:11" ht="12.75">
      <c r="D24876" s="67"/>
      <c r="G24876" s="68"/>
      <c r="K24876" s="68"/>
    </row>
    <row r="24877" spans="4:11" ht="12.75">
      <c r="D24877" s="67"/>
      <c r="G24877" s="68"/>
      <c r="K24877" s="68"/>
    </row>
    <row r="24878" spans="4:11" ht="12.75">
      <c r="D24878" s="67"/>
      <c r="G24878" s="68"/>
      <c r="K24878" s="68"/>
    </row>
    <row r="24879" spans="4:11" ht="12.75">
      <c r="D24879" s="67"/>
      <c r="G24879" s="68"/>
      <c r="K24879" s="68"/>
    </row>
    <row r="24880" spans="4:11" ht="12.75">
      <c r="D24880" s="67"/>
      <c r="G24880" s="68"/>
      <c r="K24880" s="68"/>
    </row>
    <row r="24881" spans="4:11" ht="12.75">
      <c r="D24881" s="67"/>
      <c r="G24881" s="68"/>
      <c r="K24881" s="68"/>
    </row>
    <row r="24882" spans="4:11" ht="12.75">
      <c r="D24882" s="67"/>
      <c r="G24882" s="68"/>
      <c r="K24882" s="68"/>
    </row>
    <row r="24883" spans="4:11" ht="12.75">
      <c r="D24883" s="67"/>
      <c r="G24883" s="68"/>
      <c r="K24883" s="68"/>
    </row>
    <row r="24884" spans="4:11" ht="12.75">
      <c r="D24884" s="67"/>
      <c r="G24884" s="68"/>
      <c r="K24884" s="68"/>
    </row>
    <row r="24885" spans="4:11" ht="12.75">
      <c r="D24885" s="67"/>
      <c r="G24885" s="68"/>
      <c r="K24885" s="68"/>
    </row>
    <row r="24886" spans="4:11" ht="12.75">
      <c r="D24886" s="67"/>
      <c r="G24886" s="68"/>
      <c r="K24886" s="68"/>
    </row>
    <row r="24887" spans="4:11" ht="12.75">
      <c r="D24887" s="67"/>
      <c r="G24887" s="68"/>
      <c r="K24887" s="68"/>
    </row>
    <row r="24888" spans="4:11" ht="12.75">
      <c r="D24888" s="67"/>
      <c r="G24888" s="68"/>
      <c r="K24888" s="68"/>
    </row>
    <row r="24889" spans="4:11" ht="12.75">
      <c r="D24889" s="67"/>
      <c r="G24889" s="68"/>
      <c r="K24889" s="68"/>
    </row>
    <row r="24890" spans="4:11" ht="12.75">
      <c r="D24890" s="67"/>
      <c r="G24890" s="68"/>
      <c r="K24890" s="68"/>
    </row>
    <row r="24891" spans="4:11" ht="12.75">
      <c r="D24891" s="67"/>
      <c r="G24891" s="68"/>
      <c r="K24891" s="68"/>
    </row>
    <row r="24892" spans="4:11" ht="12.75">
      <c r="D24892" s="67"/>
      <c r="G24892" s="68"/>
      <c r="K24892" s="68"/>
    </row>
    <row r="24893" spans="4:11" ht="12.75">
      <c r="D24893" s="67"/>
      <c r="G24893" s="68"/>
      <c r="K24893" s="68"/>
    </row>
    <row r="24894" spans="4:11" ht="12.75">
      <c r="D24894" s="67"/>
      <c r="G24894" s="68"/>
      <c r="K24894" s="68"/>
    </row>
    <row r="24895" spans="4:11" ht="12.75">
      <c r="D24895" s="67"/>
      <c r="G24895" s="68"/>
      <c r="K24895" s="68"/>
    </row>
    <row r="24896" spans="4:11" ht="12.75">
      <c r="D24896" s="67"/>
      <c r="G24896" s="68"/>
      <c r="K24896" s="68"/>
    </row>
    <row r="24897" spans="4:11" ht="12.75">
      <c r="D24897" s="67"/>
      <c r="G24897" s="68"/>
      <c r="K24897" s="68"/>
    </row>
    <row r="24898" spans="4:11" ht="12.75">
      <c r="D24898" s="67"/>
      <c r="G24898" s="68"/>
      <c r="K24898" s="68"/>
    </row>
    <row r="24899" spans="4:11" ht="12.75">
      <c r="D24899" s="67"/>
      <c r="G24899" s="68"/>
      <c r="K24899" s="68"/>
    </row>
    <row r="24900" spans="4:11" ht="12.75">
      <c r="D24900" s="67"/>
      <c r="G24900" s="68"/>
      <c r="K24900" s="68"/>
    </row>
    <row r="24901" spans="4:11" ht="12.75">
      <c r="D24901" s="67"/>
      <c r="G24901" s="68"/>
      <c r="K24901" s="68"/>
    </row>
    <row r="24902" spans="4:11" ht="12.75">
      <c r="D24902" s="67"/>
      <c r="G24902" s="68"/>
      <c r="K24902" s="68"/>
    </row>
    <row r="24903" spans="4:11" ht="12.75">
      <c r="D24903" s="67"/>
      <c r="G24903" s="68"/>
      <c r="K24903" s="68"/>
    </row>
    <row r="24904" spans="4:11" ht="12.75">
      <c r="D24904" s="67"/>
      <c r="G24904" s="68"/>
      <c r="K24904" s="68"/>
    </row>
    <row r="24905" spans="4:11" ht="12.75">
      <c r="D24905" s="67"/>
      <c r="G24905" s="68"/>
      <c r="K24905" s="68"/>
    </row>
    <row r="24906" spans="4:11" ht="12.75">
      <c r="D24906" s="67"/>
      <c r="G24906" s="68"/>
      <c r="K24906" s="68"/>
    </row>
    <row r="24907" spans="4:11" ht="12.75">
      <c r="D24907" s="67"/>
      <c r="G24907" s="68"/>
      <c r="K24907" s="68"/>
    </row>
    <row r="24908" spans="4:11" ht="12.75">
      <c r="D24908" s="67"/>
      <c r="G24908" s="68"/>
      <c r="K24908" s="68"/>
    </row>
    <row r="24909" spans="4:11" ht="12.75">
      <c r="D24909" s="67"/>
      <c r="G24909" s="68"/>
      <c r="K24909" s="68"/>
    </row>
    <row r="24910" spans="4:11" ht="12.75">
      <c r="D24910" s="67"/>
      <c r="G24910" s="68"/>
      <c r="K24910" s="68"/>
    </row>
    <row r="24911" spans="4:11" ht="12.75">
      <c r="D24911" s="67"/>
      <c r="G24911" s="68"/>
      <c r="K24911" s="68"/>
    </row>
    <row r="24912" spans="4:11" ht="12.75">
      <c r="D24912" s="67"/>
      <c r="G24912" s="68"/>
      <c r="K24912" s="68"/>
    </row>
    <row r="24913" spans="4:11" ht="12.75">
      <c r="D24913" s="67"/>
      <c r="G24913" s="68"/>
      <c r="K24913" s="68"/>
    </row>
    <row r="24914" spans="4:11" ht="12.75">
      <c r="D24914" s="67"/>
      <c r="G24914" s="68"/>
      <c r="K24914" s="68"/>
    </row>
    <row r="24915" spans="4:11" ht="12.75">
      <c r="D24915" s="67"/>
      <c r="G24915" s="68"/>
      <c r="K24915" s="68"/>
    </row>
    <row r="24916" spans="4:11" ht="12.75">
      <c r="D24916" s="67"/>
      <c r="G24916" s="68"/>
      <c r="K24916" s="68"/>
    </row>
    <row r="24917" spans="4:11" ht="12.75">
      <c r="D24917" s="67"/>
      <c r="G24917" s="68"/>
      <c r="K24917" s="68"/>
    </row>
    <row r="24918" spans="4:11" ht="12.75">
      <c r="D24918" s="67"/>
      <c r="G24918" s="68"/>
      <c r="K24918" s="68"/>
    </row>
    <row r="24919" spans="4:11" ht="12.75">
      <c r="D24919" s="67"/>
      <c r="G24919" s="68"/>
      <c r="K24919" s="68"/>
    </row>
    <row r="24920" spans="4:11" ht="12.75">
      <c r="D24920" s="67"/>
      <c r="G24920" s="68"/>
      <c r="K24920" s="68"/>
    </row>
    <row r="24921" spans="4:11" ht="12.75">
      <c r="D24921" s="67"/>
      <c r="G24921" s="68"/>
      <c r="K24921" s="68"/>
    </row>
    <row r="24922" spans="4:11" ht="12.75">
      <c r="D24922" s="67"/>
      <c r="G24922" s="68"/>
      <c r="K24922" s="68"/>
    </row>
    <row r="24923" spans="4:11" ht="12.75">
      <c r="D24923" s="67"/>
      <c r="G24923" s="68"/>
      <c r="K24923" s="68"/>
    </row>
    <row r="24924" spans="4:11" ht="12.75">
      <c r="D24924" s="67"/>
      <c r="G24924" s="68"/>
      <c r="K24924" s="68"/>
    </row>
    <row r="24925" spans="4:11" ht="12.75">
      <c r="D24925" s="67"/>
      <c r="G24925" s="68"/>
      <c r="K24925" s="68"/>
    </row>
    <row r="24926" spans="4:11" ht="12.75">
      <c r="D24926" s="67"/>
      <c r="G24926" s="68"/>
      <c r="K24926" s="68"/>
    </row>
    <row r="24927" spans="4:11" ht="12.75">
      <c r="D24927" s="67"/>
      <c r="G24927" s="68"/>
      <c r="K24927" s="68"/>
    </row>
    <row r="24928" spans="4:11" ht="12.75">
      <c r="D24928" s="67"/>
      <c r="G24928" s="68"/>
      <c r="K24928" s="68"/>
    </row>
    <row r="24929" spans="4:11" ht="12.75">
      <c r="D24929" s="67"/>
      <c r="G24929" s="68"/>
      <c r="K24929" s="68"/>
    </row>
    <row r="24930" spans="4:11" ht="12.75">
      <c r="D24930" s="67"/>
      <c r="G24930" s="68"/>
      <c r="K24930" s="68"/>
    </row>
    <row r="24931" spans="4:11" ht="12.75">
      <c r="D24931" s="67"/>
      <c r="G24931" s="68"/>
      <c r="K24931" s="68"/>
    </row>
    <row r="24932" spans="4:11" ht="12.75">
      <c r="D24932" s="67"/>
      <c r="G24932" s="68"/>
      <c r="K24932" s="68"/>
    </row>
    <row r="24933" spans="4:11" ht="12.75">
      <c r="D24933" s="67"/>
      <c r="G24933" s="68"/>
      <c r="K24933" s="68"/>
    </row>
    <row r="24934" spans="4:11" ht="12.75">
      <c r="D24934" s="67"/>
      <c r="G24934" s="68"/>
      <c r="K24934" s="68"/>
    </row>
    <row r="24935" spans="4:11" ht="12.75">
      <c r="D24935" s="67"/>
      <c r="G24935" s="68"/>
      <c r="K24935" s="68"/>
    </row>
    <row r="24936" spans="4:11" ht="12.75">
      <c r="D24936" s="67"/>
      <c r="G24936" s="68"/>
      <c r="K24936" s="68"/>
    </row>
    <row r="24937" spans="4:11" ht="12.75">
      <c r="D24937" s="67"/>
      <c r="G24937" s="68"/>
      <c r="K24937" s="68"/>
    </row>
    <row r="24938" spans="4:11" ht="12.75">
      <c r="D24938" s="67"/>
      <c r="G24938" s="68"/>
      <c r="K24938" s="68"/>
    </row>
    <row r="24939" spans="4:11" ht="12.75">
      <c r="D24939" s="67"/>
      <c r="G24939" s="68"/>
      <c r="K24939" s="68"/>
    </row>
    <row r="24940" spans="4:11" ht="12.75">
      <c r="D24940" s="67"/>
      <c r="G24940" s="68"/>
      <c r="K24940" s="68"/>
    </row>
    <row r="24941" spans="4:11" ht="12.75">
      <c r="D24941" s="67"/>
      <c r="G24941" s="68"/>
      <c r="K24941" s="68"/>
    </row>
    <row r="24942" spans="4:11" ht="12.75">
      <c r="D24942" s="67"/>
      <c r="G24942" s="68"/>
      <c r="K24942" s="68"/>
    </row>
    <row r="24943" spans="4:11" ht="12.75">
      <c r="D24943" s="67"/>
      <c r="G24943" s="68"/>
      <c r="K24943" s="68"/>
    </row>
    <row r="24944" spans="4:11" ht="12.75">
      <c r="D24944" s="67"/>
      <c r="G24944" s="68"/>
      <c r="K24944" s="68"/>
    </row>
    <row r="24945" spans="4:11" ht="12.75">
      <c r="D24945" s="67"/>
      <c r="G24945" s="68"/>
      <c r="K24945" s="68"/>
    </row>
    <row r="24946" spans="4:11" ht="12.75">
      <c r="D24946" s="67"/>
      <c r="G24946" s="68"/>
      <c r="K24946" s="68"/>
    </row>
    <row r="24947" spans="4:11" ht="12.75">
      <c r="D24947" s="67"/>
      <c r="G24947" s="68"/>
      <c r="K24947" s="68"/>
    </row>
    <row r="24948" spans="4:11" ht="12.75">
      <c r="D24948" s="67"/>
      <c r="G24948" s="68"/>
      <c r="K24948" s="68"/>
    </row>
    <row r="24949" spans="4:11" ht="12.75">
      <c r="D24949" s="67"/>
      <c r="G24949" s="68"/>
      <c r="K24949" s="68"/>
    </row>
    <row r="24950" spans="4:11" ht="12.75">
      <c r="D24950" s="67"/>
      <c r="G24950" s="68"/>
      <c r="K24950" s="68"/>
    </row>
    <row r="24951" spans="4:11" ht="12.75">
      <c r="D24951" s="67"/>
      <c r="G24951" s="68"/>
      <c r="K24951" s="68"/>
    </row>
    <row r="24952" spans="4:11" ht="12.75">
      <c r="D24952" s="67"/>
      <c r="G24952" s="68"/>
      <c r="K24952" s="68"/>
    </row>
    <row r="24953" spans="4:11" ht="12.75">
      <c r="D24953" s="67"/>
      <c r="G24953" s="68"/>
      <c r="K24953" s="68"/>
    </row>
    <row r="24954" spans="4:11" ht="12.75">
      <c r="D24954" s="67"/>
      <c r="G24954" s="68"/>
      <c r="K24954" s="68"/>
    </row>
    <row r="24955" spans="4:11" ht="12.75">
      <c r="D24955" s="67"/>
      <c r="G24955" s="68"/>
      <c r="K24955" s="68"/>
    </row>
    <row r="24956" spans="4:11" ht="12.75">
      <c r="D24956" s="67"/>
      <c r="G24956" s="68"/>
      <c r="K24956" s="68"/>
    </row>
    <row r="24957" spans="4:11" ht="12.75">
      <c r="D24957" s="67"/>
      <c r="G24957" s="68"/>
      <c r="K24957" s="68"/>
    </row>
    <row r="24958" spans="4:11" ht="12.75">
      <c r="D24958" s="67"/>
      <c r="G24958" s="68"/>
      <c r="K24958" s="68"/>
    </row>
    <row r="24959" spans="4:11" ht="12.75">
      <c r="D24959" s="67"/>
      <c r="G24959" s="68"/>
      <c r="K24959" s="68"/>
    </row>
    <row r="24960" spans="4:11" ht="12.75">
      <c r="D24960" s="67"/>
      <c r="G24960" s="68"/>
      <c r="K24960" s="68"/>
    </row>
    <row r="24961" spans="4:11" ht="12.75">
      <c r="D24961" s="67"/>
      <c r="G24961" s="68"/>
      <c r="K24961" s="68"/>
    </row>
    <row r="24962" spans="4:11" ht="12.75">
      <c r="D24962" s="67"/>
      <c r="G24962" s="68"/>
      <c r="K24962" s="68"/>
    </row>
    <row r="24963" spans="4:11" ht="12.75">
      <c r="D24963" s="67"/>
      <c r="G24963" s="68"/>
      <c r="K24963" s="68"/>
    </row>
    <row r="24964" spans="4:11" ht="12.75">
      <c r="D24964" s="67"/>
      <c r="G24964" s="68"/>
      <c r="K24964" s="68"/>
    </row>
    <row r="24965" spans="4:11" ht="12.75">
      <c r="D24965" s="67"/>
      <c r="G24965" s="68"/>
      <c r="K24965" s="68"/>
    </row>
    <row r="24966" spans="4:11" ht="12.75">
      <c r="D24966" s="67"/>
      <c r="G24966" s="68"/>
      <c r="K24966" s="68"/>
    </row>
    <row r="24967" spans="4:11" ht="12.75">
      <c r="D24967" s="67"/>
      <c r="G24967" s="68"/>
      <c r="K24967" s="68"/>
    </row>
    <row r="24968" spans="4:11" ht="12.75">
      <c r="D24968" s="67"/>
      <c r="G24968" s="68"/>
      <c r="K24968" s="68"/>
    </row>
    <row r="24969" spans="4:11" ht="12.75">
      <c r="D24969" s="67"/>
      <c r="G24969" s="68"/>
      <c r="K24969" s="68"/>
    </row>
    <row r="24970" spans="4:11" ht="12.75">
      <c r="D24970" s="67"/>
      <c r="G24970" s="68"/>
      <c r="K24970" s="68"/>
    </row>
    <row r="24971" spans="4:11" ht="12.75">
      <c r="D24971" s="67"/>
      <c r="G24971" s="68"/>
      <c r="K24971" s="68"/>
    </row>
    <row r="24972" spans="4:11" ht="12.75">
      <c r="D24972" s="67"/>
      <c r="G24972" s="68"/>
      <c r="K24972" s="68"/>
    </row>
    <row r="24973" spans="4:11" ht="12.75">
      <c r="D24973" s="67"/>
      <c r="G24973" s="68"/>
      <c r="K24973" s="68"/>
    </row>
    <row r="24974" spans="4:11" ht="12.75">
      <c r="D24974" s="67"/>
      <c r="G24974" s="68"/>
      <c r="K24974" s="68"/>
    </row>
    <row r="24975" spans="4:11" ht="12.75">
      <c r="D24975" s="67"/>
      <c r="G24975" s="68"/>
      <c r="K24975" s="68"/>
    </row>
    <row r="24976" spans="4:11" ht="12.75">
      <c r="D24976" s="67"/>
      <c r="G24976" s="68"/>
      <c r="K24976" s="68"/>
    </row>
    <row r="24977" spans="4:11" ht="12.75">
      <c r="D24977" s="67"/>
      <c r="G24977" s="68"/>
      <c r="K24977" s="68"/>
    </row>
    <row r="24978" spans="4:11" ht="12.75">
      <c r="D24978" s="67"/>
      <c r="G24978" s="68"/>
      <c r="K24978" s="68"/>
    </row>
    <row r="24979" spans="4:11" ht="12.75">
      <c r="D24979" s="67"/>
      <c r="G24979" s="68"/>
      <c r="K24979" s="68"/>
    </row>
    <row r="24980" spans="4:11" ht="12.75">
      <c r="D24980" s="67"/>
      <c r="G24980" s="68"/>
      <c r="K24980" s="68"/>
    </row>
    <row r="24981" spans="4:11" ht="12.75">
      <c r="D24981" s="67"/>
      <c r="G24981" s="68"/>
      <c r="K24981" s="68"/>
    </row>
    <row r="24982" spans="4:11" ht="12.75">
      <c r="D24982" s="67"/>
      <c r="G24982" s="68"/>
      <c r="K24982" s="68"/>
    </row>
    <row r="24983" spans="4:11" ht="12.75">
      <c r="D24983" s="67"/>
      <c r="G24983" s="68"/>
      <c r="K24983" s="68"/>
    </row>
    <row r="24984" spans="4:11" ht="12.75">
      <c r="D24984" s="67"/>
      <c r="G24984" s="68"/>
      <c r="K24984" s="68"/>
    </row>
    <row r="24985" spans="4:11" ht="12.75">
      <c r="D24985" s="67"/>
      <c r="G24985" s="68"/>
      <c r="K24985" s="68"/>
    </row>
    <row r="24986" spans="4:11" ht="12.75">
      <c r="D24986" s="67"/>
      <c r="G24986" s="68"/>
      <c r="K24986" s="68"/>
    </row>
    <row r="24987" spans="4:11" ht="12.75">
      <c r="D24987" s="67"/>
      <c r="G24987" s="68"/>
      <c r="K24987" s="68"/>
    </row>
    <row r="24988" spans="4:11" ht="12.75">
      <c r="D24988" s="67"/>
      <c r="G24988" s="68"/>
      <c r="K24988" s="68"/>
    </row>
    <row r="24989" spans="4:11" ht="12.75">
      <c r="D24989" s="67"/>
      <c r="G24989" s="68"/>
      <c r="K24989" s="68"/>
    </row>
    <row r="24990" spans="4:11" ht="12.75">
      <c r="D24990" s="67"/>
      <c r="G24990" s="68"/>
      <c r="K24990" s="68"/>
    </row>
    <row r="24991" spans="4:11" ht="12.75">
      <c r="D24991" s="67"/>
      <c r="G24991" s="68"/>
      <c r="K24991" s="68"/>
    </row>
    <row r="24992" spans="4:11" ht="12.75">
      <c r="D24992" s="67"/>
      <c r="G24992" s="68"/>
      <c r="K24992" s="68"/>
    </row>
    <row r="24993" spans="4:11" ht="12.75">
      <c r="D24993" s="67"/>
      <c r="G24993" s="68"/>
      <c r="K24993" s="68"/>
    </row>
    <row r="24994" spans="4:11" ht="12.75">
      <c r="D24994" s="67"/>
      <c r="G24994" s="68"/>
      <c r="K24994" s="68"/>
    </row>
    <row r="24995" spans="4:11" ht="12.75">
      <c r="D24995" s="67"/>
      <c r="G24995" s="68"/>
      <c r="K24995" s="68"/>
    </row>
    <row r="24996" spans="4:11" ht="12.75">
      <c r="D24996" s="67"/>
      <c r="G24996" s="68"/>
      <c r="K24996" s="68"/>
    </row>
    <row r="24997" spans="4:11" ht="12.75">
      <c r="D24997" s="67"/>
      <c r="G24997" s="68"/>
      <c r="K24997" s="68"/>
    </row>
    <row r="24998" spans="4:11" ht="12.75">
      <c r="D24998" s="67"/>
      <c r="G24998" s="68"/>
      <c r="K24998" s="68"/>
    </row>
    <row r="24999" spans="4:11" ht="12.75">
      <c r="D24999" s="67"/>
      <c r="G24999" s="68"/>
      <c r="K24999" s="68"/>
    </row>
    <row r="25000" spans="4:11" ht="12.75">
      <c r="D25000" s="67"/>
      <c r="G25000" s="68"/>
      <c r="K25000" s="68"/>
    </row>
    <row r="25001" spans="4:11" ht="12.75">
      <c r="D25001" s="67"/>
      <c r="G25001" s="68"/>
      <c r="K25001" s="68"/>
    </row>
    <row r="25002" spans="4:11" ht="12.75">
      <c r="D25002" s="67"/>
      <c r="G25002" s="68"/>
      <c r="K25002" s="68"/>
    </row>
    <row r="25003" spans="4:11" ht="12.75">
      <c r="D25003" s="67"/>
      <c r="G25003" s="68"/>
      <c r="K25003" s="68"/>
    </row>
    <row r="25004" spans="4:11" ht="12.75">
      <c r="D25004" s="67"/>
      <c r="G25004" s="68"/>
      <c r="K25004" s="68"/>
    </row>
    <row r="25005" spans="4:11" ht="12.75">
      <c r="D25005" s="67"/>
      <c r="G25005" s="68"/>
      <c r="K25005" s="68"/>
    </row>
    <row r="25006" spans="4:11" ht="12.75">
      <c r="D25006" s="67"/>
      <c r="G25006" s="68"/>
      <c r="K25006" s="68"/>
    </row>
    <row r="25007" spans="4:11" ht="12.75">
      <c r="D25007" s="67"/>
      <c r="G25007" s="68"/>
      <c r="K25007" s="68"/>
    </row>
    <row r="25008" spans="4:11" ht="12.75">
      <c r="D25008" s="67"/>
      <c r="G25008" s="68"/>
      <c r="K25008" s="68"/>
    </row>
    <row r="25009" spans="4:11" ht="12.75">
      <c r="D25009" s="67"/>
      <c r="G25009" s="68"/>
      <c r="K25009" s="68"/>
    </row>
    <row r="25010" spans="4:11" ht="12.75">
      <c r="D25010" s="67"/>
      <c r="G25010" s="68"/>
      <c r="K25010" s="68"/>
    </row>
    <row r="25011" spans="4:11" ht="12.75">
      <c r="D25011" s="67"/>
      <c r="G25011" s="68"/>
      <c r="K25011" s="68"/>
    </row>
    <row r="25012" spans="4:11" ht="12.75">
      <c r="D25012" s="67"/>
      <c r="G25012" s="68"/>
      <c r="K25012" s="68"/>
    </row>
    <row r="25013" spans="4:11" ht="12.75">
      <c r="D25013" s="67"/>
      <c r="G25013" s="68"/>
      <c r="K25013" s="68"/>
    </row>
    <row r="25014" spans="4:11" ht="12.75">
      <c r="D25014" s="67"/>
      <c r="G25014" s="68"/>
      <c r="K25014" s="68"/>
    </row>
    <row r="25015" spans="4:11" ht="12.75">
      <c r="D25015" s="67"/>
      <c r="G25015" s="68"/>
      <c r="K25015" s="68"/>
    </row>
    <row r="25016" spans="4:11" ht="12.75">
      <c r="D25016" s="67"/>
      <c r="G25016" s="68"/>
      <c r="K25016" s="68"/>
    </row>
    <row r="25017" spans="4:11" ht="12.75">
      <c r="D25017" s="67"/>
      <c r="G25017" s="68"/>
      <c r="K25017" s="68"/>
    </row>
    <row r="25018" spans="4:11" ht="12.75">
      <c r="D25018" s="67"/>
      <c r="G25018" s="68"/>
      <c r="K25018" s="68"/>
    </row>
    <row r="25019" spans="4:11" ht="12.75">
      <c r="D25019" s="67"/>
      <c r="G25019" s="68"/>
      <c r="K25019" s="68"/>
    </row>
    <row r="25020" spans="4:11" ht="12.75">
      <c r="D25020" s="67"/>
      <c r="G25020" s="68"/>
      <c r="K25020" s="68"/>
    </row>
    <row r="25021" spans="4:11" ht="12.75">
      <c r="D25021" s="67"/>
      <c r="G25021" s="68"/>
      <c r="K25021" s="68"/>
    </row>
    <row r="25022" spans="4:11" ht="12.75">
      <c r="D25022" s="67"/>
      <c r="G25022" s="68"/>
      <c r="K25022" s="68"/>
    </row>
    <row r="25023" spans="4:11" ht="12.75">
      <c r="D25023" s="67"/>
      <c r="G25023" s="68"/>
      <c r="K25023" s="68"/>
    </row>
    <row r="25024" spans="4:11" ht="12.75">
      <c r="D25024" s="67"/>
      <c r="G25024" s="68"/>
      <c r="K25024" s="68"/>
    </row>
    <row r="25025" spans="4:11" ht="12.75">
      <c r="D25025" s="67"/>
      <c r="G25025" s="68"/>
      <c r="K25025" s="68"/>
    </row>
    <row r="25026" spans="4:11" ht="12.75">
      <c r="D25026" s="67"/>
      <c r="G25026" s="68"/>
      <c r="K25026" s="68"/>
    </row>
    <row r="25027" spans="4:11" ht="12.75">
      <c r="D25027" s="67"/>
      <c r="G25027" s="68"/>
      <c r="K25027" s="68"/>
    </row>
    <row r="25028" spans="4:11" ht="12.75">
      <c r="D25028" s="67"/>
      <c r="G25028" s="68"/>
      <c r="K25028" s="68"/>
    </row>
    <row r="25029" spans="4:11" ht="12.75">
      <c r="D25029" s="67"/>
      <c r="G25029" s="68"/>
      <c r="K25029" s="68"/>
    </row>
    <row r="25030" spans="4:11" ht="12.75">
      <c r="D25030" s="67"/>
      <c r="G25030" s="68"/>
      <c r="K25030" s="68"/>
    </row>
    <row r="25031" spans="4:11" ht="12.75">
      <c r="D25031" s="67"/>
      <c r="G25031" s="68"/>
      <c r="K25031" s="68"/>
    </row>
    <row r="25032" spans="4:11" ht="12.75">
      <c r="D25032" s="67"/>
      <c r="G25032" s="68"/>
      <c r="K25032" s="68"/>
    </row>
    <row r="25033" spans="4:11" ht="12.75">
      <c r="D25033" s="67"/>
      <c r="G25033" s="68"/>
      <c r="K25033" s="68"/>
    </row>
    <row r="25034" spans="4:11" ht="12.75">
      <c r="D25034" s="67"/>
      <c r="G25034" s="68"/>
      <c r="K25034" s="68"/>
    </row>
    <row r="25035" spans="4:11" ht="12.75">
      <c r="D25035" s="67"/>
      <c r="G25035" s="68"/>
      <c r="K25035" s="68"/>
    </row>
    <row r="25036" spans="4:11" ht="12.75">
      <c r="D25036" s="67"/>
      <c r="G25036" s="68"/>
      <c r="K25036" s="68"/>
    </row>
    <row r="25037" spans="4:11" ht="12.75">
      <c r="D25037" s="67"/>
      <c r="G25037" s="68"/>
      <c r="K25037" s="68"/>
    </row>
    <row r="25038" spans="4:11" ht="12.75">
      <c r="D25038" s="67"/>
      <c r="G25038" s="68"/>
      <c r="K25038" s="68"/>
    </row>
    <row r="25039" spans="4:11" ht="12.75">
      <c r="D25039" s="67"/>
      <c r="G25039" s="68"/>
      <c r="K25039" s="68"/>
    </row>
    <row r="25040" spans="4:11" ht="12.75">
      <c r="D25040" s="67"/>
      <c r="G25040" s="68"/>
      <c r="K25040" s="68"/>
    </row>
    <row r="25041" spans="4:11" ht="12.75">
      <c r="D25041" s="67"/>
      <c r="G25041" s="68"/>
      <c r="K25041" s="68"/>
    </row>
    <row r="25042" spans="4:11" ht="12.75">
      <c r="D25042" s="67"/>
      <c r="G25042" s="68"/>
      <c r="K25042" s="68"/>
    </row>
    <row r="25043" spans="4:11" ht="12.75">
      <c r="D25043" s="67"/>
      <c r="G25043" s="68"/>
      <c r="K25043" s="68"/>
    </row>
    <row r="25044" spans="4:11" ht="12.75">
      <c r="D25044" s="67"/>
      <c r="G25044" s="68"/>
      <c r="K25044" s="68"/>
    </row>
    <row r="25045" spans="4:11" ht="12.75">
      <c r="D25045" s="67"/>
      <c r="G25045" s="68"/>
      <c r="K25045" s="68"/>
    </row>
    <row r="25046" spans="4:11" ht="12.75">
      <c r="D25046" s="67"/>
      <c r="G25046" s="68"/>
      <c r="K25046" s="68"/>
    </row>
    <row r="25047" spans="4:11" ht="12.75">
      <c r="D25047" s="67"/>
      <c r="G25047" s="68"/>
      <c r="K25047" s="68"/>
    </row>
    <row r="25048" spans="4:11" ht="12.75">
      <c r="D25048" s="67"/>
      <c r="G25048" s="68"/>
      <c r="K25048" s="68"/>
    </row>
    <row r="25049" spans="4:11" ht="12.75">
      <c r="D25049" s="67"/>
      <c r="G25049" s="68"/>
      <c r="K25049" s="68"/>
    </row>
    <row r="25050" spans="4:11" ht="12.75">
      <c r="D25050" s="67"/>
      <c r="G25050" s="68"/>
      <c r="K25050" s="68"/>
    </row>
    <row r="25051" spans="4:11" ht="12.75">
      <c r="D25051" s="67"/>
      <c r="G25051" s="68"/>
      <c r="K25051" s="68"/>
    </row>
    <row r="25052" spans="4:11" ht="12.75">
      <c r="D25052" s="67"/>
      <c r="G25052" s="68"/>
      <c r="K25052" s="68"/>
    </row>
    <row r="25053" spans="4:11" ht="12.75">
      <c r="D25053" s="67"/>
      <c r="G25053" s="68"/>
      <c r="K25053" s="68"/>
    </row>
    <row r="25054" spans="4:11" ht="12.75">
      <c r="D25054" s="67"/>
      <c r="G25054" s="68"/>
      <c r="K25054" s="68"/>
    </row>
    <row r="25055" spans="4:11" ht="12.75">
      <c r="D25055" s="67"/>
      <c r="G25055" s="68"/>
      <c r="K25055" s="68"/>
    </row>
    <row r="25056" spans="4:11" ht="12.75">
      <c r="D25056" s="67"/>
      <c r="G25056" s="68"/>
      <c r="K25056" s="68"/>
    </row>
    <row r="25057" spans="4:11" ht="12.75">
      <c r="D25057" s="67"/>
      <c r="G25057" s="68"/>
      <c r="K25057" s="68"/>
    </row>
    <row r="25058" spans="4:11" ht="12.75">
      <c r="D25058" s="67"/>
      <c r="G25058" s="68"/>
      <c r="K25058" s="68"/>
    </row>
    <row r="25059" spans="4:11" ht="12.75">
      <c r="D25059" s="67"/>
      <c r="G25059" s="68"/>
      <c r="K25059" s="68"/>
    </row>
    <row r="25060" spans="4:11" ht="12.75">
      <c r="D25060" s="67"/>
      <c r="G25060" s="68"/>
      <c r="K25060" s="68"/>
    </row>
    <row r="25061" spans="4:11" ht="12.75">
      <c r="D25061" s="67"/>
      <c r="G25061" s="68"/>
      <c r="K25061" s="68"/>
    </row>
    <row r="25062" spans="4:11" ht="12.75">
      <c r="D25062" s="67"/>
      <c r="G25062" s="68"/>
      <c r="K25062" s="68"/>
    </row>
    <row r="25063" spans="4:11" ht="12.75">
      <c r="D25063" s="67"/>
      <c r="G25063" s="68"/>
      <c r="K25063" s="68"/>
    </row>
    <row r="25064" spans="4:11" ht="12.75">
      <c r="D25064" s="67"/>
      <c r="G25064" s="68"/>
      <c r="K25064" s="68"/>
    </row>
    <row r="25065" spans="4:11" ht="12.75">
      <c r="D25065" s="67"/>
      <c r="G25065" s="68"/>
      <c r="K25065" s="68"/>
    </row>
    <row r="25066" spans="4:11" ht="12.75">
      <c r="D25066" s="67"/>
      <c r="G25066" s="68"/>
      <c r="K25066" s="68"/>
    </row>
    <row r="25067" spans="4:11" ht="12.75">
      <c r="D25067" s="67"/>
      <c r="G25067" s="68"/>
      <c r="K25067" s="68"/>
    </row>
    <row r="25068" spans="4:11" ht="12.75">
      <c r="D25068" s="67"/>
      <c r="G25068" s="68"/>
      <c r="K25068" s="68"/>
    </row>
    <row r="25069" spans="4:11" ht="12.75">
      <c r="D25069" s="67"/>
      <c r="G25069" s="68"/>
      <c r="K25069" s="68"/>
    </row>
    <row r="25070" spans="4:11" ht="12.75">
      <c r="D25070" s="67"/>
      <c r="G25070" s="68"/>
      <c r="K25070" s="68"/>
    </row>
    <row r="25071" spans="4:11" ht="12.75">
      <c r="D25071" s="67"/>
      <c r="G25071" s="68"/>
      <c r="K25071" s="68"/>
    </row>
    <row r="25072" spans="4:11" ht="12.75">
      <c r="D25072" s="67"/>
      <c r="G25072" s="68"/>
      <c r="K25072" s="68"/>
    </row>
    <row r="25073" spans="4:11" ht="12.75">
      <c r="D25073" s="67"/>
      <c r="G25073" s="68"/>
      <c r="K25073" s="68"/>
    </row>
    <row r="25074" spans="4:11" ht="12.75">
      <c r="D25074" s="67"/>
      <c r="G25074" s="68"/>
      <c r="K25074" s="68"/>
    </row>
    <row r="25075" spans="4:11" ht="12.75">
      <c r="D25075" s="67"/>
      <c r="G25075" s="68"/>
      <c r="K25075" s="68"/>
    </row>
    <row r="25076" spans="4:11" ht="12.75">
      <c r="D25076" s="67"/>
      <c r="G25076" s="68"/>
      <c r="K25076" s="68"/>
    </row>
    <row r="25077" spans="4:11" ht="12.75">
      <c r="D25077" s="67"/>
      <c r="G25077" s="68"/>
      <c r="K25077" s="68"/>
    </row>
    <row r="25078" spans="4:11" ht="12.75">
      <c r="D25078" s="67"/>
      <c r="G25078" s="68"/>
      <c r="K25078" s="68"/>
    </row>
    <row r="25079" spans="4:11" ht="12.75">
      <c r="D25079" s="67"/>
      <c r="G25079" s="68"/>
      <c r="K25079" s="68"/>
    </row>
    <row r="25080" spans="4:11" ht="12.75">
      <c r="D25080" s="67"/>
      <c r="G25080" s="68"/>
      <c r="K25080" s="68"/>
    </row>
    <row r="25081" spans="4:11" ht="12.75">
      <c r="D25081" s="67"/>
      <c r="G25081" s="68"/>
      <c r="K25081" s="68"/>
    </row>
    <row r="25082" spans="4:11" ht="12.75">
      <c r="D25082" s="67"/>
      <c r="G25082" s="68"/>
      <c r="K25082" s="68"/>
    </row>
    <row r="25083" spans="4:11" ht="12.75">
      <c r="D25083" s="67"/>
      <c r="G25083" s="68"/>
      <c r="K25083" s="68"/>
    </row>
    <row r="25084" spans="4:11" ht="12.75">
      <c r="D25084" s="67"/>
      <c r="G25084" s="68"/>
      <c r="K25084" s="68"/>
    </row>
    <row r="25085" spans="4:11" ht="12.75">
      <c r="D25085" s="67"/>
      <c r="G25085" s="68"/>
      <c r="K25085" s="68"/>
    </row>
    <row r="25086" spans="4:11" ht="12.75">
      <c r="D25086" s="67"/>
      <c r="G25086" s="68"/>
      <c r="K25086" s="68"/>
    </row>
    <row r="25087" spans="4:11" ht="12.75">
      <c r="D25087" s="67"/>
      <c r="G25087" s="68"/>
      <c r="K25087" s="68"/>
    </row>
    <row r="25088" spans="4:11" ht="12.75">
      <c r="D25088" s="67"/>
      <c r="G25088" s="68"/>
      <c r="K25088" s="68"/>
    </row>
    <row r="25089" spans="4:11" ht="12.75">
      <c r="D25089" s="67"/>
      <c r="G25089" s="68"/>
      <c r="K25089" s="68"/>
    </row>
    <row r="25090" spans="4:11" ht="12.75">
      <c r="D25090" s="67"/>
      <c r="G25090" s="68"/>
      <c r="K25090" s="68"/>
    </row>
    <row r="25091" spans="4:11" ht="12.75">
      <c r="D25091" s="67"/>
      <c r="G25091" s="68"/>
      <c r="K25091" s="68"/>
    </row>
    <row r="25092" spans="4:11" ht="12.75">
      <c r="D25092" s="67"/>
      <c r="G25092" s="68"/>
      <c r="K25092" s="68"/>
    </row>
    <row r="25093" spans="4:11" ht="12.75">
      <c r="D25093" s="67"/>
      <c r="G25093" s="68"/>
      <c r="K25093" s="68"/>
    </row>
    <row r="25094" spans="4:11" ht="12.75">
      <c r="D25094" s="67"/>
      <c r="G25094" s="68"/>
      <c r="K25094" s="68"/>
    </row>
    <row r="25095" spans="4:11" ht="12.75">
      <c r="D25095" s="67"/>
      <c r="G25095" s="68"/>
      <c r="K25095" s="68"/>
    </row>
    <row r="25096" spans="4:11" ht="12.75">
      <c r="D25096" s="67"/>
      <c r="G25096" s="68"/>
      <c r="K25096" s="68"/>
    </row>
    <row r="25097" spans="4:11" ht="12.75">
      <c r="D25097" s="67"/>
      <c r="G25097" s="68"/>
      <c r="K25097" s="68"/>
    </row>
    <row r="25098" spans="4:11" ht="12.75">
      <c r="D25098" s="67"/>
      <c r="G25098" s="68"/>
      <c r="K25098" s="68"/>
    </row>
    <row r="25099" spans="4:11" ht="12.75">
      <c r="D25099" s="67"/>
      <c r="G25099" s="68"/>
      <c r="K25099" s="68"/>
    </row>
    <row r="25100" spans="4:11" ht="12.75">
      <c r="D25100" s="67"/>
      <c r="G25100" s="68"/>
      <c r="K25100" s="68"/>
    </row>
    <row r="25101" spans="4:11" ht="12.75">
      <c r="D25101" s="67"/>
      <c r="G25101" s="68"/>
      <c r="K25101" s="68"/>
    </row>
    <row r="25102" spans="4:11" ht="12.75">
      <c r="D25102" s="67"/>
      <c r="G25102" s="68"/>
      <c r="K25102" s="68"/>
    </row>
    <row r="25103" spans="4:11" ht="12.75">
      <c r="D25103" s="67"/>
      <c r="G25103" s="68"/>
      <c r="K25103" s="68"/>
    </row>
    <row r="25104" spans="4:11" ht="12.75">
      <c r="D25104" s="67"/>
      <c r="G25104" s="68"/>
      <c r="K25104" s="68"/>
    </row>
    <row r="25105" spans="4:11" ht="12.75">
      <c r="D25105" s="67"/>
      <c r="G25105" s="68"/>
      <c r="K25105" s="68"/>
    </row>
    <row r="25106" spans="4:11" ht="12.75">
      <c r="D25106" s="67"/>
      <c r="G25106" s="68"/>
      <c r="K25106" s="68"/>
    </row>
    <row r="25107" spans="4:11" ht="12.75">
      <c r="D25107" s="67"/>
      <c r="G25107" s="68"/>
      <c r="K25107" s="68"/>
    </row>
    <row r="25108" spans="4:11" ht="12.75">
      <c r="D25108" s="67"/>
      <c r="G25108" s="68"/>
      <c r="K25108" s="68"/>
    </row>
    <row r="25109" spans="4:11" ht="12.75">
      <c r="D25109" s="67"/>
      <c r="G25109" s="68"/>
      <c r="K25109" s="68"/>
    </row>
    <row r="25110" spans="4:11" ht="12.75">
      <c r="D25110" s="67"/>
      <c r="G25110" s="68"/>
      <c r="K25110" s="68"/>
    </row>
    <row r="25111" spans="4:11" ht="12.75">
      <c r="D25111" s="67"/>
      <c r="G25111" s="68"/>
      <c r="K25111" s="68"/>
    </row>
    <row r="25112" spans="4:11" ht="12.75">
      <c r="D25112" s="67"/>
      <c r="G25112" s="68"/>
      <c r="K25112" s="68"/>
    </row>
    <row r="25113" spans="4:11" ht="12.75">
      <c r="D25113" s="67"/>
      <c r="G25113" s="68"/>
      <c r="K25113" s="68"/>
    </row>
    <row r="25114" spans="4:11" ht="12.75">
      <c r="D25114" s="67"/>
      <c r="G25114" s="68"/>
      <c r="K25114" s="68"/>
    </row>
    <row r="25115" spans="4:11" ht="12.75">
      <c r="D25115" s="67"/>
      <c r="G25115" s="68"/>
      <c r="K25115" s="68"/>
    </row>
    <row r="25116" spans="4:11" ht="12.75">
      <c r="D25116" s="67"/>
      <c r="G25116" s="68"/>
      <c r="K25116" s="68"/>
    </row>
    <row r="25117" spans="4:11" ht="12.75">
      <c r="D25117" s="67"/>
      <c r="G25117" s="68"/>
      <c r="K25117" s="68"/>
    </row>
    <row r="25118" spans="4:11" ht="12.75">
      <c r="D25118" s="67"/>
      <c r="G25118" s="68"/>
      <c r="K25118" s="68"/>
    </row>
    <row r="25119" spans="4:11" ht="12.75">
      <c r="D25119" s="67"/>
      <c r="G25119" s="68"/>
      <c r="K25119" s="68"/>
    </row>
    <row r="25120" spans="4:11" ht="12.75">
      <c r="D25120" s="67"/>
      <c r="G25120" s="68"/>
      <c r="K25120" s="68"/>
    </row>
    <row r="25121" spans="4:11" ht="12.75">
      <c r="D25121" s="67"/>
      <c r="G25121" s="68"/>
      <c r="K25121" s="68"/>
    </row>
    <row r="25122" spans="4:11" ht="12.75">
      <c r="D25122" s="67"/>
      <c r="G25122" s="68"/>
      <c r="K25122" s="68"/>
    </row>
    <row r="25123" spans="4:11" ht="12.75">
      <c r="D25123" s="67"/>
      <c r="G25123" s="68"/>
      <c r="K25123" s="68"/>
    </row>
    <row r="25124" spans="4:11" ht="12.75">
      <c r="D25124" s="67"/>
      <c r="G25124" s="68"/>
      <c r="K25124" s="68"/>
    </row>
    <row r="25125" spans="4:11" ht="12.75">
      <c r="D25125" s="67"/>
      <c r="G25125" s="68"/>
      <c r="K25125" s="68"/>
    </row>
    <row r="25126" spans="4:11" ht="12.75">
      <c r="D25126" s="67"/>
      <c r="G25126" s="68"/>
      <c r="K25126" s="68"/>
    </row>
    <row r="25127" spans="4:11" ht="12.75">
      <c r="D25127" s="67"/>
      <c r="G25127" s="68"/>
      <c r="K25127" s="68"/>
    </row>
    <row r="25128" spans="4:11" ht="12.75">
      <c r="D25128" s="67"/>
      <c r="G25128" s="68"/>
      <c r="K25128" s="68"/>
    </row>
    <row r="25129" spans="4:11" ht="12.75">
      <c r="D25129" s="67"/>
      <c r="G25129" s="68"/>
      <c r="K25129" s="68"/>
    </row>
    <row r="25130" spans="4:11" ht="12.75">
      <c r="D25130" s="67"/>
      <c r="G25130" s="68"/>
      <c r="K25130" s="68"/>
    </row>
    <row r="25131" spans="4:11" ht="12.75">
      <c r="D25131" s="67"/>
      <c r="G25131" s="68"/>
      <c r="K25131" s="68"/>
    </row>
    <row r="25132" spans="4:11" ht="12.75">
      <c r="D25132" s="67"/>
      <c r="G25132" s="68"/>
      <c r="K25132" s="68"/>
    </row>
    <row r="25133" spans="4:11" ht="12.75">
      <c r="D25133" s="67"/>
      <c r="G25133" s="68"/>
      <c r="K25133" s="68"/>
    </row>
    <row r="25134" spans="4:11" ht="12.75">
      <c r="D25134" s="67"/>
      <c r="G25134" s="68"/>
      <c r="K25134" s="68"/>
    </row>
    <row r="25135" spans="4:11" ht="12.75">
      <c r="D25135" s="67"/>
      <c r="G25135" s="68"/>
      <c r="K25135" s="68"/>
    </row>
    <row r="25136" spans="4:11" ht="12.75">
      <c r="D25136" s="67"/>
      <c r="G25136" s="68"/>
      <c r="K25136" s="68"/>
    </row>
    <row r="25137" spans="4:11" ht="12.75">
      <c r="D25137" s="67"/>
      <c r="G25137" s="68"/>
      <c r="K25137" s="68"/>
    </row>
    <row r="25138" spans="4:11" ht="12.75">
      <c r="D25138" s="67"/>
      <c r="G25138" s="68"/>
      <c r="K25138" s="68"/>
    </row>
    <row r="25139" spans="4:11" ht="12.75">
      <c r="D25139" s="67"/>
      <c r="G25139" s="68"/>
      <c r="K25139" s="68"/>
    </row>
    <row r="25140" spans="4:11" ht="12.75">
      <c r="D25140" s="67"/>
      <c r="G25140" s="68"/>
      <c r="K25140" s="68"/>
    </row>
    <row r="25141" spans="4:11" ht="12.75">
      <c r="D25141" s="67"/>
      <c r="G25141" s="68"/>
      <c r="K25141" s="68"/>
    </row>
    <row r="25142" spans="4:11" ht="12.75">
      <c r="D25142" s="67"/>
      <c r="G25142" s="68"/>
      <c r="K25142" s="68"/>
    </row>
    <row r="25143" spans="4:11" ht="12.75">
      <c r="D25143" s="67"/>
      <c r="G25143" s="68"/>
      <c r="K25143" s="68"/>
    </row>
    <row r="25144" spans="4:11" ht="12.75">
      <c r="D25144" s="67"/>
      <c r="G25144" s="68"/>
      <c r="K25144" s="68"/>
    </row>
    <row r="25145" spans="4:11" ht="12.75">
      <c r="D25145" s="67"/>
      <c r="G25145" s="68"/>
      <c r="K25145" s="68"/>
    </row>
    <row r="25146" spans="4:11" ht="12.75">
      <c r="D25146" s="67"/>
      <c r="G25146" s="68"/>
      <c r="K25146" s="68"/>
    </row>
    <row r="25147" spans="4:11" ht="12.75">
      <c r="D25147" s="67"/>
      <c r="G25147" s="68"/>
      <c r="K25147" s="68"/>
    </row>
    <row r="25148" spans="4:11" ht="12.75">
      <c r="D25148" s="67"/>
      <c r="G25148" s="68"/>
      <c r="K25148" s="68"/>
    </row>
    <row r="25149" spans="4:11" ht="12.75">
      <c r="D25149" s="67"/>
      <c r="G25149" s="68"/>
      <c r="K25149" s="68"/>
    </row>
    <row r="25150" spans="4:11" ht="12.75">
      <c r="D25150" s="67"/>
      <c r="G25150" s="68"/>
      <c r="K25150" s="68"/>
    </row>
    <row r="25151" spans="4:11" ht="12.75">
      <c r="D25151" s="67"/>
      <c r="G25151" s="68"/>
      <c r="K25151" s="68"/>
    </row>
    <row r="25152" spans="4:11" ht="12.75">
      <c r="D25152" s="67"/>
      <c r="G25152" s="68"/>
      <c r="K25152" s="68"/>
    </row>
    <row r="25153" spans="4:11" ht="12.75">
      <c r="D25153" s="67"/>
      <c r="G25153" s="68"/>
      <c r="K25153" s="68"/>
    </row>
    <row r="25154" spans="4:11" ht="12.75">
      <c r="D25154" s="67"/>
      <c r="G25154" s="68"/>
      <c r="K25154" s="68"/>
    </row>
    <row r="25155" spans="4:11" ht="12.75">
      <c r="D25155" s="67"/>
      <c r="G25155" s="68"/>
      <c r="K25155" s="68"/>
    </row>
    <row r="25156" spans="4:11" ht="12.75">
      <c r="D25156" s="67"/>
      <c r="G25156" s="68"/>
      <c r="K25156" s="68"/>
    </row>
    <row r="25157" spans="4:11" ht="12.75">
      <c r="D25157" s="67"/>
      <c r="G25157" s="68"/>
      <c r="K25157" s="68"/>
    </row>
    <row r="25158" spans="4:11" ht="12.75">
      <c r="D25158" s="67"/>
      <c r="G25158" s="68"/>
      <c r="K25158" s="68"/>
    </row>
    <row r="25159" spans="4:11" ht="12.75">
      <c r="D25159" s="67"/>
      <c r="G25159" s="68"/>
      <c r="K25159" s="68"/>
    </row>
    <row r="25160" spans="4:11" ht="12.75">
      <c r="D25160" s="67"/>
      <c r="G25160" s="68"/>
      <c r="K25160" s="68"/>
    </row>
    <row r="25161" spans="4:11" ht="12.75">
      <c r="D25161" s="67"/>
      <c r="G25161" s="68"/>
      <c r="K25161" s="68"/>
    </row>
    <row r="25162" spans="4:11" ht="12.75">
      <c r="D25162" s="67"/>
      <c r="G25162" s="68"/>
      <c r="K25162" s="68"/>
    </row>
    <row r="25163" spans="4:11" ht="12.75">
      <c r="D25163" s="67"/>
      <c r="G25163" s="68"/>
      <c r="K25163" s="68"/>
    </row>
    <row r="25164" spans="4:11" ht="12.75">
      <c r="D25164" s="67"/>
      <c r="G25164" s="68"/>
      <c r="K25164" s="68"/>
    </row>
    <row r="25165" spans="4:11" ht="12.75">
      <c r="D25165" s="67"/>
      <c r="G25165" s="68"/>
      <c r="K25165" s="68"/>
    </row>
    <row r="25166" spans="4:11" ht="12.75">
      <c r="D25166" s="67"/>
      <c r="G25166" s="68"/>
      <c r="K25166" s="68"/>
    </row>
    <row r="25167" spans="4:11" ht="12.75">
      <c r="D25167" s="67"/>
      <c r="G25167" s="68"/>
      <c r="K25167" s="68"/>
    </row>
    <row r="25168" spans="4:11" ht="12.75">
      <c r="D25168" s="67"/>
      <c r="G25168" s="68"/>
      <c r="K25168" s="68"/>
    </row>
    <row r="25169" spans="4:11" ht="12.75">
      <c r="D25169" s="67"/>
      <c r="G25169" s="68"/>
      <c r="K25169" s="68"/>
    </row>
    <row r="25170" spans="4:11" ht="12.75">
      <c r="D25170" s="67"/>
      <c r="G25170" s="68"/>
      <c r="K25170" s="68"/>
    </row>
    <row r="25171" spans="4:11" ht="12.75">
      <c r="D25171" s="67"/>
      <c r="G25171" s="68"/>
      <c r="K25171" s="68"/>
    </row>
    <row r="25172" spans="4:11" ht="12.75">
      <c r="D25172" s="67"/>
      <c r="G25172" s="68"/>
      <c r="K25172" s="68"/>
    </row>
    <row r="25173" spans="4:11" ht="12.75">
      <c r="D25173" s="67"/>
      <c r="G25173" s="68"/>
      <c r="K25173" s="68"/>
    </row>
    <row r="25174" spans="4:11" ht="12.75">
      <c r="D25174" s="67"/>
      <c r="G25174" s="68"/>
      <c r="K25174" s="68"/>
    </row>
    <row r="25175" spans="4:11" ht="12.75">
      <c r="D25175" s="67"/>
      <c r="G25175" s="68"/>
      <c r="K25175" s="68"/>
    </row>
    <row r="25176" spans="4:11" ht="12.75">
      <c r="D25176" s="67"/>
      <c r="G25176" s="68"/>
      <c r="K25176" s="68"/>
    </row>
    <row r="25177" spans="4:11" ht="12.75">
      <c r="D25177" s="67"/>
      <c r="G25177" s="68"/>
      <c r="K25177" s="68"/>
    </row>
    <row r="25178" spans="4:11" ht="12.75">
      <c r="D25178" s="67"/>
      <c r="G25178" s="68"/>
      <c r="K25178" s="68"/>
    </row>
    <row r="25179" spans="4:11" ht="12.75">
      <c r="D25179" s="67"/>
      <c r="G25179" s="68"/>
      <c r="K25179" s="68"/>
    </row>
    <row r="25180" spans="4:11" ht="12.75">
      <c r="D25180" s="67"/>
      <c r="G25180" s="68"/>
      <c r="K25180" s="68"/>
    </row>
    <row r="25181" spans="4:11" ht="12.75">
      <c r="D25181" s="67"/>
      <c r="G25181" s="68"/>
      <c r="K25181" s="68"/>
    </row>
    <row r="25182" spans="4:11" ht="12.75">
      <c r="D25182" s="67"/>
      <c r="G25182" s="68"/>
      <c r="K25182" s="68"/>
    </row>
    <row r="25183" spans="4:11" ht="12.75">
      <c r="D25183" s="67"/>
      <c r="G25183" s="68"/>
      <c r="K25183" s="68"/>
    </row>
    <row r="25184" spans="4:11" ht="12.75">
      <c r="D25184" s="67"/>
      <c r="G25184" s="68"/>
      <c r="K25184" s="68"/>
    </row>
    <row r="25185" spans="4:11" ht="12.75">
      <c r="D25185" s="67"/>
      <c r="G25185" s="68"/>
      <c r="K25185" s="68"/>
    </row>
    <row r="25186" spans="4:11" ht="12.75">
      <c r="D25186" s="67"/>
      <c r="G25186" s="68"/>
      <c r="K25186" s="68"/>
    </row>
    <row r="25187" spans="4:11" ht="12.75">
      <c r="D25187" s="67"/>
      <c r="G25187" s="68"/>
      <c r="K25187" s="68"/>
    </row>
    <row r="25188" spans="4:11" ht="12.75">
      <c r="D25188" s="67"/>
      <c r="G25188" s="68"/>
      <c r="K25188" s="68"/>
    </row>
    <row r="25189" spans="4:11" ht="12.75">
      <c r="D25189" s="67"/>
      <c r="G25189" s="68"/>
      <c r="K25189" s="68"/>
    </row>
    <row r="25190" spans="4:11" ht="12.75">
      <c r="D25190" s="67"/>
      <c r="G25190" s="68"/>
      <c r="K25190" s="68"/>
    </row>
    <row r="25191" spans="4:11" ht="12.75">
      <c r="D25191" s="67"/>
      <c r="G25191" s="68"/>
      <c r="K25191" s="68"/>
    </row>
    <row r="25192" spans="4:11" ht="12.75">
      <c r="D25192" s="67"/>
      <c r="G25192" s="68"/>
      <c r="K25192" s="68"/>
    </row>
    <row r="25193" spans="4:11" ht="12.75">
      <c r="D25193" s="67"/>
      <c r="G25193" s="68"/>
      <c r="K25193" s="68"/>
    </row>
    <row r="25194" spans="4:11" ht="12.75">
      <c r="D25194" s="67"/>
      <c r="G25194" s="68"/>
      <c r="K25194" s="68"/>
    </row>
    <row r="25195" spans="4:11" ht="12.75">
      <c r="D25195" s="67"/>
      <c r="G25195" s="68"/>
      <c r="K25195" s="68"/>
    </row>
    <row r="25196" spans="4:11" ht="12.75">
      <c r="D25196" s="67"/>
      <c r="G25196" s="68"/>
      <c r="K25196" s="68"/>
    </row>
    <row r="25197" spans="4:11" ht="12.75">
      <c r="D25197" s="67"/>
      <c r="G25197" s="68"/>
      <c r="K25197" s="68"/>
    </row>
    <row r="25198" spans="4:11" ht="12.75">
      <c r="D25198" s="67"/>
      <c r="G25198" s="68"/>
      <c r="K25198" s="68"/>
    </row>
    <row r="25199" spans="4:11" ht="12.75">
      <c r="D25199" s="67"/>
      <c r="G25199" s="68"/>
      <c r="K25199" s="68"/>
    </row>
    <row r="25200" spans="4:11" ht="12.75">
      <c r="D25200" s="67"/>
      <c r="G25200" s="68"/>
      <c r="K25200" s="68"/>
    </row>
    <row r="25201" spans="4:11" ht="12.75">
      <c r="D25201" s="67"/>
      <c r="G25201" s="68"/>
      <c r="K25201" s="68"/>
    </row>
    <row r="25202" spans="4:11" ht="12.75">
      <c r="D25202" s="67"/>
      <c r="G25202" s="68"/>
      <c r="K25202" s="68"/>
    </row>
    <row r="25203" spans="4:11" ht="12.75">
      <c r="D25203" s="67"/>
      <c r="G25203" s="68"/>
      <c r="K25203" s="68"/>
    </row>
    <row r="25204" spans="4:11" ht="12.75">
      <c r="D25204" s="67"/>
      <c r="G25204" s="68"/>
      <c r="K25204" s="68"/>
    </row>
    <row r="25205" spans="4:11" ht="12.75">
      <c r="D25205" s="67"/>
      <c r="G25205" s="68"/>
      <c r="K25205" s="68"/>
    </row>
    <row r="25206" spans="4:11" ht="12.75">
      <c r="D25206" s="67"/>
      <c r="G25206" s="68"/>
      <c r="K25206" s="68"/>
    </row>
    <row r="25207" spans="4:11" ht="12.75">
      <c r="D25207" s="67"/>
      <c r="G25207" s="68"/>
      <c r="K25207" s="68"/>
    </row>
    <row r="25208" spans="4:11" ht="12.75">
      <c r="D25208" s="67"/>
      <c r="G25208" s="68"/>
      <c r="K25208" s="68"/>
    </row>
    <row r="25209" spans="4:11" ht="12.75">
      <c r="D25209" s="67"/>
      <c r="G25209" s="68"/>
      <c r="K25209" s="68"/>
    </row>
    <row r="25210" spans="4:11" ht="12.75">
      <c r="D25210" s="67"/>
      <c r="G25210" s="68"/>
      <c r="K25210" s="68"/>
    </row>
    <row r="25211" spans="4:11" ht="12.75">
      <c r="D25211" s="67"/>
      <c r="G25211" s="68"/>
      <c r="K25211" s="68"/>
    </row>
    <row r="25212" spans="4:11" ht="12.75">
      <c r="D25212" s="67"/>
      <c r="G25212" s="68"/>
      <c r="K25212" s="68"/>
    </row>
    <row r="25213" spans="4:11" ht="12.75">
      <c r="D25213" s="67"/>
      <c r="G25213" s="68"/>
      <c r="K25213" s="68"/>
    </row>
    <row r="25214" spans="4:11" ht="12.75">
      <c r="D25214" s="67"/>
      <c r="G25214" s="68"/>
      <c r="K25214" s="68"/>
    </row>
    <row r="25215" spans="4:11" ht="12.75">
      <c r="D25215" s="67"/>
      <c r="G25215" s="68"/>
      <c r="K25215" s="68"/>
    </row>
    <row r="25216" spans="4:11" ht="12.75">
      <c r="D25216" s="67"/>
      <c r="G25216" s="68"/>
      <c r="K25216" s="68"/>
    </row>
    <row r="25217" spans="4:11" ht="12.75">
      <c r="D25217" s="67"/>
      <c r="G25217" s="68"/>
      <c r="K25217" s="68"/>
    </row>
    <row r="25218" spans="4:11" ht="12.75">
      <c r="D25218" s="67"/>
      <c r="G25218" s="68"/>
      <c r="K25218" s="68"/>
    </row>
    <row r="25219" spans="4:11" ht="12.75">
      <c r="D25219" s="67"/>
      <c r="G25219" s="68"/>
      <c r="K25219" s="68"/>
    </row>
    <row r="25220" spans="4:11" ht="12.75">
      <c r="D25220" s="67"/>
      <c r="G25220" s="68"/>
      <c r="K25220" s="68"/>
    </row>
    <row r="25221" spans="4:11" ht="12.75">
      <c r="D25221" s="67"/>
      <c r="G25221" s="68"/>
      <c r="K25221" s="68"/>
    </row>
    <row r="25222" spans="4:11" ht="12.75">
      <c r="D25222" s="67"/>
      <c r="G25222" s="68"/>
      <c r="K25222" s="68"/>
    </row>
    <row r="25223" spans="4:11" ht="12.75">
      <c r="D25223" s="67"/>
      <c r="G25223" s="68"/>
      <c r="K25223" s="68"/>
    </row>
    <row r="25224" spans="4:11" ht="12.75">
      <c r="D25224" s="67"/>
      <c r="G25224" s="68"/>
      <c r="K25224" s="68"/>
    </row>
    <row r="25225" spans="4:11" ht="12.75">
      <c r="D25225" s="67"/>
      <c r="G25225" s="68"/>
      <c r="K25225" s="68"/>
    </row>
    <row r="25226" spans="4:11" ht="12.75">
      <c r="D25226" s="67"/>
      <c r="G25226" s="68"/>
      <c r="K25226" s="68"/>
    </row>
    <row r="25227" spans="4:11" ht="12.75">
      <c r="D25227" s="67"/>
      <c r="G25227" s="68"/>
      <c r="K25227" s="68"/>
    </row>
    <row r="25228" spans="4:11" ht="12.75">
      <c r="D25228" s="67"/>
      <c r="G25228" s="68"/>
      <c r="K25228" s="68"/>
    </row>
    <row r="25229" spans="4:11" ht="12.75">
      <c r="D25229" s="67"/>
      <c r="G25229" s="68"/>
      <c r="K25229" s="68"/>
    </row>
    <row r="25230" spans="4:11" ht="12.75">
      <c r="D25230" s="67"/>
      <c r="G25230" s="68"/>
      <c r="K25230" s="68"/>
    </row>
    <row r="25231" spans="4:11" ht="12.75">
      <c r="D25231" s="67"/>
      <c r="G25231" s="68"/>
      <c r="K25231" s="68"/>
    </row>
    <row r="25232" spans="4:11" ht="12.75">
      <c r="D25232" s="67"/>
      <c r="G25232" s="68"/>
      <c r="K25232" s="68"/>
    </row>
    <row r="25233" spans="4:11" ht="12.75">
      <c r="D25233" s="67"/>
      <c r="G25233" s="68"/>
      <c r="K25233" s="68"/>
    </row>
    <row r="25234" spans="4:11" ht="12.75">
      <c r="D25234" s="67"/>
      <c r="G25234" s="68"/>
      <c r="K25234" s="68"/>
    </row>
    <row r="25235" spans="4:11" ht="12.75">
      <c r="D25235" s="67"/>
      <c r="G25235" s="68"/>
      <c r="K25235" s="68"/>
    </row>
    <row r="25236" spans="4:11" ht="12.75">
      <c r="D25236" s="67"/>
      <c r="G25236" s="68"/>
      <c r="K25236" s="68"/>
    </row>
    <row r="25237" spans="4:11" ht="12.75">
      <c r="D25237" s="67"/>
      <c r="G25237" s="68"/>
      <c r="K25237" s="68"/>
    </row>
    <row r="25238" spans="4:11" ht="12.75">
      <c r="D25238" s="67"/>
      <c r="G25238" s="68"/>
      <c r="K25238" s="68"/>
    </row>
    <row r="25239" spans="4:11" ht="12.75">
      <c r="D25239" s="67"/>
      <c r="G25239" s="68"/>
      <c r="K25239" s="68"/>
    </row>
    <row r="25240" spans="4:11" ht="12.75">
      <c r="D25240" s="67"/>
      <c r="G25240" s="68"/>
      <c r="K25240" s="68"/>
    </row>
    <row r="25241" spans="4:11" ht="12.75">
      <c r="D25241" s="67"/>
      <c r="G25241" s="68"/>
      <c r="K25241" s="68"/>
    </row>
    <row r="25242" spans="4:11" ht="12.75">
      <c r="D25242" s="67"/>
      <c r="G25242" s="68"/>
      <c r="K25242" s="68"/>
    </row>
    <row r="25243" spans="4:11" ht="12.75">
      <c r="D25243" s="67"/>
      <c r="G25243" s="68"/>
      <c r="K25243" s="68"/>
    </row>
    <row r="25244" spans="4:11" ht="12.75">
      <c r="D25244" s="67"/>
      <c r="G25244" s="68"/>
      <c r="K25244" s="68"/>
    </row>
    <row r="25245" spans="4:11" ht="12.75">
      <c r="D25245" s="67"/>
      <c r="G25245" s="68"/>
      <c r="K25245" s="68"/>
    </row>
    <row r="25246" spans="4:11" ht="12.75">
      <c r="D25246" s="67"/>
      <c r="G25246" s="68"/>
      <c r="K25246" s="68"/>
    </row>
    <row r="25247" spans="4:11" ht="12.75">
      <c r="D25247" s="67"/>
      <c r="G25247" s="68"/>
      <c r="K25247" s="68"/>
    </row>
    <row r="25248" spans="4:11" ht="12.75">
      <c r="D25248" s="67"/>
      <c r="G25248" s="68"/>
      <c r="K25248" s="68"/>
    </row>
    <row r="25249" spans="4:11" ht="12.75">
      <c r="D25249" s="67"/>
      <c r="G25249" s="68"/>
      <c r="K25249" s="68"/>
    </row>
    <row r="25250" spans="4:11" ht="12.75">
      <c r="D25250" s="67"/>
      <c r="G25250" s="68"/>
      <c r="K25250" s="68"/>
    </row>
    <row r="25251" spans="4:11" ht="12.75">
      <c r="D25251" s="67"/>
      <c r="G25251" s="68"/>
      <c r="K25251" s="68"/>
    </row>
    <row r="25252" spans="4:11" ht="12.75">
      <c r="D25252" s="67"/>
      <c r="G25252" s="68"/>
      <c r="K25252" s="68"/>
    </row>
    <row r="25253" spans="4:11" ht="12.75">
      <c r="D25253" s="67"/>
      <c r="G25253" s="68"/>
      <c r="K25253" s="68"/>
    </row>
    <row r="25254" spans="4:11" ht="12.75">
      <c r="D25254" s="67"/>
      <c r="G25254" s="68"/>
      <c r="K25254" s="68"/>
    </row>
    <row r="25255" spans="4:11" ht="12.75">
      <c r="D25255" s="67"/>
      <c r="G25255" s="68"/>
      <c r="K25255" s="68"/>
    </row>
    <row r="25256" spans="4:11" ht="12.75">
      <c r="D25256" s="67"/>
      <c r="G25256" s="68"/>
      <c r="K25256" s="68"/>
    </row>
    <row r="25257" spans="4:11" ht="12.75">
      <c r="D25257" s="67"/>
      <c r="G25257" s="68"/>
      <c r="K25257" s="68"/>
    </row>
    <row r="25258" spans="4:11" ht="12.75">
      <c r="D25258" s="67"/>
      <c r="G25258" s="68"/>
      <c r="K25258" s="68"/>
    </row>
    <row r="25259" spans="4:11" ht="12.75">
      <c r="D25259" s="67"/>
      <c r="G25259" s="68"/>
      <c r="K25259" s="68"/>
    </row>
    <row r="25260" spans="4:11" ht="12.75">
      <c r="D25260" s="67"/>
      <c r="G25260" s="68"/>
      <c r="K25260" s="68"/>
    </row>
    <row r="25261" spans="4:11" ht="12.75">
      <c r="D25261" s="67"/>
      <c r="G25261" s="68"/>
      <c r="K25261" s="68"/>
    </row>
    <row r="25262" spans="4:11" ht="12.75">
      <c r="D25262" s="67"/>
      <c r="G25262" s="68"/>
      <c r="K25262" s="68"/>
    </row>
    <row r="25263" spans="4:11" ht="12.75">
      <c r="D25263" s="67"/>
      <c r="G25263" s="68"/>
      <c r="K25263" s="68"/>
    </row>
    <row r="25264" spans="4:11" ht="12.75">
      <c r="D25264" s="67"/>
      <c r="G25264" s="68"/>
      <c r="K25264" s="68"/>
    </row>
    <row r="25265" spans="4:11" ht="12.75">
      <c r="D25265" s="67"/>
      <c r="G25265" s="68"/>
      <c r="K25265" s="68"/>
    </row>
    <row r="25266" spans="4:11" ht="12.75">
      <c r="D25266" s="67"/>
      <c r="G25266" s="68"/>
      <c r="K25266" s="68"/>
    </row>
    <row r="25267" spans="4:11" ht="12.75">
      <c r="D25267" s="67"/>
      <c r="G25267" s="68"/>
      <c r="K25267" s="68"/>
    </row>
    <row r="25268" spans="4:11" ht="12.75">
      <c r="D25268" s="67"/>
      <c r="G25268" s="68"/>
      <c r="K25268" s="68"/>
    </row>
    <row r="25269" spans="4:11" ht="12.75">
      <c r="D25269" s="67"/>
      <c r="G25269" s="68"/>
      <c r="K25269" s="68"/>
    </row>
    <row r="25270" spans="4:11" ht="12.75">
      <c r="D25270" s="67"/>
      <c r="G25270" s="68"/>
      <c r="K25270" s="68"/>
    </row>
    <row r="25271" spans="4:11" ht="12.75">
      <c r="D25271" s="67"/>
      <c r="G25271" s="68"/>
      <c r="K25271" s="68"/>
    </row>
    <row r="25272" spans="4:11" ht="12.75">
      <c r="D25272" s="67"/>
      <c r="G25272" s="68"/>
      <c r="K25272" s="68"/>
    </row>
    <row r="25273" spans="4:11" ht="12.75">
      <c r="D25273" s="67"/>
      <c r="G25273" s="68"/>
      <c r="K25273" s="68"/>
    </row>
    <row r="25274" spans="4:11" ht="12.75">
      <c r="D25274" s="67"/>
      <c r="G25274" s="68"/>
      <c r="K25274" s="68"/>
    </row>
    <row r="25275" spans="4:11" ht="12.75">
      <c r="D25275" s="67"/>
      <c r="G25275" s="68"/>
      <c r="K25275" s="68"/>
    </row>
    <row r="25276" spans="4:11" ht="12.75">
      <c r="D25276" s="67"/>
      <c r="G25276" s="68"/>
      <c r="K25276" s="68"/>
    </row>
    <row r="25277" spans="4:11" ht="12.75">
      <c r="D25277" s="67"/>
      <c r="G25277" s="68"/>
      <c r="K25277" s="68"/>
    </row>
    <row r="25278" spans="4:11" ht="12.75">
      <c r="D25278" s="67"/>
      <c r="G25278" s="68"/>
      <c r="K25278" s="68"/>
    </row>
    <row r="25279" spans="4:11" ht="12.75">
      <c r="D25279" s="67"/>
      <c r="G25279" s="68"/>
      <c r="K25279" s="68"/>
    </row>
    <row r="25280" spans="4:11" ht="12.75">
      <c r="D25280" s="67"/>
      <c r="G25280" s="68"/>
      <c r="K25280" s="68"/>
    </row>
    <row r="25281" spans="4:11" ht="12.75">
      <c r="D25281" s="67"/>
      <c r="G25281" s="68"/>
      <c r="K25281" s="68"/>
    </row>
    <row r="25282" spans="4:11" ht="12.75">
      <c r="D25282" s="67"/>
      <c r="G25282" s="68"/>
      <c r="K25282" s="68"/>
    </row>
    <row r="25283" spans="4:11" ht="12.75">
      <c r="D25283" s="67"/>
      <c r="G25283" s="68"/>
      <c r="K25283" s="68"/>
    </row>
    <row r="25284" spans="4:11" ht="12.75">
      <c r="D25284" s="67"/>
      <c r="G25284" s="68"/>
      <c r="K25284" s="68"/>
    </row>
    <row r="25285" spans="4:11" ht="12.75">
      <c r="D25285" s="67"/>
      <c r="G25285" s="68"/>
      <c r="K25285" s="68"/>
    </row>
    <row r="25286" spans="4:11" ht="12.75">
      <c r="D25286" s="67"/>
      <c r="G25286" s="68"/>
      <c r="K25286" s="68"/>
    </row>
    <row r="25287" spans="4:11" ht="12.75">
      <c r="D25287" s="67"/>
      <c r="G25287" s="68"/>
      <c r="K25287" s="68"/>
    </row>
    <row r="25288" spans="4:11" ht="12.75">
      <c r="D25288" s="67"/>
      <c r="G25288" s="68"/>
      <c r="K25288" s="68"/>
    </row>
    <row r="25289" spans="4:11" ht="12.75">
      <c r="D25289" s="67"/>
      <c r="G25289" s="68"/>
      <c r="K25289" s="68"/>
    </row>
    <row r="25290" spans="4:11" ht="12.75">
      <c r="D25290" s="67"/>
      <c r="G25290" s="68"/>
      <c r="K25290" s="68"/>
    </row>
    <row r="25291" spans="4:11" ht="12.75">
      <c r="D25291" s="67"/>
      <c r="G25291" s="68"/>
      <c r="K25291" s="68"/>
    </row>
    <row r="25292" spans="4:11" ht="12.75">
      <c r="D25292" s="67"/>
      <c r="G25292" s="68"/>
      <c r="K25292" s="68"/>
    </row>
    <row r="25293" spans="4:11" ht="12.75">
      <c r="D25293" s="67"/>
      <c r="G25293" s="68"/>
      <c r="K25293" s="68"/>
    </row>
    <row r="25294" spans="4:11" ht="12.75">
      <c r="D25294" s="67"/>
      <c r="G25294" s="68"/>
      <c r="K25294" s="68"/>
    </row>
    <row r="25295" spans="4:11" ht="12.75">
      <c r="D25295" s="67"/>
      <c r="G25295" s="68"/>
      <c r="K25295" s="68"/>
    </row>
    <row r="25296" spans="4:11" ht="12.75">
      <c r="D25296" s="67"/>
      <c r="G25296" s="68"/>
      <c r="K25296" s="68"/>
    </row>
    <row r="25297" spans="4:11" ht="12.75">
      <c r="D25297" s="67"/>
      <c r="G25297" s="68"/>
      <c r="K25297" s="68"/>
    </row>
    <row r="25298" spans="4:11" ht="12.75">
      <c r="D25298" s="67"/>
      <c r="G25298" s="68"/>
      <c r="K25298" s="68"/>
    </row>
    <row r="25299" spans="4:11" ht="12.75">
      <c r="D25299" s="67"/>
      <c r="G25299" s="68"/>
      <c r="K25299" s="68"/>
    </row>
    <row r="25300" spans="4:11" ht="12.75">
      <c r="D25300" s="67"/>
      <c r="G25300" s="68"/>
      <c r="K25300" s="68"/>
    </row>
    <row r="25301" spans="4:11" ht="12.75">
      <c r="D25301" s="67"/>
      <c r="G25301" s="68"/>
      <c r="K25301" s="68"/>
    </row>
    <row r="25302" spans="4:11" ht="12.75">
      <c r="D25302" s="67"/>
      <c r="G25302" s="68"/>
      <c r="K25302" s="68"/>
    </row>
    <row r="25303" spans="4:11" ht="12.75">
      <c r="D25303" s="67"/>
      <c r="G25303" s="68"/>
      <c r="K25303" s="68"/>
    </row>
    <row r="25304" spans="4:11" ht="12.75">
      <c r="D25304" s="67"/>
      <c r="G25304" s="68"/>
      <c r="K25304" s="68"/>
    </row>
    <row r="25305" spans="4:11" ht="12.75">
      <c r="D25305" s="67"/>
      <c r="G25305" s="68"/>
      <c r="K25305" s="68"/>
    </row>
    <row r="25306" spans="4:11" ht="12.75">
      <c r="D25306" s="67"/>
      <c r="G25306" s="68"/>
      <c r="K25306" s="68"/>
    </row>
    <row r="25307" spans="4:11" ht="12.75">
      <c r="D25307" s="67"/>
      <c r="G25307" s="68"/>
      <c r="K25307" s="68"/>
    </row>
    <row r="25308" spans="4:11" ht="12.75">
      <c r="D25308" s="67"/>
      <c r="G25308" s="68"/>
      <c r="K25308" s="68"/>
    </row>
    <row r="25309" spans="4:11" ht="12.75">
      <c r="D25309" s="67"/>
      <c r="G25309" s="68"/>
      <c r="K25309" s="68"/>
    </row>
    <row r="25310" spans="4:11" ht="12.75">
      <c r="D25310" s="67"/>
      <c r="G25310" s="68"/>
      <c r="K25310" s="68"/>
    </row>
    <row r="25311" spans="4:11" ht="12.75">
      <c r="D25311" s="67"/>
      <c r="G25311" s="68"/>
      <c r="K25311" s="68"/>
    </row>
    <row r="25312" spans="4:11" ht="12.75">
      <c r="D25312" s="67"/>
      <c r="G25312" s="68"/>
      <c r="K25312" s="68"/>
    </row>
    <row r="25313" spans="4:11" ht="12.75">
      <c r="D25313" s="67"/>
      <c r="G25313" s="68"/>
      <c r="K25313" s="68"/>
    </row>
    <row r="25314" spans="4:11" ht="12.75">
      <c r="D25314" s="67"/>
      <c r="G25314" s="68"/>
      <c r="K25314" s="68"/>
    </row>
    <row r="25315" spans="4:11" ht="12.75">
      <c r="D25315" s="67"/>
      <c r="G25315" s="68"/>
      <c r="K25315" s="68"/>
    </row>
    <row r="25316" spans="4:11" ht="12.75">
      <c r="D25316" s="67"/>
      <c r="G25316" s="68"/>
      <c r="K25316" s="68"/>
    </row>
    <row r="25317" spans="4:11" ht="12.75">
      <c r="D25317" s="67"/>
      <c r="G25317" s="68"/>
      <c r="K25317" s="68"/>
    </row>
    <row r="25318" spans="4:11" ht="12.75">
      <c r="D25318" s="67"/>
      <c r="G25318" s="68"/>
      <c r="K25318" s="68"/>
    </row>
    <row r="25319" spans="4:11" ht="12.75">
      <c r="D25319" s="67"/>
      <c r="G25319" s="68"/>
      <c r="K25319" s="68"/>
    </row>
    <row r="25320" spans="4:11" ht="12.75">
      <c r="D25320" s="67"/>
      <c r="G25320" s="68"/>
      <c r="K25320" s="68"/>
    </row>
    <row r="25321" spans="4:11" ht="12.75">
      <c r="D25321" s="67"/>
      <c r="G25321" s="68"/>
      <c r="K25321" s="68"/>
    </row>
    <row r="25322" spans="4:11" ht="12.75">
      <c r="D25322" s="67"/>
      <c r="G25322" s="68"/>
      <c r="K25322" s="68"/>
    </row>
    <row r="25323" spans="4:11" ht="12.75">
      <c r="D25323" s="67"/>
      <c r="G25323" s="68"/>
      <c r="K25323" s="68"/>
    </row>
    <row r="25324" spans="4:11" ht="12.75">
      <c r="D25324" s="67"/>
      <c r="G25324" s="68"/>
      <c r="K25324" s="68"/>
    </row>
    <row r="25325" spans="4:11" ht="12.75">
      <c r="D25325" s="67"/>
      <c r="G25325" s="68"/>
      <c r="K25325" s="68"/>
    </row>
    <row r="25326" spans="4:11" ht="12.75">
      <c r="D25326" s="67"/>
      <c r="G25326" s="68"/>
      <c r="K25326" s="68"/>
    </row>
    <row r="25327" spans="4:11" ht="12.75">
      <c r="D25327" s="67"/>
      <c r="G25327" s="68"/>
      <c r="K25327" s="68"/>
    </row>
    <row r="25328" spans="4:11" ht="12.75">
      <c r="D25328" s="67"/>
      <c r="G25328" s="68"/>
      <c r="K25328" s="68"/>
    </row>
    <row r="25329" spans="4:11" ht="12.75">
      <c r="D25329" s="67"/>
      <c r="G25329" s="68"/>
      <c r="K25329" s="68"/>
    </row>
    <row r="25330" spans="4:11" ht="12.75">
      <c r="D25330" s="67"/>
      <c r="G25330" s="68"/>
      <c r="K25330" s="68"/>
    </row>
    <row r="25331" spans="4:11" ht="12.75">
      <c r="D25331" s="67"/>
      <c r="G25331" s="68"/>
      <c r="K25331" s="68"/>
    </row>
    <row r="25332" spans="4:11" ht="12.75">
      <c r="D25332" s="67"/>
      <c r="G25332" s="68"/>
      <c r="K25332" s="68"/>
    </row>
    <row r="25333" spans="4:11" ht="12.75">
      <c r="D25333" s="67"/>
      <c r="G25333" s="68"/>
      <c r="K25333" s="68"/>
    </row>
    <row r="25334" spans="4:11" ht="12.75">
      <c r="D25334" s="67"/>
      <c r="G25334" s="68"/>
      <c r="K25334" s="68"/>
    </row>
    <row r="25335" spans="4:11" ht="12.75">
      <c r="D25335" s="67"/>
      <c r="G25335" s="68"/>
      <c r="K25335" s="68"/>
    </row>
    <row r="25336" spans="4:11" ht="12.75">
      <c r="D25336" s="67"/>
      <c r="G25336" s="68"/>
      <c r="K25336" s="68"/>
    </row>
    <row r="25337" spans="4:11" ht="12.75">
      <c r="D25337" s="67"/>
      <c r="G25337" s="68"/>
      <c r="K25337" s="68"/>
    </row>
    <row r="25338" spans="4:11" ht="12.75">
      <c r="D25338" s="67"/>
      <c r="G25338" s="68"/>
      <c r="K25338" s="68"/>
    </row>
    <row r="25339" spans="4:11" ht="12.75">
      <c r="D25339" s="67"/>
      <c r="G25339" s="68"/>
      <c r="K25339" s="68"/>
    </row>
    <row r="25340" spans="4:11" ht="12.75">
      <c r="D25340" s="67"/>
      <c r="G25340" s="68"/>
      <c r="K25340" s="68"/>
    </row>
    <row r="25341" spans="4:11" ht="12.75">
      <c r="D25341" s="67"/>
      <c r="G25341" s="68"/>
      <c r="K25341" s="68"/>
    </row>
    <row r="25342" spans="4:11" ht="12.75">
      <c r="D25342" s="67"/>
      <c r="G25342" s="68"/>
      <c r="K25342" s="68"/>
    </row>
    <row r="25343" spans="4:11" ht="12.75">
      <c r="D25343" s="67"/>
      <c r="G25343" s="68"/>
      <c r="K25343" s="68"/>
    </row>
    <row r="25344" spans="4:11" ht="12.75">
      <c r="D25344" s="67"/>
      <c r="G25344" s="68"/>
      <c r="K25344" s="68"/>
    </row>
    <row r="25345" spans="4:11" ht="12.75">
      <c r="D25345" s="67"/>
      <c r="G25345" s="68"/>
      <c r="K25345" s="68"/>
    </row>
    <row r="25346" spans="4:11" ht="12.75">
      <c r="D25346" s="67"/>
      <c r="G25346" s="68"/>
      <c r="K25346" s="68"/>
    </row>
    <row r="25347" spans="4:11" ht="12.75">
      <c r="D25347" s="67"/>
      <c r="G25347" s="68"/>
      <c r="K25347" s="68"/>
    </row>
    <row r="25348" spans="4:11" ht="12.75">
      <c r="D25348" s="67"/>
      <c r="G25348" s="68"/>
      <c r="K25348" s="68"/>
    </row>
    <row r="25349" spans="4:11" ht="12.75">
      <c r="D25349" s="67"/>
      <c r="G25349" s="68"/>
      <c r="K25349" s="68"/>
    </row>
    <row r="25350" spans="4:11" ht="12.75">
      <c r="D25350" s="67"/>
      <c r="G25350" s="68"/>
      <c r="K25350" s="68"/>
    </row>
    <row r="25351" spans="4:11" ht="12.75">
      <c r="D25351" s="67"/>
      <c r="G25351" s="68"/>
      <c r="K25351" s="68"/>
    </row>
    <row r="25352" spans="4:11" ht="12.75">
      <c r="D25352" s="67"/>
      <c r="G25352" s="68"/>
      <c r="K25352" s="68"/>
    </row>
    <row r="25353" spans="4:11" ht="12.75">
      <c r="D25353" s="67"/>
      <c r="G25353" s="68"/>
      <c r="K25353" s="68"/>
    </row>
    <row r="25354" spans="4:11" ht="12.75">
      <c r="D25354" s="67"/>
      <c r="G25354" s="68"/>
      <c r="K25354" s="68"/>
    </row>
    <row r="25355" spans="4:11" ht="12.75">
      <c r="D25355" s="67"/>
      <c r="G25355" s="68"/>
      <c r="K25355" s="68"/>
    </row>
    <row r="25356" spans="4:11" ht="12.75">
      <c r="D25356" s="67"/>
      <c r="G25356" s="68"/>
      <c r="K25356" s="68"/>
    </row>
    <row r="25357" spans="4:11" ht="12.75">
      <c r="D25357" s="67"/>
      <c r="G25357" s="68"/>
      <c r="K25357" s="68"/>
    </row>
    <row r="25358" spans="4:11" ht="12.75">
      <c r="D25358" s="67"/>
      <c r="G25358" s="68"/>
      <c r="K25358" s="68"/>
    </row>
    <row r="25359" spans="4:11" ht="12.75">
      <c r="D25359" s="67"/>
      <c r="G25359" s="68"/>
      <c r="K25359" s="68"/>
    </row>
    <row r="25360" spans="4:11" ht="12.75">
      <c r="D25360" s="67"/>
      <c r="G25360" s="68"/>
      <c r="K25360" s="68"/>
    </row>
    <row r="25361" spans="4:11" ht="12.75">
      <c r="D25361" s="67"/>
      <c r="G25361" s="68"/>
      <c r="K25361" s="68"/>
    </row>
    <row r="25362" spans="4:11" ht="12.75">
      <c r="D25362" s="67"/>
      <c r="G25362" s="68"/>
      <c r="K25362" s="68"/>
    </row>
    <row r="25363" spans="4:11" ht="12.75">
      <c r="D25363" s="67"/>
      <c r="G25363" s="68"/>
      <c r="K25363" s="68"/>
    </row>
    <row r="25364" spans="4:11" ht="12.75">
      <c r="D25364" s="67"/>
      <c r="G25364" s="68"/>
      <c r="K25364" s="68"/>
    </row>
    <row r="25365" spans="4:11" ht="12.75">
      <c r="D25365" s="67"/>
      <c r="G25365" s="68"/>
      <c r="K25365" s="68"/>
    </row>
    <row r="25366" spans="4:11" ht="12.75">
      <c r="D25366" s="67"/>
      <c r="G25366" s="68"/>
      <c r="K25366" s="68"/>
    </row>
    <row r="25367" spans="4:11" ht="12.75">
      <c r="D25367" s="67"/>
      <c r="G25367" s="68"/>
      <c r="K25367" s="68"/>
    </row>
    <row r="25368" spans="4:11" ht="12.75">
      <c r="D25368" s="67"/>
      <c r="G25368" s="68"/>
      <c r="K25368" s="68"/>
    </row>
    <row r="25369" spans="4:11" ht="12.75">
      <c r="D25369" s="67"/>
      <c r="G25369" s="68"/>
      <c r="K25369" s="68"/>
    </row>
    <row r="25370" spans="4:11" ht="12.75">
      <c r="D25370" s="67"/>
      <c r="G25370" s="68"/>
      <c r="K25370" s="68"/>
    </row>
    <row r="25371" spans="4:11" ht="12.75">
      <c r="D25371" s="67"/>
      <c r="G25371" s="68"/>
      <c r="K25371" s="68"/>
    </row>
    <row r="25372" spans="4:11" ht="12.75">
      <c r="D25372" s="67"/>
      <c r="G25372" s="68"/>
      <c r="K25372" s="68"/>
    </row>
    <row r="25373" spans="4:11" ht="12.75">
      <c r="D25373" s="67"/>
      <c r="G25373" s="68"/>
      <c r="K25373" s="68"/>
    </row>
    <row r="25374" spans="4:11" ht="12.75">
      <c r="D25374" s="67"/>
      <c r="G25374" s="68"/>
      <c r="K25374" s="68"/>
    </row>
    <row r="25375" spans="4:11" ht="12.75">
      <c r="D25375" s="67"/>
      <c r="G25375" s="68"/>
      <c r="K25375" s="68"/>
    </row>
    <row r="25376" spans="4:11" ht="12.75">
      <c r="D25376" s="67"/>
      <c r="G25376" s="68"/>
      <c r="K25376" s="68"/>
    </row>
    <row r="25377" spans="4:11" ht="12.75">
      <c r="D25377" s="67"/>
      <c r="G25377" s="68"/>
      <c r="K25377" s="68"/>
    </row>
    <row r="25378" spans="4:11" ht="12.75">
      <c r="D25378" s="67"/>
      <c r="G25378" s="68"/>
      <c r="K25378" s="68"/>
    </row>
    <row r="25379" spans="4:11" ht="12.75">
      <c r="D25379" s="67"/>
      <c r="G25379" s="68"/>
      <c r="K25379" s="68"/>
    </row>
    <row r="25380" spans="4:11" ht="12.75">
      <c r="D25380" s="67"/>
      <c r="G25380" s="68"/>
      <c r="K25380" s="68"/>
    </row>
    <row r="25381" spans="4:11" ht="12.75">
      <c r="D25381" s="67"/>
      <c r="G25381" s="68"/>
      <c r="K25381" s="68"/>
    </row>
    <row r="25382" spans="4:11" ht="12.75">
      <c r="D25382" s="67"/>
      <c r="G25382" s="68"/>
      <c r="K25382" s="68"/>
    </row>
    <row r="25383" spans="4:11" ht="12.75">
      <c r="D25383" s="67"/>
      <c r="G25383" s="68"/>
      <c r="K25383" s="68"/>
    </row>
    <row r="25384" spans="4:11" ht="12.75">
      <c r="D25384" s="67"/>
      <c r="G25384" s="68"/>
      <c r="K25384" s="68"/>
    </row>
    <row r="25385" spans="4:11" ht="12.75">
      <c r="D25385" s="67"/>
      <c r="G25385" s="68"/>
      <c r="K25385" s="68"/>
    </row>
    <row r="25386" spans="4:11" ht="12.75">
      <c r="D25386" s="67"/>
      <c r="G25386" s="68"/>
      <c r="K25386" s="68"/>
    </row>
    <row r="25387" spans="4:11" ht="12.75">
      <c r="D25387" s="67"/>
      <c r="G25387" s="68"/>
      <c r="K25387" s="68"/>
    </row>
    <row r="25388" spans="4:11" ht="12.75">
      <c r="D25388" s="67"/>
      <c r="G25388" s="68"/>
      <c r="K25388" s="68"/>
    </row>
    <row r="25389" spans="4:11" ht="12.75">
      <c r="D25389" s="67"/>
      <c r="G25389" s="68"/>
      <c r="K25389" s="68"/>
    </row>
    <row r="25390" spans="4:11" ht="12.75">
      <c r="D25390" s="67"/>
      <c r="G25390" s="68"/>
      <c r="K25390" s="68"/>
    </row>
    <row r="25391" spans="4:11" ht="12.75">
      <c r="D25391" s="67"/>
      <c r="G25391" s="68"/>
      <c r="K25391" s="68"/>
    </row>
    <row r="25392" spans="4:11" ht="12.75">
      <c r="D25392" s="67"/>
      <c r="G25392" s="68"/>
      <c r="K25392" s="68"/>
    </row>
    <row r="25393" spans="4:11" ht="12.75">
      <c r="D25393" s="67"/>
      <c r="G25393" s="68"/>
      <c r="K25393" s="68"/>
    </row>
    <row r="25394" spans="4:11" ht="12.75">
      <c r="D25394" s="67"/>
      <c r="G25394" s="68"/>
      <c r="K25394" s="68"/>
    </row>
    <row r="25395" spans="4:11" ht="12.75">
      <c r="D25395" s="67"/>
      <c r="G25395" s="68"/>
      <c r="K25395" s="68"/>
    </row>
    <row r="25396" spans="4:11" ht="12.75">
      <c r="D25396" s="67"/>
      <c r="G25396" s="68"/>
      <c r="K25396" s="68"/>
    </row>
    <row r="25397" spans="4:11" ht="12.75">
      <c r="D25397" s="67"/>
      <c r="G25397" s="68"/>
      <c r="K25397" s="68"/>
    </row>
    <row r="25398" spans="4:11" ht="12.75">
      <c r="D25398" s="67"/>
      <c r="G25398" s="68"/>
      <c r="K25398" s="68"/>
    </row>
    <row r="25399" spans="4:11" ht="12.75">
      <c r="D25399" s="67"/>
      <c r="G25399" s="68"/>
      <c r="K25399" s="68"/>
    </row>
    <row r="25400" spans="4:11" ht="12.75">
      <c r="D25400" s="67"/>
      <c r="G25400" s="68"/>
      <c r="K25400" s="68"/>
    </row>
    <row r="25401" spans="4:11" ht="12.75">
      <c r="D25401" s="67"/>
      <c r="G25401" s="68"/>
      <c r="K25401" s="68"/>
    </row>
    <row r="25402" spans="4:11" ht="12.75">
      <c r="D25402" s="67"/>
      <c r="G25402" s="68"/>
      <c r="K25402" s="68"/>
    </row>
    <row r="25403" spans="4:11" ht="12.75">
      <c r="D25403" s="67"/>
      <c r="G25403" s="68"/>
      <c r="K25403" s="68"/>
    </row>
    <row r="25404" spans="4:11" ht="12.75">
      <c r="D25404" s="67"/>
      <c r="G25404" s="68"/>
      <c r="K25404" s="68"/>
    </row>
    <row r="25405" spans="4:11" ht="12.75">
      <c r="D25405" s="67"/>
      <c r="G25405" s="68"/>
      <c r="K25405" s="68"/>
    </row>
    <row r="25406" spans="4:11" ht="12.75">
      <c r="D25406" s="67"/>
      <c r="G25406" s="68"/>
      <c r="K25406" s="68"/>
    </row>
    <row r="25407" spans="4:11" ht="12.75">
      <c r="D25407" s="67"/>
      <c r="G25407" s="68"/>
      <c r="K25407" s="68"/>
    </row>
    <row r="25408" spans="4:11" ht="12.75">
      <c r="D25408" s="67"/>
      <c r="G25408" s="68"/>
      <c r="K25408" s="68"/>
    </row>
    <row r="25409" spans="4:11" ht="12.75">
      <c r="D25409" s="67"/>
      <c r="G25409" s="68"/>
      <c r="K25409" s="68"/>
    </row>
    <row r="25410" spans="4:11" ht="12.75">
      <c r="D25410" s="67"/>
      <c r="G25410" s="68"/>
      <c r="K25410" s="68"/>
    </row>
    <row r="25411" spans="4:11" ht="12.75">
      <c r="D25411" s="67"/>
      <c r="G25411" s="68"/>
      <c r="K25411" s="68"/>
    </row>
    <row r="25412" spans="4:11" ht="12.75">
      <c r="D25412" s="67"/>
      <c r="G25412" s="68"/>
      <c r="K25412" s="68"/>
    </row>
    <row r="25413" spans="4:11" ht="12.75">
      <c r="D25413" s="67"/>
      <c r="G25413" s="68"/>
      <c r="K25413" s="68"/>
    </row>
    <row r="25414" spans="4:11" ht="12.75">
      <c r="D25414" s="67"/>
      <c r="G25414" s="68"/>
      <c r="K25414" s="68"/>
    </row>
    <row r="25415" spans="4:11" ht="12.75">
      <c r="D25415" s="67"/>
      <c r="G25415" s="68"/>
      <c r="K25415" s="68"/>
    </row>
    <row r="25416" spans="4:11" ht="12.75">
      <c r="D25416" s="67"/>
      <c r="G25416" s="68"/>
      <c r="K25416" s="68"/>
    </row>
    <row r="25417" spans="4:11" ht="12.75">
      <c r="D25417" s="67"/>
      <c r="G25417" s="68"/>
      <c r="K25417" s="68"/>
    </row>
    <row r="25418" spans="4:11" ht="12.75">
      <c r="D25418" s="67"/>
      <c r="G25418" s="68"/>
      <c r="K25418" s="68"/>
    </row>
    <row r="25419" spans="4:11" ht="12.75">
      <c r="D25419" s="67"/>
      <c r="G25419" s="68"/>
      <c r="K25419" s="68"/>
    </row>
    <row r="25420" spans="4:11" ht="12.75">
      <c r="D25420" s="67"/>
      <c r="G25420" s="68"/>
      <c r="K25420" s="68"/>
    </row>
    <row r="25421" spans="4:11" ht="12.75">
      <c r="D25421" s="67"/>
      <c r="G25421" s="68"/>
      <c r="K25421" s="68"/>
    </row>
    <row r="25422" spans="4:11" ht="12.75">
      <c r="D25422" s="67"/>
      <c r="G25422" s="68"/>
      <c r="K25422" s="68"/>
    </row>
    <row r="25423" spans="4:11" ht="12.75">
      <c r="D25423" s="67"/>
      <c r="G25423" s="68"/>
      <c r="K25423" s="68"/>
    </row>
    <row r="25424" spans="4:11" ht="12.75">
      <c r="D25424" s="67"/>
      <c r="G25424" s="68"/>
      <c r="K25424" s="68"/>
    </row>
    <row r="25425" spans="4:11" ht="12.75">
      <c r="D25425" s="67"/>
      <c r="G25425" s="68"/>
      <c r="K25425" s="68"/>
    </row>
    <row r="25426" spans="4:11" ht="12.75">
      <c r="D25426" s="67"/>
      <c r="G25426" s="68"/>
      <c r="K25426" s="68"/>
    </row>
    <row r="25427" spans="4:11" ht="12.75">
      <c r="D25427" s="67"/>
      <c r="G25427" s="68"/>
      <c r="K25427" s="68"/>
    </row>
    <row r="25428" spans="4:11" ht="12.75">
      <c r="D25428" s="67"/>
      <c r="G25428" s="68"/>
      <c r="K25428" s="68"/>
    </row>
    <row r="25429" spans="4:11" ht="12.75">
      <c r="D25429" s="67"/>
      <c r="G25429" s="68"/>
      <c r="K25429" s="68"/>
    </row>
    <row r="25430" spans="4:11" ht="12.75">
      <c r="D25430" s="67"/>
      <c r="G25430" s="68"/>
      <c r="K25430" s="68"/>
    </row>
    <row r="25431" spans="4:11" ht="12.75">
      <c r="D25431" s="67"/>
      <c r="G25431" s="68"/>
      <c r="K25431" s="68"/>
    </row>
    <row r="25432" spans="4:11" ht="12.75">
      <c r="D25432" s="67"/>
      <c r="G25432" s="68"/>
      <c r="K25432" s="68"/>
    </row>
    <row r="25433" spans="4:11" ht="12.75">
      <c r="D25433" s="67"/>
      <c r="G25433" s="68"/>
      <c r="K25433" s="68"/>
    </row>
    <row r="25434" spans="4:11" ht="12.75">
      <c r="D25434" s="67"/>
      <c r="G25434" s="68"/>
      <c r="K25434" s="68"/>
    </row>
    <row r="25435" spans="4:11" ht="12.75">
      <c r="D25435" s="67"/>
      <c r="G25435" s="68"/>
      <c r="K25435" s="68"/>
    </row>
    <row r="25436" spans="4:11" ht="12.75">
      <c r="D25436" s="67"/>
      <c r="G25436" s="68"/>
      <c r="K25436" s="68"/>
    </row>
    <row r="25437" spans="4:11" ht="12.75">
      <c r="D25437" s="67"/>
      <c r="G25437" s="68"/>
      <c r="K25437" s="68"/>
    </row>
    <row r="25438" spans="4:11" ht="12.75">
      <c r="D25438" s="67"/>
      <c r="G25438" s="68"/>
      <c r="K25438" s="68"/>
    </row>
    <row r="25439" spans="4:11" ht="12.75">
      <c r="D25439" s="67"/>
      <c r="G25439" s="68"/>
      <c r="K25439" s="68"/>
    </row>
    <row r="25440" spans="4:11" ht="12.75">
      <c r="D25440" s="67"/>
      <c r="G25440" s="68"/>
      <c r="K25440" s="68"/>
    </row>
    <row r="25441" spans="4:11" ht="12.75">
      <c r="D25441" s="67"/>
      <c r="G25441" s="68"/>
      <c r="K25441" s="68"/>
    </row>
    <row r="25442" spans="4:11" ht="12.75">
      <c r="D25442" s="67"/>
      <c r="G25442" s="68"/>
      <c r="K25442" s="68"/>
    </row>
    <row r="25443" spans="4:11" ht="12.75">
      <c r="D25443" s="67"/>
      <c r="G25443" s="68"/>
      <c r="K25443" s="68"/>
    </row>
    <row r="25444" spans="4:11" ht="12.75">
      <c r="D25444" s="67"/>
      <c r="G25444" s="68"/>
      <c r="K25444" s="68"/>
    </row>
    <row r="25445" spans="4:11" ht="12.75">
      <c r="D25445" s="67"/>
      <c r="G25445" s="68"/>
      <c r="K25445" s="68"/>
    </row>
    <row r="25446" spans="4:11" ht="12.75">
      <c r="D25446" s="67"/>
      <c r="G25446" s="68"/>
      <c r="K25446" s="68"/>
    </row>
    <row r="25447" spans="4:11" ht="12.75">
      <c r="D25447" s="67"/>
      <c r="G25447" s="68"/>
      <c r="K25447" s="68"/>
    </row>
    <row r="25448" spans="4:11" ht="12.75">
      <c r="D25448" s="67"/>
      <c r="G25448" s="68"/>
      <c r="K25448" s="68"/>
    </row>
    <row r="25449" spans="4:11" ht="12.75">
      <c r="D25449" s="67"/>
      <c r="G25449" s="68"/>
      <c r="K25449" s="68"/>
    </row>
    <row r="25450" spans="4:11" ht="12.75">
      <c r="D25450" s="67"/>
      <c r="G25450" s="68"/>
      <c r="K25450" s="68"/>
    </row>
    <row r="25451" spans="4:11" ht="12.75">
      <c r="D25451" s="67"/>
      <c r="G25451" s="68"/>
      <c r="K25451" s="68"/>
    </row>
    <row r="25452" spans="4:11" ht="12.75">
      <c r="D25452" s="67"/>
      <c r="G25452" s="68"/>
      <c r="K25452" s="68"/>
    </row>
    <row r="25453" spans="4:11" ht="12.75">
      <c r="D25453" s="67"/>
      <c r="G25453" s="68"/>
      <c r="K25453" s="68"/>
    </row>
    <row r="25454" spans="4:11" ht="12.75">
      <c r="D25454" s="67"/>
      <c r="G25454" s="68"/>
      <c r="K25454" s="68"/>
    </row>
    <row r="25455" spans="4:11" ht="12.75">
      <c r="D25455" s="67"/>
      <c r="G25455" s="68"/>
      <c r="K25455" s="68"/>
    </row>
    <row r="25456" spans="4:11" ht="12.75">
      <c r="D25456" s="67"/>
      <c r="G25456" s="68"/>
      <c r="K25456" s="68"/>
    </row>
    <row r="25457" spans="4:11" ht="12.75">
      <c r="D25457" s="67"/>
      <c r="G25457" s="68"/>
      <c r="K25457" s="68"/>
    </row>
    <row r="25458" spans="4:11" ht="12.75">
      <c r="D25458" s="67"/>
      <c r="G25458" s="68"/>
      <c r="K25458" s="68"/>
    </row>
    <row r="25459" spans="4:11" ht="12.75">
      <c r="D25459" s="67"/>
      <c r="G25459" s="68"/>
      <c r="K25459" s="68"/>
    </row>
    <row r="25460" spans="4:11" ht="12.75">
      <c r="D25460" s="67"/>
      <c r="G25460" s="68"/>
      <c r="K25460" s="68"/>
    </row>
    <row r="25461" spans="4:11" ht="12.75">
      <c r="D25461" s="67"/>
      <c r="G25461" s="68"/>
      <c r="K25461" s="68"/>
    </row>
    <row r="25462" spans="4:11" ht="12.75">
      <c r="D25462" s="67"/>
      <c r="G25462" s="68"/>
      <c r="K25462" s="68"/>
    </row>
    <row r="25463" spans="4:11" ht="12.75">
      <c r="D25463" s="67"/>
      <c r="G25463" s="68"/>
      <c r="K25463" s="68"/>
    </row>
    <row r="25464" spans="4:11" ht="12.75">
      <c r="D25464" s="67"/>
      <c r="G25464" s="68"/>
      <c r="K25464" s="68"/>
    </row>
    <row r="25465" spans="4:11" ht="12.75">
      <c r="D25465" s="67"/>
      <c r="G25465" s="68"/>
      <c r="K25465" s="68"/>
    </row>
    <row r="25466" spans="4:11" ht="12.75">
      <c r="D25466" s="67"/>
      <c r="G25466" s="68"/>
      <c r="K25466" s="68"/>
    </row>
    <row r="25467" spans="4:11" ht="12.75">
      <c r="D25467" s="67"/>
      <c r="G25467" s="68"/>
      <c r="K25467" s="68"/>
    </row>
    <row r="25468" spans="4:11" ht="12.75">
      <c r="D25468" s="67"/>
      <c r="G25468" s="68"/>
      <c r="K25468" s="68"/>
    </row>
    <row r="25469" spans="4:11" ht="12.75">
      <c r="D25469" s="67"/>
      <c r="G25469" s="68"/>
      <c r="K25469" s="68"/>
    </row>
    <row r="25470" spans="4:11" ht="12.75">
      <c r="D25470" s="67"/>
      <c r="G25470" s="68"/>
      <c r="K25470" s="68"/>
    </row>
    <row r="25471" spans="4:11" ht="12.75">
      <c r="D25471" s="67"/>
      <c r="G25471" s="68"/>
      <c r="K25471" s="68"/>
    </row>
    <row r="25472" spans="4:11" ht="12.75">
      <c r="D25472" s="67"/>
      <c r="G25472" s="68"/>
      <c r="K25472" s="68"/>
    </row>
    <row r="25473" spans="4:11" ht="12.75">
      <c r="D25473" s="67"/>
      <c r="G25473" s="68"/>
      <c r="K25473" s="68"/>
    </row>
    <row r="25474" spans="4:11" ht="12.75">
      <c r="D25474" s="67"/>
      <c r="G25474" s="68"/>
      <c r="K25474" s="68"/>
    </row>
    <row r="25475" spans="4:11" ht="12.75">
      <c r="D25475" s="67"/>
      <c r="G25475" s="68"/>
      <c r="K25475" s="68"/>
    </row>
    <row r="25476" spans="4:11" ht="12.75">
      <c r="D25476" s="67"/>
      <c r="G25476" s="68"/>
      <c r="K25476" s="68"/>
    </row>
    <row r="25477" spans="4:11" ht="12.75">
      <c r="D25477" s="67"/>
      <c r="G25477" s="68"/>
      <c r="K25477" s="68"/>
    </row>
    <row r="25478" spans="4:11" ht="12.75">
      <c r="D25478" s="67"/>
      <c r="G25478" s="68"/>
      <c r="K25478" s="68"/>
    </row>
    <row r="25479" spans="4:11" ht="12.75">
      <c r="D25479" s="67"/>
      <c r="G25479" s="68"/>
      <c r="K25479" s="68"/>
    </row>
    <row r="25480" spans="4:11" ht="12.75">
      <c r="D25480" s="67"/>
      <c r="G25480" s="68"/>
      <c r="K25480" s="68"/>
    </row>
    <row r="25481" spans="4:11" ht="12.75">
      <c r="D25481" s="67"/>
      <c r="G25481" s="68"/>
      <c r="K25481" s="68"/>
    </row>
    <row r="25482" spans="4:11" ht="12.75">
      <c r="D25482" s="67"/>
      <c r="G25482" s="68"/>
      <c r="K25482" s="68"/>
    </row>
    <row r="25483" spans="4:11" ht="12.75">
      <c r="D25483" s="67"/>
      <c r="G25483" s="68"/>
      <c r="K25483" s="68"/>
    </row>
    <row r="25484" spans="4:11" ht="12.75">
      <c r="D25484" s="67"/>
      <c r="G25484" s="68"/>
      <c r="K25484" s="68"/>
    </row>
    <row r="25485" spans="4:11" ht="12.75">
      <c r="D25485" s="67"/>
      <c r="G25485" s="68"/>
      <c r="K25485" s="68"/>
    </row>
    <row r="25486" spans="4:11" ht="12.75">
      <c r="D25486" s="67"/>
      <c r="G25486" s="68"/>
      <c r="K25486" s="68"/>
    </row>
    <row r="25487" spans="4:11" ht="12.75">
      <c r="D25487" s="67"/>
      <c r="G25487" s="68"/>
      <c r="K25487" s="68"/>
    </row>
    <row r="25488" spans="4:11" ht="12.75">
      <c r="D25488" s="67"/>
      <c r="G25488" s="68"/>
      <c r="K25488" s="68"/>
    </row>
    <row r="25489" spans="4:11" ht="12.75">
      <c r="D25489" s="67"/>
      <c r="G25489" s="68"/>
      <c r="K25489" s="68"/>
    </row>
    <row r="25490" spans="4:11" ht="12.75">
      <c r="D25490" s="67"/>
      <c r="G25490" s="68"/>
      <c r="K25490" s="68"/>
    </row>
    <row r="25491" spans="4:11" ht="12.75">
      <c r="D25491" s="67"/>
      <c r="G25491" s="68"/>
      <c r="K25491" s="68"/>
    </row>
    <row r="25492" spans="4:11" ht="12.75">
      <c r="D25492" s="67"/>
      <c r="G25492" s="68"/>
      <c r="K25492" s="68"/>
    </row>
    <row r="25493" spans="4:11" ht="12.75">
      <c r="D25493" s="67"/>
      <c r="G25493" s="68"/>
      <c r="K25493" s="68"/>
    </row>
    <row r="25494" spans="4:11" ht="12.75">
      <c r="D25494" s="67"/>
      <c r="G25494" s="68"/>
      <c r="K25494" s="68"/>
    </row>
    <row r="25495" spans="4:11" ht="12.75">
      <c r="D25495" s="67"/>
      <c r="G25495" s="68"/>
      <c r="K25495" s="68"/>
    </row>
    <row r="25496" spans="4:11" ht="12.75">
      <c r="D25496" s="67"/>
      <c r="G25496" s="68"/>
      <c r="K25496" s="68"/>
    </row>
    <row r="25497" spans="4:11" ht="12.75">
      <c r="D25497" s="67"/>
      <c r="G25497" s="68"/>
      <c r="K25497" s="68"/>
    </row>
    <row r="25498" spans="4:11" ht="12.75">
      <c r="D25498" s="67"/>
      <c r="G25498" s="68"/>
      <c r="K25498" s="68"/>
    </row>
    <row r="25499" spans="4:11" ht="12.75">
      <c r="D25499" s="67"/>
      <c r="G25499" s="68"/>
      <c r="K25499" s="68"/>
    </row>
    <row r="25500" spans="4:11" ht="12.75">
      <c r="D25500" s="67"/>
      <c r="G25500" s="68"/>
      <c r="K25500" s="68"/>
    </row>
    <row r="25501" spans="4:11" ht="12.75">
      <c r="D25501" s="67"/>
      <c r="G25501" s="68"/>
      <c r="K25501" s="68"/>
    </row>
    <row r="25502" spans="4:11" ht="12.75">
      <c r="D25502" s="67"/>
      <c r="G25502" s="68"/>
      <c r="K25502" s="68"/>
    </row>
    <row r="25503" spans="4:11" ht="12.75">
      <c r="D25503" s="67"/>
      <c r="G25503" s="68"/>
      <c r="K25503" s="68"/>
    </row>
    <row r="25504" spans="4:11" ht="12.75">
      <c r="D25504" s="67"/>
      <c r="G25504" s="68"/>
      <c r="K25504" s="68"/>
    </row>
    <row r="25505" spans="4:11" ht="12.75">
      <c r="D25505" s="67"/>
      <c r="G25505" s="68"/>
      <c r="K25505" s="68"/>
    </row>
    <row r="25506" spans="4:11" ht="12.75">
      <c r="D25506" s="67"/>
      <c r="G25506" s="68"/>
      <c r="K25506" s="68"/>
    </row>
    <row r="25507" spans="4:11" ht="12.75">
      <c r="D25507" s="67"/>
      <c r="G25507" s="68"/>
      <c r="K25507" s="68"/>
    </row>
    <row r="25508" spans="4:11" ht="12.75">
      <c r="D25508" s="67"/>
      <c r="G25508" s="68"/>
      <c r="K25508" s="68"/>
    </row>
    <row r="25509" spans="4:11" ht="12.75">
      <c r="D25509" s="67"/>
      <c r="G25509" s="68"/>
      <c r="K25509" s="68"/>
    </row>
    <row r="25510" spans="4:11" ht="12.75">
      <c r="D25510" s="67"/>
      <c r="G25510" s="68"/>
      <c r="K25510" s="68"/>
    </row>
    <row r="25511" spans="4:11" ht="12.75">
      <c r="D25511" s="67"/>
      <c r="G25511" s="68"/>
      <c r="K25511" s="68"/>
    </row>
    <row r="25512" spans="4:11" ht="12.75">
      <c r="D25512" s="67"/>
      <c r="G25512" s="68"/>
      <c r="K25512" s="68"/>
    </row>
    <row r="25513" spans="4:11" ht="12.75">
      <c r="D25513" s="67"/>
      <c r="G25513" s="68"/>
      <c r="K25513" s="68"/>
    </row>
    <row r="25514" spans="4:11" ht="12.75">
      <c r="D25514" s="67"/>
      <c r="G25514" s="68"/>
      <c r="K25514" s="68"/>
    </row>
    <row r="25515" spans="4:11" ht="12.75">
      <c r="D25515" s="67"/>
      <c r="G25515" s="68"/>
      <c r="K25515" s="68"/>
    </row>
    <row r="25516" spans="4:11" ht="12.75">
      <c r="D25516" s="67"/>
      <c r="G25516" s="68"/>
      <c r="K25516" s="68"/>
    </row>
    <row r="25517" spans="4:11" ht="12.75">
      <c r="D25517" s="67"/>
      <c r="G25517" s="68"/>
      <c r="K25517" s="68"/>
    </row>
    <row r="25518" spans="4:11" ht="12.75">
      <c r="D25518" s="67"/>
      <c r="G25518" s="68"/>
      <c r="K25518" s="68"/>
    </row>
    <row r="25519" spans="4:11" ht="12.75">
      <c r="D25519" s="67"/>
      <c r="G25519" s="68"/>
      <c r="K25519" s="68"/>
    </row>
    <row r="25520" spans="4:11" ht="12.75">
      <c r="D25520" s="67"/>
      <c r="G25520" s="68"/>
      <c r="K25520" s="68"/>
    </row>
    <row r="25521" spans="4:11" ht="12.75">
      <c r="D25521" s="67"/>
      <c r="G25521" s="68"/>
      <c r="K25521" s="68"/>
    </row>
    <row r="25522" spans="4:11" ht="12.75">
      <c r="D25522" s="67"/>
      <c r="G25522" s="68"/>
      <c r="K25522" s="68"/>
    </row>
    <row r="25523" spans="4:11" ht="12.75">
      <c r="D25523" s="67"/>
      <c r="G25523" s="68"/>
      <c r="K25523" s="68"/>
    </row>
    <row r="25524" spans="4:11" ht="12.75">
      <c r="D25524" s="67"/>
      <c r="G25524" s="68"/>
      <c r="K25524" s="68"/>
    </row>
    <row r="25525" spans="4:11" ht="12.75">
      <c r="D25525" s="67"/>
      <c r="G25525" s="68"/>
      <c r="K25525" s="68"/>
    </row>
    <row r="25526" spans="4:11" ht="12.75">
      <c r="D25526" s="67"/>
      <c r="G25526" s="68"/>
      <c r="K25526" s="68"/>
    </row>
    <row r="25527" spans="4:11" ht="12.75">
      <c r="D25527" s="67"/>
      <c r="G25527" s="68"/>
      <c r="K25527" s="68"/>
    </row>
    <row r="25528" spans="4:11" ht="12.75">
      <c r="D25528" s="67"/>
      <c r="G25528" s="68"/>
      <c r="K25528" s="68"/>
    </row>
    <row r="25529" spans="4:11" ht="12.75">
      <c r="D25529" s="67"/>
      <c r="G25529" s="68"/>
      <c r="K25529" s="68"/>
    </row>
    <row r="25530" spans="4:11" ht="12.75">
      <c r="D25530" s="67"/>
      <c r="G25530" s="68"/>
      <c r="K25530" s="68"/>
    </row>
    <row r="25531" spans="4:11" ht="12.75">
      <c r="D25531" s="67"/>
      <c r="G25531" s="68"/>
      <c r="K25531" s="68"/>
    </row>
    <row r="25532" spans="4:11" ht="12.75">
      <c r="D25532" s="67"/>
      <c r="G25532" s="68"/>
      <c r="K25532" s="68"/>
    </row>
    <row r="25533" spans="4:11" ht="12.75">
      <c r="D25533" s="67"/>
      <c r="G25533" s="68"/>
      <c r="K25533" s="68"/>
    </row>
    <row r="25534" spans="4:11" ht="12.75">
      <c r="D25534" s="67"/>
      <c r="G25534" s="68"/>
      <c r="K25534" s="68"/>
    </row>
    <row r="25535" spans="4:11" ht="12.75">
      <c r="D25535" s="67"/>
      <c r="G25535" s="68"/>
      <c r="K25535" s="68"/>
    </row>
    <row r="25536" spans="4:11" ht="12.75">
      <c r="D25536" s="67"/>
      <c r="G25536" s="68"/>
      <c r="K25536" s="68"/>
    </row>
    <row r="25537" spans="4:11" ht="12.75">
      <c r="D25537" s="67"/>
      <c r="G25537" s="68"/>
      <c r="K25537" s="68"/>
    </row>
    <row r="25538" spans="4:11" ht="12.75">
      <c r="D25538" s="67"/>
      <c r="G25538" s="68"/>
      <c r="K25538" s="68"/>
    </row>
    <row r="25539" spans="4:11" ht="12.75">
      <c r="D25539" s="67"/>
      <c r="G25539" s="68"/>
      <c r="K25539" s="68"/>
    </row>
    <row r="25540" spans="4:11" ht="12.75">
      <c r="D25540" s="67"/>
      <c r="G25540" s="68"/>
      <c r="K25540" s="68"/>
    </row>
    <row r="25541" spans="4:11" ht="12.75">
      <c r="D25541" s="67"/>
      <c r="G25541" s="68"/>
      <c r="K25541" s="68"/>
    </row>
    <row r="25542" spans="4:11" ht="12.75">
      <c r="D25542" s="67"/>
      <c r="G25542" s="68"/>
      <c r="K25542" s="68"/>
    </row>
    <row r="25543" spans="4:11" ht="12.75">
      <c r="D25543" s="67"/>
      <c r="G25543" s="68"/>
      <c r="K25543" s="68"/>
    </row>
    <row r="25544" spans="4:11" ht="12.75">
      <c r="D25544" s="67"/>
      <c r="G25544" s="68"/>
      <c r="K25544" s="68"/>
    </row>
    <row r="25545" spans="4:11" ht="12.75">
      <c r="D25545" s="67"/>
      <c r="G25545" s="68"/>
      <c r="K25545" s="68"/>
    </row>
    <row r="25546" spans="4:11" ht="12.75">
      <c r="D25546" s="67"/>
      <c r="G25546" s="68"/>
      <c r="K25546" s="68"/>
    </row>
    <row r="25547" spans="4:11" ht="12.75">
      <c r="D25547" s="67"/>
      <c r="G25547" s="68"/>
      <c r="K25547" s="68"/>
    </row>
    <row r="25548" spans="4:11" ht="12.75">
      <c r="D25548" s="67"/>
      <c r="G25548" s="68"/>
      <c r="K25548" s="68"/>
    </row>
    <row r="25549" spans="4:11" ht="12.75">
      <c r="D25549" s="67"/>
      <c r="G25549" s="68"/>
      <c r="K25549" s="68"/>
    </row>
    <row r="25550" spans="4:11" ht="12.75">
      <c r="D25550" s="67"/>
      <c r="G25550" s="68"/>
      <c r="K25550" s="68"/>
    </row>
    <row r="25551" spans="4:11" ht="12.75">
      <c r="D25551" s="67"/>
      <c r="G25551" s="68"/>
      <c r="K25551" s="68"/>
    </row>
    <row r="25552" spans="4:11" ht="12.75">
      <c r="D25552" s="67"/>
      <c r="G25552" s="68"/>
      <c r="K25552" s="68"/>
    </row>
    <row r="25553" spans="4:11" ht="12.75">
      <c r="D25553" s="67"/>
      <c r="G25553" s="68"/>
      <c r="K25553" s="68"/>
    </row>
    <row r="25554" spans="4:11" ht="12.75">
      <c r="D25554" s="67"/>
      <c r="G25554" s="68"/>
      <c r="K25554" s="68"/>
    </row>
    <row r="25555" spans="4:11" ht="12.75">
      <c r="D25555" s="67"/>
      <c r="G25555" s="68"/>
      <c r="K25555" s="68"/>
    </row>
    <row r="25556" spans="4:11" ht="12.75">
      <c r="D25556" s="67"/>
      <c r="G25556" s="68"/>
      <c r="K25556" s="68"/>
    </row>
    <row r="25557" spans="4:11" ht="12.75">
      <c r="D25557" s="67"/>
      <c r="G25557" s="68"/>
      <c r="K25557" s="68"/>
    </row>
    <row r="25558" spans="4:11" ht="12.75">
      <c r="D25558" s="67"/>
      <c r="G25558" s="68"/>
      <c r="K25558" s="68"/>
    </row>
    <row r="25559" spans="4:11" ht="12.75">
      <c r="D25559" s="67"/>
      <c r="G25559" s="68"/>
      <c r="K25559" s="68"/>
    </row>
    <row r="25560" spans="4:11" ht="12.75">
      <c r="D25560" s="67"/>
      <c r="G25560" s="68"/>
      <c r="K25560" s="68"/>
    </row>
    <row r="25561" spans="4:11" ht="12.75">
      <c r="D25561" s="67"/>
      <c r="G25561" s="68"/>
      <c r="K25561" s="68"/>
    </row>
    <row r="25562" spans="4:11" ht="12.75">
      <c r="D25562" s="67"/>
      <c r="G25562" s="68"/>
      <c r="K25562" s="68"/>
    </row>
    <row r="25563" spans="4:11" ht="12.75">
      <c r="D25563" s="67"/>
      <c r="G25563" s="68"/>
      <c r="K25563" s="68"/>
    </row>
    <row r="25564" spans="4:11" ht="12.75">
      <c r="D25564" s="67"/>
      <c r="G25564" s="68"/>
      <c r="K25564" s="68"/>
    </row>
    <row r="25565" spans="4:11" ht="12.75">
      <c r="D25565" s="67"/>
      <c r="G25565" s="68"/>
      <c r="K25565" s="68"/>
    </row>
    <row r="25566" spans="4:11" ht="12.75">
      <c r="D25566" s="67"/>
      <c r="G25566" s="68"/>
      <c r="K25566" s="68"/>
    </row>
    <row r="25567" spans="4:11" ht="12.75">
      <c r="D25567" s="67"/>
      <c r="G25567" s="68"/>
      <c r="K25567" s="68"/>
    </row>
    <row r="25568" spans="4:11" ht="12.75">
      <c r="D25568" s="67"/>
      <c r="G25568" s="68"/>
      <c r="K25568" s="68"/>
    </row>
    <row r="25569" spans="4:11" ht="12.75">
      <c r="D25569" s="67"/>
      <c r="G25569" s="68"/>
      <c r="K25569" s="68"/>
    </row>
    <row r="25570" spans="4:11" ht="12.75">
      <c r="D25570" s="67"/>
      <c r="G25570" s="68"/>
      <c r="K25570" s="68"/>
    </row>
    <row r="25571" spans="4:11" ht="12.75">
      <c r="D25571" s="67"/>
      <c r="G25571" s="68"/>
      <c r="K25571" s="68"/>
    </row>
    <row r="25572" spans="4:11" ht="12.75">
      <c r="D25572" s="67"/>
      <c r="G25572" s="68"/>
      <c r="K25572" s="68"/>
    </row>
    <row r="25573" spans="4:11" ht="12.75">
      <c r="D25573" s="67"/>
      <c r="G25573" s="68"/>
      <c r="K25573" s="68"/>
    </row>
    <row r="25574" spans="4:11" ht="12.75">
      <c r="D25574" s="67"/>
      <c r="G25574" s="68"/>
      <c r="K25574" s="68"/>
    </row>
    <row r="25575" spans="4:11" ht="12.75">
      <c r="D25575" s="67"/>
      <c r="G25575" s="68"/>
      <c r="K25575" s="68"/>
    </row>
    <row r="25576" spans="4:11" ht="12.75">
      <c r="D25576" s="67"/>
      <c r="G25576" s="68"/>
      <c r="K25576" s="68"/>
    </row>
    <row r="25577" spans="4:11" ht="12.75">
      <c r="D25577" s="67"/>
      <c r="G25577" s="68"/>
      <c r="K25577" s="68"/>
    </row>
    <row r="25578" spans="4:11" ht="12.75">
      <c r="D25578" s="67"/>
      <c r="G25578" s="68"/>
      <c r="K25578" s="68"/>
    </row>
    <row r="25579" spans="4:11" ht="12.75">
      <c r="D25579" s="67"/>
      <c r="G25579" s="68"/>
      <c r="K25579" s="68"/>
    </row>
    <row r="25580" spans="4:11" ht="12.75">
      <c r="D25580" s="67"/>
      <c r="G25580" s="68"/>
      <c r="K25580" s="68"/>
    </row>
    <row r="25581" spans="4:11" ht="12.75">
      <c r="D25581" s="67"/>
      <c r="G25581" s="68"/>
      <c r="K25581" s="68"/>
    </row>
    <row r="25582" spans="4:11" ht="12.75">
      <c r="D25582" s="67"/>
      <c r="G25582" s="68"/>
      <c r="K25582" s="68"/>
    </row>
    <row r="25583" spans="4:11" ht="12.75">
      <c r="D25583" s="67"/>
      <c r="G25583" s="68"/>
      <c r="K25583" s="68"/>
    </row>
    <row r="25584" spans="4:11" ht="12.75">
      <c r="D25584" s="67"/>
      <c r="G25584" s="68"/>
      <c r="K25584" s="68"/>
    </row>
    <row r="25585" spans="4:11" ht="12.75">
      <c r="D25585" s="67"/>
      <c r="G25585" s="68"/>
      <c r="K25585" s="68"/>
    </row>
    <row r="25586" spans="4:11" ht="12.75">
      <c r="D25586" s="67"/>
      <c r="G25586" s="68"/>
      <c r="K25586" s="68"/>
    </row>
    <row r="25587" spans="4:11" ht="12.75">
      <c r="D25587" s="67"/>
      <c r="G25587" s="68"/>
      <c r="K25587" s="68"/>
    </row>
    <row r="25588" spans="4:11" ht="12.75">
      <c r="D25588" s="67"/>
      <c r="G25588" s="68"/>
      <c r="K25588" s="68"/>
    </row>
    <row r="25589" spans="4:11" ht="12.75">
      <c r="D25589" s="67"/>
      <c r="G25589" s="68"/>
      <c r="K25589" s="68"/>
    </row>
    <row r="25590" spans="4:11" ht="12.75">
      <c r="D25590" s="67"/>
      <c r="G25590" s="68"/>
      <c r="K25590" s="68"/>
    </row>
    <row r="25591" spans="4:11" ht="12.75">
      <c r="D25591" s="67"/>
      <c r="G25591" s="68"/>
      <c r="K25591" s="68"/>
    </row>
    <row r="25592" spans="4:11" ht="12.75">
      <c r="D25592" s="67"/>
      <c r="G25592" s="68"/>
      <c r="K25592" s="68"/>
    </row>
    <row r="25593" spans="4:11" ht="12.75">
      <c r="D25593" s="67"/>
      <c r="G25593" s="68"/>
      <c r="K25593" s="68"/>
    </row>
    <row r="25594" spans="4:11" ht="12.75">
      <c r="D25594" s="67"/>
      <c r="G25594" s="68"/>
      <c r="K25594" s="68"/>
    </row>
    <row r="25595" spans="4:11" ht="12.75">
      <c r="D25595" s="67"/>
      <c r="G25595" s="68"/>
      <c r="K25595" s="68"/>
    </row>
    <row r="25596" spans="4:11" ht="12.75">
      <c r="D25596" s="67"/>
      <c r="G25596" s="68"/>
      <c r="K25596" s="68"/>
    </row>
    <row r="25597" spans="4:11" ht="12.75">
      <c r="D25597" s="67"/>
      <c r="G25597" s="68"/>
      <c r="K25597" s="68"/>
    </row>
    <row r="25598" spans="4:11" ht="12.75">
      <c r="D25598" s="67"/>
      <c r="G25598" s="68"/>
      <c r="K25598" s="68"/>
    </row>
    <row r="25599" spans="4:11" ht="12.75">
      <c r="D25599" s="67"/>
      <c r="G25599" s="68"/>
      <c r="K25599" s="68"/>
    </row>
    <row r="25600" spans="4:11" ht="12.75">
      <c r="D25600" s="67"/>
      <c r="G25600" s="68"/>
      <c r="K25600" s="68"/>
    </row>
    <row r="25601" spans="4:11" ht="12.75">
      <c r="D25601" s="67"/>
      <c r="G25601" s="68"/>
      <c r="K25601" s="68"/>
    </row>
    <row r="25602" spans="4:11" ht="12.75">
      <c r="D25602" s="67"/>
      <c r="G25602" s="68"/>
      <c r="K25602" s="68"/>
    </row>
    <row r="25603" spans="4:11" ht="12.75">
      <c r="D25603" s="67"/>
      <c r="G25603" s="68"/>
      <c r="K25603" s="68"/>
    </row>
    <row r="25604" spans="4:11" ht="12.75">
      <c r="D25604" s="67"/>
      <c r="G25604" s="68"/>
      <c r="K25604" s="68"/>
    </row>
    <row r="25605" spans="4:11" ht="12.75">
      <c r="D25605" s="67"/>
      <c r="G25605" s="68"/>
      <c r="K25605" s="68"/>
    </row>
    <row r="25606" spans="4:11" ht="12.75">
      <c r="D25606" s="67"/>
      <c r="G25606" s="68"/>
      <c r="K25606" s="68"/>
    </row>
    <row r="25607" spans="4:11" ht="12.75">
      <c r="D25607" s="67"/>
      <c r="G25607" s="68"/>
      <c r="K25607" s="68"/>
    </row>
    <row r="25608" spans="4:11" ht="12.75">
      <c r="D25608" s="67"/>
      <c r="G25608" s="68"/>
      <c r="K25608" s="68"/>
    </row>
    <row r="25609" spans="4:11" ht="12.75">
      <c r="D25609" s="67"/>
      <c r="G25609" s="68"/>
      <c r="K25609" s="68"/>
    </row>
    <row r="25610" spans="4:11" ht="12.75">
      <c r="D25610" s="67"/>
      <c r="G25610" s="68"/>
      <c r="K25610" s="68"/>
    </row>
    <row r="25611" spans="4:11" ht="12.75">
      <c r="D25611" s="67"/>
      <c r="G25611" s="68"/>
      <c r="K25611" s="68"/>
    </row>
    <row r="25612" spans="4:11" ht="12.75">
      <c r="D25612" s="67"/>
      <c r="G25612" s="68"/>
      <c r="K25612" s="68"/>
    </row>
    <row r="25613" spans="4:11" ht="12.75">
      <c r="D25613" s="67"/>
      <c r="G25613" s="68"/>
      <c r="K25613" s="68"/>
    </row>
    <row r="25614" spans="4:11" ht="12.75">
      <c r="D25614" s="67"/>
      <c r="G25614" s="68"/>
      <c r="K25614" s="68"/>
    </row>
    <row r="25615" spans="4:11" ht="12.75">
      <c r="D25615" s="67"/>
      <c r="G25615" s="68"/>
      <c r="K25615" s="68"/>
    </row>
    <row r="25616" spans="4:11" ht="12.75">
      <c r="D25616" s="67"/>
      <c r="G25616" s="68"/>
      <c r="K25616" s="68"/>
    </row>
    <row r="25617" spans="4:11" ht="12.75">
      <c r="D25617" s="67"/>
      <c r="G25617" s="68"/>
      <c r="K25617" s="68"/>
    </row>
    <row r="25618" spans="4:11" ht="12.75">
      <c r="D25618" s="67"/>
      <c r="G25618" s="68"/>
      <c r="K25618" s="68"/>
    </row>
    <row r="25619" spans="4:11" ht="12.75">
      <c r="D25619" s="67"/>
      <c r="G25619" s="68"/>
      <c r="K25619" s="68"/>
    </row>
    <row r="25620" spans="4:11" ht="12.75">
      <c r="D25620" s="67"/>
      <c r="G25620" s="68"/>
      <c r="K25620" s="68"/>
    </row>
    <row r="25621" spans="4:11" ht="12.75">
      <c r="D25621" s="67"/>
      <c r="G25621" s="68"/>
      <c r="K25621" s="68"/>
    </row>
    <row r="25622" spans="4:11" ht="12.75">
      <c r="D25622" s="67"/>
      <c r="G25622" s="68"/>
      <c r="K25622" s="68"/>
    </row>
    <row r="25623" spans="4:11" ht="12.75">
      <c r="D25623" s="67"/>
      <c r="G25623" s="68"/>
      <c r="K25623" s="68"/>
    </row>
    <row r="25624" spans="4:11" ht="12.75">
      <c r="D25624" s="67"/>
      <c r="G25624" s="68"/>
      <c r="K25624" s="68"/>
    </row>
    <row r="25625" spans="4:11" ht="12.75">
      <c r="D25625" s="67"/>
      <c r="G25625" s="68"/>
      <c r="K25625" s="68"/>
    </row>
    <row r="25626" spans="4:11" ht="12.75">
      <c r="D25626" s="67"/>
      <c r="G25626" s="68"/>
      <c r="K25626" s="68"/>
    </row>
    <row r="25627" spans="4:11" ht="12.75">
      <c r="D25627" s="67"/>
      <c r="G25627" s="68"/>
      <c r="K25627" s="68"/>
    </row>
    <row r="25628" spans="4:11" ht="12.75">
      <c r="D25628" s="67"/>
      <c r="G25628" s="68"/>
      <c r="K25628" s="68"/>
    </row>
    <row r="25629" spans="4:11" ht="12.75">
      <c r="D25629" s="67"/>
      <c r="G25629" s="68"/>
      <c r="K25629" s="68"/>
    </row>
    <row r="25630" spans="4:11" ht="12.75">
      <c r="D25630" s="67"/>
      <c r="G25630" s="68"/>
      <c r="K25630" s="68"/>
    </row>
    <row r="25631" spans="4:11" ht="12.75">
      <c r="D25631" s="67"/>
      <c r="G25631" s="68"/>
      <c r="K25631" s="68"/>
    </row>
    <row r="25632" spans="4:11" ht="12.75">
      <c r="D25632" s="67"/>
      <c r="G25632" s="68"/>
      <c r="K25632" s="68"/>
    </row>
    <row r="25633" spans="4:11" ht="12.75">
      <c r="D25633" s="67"/>
      <c r="G25633" s="68"/>
      <c r="K25633" s="68"/>
    </row>
    <row r="25634" spans="4:11" ht="12.75">
      <c r="D25634" s="67"/>
      <c r="G25634" s="68"/>
      <c r="K25634" s="68"/>
    </row>
    <row r="25635" spans="4:11" ht="12.75">
      <c r="D25635" s="67"/>
      <c r="G25635" s="68"/>
      <c r="K25635" s="68"/>
    </row>
    <row r="25636" spans="4:11" ht="12.75">
      <c r="D25636" s="67"/>
      <c r="G25636" s="68"/>
      <c r="K25636" s="68"/>
    </row>
    <row r="25637" spans="4:11" ht="12.75">
      <c r="D25637" s="67"/>
      <c r="G25637" s="68"/>
      <c r="K25637" s="68"/>
    </row>
    <row r="25638" spans="4:11" ht="12.75">
      <c r="D25638" s="67"/>
      <c r="G25638" s="68"/>
      <c r="K25638" s="68"/>
    </row>
    <row r="25639" spans="4:11" ht="12.75">
      <c r="D25639" s="67"/>
      <c r="G25639" s="68"/>
      <c r="K25639" s="68"/>
    </row>
    <row r="25640" spans="4:11" ht="12.75">
      <c r="D25640" s="67"/>
      <c r="G25640" s="68"/>
      <c r="K25640" s="68"/>
    </row>
    <row r="25641" spans="4:11" ht="12.75">
      <c r="D25641" s="67"/>
      <c r="G25641" s="68"/>
      <c r="K25641" s="68"/>
    </row>
    <row r="25642" spans="4:11" ht="12.75">
      <c r="D25642" s="67"/>
      <c r="G25642" s="68"/>
      <c r="K25642" s="68"/>
    </row>
    <row r="25643" spans="4:11" ht="12.75">
      <c r="D25643" s="67"/>
      <c r="G25643" s="68"/>
      <c r="K25643" s="68"/>
    </row>
    <row r="25644" spans="4:11" ht="12.75">
      <c r="D25644" s="67"/>
      <c r="G25644" s="68"/>
      <c r="K25644" s="68"/>
    </row>
    <row r="25645" spans="4:11" ht="12.75">
      <c r="D25645" s="67"/>
      <c r="G25645" s="68"/>
      <c r="K25645" s="68"/>
    </row>
    <row r="25646" spans="4:11" ht="12.75">
      <c r="D25646" s="67"/>
      <c r="G25646" s="68"/>
      <c r="K25646" s="68"/>
    </row>
    <row r="25647" spans="4:11" ht="12.75">
      <c r="D25647" s="67"/>
      <c r="G25647" s="68"/>
      <c r="K25647" s="68"/>
    </row>
    <row r="25648" spans="4:11" ht="12.75">
      <c r="D25648" s="67"/>
      <c r="G25648" s="68"/>
      <c r="K25648" s="68"/>
    </row>
    <row r="25649" spans="4:11" ht="12.75">
      <c r="D25649" s="67"/>
      <c r="G25649" s="68"/>
      <c r="K25649" s="68"/>
    </row>
    <row r="25650" spans="4:11" ht="12.75">
      <c r="D25650" s="67"/>
      <c r="G25650" s="68"/>
      <c r="K25650" s="68"/>
    </row>
    <row r="25651" spans="4:11" ht="12.75">
      <c r="D25651" s="67"/>
      <c r="G25651" s="68"/>
      <c r="K25651" s="68"/>
    </row>
    <row r="25652" spans="4:11" ht="12.75">
      <c r="D25652" s="67"/>
      <c r="G25652" s="68"/>
      <c r="K25652" s="68"/>
    </row>
    <row r="25653" spans="4:11" ht="12.75">
      <c r="D25653" s="67"/>
      <c r="G25653" s="68"/>
      <c r="K25653" s="68"/>
    </row>
    <row r="25654" spans="4:11" ht="12.75">
      <c r="D25654" s="67"/>
      <c r="G25654" s="68"/>
      <c r="K25654" s="68"/>
    </row>
    <row r="25655" spans="4:11" ht="12.75">
      <c r="D25655" s="67"/>
      <c r="G25655" s="68"/>
      <c r="K25655" s="68"/>
    </row>
    <row r="25656" spans="4:11" ht="12.75">
      <c r="D25656" s="67"/>
      <c r="G25656" s="68"/>
      <c r="K25656" s="68"/>
    </row>
    <row r="25657" spans="4:11" ht="12.75">
      <c r="D25657" s="67"/>
      <c r="G25657" s="68"/>
      <c r="K25657" s="68"/>
    </row>
    <row r="25658" spans="4:11" ht="12.75">
      <c r="D25658" s="67"/>
      <c r="G25658" s="68"/>
      <c r="K25658" s="68"/>
    </row>
    <row r="25659" spans="4:11" ht="12.75">
      <c r="D25659" s="67"/>
      <c r="G25659" s="68"/>
      <c r="K25659" s="68"/>
    </row>
    <row r="25660" spans="4:11" ht="12.75">
      <c r="D25660" s="67"/>
      <c r="G25660" s="68"/>
      <c r="K25660" s="68"/>
    </row>
    <row r="25661" spans="4:11" ht="12.75">
      <c r="D25661" s="67"/>
      <c r="G25661" s="68"/>
      <c r="K25661" s="68"/>
    </row>
    <row r="25662" spans="4:11" ht="12.75">
      <c r="D25662" s="67"/>
      <c r="G25662" s="68"/>
      <c r="K25662" s="68"/>
    </row>
    <row r="25663" spans="4:11" ht="12.75">
      <c r="D25663" s="67"/>
      <c r="G25663" s="68"/>
      <c r="K25663" s="68"/>
    </row>
    <row r="25664" spans="4:11" ht="12.75">
      <c r="D25664" s="67"/>
      <c r="G25664" s="68"/>
      <c r="K25664" s="68"/>
    </row>
    <row r="25665" spans="4:11" ht="12.75">
      <c r="D25665" s="67"/>
      <c r="G25665" s="68"/>
      <c r="K25665" s="68"/>
    </row>
    <row r="25666" spans="4:11" ht="12.75">
      <c r="D25666" s="67"/>
      <c r="G25666" s="68"/>
      <c r="K25666" s="68"/>
    </row>
    <row r="25667" spans="4:11" ht="12.75">
      <c r="D25667" s="67"/>
      <c r="G25667" s="68"/>
      <c r="K25667" s="68"/>
    </row>
    <row r="25668" spans="4:11" ht="12.75">
      <c r="D25668" s="67"/>
      <c r="G25668" s="68"/>
      <c r="K25668" s="68"/>
    </row>
    <row r="25669" spans="4:11" ht="12.75">
      <c r="D25669" s="67"/>
      <c r="G25669" s="68"/>
      <c r="K25669" s="68"/>
    </row>
    <row r="25670" spans="4:11" ht="12.75">
      <c r="D25670" s="67"/>
      <c r="G25670" s="68"/>
      <c r="K25670" s="68"/>
    </row>
    <row r="25671" spans="4:11" ht="12.75">
      <c r="D25671" s="67"/>
      <c r="G25671" s="68"/>
      <c r="K25671" s="68"/>
    </row>
    <row r="25672" spans="4:11" ht="12.75">
      <c r="D25672" s="67"/>
      <c r="G25672" s="68"/>
      <c r="K25672" s="68"/>
    </row>
    <row r="25673" spans="4:11" ht="12.75">
      <c r="D25673" s="67"/>
      <c r="G25673" s="68"/>
      <c r="K25673" s="68"/>
    </row>
    <row r="25674" spans="4:11" ht="12.75">
      <c r="D25674" s="67"/>
      <c r="G25674" s="68"/>
      <c r="K25674" s="68"/>
    </row>
    <row r="25675" spans="4:11" ht="12.75">
      <c r="D25675" s="67"/>
      <c r="G25675" s="68"/>
      <c r="K25675" s="68"/>
    </row>
    <row r="25676" spans="4:11" ht="12.75">
      <c r="D25676" s="67"/>
      <c r="G25676" s="68"/>
      <c r="K25676" s="68"/>
    </row>
    <row r="25677" spans="4:11" ht="12.75">
      <c r="D25677" s="67"/>
      <c r="G25677" s="68"/>
      <c r="K25677" s="68"/>
    </row>
    <row r="25678" spans="4:11" ht="12.75">
      <c r="D25678" s="67"/>
      <c r="G25678" s="68"/>
      <c r="K25678" s="68"/>
    </row>
    <row r="25679" spans="4:11" ht="12.75">
      <c r="D25679" s="67"/>
      <c r="G25679" s="68"/>
      <c r="K25679" s="68"/>
    </row>
    <row r="25680" spans="4:11" ht="12.75">
      <c r="D25680" s="67"/>
      <c r="G25680" s="68"/>
      <c r="K25680" s="68"/>
    </row>
    <row r="25681" spans="4:11" ht="12.75">
      <c r="D25681" s="67"/>
      <c r="G25681" s="68"/>
      <c r="K25681" s="68"/>
    </row>
    <row r="25682" spans="4:11" ht="12.75">
      <c r="D25682" s="67"/>
      <c r="G25682" s="68"/>
      <c r="K25682" s="68"/>
    </row>
    <row r="25683" spans="4:11" ht="12.75">
      <c r="D25683" s="67"/>
      <c r="G25683" s="68"/>
      <c r="K25683" s="68"/>
    </row>
    <row r="25684" spans="4:11" ht="12.75">
      <c r="D25684" s="67"/>
      <c r="G25684" s="68"/>
      <c r="K25684" s="68"/>
    </row>
    <row r="25685" spans="4:11" ht="12.75">
      <c r="D25685" s="67"/>
      <c r="G25685" s="68"/>
      <c r="K25685" s="68"/>
    </row>
    <row r="25686" spans="4:11" ht="12.75">
      <c r="D25686" s="67"/>
      <c r="G25686" s="68"/>
      <c r="K25686" s="68"/>
    </row>
    <row r="25687" spans="4:11" ht="12.75">
      <c r="D25687" s="67"/>
      <c r="G25687" s="68"/>
      <c r="K25687" s="68"/>
    </row>
    <row r="25688" spans="4:11" ht="12.75">
      <c r="D25688" s="67"/>
      <c r="G25688" s="68"/>
      <c r="K25688" s="68"/>
    </row>
    <row r="25689" spans="4:11" ht="12.75">
      <c r="D25689" s="67"/>
      <c r="G25689" s="68"/>
      <c r="K25689" s="68"/>
    </row>
    <row r="25690" spans="4:11" ht="12.75">
      <c r="D25690" s="67"/>
      <c r="G25690" s="68"/>
      <c r="K25690" s="68"/>
    </row>
    <row r="25691" spans="4:11" ht="12.75">
      <c r="D25691" s="67"/>
      <c r="G25691" s="68"/>
      <c r="K25691" s="68"/>
    </row>
    <row r="25692" spans="4:11" ht="12.75">
      <c r="D25692" s="67"/>
      <c r="G25692" s="68"/>
      <c r="K25692" s="68"/>
    </row>
    <row r="25693" spans="4:11" ht="12.75">
      <c r="D25693" s="67"/>
      <c r="G25693" s="68"/>
      <c r="K25693" s="68"/>
    </row>
    <row r="25694" spans="4:11" ht="12.75">
      <c r="D25694" s="67"/>
      <c r="G25694" s="68"/>
      <c r="K25694" s="68"/>
    </row>
    <row r="25695" spans="4:11" ht="12.75">
      <c r="D25695" s="67"/>
      <c r="G25695" s="68"/>
      <c r="K25695" s="68"/>
    </row>
    <row r="25696" spans="4:11" ht="12.75">
      <c r="D25696" s="67"/>
      <c r="G25696" s="68"/>
      <c r="K25696" s="68"/>
    </row>
    <row r="25697" spans="4:11" ht="12.75">
      <c r="D25697" s="67"/>
      <c r="G25697" s="68"/>
      <c r="K25697" s="68"/>
    </row>
    <row r="25698" spans="4:11" ht="12.75">
      <c r="D25698" s="67"/>
      <c r="G25698" s="68"/>
      <c r="K25698" s="68"/>
    </row>
    <row r="25699" spans="4:11" ht="12.75">
      <c r="D25699" s="67"/>
      <c r="G25699" s="68"/>
      <c r="K25699" s="68"/>
    </row>
    <row r="25700" spans="4:11" ht="12.75">
      <c r="D25700" s="67"/>
      <c r="G25700" s="68"/>
      <c r="K25700" s="68"/>
    </row>
    <row r="25701" spans="4:11" ht="12.75">
      <c r="D25701" s="67"/>
      <c r="G25701" s="68"/>
      <c r="K25701" s="68"/>
    </row>
    <row r="25702" spans="4:11" ht="12.75">
      <c r="D25702" s="67"/>
      <c r="G25702" s="68"/>
      <c r="K25702" s="68"/>
    </row>
    <row r="25703" spans="4:11" ht="12.75">
      <c r="D25703" s="67"/>
      <c r="G25703" s="68"/>
      <c r="K25703" s="68"/>
    </row>
    <row r="25704" spans="4:11" ht="12.75">
      <c r="D25704" s="67"/>
      <c r="G25704" s="68"/>
      <c r="K25704" s="68"/>
    </row>
    <row r="25705" spans="4:11" ht="12.75">
      <c r="D25705" s="67"/>
      <c r="G25705" s="68"/>
      <c r="K25705" s="68"/>
    </row>
    <row r="25706" spans="4:11" ht="12.75">
      <c r="D25706" s="67"/>
      <c r="G25706" s="68"/>
      <c r="K25706" s="68"/>
    </row>
    <row r="25707" spans="4:11" ht="12.75">
      <c r="D25707" s="67"/>
      <c r="G25707" s="68"/>
      <c r="K25707" s="68"/>
    </row>
    <row r="25708" spans="4:11" ht="12.75">
      <c r="D25708" s="67"/>
      <c r="G25708" s="68"/>
      <c r="K25708" s="68"/>
    </row>
    <row r="25709" spans="4:11" ht="12.75">
      <c r="D25709" s="67"/>
      <c r="G25709" s="68"/>
      <c r="K25709" s="68"/>
    </row>
    <row r="25710" spans="4:11" ht="12.75">
      <c r="D25710" s="67"/>
      <c r="G25710" s="68"/>
      <c r="K25710" s="68"/>
    </row>
    <row r="25711" spans="4:11" ht="12.75">
      <c r="D25711" s="67"/>
      <c r="G25711" s="68"/>
      <c r="K25711" s="68"/>
    </row>
    <row r="25712" spans="4:11" ht="12.75">
      <c r="D25712" s="67"/>
      <c r="G25712" s="68"/>
      <c r="K25712" s="68"/>
    </row>
    <row r="25713" spans="4:11" ht="12.75">
      <c r="D25713" s="67"/>
      <c r="G25713" s="68"/>
      <c r="K25713" s="68"/>
    </row>
    <row r="25714" spans="4:11" ht="12.75">
      <c r="D25714" s="67"/>
      <c r="G25714" s="68"/>
      <c r="K25714" s="68"/>
    </row>
    <row r="25715" spans="4:11" ht="12.75">
      <c r="D25715" s="67"/>
      <c r="G25715" s="68"/>
      <c r="K25715" s="68"/>
    </row>
    <row r="25716" spans="4:11" ht="12.75">
      <c r="D25716" s="67"/>
      <c r="G25716" s="68"/>
      <c r="K25716" s="68"/>
    </row>
    <row r="25717" spans="4:11" ht="12.75">
      <c r="D25717" s="67"/>
      <c r="G25717" s="68"/>
      <c r="K25717" s="68"/>
    </row>
    <row r="25718" spans="4:11" ht="12.75">
      <c r="D25718" s="67"/>
      <c r="G25718" s="68"/>
      <c r="K25718" s="68"/>
    </row>
    <row r="25719" spans="4:11" ht="12.75">
      <c r="D25719" s="67"/>
      <c r="G25719" s="68"/>
      <c r="K25719" s="68"/>
    </row>
    <row r="25720" spans="4:11" ht="12.75">
      <c r="D25720" s="67"/>
      <c r="G25720" s="68"/>
      <c r="K25720" s="68"/>
    </row>
    <row r="25721" spans="4:11" ht="12.75">
      <c r="D25721" s="67"/>
      <c r="G25721" s="68"/>
      <c r="K25721" s="68"/>
    </row>
    <row r="25722" spans="4:11" ht="12.75">
      <c r="D25722" s="67"/>
      <c r="G25722" s="68"/>
      <c r="K25722" s="68"/>
    </row>
    <row r="25723" spans="4:11" ht="12.75">
      <c r="D25723" s="67"/>
      <c r="G25723" s="68"/>
      <c r="K25723" s="68"/>
    </row>
    <row r="25724" spans="4:11" ht="12.75">
      <c r="D25724" s="67"/>
      <c r="G25724" s="68"/>
      <c r="K25724" s="68"/>
    </row>
    <row r="25725" spans="4:11" ht="12.75">
      <c r="D25725" s="67"/>
      <c r="G25725" s="68"/>
      <c r="K25725" s="68"/>
    </row>
    <row r="25726" spans="4:11" ht="12.75">
      <c r="D25726" s="67"/>
      <c r="G25726" s="68"/>
      <c r="K25726" s="68"/>
    </row>
    <row r="25727" spans="4:11" ht="12.75">
      <c r="D25727" s="67"/>
      <c r="G25727" s="68"/>
      <c r="K25727" s="68"/>
    </row>
    <row r="25728" spans="4:11" ht="12.75">
      <c r="D25728" s="67"/>
      <c r="G25728" s="68"/>
      <c r="K25728" s="68"/>
    </row>
    <row r="25729" spans="4:11" ht="12.75">
      <c r="D25729" s="67"/>
      <c r="G25729" s="68"/>
      <c r="K25729" s="68"/>
    </row>
    <row r="25730" spans="4:11" ht="12.75">
      <c r="D25730" s="67"/>
      <c r="G25730" s="68"/>
      <c r="K25730" s="68"/>
    </row>
    <row r="25731" spans="4:11" ht="12.75">
      <c r="D25731" s="67"/>
      <c r="G25731" s="68"/>
      <c r="K25731" s="68"/>
    </row>
    <row r="25732" spans="4:11" ht="12.75">
      <c r="D25732" s="67"/>
      <c r="G25732" s="68"/>
      <c r="K25732" s="68"/>
    </row>
    <row r="25733" spans="4:11" ht="12.75">
      <c r="D25733" s="67"/>
      <c r="G25733" s="68"/>
      <c r="K25733" s="68"/>
    </row>
    <row r="25734" spans="4:11" ht="12.75">
      <c r="D25734" s="67"/>
      <c r="G25734" s="68"/>
      <c r="K25734" s="68"/>
    </row>
    <row r="25735" spans="4:11" ht="12.75">
      <c r="D25735" s="67"/>
      <c r="G25735" s="68"/>
      <c r="K25735" s="68"/>
    </row>
    <row r="25736" spans="4:11" ht="12.75">
      <c r="D25736" s="67"/>
      <c r="G25736" s="68"/>
      <c r="K25736" s="68"/>
    </row>
    <row r="25737" spans="4:11" ht="12.75">
      <c r="D25737" s="67"/>
      <c r="G25737" s="68"/>
      <c r="K25737" s="68"/>
    </row>
    <row r="25738" spans="4:11" ht="12.75">
      <c r="D25738" s="67"/>
      <c r="G25738" s="68"/>
      <c r="K25738" s="68"/>
    </row>
    <row r="25739" spans="4:11" ht="12.75">
      <c r="D25739" s="67"/>
      <c r="G25739" s="68"/>
      <c r="K25739" s="68"/>
    </row>
    <row r="25740" spans="4:11" ht="12.75">
      <c r="D25740" s="67"/>
      <c r="G25740" s="68"/>
      <c r="K25740" s="68"/>
    </row>
    <row r="25741" spans="4:11" ht="12.75">
      <c r="D25741" s="67"/>
      <c r="G25741" s="68"/>
      <c r="K25741" s="68"/>
    </row>
    <row r="25742" spans="4:11" ht="12.75">
      <c r="D25742" s="67"/>
      <c r="G25742" s="68"/>
      <c r="K25742" s="68"/>
    </row>
    <row r="25743" spans="4:11" ht="12.75">
      <c r="D25743" s="67"/>
      <c r="G25743" s="68"/>
      <c r="K25743" s="68"/>
    </row>
    <row r="25744" spans="4:11" ht="12.75">
      <c r="D25744" s="67"/>
      <c r="G25744" s="68"/>
      <c r="K25744" s="68"/>
    </row>
    <row r="25745" spans="4:11" ht="12.75">
      <c r="D25745" s="67"/>
      <c r="G25745" s="68"/>
      <c r="K25745" s="68"/>
    </row>
    <row r="25746" spans="4:11" ht="12.75">
      <c r="D25746" s="67"/>
      <c r="G25746" s="68"/>
      <c r="K25746" s="68"/>
    </row>
    <row r="25747" spans="4:11" ht="12.75">
      <c r="D25747" s="67"/>
      <c r="G25747" s="68"/>
      <c r="K25747" s="68"/>
    </row>
    <row r="25748" spans="4:11" ht="12.75">
      <c r="D25748" s="67"/>
      <c r="G25748" s="68"/>
      <c r="K25748" s="68"/>
    </row>
    <row r="25749" spans="4:11" ht="12.75">
      <c r="D25749" s="67"/>
      <c r="G25749" s="68"/>
      <c r="K25749" s="68"/>
    </row>
    <row r="25750" spans="4:11" ht="12.75">
      <c r="D25750" s="67"/>
      <c r="G25750" s="68"/>
      <c r="K25750" s="68"/>
    </row>
    <row r="25751" spans="4:11" ht="12.75">
      <c r="D25751" s="67"/>
      <c r="G25751" s="68"/>
      <c r="K25751" s="68"/>
    </row>
    <row r="25752" spans="4:11" ht="12.75">
      <c r="D25752" s="67"/>
      <c r="G25752" s="68"/>
      <c r="K25752" s="68"/>
    </row>
    <row r="25753" spans="4:11" ht="12.75">
      <c r="D25753" s="67"/>
      <c r="G25753" s="68"/>
      <c r="K25753" s="68"/>
    </row>
    <row r="25754" spans="4:11" ht="12.75">
      <c r="D25754" s="67"/>
      <c r="G25754" s="68"/>
      <c r="K25754" s="68"/>
    </row>
    <row r="25755" spans="4:11" ht="12.75">
      <c r="D25755" s="67"/>
      <c r="G25755" s="68"/>
      <c r="K25755" s="68"/>
    </row>
    <row r="25756" spans="4:11" ht="12.75">
      <c r="D25756" s="67"/>
      <c r="G25756" s="68"/>
      <c r="K25756" s="68"/>
    </row>
    <row r="25757" spans="4:11" ht="12.75">
      <c r="D25757" s="67"/>
      <c r="G25757" s="68"/>
      <c r="K25757" s="68"/>
    </row>
    <row r="25758" spans="4:11" ht="12.75">
      <c r="D25758" s="67"/>
      <c r="G25758" s="68"/>
      <c r="K25758" s="68"/>
    </row>
    <row r="25759" spans="4:11" ht="12.75">
      <c r="D25759" s="67"/>
      <c r="G25759" s="68"/>
      <c r="K25759" s="68"/>
    </row>
    <row r="25760" spans="4:11" ht="12.75">
      <c r="D25760" s="67"/>
      <c r="G25760" s="68"/>
      <c r="K25760" s="68"/>
    </row>
    <row r="25761" spans="4:11" ht="12.75">
      <c r="D25761" s="67"/>
      <c r="G25761" s="68"/>
      <c r="K25761" s="68"/>
    </row>
    <row r="25762" spans="4:11" ht="12.75">
      <c r="D25762" s="67"/>
      <c r="G25762" s="68"/>
      <c r="K25762" s="68"/>
    </row>
    <row r="25763" spans="4:11" ht="12.75">
      <c r="D25763" s="67"/>
      <c r="G25763" s="68"/>
      <c r="K25763" s="68"/>
    </row>
    <row r="25764" spans="4:11" ht="12.75">
      <c r="D25764" s="67"/>
      <c r="G25764" s="68"/>
      <c r="K25764" s="68"/>
    </row>
    <row r="25765" spans="4:11" ht="12.75">
      <c r="D25765" s="67"/>
      <c r="G25765" s="68"/>
      <c r="K25765" s="68"/>
    </row>
    <row r="25766" spans="4:11" ht="12.75">
      <c r="D25766" s="67"/>
      <c r="G25766" s="68"/>
      <c r="K25766" s="68"/>
    </row>
    <row r="25767" spans="4:11" ht="12.75">
      <c r="D25767" s="67"/>
      <c r="G25767" s="68"/>
      <c r="K25767" s="68"/>
    </row>
    <row r="25768" spans="4:11" ht="12.75">
      <c r="D25768" s="67"/>
      <c r="G25768" s="68"/>
      <c r="K25768" s="68"/>
    </row>
    <row r="25769" spans="4:11" ht="12.75">
      <c r="D25769" s="67"/>
      <c r="G25769" s="68"/>
      <c r="K25769" s="68"/>
    </row>
    <row r="25770" spans="4:11" ht="12.75">
      <c r="D25770" s="67"/>
      <c r="G25770" s="68"/>
      <c r="K25770" s="68"/>
    </row>
    <row r="25771" spans="4:11" ht="12.75">
      <c r="D25771" s="67"/>
      <c r="G25771" s="68"/>
      <c r="K25771" s="68"/>
    </row>
    <row r="25772" spans="4:11" ht="12.75">
      <c r="D25772" s="67"/>
      <c r="G25772" s="68"/>
      <c r="K25772" s="68"/>
    </row>
    <row r="25773" spans="4:11" ht="12.75">
      <c r="D25773" s="67"/>
      <c r="G25773" s="68"/>
      <c r="K25773" s="68"/>
    </row>
    <row r="25774" spans="4:11" ht="12.75">
      <c r="D25774" s="67"/>
      <c r="G25774" s="68"/>
      <c r="K25774" s="68"/>
    </row>
    <row r="25775" spans="4:11" ht="12.75">
      <c r="D25775" s="67"/>
      <c r="G25775" s="68"/>
      <c r="K25775" s="68"/>
    </row>
    <row r="25776" spans="4:11" ht="12.75">
      <c r="D25776" s="67"/>
      <c r="G25776" s="68"/>
      <c r="K25776" s="68"/>
    </row>
    <row r="25777" spans="4:11" ht="12.75">
      <c r="D25777" s="67"/>
      <c r="G25777" s="68"/>
      <c r="K25777" s="68"/>
    </row>
    <row r="25778" spans="4:11" ht="12.75">
      <c r="D25778" s="67"/>
      <c r="G25778" s="68"/>
      <c r="K25778" s="68"/>
    </row>
    <row r="25779" spans="4:11" ht="12.75">
      <c r="D25779" s="67"/>
      <c r="G25779" s="68"/>
      <c r="K25779" s="68"/>
    </row>
    <row r="25780" spans="4:11" ht="12.75">
      <c r="D25780" s="67"/>
      <c r="G25780" s="68"/>
      <c r="K25780" s="68"/>
    </row>
    <row r="25781" spans="4:11" ht="12.75">
      <c r="D25781" s="67"/>
      <c r="G25781" s="68"/>
      <c r="K25781" s="68"/>
    </row>
    <row r="25782" spans="4:11" ht="12.75">
      <c r="D25782" s="67"/>
      <c r="G25782" s="68"/>
      <c r="K25782" s="68"/>
    </row>
    <row r="25783" spans="4:11" ht="12.75">
      <c r="D25783" s="67"/>
      <c r="G25783" s="68"/>
      <c r="K25783" s="68"/>
    </row>
    <row r="25784" spans="4:11" ht="12.75">
      <c r="D25784" s="67"/>
      <c r="G25784" s="68"/>
      <c r="K25784" s="68"/>
    </row>
    <row r="25785" spans="4:11" ht="12.75">
      <c r="D25785" s="67"/>
      <c r="G25785" s="68"/>
      <c r="K25785" s="68"/>
    </row>
    <row r="25786" spans="4:11" ht="12.75">
      <c r="D25786" s="67"/>
      <c r="G25786" s="68"/>
      <c r="K25786" s="68"/>
    </row>
    <row r="25787" spans="4:11" ht="12.75">
      <c r="D25787" s="67"/>
      <c r="G25787" s="68"/>
      <c r="K25787" s="68"/>
    </row>
    <row r="25788" spans="4:11" ht="12.75">
      <c r="D25788" s="67"/>
      <c r="G25788" s="68"/>
      <c r="K25788" s="68"/>
    </row>
    <row r="25789" spans="4:11" ht="12.75">
      <c r="D25789" s="67"/>
      <c r="G25789" s="68"/>
      <c r="K25789" s="68"/>
    </row>
    <row r="25790" spans="4:11" ht="12.75">
      <c r="D25790" s="67"/>
      <c r="G25790" s="68"/>
      <c r="K25790" s="68"/>
    </row>
    <row r="25791" spans="4:11" ht="12.75">
      <c r="D25791" s="67"/>
      <c r="G25791" s="68"/>
      <c r="K25791" s="68"/>
    </row>
    <row r="25792" spans="4:11" ht="12.75">
      <c r="D25792" s="67"/>
      <c r="G25792" s="68"/>
      <c r="K25792" s="68"/>
    </row>
    <row r="25793" spans="4:11" ht="12.75">
      <c r="D25793" s="67"/>
      <c r="G25793" s="68"/>
      <c r="K25793" s="68"/>
    </row>
    <row r="25794" spans="4:11" ht="12.75">
      <c r="D25794" s="67"/>
      <c r="G25794" s="68"/>
      <c r="K25794" s="68"/>
    </row>
    <row r="25795" spans="4:11" ht="12.75">
      <c r="D25795" s="67"/>
      <c r="G25795" s="68"/>
      <c r="K25795" s="68"/>
    </row>
    <row r="25796" spans="4:11" ht="12.75">
      <c r="D25796" s="67"/>
      <c r="G25796" s="68"/>
      <c r="K25796" s="68"/>
    </row>
    <row r="25797" spans="4:11" ht="12.75">
      <c r="D25797" s="67"/>
      <c r="G25797" s="68"/>
      <c r="K25797" s="68"/>
    </row>
    <row r="25798" spans="4:11" ht="12.75">
      <c r="D25798" s="67"/>
      <c r="G25798" s="68"/>
      <c r="K25798" s="68"/>
    </row>
    <row r="25799" spans="4:11" ht="12.75">
      <c r="D25799" s="67"/>
      <c r="G25799" s="68"/>
      <c r="K25799" s="68"/>
    </row>
    <row r="25800" spans="4:11" ht="12.75">
      <c r="D25800" s="67"/>
      <c r="G25800" s="68"/>
      <c r="K25800" s="68"/>
    </row>
    <row r="25801" spans="4:11" ht="12.75">
      <c r="D25801" s="67"/>
      <c r="G25801" s="68"/>
      <c r="K25801" s="68"/>
    </row>
    <row r="25802" spans="4:11" ht="12.75">
      <c r="D25802" s="67"/>
      <c r="G25802" s="68"/>
      <c r="K25802" s="68"/>
    </row>
    <row r="25803" spans="4:11" ht="12.75">
      <c r="D25803" s="67"/>
      <c r="G25803" s="68"/>
      <c r="K25803" s="68"/>
    </row>
    <row r="25804" spans="4:11" ht="12.75">
      <c r="D25804" s="67"/>
      <c r="G25804" s="68"/>
      <c r="K25804" s="68"/>
    </row>
    <row r="25805" spans="4:11" ht="12.75">
      <c r="D25805" s="67"/>
      <c r="G25805" s="68"/>
      <c r="K25805" s="68"/>
    </row>
    <row r="25806" spans="4:11" ht="12.75">
      <c r="D25806" s="67"/>
      <c r="G25806" s="68"/>
      <c r="K25806" s="68"/>
    </row>
    <row r="25807" spans="4:11" ht="12.75">
      <c r="D25807" s="67"/>
      <c r="G25807" s="68"/>
      <c r="K25807" s="68"/>
    </row>
    <row r="25808" spans="4:11" ht="12.75">
      <c r="D25808" s="67"/>
      <c r="G25808" s="68"/>
      <c r="K25808" s="68"/>
    </row>
    <row r="25809" spans="4:11" ht="12.75">
      <c r="D25809" s="67"/>
      <c r="G25809" s="68"/>
      <c r="K25809" s="68"/>
    </row>
    <row r="25810" spans="4:11" ht="12.75">
      <c r="D25810" s="67"/>
      <c r="G25810" s="68"/>
      <c r="K25810" s="68"/>
    </row>
    <row r="25811" spans="4:11" ht="12.75">
      <c r="D25811" s="67"/>
      <c r="G25811" s="68"/>
      <c r="K25811" s="68"/>
    </row>
    <row r="25812" spans="4:11" ht="12.75">
      <c r="D25812" s="67"/>
      <c r="G25812" s="68"/>
      <c r="K25812" s="68"/>
    </row>
    <row r="25813" spans="4:11" ht="12.75">
      <c r="D25813" s="67"/>
      <c r="G25813" s="68"/>
      <c r="K25813" s="68"/>
    </row>
    <row r="25814" spans="4:11" ht="12.75">
      <c r="D25814" s="67"/>
      <c r="G25814" s="68"/>
      <c r="K25814" s="68"/>
    </row>
    <row r="25815" spans="4:11" ht="12.75">
      <c r="D25815" s="67"/>
      <c r="G25815" s="68"/>
      <c r="K25815" s="68"/>
    </row>
    <row r="25816" spans="4:11" ht="12.75">
      <c r="D25816" s="67"/>
      <c r="G25816" s="68"/>
      <c r="K25816" s="68"/>
    </row>
    <row r="25817" spans="4:11" ht="12.75">
      <c r="D25817" s="67"/>
      <c r="G25817" s="68"/>
      <c r="K25817" s="68"/>
    </row>
    <row r="25818" spans="4:11" ht="12.75">
      <c r="D25818" s="67"/>
      <c r="G25818" s="68"/>
      <c r="K25818" s="68"/>
    </row>
    <row r="25819" spans="4:11" ht="12.75">
      <c r="D25819" s="67"/>
      <c r="G25819" s="68"/>
      <c r="K25819" s="68"/>
    </row>
    <row r="25820" spans="4:11" ht="12.75">
      <c r="D25820" s="67"/>
      <c r="G25820" s="68"/>
      <c r="K25820" s="68"/>
    </row>
    <row r="25821" spans="4:11" ht="12.75">
      <c r="D25821" s="67"/>
      <c r="G25821" s="68"/>
      <c r="K25821" s="68"/>
    </row>
    <row r="25822" spans="4:11" ht="12.75">
      <c r="D25822" s="67"/>
      <c r="G25822" s="68"/>
      <c r="K25822" s="68"/>
    </row>
    <row r="25823" spans="4:11" ht="12.75">
      <c r="D25823" s="67"/>
      <c r="G25823" s="68"/>
      <c r="K25823" s="68"/>
    </row>
    <row r="25824" spans="4:11" ht="12.75">
      <c r="D25824" s="67"/>
      <c r="G25824" s="68"/>
      <c r="K25824" s="68"/>
    </row>
    <row r="25825" spans="4:11" ht="12.75">
      <c r="D25825" s="67"/>
      <c r="G25825" s="68"/>
      <c r="K25825" s="68"/>
    </row>
    <row r="25826" spans="4:11" ht="12.75">
      <c r="D25826" s="67"/>
      <c r="G25826" s="68"/>
      <c r="K25826" s="68"/>
    </row>
    <row r="25827" spans="4:11" ht="12.75">
      <c r="D25827" s="67"/>
      <c r="G25827" s="68"/>
      <c r="K25827" s="68"/>
    </row>
    <row r="25828" spans="4:11" ht="12.75">
      <c r="D25828" s="67"/>
      <c r="G25828" s="68"/>
      <c r="K25828" s="68"/>
    </row>
    <row r="25829" spans="4:11" ht="12.75">
      <c r="D25829" s="67"/>
      <c r="G25829" s="68"/>
      <c r="K25829" s="68"/>
    </row>
    <row r="25830" spans="4:11" ht="12.75">
      <c r="D25830" s="67"/>
      <c r="G25830" s="68"/>
      <c r="K25830" s="68"/>
    </row>
    <row r="25831" spans="4:11" ht="12.75">
      <c r="D25831" s="67"/>
      <c r="G25831" s="68"/>
      <c r="K25831" s="68"/>
    </row>
    <row r="25832" spans="4:11" ht="12.75">
      <c r="D25832" s="67"/>
      <c r="G25832" s="68"/>
      <c r="K25832" s="68"/>
    </row>
    <row r="25833" spans="4:11" ht="12.75">
      <c r="D25833" s="67"/>
      <c r="G25833" s="68"/>
      <c r="K25833" s="68"/>
    </row>
    <row r="25834" spans="4:11" ht="12.75">
      <c r="D25834" s="67"/>
      <c r="G25834" s="68"/>
      <c r="K25834" s="68"/>
    </row>
    <row r="25835" spans="4:11" ht="12.75">
      <c r="D25835" s="67"/>
      <c r="G25835" s="68"/>
      <c r="K25835" s="68"/>
    </row>
    <row r="25836" spans="4:11" ht="12.75">
      <c r="D25836" s="67"/>
      <c r="G25836" s="68"/>
      <c r="K25836" s="68"/>
    </row>
    <row r="25837" spans="4:11" ht="12.75">
      <c r="D25837" s="67"/>
      <c r="G25837" s="68"/>
      <c r="K25837" s="68"/>
    </row>
    <row r="25838" spans="4:11" ht="12.75">
      <c r="D25838" s="67"/>
      <c r="G25838" s="68"/>
      <c r="K25838" s="68"/>
    </row>
    <row r="25839" spans="4:11" ht="12.75">
      <c r="D25839" s="67"/>
      <c r="G25839" s="68"/>
      <c r="K25839" s="68"/>
    </row>
    <row r="25840" spans="4:11" ht="12.75">
      <c r="D25840" s="67"/>
      <c r="G25840" s="68"/>
      <c r="K25840" s="68"/>
    </row>
    <row r="25841" spans="4:11" ht="12.75">
      <c r="D25841" s="67"/>
      <c r="G25841" s="68"/>
      <c r="K25841" s="68"/>
    </row>
    <row r="25842" spans="4:11" ht="12.75">
      <c r="D25842" s="67"/>
      <c r="G25842" s="68"/>
      <c r="K25842" s="68"/>
    </row>
    <row r="25843" spans="4:11" ht="12.75">
      <c r="D25843" s="67"/>
      <c r="G25843" s="68"/>
      <c r="K25843" s="68"/>
    </row>
    <row r="25844" spans="4:11" ht="12.75">
      <c r="D25844" s="67"/>
      <c r="G25844" s="68"/>
      <c r="K25844" s="68"/>
    </row>
    <row r="25845" spans="4:11" ht="12.75">
      <c r="D25845" s="67"/>
      <c r="G25845" s="68"/>
      <c r="K25845" s="68"/>
    </row>
    <row r="25846" spans="4:11" ht="12.75">
      <c r="D25846" s="67"/>
      <c r="G25846" s="68"/>
      <c r="K25846" s="68"/>
    </row>
    <row r="25847" spans="4:11" ht="12.75">
      <c r="D25847" s="67"/>
      <c r="G25847" s="68"/>
      <c r="K25847" s="68"/>
    </row>
    <row r="25848" spans="4:11" ht="12.75">
      <c r="D25848" s="67"/>
      <c r="G25848" s="68"/>
      <c r="K25848" s="68"/>
    </row>
    <row r="25849" spans="4:11" ht="12.75">
      <c r="D25849" s="67"/>
      <c r="G25849" s="68"/>
      <c r="K25849" s="68"/>
    </row>
    <row r="25850" spans="4:11" ht="12.75">
      <c r="D25850" s="67"/>
      <c r="G25850" s="68"/>
      <c r="K25850" s="68"/>
    </row>
    <row r="25851" spans="4:11" ht="12.75">
      <c r="D25851" s="67"/>
      <c r="G25851" s="68"/>
      <c r="K25851" s="68"/>
    </row>
    <row r="25852" spans="4:11" ht="12.75">
      <c r="D25852" s="67"/>
      <c r="G25852" s="68"/>
      <c r="K25852" s="68"/>
    </row>
    <row r="25853" spans="4:11" ht="12.75">
      <c r="D25853" s="67"/>
      <c r="G25853" s="68"/>
      <c r="K25853" s="68"/>
    </row>
    <row r="25854" spans="4:11" ht="12.75">
      <c r="D25854" s="67"/>
      <c r="G25854" s="68"/>
      <c r="K25854" s="68"/>
    </row>
    <row r="25855" spans="4:11" ht="12.75">
      <c r="D25855" s="67"/>
      <c r="G25855" s="68"/>
      <c r="K25855" s="68"/>
    </row>
    <row r="25856" spans="4:11" ht="12.75">
      <c r="D25856" s="67"/>
      <c r="G25856" s="68"/>
      <c r="K25856" s="68"/>
    </row>
    <row r="25857" spans="4:11" ht="12.75">
      <c r="D25857" s="67"/>
      <c r="G25857" s="68"/>
      <c r="K25857" s="68"/>
    </row>
    <row r="25858" spans="4:11" ht="12.75">
      <c r="D25858" s="67"/>
      <c r="G25858" s="68"/>
      <c r="K25858" s="68"/>
    </row>
    <row r="25859" spans="4:11" ht="12.75">
      <c r="D25859" s="67"/>
      <c r="G25859" s="68"/>
      <c r="K25859" s="68"/>
    </row>
    <row r="25860" spans="4:11" ht="12.75">
      <c r="D25860" s="67"/>
      <c r="G25860" s="68"/>
      <c r="K25860" s="68"/>
    </row>
    <row r="25861" spans="4:11" ht="12.75">
      <c r="D25861" s="67"/>
      <c r="G25861" s="68"/>
      <c r="K25861" s="68"/>
    </row>
    <row r="25862" spans="4:11" ht="12.75">
      <c r="D25862" s="67"/>
      <c r="G25862" s="68"/>
      <c r="K25862" s="68"/>
    </row>
    <row r="25863" spans="4:11" ht="12.75">
      <c r="D25863" s="67"/>
      <c r="G25863" s="68"/>
      <c r="K25863" s="68"/>
    </row>
    <row r="25864" spans="4:11" ht="12.75">
      <c r="D25864" s="67"/>
      <c r="G25864" s="68"/>
      <c r="K25864" s="68"/>
    </row>
    <row r="25865" spans="4:11" ht="12.75">
      <c r="D25865" s="67"/>
      <c r="G25865" s="68"/>
      <c r="K25865" s="68"/>
    </row>
    <row r="25866" spans="4:11" ht="12.75">
      <c r="D25866" s="67"/>
      <c r="G25866" s="68"/>
      <c r="K25866" s="68"/>
    </row>
    <row r="25867" spans="4:11" ht="12.75">
      <c r="D25867" s="67"/>
      <c r="G25867" s="68"/>
      <c r="K25867" s="68"/>
    </row>
    <row r="25868" spans="4:11" ht="12.75">
      <c r="D25868" s="67"/>
      <c r="G25868" s="68"/>
      <c r="K25868" s="68"/>
    </row>
    <row r="25869" spans="4:11" ht="12.75">
      <c r="D25869" s="67"/>
      <c r="G25869" s="68"/>
      <c r="K25869" s="68"/>
    </row>
    <row r="25870" spans="4:11" ht="12.75">
      <c r="D25870" s="67"/>
      <c r="G25870" s="68"/>
      <c r="K25870" s="68"/>
    </row>
    <row r="25871" spans="4:11" ht="12.75">
      <c r="D25871" s="67"/>
      <c r="G25871" s="68"/>
      <c r="K25871" s="68"/>
    </row>
    <row r="25872" spans="4:11" ht="12.75">
      <c r="D25872" s="67"/>
      <c r="G25872" s="68"/>
      <c r="K25872" s="68"/>
    </row>
    <row r="25873" spans="4:11" ht="12.75">
      <c r="D25873" s="67"/>
      <c r="G25873" s="68"/>
      <c r="K25873" s="68"/>
    </row>
    <row r="25874" spans="4:11" ht="12.75">
      <c r="D25874" s="67"/>
      <c r="G25874" s="68"/>
      <c r="K25874" s="68"/>
    </row>
    <row r="25875" spans="4:11" ht="12.75">
      <c r="D25875" s="67"/>
      <c r="G25875" s="68"/>
      <c r="K25875" s="68"/>
    </row>
    <row r="25876" spans="4:11" ht="12.75">
      <c r="D25876" s="67"/>
      <c r="G25876" s="68"/>
      <c r="K25876" s="68"/>
    </row>
    <row r="25877" spans="4:11" ht="12.75">
      <c r="D25877" s="67"/>
      <c r="G25877" s="68"/>
      <c r="K25877" s="68"/>
    </row>
    <row r="25878" spans="4:11" ht="12.75">
      <c r="D25878" s="67"/>
      <c r="G25878" s="68"/>
      <c r="K25878" s="68"/>
    </row>
    <row r="25879" spans="4:11" ht="12.75">
      <c r="D25879" s="67"/>
      <c r="G25879" s="68"/>
      <c r="K25879" s="68"/>
    </row>
    <row r="25880" spans="4:11" ht="12.75">
      <c r="D25880" s="67"/>
      <c r="G25880" s="68"/>
      <c r="K25880" s="68"/>
    </row>
    <row r="25881" spans="4:11" ht="12.75">
      <c r="D25881" s="67"/>
      <c r="G25881" s="68"/>
      <c r="K25881" s="68"/>
    </row>
    <row r="25882" spans="4:11" ht="12.75">
      <c r="D25882" s="67"/>
      <c r="G25882" s="68"/>
      <c r="K25882" s="68"/>
    </row>
    <row r="25883" spans="4:11" ht="12.75">
      <c r="D25883" s="67"/>
      <c r="G25883" s="68"/>
      <c r="K25883" s="68"/>
    </row>
    <row r="25884" spans="4:11" ht="12.75">
      <c r="D25884" s="67"/>
      <c r="G25884" s="68"/>
      <c r="K25884" s="68"/>
    </row>
    <row r="25885" spans="4:11" ht="12.75">
      <c r="D25885" s="67"/>
      <c r="G25885" s="68"/>
      <c r="K25885" s="68"/>
    </row>
    <row r="25886" spans="4:11" ht="12.75">
      <c r="D25886" s="67"/>
      <c r="G25886" s="68"/>
      <c r="K25886" s="68"/>
    </row>
    <row r="25887" spans="4:11" ht="12.75">
      <c r="D25887" s="67"/>
      <c r="G25887" s="68"/>
      <c r="K25887" s="68"/>
    </row>
    <row r="25888" spans="4:11" ht="12.75">
      <c r="D25888" s="67"/>
      <c r="G25888" s="68"/>
      <c r="K25888" s="68"/>
    </row>
    <row r="25889" spans="4:11" ht="12.75">
      <c r="D25889" s="67"/>
      <c r="G25889" s="68"/>
      <c r="K25889" s="68"/>
    </row>
    <row r="25890" spans="4:11" ht="12.75">
      <c r="D25890" s="67"/>
      <c r="G25890" s="68"/>
      <c r="K25890" s="68"/>
    </row>
    <row r="25891" spans="4:11" ht="12.75">
      <c r="D25891" s="67"/>
      <c r="G25891" s="68"/>
      <c r="K25891" s="68"/>
    </row>
    <row r="25892" spans="4:11" ht="12.75">
      <c r="D25892" s="67"/>
      <c r="G25892" s="68"/>
      <c r="K25892" s="68"/>
    </row>
    <row r="25893" spans="4:11" ht="12.75">
      <c r="D25893" s="67"/>
      <c r="G25893" s="68"/>
      <c r="K25893" s="68"/>
    </row>
    <row r="25894" spans="4:11" ht="12.75">
      <c r="D25894" s="67"/>
      <c r="G25894" s="68"/>
      <c r="K25894" s="68"/>
    </row>
    <row r="25895" spans="4:11" ht="12.75">
      <c r="D25895" s="67"/>
      <c r="G25895" s="68"/>
      <c r="K25895" s="68"/>
    </row>
    <row r="25896" spans="4:11" ht="12.75">
      <c r="D25896" s="67"/>
      <c r="G25896" s="68"/>
      <c r="K25896" s="68"/>
    </row>
    <row r="25897" spans="4:11" ht="12.75">
      <c r="D25897" s="67"/>
      <c r="G25897" s="68"/>
      <c r="K25897" s="68"/>
    </row>
    <row r="25898" spans="4:11" ht="12.75">
      <c r="D25898" s="67"/>
      <c r="G25898" s="68"/>
      <c r="K25898" s="68"/>
    </row>
    <row r="25899" spans="4:11" ht="12.75">
      <c r="D25899" s="67"/>
      <c r="G25899" s="68"/>
      <c r="K25899" s="68"/>
    </row>
    <row r="25900" spans="4:11" ht="12.75">
      <c r="D25900" s="67"/>
      <c r="G25900" s="68"/>
      <c r="K25900" s="68"/>
    </row>
    <row r="25901" spans="4:11" ht="12.75">
      <c r="D25901" s="67"/>
      <c r="G25901" s="68"/>
      <c r="K25901" s="68"/>
    </row>
    <row r="25902" spans="4:11" ht="12.75">
      <c r="D25902" s="67"/>
      <c r="G25902" s="68"/>
      <c r="K25902" s="68"/>
    </row>
    <row r="25903" spans="4:11" ht="12.75">
      <c r="D25903" s="67"/>
      <c r="G25903" s="68"/>
      <c r="K25903" s="68"/>
    </row>
    <row r="25904" spans="4:11" ht="12.75">
      <c r="D25904" s="67"/>
      <c r="G25904" s="68"/>
      <c r="K25904" s="68"/>
    </row>
    <row r="25905" spans="4:11" ht="12.75">
      <c r="D25905" s="67"/>
      <c r="G25905" s="68"/>
      <c r="K25905" s="68"/>
    </row>
    <row r="25906" spans="4:11" ht="12.75">
      <c r="D25906" s="67"/>
      <c r="G25906" s="68"/>
      <c r="K25906" s="68"/>
    </row>
    <row r="25907" spans="4:11" ht="12.75">
      <c r="D25907" s="67"/>
      <c r="G25907" s="68"/>
      <c r="K25907" s="68"/>
    </row>
    <row r="25908" spans="4:11" ht="12.75">
      <c r="D25908" s="67"/>
      <c r="G25908" s="68"/>
      <c r="K25908" s="68"/>
    </row>
    <row r="25909" spans="4:11" ht="12.75">
      <c r="D25909" s="67"/>
      <c r="G25909" s="68"/>
      <c r="K25909" s="68"/>
    </row>
    <row r="25910" spans="4:11" ht="12.75">
      <c r="D25910" s="67"/>
      <c r="G25910" s="68"/>
      <c r="K25910" s="68"/>
    </row>
    <row r="25911" spans="4:11" ht="12.75">
      <c r="D25911" s="67"/>
      <c r="G25911" s="68"/>
      <c r="K25911" s="68"/>
    </row>
    <row r="25912" spans="4:11" ht="12.75">
      <c r="D25912" s="67"/>
      <c r="G25912" s="68"/>
      <c r="K25912" s="68"/>
    </row>
    <row r="25913" spans="4:11" ht="12.75">
      <c r="D25913" s="67"/>
      <c r="G25913" s="68"/>
      <c r="K25913" s="68"/>
    </row>
    <row r="25914" spans="4:11" ht="12.75">
      <c r="D25914" s="67"/>
      <c r="G25914" s="68"/>
      <c r="K25914" s="68"/>
    </row>
    <row r="25915" spans="4:11" ht="12.75">
      <c r="D25915" s="67"/>
      <c r="G25915" s="68"/>
      <c r="K25915" s="68"/>
    </row>
    <row r="25916" spans="4:11" ht="12.75">
      <c r="D25916" s="67"/>
      <c r="G25916" s="68"/>
      <c r="K25916" s="68"/>
    </row>
    <row r="25917" spans="4:11" ht="12.75">
      <c r="D25917" s="67"/>
      <c r="G25917" s="68"/>
      <c r="K25917" s="68"/>
    </row>
    <row r="25918" spans="4:11" ht="12.75">
      <c r="D25918" s="67"/>
      <c r="G25918" s="68"/>
      <c r="K25918" s="68"/>
    </row>
    <row r="25919" spans="4:11" ht="12.75">
      <c r="D25919" s="67"/>
      <c r="G25919" s="68"/>
      <c r="K25919" s="68"/>
    </row>
    <row r="25920" spans="4:11" ht="12.75">
      <c r="D25920" s="67"/>
      <c r="G25920" s="68"/>
      <c r="K25920" s="68"/>
    </row>
    <row r="25921" spans="4:11" ht="12.75">
      <c r="D25921" s="67"/>
      <c r="G25921" s="68"/>
      <c r="K25921" s="68"/>
    </row>
    <row r="25922" spans="4:11" ht="12.75">
      <c r="D25922" s="67"/>
      <c r="G25922" s="68"/>
      <c r="K25922" s="68"/>
    </row>
    <row r="25923" spans="4:11" ht="12.75">
      <c r="D25923" s="67"/>
      <c r="G25923" s="68"/>
      <c r="K25923" s="68"/>
    </row>
    <row r="25924" spans="4:11" ht="12.75">
      <c r="D25924" s="67"/>
      <c r="G25924" s="68"/>
      <c r="K25924" s="68"/>
    </row>
    <row r="25925" spans="4:11" ht="12.75">
      <c r="D25925" s="67"/>
      <c r="G25925" s="68"/>
      <c r="K25925" s="68"/>
    </row>
    <row r="25926" spans="4:11" ht="12.75">
      <c r="D25926" s="67"/>
      <c r="G25926" s="68"/>
      <c r="K25926" s="68"/>
    </row>
    <row r="25927" spans="4:11" ht="12.75">
      <c r="D25927" s="67"/>
      <c r="G25927" s="68"/>
      <c r="K25927" s="68"/>
    </row>
    <row r="25928" spans="4:11" ht="12.75">
      <c r="D25928" s="67"/>
      <c r="G25928" s="68"/>
      <c r="K25928" s="68"/>
    </row>
    <row r="25929" spans="4:11" ht="12.75">
      <c r="D25929" s="67"/>
      <c r="G25929" s="68"/>
      <c r="K25929" s="68"/>
    </row>
    <row r="25930" spans="4:11" ht="12.75">
      <c r="D25930" s="67"/>
      <c r="G25930" s="68"/>
      <c r="K25930" s="68"/>
    </row>
    <row r="25931" spans="4:11" ht="12.75">
      <c r="D25931" s="67"/>
      <c r="G25931" s="68"/>
      <c r="K25931" s="68"/>
    </row>
    <row r="25932" spans="4:11" ht="12.75">
      <c r="D25932" s="67"/>
      <c r="G25932" s="68"/>
      <c r="K25932" s="68"/>
    </row>
    <row r="25933" spans="4:11" ht="12.75">
      <c r="D25933" s="67"/>
      <c r="G25933" s="68"/>
      <c r="K25933" s="68"/>
    </row>
    <row r="25934" spans="4:11" ht="12.75">
      <c r="D25934" s="67"/>
      <c r="G25934" s="68"/>
      <c r="K25934" s="68"/>
    </row>
    <row r="25935" spans="4:11" ht="12.75">
      <c r="D25935" s="67"/>
      <c r="G25935" s="68"/>
      <c r="K25935" s="68"/>
    </row>
    <row r="25936" spans="4:11" ht="12.75">
      <c r="D25936" s="67"/>
      <c r="G25936" s="68"/>
      <c r="K25936" s="68"/>
    </row>
    <row r="25937" spans="4:11" ht="12.75">
      <c r="D25937" s="67"/>
      <c r="G25937" s="68"/>
      <c r="K25937" s="68"/>
    </row>
    <row r="25938" spans="4:11" ht="12.75">
      <c r="D25938" s="67"/>
      <c r="G25938" s="68"/>
      <c r="K25938" s="68"/>
    </row>
    <row r="25939" spans="4:11" ht="12.75">
      <c r="D25939" s="67"/>
      <c r="G25939" s="68"/>
      <c r="K25939" s="68"/>
    </row>
    <row r="25940" spans="4:11" ht="12.75">
      <c r="D25940" s="67"/>
      <c r="G25940" s="68"/>
      <c r="K25940" s="68"/>
    </row>
    <row r="25941" spans="4:11" ht="12.75">
      <c r="D25941" s="67"/>
      <c r="G25941" s="68"/>
      <c r="K25941" s="68"/>
    </row>
    <row r="25942" spans="4:11" ht="12.75">
      <c r="D25942" s="67"/>
      <c r="G25942" s="68"/>
      <c r="K25942" s="68"/>
    </row>
    <row r="25943" spans="4:11" ht="12.75">
      <c r="D25943" s="67"/>
      <c r="G25943" s="68"/>
      <c r="K25943" s="68"/>
    </row>
    <row r="25944" spans="4:11" ht="12.75">
      <c r="D25944" s="67"/>
      <c r="G25944" s="68"/>
      <c r="K25944" s="68"/>
    </row>
    <row r="25945" spans="4:11" ht="12.75">
      <c r="D25945" s="67"/>
      <c r="G25945" s="68"/>
      <c r="K25945" s="68"/>
    </row>
    <row r="25946" spans="4:11" ht="12.75">
      <c r="D25946" s="67"/>
      <c r="G25946" s="68"/>
      <c r="K25946" s="68"/>
    </row>
    <row r="25947" spans="4:11" ht="12.75">
      <c r="D25947" s="67"/>
      <c r="G25947" s="68"/>
      <c r="K25947" s="68"/>
    </row>
    <row r="25948" spans="4:11" ht="12.75">
      <c r="D25948" s="67"/>
      <c r="G25948" s="68"/>
      <c r="K25948" s="68"/>
    </row>
    <row r="25949" spans="4:11" ht="12.75">
      <c r="D25949" s="67"/>
      <c r="G25949" s="68"/>
      <c r="K25949" s="68"/>
    </row>
    <row r="25950" spans="4:11" ht="12.75">
      <c r="D25950" s="67"/>
      <c r="G25950" s="68"/>
      <c r="K25950" s="68"/>
    </row>
    <row r="25951" spans="4:11" ht="12.75">
      <c r="D25951" s="67"/>
      <c r="G25951" s="68"/>
      <c r="K25951" s="68"/>
    </row>
    <row r="25952" spans="4:11" ht="12.75">
      <c r="D25952" s="67"/>
      <c r="G25952" s="68"/>
      <c r="K25952" s="68"/>
    </row>
    <row r="25953" spans="4:11" ht="12.75">
      <c r="D25953" s="67"/>
      <c r="G25953" s="68"/>
      <c r="K25953" s="68"/>
    </row>
    <row r="25954" spans="4:11" ht="12.75">
      <c r="D25954" s="67"/>
      <c r="G25954" s="68"/>
      <c r="K25954" s="68"/>
    </row>
    <row r="25955" spans="4:11" ht="12.75">
      <c r="D25955" s="67"/>
      <c r="G25955" s="68"/>
      <c r="K25955" s="68"/>
    </row>
    <row r="25956" spans="4:11" ht="12.75">
      <c r="D25956" s="67"/>
      <c r="G25956" s="68"/>
      <c r="K25956" s="68"/>
    </row>
    <row r="25957" spans="4:11" ht="12.75">
      <c r="D25957" s="67"/>
      <c r="G25957" s="68"/>
      <c r="K25957" s="68"/>
    </row>
    <row r="25958" spans="4:11" ht="12.75">
      <c r="D25958" s="67"/>
      <c r="G25958" s="68"/>
      <c r="K25958" s="68"/>
    </row>
    <row r="25959" spans="4:11" ht="12.75">
      <c r="D25959" s="67"/>
      <c r="G25959" s="68"/>
      <c r="K25959" s="68"/>
    </row>
    <row r="25960" spans="4:11" ht="12.75">
      <c r="D25960" s="67"/>
      <c r="G25960" s="68"/>
      <c r="K25960" s="68"/>
    </row>
    <row r="25961" spans="4:11" ht="12.75">
      <c r="D25961" s="67"/>
      <c r="G25961" s="68"/>
      <c r="K25961" s="68"/>
    </row>
    <row r="25962" spans="4:11" ht="12.75">
      <c r="D25962" s="67"/>
      <c r="G25962" s="68"/>
      <c r="K25962" s="68"/>
    </row>
    <row r="25963" spans="4:11" ht="12.75">
      <c r="D25963" s="67"/>
      <c r="G25963" s="68"/>
      <c r="K25963" s="68"/>
    </row>
    <row r="25964" spans="4:11" ht="12.75">
      <c r="D25964" s="67"/>
      <c r="G25964" s="68"/>
      <c r="K25964" s="68"/>
    </row>
    <row r="25965" spans="4:11" ht="12.75">
      <c r="D25965" s="67"/>
      <c r="G25965" s="68"/>
      <c r="K25965" s="68"/>
    </row>
    <row r="25966" spans="4:11" ht="12.75">
      <c r="D25966" s="67"/>
      <c r="G25966" s="68"/>
      <c r="K25966" s="68"/>
    </row>
    <row r="25967" spans="4:11" ht="12.75">
      <c r="D25967" s="67"/>
      <c r="G25967" s="68"/>
      <c r="K25967" s="68"/>
    </row>
    <row r="25968" spans="4:11" ht="12.75">
      <c r="D25968" s="67"/>
      <c r="G25968" s="68"/>
      <c r="K25968" s="68"/>
    </row>
    <row r="25969" spans="4:11" ht="12.75">
      <c r="D25969" s="67"/>
      <c r="G25969" s="68"/>
      <c r="K25969" s="68"/>
    </row>
    <row r="25970" spans="4:11" ht="12.75">
      <c r="D25970" s="67"/>
      <c r="G25970" s="68"/>
      <c r="K25970" s="68"/>
    </row>
    <row r="25971" spans="4:11" ht="12.75">
      <c r="D25971" s="67"/>
      <c r="G25971" s="68"/>
      <c r="K25971" s="68"/>
    </row>
    <row r="25972" spans="4:11" ht="12.75">
      <c r="D25972" s="67"/>
      <c r="G25972" s="68"/>
      <c r="K25972" s="68"/>
    </row>
    <row r="25973" spans="4:11" ht="12.75">
      <c r="D25973" s="67"/>
      <c r="G25973" s="68"/>
      <c r="K25973" s="68"/>
    </row>
    <row r="25974" spans="4:11" ht="12.75">
      <c r="D25974" s="67"/>
      <c r="G25974" s="68"/>
      <c r="K25974" s="68"/>
    </row>
    <row r="25975" spans="4:11" ht="12.75">
      <c r="D25975" s="67"/>
      <c r="G25975" s="68"/>
      <c r="K25975" s="68"/>
    </row>
    <row r="25976" spans="4:11" ht="12.75">
      <c r="D25976" s="67"/>
      <c r="G25976" s="68"/>
      <c r="K25976" s="68"/>
    </row>
    <row r="25977" spans="4:11" ht="12.75">
      <c r="D25977" s="67"/>
      <c r="G25977" s="68"/>
      <c r="K25977" s="68"/>
    </row>
    <row r="25978" spans="4:11" ht="12.75">
      <c r="D25978" s="67"/>
      <c r="G25978" s="68"/>
      <c r="K25978" s="68"/>
    </row>
    <row r="25979" spans="4:11" ht="12.75">
      <c r="D25979" s="67"/>
      <c r="G25979" s="68"/>
      <c r="K25979" s="68"/>
    </row>
    <row r="25980" spans="4:11" ht="12.75">
      <c r="D25980" s="67"/>
      <c r="G25980" s="68"/>
      <c r="K25980" s="68"/>
    </row>
    <row r="25981" spans="4:11" ht="12.75">
      <c r="D25981" s="67"/>
      <c r="G25981" s="68"/>
      <c r="K25981" s="68"/>
    </row>
    <row r="25982" spans="4:11" ht="12.75">
      <c r="D25982" s="67"/>
      <c r="G25982" s="68"/>
      <c r="K25982" s="68"/>
    </row>
    <row r="25983" spans="4:11" ht="12.75">
      <c r="D25983" s="67"/>
      <c r="G25983" s="68"/>
      <c r="K25983" s="68"/>
    </row>
    <row r="25984" spans="4:11" ht="12.75">
      <c r="D25984" s="67"/>
      <c r="G25984" s="68"/>
      <c r="K25984" s="68"/>
    </row>
    <row r="25985" spans="4:11" ht="12.75">
      <c r="D25985" s="67"/>
      <c r="G25985" s="68"/>
      <c r="K25985" s="68"/>
    </row>
    <row r="25986" spans="4:11" ht="12.75">
      <c r="D25986" s="67"/>
      <c r="G25986" s="68"/>
      <c r="K25986" s="68"/>
    </row>
    <row r="25987" spans="4:11" ht="12.75">
      <c r="D25987" s="67"/>
      <c r="G25987" s="68"/>
      <c r="K25987" s="68"/>
    </row>
    <row r="25988" spans="4:11" ht="12.75">
      <c r="D25988" s="67"/>
      <c r="G25988" s="68"/>
      <c r="K25988" s="68"/>
    </row>
    <row r="25989" spans="4:11" ht="12.75">
      <c r="D25989" s="67"/>
      <c r="G25989" s="68"/>
      <c r="K25989" s="68"/>
    </row>
    <row r="25990" spans="4:11" ht="12.75">
      <c r="D25990" s="67"/>
      <c r="G25990" s="68"/>
      <c r="K25990" s="68"/>
    </row>
    <row r="25991" spans="4:11" ht="12.75">
      <c r="D25991" s="67"/>
      <c r="G25991" s="68"/>
      <c r="K25991" s="68"/>
    </row>
    <row r="25992" spans="4:11" ht="12.75">
      <c r="D25992" s="67"/>
      <c r="G25992" s="68"/>
      <c r="K25992" s="68"/>
    </row>
    <row r="25993" spans="4:11" ht="12.75">
      <c r="D25993" s="67"/>
      <c r="G25993" s="68"/>
      <c r="K25993" s="68"/>
    </row>
    <row r="25994" spans="4:11" ht="12.75">
      <c r="D25994" s="67"/>
      <c r="G25994" s="68"/>
      <c r="K25994" s="68"/>
    </row>
    <row r="25995" spans="4:11" ht="12.75">
      <c r="D25995" s="67"/>
      <c r="G25995" s="68"/>
      <c r="K25995" s="68"/>
    </row>
    <row r="25996" spans="4:11" ht="12.75">
      <c r="D25996" s="67"/>
      <c r="G25996" s="68"/>
      <c r="K25996" s="68"/>
    </row>
    <row r="25997" spans="4:11" ht="12.75">
      <c r="D25997" s="67"/>
      <c r="G25997" s="68"/>
      <c r="K25997" s="68"/>
    </row>
    <row r="25998" spans="4:11" ht="12.75">
      <c r="D25998" s="67"/>
      <c r="G25998" s="68"/>
      <c r="K25998" s="68"/>
    </row>
    <row r="25999" spans="4:11" ht="12.75">
      <c r="D25999" s="67"/>
      <c r="G25999" s="68"/>
      <c r="K25999" s="68"/>
    </row>
    <row r="26000" spans="4:11" ht="12.75">
      <c r="D26000" s="67"/>
      <c r="G26000" s="68"/>
      <c r="K26000" s="68"/>
    </row>
    <row r="26001" spans="4:11" ht="12.75">
      <c r="D26001" s="67"/>
      <c r="G26001" s="68"/>
      <c r="K26001" s="68"/>
    </row>
    <row r="26002" spans="4:11" ht="12.75">
      <c r="D26002" s="67"/>
      <c r="G26002" s="68"/>
      <c r="K26002" s="68"/>
    </row>
    <row r="26003" spans="4:11" ht="12.75">
      <c r="D26003" s="67"/>
      <c r="G26003" s="68"/>
      <c r="K26003" s="68"/>
    </row>
    <row r="26004" spans="4:11" ht="12.75">
      <c r="D26004" s="67"/>
      <c r="G26004" s="68"/>
      <c r="K26004" s="68"/>
    </row>
    <row r="26005" spans="4:11" ht="12.75">
      <c r="D26005" s="67"/>
      <c r="G26005" s="68"/>
      <c r="K26005" s="68"/>
    </row>
    <row r="26006" spans="4:11" ht="12.75">
      <c r="D26006" s="67"/>
      <c r="G26006" s="68"/>
      <c r="K26006" s="68"/>
    </row>
    <row r="26007" spans="4:11" ht="12.75">
      <c r="D26007" s="67"/>
      <c r="G26007" s="68"/>
      <c r="K26007" s="68"/>
    </row>
    <row r="26008" spans="4:11" ht="12.75">
      <c r="D26008" s="67"/>
      <c r="G26008" s="68"/>
      <c r="K26008" s="68"/>
    </row>
    <row r="26009" spans="4:11" ht="12.75">
      <c r="D26009" s="67"/>
      <c r="G26009" s="68"/>
      <c r="K26009" s="68"/>
    </row>
    <row r="26010" spans="4:11" ht="12.75">
      <c r="D26010" s="67"/>
      <c r="G26010" s="68"/>
      <c r="K26010" s="68"/>
    </row>
    <row r="26011" spans="4:11" ht="12.75">
      <c r="D26011" s="67"/>
      <c r="G26011" s="68"/>
      <c r="K26011" s="68"/>
    </row>
    <row r="26012" spans="4:11" ht="12.75">
      <c r="D26012" s="67"/>
      <c r="G26012" s="68"/>
      <c r="K26012" s="68"/>
    </row>
    <row r="26013" spans="4:11" ht="12.75">
      <c r="D26013" s="67"/>
      <c r="G26013" s="68"/>
      <c r="K26013" s="68"/>
    </row>
    <row r="26014" spans="4:11" ht="12.75">
      <c r="D26014" s="67"/>
      <c r="G26014" s="68"/>
      <c r="K26014" s="68"/>
    </row>
    <row r="26015" spans="4:11" ht="12.75">
      <c r="D26015" s="67"/>
      <c r="G26015" s="68"/>
      <c r="K26015" s="68"/>
    </row>
    <row r="26016" spans="4:11" ht="12.75">
      <c r="D26016" s="67"/>
      <c r="G26016" s="68"/>
      <c r="K26016" s="68"/>
    </row>
    <row r="26017" spans="4:11" ht="12.75">
      <c r="D26017" s="67"/>
      <c r="G26017" s="68"/>
      <c r="K26017" s="68"/>
    </row>
    <row r="26018" spans="4:11" ht="12.75">
      <c r="D26018" s="67"/>
      <c r="G26018" s="68"/>
      <c r="K26018" s="68"/>
    </row>
    <row r="26019" spans="4:11" ht="12.75">
      <c r="D26019" s="67"/>
      <c r="G26019" s="68"/>
      <c r="K26019" s="68"/>
    </row>
    <row r="26020" spans="4:11" ht="12.75">
      <c r="D26020" s="67"/>
      <c r="G26020" s="68"/>
      <c r="K26020" s="68"/>
    </row>
    <row r="26021" spans="4:11" ht="12.75">
      <c r="D26021" s="67"/>
      <c r="G26021" s="68"/>
      <c r="K26021" s="68"/>
    </row>
    <row r="26022" spans="4:11" ht="12.75">
      <c r="D26022" s="67"/>
      <c r="G26022" s="68"/>
      <c r="K26022" s="68"/>
    </row>
    <row r="26023" spans="4:11" ht="12.75">
      <c r="D26023" s="67"/>
      <c r="G26023" s="68"/>
      <c r="K26023" s="68"/>
    </row>
    <row r="26024" spans="4:11" ht="12.75">
      <c r="D26024" s="67"/>
      <c r="G26024" s="68"/>
      <c r="K26024" s="68"/>
    </row>
    <row r="26025" spans="4:11" ht="12.75">
      <c r="D26025" s="67"/>
      <c r="G26025" s="68"/>
      <c r="K26025" s="68"/>
    </row>
    <row r="26026" spans="4:11" ht="12.75">
      <c r="D26026" s="67"/>
      <c r="G26026" s="68"/>
      <c r="K26026" s="68"/>
    </row>
    <row r="26027" spans="4:11" ht="12.75">
      <c r="D26027" s="67"/>
      <c r="G26027" s="68"/>
      <c r="K26027" s="68"/>
    </row>
    <row r="26028" spans="4:11" ht="12.75">
      <c r="D26028" s="67"/>
      <c r="G26028" s="68"/>
      <c r="K26028" s="68"/>
    </row>
    <row r="26029" spans="4:11" ht="12.75">
      <c r="D26029" s="67"/>
      <c r="G26029" s="68"/>
      <c r="K26029" s="68"/>
    </row>
    <row r="26030" spans="4:11" ht="12.75">
      <c r="D26030" s="67"/>
      <c r="G26030" s="68"/>
      <c r="K26030" s="68"/>
    </row>
    <row r="26031" spans="4:11" ht="12.75">
      <c r="D26031" s="67"/>
      <c r="G26031" s="68"/>
      <c r="K26031" s="68"/>
    </row>
    <row r="26032" spans="4:11" ht="12.75">
      <c r="D26032" s="67"/>
      <c r="G26032" s="68"/>
      <c r="K26032" s="68"/>
    </row>
    <row r="26033" spans="4:11" ht="12.75">
      <c r="D26033" s="67"/>
      <c r="G26033" s="68"/>
      <c r="K26033" s="68"/>
    </row>
    <row r="26034" spans="4:11" ht="12.75">
      <c r="D26034" s="67"/>
      <c r="G26034" s="68"/>
      <c r="K26034" s="68"/>
    </row>
    <row r="26035" spans="4:11" ht="12.75">
      <c r="D26035" s="67"/>
      <c r="G26035" s="68"/>
      <c r="K26035" s="68"/>
    </row>
    <row r="26036" spans="4:11" ht="12.75">
      <c r="D26036" s="67"/>
      <c r="G26036" s="68"/>
      <c r="K26036" s="68"/>
    </row>
    <row r="26037" spans="4:11" ht="12.75">
      <c r="D26037" s="67"/>
      <c r="G26037" s="68"/>
      <c r="K26037" s="68"/>
    </row>
    <row r="26038" spans="4:11" ht="12.75">
      <c r="D26038" s="67"/>
      <c r="G26038" s="68"/>
      <c r="K26038" s="68"/>
    </row>
    <row r="26039" spans="4:11" ht="12.75">
      <c r="D26039" s="67"/>
      <c r="G26039" s="68"/>
      <c r="K26039" s="68"/>
    </row>
    <row r="26040" spans="4:11" ht="12.75">
      <c r="D26040" s="67"/>
      <c r="G26040" s="68"/>
      <c r="K26040" s="68"/>
    </row>
    <row r="26041" spans="4:11" ht="12.75">
      <c r="D26041" s="67"/>
      <c r="G26041" s="68"/>
      <c r="K26041" s="68"/>
    </row>
    <row r="26042" spans="4:11" ht="12.75">
      <c r="D26042" s="67"/>
      <c r="G26042" s="68"/>
      <c r="K26042" s="68"/>
    </row>
    <row r="26043" spans="4:11" ht="12.75">
      <c r="D26043" s="67"/>
      <c r="G26043" s="68"/>
      <c r="K26043" s="68"/>
    </row>
    <row r="26044" spans="4:11" ht="12.75">
      <c r="D26044" s="67"/>
      <c r="G26044" s="68"/>
      <c r="K26044" s="68"/>
    </row>
    <row r="26045" spans="4:11" ht="12.75">
      <c r="D26045" s="67"/>
      <c r="G26045" s="68"/>
      <c r="K26045" s="68"/>
    </row>
    <row r="26046" spans="4:11" ht="12.75">
      <c r="D26046" s="67"/>
      <c r="G26046" s="68"/>
      <c r="K26046" s="68"/>
    </row>
    <row r="26047" spans="4:11" ht="12.75">
      <c r="D26047" s="67"/>
      <c r="G26047" s="68"/>
      <c r="K26047" s="68"/>
    </row>
    <row r="26048" spans="4:11" ht="12.75">
      <c r="D26048" s="67"/>
      <c r="G26048" s="68"/>
      <c r="K26048" s="68"/>
    </row>
    <row r="26049" spans="4:11" ht="12.75">
      <c r="D26049" s="67"/>
      <c r="G26049" s="68"/>
      <c r="K26049" s="68"/>
    </row>
    <row r="26050" spans="4:11" ht="12.75">
      <c r="D26050" s="67"/>
      <c r="G26050" s="68"/>
      <c r="K26050" s="68"/>
    </row>
    <row r="26051" spans="4:11" ht="12.75">
      <c r="D26051" s="67"/>
      <c r="G26051" s="68"/>
      <c r="K26051" s="68"/>
    </row>
    <row r="26052" spans="4:11" ht="12.75">
      <c r="D26052" s="67"/>
      <c r="G26052" s="68"/>
      <c r="K26052" s="68"/>
    </row>
    <row r="26053" spans="4:11" ht="12.75">
      <c r="D26053" s="67"/>
      <c r="G26053" s="68"/>
      <c r="K26053" s="68"/>
    </row>
    <row r="26054" spans="4:11" ht="12.75">
      <c r="D26054" s="67"/>
      <c r="G26054" s="68"/>
      <c r="K26054" s="68"/>
    </row>
    <row r="26055" spans="4:11" ht="12.75">
      <c r="D26055" s="67"/>
      <c r="G26055" s="68"/>
      <c r="K26055" s="68"/>
    </row>
    <row r="26056" spans="4:11" ht="12.75">
      <c r="D26056" s="67"/>
      <c r="G26056" s="68"/>
      <c r="K26056" s="68"/>
    </row>
    <row r="26057" spans="4:11" ht="12.75">
      <c r="D26057" s="67"/>
      <c r="G26057" s="68"/>
      <c r="K26057" s="68"/>
    </row>
    <row r="26058" spans="4:11" ht="12.75">
      <c r="D26058" s="67"/>
      <c r="G26058" s="68"/>
      <c r="K26058" s="68"/>
    </row>
    <row r="26059" spans="4:11" ht="12.75">
      <c r="D26059" s="67"/>
      <c r="G26059" s="68"/>
      <c r="K26059" s="68"/>
    </row>
    <row r="26060" spans="4:11" ht="12.75">
      <c r="D26060" s="67"/>
      <c r="G26060" s="68"/>
      <c r="K26060" s="68"/>
    </row>
    <row r="26061" spans="4:11" ht="12.75">
      <c r="D26061" s="67"/>
      <c r="G26061" s="68"/>
      <c r="K26061" s="68"/>
    </row>
    <row r="26062" spans="4:11" ht="12.75">
      <c r="D26062" s="67"/>
      <c r="G26062" s="68"/>
      <c r="K26062" s="68"/>
    </row>
    <row r="26063" spans="4:11" ht="12.75">
      <c r="D26063" s="67"/>
      <c r="G26063" s="68"/>
      <c r="K26063" s="68"/>
    </row>
    <row r="26064" spans="4:11" ht="12.75">
      <c r="D26064" s="67"/>
      <c r="G26064" s="68"/>
      <c r="K26064" s="68"/>
    </row>
    <row r="26065" spans="4:11" ht="12.75">
      <c r="D26065" s="67"/>
      <c r="G26065" s="68"/>
      <c r="K26065" s="68"/>
    </row>
    <row r="26066" spans="4:11" ht="12.75">
      <c r="D26066" s="67"/>
      <c r="G26066" s="68"/>
      <c r="K26066" s="68"/>
    </row>
    <row r="26067" spans="4:11" ht="12.75">
      <c r="D26067" s="67"/>
      <c r="G26067" s="68"/>
      <c r="K26067" s="68"/>
    </row>
    <row r="26068" spans="4:11" ht="12.75">
      <c r="D26068" s="67"/>
      <c r="G26068" s="68"/>
      <c r="K26068" s="68"/>
    </row>
    <row r="26069" spans="4:11" ht="12.75">
      <c r="D26069" s="67"/>
      <c r="G26069" s="68"/>
      <c r="K26069" s="68"/>
    </row>
    <row r="26070" spans="4:11" ht="12.75">
      <c r="D26070" s="67"/>
      <c r="G26070" s="68"/>
      <c r="K26070" s="68"/>
    </row>
    <row r="26071" spans="4:11" ht="12.75">
      <c r="D26071" s="67"/>
      <c r="G26071" s="68"/>
      <c r="K26071" s="68"/>
    </row>
    <row r="26072" spans="4:11" ht="12.75">
      <c r="D26072" s="67"/>
      <c r="G26072" s="68"/>
      <c r="K26072" s="68"/>
    </row>
    <row r="26073" spans="4:11" ht="12.75">
      <c r="D26073" s="67"/>
      <c r="G26073" s="68"/>
      <c r="K26073" s="68"/>
    </row>
    <row r="26074" spans="4:11" ht="12.75">
      <c r="D26074" s="67"/>
      <c r="G26074" s="68"/>
      <c r="K26074" s="68"/>
    </row>
    <row r="26075" spans="4:11" ht="12.75">
      <c r="D26075" s="67"/>
      <c r="G26075" s="68"/>
      <c r="K26075" s="68"/>
    </row>
    <row r="26076" spans="4:11" ht="12.75">
      <c r="D26076" s="67"/>
      <c r="G26076" s="68"/>
      <c r="K26076" s="68"/>
    </row>
    <row r="26077" spans="4:11" ht="12.75">
      <c r="D26077" s="67"/>
      <c r="G26077" s="68"/>
      <c r="K26077" s="68"/>
    </row>
    <row r="26078" spans="4:11" ht="12.75">
      <c r="D26078" s="67"/>
      <c r="G26078" s="68"/>
      <c r="K26078" s="68"/>
    </row>
    <row r="26079" spans="4:11" ht="12.75">
      <c r="D26079" s="67"/>
      <c r="G26079" s="68"/>
      <c r="K26079" s="68"/>
    </row>
    <row r="26080" spans="4:11" ht="12.75">
      <c r="D26080" s="67"/>
      <c r="G26080" s="68"/>
      <c r="K26080" s="68"/>
    </row>
    <row r="26081" spans="4:11" ht="12.75">
      <c r="D26081" s="67"/>
      <c r="G26081" s="68"/>
      <c r="K26081" s="68"/>
    </row>
    <row r="26082" spans="4:11" ht="12.75">
      <c r="D26082" s="67"/>
      <c r="G26082" s="68"/>
      <c r="K26082" s="68"/>
    </row>
    <row r="26083" spans="4:11" ht="12.75">
      <c r="D26083" s="67"/>
      <c r="G26083" s="68"/>
      <c r="K26083" s="68"/>
    </row>
    <row r="26084" spans="4:11" ht="12.75">
      <c r="D26084" s="67"/>
      <c r="G26084" s="68"/>
      <c r="K26084" s="68"/>
    </row>
    <row r="26085" spans="4:11" ht="12.75">
      <c r="D26085" s="67"/>
      <c r="G26085" s="68"/>
      <c r="K26085" s="68"/>
    </row>
    <row r="26086" spans="4:11" ht="12.75">
      <c r="D26086" s="67"/>
      <c r="G26086" s="68"/>
      <c r="K26086" s="68"/>
    </row>
    <row r="26087" spans="4:11" ht="12.75">
      <c r="D26087" s="67"/>
      <c r="G26087" s="68"/>
      <c r="K26087" s="68"/>
    </row>
    <row r="26088" spans="4:11" ht="12.75">
      <c r="D26088" s="67"/>
      <c r="G26088" s="68"/>
      <c r="K26088" s="68"/>
    </row>
    <row r="26089" spans="4:11" ht="12.75">
      <c r="D26089" s="67"/>
      <c r="G26089" s="68"/>
      <c r="K26089" s="68"/>
    </row>
    <row r="26090" spans="4:11" ht="12.75">
      <c r="D26090" s="67"/>
      <c r="G26090" s="68"/>
      <c r="K26090" s="68"/>
    </row>
    <row r="26091" spans="4:11" ht="12.75">
      <c r="D26091" s="67"/>
      <c r="G26091" s="68"/>
      <c r="K26091" s="68"/>
    </row>
    <row r="26092" spans="4:11" ht="12.75">
      <c r="D26092" s="67"/>
      <c r="G26092" s="68"/>
      <c r="K26092" s="68"/>
    </row>
    <row r="26093" spans="4:11" ht="12.75">
      <c r="D26093" s="67"/>
      <c r="G26093" s="68"/>
      <c r="K26093" s="68"/>
    </row>
    <row r="26094" spans="4:11" ht="12.75">
      <c r="D26094" s="67"/>
      <c r="G26094" s="68"/>
      <c r="K26094" s="68"/>
    </row>
    <row r="26095" spans="4:11" ht="12.75">
      <c r="D26095" s="67"/>
      <c r="G26095" s="68"/>
      <c r="K26095" s="68"/>
    </row>
    <row r="26096" spans="4:11" ht="12.75">
      <c r="D26096" s="67"/>
      <c r="G26096" s="68"/>
      <c r="K26096" s="68"/>
    </row>
    <row r="26097" spans="4:11" ht="12.75">
      <c r="D26097" s="67"/>
      <c r="G26097" s="68"/>
      <c r="K26097" s="68"/>
    </row>
    <row r="26098" spans="4:11" ht="12.75">
      <c r="D26098" s="67"/>
      <c r="G26098" s="68"/>
      <c r="K26098" s="68"/>
    </row>
    <row r="26099" spans="4:11" ht="12.75">
      <c r="D26099" s="67"/>
      <c r="G26099" s="68"/>
      <c r="K26099" s="68"/>
    </row>
    <row r="26100" spans="4:11" ht="12.75">
      <c r="D26100" s="67"/>
      <c r="G26100" s="68"/>
      <c r="K26100" s="68"/>
    </row>
    <row r="26101" spans="4:11" ht="12.75">
      <c r="D26101" s="67"/>
      <c r="G26101" s="68"/>
      <c r="K26101" s="68"/>
    </row>
    <row r="26102" spans="4:11" ht="12.75">
      <c r="D26102" s="67"/>
      <c r="G26102" s="68"/>
      <c r="K26102" s="68"/>
    </row>
    <row r="26103" spans="4:11" ht="12.75">
      <c r="D26103" s="67"/>
      <c r="G26103" s="68"/>
      <c r="K26103" s="68"/>
    </row>
    <row r="26104" spans="4:11" ht="12.75">
      <c r="D26104" s="67"/>
      <c r="G26104" s="68"/>
      <c r="K26104" s="68"/>
    </row>
    <row r="26105" spans="4:11" ht="12.75">
      <c r="D26105" s="67"/>
      <c r="G26105" s="68"/>
      <c r="K26105" s="68"/>
    </row>
    <row r="26106" spans="4:11" ht="12.75">
      <c r="D26106" s="67"/>
      <c r="G26106" s="68"/>
      <c r="K26106" s="68"/>
    </row>
    <row r="26107" spans="4:11" ht="12.75">
      <c r="D26107" s="67"/>
      <c r="G26107" s="68"/>
      <c r="K26107" s="68"/>
    </row>
    <row r="26108" spans="4:11" ht="12.75">
      <c r="D26108" s="67"/>
      <c r="G26108" s="68"/>
      <c r="K26108" s="68"/>
    </row>
    <row r="26109" spans="4:11" ht="12.75">
      <c r="D26109" s="67"/>
      <c r="G26109" s="68"/>
      <c r="K26109" s="68"/>
    </row>
    <row r="26110" spans="4:11" ht="12.75">
      <c r="D26110" s="67"/>
      <c r="G26110" s="68"/>
      <c r="K26110" s="68"/>
    </row>
    <row r="26111" spans="4:11" ht="12.75">
      <c r="D26111" s="67"/>
      <c r="G26111" s="68"/>
      <c r="K26111" s="68"/>
    </row>
    <row r="26112" spans="4:11" ht="12.75">
      <c r="D26112" s="67"/>
      <c r="G26112" s="68"/>
      <c r="K26112" s="68"/>
    </row>
    <row r="26113" spans="4:11" ht="12.75">
      <c r="D26113" s="67"/>
      <c r="G26113" s="68"/>
      <c r="K26113" s="68"/>
    </row>
    <row r="26114" spans="4:11" ht="12.75">
      <c r="D26114" s="67"/>
      <c r="G26114" s="68"/>
      <c r="K26114" s="68"/>
    </row>
    <row r="26115" spans="4:11" ht="12.75">
      <c r="D26115" s="67"/>
      <c r="G26115" s="68"/>
      <c r="K26115" s="68"/>
    </row>
    <row r="26116" spans="4:11" ht="12.75">
      <c r="D26116" s="67"/>
      <c r="G26116" s="68"/>
      <c r="K26116" s="68"/>
    </row>
    <row r="26117" spans="4:11" ht="12.75">
      <c r="D26117" s="67"/>
      <c r="G26117" s="68"/>
      <c r="K26117" s="68"/>
    </row>
    <row r="26118" spans="4:11" ht="12.75">
      <c r="D26118" s="67"/>
      <c r="G26118" s="68"/>
      <c r="K26118" s="68"/>
    </row>
    <row r="26119" spans="4:11" ht="12.75">
      <c r="D26119" s="67"/>
      <c r="G26119" s="68"/>
      <c r="K26119" s="68"/>
    </row>
    <row r="26120" spans="4:11" ht="12.75">
      <c r="D26120" s="67"/>
      <c r="G26120" s="68"/>
      <c r="K26120" s="68"/>
    </row>
    <row r="26121" spans="4:11" ht="12.75">
      <c r="D26121" s="67"/>
      <c r="G26121" s="68"/>
      <c r="K26121" s="68"/>
    </row>
    <row r="26122" spans="4:11" ht="12.75">
      <c r="D26122" s="67"/>
      <c r="G26122" s="68"/>
      <c r="K26122" s="68"/>
    </row>
    <row r="26123" spans="4:11" ht="12.75">
      <c r="D26123" s="67"/>
      <c r="G26123" s="68"/>
      <c r="K26123" s="68"/>
    </row>
    <row r="26124" spans="4:11" ht="12.75">
      <c r="D26124" s="67"/>
      <c r="G26124" s="68"/>
      <c r="K26124" s="68"/>
    </row>
    <row r="26125" spans="4:11" ht="12.75">
      <c r="D26125" s="67"/>
      <c r="G26125" s="68"/>
      <c r="K26125" s="68"/>
    </row>
    <row r="26126" spans="4:11" ht="12.75">
      <c r="D26126" s="67"/>
      <c r="G26126" s="68"/>
      <c r="K26126" s="68"/>
    </row>
    <row r="26127" spans="4:11" ht="12.75">
      <c r="D26127" s="67"/>
      <c r="G26127" s="68"/>
      <c r="K26127" s="68"/>
    </row>
    <row r="26128" spans="4:11" ht="12.75">
      <c r="D26128" s="67"/>
      <c r="G26128" s="68"/>
      <c r="K26128" s="68"/>
    </row>
    <row r="26129" spans="4:11" ht="12.75">
      <c r="D26129" s="67"/>
      <c r="G26129" s="68"/>
      <c r="K26129" s="68"/>
    </row>
    <row r="26130" spans="4:11" ht="12.75">
      <c r="D26130" s="67"/>
      <c r="G26130" s="68"/>
      <c r="K26130" s="68"/>
    </row>
    <row r="26131" spans="4:11" ht="12.75">
      <c r="D26131" s="67"/>
      <c r="G26131" s="68"/>
      <c r="K26131" s="68"/>
    </row>
    <row r="26132" spans="4:11" ht="12.75">
      <c r="D26132" s="67"/>
      <c r="G26132" s="68"/>
      <c r="K26132" s="68"/>
    </row>
    <row r="26133" spans="4:11" ht="12.75">
      <c r="D26133" s="67"/>
      <c r="G26133" s="68"/>
      <c r="K26133" s="68"/>
    </row>
    <row r="26134" spans="4:11" ht="12.75">
      <c r="D26134" s="67"/>
      <c r="G26134" s="68"/>
      <c r="K26134" s="68"/>
    </row>
    <row r="26135" spans="4:11" ht="12.75">
      <c r="D26135" s="67"/>
      <c r="G26135" s="68"/>
      <c r="K26135" s="68"/>
    </row>
    <row r="26136" spans="4:11" ht="12.75">
      <c r="D26136" s="67"/>
      <c r="G26136" s="68"/>
      <c r="K26136" s="68"/>
    </row>
    <row r="26137" spans="4:11" ht="12.75">
      <c r="D26137" s="67"/>
      <c r="G26137" s="68"/>
      <c r="K26137" s="68"/>
    </row>
    <row r="26138" spans="4:11" ht="12.75">
      <c r="D26138" s="67"/>
      <c r="G26138" s="68"/>
      <c r="K26138" s="68"/>
    </row>
    <row r="26139" spans="4:11" ht="12.75">
      <c r="D26139" s="67"/>
      <c r="G26139" s="68"/>
      <c r="K26139" s="68"/>
    </row>
    <row r="26140" spans="4:11" ht="12.75">
      <c r="D26140" s="67"/>
      <c r="G26140" s="68"/>
      <c r="K26140" s="68"/>
    </row>
    <row r="26141" spans="4:11" ht="12.75">
      <c r="D26141" s="67"/>
      <c r="G26141" s="68"/>
      <c r="K26141" s="68"/>
    </row>
    <row r="26142" spans="4:11" ht="12.75">
      <c r="D26142" s="67"/>
      <c r="G26142" s="68"/>
      <c r="K26142" s="68"/>
    </row>
    <row r="26143" spans="4:11" ht="12.75">
      <c r="D26143" s="67"/>
      <c r="G26143" s="68"/>
      <c r="K26143" s="68"/>
    </row>
    <row r="26144" spans="4:11" ht="12.75">
      <c r="D26144" s="67"/>
      <c r="G26144" s="68"/>
      <c r="K26144" s="68"/>
    </row>
    <row r="26145" spans="4:11" ht="12.75">
      <c r="D26145" s="67"/>
      <c r="G26145" s="68"/>
      <c r="K26145" s="68"/>
    </row>
    <row r="26146" spans="4:11" ht="12.75">
      <c r="D26146" s="67"/>
      <c r="G26146" s="68"/>
      <c r="K26146" s="68"/>
    </row>
    <row r="26147" spans="4:11" ht="12.75">
      <c r="D26147" s="67"/>
      <c r="G26147" s="68"/>
      <c r="K26147" s="68"/>
    </row>
    <row r="26148" spans="4:11" ht="12.75">
      <c r="D26148" s="67"/>
      <c r="G26148" s="68"/>
      <c r="K26148" s="68"/>
    </row>
    <row r="26149" spans="4:11" ht="12.75">
      <c r="D26149" s="67"/>
      <c r="G26149" s="68"/>
      <c r="K26149" s="68"/>
    </row>
    <row r="26150" spans="4:11" ht="12.75">
      <c r="D26150" s="67"/>
      <c r="G26150" s="68"/>
      <c r="K26150" s="68"/>
    </row>
    <row r="26151" spans="4:11" ht="12.75">
      <c r="D26151" s="67"/>
      <c r="G26151" s="68"/>
      <c r="K26151" s="68"/>
    </row>
    <row r="26152" spans="4:11" ht="12.75">
      <c r="D26152" s="67"/>
      <c r="G26152" s="68"/>
      <c r="K26152" s="68"/>
    </row>
    <row r="26153" spans="4:11" ht="12.75">
      <c r="D26153" s="67"/>
      <c r="G26153" s="68"/>
      <c r="K26153" s="68"/>
    </row>
    <row r="26154" spans="4:11" ht="12.75">
      <c r="D26154" s="67"/>
      <c r="G26154" s="68"/>
      <c r="K26154" s="68"/>
    </row>
    <row r="26155" spans="4:11" ht="12.75">
      <c r="D26155" s="67"/>
      <c r="G26155" s="68"/>
      <c r="K26155" s="68"/>
    </row>
    <row r="26156" spans="4:11" ht="12.75">
      <c r="D26156" s="67"/>
      <c r="G26156" s="68"/>
      <c r="K26156" s="68"/>
    </row>
    <row r="26157" spans="4:11" ht="12.75">
      <c r="D26157" s="67"/>
      <c r="G26157" s="68"/>
      <c r="K26157" s="68"/>
    </row>
    <row r="26158" spans="4:11" ht="12.75">
      <c r="D26158" s="67"/>
      <c r="G26158" s="68"/>
      <c r="K26158" s="68"/>
    </row>
    <row r="26159" spans="4:11" ht="12.75">
      <c r="D26159" s="67"/>
      <c r="G26159" s="68"/>
      <c r="K26159" s="68"/>
    </row>
    <row r="26160" spans="4:11" ht="12.75">
      <c r="D26160" s="67"/>
      <c r="G26160" s="68"/>
      <c r="K26160" s="68"/>
    </row>
    <row r="26161" spans="4:11" ht="12.75">
      <c r="D26161" s="67"/>
      <c r="G26161" s="68"/>
      <c r="K26161" s="68"/>
    </row>
    <row r="26162" spans="4:11" ht="12.75">
      <c r="D26162" s="67"/>
      <c r="G26162" s="68"/>
      <c r="K26162" s="68"/>
    </row>
    <row r="26163" spans="4:11" ht="12.75">
      <c r="D26163" s="67"/>
      <c r="G26163" s="68"/>
      <c r="K26163" s="68"/>
    </row>
    <row r="26164" spans="4:11" ht="12.75">
      <c r="D26164" s="67"/>
      <c r="G26164" s="68"/>
      <c r="K26164" s="68"/>
    </row>
    <row r="26165" spans="4:11" ht="12.75">
      <c r="D26165" s="67"/>
      <c r="G26165" s="68"/>
      <c r="K26165" s="68"/>
    </row>
    <row r="26166" spans="4:11" ht="12.75">
      <c r="D26166" s="67"/>
      <c r="G26166" s="68"/>
      <c r="K26166" s="68"/>
    </row>
    <row r="26167" spans="4:11" ht="12.75">
      <c r="D26167" s="67"/>
      <c r="G26167" s="68"/>
      <c r="K26167" s="68"/>
    </row>
    <row r="26168" spans="4:11" ht="12.75">
      <c r="D26168" s="67"/>
      <c r="G26168" s="68"/>
      <c r="K26168" s="68"/>
    </row>
    <row r="26169" spans="4:11" ht="12.75">
      <c r="D26169" s="67"/>
      <c r="G26169" s="68"/>
      <c r="K26169" s="68"/>
    </row>
    <row r="26170" spans="4:11" ht="12.75">
      <c r="D26170" s="67"/>
      <c r="G26170" s="68"/>
      <c r="K26170" s="68"/>
    </row>
    <row r="26171" spans="4:11" ht="12.75">
      <c r="D26171" s="67"/>
      <c r="G26171" s="68"/>
      <c r="K26171" s="68"/>
    </row>
    <row r="26172" spans="4:11" ht="12.75">
      <c r="D26172" s="67"/>
      <c r="G26172" s="68"/>
      <c r="K26172" s="68"/>
    </row>
    <row r="26173" spans="4:11" ht="12.75">
      <c r="D26173" s="67"/>
      <c r="G26173" s="68"/>
      <c r="K26173" s="68"/>
    </row>
    <row r="26174" spans="4:11" ht="12.75">
      <c r="D26174" s="67"/>
      <c r="G26174" s="68"/>
      <c r="K26174" s="68"/>
    </row>
    <row r="26175" spans="4:11" ht="12.75">
      <c r="D26175" s="67"/>
      <c r="G26175" s="68"/>
      <c r="K26175" s="68"/>
    </row>
    <row r="26176" spans="4:11" ht="12.75">
      <c r="D26176" s="67"/>
      <c r="G26176" s="68"/>
      <c r="K26176" s="68"/>
    </row>
    <row r="26177" spans="4:11" ht="12.75">
      <c r="D26177" s="67"/>
      <c r="G26177" s="68"/>
      <c r="K26177" s="68"/>
    </row>
    <row r="26178" spans="4:11" ht="12.75">
      <c r="D26178" s="67"/>
      <c r="G26178" s="68"/>
      <c r="K26178" s="68"/>
    </row>
    <row r="26179" spans="4:11" ht="12.75">
      <c r="D26179" s="67"/>
      <c r="G26179" s="68"/>
      <c r="K26179" s="68"/>
    </row>
    <row r="26180" spans="4:11" ht="12.75">
      <c r="D26180" s="67"/>
      <c r="G26180" s="68"/>
      <c r="K26180" s="68"/>
    </row>
    <row r="26181" spans="4:11" ht="12.75">
      <c r="D26181" s="67"/>
      <c r="G26181" s="68"/>
      <c r="K26181" s="68"/>
    </row>
    <row r="26182" spans="4:11" ht="12.75">
      <c r="D26182" s="67"/>
      <c r="G26182" s="68"/>
      <c r="K26182" s="68"/>
    </row>
    <row r="26183" spans="4:11" ht="12.75">
      <c r="D26183" s="67"/>
      <c r="G26183" s="68"/>
      <c r="K26183" s="68"/>
    </row>
    <row r="26184" spans="4:11" ht="12.75">
      <c r="D26184" s="67"/>
      <c r="G26184" s="68"/>
      <c r="K26184" s="68"/>
    </row>
    <row r="26185" spans="4:11" ht="12.75">
      <c r="D26185" s="67"/>
      <c r="G26185" s="68"/>
      <c r="K26185" s="68"/>
    </row>
    <row r="26186" spans="4:11" ht="12.75">
      <c r="D26186" s="67"/>
      <c r="G26186" s="68"/>
      <c r="K26186" s="68"/>
    </row>
    <row r="26187" spans="4:11" ht="12.75">
      <c r="D26187" s="67"/>
      <c r="G26187" s="68"/>
      <c r="K26187" s="68"/>
    </row>
    <row r="26188" spans="4:11" ht="12.75">
      <c r="D26188" s="67"/>
      <c r="G26188" s="68"/>
      <c r="K26188" s="68"/>
    </row>
    <row r="26189" spans="4:11" ht="12.75">
      <c r="D26189" s="67"/>
      <c r="G26189" s="68"/>
      <c r="K26189" s="68"/>
    </row>
    <row r="26190" spans="4:11" ht="12.75">
      <c r="D26190" s="67"/>
      <c r="G26190" s="68"/>
      <c r="K26190" s="68"/>
    </row>
    <row r="26191" spans="4:11" ht="12.75">
      <c r="D26191" s="67"/>
      <c r="G26191" s="68"/>
      <c r="K26191" s="68"/>
    </row>
    <row r="26192" spans="4:11" ht="12.75">
      <c r="D26192" s="67"/>
      <c r="G26192" s="68"/>
      <c r="K26192" s="68"/>
    </row>
    <row r="26193" spans="4:11" ht="12.75">
      <c r="D26193" s="67"/>
      <c r="G26193" s="68"/>
      <c r="K26193" s="68"/>
    </row>
    <row r="26194" spans="4:11" ht="12.75">
      <c r="D26194" s="67"/>
      <c r="G26194" s="68"/>
      <c r="K26194" s="68"/>
    </row>
    <row r="26195" spans="4:11" ht="12.75">
      <c r="D26195" s="67"/>
      <c r="G26195" s="68"/>
      <c r="K26195" s="68"/>
    </row>
    <row r="26196" spans="4:11" ht="12.75">
      <c r="D26196" s="67"/>
      <c r="G26196" s="68"/>
      <c r="K26196" s="68"/>
    </row>
    <row r="26197" spans="4:11" ht="12.75">
      <c r="D26197" s="67"/>
      <c r="G26197" s="68"/>
      <c r="K26197" s="68"/>
    </row>
    <row r="26198" spans="4:11" ht="12.75">
      <c r="D26198" s="67"/>
      <c r="G26198" s="68"/>
      <c r="K26198" s="68"/>
    </row>
    <row r="26199" spans="4:11" ht="12.75">
      <c r="D26199" s="67"/>
      <c r="G26199" s="68"/>
      <c r="K26199" s="68"/>
    </row>
    <row r="26200" spans="4:11" ht="12.75">
      <c r="D26200" s="67"/>
      <c r="G26200" s="68"/>
      <c r="K26200" s="68"/>
    </row>
    <row r="26201" spans="4:11" ht="12.75">
      <c r="D26201" s="67"/>
      <c r="G26201" s="68"/>
      <c r="K26201" s="68"/>
    </row>
    <row r="26202" spans="4:11" ht="12.75">
      <c r="D26202" s="67"/>
      <c r="G26202" s="68"/>
      <c r="K26202" s="68"/>
    </row>
    <row r="26203" spans="4:11" ht="12.75">
      <c r="D26203" s="67"/>
      <c r="G26203" s="68"/>
      <c r="K26203" s="68"/>
    </row>
    <row r="26204" spans="4:11" ht="12.75">
      <c r="D26204" s="67"/>
      <c r="G26204" s="68"/>
      <c r="K26204" s="68"/>
    </row>
    <row r="26205" spans="4:11" ht="12.75">
      <c r="D26205" s="67"/>
      <c r="G26205" s="68"/>
      <c r="K26205" s="68"/>
    </row>
    <row r="26206" spans="4:11" ht="12.75">
      <c r="D26206" s="67"/>
      <c r="G26206" s="68"/>
      <c r="K26206" s="68"/>
    </row>
    <row r="26207" spans="4:11" ht="12.75">
      <c r="D26207" s="67"/>
      <c r="G26207" s="68"/>
      <c r="K26207" s="68"/>
    </row>
    <row r="26208" spans="4:11" ht="12.75">
      <c r="D26208" s="67"/>
      <c r="G26208" s="68"/>
      <c r="K26208" s="68"/>
    </row>
    <row r="26209" spans="4:11" ht="12.75">
      <c r="D26209" s="67"/>
      <c r="G26209" s="68"/>
      <c r="K26209" s="68"/>
    </row>
    <row r="26210" spans="4:11" ht="12.75">
      <c r="D26210" s="67"/>
      <c r="G26210" s="68"/>
      <c r="K26210" s="68"/>
    </row>
    <row r="26211" spans="4:11" ht="12.75">
      <c r="D26211" s="67"/>
      <c r="G26211" s="68"/>
      <c r="K26211" s="68"/>
    </row>
    <row r="26212" spans="4:11" ht="12.75">
      <c r="D26212" s="67"/>
      <c r="G26212" s="68"/>
      <c r="K26212" s="68"/>
    </row>
    <row r="26213" spans="4:11" ht="12.75">
      <c r="D26213" s="67"/>
      <c r="G26213" s="68"/>
      <c r="K26213" s="68"/>
    </row>
    <row r="26214" spans="4:11" ht="12.75">
      <c r="D26214" s="67"/>
      <c r="G26214" s="68"/>
      <c r="K26214" s="68"/>
    </row>
    <row r="26215" spans="4:11" ht="12.75">
      <c r="D26215" s="67"/>
      <c r="G26215" s="68"/>
      <c r="K26215" s="68"/>
    </row>
    <row r="26216" spans="4:11" ht="12.75">
      <c r="D26216" s="67"/>
      <c r="G26216" s="68"/>
      <c r="K26216" s="68"/>
    </row>
    <row r="26217" spans="4:11" ht="12.75">
      <c r="D26217" s="67"/>
      <c r="G26217" s="68"/>
      <c r="K26217" s="68"/>
    </row>
    <row r="26218" spans="4:11" ht="12.75">
      <c r="D26218" s="67"/>
      <c r="G26218" s="68"/>
      <c r="K26218" s="68"/>
    </row>
    <row r="26219" spans="4:11" ht="12.75">
      <c r="D26219" s="67"/>
      <c r="G26219" s="68"/>
      <c r="K26219" s="68"/>
    </row>
    <row r="26220" spans="4:11" ht="12.75">
      <c r="D26220" s="67"/>
      <c r="G26220" s="68"/>
      <c r="K26220" s="68"/>
    </row>
    <row r="26221" spans="4:11" ht="12.75">
      <c r="D26221" s="67"/>
      <c r="G26221" s="68"/>
      <c r="K26221" s="68"/>
    </row>
    <row r="26222" spans="4:11" ht="12.75">
      <c r="D26222" s="67"/>
      <c r="G26222" s="68"/>
      <c r="K26222" s="68"/>
    </row>
    <row r="26223" spans="4:11" ht="12.75">
      <c r="D26223" s="67"/>
      <c r="G26223" s="68"/>
      <c r="K26223" s="68"/>
    </row>
    <row r="26224" spans="4:11" ht="12.75">
      <c r="D26224" s="67"/>
      <c r="G26224" s="68"/>
      <c r="K26224" s="68"/>
    </row>
    <row r="26225" spans="4:11" ht="12.75">
      <c r="D26225" s="67"/>
      <c r="G26225" s="68"/>
      <c r="K26225" s="68"/>
    </row>
    <row r="26226" spans="4:11" ht="12.75">
      <c r="D26226" s="67"/>
      <c r="G26226" s="68"/>
      <c r="K26226" s="68"/>
    </row>
    <row r="26227" spans="4:11" ht="12.75">
      <c r="D26227" s="67"/>
      <c r="G26227" s="68"/>
      <c r="K26227" s="68"/>
    </row>
    <row r="26228" spans="4:11" ht="12.75">
      <c r="D26228" s="67"/>
      <c r="G26228" s="68"/>
      <c r="K26228" s="68"/>
    </row>
    <row r="26229" spans="4:11" ht="12.75">
      <c r="D26229" s="67"/>
      <c r="G26229" s="68"/>
      <c r="K26229" s="68"/>
    </row>
    <row r="26230" spans="4:11" ht="12.75">
      <c r="D26230" s="67"/>
      <c r="G26230" s="68"/>
      <c r="K26230" s="68"/>
    </row>
    <row r="26231" spans="4:11" ht="12.75">
      <c r="D26231" s="67"/>
      <c r="G26231" s="68"/>
      <c r="K26231" s="68"/>
    </row>
    <row r="26232" spans="4:11" ht="12.75">
      <c r="D26232" s="67"/>
      <c r="G26232" s="68"/>
      <c r="K26232" s="68"/>
    </row>
    <row r="26233" spans="4:11" ht="12.75">
      <c r="D26233" s="67"/>
      <c r="G26233" s="68"/>
      <c r="K26233" s="68"/>
    </row>
    <row r="26234" spans="4:11" ht="12.75">
      <c r="D26234" s="67"/>
      <c r="G26234" s="68"/>
      <c r="K26234" s="68"/>
    </row>
    <row r="26235" spans="4:11" ht="12.75">
      <c r="D26235" s="67"/>
      <c r="G26235" s="68"/>
      <c r="K26235" s="68"/>
    </row>
    <row r="26236" spans="4:11" ht="12.75">
      <c r="D26236" s="67"/>
      <c r="G26236" s="68"/>
      <c r="K26236" s="68"/>
    </row>
    <row r="26237" spans="4:11" ht="12.75">
      <c r="D26237" s="67"/>
      <c r="G26237" s="68"/>
      <c r="K26237" s="68"/>
    </row>
    <row r="26238" spans="4:11" ht="12.75">
      <c r="D26238" s="67"/>
      <c r="G26238" s="68"/>
      <c r="K26238" s="68"/>
    </row>
    <row r="26239" spans="4:11" ht="12.75">
      <c r="D26239" s="67"/>
      <c r="G26239" s="68"/>
      <c r="K26239" s="68"/>
    </row>
    <row r="26240" spans="4:11" ht="12.75">
      <c r="D26240" s="67"/>
      <c r="G26240" s="68"/>
      <c r="K26240" s="68"/>
    </row>
    <row r="26241" spans="4:11" ht="12.75">
      <c r="D26241" s="67"/>
      <c r="G26241" s="68"/>
      <c r="K26241" s="68"/>
    </row>
    <row r="26242" spans="4:11" ht="12.75">
      <c r="D26242" s="67"/>
      <c r="G26242" s="68"/>
      <c r="K26242" s="68"/>
    </row>
    <row r="26243" spans="4:11" ht="12.75">
      <c r="D26243" s="67"/>
      <c r="G26243" s="68"/>
      <c r="K26243" s="68"/>
    </row>
    <row r="26244" spans="4:11" ht="12.75">
      <c r="D26244" s="67"/>
      <c r="G26244" s="68"/>
      <c r="K26244" s="68"/>
    </row>
    <row r="26245" spans="4:11" ht="12.75">
      <c r="D26245" s="67"/>
      <c r="G26245" s="68"/>
      <c r="K26245" s="68"/>
    </row>
    <row r="26246" spans="4:11" ht="12.75">
      <c r="D26246" s="67"/>
      <c r="G26246" s="68"/>
      <c r="K26246" s="68"/>
    </row>
    <row r="26247" spans="4:11" ht="12.75">
      <c r="D26247" s="67"/>
      <c r="G26247" s="68"/>
      <c r="K26247" s="68"/>
    </row>
    <row r="26248" spans="4:11" ht="12.75">
      <c r="D26248" s="67"/>
      <c r="G26248" s="68"/>
      <c r="K26248" s="68"/>
    </row>
    <row r="26249" spans="4:11" ht="12.75">
      <c r="D26249" s="67"/>
      <c r="G26249" s="68"/>
      <c r="K26249" s="68"/>
    </row>
    <row r="26250" spans="4:11" ht="12.75">
      <c r="D26250" s="67"/>
      <c r="G26250" s="68"/>
      <c r="K26250" s="68"/>
    </row>
    <row r="26251" spans="4:11" ht="12.75">
      <c r="D26251" s="67"/>
      <c r="G26251" s="68"/>
      <c r="K26251" s="68"/>
    </row>
    <row r="26252" spans="4:11" ht="12.75">
      <c r="D26252" s="67"/>
      <c r="G26252" s="68"/>
      <c r="K26252" s="68"/>
    </row>
    <row r="26253" spans="4:11" ht="12.75">
      <c r="D26253" s="67"/>
      <c r="G26253" s="68"/>
      <c r="K26253" s="68"/>
    </row>
    <row r="26254" spans="4:11" ht="12.75">
      <c r="D26254" s="67"/>
      <c r="G26254" s="68"/>
      <c r="K26254" s="68"/>
    </row>
    <row r="26255" spans="4:11" ht="12.75">
      <c r="D26255" s="67"/>
      <c r="G26255" s="68"/>
      <c r="K26255" s="68"/>
    </row>
    <row r="26256" spans="4:11" ht="12.75">
      <c r="D26256" s="67"/>
      <c r="G26256" s="68"/>
      <c r="K26256" s="68"/>
    </row>
    <row r="26257" spans="4:11" ht="12.75">
      <c r="D26257" s="67"/>
      <c r="G26257" s="68"/>
      <c r="K26257" s="68"/>
    </row>
    <row r="26258" spans="4:11" ht="12.75">
      <c r="D26258" s="67"/>
      <c r="G26258" s="68"/>
      <c r="K26258" s="68"/>
    </row>
    <row r="26259" spans="4:11" ht="12.75">
      <c r="D26259" s="67"/>
      <c r="G26259" s="68"/>
      <c r="K26259" s="68"/>
    </row>
    <row r="26260" spans="4:11" ht="12.75">
      <c r="D26260" s="67"/>
      <c r="G26260" s="68"/>
      <c r="K26260" s="68"/>
    </row>
    <row r="26261" spans="4:11" ht="12.75">
      <c r="D26261" s="67"/>
      <c r="G26261" s="68"/>
      <c r="K26261" s="68"/>
    </row>
    <row r="26262" spans="4:11" ht="12.75">
      <c r="D26262" s="67"/>
      <c r="G26262" s="68"/>
      <c r="K26262" s="68"/>
    </row>
    <row r="26263" spans="4:11" ht="12.75">
      <c r="D26263" s="67"/>
      <c r="G26263" s="68"/>
      <c r="K26263" s="68"/>
    </row>
    <row r="26264" spans="4:11" ht="12.75">
      <c r="D26264" s="67"/>
      <c r="G26264" s="68"/>
      <c r="K26264" s="68"/>
    </row>
    <row r="26265" spans="4:11" ht="12.75">
      <c r="D26265" s="67"/>
      <c r="G26265" s="68"/>
      <c r="K26265" s="68"/>
    </row>
    <row r="26266" spans="4:11" ht="12.75">
      <c r="D26266" s="67"/>
      <c r="G26266" s="68"/>
      <c r="K26266" s="68"/>
    </row>
    <row r="26267" spans="4:11" ht="12.75">
      <c r="D26267" s="67"/>
      <c r="G26267" s="68"/>
      <c r="K26267" s="68"/>
    </row>
    <row r="26268" spans="4:11" ht="12.75">
      <c r="D26268" s="67"/>
      <c r="G26268" s="68"/>
      <c r="K26268" s="68"/>
    </row>
    <row r="26269" spans="4:11" ht="12.75">
      <c r="D26269" s="67"/>
      <c r="G26269" s="68"/>
      <c r="K26269" s="68"/>
    </row>
    <row r="26270" spans="4:11" ht="12.75">
      <c r="D26270" s="67"/>
      <c r="G26270" s="68"/>
      <c r="K26270" s="68"/>
    </row>
    <row r="26271" spans="4:11" ht="12.75">
      <c r="D26271" s="67"/>
      <c r="G26271" s="68"/>
      <c r="K26271" s="68"/>
    </row>
    <row r="26272" spans="4:11" ht="12.75">
      <c r="D26272" s="67"/>
      <c r="G26272" s="68"/>
      <c r="K26272" s="68"/>
    </row>
    <row r="26273" spans="4:11" ht="12.75">
      <c r="D26273" s="67"/>
      <c r="G26273" s="68"/>
      <c r="K26273" s="68"/>
    </row>
    <row r="26274" spans="4:11" ht="12.75">
      <c r="D26274" s="67"/>
      <c r="G26274" s="68"/>
      <c r="K26274" s="68"/>
    </row>
    <row r="26275" spans="4:11" ht="12.75">
      <c r="D26275" s="67"/>
      <c r="G26275" s="68"/>
      <c r="K26275" s="68"/>
    </row>
    <row r="26276" spans="4:11" ht="12.75">
      <c r="D26276" s="67"/>
      <c r="G26276" s="68"/>
      <c r="K26276" s="68"/>
    </row>
    <row r="26277" spans="4:11" ht="12.75">
      <c r="D26277" s="67"/>
      <c r="G26277" s="68"/>
      <c r="K26277" s="68"/>
    </row>
    <row r="26278" spans="4:11" ht="12.75">
      <c r="D26278" s="67"/>
      <c r="G26278" s="68"/>
      <c r="K26278" s="68"/>
    </row>
    <row r="26279" spans="4:11" ht="12.75">
      <c r="D26279" s="67"/>
      <c r="G26279" s="68"/>
      <c r="K26279" s="68"/>
    </row>
    <row r="26280" spans="4:11" ht="12.75">
      <c r="D26280" s="67"/>
      <c r="G26280" s="68"/>
      <c r="K26280" s="68"/>
    </row>
    <row r="26281" spans="4:11" ht="12.75">
      <c r="D26281" s="67"/>
      <c r="G26281" s="68"/>
      <c r="K26281" s="68"/>
    </row>
    <row r="26282" spans="4:11" ht="12.75">
      <c r="D26282" s="67"/>
      <c r="G26282" s="68"/>
      <c r="K26282" s="68"/>
    </row>
    <row r="26283" spans="4:11" ht="12.75">
      <c r="D26283" s="67"/>
      <c r="G26283" s="68"/>
      <c r="K26283" s="68"/>
    </row>
    <row r="26284" spans="4:11" ht="12.75">
      <c r="D26284" s="67"/>
      <c r="G26284" s="68"/>
      <c r="K26284" s="68"/>
    </row>
    <row r="26285" spans="4:11" ht="12.75">
      <c r="D26285" s="67"/>
      <c r="G26285" s="68"/>
      <c r="K26285" s="68"/>
    </row>
    <row r="26286" spans="4:11" ht="12.75">
      <c r="D26286" s="67"/>
      <c r="G26286" s="68"/>
      <c r="K26286" s="68"/>
    </row>
    <row r="26287" spans="4:11" ht="12.75">
      <c r="D26287" s="67"/>
      <c r="G26287" s="68"/>
      <c r="K26287" s="68"/>
    </row>
    <row r="26288" spans="4:11" ht="12.75">
      <c r="D26288" s="67"/>
      <c r="G26288" s="68"/>
      <c r="K26288" s="68"/>
    </row>
    <row r="26289" spans="4:11" ht="12.75">
      <c r="D26289" s="67"/>
      <c r="G26289" s="68"/>
      <c r="K26289" s="68"/>
    </row>
    <row r="26290" spans="4:11" ht="12.75">
      <c r="D26290" s="67"/>
      <c r="G26290" s="68"/>
      <c r="K26290" s="68"/>
    </row>
    <row r="26291" spans="4:11" ht="12.75">
      <c r="D26291" s="67"/>
      <c r="G26291" s="68"/>
      <c r="K26291" s="68"/>
    </row>
    <row r="26292" spans="4:11" ht="12.75">
      <c r="D26292" s="67"/>
      <c r="G26292" s="68"/>
      <c r="K26292" s="68"/>
    </row>
    <row r="26293" spans="4:11" ht="12.75">
      <c r="D26293" s="67"/>
      <c r="G26293" s="68"/>
      <c r="K26293" s="68"/>
    </row>
    <row r="26294" spans="4:11" ht="12.75">
      <c r="D26294" s="67"/>
      <c r="G26294" s="68"/>
      <c r="K26294" s="68"/>
    </row>
    <row r="26295" spans="4:11" ht="12.75">
      <c r="D26295" s="67"/>
      <c r="G26295" s="68"/>
      <c r="K26295" s="68"/>
    </row>
    <row r="26296" spans="4:11" ht="12.75">
      <c r="D26296" s="67"/>
      <c r="G26296" s="68"/>
      <c r="K26296" s="68"/>
    </row>
    <row r="26297" spans="4:11" ht="12.75">
      <c r="D26297" s="67"/>
      <c r="G26297" s="68"/>
      <c r="K26297" s="68"/>
    </row>
    <row r="26298" spans="4:11" ht="12.75">
      <c r="D26298" s="67"/>
      <c r="G26298" s="68"/>
      <c r="K26298" s="68"/>
    </row>
    <row r="26299" spans="4:11" ht="12.75">
      <c r="D26299" s="67"/>
      <c r="G26299" s="68"/>
      <c r="K26299" s="68"/>
    </row>
    <row r="26300" spans="4:11" ht="12.75">
      <c r="D26300" s="67"/>
      <c r="G26300" s="68"/>
      <c r="K26300" s="68"/>
    </row>
    <row r="26301" spans="4:11" ht="12.75">
      <c r="D26301" s="67"/>
      <c r="G26301" s="68"/>
      <c r="K26301" s="68"/>
    </row>
    <row r="26302" spans="4:11" ht="12.75">
      <c r="D26302" s="67"/>
      <c r="G26302" s="68"/>
      <c r="K26302" s="68"/>
    </row>
    <row r="26303" spans="4:11" ht="12.75">
      <c r="D26303" s="67"/>
      <c r="G26303" s="68"/>
      <c r="K26303" s="68"/>
    </row>
    <row r="26304" spans="4:11" ht="12.75">
      <c r="D26304" s="67"/>
      <c r="G26304" s="68"/>
      <c r="K26304" s="68"/>
    </row>
    <row r="26305" spans="4:11" ht="12.75">
      <c r="D26305" s="67"/>
      <c r="G26305" s="68"/>
      <c r="K26305" s="68"/>
    </row>
    <row r="26306" spans="4:11" ht="12.75">
      <c r="D26306" s="67"/>
      <c r="G26306" s="68"/>
      <c r="K26306" s="68"/>
    </row>
    <row r="26307" spans="4:11" ht="12.75">
      <c r="D26307" s="67"/>
      <c r="G26307" s="68"/>
      <c r="K26307" s="68"/>
    </row>
    <row r="26308" spans="4:11" ht="12.75">
      <c r="D26308" s="67"/>
      <c r="G26308" s="68"/>
      <c r="K26308" s="68"/>
    </row>
    <row r="26309" spans="4:11" ht="12.75">
      <c r="D26309" s="67"/>
      <c r="G26309" s="68"/>
      <c r="K26309" s="68"/>
    </row>
    <row r="26310" spans="4:11" ht="12.75">
      <c r="D26310" s="67"/>
      <c r="G26310" s="68"/>
      <c r="K26310" s="68"/>
    </row>
    <row r="26311" spans="4:11" ht="12.75">
      <c r="D26311" s="67"/>
      <c r="G26311" s="68"/>
      <c r="K26311" s="68"/>
    </row>
    <row r="26312" spans="4:11" ht="12.75">
      <c r="D26312" s="67"/>
      <c r="G26312" s="68"/>
      <c r="K26312" s="68"/>
    </row>
    <row r="26313" spans="4:11" ht="12.75">
      <c r="D26313" s="67"/>
      <c r="G26313" s="68"/>
      <c r="K26313" s="68"/>
    </row>
    <row r="26314" spans="4:11" ht="12.75">
      <c r="D26314" s="67"/>
      <c r="G26314" s="68"/>
      <c r="K26314" s="68"/>
    </row>
    <row r="26315" spans="4:11" ht="12.75">
      <c r="D26315" s="67"/>
      <c r="G26315" s="68"/>
      <c r="K26315" s="68"/>
    </row>
    <row r="26316" spans="4:11" ht="12.75">
      <c r="D26316" s="67"/>
      <c r="G26316" s="68"/>
      <c r="K26316" s="68"/>
    </row>
    <row r="26317" spans="4:11" ht="12.75">
      <c r="D26317" s="67"/>
      <c r="G26317" s="68"/>
      <c r="K26317" s="68"/>
    </row>
    <row r="26318" spans="4:11" ht="12.75">
      <c r="D26318" s="67"/>
      <c r="G26318" s="68"/>
      <c r="K26318" s="68"/>
    </row>
    <row r="26319" spans="4:11" ht="12.75">
      <c r="D26319" s="67"/>
      <c r="G26319" s="68"/>
      <c r="K26319" s="68"/>
    </row>
    <row r="26320" spans="4:11" ht="12.75">
      <c r="D26320" s="67"/>
      <c r="G26320" s="68"/>
      <c r="K26320" s="68"/>
    </row>
    <row r="26321" spans="4:11" ht="12.75">
      <c r="D26321" s="67"/>
      <c r="G26321" s="68"/>
      <c r="K26321" s="68"/>
    </row>
    <row r="26322" spans="4:11" ht="12.75">
      <c r="D26322" s="67"/>
      <c r="G26322" s="68"/>
      <c r="K26322" s="68"/>
    </row>
    <row r="26323" spans="4:11" ht="12.75">
      <c r="D26323" s="67"/>
      <c r="G26323" s="68"/>
      <c r="K26323" s="68"/>
    </row>
    <row r="26324" spans="4:11" ht="12.75">
      <c r="D26324" s="67"/>
      <c r="G26324" s="68"/>
      <c r="K26324" s="68"/>
    </row>
    <row r="26325" spans="4:11" ht="12.75">
      <c r="D26325" s="67"/>
      <c r="G26325" s="68"/>
      <c r="K26325" s="68"/>
    </row>
    <row r="26326" spans="4:11" ht="12.75">
      <c r="D26326" s="67"/>
      <c r="G26326" s="68"/>
      <c r="K26326" s="68"/>
    </row>
    <row r="26327" spans="4:11" ht="12.75">
      <c r="D26327" s="67"/>
      <c r="G26327" s="68"/>
      <c r="K26327" s="68"/>
    </row>
    <row r="26328" spans="4:11" ht="12.75">
      <c r="D26328" s="67"/>
      <c r="G26328" s="68"/>
      <c r="K26328" s="68"/>
    </row>
    <row r="26329" spans="4:11" ht="12.75">
      <c r="D26329" s="67"/>
      <c r="G26329" s="68"/>
      <c r="K26329" s="68"/>
    </row>
    <row r="26330" spans="4:11" ht="12.75">
      <c r="D26330" s="67"/>
      <c r="G26330" s="68"/>
      <c r="K26330" s="68"/>
    </row>
    <row r="26331" spans="4:11" ht="12.75">
      <c r="D26331" s="67"/>
      <c r="G26331" s="68"/>
      <c r="K26331" s="68"/>
    </row>
    <row r="26332" spans="4:11" ht="12.75">
      <c r="D26332" s="67"/>
      <c r="G26332" s="68"/>
      <c r="K26332" s="68"/>
    </row>
    <row r="26333" spans="4:11" ht="12.75">
      <c r="D26333" s="67"/>
      <c r="G26333" s="68"/>
      <c r="K26333" s="68"/>
    </row>
    <row r="26334" spans="4:11" ht="12.75">
      <c r="D26334" s="67"/>
      <c r="G26334" s="68"/>
      <c r="K26334" s="68"/>
    </row>
    <row r="26335" spans="4:11" ht="12.75">
      <c r="D26335" s="67"/>
      <c r="G26335" s="68"/>
      <c r="K26335" s="68"/>
    </row>
    <row r="26336" spans="4:11" ht="12.75">
      <c r="D26336" s="67"/>
      <c r="G26336" s="68"/>
      <c r="K26336" s="68"/>
    </row>
    <row r="26337" spans="4:11" ht="12.75">
      <c r="D26337" s="67"/>
      <c r="G26337" s="68"/>
      <c r="K26337" s="68"/>
    </row>
    <row r="26338" spans="4:11" ht="12.75">
      <c r="D26338" s="67"/>
      <c r="G26338" s="68"/>
      <c r="K26338" s="68"/>
    </row>
    <row r="26339" spans="4:11" ht="12.75">
      <c r="D26339" s="67"/>
      <c r="G26339" s="68"/>
      <c r="K26339" s="68"/>
    </row>
    <row r="26340" spans="4:11" ht="12.75">
      <c r="D26340" s="67"/>
      <c r="G26340" s="68"/>
      <c r="K26340" s="68"/>
    </row>
    <row r="26341" spans="4:11" ht="12.75">
      <c r="D26341" s="67"/>
      <c r="G26341" s="68"/>
      <c r="K26341" s="68"/>
    </row>
    <row r="26342" spans="4:11" ht="12.75">
      <c r="D26342" s="67"/>
      <c r="G26342" s="68"/>
      <c r="K26342" s="68"/>
    </row>
    <row r="26343" spans="4:11" ht="12.75">
      <c r="D26343" s="67"/>
      <c r="G26343" s="68"/>
      <c r="K26343" s="68"/>
    </row>
    <row r="26344" spans="4:11" ht="12.75">
      <c r="D26344" s="67"/>
      <c r="G26344" s="68"/>
      <c r="K26344" s="68"/>
    </row>
    <row r="26345" spans="4:11" ht="12.75">
      <c r="D26345" s="67"/>
      <c r="G26345" s="68"/>
      <c r="K26345" s="68"/>
    </row>
    <row r="26346" spans="4:11" ht="12.75">
      <c r="D26346" s="67"/>
      <c r="G26346" s="68"/>
      <c r="K26346" s="68"/>
    </row>
    <row r="26347" spans="4:11" ht="12.75">
      <c r="D26347" s="67"/>
      <c r="G26347" s="68"/>
      <c r="K26347" s="68"/>
    </row>
    <row r="26348" spans="4:11" ht="12.75">
      <c r="D26348" s="67"/>
      <c r="G26348" s="68"/>
      <c r="K26348" s="68"/>
    </row>
    <row r="26349" spans="4:11" ht="12.75">
      <c r="D26349" s="67"/>
      <c r="G26349" s="68"/>
      <c r="K26349" s="68"/>
    </row>
    <row r="26350" spans="4:11" ht="12.75">
      <c r="D26350" s="67"/>
      <c r="G26350" s="68"/>
      <c r="K26350" s="68"/>
    </row>
    <row r="26351" spans="4:11" ht="12.75">
      <c r="D26351" s="67"/>
      <c r="G26351" s="68"/>
      <c r="K26351" s="68"/>
    </row>
    <row r="26352" spans="4:11" ht="12.75">
      <c r="D26352" s="67"/>
      <c r="G26352" s="68"/>
      <c r="K26352" s="68"/>
    </row>
    <row r="26353" spans="4:11" ht="12.75">
      <c r="D26353" s="67"/>
      <c r="G26353" s="68"/>
      <c r="K26353" s="68"/>
    </row>
    <row r="26354" spans="4:11" ht="12.75">
      <c r="D26354" s="67"/>
      <c r="G26354" s="68"/>
      <c r="K26354" s="68"/>
    </row>
    <row r="26355" spans="4:11" ht="12.75">
      <c r="D26355" s="67"/>
      <c r="G26355" s="68"/>
      <c r="K26355" s="68"/>
    </row>
    <row r="26356" spans="4:11" ht="12.75">
      <c r="D26356" s="67"/>
      <c r="G26356" s="68"/>
      <c r="K26356" s="68"/>
    </row>
    <row r="26357" spans="4:11" ht="12.75">
      <c r="D26357" s="67"/>
      <c r="G26357" s="68"/>
      <c r="K26357" s="68"/>
    </row>
    <row r="26358" spans="4:11" ht="12.75">
      <c r="D26358" s="67"/>
      <c r="G26358" s="68"/>
      <c r="K26358" s="68"/>
    </row>
    <row r="26359" spans="4:11" ht="12.75">
      <c r="D26359" s="67"/>
      <c r="G26359" s="68"/>
      <c r="K26359" s="68"/>
    </row>
    <row r="26360" spans="4:11" ht="12.75">
      <c r="D26360" s="67"/>
      <c r="G26360" s="68"/>
      <c r="K26360" s="68"/>
    </row>
    <row r="26361" spans="4:11" ht="12.75">
      <c r="D26361" s="67"/>
      <c r="G26361" s="68"/>
      <c r="K26361" s="68"/>
    </row>
    <row r="26362" spans="4:11" ht="12.75">
      <c r="D26362" s="67"/>
      <c r="G26362" s="68"/>
      <c r="K26362" s="68"/>
    </row>
    <row r="26363" spans="4:11" ht="12.75">
      <c r="D26363" s="67"/>
      <c r="G26363" s="68"/>
      <c r="K26363" s="68"/>
    </row>
    <row r="26364" spans="4:11" ht="12.75">
      <c r="D26364" s="67"/>
      <c r="G26364" s="68"/>
      <c r="K26364" s="68"/>
    </row>
    <row r="26365" spans="4:11" ht="12.75">
      <c r="D26365" s="67"/>
      <c r="G26365" s="68"/>
      <c r="K26365" s="68"/>
    </row>
    <row r="26366" spans="4:11" ht="12.75">
      <c r="D26366" s="67"/>
      <c r="G26366" s="68"/>
      <c r="K26366" s="68"/>
    </row>
    <row r="26367" spans="4:11" ht="12.75">
      <c r="D26367" s="67"/>
      <c r="G26367" s="68"/>
      <c r="K26367" s="68"/>
    </row>
    <row r="26368" spans="4:11" ht="12.75">
      <c r="D26368" s="67"/>
      <c r="G26368" s="68"/>
      <c r="K26368" s="68"/>
    </row>
    <row r="26369" spans="4:11" ht="12.75">
      <c r="D26369" s="67"/>
      <c r="G26369" s="68"/>
      <c r="K26369" s="68"/>
    </row>
    <row r="26370" spans="4:11" ht="12.75">
      <c r="D26370" s="67"/>
      <c r="G26370" s="68"/>
      <c r="K26370" s="68"/>
    </row>
    <row r="26371" spans="4:11" ht="12.75">
      <c r="D26371" s="67"/>
      <c r="G26371" s="68"/>
      <c r="K26371" s="68"/>
    </row>
    <row r="26372" spans="4:11" ht="12.75">
      <c r="D26372" s="67"/>
      <c r="G26372" s="68"/>
      <c r="K26372" s="68"/>
    </row>
    <row r="26373" spans="4:11" ht="12.75">
      <c r="D26373" s="67"/>
      <c r="G26373" s="68"/>
      <c r="K26373" s="68"/>
    </row>
    <row r="26374" spans="4:11" ht="12.75">
      <c r="D26374" s="67"/>
      <c r="G26374" s="68"/>
      <c r="K26374" s="68"/>
    </row>
    <row r="26375" spans="4:11" ht="12.75">
      <c r="D26375" s="67"/>
      <c r="G26375" s="68"/>
      <c r="K26375" s="68"/>
    </row>
    <row r="26376" spans="4:11" ht="12.75">
      <c r="D26376" s="67"/>
      <c r="G26376" s="68"/>
      <c r="K26376" s="68"/>
    </row>
    <row r="26377" spans="4:11" ht="12.75">
      <c r="D26377" s="67"/>
      <c r="G26377" s="68"/>
      <c r="K26377" s="68"/>
    </row>
    <row r="26378" spans="4:11" ht="12.75">
      <c r="D26378" s="67"/>
      <c r="G26378" s="68"/>
      <c r="K26378" s="68"/>
    </row>
    <row r="26379" spans="4:11" ht="12.75">
      <c r="D26379" s="67"/>
      <c r="G26379" s="68"/>
      <c r="K26379" s="68"/>
    </row>
    <row r="26380" spans="4:11" ht="12.75">
      <c r="D26380" s="67"/>
      <c r="G26380" s="68"/>
      <c r="K26380" s="68"/>
    </row>
    <row r="26381" spans="4:11" ht="12.75">
      <c r="D26381" s="67"/>
      <c r="G26381" s="68"/>
      <c r="K26381" s="68"/>
    </row>
    <row r="26382" spans="4:11" ht="12.75">
      <c r="D26382" s="67"/>
      <c r="G26382" s="68"/>
      <c r="K26382" s="68"/>
    </row>
    <row r="26383" spans="4:11" ht="12.75">
      <c r="D26383" s="67"/>
      <c r="G26383" s="68"/>
      <c r="K26383" s="68"/>
    </row>
    <row r="26384" spans="4:11" ht="12.75">
      <c r="D26384" s="67"/>
      <c r="G26384" s="68"/>
      <c r="K26384" s="68"/>
    </row>
    <row r="26385" spans="4:11" ht="12.75">
      <c r="D26385" s="67"/>
      <c r="G26385" s="68"/>
      <c r="K26385" s="68"/>
    </row>
    <row r="26386" spans="4:11" ht="12.75">
      <c r="D26386" s="67"/>
      <c r="G26386" s="68"/>
      <c r="K26386" s="68"/>
    </row>
    <row r="26387" spans="4:11" ht="12.75">
      <c r="D26387" s="67"/>
      <c r="G26387" s="68"/>
      <c r="K26387" s="68"/>
    </row>
    <row r="26388" spans="4:11" ht="12.75">
      <c r="D26388" s="67"/>
      <c r="G26388" s="68"/>
      <c r="K26388" s="68"/>
    </row>
    <row r="26389" spans="4:11" ht="12.75">
      <c r="D26389" s="67"/>
      <c r="G26389" s="68"/>
      <c r="K26389" s="68"/>
    </row>
    <row r="26390" spans="4:11" ht="12.75">
      <c r="D26390" s="67"/>
      <c r="G26390" s="68"/>
      <c r="K26390" s="68"/>
    </row>
    <row r="26391" spans="4:11" ht="12.75">
      <c r="D26391" s="67"/>
      <c r="G26391" s="68"/>
      <c r="K26391" s="68"/>
    </row>
    <row r="26392" spans="4:11" ht="12.75">
      <c r="D26392" s="67"/>
      <c r="G26392" s="68"/>
      <c r="K26392" s="68"/>
    </row>
    <row r="26393" spans="4:11" ht="12.75">
      <c r="D26393" s="67"/>
      <c r="G26393" s="68"/>
      <c r="K26393" s="68"/>
    </row>
    <row r="26394" spans="4:11" ht="12.75">
      <c r="D26394" s="67"/>
      <c r="G26394" s="68"/>
      <c r="K26394" s="68"/>
    </row>
    <row r="26395" spans="4:11" ht="12.75">
      <c r="D26395" s="67"/>
      <c r="G26395" s="68"/>
      <c r="K26395" s="68"/>
    </row>
    <row r="26396" spans="4:11" ht="12.75">
      <c r="D26396" s="67"/>
      <c r="G26396" s="68"/>
      <c r="K26396" s="68"/>
    </row>
    <row r="26397" spans="4:11" ht="12.75">
      <c r="D26397" s="67"/>
      <c r="G26397" s="68"/>
      <c r="K26397" s="68"/>
    </row>
    <row r="26398" spans="4:11" ht="12.75">
      <c r="D26398" s="67"/>
      <c r="G26398" s="68"/>
      <c r="K26398" s="68"/>
    </row>
    <row r="26399" spans="4:11" ht="12.75">
      <c r="D26399" s="67"/>
      <c r="G26399" s="68"/>
      <c r="K26399" s="68"/>
    </row>
    <row r="26400" spans="4:11" ht="12.75">
      <c r="D26400" s="67"/>
      <c r="G26400" s="68"/>
      <c r="K26400" s="68"/>
    </row>
    <row r="26401" spans="4:11" ht="12.75">
      <c r="D26401" s="67"/>
      <c r="G26401" s="68"/>
      <c r="K26401" s="68"/>
    </row>
    <row r="26402" spans="4:11" ht="12.75">
      <c r="D26402" s="67"/>
      <c r="G26402" s="68"/>
      <c r="K26402" s="68"/>
    </row>
    <row r="26403" spans="4:11" ht="12.75">
      <c r="D26403" s="67"/>
      <c r="G26403" s="68"/>
      <c r="K26403" s="68"/>
    </row>
    <row r="26404" spans="4:11" ht="12.75">
      <c r="D26404" s="67"/>
      <c r="G26404" s="68"/>
      <c r="K26404" s="68"/>
    </row>
    <row r="26405" spans="4:11" ht="12.75">
      <c r="D26405" s="67"/>
      <c r="G26405" s="68"/>
      <c r="K26405" s="68"/>
    </row>
    <row r="26406" spans="4:11" ht="12.75">
      <c r="D26406" s="67"/>
      <c r="G26406" s="68"/>
      <c r="K26406" s="68"/>
    </row>
    <row r="26407" spans="4:11" ht="12.75">
      <c r="D26407" s="67"/>
      <c r="G26407" s="68"/>
      <c r="K26407" s="68"/>
    </row>
    <row r="26408" spans="4:11" ht="12.75">
      <c r="D26408" s="67"/>
      <c r="G26408" s="68"/>
      <c r="K26408" s="68"/>
    </row>
    <row r="26409" spans="4:11" ht="12.75">
      <c r="D26409" s="67"/>
      <c r="G26409" s="68"/>
      <c r="K26409" s="68"/>
    </row>
    <row r="26410" spans="4:11" ht="12.75">
      <c r="D26410" s="67"/>
      <c r="G26410" s="68"/>
      <c r="K26410" s="68"/>
    </row>
    <row r="26411" spans="4:11" ht="12.75">
      <c r="D26411" s="67"/>
      <c r="G26411" s="68"/>
      <c r="K26411" s="68"/>
    </row>
    <row r="26412" spans="4:11" ht="12.75">
      <c r="D26412" s="67"/>
      <c r="G26412" s="68"/>
      <c r="K26412" s="68"/>
    </row>
    <row r="26413" spans="4:11" ht="12.75">
      <c r="D26413" s="67"/>
      <c r="G26413" s="68"/>
      <c r="K26413" s="68"/>
    </row>
    <row r="26414" spans="4:11" ht="12.75">
      <c r="D26414" s="67"/>
      <c r="G26414" s="68"/>
      <c r="K26414" s="68"/>
    </row>
    <row r="26415" spans="4:11" ht="12.75">
      <c r="D26415" s="67"/>
      <c r="G26415" s="68"/>
      <c r="K26415" s="68"/>
    </row>
    <row r="26416" spans="4:11" ht="12.75">
      <c r="D26416" s="67"/>
      <c r="G26416" s="68"/>
      <c r="K26416" s="68"/>
    </row>
    <row r="26417" spans="4:11" ht="12.75">
      <c r="D26417" s="67"/>
      <c r="G26417" s="68"/>
      <c r="K26417" s="68"/>
    </row>
    <row r="26418" spans="4:11" ht="12.75">
      <c r="D26418" s="67"/>
      <c r="G26418" s="68"/>
      <c r="K26418" s="68"/>
    </row>
    <row r="26419" spans="4:11" ht="12.75">
      <c r="D26419" s="67"/>
      <c r="G26419" s="68"/>
      <c r="K26419" s="68"/>
    </row>
    <row r="26420" spans="4:11" ht="12.75">
      <c r="D26420" s="67"/>
      <c r="G26420" s="68"/>
      <c r="K26420" s="68"/>
    </row>
    <row r="26421" spans="4:11" ht="12.75">
      <c r="D26421" s="67"/>
      <c r="G26421" s="68"/>
      <c r="K26421" s="68"/>
    </row>
    <row r="26422" spans="4:11" ht="12.75">
      <c r="D26422" s="67"/>
      <c r="G26422" s="68"/>
      <c r="K26422" s="68"/>
    </row>
    <row r="26423" spans="4:11" ht="12.75">
      <c r="D26423" s="67"/>
      <c r="G26423" s="68"/>
      <c r="K26423" s="68"/>
    </row>
    <row r="26424" spans="4:11" ht="12.75">
      <c r="D26424" s="67"/>
      <c r="G26424" s="68"/>
      <c r="K26424" s="68"/>
    </row>
    <row r="26425" spans="4:11" ht="12.75">
      <c r="D26425" s="67"/>
      <c r="G26425" s="68"/>
      <c r="K26425" s="68"/>
    </row>
    <row r="26426" spans="4:11" ht="12.75">
      <c r="D26426" s="67"/>
      <c r="G26426" s="68"/>
      <c r="K26426" s="68"/>
    </row>
    <row r="26427" spans="4:11" ht="12.75">
      <c r="D26427" s="67"/>
      <c r="G26427" s="68"/>
      <c r="K26427" s="68"/>
    </row>
    <row r="26428" spans="4:11" ht="12.75">
      <c r="D26428" s="67"/>
      <c r="G26428" s="68"/>
      <c r="K26428" s="68"/>
    </row>
    <row r="26429" spans="4:11" ht="12.75">
      <c r="D26429" s="67"/>
      <c r="G26429" s="68"/>
      <c r="K26429" s="68"/>
    </row>
    <row r="26430" spans="4:11" ht="12.75">
      <c r="D26430" s="67"/>
      <c r="G26430" s="68"/>
      <c r="K26430" s="68"/>
    </row>
    <row r="26431" spans="4:11" ht="12.75">
      <c r="D26431" s="67"/>
      <c r="G26431" s="68"/>
      <c r="K26431" s="68"/>
    </row>
    <row r="26432" spans="4:11" ht="12.75">
      <c r="D26432" s="67"/>
      <c r="G26432" s="68"/>
      <c r="K26432" s="68"/>
    </row>
    <row r="26433" spans="4:11" ht="12.75">
      <c r="D26433" s="67"/>
      <c r="G26433" s="68"/>
      <c r="K26433" s="68"/>
    </row>
    <row r="26434" spans="4:11" ht="12.75">
      <c r="D26434" s="67"/>
      <c r="G26434" s="68"/>
      <c r="K26434" s="68"/>
    </row>
    <row r="26435" spans="4:11" ht="12.75">
      <c r="D26435" s="67"/>
      <c r="G26435" s="68"/>
      <c r="K26435" s="68"/>
    </row>
    <row r="26436" spans="4:11" ht="12.75">
      <c r="D26436" s="67"/>
      <c r="G26436" s="68"/>
      <c r="K26436" s="68"/>
    </row>
    <row r="26437" spans="4:11" ht="12.75">
      <c r="D26437" s="67"/>
      <c r="G26437" s="68"/>
      <c r="K26437" s="68"/>
    </row>
    <row r="26438" spans="4:11" ht="12.75">
      <c r="D26438" s="67"/>
      <c r="G26438" s="68"/>
      <c r="K26438" s="68"/>
    </row>
    <row r="26439" spans="4:11" ht="12.75">
      <c r="D26439" s="67"/>
      <c r="G26439" s="68"/>
      <c r="K26439" s="68"/>
    </row>
    <row r="26440" spans="4:11" ht="12.75">
      <c r="D26440" s="67"/>
      <c r="G26440" s="68"/>
      <c r="K26440" s="68"/>
    </row>
    <row r="26441" spans="4:11" ht="12.75">
      <c r="D26441" s="67"/>
      <c r="G26441" s="68"/>
      <c r="K26441" s="68"/>
    </row>
    <row r="26442" spans="4:11" ht="12.75">
      <c r="D26442" s="67"/>
      <c r="G26442" s="68"/>
      <c r="K26442" s="68"/>
    </row>
    <row r="26443" spans="4:11" ht="12.75">
      <c r="D26443" s="67"/>
      <c r="G26443" s="68"/>
      <c r="K26443" s="68"/>
    </row>
    <row r="26444" spans="4:11" ht="12.75">
      <c r="D26444" s="67"/>
      <c r="G26444" s="68"/>
      <c r="K26444" s="68"/>
    </row>
    <row r="26445" spans="4:11" ht="12.75">
      <c r="D26445" s="67"/>
      <c r="G26445" s="68"/>
      <c r="K26445" s="68"/>
    </row>
    <row r="26446" spans="4:11" ht="12.75">
      <c r="D26446" s="67"/>
      <c r="G26446" s="68"/>
      <c r="K26446" s="68"/>
    </row>
    <row r="26447" spans="4:11" ht="12.75">
      <c r="D26447" s="67"/>
      <c r="G26447" s="68"/>
      <c r="K26447" s="68"/>
    </row>
    <row r="26448" spans="4:11" ht="12.75">
      <c r="D26448" s="67"/>
      <c r="G26448" s="68"/>
      <c r="K26448" s="68"/>
    </row>
    <row r="26449" spans="4:11" ht="12.75">
      <c r="D26449" s="67"/>
      <c r="G26449" s="68"/>
      <c r="K26449" s="68"/>
    </row>
    <row r="26450" spans="4:11" ht="12.75">
      <c r="D26450" s="67"/>
      <c r="G26450" s="68"/>
      <c r="K26450" s="68"/>
    </row>
    <row r="26451" spans="4:11" ht="12.75">
      <c r="D26451" s="67"/>
      <c r="G26451" s="68"/>
      <c r="K26451" s="68"/>
    </row>
    <row r="26452" spans="4:11" ht="12.75">
      <c r="D26452" s="67"/>
      <c r="G26452" s="68"/>
      <c r="K26452" s="68"/>
    </row>
    <row r="26453" spans="4:11" ht="12.75">
      <c r="D26453" s="67"/>
      <c r="G26453" s="68"/>
      <c r="K26453" s="68"/>
    </row>
    <row r="26454" spans="4:11" ht="12.75">
      <c r="D26454" s="67"/>
      <c r="G26454" s="68"/>
      <c r="K26454" s="68"/>
    </row>
    <row r="26455" spans="4:11" ht="12.75">
      <c r="D26455" s="67"/>
      <c r="G26455" s="68"/>
      <c r="K26455" s="68"/>
    </row>
    <row r="26456" spans="4:11" ht="12.75">
      <c r="D26456" s="67"/>
      <c r="G26456" s="68"/>
      <c r="K26456" s="68"/>
    </row>
    <row r="26457" spans="4:11" ht="12.75">
      <c r="D26457" s="67"/>
      <c r="G26457" s="68"/>
      <c r="K26457" s="68"/>
    </row>
    <row r="26458" spans="4:11" ht="12.75">
      <c r="D26458" s="67"/>
      <c r="G26458" s="68"/>
      <c r="K26458" s="68"/>
    </row>
    <row r="26459" spans="4:11" ht="12.75">
      <c r="D26459" s="67"/>
      <c r="G26459" s="68"/>
      <c r="K26459" s="68"/>
    </row>
    <row r="26460" spans="4:11" ht="12.75">
      <c r="D26460" s="67"/>
      <c r="G26460" s="68"/>
      <c r="K26460" s="68"/>
    </row>
    <row r="26461" spans="4:11" ht="12.75">
      <c r="D26461" s="67"/>
      <c r="G26461" s="68"/>
      <c r="K26461" s="68"/>
    </row>
    <row r="26462" spans="4:11" ht="12.75">
      <c r="D26462" s="67"/>
      <c r="G26462" s="68"/>
      <c r="K26462" s="68"/>
    </row>
    <row r="26463" spans="4:11" ht="12.75">
      <c r="D26463" s="67"/>
      <c r="G26463" s="68"/>
      <c r="K26463" s="68"/>
    </row>
    <row r="26464" spans="4:11" ht="12.75">
      <c r="D26464" s="67"/>
      <c r="G26464" s="68"/>
      <c r="K26464" s="68"/>
    </row>
    <row r="26465" spans="4:11" ht="12.75">
      <c r="D26465" s="67"/>
      <c r="G26465" s="68"/>
      <c r="K26465" s="68"/>
    </row>
    <row r="26466" spans="4:11" ht="12.75">
      <c r="D26466" s="67"/>
      <c r="G26466" s="68"/>
      <c r="K26466" s="68"/>
    </row>
    <row r="26467" spans="4:11" ht="12.75">
      <c r="D26467" s="67"/>
      <c r="G26467" s="68"/>
      <c r="K26467" s="68"/>
    </row>
    <row r="26468" spans="4:11" ht="12.75">
      <c r="D26468" s="67"/>
      <c r="G26468" s="68"/>
      <c r="K26468" s="68"/>
    </row>
    <row r="26469" spans="4:11" ht="12.75">
      <c r="D26469" s="67"/>
      <c r="G26469" s="68"/>
      <c r="K26469" s="68"/>
    </row>
    <row r="26470" spans="4:11" ht="12.75">
      <c r="D26470" s="67"/>
      <c r="G26470" s="68"/>
      <c r="K26470" s="68"/>
    </row>
    <row r="26471" spans="4:11" ht="12.75">
      <c r="D26471" s="67"/>
      <c r="G26471" s="68"/>
      <c r="K26471" s="68"/>
    </row>
    <row r="26472" spans="4:11" ht="12.75">
      <c r="D26472" s="67"/>
      <c r="G26472" s="68"/>
      <c r="K26472" s="68"/>
    </row>
    <row r="26473" spans="4:11" ht="12.75">
      <c r="D26473" s="67"/>
      <c r="G26473" s="68"/>
      <c r="K26473" s="68"/>
    </row>
    <row r="26474" spans="4:11" ht="12.75">
      <c r="D26474" s="67"/>
      <c r="G26474" s="68"/>
      <c r="K26474" s="68"/>
    </row>
    <row r="26475" spans="4:11" ht="12.75">
      <c r="D26475" s="67"/>
      <c r="G26475" s="68"/>
      <c r="K26475" s="68"/>
    </row>
    <row r="26476" spans="4:11" ht="12.75">
      <c r="D26476" s="67"/>
      <c r="G26476" s="68"/>
      <c r="K26476" s="68"/>
    </row>
    <row r="26477" spans="4:11" ht="12.75">
      <c r="D26477" s="67"/>
      <c r="G26477" s="68"/>
      <c r="K26477" s="68"/>
    </row>
    <row r="26478" spans="4:11" ht="12.75">
      <c r="D26478" s="67"/>
      <c r="G26478" s="68"/>
      <c r="K26478" s="68"/>
    </row>
    <row r="26479" spans="4:11" ht="12.75">
      <c r="D26479" s="67"/>
      <c r="G26479" s="68"/>
      <c r="K26479" s="68"/>
    </row>
    <row r="26480" spans="4:11" ht="12.75">
      <c r="D26480" s="67"/>
      <c r="G26480" s="68"/>
      <c r="K26480" s="68"/>
    </row>
    <row r="26481" spans="4:11" ht="12.75">
      <c r="D26481" s="67"/>
      <c r="G26481" s="68"/>
      <c r="K26481" s="68"/>
    </row>
    <row r="26482" spans="4:11" ht="12.75">
      <c r="D26482" s="67"/>
      <c r="G26482" s="68"/>
      <c r="K26482" s="68"/>
    </row>
    <row r="26483" spans="4:11" ht="12.75">
      <c r="D26483" s="67"/>
      <c r="G26483" s="68"/>
      <c r="K26483" s="68"/>
    </row>
    <row r="26484" spans="4:11" ht="12.75">
      <c r="D26484" s="67"/>
      <c r="G26484" s="68"/>
      <c r="K26484" s="68"/>
    </row>
    <row r="26485" spans="4:11" ht="12.75">
      <c r="D26485" s="67"/>
      <c r="G26485" s="68"/>
      <c r="K26485" s="68"/>
    </row>
    <row r="26486" spans="4:11" ht="12.75">
      <c r="D26486" s="67"/>
      <c r="G26486" s="68"/>
      <c r="K26486" s="68"/>
    </row>
    <row r="26487" spans="4:11" ht="12.75">
      <c r="D26487" s="67"/>
      <c r="G26487" s="68"/>
      <c r="K26487" s="68"/>
    </row>
    <row r="26488" spans="4:11" ht="12.75">
      <c r="D26488" s="67"/>
      <c r="G26488" s="68"/>
      <c r="K26488" s="68"/>
    </row>
    <row r="26489" spans="4:11" ht="12.75">
      <c r="D26489" s="67"/>
      <c r="G26489" s="68"/>
      <c r="K26489" s="68"/>
    </row>
    <row r="26490" spans="4:11" ht="12.75">
      <c r="D26490" s="67"/>
      <c r="G26490" s="68"/>
      <c r="K26490" s="68"/>
    </row>
    <row r="26491" spans="4:11" ht="12.75">
      <c r="D26491" s="67"/>
      <c r="G26491" s="68"/>
      <c r="K26491" s="68"/>
    </row>
    <row r="26492" spans="4:11" ht="12.75">
      <c r="D26492" s="67"/>
      <c r="G26492" s="68"/>
      <c r="K26492" s="68"/>
    </row>
    <row r="26493" spans="4:11" ht="12.75">
      <c r="D26493" s="67"/>
      <c r="G26493" s="68"/>
      <c r="K26493" s="68"/>
    </row>
    <row r="26494" spans="4:11" ht="12.75">
      <c r="D26494" s="67"/>
      <c r="G26494" s="68"/>
      <c r="K26494" s="68"/>
    </row>
    <row r="26495" spans="4:11" ht="12.75">
      <c r="D26495" s="67"/>
      <c r="G26495" s="68"/>
      <c r="K26495" s="68"/>
    </row>
    <row r="26496" spans="4:11" ht="12.75">
      <c r="D26496" s="67"/>
      <c r="G26496" s="68"/>
      <c r="K26496" s="68"/>
    </row>
    <row r="26497" spans="4:11" ht="12.75">
      <c r="D26497" s="67"/>
      <c r="G26497" s="68"/>
      <c r="K26497" s="68"/>
    </row>
    <row r="26498" spans="4:11" ht="12.75">
      <c r="D26498" s="67"/>
      <c r="G26498" s="68"/>
      <c r="K26498" s="68"/>
    </row>
    <row r="26499" spans="4:11" ht="12.75">
      <c r="D26499" s="67"/>
      <c r="G26499" s="68"/>
      <c r="K26499" s="68"/>
    </row>
    <row r="26500" spans="4:11" ht="12.75">
      <c r="D26500" s="67"/>
      <c r="G26500" s="68"/>
      <c r="K26500" s="68"/>
    </row>
    <row r="26501" spans="4:11" ht="12.75">
      <c r="D26501" s="67"/>
      <c r="G26501" s="68"/>
      <c r="K26501" s="68"/>
    </row>
    <row r="26502" spans="4:11" ht="12.75">
      <c r="D26502" s="67"/>
      <c r="G26502" s="68"/>
      <c r="K26502" s="68"/>
    </row>
    <row r="26503" spans="4:11" ht="12.75">
      <c r="D26503" s="67"/>
      <c r="G26503" s="68"/>
      <c r="K26503" s="68"/>
    </row>
    <row r="26504" spans="4:11" ht="12.75">
      <c r="D26504" s="67"/>
      <c r="G26504" s="68"/>
      <c r="K26504" s="68"/>
    </row>
    <row r="26505" spans="4:11" ht="12.75">
      <c r="D26505" s="67"/>
      <c r="G26505" s="68"/>
      <c r="K26505" s="68"/>
    </row>
    <row r="26506" spans="4:11" ht="12.75">
      <c r="D26506" s="67"/>
      <c r="G26506" s="68"/>
      <c r="K26506" s="68"/>
    </row>
    <row r="26507" spans="4:11" ht="12.75">
      <c r="D26507" s="67"/>
      <c r="G26507" s="68"/>
      <c r="K26507" s="68"/>
    </row>
    <row r="26508" spans="4:11" ht="12.75">
      <c r="D26508" s="67"/>
      <c r="G26508" s="68"/>
      <c r="K26508" s="68"/>
    </row>
    <row r="26509" spans="4:11" ht="12.75">
      <c r="D26509" s="67"/>
      <c r="G26509" s="68"/>
      <c r="K26509" s="68"/>
    </row>
    <row r="26510" spans="4:11" ht="12.75">
      <c r="D26510" s="67"/>
      <c r="G26510" s="68"/>
      <c r="K26510" s="68"/>
    </row>
    <row r="26511" spans="4:11" ht="12.75">
      <c r="D26511" s="67"/>
      <c r="G26511" s="68"/>
      <c r="K26511" s="68"/>
    </row>
    <row r="26512" spans="4:11" ht="12.75">
      <c r="D26512" s="67"/>
      <c r="G26512" s="68"/>
      <c r="K26512" s="68"/>
    </row>
    <row r="26513" spans="4:11" ht="12.75">
      <c r="D26513" s="67"/>
      <c r="G26513" s="68"/>
      <c r="K26513" s="68"/>
    </row>
    <row r="26514" spans="4:11" ht="12.75">
      <c r="D26514" s="67"/>
      <c r="G26514" s="68"/>
      <c r="K26514" s="68"/>
    </row>
    <row r="26515" spans="4:11" ht="12.75">
      <c r="D26515" s="67"/>
      <c r="G26515" s="68"/>
      <c r="K26515" s="68"/>
    </row>
    <row r="26516" spans="4:11" ht="12.75">
      <c r="D26516" s="67"/>
      <c r="G26516" s="68"/>
      <c r="K26516" s="68"/>
    </row>
    <row r="26517" spans="4:11" ht="12.75">
      <c r="D26517" s="67"/>
      <c r="G26517" s="68"/>
      <c r="K26517" s="68"/>
    </row>
    <row r="26518" spans="4:11" ht="12.75">
      <c r="D26518" s="67"/>
      <c r="G26518" s="68"/>
      <c r="K26518" s="68"/>
    </row>
    <row r="26519" spans="4:11" ht="12.75">
      <c r="D26519" s="67"/>
      <c r="G26519" s="68"/>
      <c r="K26519" s="68"/>
    </row>
    <row r="26520" spans="4:11" ht="12.75">
      <c r="D26520" s="67"/>
      <c r="G26520" s="68"/>
      <c r="K26520" s="68"/>
    </row>
    <row r="26521" spans="4:11" ht="12.75">
      <c r="D26521" s="67"/>
      <c r="G26521" s="68"/>
      <c r="K26521" s="68"/>
    </row>
    <row r="26522" spans="4:11" ht="12.75">
      <c r="D26522" s="67"/>
      <c r="G26522" s="68"/>
      <c r="K26522" s="68"/>
    </row>
    <row r="26523" spans="4:11" ht="12.75">
      <c r="D26523" s="67"/>
      <c r="G26523" s="68"/>
      <c r="K26523" s="68"/>
    </row>
    <row r="26524" spans="4:11" ht="12.75">
      <c r="D26524" s="67"/>
      <c r="G26524" s="68"/>
      <c r="K26524" s="68"/>
    </row>
    <row r="26525" spans="4:11" ht="12.75">
      <c r="D26525" s="67"/>
      <c r="G26525" s="68"/>
      <c r="K26525" s="68"/>
    </row>
    <row r="26526" spans="4:11" ht="12.75">
      <c r="D26526" s="67"/>
      <c r="G26526" s="68"/>
      <c r="K26526" s="68"/>
    </row>
    <row r="26527" spans="4:11" ht="12.75">
      <c r="D26527" s="67"/>
      <c r="G26527" s="68"/>
      <c r="K26527" s="68"/>
    </row>
    <row r="26528" spans="4:11" ht="12.75">
      <c r="D26528" s="67"/>
      <c r="G26528" s="68"/>
      <c r="K26528" s="68"/>
    </row>
    <row r="26529" spans="4:11" ht="12.75">
      <c r="D26529" s="67"/>
      <c r="G26529" s="68"/>
      <c r="K26529" s="68"/>
    </row>
    <row r="26530" spans="4:11" ht="12.75">
      <c r="D26530" s="67"/>
      <c r="G26530" s="68"/>
      <c r="K26530" s="68"/>
    </row>
    <row r="26531" spans="4:11" ht="12.75">
      <c r="D26531" s="67"/>
      <c r="G26531" s="68"/>
      <c r="K26531" s="68"/>
    </row>
    <row r="26532" spans="4:11" ht="12.75">
      <c r="D26532" s="67"/>
      <c r="G26532" s="68"/>
      <c r="K26532" s="68"/>
    </row>
    <row r="26533" spans="4:11" ht="12.75">
      <c r="D26533" s="67"/>
      <c r="G26533" s="68"/>
      <c r="K26533" s="68"/>
    </row>
    <row r="26534" spans="4:11" ht="12.75">
      <c r="D26534" s="67"/>
      <c r="G26534" s="68"/>
      <c r="K26534" s="68"/>
    </row>
    <row r="26535" spans="4:11" ht="12.75">
      <c r="D26535" s="67"/>
      <c r="G26535" s="68"/>
      <c r="K26535" s="68"/>
    </row>
    <row r="26536" spans="4:11" ht="12.75">
      <c r="D26536" s="67"/>
      <c r="G26536" s="68"/>
      <c r="K26536" s="68"/>
    </row>
    <row r="26537" spans="4:11" ht="12.75">
      <c r="D26537" s="67"/>
      <c r="G26537" s="68"/>
      <c r="K26537" s="68"/>
    </row>
    <row r="26538" spans="4:11" ht="12.75">
      <c r="D26538" s="67"/>
      <c r="G26538" s="68"/>
      <c r="K26538" s="68"/>
    </row>
    <row r="26539" spans="4:11" ht="12.75">
      <c r="D26539" s="67"/>
      <c r="G26539" s="68"/>
      <c r="K26539" s="68"/>
    </row>
    <row r="26540" spans="4:11" ht="12.75">
      <c r="D26540" s="67"/>
      <c r="G26540" s="68"/>
      <c r="K26540" s="68"/>
    </row>
    <row r="26541" spans="4:11" ht="12.75">
      <c r="D26541" s="67"/>
      <c r="G26541" s="68"/>
      <c r="K26541" s="68"/>
    </row>
    <row r="26542" spans="4:11" ht="12.75">
      <c r="D26542" s="67"/>
      <c r="G26542" s="68"/>
      <c r="K26542" s="68"/>
    </row>
    <row r="26543" spans="4:11" ht="12.75">
      <c r="D26543" s="67"/>
      <c r="G26543" s="68"/>
      <c r="K26543" s="68"/>
    </row>
    <row r="26544" spans="4:11" ht="12.75">
      <c r="D26544" s="67"/>
      <c r="G26544" s="68"/>
      <c r="K26544" s="68"/>
    </row>
    <row r="26545" spans="4:11" ht="12.75">
      <c r="D26545" s="67"/>
      <c r="G26545" s="68"/>
      <c r="K26545" s="68"/>
    </row>
    <row r="26546" spans="4:11" ht="12.75">
      <c r="D26546" s="67"/>
      <c r="G26546" s="68"/>
      <c r="K26546" s="68"/>
    </row>
    <row r="26547" spans="4:11" ht="12.75">
      <c r="D26547" s="67"/>
      <c r="G26547" s="68"/>
      <c r="K26547" s="68"/>
    </row>
    <row r="26548" spans="4:11" ht="12.75">
      <c r="D26548" s="67"/>
      <c r="G26548" s="68"/>
      <c r="K26548" s="68"/>
    </row>
    <row r="26549" spans="4:11" ht="12.75">
      <c r="D26549" s="67"/>
      <c r="G26549" s="68"/>
      <c r="K26549" s="68"/>
    </row>
    <row r="26550" spans="4:11" ht="12.75">
      <c r="D26550" s="67"/>
      <c r="G26550" s="68"/>
      <c r="K26550" s="68"/>
    </row>
    <row r="26551" spans="4:11" ht="12.75">
      <c r="D26551" s="67"/>
      <c r="G26551" s="68"/>
      <c r="K26551" s="68"/>
    </row>
    <row r="26552" spans="4:11" ht="12.75">
      <c r="D26552" s="67"/>
      <c r="G26552" s="68"/>
      <c r="K26552" s="68"/>
    </row>
    <row r="26553" spans="4:11" ht="12.75">
      <c r="D26553" s="67"/>
      <c r="G26553" s="68"/>
      <c r="K26553" s="68"/>
    </row>
    <row r="26554" spans="4:11" ht="12.75">
      <c r="D26554" s="67"/>
      <c r="G26554" s="68"/>
      <c r="K26554" s="68"/>
    </row>
    <row r="26555" spans="4:11" ht="12.75">
      <c r="D26555" s="67"/>
      <c r="G26555" s="68"/>
      <c r="K26555" s="68"/>
    </row>
    <row r="26556" spans="4:11" ht="12.75">
      <c r="D26556" s="67"/>
      <c r="G26556" s="68"/>
      <c r="K26556" s="68"/>
    </row>
    <row r="26557" spans="4:11" ht="12.75">
      <c r="D26557" s="67"/>
      <c r="G26557" s="68"/>
      <c r="K26557" s="68"/>
    </row>
    <row r="26558" spans="4:11" ht="12.75">
      <c r="D26558" s="67"/>
      <c r="G26558" s="68"/>
      <c r="K26558" s="68"/>
    </row>
    <row r="26559" spans="4:11" ht="12.75">
      <c r="D26559" s="67"/>
      <c r="G26559" s="68"/>
      <c r="K26559" s="68"/>
    </row>
    <row r="26560" spans="4:11" ht="12.75">
      <c r="D26560" s="67"/>
      <c r="G26560" s="68"/>
      <c r="K26560" s="68"/>
    </row>
    <row r="26561" spans="4:11" ht="12.75">
      <c r="D26561" s="67"/>
      <c r="G26561" s="68"/>
      <c r="K26561" s="68"/>
    </row>
    <row r="26562" spans="4:11" ht="12.75">
      <c r="D26562" s="67"/>
      <c r="G26562" s="68"/>
      <c r="K26562" s="68"/>
    </row>
    <row r="26563" spans="4:11" ht="12.75">
      <c r="D26563" s="67"/>
      <c r="G26563" s="68"/>
      <c r="K26563" s="68"/>
    </row>
    <row r="26564" spans="4:11" ht="12.75">
      <c r="D26564" s="67"/>
      <c r="G26564" s="68"/>
      <c r="K26564" s="68"/>
    </row>
    <row r="26565" spans="4:11" ht="12.75">
      <c r="D26565" s="67"/>
      <c r="G26565" s="68"/>
      <c r="K26565" s="68"/>
    </row>
    <row r="26566" spans="4:11" ht="12.75">
      <c r="D26566" s="67"/>
      <c r="G26566" s="68"/>
      <c r="K26566" s="68"/>
    </row>
    <row r="26567" spans="4:11" ht="12.75">
      <c r="D26567" s="67"/>
      <c r="G26567" s="68"/>
      <c r="K26567" s="68"/>
    </row>
    <row r="26568" spans="4:11" ht="12.75">
      <c r="D26568" s="67"/>
      <c r="G26568" s="68"/>
      <c r="K26568" s="68"/>
    </row>
    <row r="26569" spans="4:11" ht="12.75">
      <c r="D26569" s="67"/>
      <c r="G26569" s="68"/>
      <c r="K26569" s="68"/>
    </row>
    <row r="26570" spans="4:11" ht="12.75">
      <c r="D26570" s="67"/>
      <c r="G26570" s="68"/>
      <c r="K26570" s="68"/>
    </row>
    <row r="26571" spans="4:11" ht="12.75">
      <c r="D26571" s="67"/>
      <c r="G26571" s="68"/>
      <c r="K26571" s="68"/>
    </row>
    <row r="26572" spans="4:11" ht="12.75">
      <c r="D26572" s="67"/>
      <c r="G26572" s="68"/>
      <c r="K26572" s="68"/>
    </row>
    <row r="26573" spans="4:11" ht="12.75">
      <c r="D26573" s="67"/>
      <c r="G26573" s="68"/>
      <c r="K26573" s="68"/>
    </row>
    <row r="26574" spans="4:11" ht="12.75">
      <c r="D26574" s="67"/>
      <c r="G26574" s="68"/>
      <c r="K26574" s="68"/>
    </row>
    <row r="26575" spans="4:11" ht="12.75">
      <c r="D26575" s="67"/>
      <c r="G26575" s="68"/>
      <c r="K26575" s="68"/>
    </row>
    <row r="26576" spans="4:11" ht="12.75">
      <c r="D26576" s="67"/>
      <c r="G26576" s="68"/>
      <c r="K26576" s="68"/>
    </row>
    <row r="26577" spans="4:11" ht="12.75">
      <c r="D26577" s="67"/>
      <c r="G26577" s="68"/>
      <c r="K26577" s="68"/>
    </row>
    <row r="26578" spans="4:11" ht="12.75">
      <c r="D26578" s="67"/>
      <c r="G26578" s="68"/>
      <c r="K26578" s="68"/>
    </row>
    <row r="26579" spans="4:11" ht="12.75">
      <c r="D26579" s="67"/>
      <c r="G26579" s="68"/>
      <c r="K26579" s="68"/>
    </row>
    <row r="26580" spans="4:11" ht="12.75">
      <c r="D26580" s="67"/>
      <c r="G26580" s="68"/>
      <c r="K26580" s="68"/>
    </row>
    <row r="26581" spans="4:11" ht="12.75">
      <c r="D26581" s="67"/>
      <c r="G26581" s="68"/>
      <c r="K26581" s="68"/>
    </row>
    <row r="26582" spans="4:11" ht="12.75">
      <c r="D26582" s="67"/>
      <c r="G26582" s="68"/>
      <c r="K26582" s="68"/>
    </row>
    <row r="26583" spans="4:11" ht="12.75">
      <c r="D26583" s="67"/>
      <c r="G26583" s="68"/>
      <c r="K26583" s="68"/>
    </row>
    <row r="26584" spans="4:11" ht="12.75">
      <c r="D26584" s="67"/>
      <c r="G26584" s="68"/>
      <c r="K26584" s="68"/>
    </row>
    <row r="26585" spans="4:11" ht="12.75">
      <c r="D26585" s="67"/>
      <c r="G26585" s="68"/>
      <c r="K26585" s="68"/>
    </row>
    <row r="26586" spans="4:11" ht="12.75">
      <c r="D26586" s="67"/>
      <c r="G26586" s="68"/>
      <c r="K26586" s="68"/>
    </row>
    <row r="26587" spans="4:11" ht="12.75">
      <c r="D26587" s="67"/>
      <c r="G26587" s="68"/>
      <c r="K26587" s="68"/>
    </row>
    <row r="26588" spans="4:11" ht="12.75">
      <c r="D26588" s="67"/>
      <c r="G26588" s="68"/>
      <c r="K26588" s="68"/>
    </row>
    <row r="26589" spans="4:11" ht="12.75">
      <c r="D26589" s="67"/>
      <c r="G26589" s="68"/>
      <c r="K26589" s="68"/>
    </row>
    <row r="26590" spans="4:11" ht="12.75">
      <c r="D26590" s="67"/>
      <c r="G26590" s="68"/>
      <c r="K26590" s="68"/>
    </row>
    <row r="26591" spans="4:11" ht="12.75">
      <c r="D26591" s="67"/>
      <c r="G26591" s="68"/>
      <c r="K26591" s="68"/>
    </row>
    <row r="26592" spans="4:11" ht="12.75">
      <c r="D26592" s="67"/>
      <c r="G26592" s="68"/>
      <c r="K26592" s="68"/>
    </row>
    <row r="26593" spans="4:11" ht="12.75">
      <c r="D26593" s="67"/>
      <c r="G26593" s="68"/>
      <c r="K26593" s="68"/>
    </row>
    <row r="26594" spans="4:11" ht="12.75">
      <c r="D26594" s="67"/>
      <c r="G26594" s="68"/>
      <c r="K26594" s="68"/>
    </row>
    <row r="26595" spans="4:11" ht="12.75">
      <c r="D26595" s="67"/>
      <c r="G26595" s="68"/>
      <c r="K26595" s="68"/>
    </row>
    <row r="26596" spans="4:11" ht="12.75">
      <c r="D26596" s="67"/>
      <c r="G26596" s="68"/>
      <c r="K26596" s="68"/>
    </row>
    <row r="26597" spans="4:11" ht="12.75">
      <c r="D26597" s="67"/>
      <c r="G26597" s="68"/>
      <c r="K26597" s="68"/>
    </row>
    <row r="26598" spans="4:11" ht="12.75">
      <c r="D26598" s="67"/>
      <c r="G26598" s="68"/>
      <c r="K26598" s="68"/>
    </row>
    <row r="26599" spans="4:11" ht="12.75">
      <c r="D26599" s="67"/>
      <c r="G26599" s="68"/>
      <c r="K26599" s="68"/>
    </row>
    <row r="26600" spans="4:11" ht="12.75">
      <c r="D26600" s="67"/>
      <c r="G26600" s="68"/>
      <c r="K26600" s="68"/>
    </row>
    <row r="26601" spans="4:11" ht="12.75">
      <c r="D26601" s="67"/>
      <c r="G26601" s="68"/>
      <c r="K26601" s="68"/>
    </row>
    <row r="26602" spans="4:11" ht="12.75">
      <c r="D26602" s="67"/>
      <c r="G26602" s="68"/>
      <c r="K26602" s="68"/>
    </row>
    <row r="26603" spans="4:11" ht="12.75">
      <c r="D26603" s="67"/>
      <c r="G26603" s="68"/>
      <c r="K26603" s="68"/>
    </row>
    <row r="26604" spans="4:11" ht="12.75">
      <c r="D26604" s="67"/>
      <c r="G26604" s="68"/>
      <c r="K26604" s="68"/>
    </row>
    <row r="26605" spans="4:11" ht="12.75">
      <c r="D26605" s="67"/>
      <c r="G26605" s="68"/>
      <c r="K26605" s="68"/>
    </row>
    <row r="26606" spans="4:11" ht="12.75">
      <c r="D26606" s="67"/>
      <c r="G26606" s="68"/>
      <c r="K26606" s="68"/>
    </row>
    <row r="26607" spans="4:11" ht="12.75">
      <c r="D26607" s="67"/>
      <c r="G26607" s="68"/>
      <c r="K26607" s="68"/>
    </row>
    <row r="26608" spans="4:11" ht="12.75">
      <c r="D26608" s="67"/>
      <c r="G26608" s="68"/>
      <c r="K26608" s="68"/>
    </row>
    <row r="26609" spans="4:11" ht="12.75">
      <c r="D26609" s="67"/>
      <c r="G26609" s="68"/>
      <c r="K26609" s="68"/>
    </row>
    <row r="26610" spans="4:11" ht="12.75">
      <c r="D26610" s="67"/>
      <c r="G26610" s="68"/>
      <c r="K26610" s="68"/>
    </row>
    <row r="26611" spans="4:11" ht="12.75">
      <c r="D26611" s="67"/>
      <c r="G26611" s="68"/>
      <c r="K26611" s="68"/>
    </row>
    <row r="26612" spans="4:11" ht="12.75">
      <c r="D26612" s="67"/>
      <c r="G26612" s="68"/>
      <c r="K26612" s="68"/>
    </row>
    <row r="26613" spans="4:11" ht="12.75">
      <c r="D26613" s="67"/>
      <c r="G26613" s="68"/>
      <c r="K26613" s="68"/>
    </row>
    <row r="26614" spans="4:11" ht="12.75">
      <c r="D26614" s="67"/>
      <c r="G26614" s="68"/>
      <c r="K26614" s="68"/>
    </row>
    <row r="26615" spans="4:11" ht="12.75">
      <c r="D26615" s="67"/>
      <c r="G26615" s="68"/>
      <c r="K26615" s="68"/>
    </row>
    <row r="26616" spans="4:11" ht="12.75">
      <c r="D26616" s="67"/>
      <c r="G26616" s="68"/>
      <c r="K26616" s="68"/>
    </row>
    <row r="26617" spans="4:11" ht="12.75">
      <c r="D26617" s="67"/>
      <c r="G26617" s="68"/>
      <c r="K26617" s="68"/>
    </row>
    <row r="26618" spans="4:11" ht="12.75">
      <c r="D26618" s="67"/>
      <c r="G26618" s="68"/>
      <c r="K26618" s="68"/>
    </row>
    <row r="26619" spans="4:11" ht="12.75">
      <c r="D26619" s="67"/>
      <c r="G26619" s="68"/>
      <c r="K26619" s="68"/>
    </row>
    <row r="26620" spans="4:11" ht="12.75">
      <c r="D26620" s="67"/>
      <c r="G26620" s="68"/>
      <c r="K26620" s="68"/>
    </row>
    <row r="26621" spans="4:11" ht="12.75">
      <c r="D26621" s="67"/>
      <c r="G26621" s="68"/>
      <c r="K26621" s="68"/>
    </row>
    <row r="26622" spans="4:11" ht="12.75">
      <c r="D26622" s="67"/>
      <c r="G26622" s="68"/>
      <c r="K26622" s="68"/>
    </row>
    <row r="26623" spans="4:11" ht="12.75">
      <c r="D26623" s="67"/>
      <c r="G26623" s="68"/>
      <c r="K26623" s="68"/>
    </row>
    <row r="26624" spans="4:11" ht="12.75">
      <c r="D26624" s="67"/>
      <c r="G26624" s="68"/>
      <c r="K26624" s="68"/>
    </row>
    <row r="26625" spans="4:11" ht="12.75">
      <c r="D26625" s="67"/>
      <c r="G26625" s="68"/>
      <c r="K26625" s="68"/>
    </row>
    <row r="26626" spans="4:11" ht="12.75">
      <c r="D26626" s="67"/>
      <c r="G26626" s="68"/>
      <c r="K26626" s="68"/>
    </row>
    <row r="26627" spans="4:11" ht="12.75">
      <c r="D26627" s="67"/>
      <c r="G26627" s="68"/>
      <c r="K26627" s="68"/>
    </row>
    <row r="26628" spans="4:11" ht="12.75">
      <c r="D26628" s="67"/>
      <c r="G26628" s="68"/>
      <c r="K26628" s="68"/>
    </row>
    <row r="26629" spans="4:11" ht="12.75">
      <c r="D26629" s="67"/>
      <c r="G26629" s="68"/>
      <c r="K26629" s="68"/>
    </row>
    <row r="26630" spans="4:11" ht="12.75">
      <c r="D26630" s="67"/>
      <c r="G26630" s="68"/>
      <c r="K26630" s="68"/>
    </row>
    <row r="26631" spans="4:11" ht="12.75">
      <c r="D26631" s="67"/>
      <c r="G26631" s="68"/>
      <c r="K26631" s="68"/>
    </row>
    <row r="26632" spans="4:11" ht="12.75">
      <c r="D26632" s="67"/>
      <c r="G26632" s="68"/>
      <c r="K26632" s="68"/>
    </row>
    <row r="26633" spans="4:11" ht="12.75">
      <c r="D26633" s="67"/>
      <c r="G26633" s="68"/>
      <c r="K26633" s="68"/>
    </row>
    <row r="26634" spans="4:11" ht="12.75">
      <c r="D26634" s="67"/>
      <c r="G26634" s="68"/>
      <c r="K26634" s="68"/>
    </row>
    <row r="26635" spans="4:11" ht="12.75">
      <c r="D26635" s="67"/>
      <c r="G26635" s="68"/>
      <c r="K26635" s="68"/>
    </row>
    <row r="26636" spans="4:11" ht="12.75">
      <c r="D26636" s="67"/>
      <c r="G26636" s="68"/>
      <c r="K26636" s="68"/>
    </row>
    <row r="26637" spans="4:11" ht="12.75">
      <c r="D26637" s="67"/>
      <c r="G26637" s="68"/>
      <c r="K26637" s="68"/>
    </row>
    <row r="26638" spans="4:11" ht="12.75">
      <c r="D26638" s="67"/>
      <c r="G26638" s="68"/>
      <c r="K26638" s="68"/>
    </row>
    <row r="26639" spans="4:11" ht="12.75">
      <c r="D26639" s="67"/>
      <c r="G26639" s="68"/>
      <c r="K26639" s="68"/>
    </row>
    <row r="26640" spans="4:11" ht="12.75">
      <c r="D26640" s="67"/>
      <c r="G26640" s="68"/>
      <c r="K26640" s="68"/>
    </row>
    <row r="26641" spans="4:11" ht="12.75">
      <c r="D26641" s="67"/>
      <c r="G26641" s="68"/>
      <c r="K26641" s="68"/>
    </row>
    <row r="26642" spans="4:11" ht="12.75">
      <c r="D26642" s="67"/>
      <c r="G26642" s="68"/>
      <c r="K26642" s="68"/>
    </row>
    <row r="26643" spans="4:11" ht="12.75">
      <c r="D26643" s="67"/>
      <c r="G26643" s="68"/>
      <c r="K26643" s="68"/>
    </row>
    <row r="26644" spans="4:11" ht="12.75">
      <c r="D26644" s="67"/>
      <c r="G26644" s="68"/>
      <c r="K26644" s="68"/>
    </row>
    <row r="26645" spans="4:11" ht="12.75">
      <c r="D26645" s="67"/>
      <c r="G26645" s="68"/>
      <c r="K26645" s="68"/>
    </row>
    <row r="26646" spans="4:11" ht="12.75">
      <c r="D26646" s="67"/>
      <c r="G26646" s="68"/>
      <c r="K26646" s="68"/>
    </row>
    <row r="26647" spans="4:11" ht="12.75">
      <c r="D26647" s="67"/>
      <c r="G26647" s="68"/>
      <c r="K26647" s="68"/>
    </row>
    <row r="26648" spans="4:11" ht="12.75">
      <c r="D26648" s="67"/>
      <c r="G26648" s="68"/>
      <c r="K26648" s="68"/>
    </row>
    <row r="26649" spans="4:11" ht="12.75">
      <c r="D26649" s="67"/>
      <c r="G26649" s="68"/>
      <c r="K26649" s="68"/>
    </row>
    <row r="26650" spans="4:11" ht="12.75">
      <c r="D26650" s="67"/>
      <c r="G26650" s="68"/>
      <c r="K26650" s="68"/>
    </row>
    <row r="26651" spans="4:11" ht="12.75">
      <c r="D26651" s="67"/>
      <c r="G26651" s="68"/>
      <c r="K26651" s="68"/>
    </row>
    <row r="26652" spans="4:11" ht="12.75">
      <c r="D26652" s="67"/>
      <c r="G26652" s="68"/>
      <c r="K26652" s="68"/>
    </row>
    <row r="26653" spans="4:11" ht="12.75">
      <c r="D26653" s="67"/>
      <c r="G26653" s="68"/>
      <c r="K26653" s="68"/>
    </row>
    <row r="26654" spans="4:11" ht="12.75">
      <c r="D26654" s="67"/>
      <c r="G26654" s="68"/>
      <c r="K26654" s="68"/>
    </row>
    <row r="26655" spans="4:11" ht="12.75">
      <c r="D26655" s="67"/>
      <c r="G26655" s="68"/>
      <c r="K26655" s="68"/>
    </row>
    <row r="26656" spans="4:11" ht="12.75">
      <c r="D26656" s="67"/>
      <c r="G26656" s="68"/>
      <c r="K26656" s="68"/>
    </row>
    <row r="26657" spans="4:11" ht="12.75">
      <c r="D26657" s="67"/>
      <c r="G26657" s="68"/>
      <c r="K26657" s="68"/>
    </row>
    <row r="26658" spans="4:11" ht="12.75">
      <c r="D26658" s="67"/>
      <c r="G26658" s="68"/>
      <c r="K26658" s="68"/>
    </row>
    <row r="26659" spans="4:11" ht="12.75">
      <c r="D26659" s="67"/>
      <c r="G26659" s="68"/>
      <c r="K26659" s="68"/>
    </row>
    <row r="26660" spans="4:11" ht="12.75">
      <c r="D26660" s="67"/>
      <c r="G26660" s="68"/>
      <c r="K26660" s="68"/>
    </row>
    <row r="26661" spans="4:11" ht="12.75">
      <c r="D26661" s="67"/>
      <c r="G26661" s="68"/>
      <c r="K26661" s="68"/>
    </row>
    <row r="26662" spans="4:11" ht="12.75">
      <c r="D26662" s="67"/>
      <c r="G26662" s="68"/>
      <c r="K26662" s="68"/>
    </row>
    <row r="26663" spans="4:11" ht="12.75">
      <c r="D26663" s="67"/>
      <c r="G26663" s="68"/>
      <c r="K26663" s="68"/>
    </row>
    <row r="26664" spans="4:11" ht="12.75">
      <c r="D26664" s="67"/>
      <c r="G26664" s="68"/>
      <c r="K26664" s="68"/>
    </row>
    <row r="26665" spans="4:11" ht="12.75">
      <c r="D26665" s="67"/>
      <c r="G26665" s="68"/>
      <c r="K26665" s="68"/>
    </row>
    <row r="26666" spans="4:11" ht="12.75">
      <c r="D26666" s="67"/>
      <c r="G26666" s="68"/>
      <c r="K26666" s="68"/>
    </row>
    <row r="26667" spans="4:11" ht="12.75">
      <c r="D26667" s="67"/>
      <c r="G26667" s="68"/>
      <c r="K26667" s="68"/>
    </row>
    <row r="26668" spans="4:11" ht="12.75">
      <c r="D26668" s="67"/>
      <c r="G26668" s="68"/>
      <c r="K26668" s="68"/>
    </row>
    <row r="26669" spans="4:11" ht="12.75">
      <c r="D26669" s="67"/>
      <c r="G26669" s="68"/>
      <c r="K26669" s="68"/>
    </row>
    <row r="26670" spans="4:11" ht="12.75">
      <c r="D26670" s="67"/>
      <c r="G26670" s="68"/>
      <c r="K26670" s="68"/>
    </row>
    <row r="26671" spans="4:11" ht="12.75">
      <c r="D26671" s="67"/>
      <c r="G26671" s="68"/>
      <c r="K26671" s="68"/>
    </row>
    <row r="26672" spans="4:11" ht="12.75">
      <c r="D26672" s="67"/>
      <c r="G26672" s="68"/>
      <c r="K26672" s="68"/>
    </row>
    <row r="26673" spans="4:11" ht="12.75">
      <c r="D26673" s="67"/>
      <c r="G26673" s="68"/>
      <c r="K26673" s="68"/>
    </row>
    <row r="26674" spans="4:11" ht="12.75">
      <c r="D26674" s="67"/>
      <c r="G26674" s="68"/>
      <c r="K26674" s="68"/>
    </row>
    <row r="26675" spans="4:11" ht="12.75">
      <c r="D26675" s="67"/>
      <c r="G26675" s="68"/>
      <c r="K26675" s="68"/>
    </row>
    <row r="26676" spans="4:11" ht="12.75">
      <c r="D26676" s="67"/>
      <c r="G26676" s="68"/>
      <c r="K26676" s="68"/>
    </row>
    <row r="26677" spans="4:11" ht="12.75">
      <c r="D26677" s="67"/>
      <c r="G26677" s="68"/>
      <c r="K26677" s="68"/>
    </row>
    <row r="26678" spans="4:11" ht="12.75">
      <c r="D26678" s="67"/>
      <c r="G26678" s="68"/>
      <c r="K26678" s="68"/>
    </row>
    <row r="26679" spans="4:11" ht="12.75">
      <c r="D26679" s="67"/>
      <c r="G26679" s="68"/>
      <c r="K26679" s="68"/>
    </row>
    <row r="26680" spans="4:11" ht="12.75">
      <c r="D26680" s="67"/>
      <c r="G26680" s="68"/>
      <c r="K26680" s="68"/>
    </row>
    <row r="26681" spans="4:11" ht="12.75">
      <c r="D26681" s="67"/>
      <c r="G26681" s="68"/>
      <c r="K26681" s="68"/>
    </row>
    <row r="26682" spans="4:11" ht="12.75">
      <c r="D26682" s="67"/>
      <c r="G26682" s="68"/>
      <c r="K26682" s="68"/>
    </row>
    <row r="26683" spans="4:11" ht="12.75">
      <c r="D26683" s="67"/>
      <c r="G26683" s="68"/>
      <c r="K26683" s="68"/>
    </row>
    <row r="26684" spans="4:11" ht="12.75">
      <c r="D26684" s="67"/>
      <c r="G26684" s="68"/>
      <c r="K26684" s="68"/>
    </row>
    <row r="26685" spans="4:11" ht="12.75">
      <c r="D26685" s="67"/>
      <c r="G26685" s="68"/>
      <c r="K26685" s="68"/>
    </row>
    <row r="26686" spans="4:11" ht="12.75">
      <c r="D26686" s="67"/>
      <c r="G26686" s="68"/>
      <c r="K26686" s="68"/>
    </row>
    <row r="26687" spans="4:11" ht="12.75">
      <c r="D26687" s="67"/>
      <c r="G26687" s="68"/>
      <c r="K26687" s="68"/>
    </row>
    <row r="26688" spans="4:11" ht="12.75">
      <c r="D26688" s="67"/>
      <c r="G26688" s="68"/>
      <c r="K26688" s="68"/>
    </row>
    <row r="26689" spans="4:11" ht="12.75">
      <c r="D26689" s="67"/>
      <c r="G26689" s="68"/>
      <c r="K26689" s="68"/>
    </row>
    <row r="26690" spans="4:11" ht="12.75">
      <c r="D26690" s="67"/>
      <c r="G26690" s="68"/>
      <c r="K26690" s="68"/>
    </row>
    <row r="26691" spans="4:11" ht="12.75">
      <c r="D26691" s="67"/>
      <c r="G26691" s="68"/>
      <c r="K26691" s="68"/>
    </row>
    <row r="26692" spans="4:11" ht="12.75">
      <c r="D26692" s="67"/>
      <c r="G26692" s="68"/>
      <c r="K26692" s="68"/>
    </row>
    <row r="26693" spans="4:11" ht="12.75">
      <c r="D26693" s="67"/>
      <c r="G26693" s="68"/>
      <c r="K26693" s="68"/>
    </row>
    <row r="26694" spans="4:11" ht="12.75">
      <c r="D26694" s="67"/>
      <c r="G26694" s="68"/>
      <c r="K26694" s="68"/>
    </row>
    <row r="26695" spans="4:11" ht="12.75">
      <c r="D26695" s="67"/>
      <c r="G26695" s="68"/>
      <c r="K26695" s="68"/>
    </row>
    <row r="26696" spans="4:11" ht="12.75">
      <c r="D26696" s="67"/>
      <c r="G26696" s="68"/>
      <c r="K26696" s="68"/>
    </row>
    <row r="26697" spans="4:11" ht="12.75">
      <c r="D26697" s="67"/>
      <c r="G26697" s="68"/>
      <c r="K26697" s="68"/>
    </row>
    <row r="26698" spans="4:11" ht="12.75">
      <c r="D26698" s="67"/>
      <c r="G26698" s="68"/>
      <c r="K26698" s="68"/>
    </row>
    <row r="26699" spans="4:11" ht="12.75">
      <c r="D26699" s="67"/>
      <c r="G26699" s="68"/>
      <c r="K26699" s="68"/>
    </row>
    <row r="26700" spans="4:11" ht="12.75">
      <c r="D26700" s="67"/>
      <c r="G26700" s="68"/>
      <c r="K26700" s="68"/>
    </row>
    <row r="26701" spans="4:11" ht="12.75">
      <c r="D26701" s="67"/>
      <c r="G26701" s="68"/>
      <c r="K26701" s="68"/>
    </row>
    <row r="26702" spans="4:11" ht="12.75">
      <c r="D26702" s="67"/>
      <c r="G26702" s="68"/>
      <c r="K26702" s="68"/>
    </row>
    <row r="26703" spans="4:11" ht="12.75">
      <c r="D26703" s="67"/>
      <c r="G26703" s="68"/>
      <c r="K26703" s="68"/>
    </row>
    <row r="26704" spans="4:11" ht="12.75">
      <c r="D26704" s="67"/>
      <c r="G26704" s="68"/>
      <c r="K26704" s="68"/>
    </row>
    <row r="26705" spans="4:11" ht="12.75">
      <c r="D26705" s="67"/>
      <c r="G26705" s="68"/>
      <c r="K26705" s="68"/>
    </row>
    <row r="26706" spans="4:11" ht="12.75">
      <c r="D26706" s="67"/>
      <c r="G26706" s="68"/>
      <c r="K26706" s="68"/>
    </row>
    <row r="26707" spans="4:11" ht="12.75">
      <c r="D26707" s="67"/>
      <c r="G26707" s="68"/>
      <c r="K26707" s="68"/>
    </row>
    <row r="26708" spans="4:11" ht="12.75">
      <c r="D26708" s="67"/>
      <c r="G26708" s="68"/>
      <c r="K26708" s="68"/>
    </row>
    <row r="26709" spans="4:11" ht="12.75">
      <c r="D26709" s="67"/>
      <c r="G26709" s="68"/>
      <c r="K26709" s="68"/>
    </row>
    <row r="26710" spans="4:11" ht="12.75">
      <c r="D26710" s="67"/>
      <c r="G26710" s="68"/>
      <c r="K26710" s="68"/>
    </row>
    <row r="26711" spans="4:11" ht="12.75">
      <c r="D26711" s="67"/>
      <c r="G26711" s="68"/>
      <c r="K26711" s="68"/>
    </row>
    <row r="26712" spans="4:11" ht="12.75">
      <c r="D26712" s="67"/>
      <c r="G26712" s="68"/>
      <c r="K26712" s="68"/>
    </row>
    <row r="26713" spans="4:11" ht="12.75">
      <c r="D26713" s="67"/>
      <c r="G26713" s="68"/>
      <c r="K26713" s="68"/>
    </row>
    <row r="26714" spans="4:11" ht="12.75">
      <c r="D26714" s="67"/>
      <c r="G26714" s="68"/>
      <c r="K26714" s="68"/>
    </row>
    <row r="26715" spans="4:11" ht="12.75">
      <c r="D26715" s="67"/>
      <c r="G26715" s="68"/>
      <c r="K26715" s="68"/>
    </row>
    <row r="26716" spans="4:11" ht="12.75">
      <c r="D26716" s="67"/>
      <c r="G26716" s="68"/>
      <c r="K26716" s="68"/>
    </row>
    <row r="26717" spans="4:11" ht="12.75">
      <c r="D26717" s="67"/>
      <c r="G26717" s="68"/>
      <c r="K26717" s="68"/>
    </row>
    <row r="26718" spans="4:11" ht="12.75">
      <c r="D26718" s="67"/>
      <c r="G26718" s="68"/>
      <c r="K26718" s="68"/>
    </row>
    <row r="26719" spans="4:11" ht="12.75">
      <c r="D26719" s="67"/>
      <c r="G26719" s="68"/>
      <c r="K26719" s="68"/>
    </row>
    <row r="26720" spans="4:11" ht="12.75">
      <c r="D26720" s="67"/>
      <c r="G26720" s="68"/>
      <c r="K26720" s="68"/>
    </row>
    <row r="26721" spans="4:11" ht="12.75">
      <c r="D26721" s="67"/>
      <c r="G26721" s="68"/>
      <c r="K26721" s="68"/>
    </row>
    <row r="26722" spans="4:11" ht="12.75">
      <c r="D26722" s="67"/>
      <c r="G26722" s="68"/>
      <c r="K26722" s="68"/>
    </row>
    <row r="26723" spans="4:11" ht="12.75">
      <c r="D26723" s="67"/>
      <c r="G26723" s="68"/>
      <c r="K26723" s="68"/>
    </row>
    <row r="26724" spans="4:11" ht="12.75">
      <c r="D26724" s="67"/>
      <c r="G26724" s="68"/>
      <c r="K26724" s="68"/>
    </row>
    <row r="26725" spans="4:11" ht="12.75">
      <c r="D26725" s="67"/>
      <c r="G26725" s="68"/>
      <c r="K26725" s="68"/>
    </row>
    <row r="26726" spans="4:11" ht="12.75">
      <c r="D26726" s="67"/>
      <c r="G26726" s="68"/>
      <c r="K26726" s="68"/>
    </row>
    <row r="26727" spans="4:11" ht="12.75">
      <c r="D26727" s="67"/>
      <c r="G26727" s="68"/>
      <c r="K26727" s="68"/>
    </row>
    <row r="26728" spans="4:11" ht="12.75">
      <c r="D26728" s="67"/>
      <c r="G26728" s="68"/>
      <c r="K26728" s="68"/>
    </row>
    <row r="26729" spans="4:11" ht="12.75">
      <c r="D26729" s="67"/>
      <c r="G26729" s="68"/>
      <c r="K26729" s="68"/>
    </row>
    <row r="26730" spans="4:11" ht="12.75">
      <c r="D26730" s="67"/>
      <c r="G26730" s="68"/>
      <c r="K26730" s="68"/>
    </row>
    <row r="26731" spans="4:11" ht="12.75">
      <c r="D26731" s="67"/>
      <c r="G26731" s="68"/>
      <c r="K26731" s="68"/>
    </row>
    <row r="26732" spans="4:11" ht="12.75">
      <c r="D26732" s="67"/>
      <c r="G26732" s="68"/>
      <c r="K26732" s="68"/>
    </row>
    <row r="26733" spans="4:11" ht="12.75">
      <c r="D26733" s="67"/>
      <c r="G26733" s="68"/>
      <c r="K26733" s="68"/>
    </row>
    <row r="26734" spans="4:11" ht="12.75">
      <c r="D26734" s="67"/>
      <c r="G26734" s="68"/>
      <c r="K26734" s="68"/>
    </row>
    <row r="26735" spans="4:11" ht="12.75">
      <c r="D26735" s="67"/>
      <c r="G26735" s="68"/>
      <c r="K26735" s="68"/>
    </row>
    <row r="26736" spans="4:11" ht="12.75">
      <c r="D26736" s="67"/>
      <c r="G26736" s="68"/>
      <c r="K26736" s="68"/>
    </row>
    <row r="26737" spans="4:11" ht="12.75">
      <c r="D26737" s="67"/>
      <c r="G26737" s="68"/>
      <c r="K26737" s="68"/>
    </row>
    <row r="26738" spans="4:11" ht="12.75">
      <c r="D26738" s="67"/>
      <c r="G26738" s="68"/>
      <c r="K26738" s="68"/>
    </row>
    <row r="26739" spans="4:11" ht="12.75">
      <c r="D26739" s="67"/>
      <c r="G26739" s="68"/>
      <c r="K26739" s="68"/>
    </row>
    <row r="26740" spans="4:11" ht="12.75">
      <c r="D26740" s="67"/>
      <c r="G26740" s="68"/>
      <c r="K26740" s="68"/>
    </row>
    <row r="26741" spans="4:11" ht="12.75">
      <c r="D26741" s="67"/>
      <c r="G26741" s="68"/>
      <c r="K26741" s="68"/>
    </row>
    <row r="26742" spans="4:11" ht="12.75">
      <c r="D26742" s="67"/>
      <c r="G26742" s="68"/>
      <c r="K26742" s="68"/>
    </row>
    <row r="26743" spans="4:11" ht="12.75">
      <c r="D26743" s="67"/>
      <c r="G26743" s="68"/>
      <c r="K26743" s="68"/>
    </row>
    <row r="26744" spans="4:11" ht="12.75">
      <c r="D26744" s="67"/>
      <c r="G26744" s="68"/>
      <c r="K26744" s="68"/>
    </row>
    <row r="26745" spans="4:11" ht="12.75">
      <c r="D26745" s="67"/>
      <c r="G26745" s="68"/>
      <c r="K26745" s="68"/>
    </row>
    <row r="26746" spans="4:11" ht="12.75">
      <c r="D26746" s="67"/>
      <c r="G26746" s="68"/>
      <c r="K26746" s="68"/>
    </row>
    <row r="26747" spans="4:11" ht="12.75">
      <c r="D26747" s="67"/>
      <c r="G26747" s="68"/>
      <c r="K26747" s="68"/>
    </row>
    <row r="26748" spans="4:11" ht="12.75">
      <c r="D26748" s="67"/>
      <c r="G26748" s="68"/>
      <c r="K26748" s="68"/>
    </row>
    <row r="26749" spans="4:11" ht="12.75">
      <c r="D26749" s="67"/>
      <c r="G26749" s="68"/>
      <c r="K26749" s="68"/>
    </row>
    <row r="26750" spans="4:11" ht="12.75">
      <c r="D26750" s="67"/>
      <c r="G26750" s="68"/>
      <c r="K26750" s="68"/>
    </row>
    <row r="26751" spans="4:11" ht="12.75">
      <c r="D26751" s="67"/>
      <c r="G26751" s="68"/>
      <c r="K26751" s="68"/>
    </row>
    <row r="26752" spans="4:11" ht="12.75">
      <c r="D26752" s="67"/>
      <c r="G26752" s="68"/>
      <c r="K26752" s="68"/>
    </row>
    <row r="26753" spans="4:11" ht="12.75">
      <c r="D26753" s="67"/>
      <c r="G26753" s="68"/>
      <c r="K26753" s="68"/>
    </row>
    <row r="26754" spans="4:11" ht="12.75">
      <c r="D26754" s="67"/>
      <c r="G26754" s="68"/>
      <c r="K26754" s="68"/>
    </row>
    <row r="26755" spans="4:11" ht="12.75">
      <c r="D26755" s="67"/>
      <c r="G26755" s="68"/>
      <c r="K26755" s="68"/>
    </row>
    <row r="26756" spans="4:11" ht="12.75">
      <c r="D26756" s="67"/>
      <c r="G26756" s="68"/>
      <c r="K26756" s="68"/>
    </row>
    <row r="26757" spans="4:11" ht="12.75">
      <c r="D26757" s="67"/>
      <c r="G26757" s="68"/>
      <c r="K26757" s="68"/>
    </row>
    <row r="26758" spans="4:11" ht="12.75">
      <c r="D26758" s="67"/>
      <c r="G26758" s="68"/>
      <c r="K26758" s="68"/>
    </row>
    <row r="26759" spans="4:11" ht="12.75">
      <c r="D26759" s="67"/>
      <c r="G26759" s="68"/>
      <c r="K26759" s="68"/>
    </row>
    <row r="26760" spans="4:11" ht="12.75">
      <c r="D26760" s="67"/>
      <c r="G26760" s="68"/>
      <c r="K26760" s="68"/>
    </row>
    <row r="26761" spans="4:11" ht="12.75">
      <c r="D26761" s="67"/>
      <c r="G26761" s="68"/>
      <c r="K26761" s="68"/>
    </row>
    <row r="26762" spans="4:11" ht="12.75">
      <c r="D26762" s="67"/>
      <c r="G26762" s="68"/>
      <c r="K26762" s="68"/>
    </row>
    <row r="26763" spans="4:11" ht="12.75">
      <c r="D26763" s="67"/>
      <c r="G26763" s="68"/>
      <c r="K26763" s="68"/>
    </row>
    <row r="26764" spans="4:11" ht="12.75">
      <c r="D26764" s="67"/>
      <c r="G26764" s="68"/>
      <c r="K26764" s="68"/>
    </row>
    <row r="26765" spans="4:11" ht="12.75">
      <c r="D26765" s="67"/>
      <c r="G26765" s="68"/>
      <c r="K26765" s="68"/>
    </row>
    <row r="26766" spans="4:11" ht="12.75">
      <c r="D26766" s="67"/>
      <c r="G26766" s="68"/>
      <c r="K26766" s="68"/>
    </row>
    <row r="26767" spans="4:11" ht="12.75">
      <c r="D26767" s="67"/>
      <c r="G26767" s="68"/>
      <c r="K26767" s="68"/>
    </row>
    <row r="26768" spans="4:11" ht="12.75">
      <c r="D26768" s="67"/>
      <c r="G26768" s="68"/>
      <c r="K26768" s="68"/>
    </row>
    <row r="26769" spans="4:11" ht="12.75">
      <c r="D26769" s="67"/>
      <c r="G26769" s="68"/>
      <c r="K26769" s="68"/>
    </row>
    <row r="26770" spans="4:11" ht="12.75">
      <c r="D26770" s="67"/>
      <c r="G26770" s="68"/>
      <c r="K26770" s="68"/>
    </row>
    <row r="26771" spans="4:11" ht="12.75">
      <c r="D26771" s="67"/>
      <c r="G26771" s="68"/>
      <c r="K26771" s="68"/>
    </row>
    <row r="26772" spans="4:11" ht="12.75">
      <c r="D26772" s="67"/>
      <c r="G26772" s="68"/>
      <c r="K26772" s="68"/>
    </row>
    <row r="26773" spans="4:11" ht="12.75">
      <c r="D26773" s="67"/>
      <c r="G26773" s="68"/>
      <c r="K26773" s="68"/>
    </row>
    <row r="26774" spans="4:11" ht="12.75">
      <c r="D26774" s="67"/>
      <c r="G26774" s="68"/>
      <c r="K26774" s="68"/>
    </row>
    <row r="26775" spans="4:11" ht="12.75">
      <c r="D26775" s="67"/>
      <c r="G26775" s="68"/>
      <c r="K26775" s="68"/>
    </row>
    <row r="26776" spans="4:11" ht="12.75">
      <c r="D26776" s="67"/>
      <c r="G26776" s="68"/>
      <c r="K26776" s="68"/>
    </row>
    <row r="26777" spans="4:11" ht="12.75">
      <c r="D26777" s="67"/>
      <c r="G26777" s="68"/>
      <c r="K26777" s="68"/>
    </row>
    <row r="26778" spans="4:11" ht="12.75">
      <c r="D26778" s="67"/>
      <c r="G26778" s="68"/>
      <c r="K26778" s="68"/>
    </row>
    <row r="26779" spans="4:11" ht="12.75">
      <c r="D26779" s="67"/>
      <c r="G26779" s="68"/>
      <c r="K26779" s="68"/>
    </row>
    <row r="26780" spans="4:11" ht="12.75">
      <c r="D26780" s="67"/>
      <c r="G26780" s="68"/>
      <c r="K26780" s="68"/>
    </row>
    <row r="26781" spans="4:11" ht="12.75">
      <c r="D26781" s="67"/>
      <c r="G26781" s="68"/>
      <c r="K26781" s="68"/>
    </row>
    <row r="26782" spans="4:11" ht="12.75">
      <c r="D26782" s="67"/>
      <c r="G26782" s="68"/>
      <c r="K26782" s="68"/>
    </row>
    <row r="26783" spans="4:11" ht="12.75">
      <c r="D26783" s="67"/>
      <c r="G26783" s="68"/>
      <c r="K26783" s="68"/>
    </row>
    <row r="26784" spans="4:11" ht="12.75">
      <c r="D26784" s="67"/>
      <c r="G26784" s="68"/>
      <c r="K26784" s="68"/>
    </row>
    <row r="26785" spans="4:11" ht="12.75">
      <c r="D26785" s="67"/>
      <c r="G26785" s="68"/>
      <c r="K26785" s="68"/>
    </row>
    <row r="26786" spans="4:11" ht="12.75">
      <c r="D26786" s="67"/>
      <c r="G26786" s="68"/>
      <c r="K26786" s="68"/>
    </row>
    <row r="26787" spans="4:11" ht="12.75">
      <c r="D26787" s="67"/>
      <c r="G26787" s="68"/>
      <c r="K26787" s="68"/>
    </row>
    <row r="26788" spans="4:11" ht="12.75">
      <c r="D26788" s="67"/>
      <c r="G26788" s="68"/>
      <c r="K26788" s="68"/>
    </row>
    <row r="26789" spans="4:11" ht="12.75">
      <c r="D26789" s="67"/>
      <c r="G26789" s="68"/>
      <c r="K26789" s="68"/>
    </row>
    <row r="26790" spans="4:11" ht="12.75">
      <c r="D26790" s="67"/>
      <c r="G26790" s="68"/>
      <c r="K26790" s="68"/>
    </row>
    <row r="26791" spans="4:11" ht="12.75">
      <c r="D26791" s="67"/>
      <c r="G26791" s="68"/>
      <c r="K26791" s="68"/>
    </row>
    <row r="26792" spans="4:11" ht="12.75">
      <c r="D26792" s="67"/>
      <c r="G26792" s="68"/>
      <c r="K26792" s="68"/>
    </row>
    <row r="26793" spans="4:11" ht="12.75">
      <c r="D26793" s="67"/>
      <c r="G26793" s="68"/>
      <c r="K26793" s="68"/>
    </row>
    <row r="26794" spans="4:11" ht="12.75">
      <c r="D26794" s="67"/>
      <c r="G26794" s="68"/>
      <c r="K26794" s="68"/>
    </row>
    <row r="26795" spans="4:11" ht="12.75">
      <c r="D26795" s="67"/>
      <c r="G26795" s="68"/>
      <c r="K26795" s="68"/>
    </row>
    <row r="26796" spans="4:11" ht="12.75">
      <c r="D26796" s="67"/>
      <c r="G26796" s="68"/>
      <c r="K26796" s="68"/>
    </row>
    <row r="26797" spans="4:11" ht="12.75">
      <c r="D26797" s="67"/>
      <c r="G26797" s="68"/>
      <c r="K26797" s="68"/>
    </row>
    <row r="26798" spans="4:11" ht="12.75">
      <c r="D26798" s="67"/>
      <c r="G26798" s="68"/>
      <c r="K26798" s="68"/>
    </row>
    <row r="26799" spans="4:11" ht="12.75">
      <c r="D26799" s="67"/>
      <c r="G26799" s="68"/>
      <c r="K26799" s="68"/>
    </row>
    <row r="26800" spans="4:11" ht="12.75">
      <c r="D26800" s="67"/>
      <c r="G26800" s="68"/>
      <c r="K26800" s="68"/>
    </row>
    <row r="26801" spans="4:11" ht="12.75">
      <c r="D26801" s="67"/>
      <c r="G26801" s="68"/>
      <c r="K26801" s="68"/>
    </row>
    <row r="26802" spans="4:11" ht="12.75">
      <c r="D26802" s="67"/>
      <c r="G26802" s="68"/>
      <c r="K26802" s="68"/>
    </row>
    <row r="26803" spans="4:11" ht="12.75">
      <c r="D26803" s="67"/>
      <c r="G26803" s="68"/>
      <c r="K26803" s="68"/>
    </row>
    <row r="26804" spans="4:11" ht="12.75">
      <c r="D26804" s="67"/>
      <c r="G26804" s="68"/>
      <c r="K26804" s="68"/>
    </row>
    <row r="26805" spans="4:11" ht="12.75">
      <c r="D26805" s="67"/>
      <c r="G26805" s="68"/>
      <c r="K26805" s="68"/>
    </row>
    <row r="26806" spans="4:11" ht="12.75">
      <c r="D26806" s="67"/>
      <c r="G26806" s="68"/>
      <c r="K26806" s="68"/>
    </row>
    <row r="26807" spans="4:11" ht="12.75">
      <c r="D26807" s="67"/>
      <c r="G26807" s="68"/>
      <c r="K26807" s="68"/>
    </row>
    <row r="26808" spans="4:11" ht="12.75">
      <c r="D26808" s="67"/>
      <c r="G26808" s="68"/>
      <c r="K26808" s="68"/>
    </row>
    <row r="26809" spans="4:11" ht="12.75">
      <c r="D26809" s="67"/>
      <c r="G26809" s="68"/>
      <c r="K26809" s="68"/>
    </row>
    <row r="26810" spans="4:11" ht="12.75">
      <c r="D26810" s="67"/>
      <c r="G26810" s="68"/>
      <c r="K26810" s="68"/>
    </row>
    <row r="26811" spans="4:11" ht="12.75">
      <c r="D26811" s="67"/>
      <c r="G26811" s="68"/>
      <c r="K26811" s="68"/>
    </row>
    <row r="26812" spans="4:11" ht="12.75">
      <c r="D26812" s="67"/>
      <c r="G26812" s="68"/>
      <c r="K26812" s="68"/>
    </row>
    <row r="26813" spans="4:11" ht="12.75">
      <c r="D26813" s="67"/>
      <c r="G26813" s="68"/>
      <c r="K26813" s="68"/>
    </row>
    <row r="26814" spans="4:11" ht="12.75">
      <c r="D26814" s="67"/>
      <c r="G26814" s="68"/>
      <c r="K26814" s="68"/>
    </row>
    <row r="26815" spans="4:11" ht="12.75">
      <c r="D26815" s="67"/>
      <c r="G26815" s="68"/>
      <c r="K26815" s="68"/>
    </row>
    <row r="26816" spans="4:11" ht="12.75">
      <c r="D26816" s="67"/>
      <c r="G26816" s="68"/>
      <c r="K26816" s="68"/>
    </row>
    <row r="26817" spans="4:11" ht="12.75">
      <c r="D26817" s="67"/>
      <c r="G26817" s="68"/>
      <c r="K26817" s="68"/>
    </row>
    <row r="26818" spans="4:11" ht="12.75">
      <c r="D26818" s="67"/>
      <c r="G26818" s="68"/>
      <c r="K26818" s="68"/>
    </row>
    <row r="26819" spans="4:11" ht="12.75">
      <c r="D26819" s="67"/>
      <c r="G26819" s="68"/>
      <c r="K26819" s="68"/>
    </row>
    <row r="26820" spans="4:11" ht="12.75">
      <c r="D26820" s="67"/>
      <c r="G26820" s="68"/>
      <c r="K26820" s="68"/>
    </row>
    <row r="26821" spans="4:11" ht="12.75">
      <c r="D26821" s="67"/>
      <c r="G26821" s="68"/>
      <c r="K26821" s="68"/>
    </row>
    <row r="26822" spans="4:11" ht="12.75">
      <c r="D26822" s="67"/>
      <c r="G26822" s="68"/>
      <c r="K26822" s="68"/>
    </row>
    <row r="26823" spans="4:11" ht="12.75">
      <c r="D26823" s="67"/>
      <c r="G26823" s="68"/>
      <c r="K26823" s="68"/>
    </row>
    <row r="26824" spans="4:11" ht="12.75">
      <c r="D26824" s="67"/>
      <c r="G26824" s="68"/>
      <c r="K26824" s="68"/>
    </row>
    <row r="26825" spans="4:11" ht="12.75">
      <c r="D26825" s="67"/>
      <c r="G26825" s="68"/>
      <c r="K26825" s="68"/>
    </row>
    <row r="26826" spans="4:11" ht="12.75">
      <c r="D26826" s="67"/>
      <c r="G26826" s="68"/>
      <c r="K26826" s="68"/>
    </row>
    <row r="26827" spans="4:11" ht="12.75">
      <c r="D26827" s="67"/>
      <c r="G26827" s="68"/>
      <c r="K26827" s="68"/>
    </row>
    <row r="26828" spans="4:11" ht="12.75">
      <c r="D26828" s="67"/>
      <c r="G26828" s="68"/>
      <c r="K26828" s="68"/>
    </row>
    <row r="26829" spans="4:11" ht="12.75">
      <c r="D26829" s="67"/>
      <c r="G26829" s="68"/>
      <c r="K26829" s="68"/>
    </row>
    <row r="26830" spans="4:11" ht="12.75">
      <c r="D26830" s="67"/>
      <c r="G26830" s="68"/>
      <c r="K26830" s="68"/>
    </row>
    <row r="26831" spans="4:11" ht="12.75">
      <c r="D26831" s="67"/>
      <c r="G26831" s="68"/>
      <c r="K26831" s="68"/>
    </row>
    <row r="26832" spans="4:11" ht="12.75">
      <c r="D26832" s="67"/>
      <c r="G26832" s="68"/>
      <c r="K26832" s="68"/>
    </row>
    <row r="26833" spans="4:11" ht="12.75">
      <c r="D26833" s="67"/>
      <c r="G26833" s="68"/>
      <c r="K26833" s="68"/>
    </row>
    <row r="26834" spans="4:11" ht="12.75">
      <c r="D26834" s="67"/>
      <c r="G26834" s="68"/>
      <c r="K26834" s="68"/>
    </row>
    <row r="26835" spans="4:11" ht="12.75">
      <c r="D26835" s="67"/>
      <c r="G26835" s="68"/>
      <c r="K26835" s="68"/>
    </row>
    <row r="26836" spans="4:11" ht="12.75">
      <c r="D26836" s="67"/>
      <c r="G26836" s="68"/>
      <c r="K26836" s="68"/>
    </row>
    <row r="26837" spans="4:11" ht="12.75">
      <c r="D26837" s="67"/>
      <c r="G26837" s="68"/>
      <c r="K26837" s="68"/>
    </row>
    <row r="26838" spans="4:11" ht="12.75">
      <c r="D26838" s="67"/>
      <c r="G26838" s="68"/>
      <c r="K26838" s="68"/>
    </row>
    <row r="26839" spans="4:11" ht="12.75">
      <c r="D26839" s="67"/>
      <c r="G26839" s="68"/>
      <c r="K26839" s="68"/>
    </row>
    <row r="26840" spans="4:11" ht="12.75">
      <c r="D26840" s="67"/>
      <c r="G26840" s="68"/>
      <c r="K26840" s="68"/>
    </row>
    <row r="26841" spans="4:11" ht="12.75">
      <c r="D26841" s="67"/>
      <c r="G26841" s="68"/>
      <c r="K26841" s="68"/>
    </row>
    <row r="26842" spans="4:11" ht="12.75">
      <c r="D26842" s="67"/>
      <c r="G26842" s="68"/>
      <c r="K26842" s="68"/>
    </row>
    <row r="26843" spans="4:11" ht="12.75">
      <c r="D26843" s="67"/>
      <c r="G26843" s="68"/>
      <c r="K26843" s="68"/>
    </row>
    <row r="26844" spans="4:11" ht="12.75">
      <c r="D26844" s="67"/>
      <c r="G26844" s="68"/>
      <c r="K26844" s="68"/>
    </row>
    <row r="26845" spans="4:11" ht="12.75">
      <c r="D26845" s="67"/>
      <c r="G26845" s="68"/>
      <c r="K26845" s="68"/>
    </row>
    <row r="26846" spans="4:11" ht="12.75">
      <c r="D26846" s="67"/>
      <c r="G26846" s="68"/>
      <c r="K26846" s="68"/>
    </row>
    <row r="26847" spans="4:11" ht="12.75">
      <c r="D26847" s="67"/>
      <c r="G26847" s="68"/>
      <c r="K26847" s="68"/>
    </row>
    <row r="26848" spans="4:11" ht="12.75">
      <c r="D26848" s="67"/>
      <c r="G26848" s="68"/>
      <c r="K26848" s="68"/>
    </row>
    <row r="26849" spans="4:11" ht="12.75">
      <c r="D26849" s="67"/>
      <c r="G26849" s="68"/>
      <c r="K26849" s="68"/>
    </row>
    <row r="26850" spans="4:11" ht="12.75">
      <c r="D26850" s="67"/>
      <c r="G26850" s="68"/>
      <c r="K26850" s="68"/>
    </row>
    <row r="26851" spans="4:11" ht="12.75">
      <c r="D26851" s="67"/>
      <c r="G26851" s="68"/>
      <c r="K26851" s="68"/>
    </row>
    <row r="26852" spans="4:11" ht="12.75">
      <c r="D26852" s="67"/>
      <c r="G26852" s="68"/>
      <c r="K26852" s="68"/>
    </row>
    <row r="26853" spans="4:11" ht="12.75">
      <c r="D26853" s="67"/>
      <c r="G26853" s="68"/>
      <c r="K26853" s="68"/>
    </row>
    <row r="26854" spans="4:11" ht="12.75">
      <c r="D26854" s="67"/>
      <c r="G26854" s="68"/>
      <c r="K26854" s="68"/>
    </row>
    <row r="26855" spans="4:11" ht="12.75">
      <c r="D26855" s="67"/>
      <c r="G26855" s="68"/>
      <c r="K26855" s="68"/>
    </row>
    <row r="26856" spans="4:11" ht="12.75">
      <c r="D26856" s="67"/>
      <c r="G26856" s="68"/>
      <c r="K26856" s="68"/>
    </row>
    <row r="26857" spans="4:11" ht="12.75">
      <c r="D26857" s="67"/>
      <c r="G26857" s="68"/>
      <c r="K26857" s="68"/>
    </row>
    <row r="26858" spans="4:11" ht="12.75">
      <c r="D26858" s="67"/>
      <c r="G26858" s="68"/>
      <c r="K26858" s="68"/>
    </row>
    <row r="26859" spans="4:11" ht="12.75">
      <c r="D26859" s="67"/>
      <c r="G26859" s="68"/>
      <c r="K26859" s="68"/>
    </row>
    <row r="26860" spans="4:11" ht="12.75">
      <c r="D26860" s="67"/>
      <c r="G26860" s="68"/>
      <c r="K26860" s="68"/>
    </row>
    <row r="26861" spans="4:11" ht="12.75">
      <c r="D26861" s="67"/>
      <c r="G26861" s="68"/>
      <c r="K26861" s="68"/>
    </row>
    <row r="26862" spans="4:11" ht="12.75">
      <c r="D26862" s="67"/>
      <c r="G26862" s="68"/>
      <c r="K26862" s="68"/>
    </row>
    <row r="26863" spans="4:11" ht="12.75">
      <c r="D26863" s="67"/>
      <c r="G26863" s="68"/>
      <c r="K26863" s="68"/>
    </row>
    <row r="26864" spans="4:11" ht="12.75">
      <c r="D26864" s="67"/>
      <c r="G26864" s="68"/>
      <c r="K26864" s="68"/>
    </row>
    <row r="26865" spans="4:11" ht="12.75">
      <c r="D26865" s="67"/>
      <c r="G26865" s="68"/>
      <c r="K26865" s="68"/>
    </row>
    <row r="26866" spans="4:11" ht="12.75">
      <c r="D26866" s="67"/>
      <c r="G26866" s="68"/>
      <c r="K26866" s="68"/>
    </row>
    <row r="26867" spans="4:11" ht="12.75">
      <c r="D26867" s="67"/>
      <c r="G26867" s="68"/>
      <c r="K26867" s="68"/>
    </row>
    <row r="26868" spans="4:11" ht="12.75">
      <c r="D26868" s="67"/>
      <c r="G26868" s="68"/>
      <c r="K26868" s="68"/>
    </row>
    <row r="26869" spans="4:11" ht="12.75">
      <c r="D26869" s="67"/>
      <c r="G26869" s="68"/>
      <c r="K26869" s="68"/>
    </row>
    <row r="26870" spans="4:11" ht="12.75">
      <c r="D26870" s="67"/>
      <c r="G26870" s="68"/>
      <c r="K26870" s="68"/>
    </row>
    <row r="26871" spans="4:11" ht="12.75">
      <c r="D26871" s="67"/>
      <c r="G26871" s="68"/>
      <c r="K26871" s="68"/>
    </row>
    <row r="26872" spans="4:11" ht="12.75">
      <c r="D26872" s="67"/>
      <c r="G26872" s="68"/>
      <c r="K26872" s="68"/>
    </row>
    <row r="26873" spans="4:11" ht="12.75">
      <c r="D26873" s="67"/>
      <c r="G26873" s="68"/>
      <c r="K26873" s="68"/>
    </row>
    <row r="26874" spans="4:11" ht="12.75">
      <c r="D26874" s="67"/>
      <c r="G26874" s="68"/>
      <c r="K26874" s="68"/>
    </row>
    <row r="26875" spans="4:11" ht="12.75">
      <c r="D26875" s="67"/>
      <c r="G26875" s="68"/>
      <c r="K26875" s="68"/>
    </row>
    <row r="26876" spans="4:11" ht="12.75">
      <c r="D26876" s="67"/>
      <c r="G26876" s="68"/>
      <c r="K26876" s="68"/>
    </row>
    <row r="26877" spans="4:11" ht="12.75">
      <c r="D26877" s="67"/>
      <c r="G26877" s="68"/>
      <c r="K26877" s="68"/>
    </row>
    <row r="26878" spans="4:11" ht="12.75">
      <c r="D26878" s="67"/>
      <c r="G26878" s="68"/>
      <c r="K26878" s="68"/>
    </row>
    <row r="26879" spans="4:11" ht="12.75">
      <c r="D26879" s="67"/>
      <c r="G26879" s="68"/>
      <c r="K26879" s="68"/>
    </row>
    <row r="26880" spans="4:11" ht="12.75">
      <c r="D26880" s="67"/>
      <c r="G26880" s="68"/>
      <c r="K26880" s="68"/>
    </row>
    <row r="26881" spans="4:11" ht="12.75">
      <c r="D26881" s="67"/>
      <c r="G26881" s="68"/>
      <c r="K26881" s="68"/>
    </row>
    <row r="26882" spans="4:11" ht="12.75">
      <c r="D26882" s="67"/>
      <c r="G26882" s="68"/>
      <c r="K26882" s="68"/>
    </row>
    <row r="26883" spans="4:11" ht="12.75">
      <c r="D26883" s="67"/>
      <c r="G26883" s="68"/>
      <c r="K26883" s="68"/>
    </row>
    <row r="26884" spans="4:11" ht="12.75">
      <c r="D26884" s="67"/>
      <c r="G26884" s="68"/>
      <c r="K26884" s="68"/>
    </row>
    <row r="26885" spans="4:11" ht="12.75">
      <c r="D26885" s="67"/>
      <c r="G26885" s="68"/>
      <c r="K26885" s="68"/>
    </row>
    <row r="26886" spans="4:11" ht="12.75">
      <c r="D26886" s="67"/>
      <c r="G26886" s="68"/>
      <c r="K26886" s="68"/>
    </row>
    <row r="26887" spans="4:11" ht="12.75">
      <c r="D26887" s="67"/>
      <c r="G26887" s="68"/>
      <c r="K26887" s="68"/>
    </row>
    <row r="26888" spans="4:11" ht="12.75">
      <c r="D26888" s="67"/>
      <c r="G26888" s="68"/>
      <c r="K26888" s="68"/>
    </row>
    <row r="26889" spans="4:11" ht="12.75">
      <c r="D26889" s="67"/>
      <c r="G26889" s="68"/>
      <c r="K26889" s="68"/>
    </row>
    <row r="26890" spans="4:11" ht="12.75">
      <c r="D26890" s="67"/>
      <c r="G26890" s="68"/>
      <c r="K26890" s="68"/>
    </row>
    <row r="26891" spans="4:11" ht="12.75">
      <c r="D26891" s="67"/>
      <c r="G26891" s="68"/>
      <c r="K26891" s="68"/>
    </row>
    <row r="26892" spans="4:11" ht="12.75">
      <c r="D26892" s="67"/>
      <c r="G26892" s="68"/>
      <c r="K26892" s="68"/>
    </row>
    <row r="26893" spans="4:11" ht="12.75">
      <c r="D26893" s="67"/>
      <c r="G26893" s="68"/>
      <c r="K26893" s="68"/>
    </row>
    <row r="26894" spans="4:11" ht="12.75">
      <c r="D26894" s="67"/>
      <c r="G26894" s="68"/>
      <c r="K26894" s="68"/>
    </row>
    <row r="26895" spans="4:11" ht="12.75">
      <c r="D26895" s="67"/>
      <c r="G26895" s="68"/>
      <c r="K26895" s="68"/>
    </row>
    <row r="26896" spans="4:11" ht="12.75">
      <c r="D26896" s="67"/>
      <c r="G26896" s="68"/>
      <c r="K26896" s="68"/>
    </row>
    <row r="26897" spans="4:11" ht="12.75">
      <c r="D26897" s="67"/>
      <c r="G26897" s="68"/>
      <c r="K26897" s="68"/>
    </row>
    <row r="26898" spans="4:11" ht="12.75">
      <c r="D26898" s="67"/>
      <c r="G26898" s="68"/>
      <c r="K26898" s="68"/>
    </row>
    <row r="26899" spans="4:11" ht="12.75">
      <c r="D26899" s="67"/>
      <c r="G26899" s="68"/>
      <c r="K26899" s="68"/>
    </row>
    <row r="26900" spans="4:11" ht="12.75">
      <c r="D26900" s="67"/>
      <c r="G26900" s="68"/>
      <c r="K26900" s="68"/>
    </row>
    <row r="26901" spans="4:11" ht="12.75">
      <c r="D26901" s="67"/>
      <c r="G26901" s="68"/>
      <c r="K26901" s="68"/>
    </row>
    <row r="26902" spans="4:11" ht="12.75">
      <c r="D26902" s="67"/>
      <c r="G26902" s="68"/>
      <c r="K26902" s="68"/>
    </row>
    <row r="26903" spans="4:11" ht="12.75">
      <c r="D26903" s="67"/>
      <c r="G26903" s="68"/>
      <c r="K26903" s="68"/>
    </row>
    <row r="26904" spans="4:11" ht="12.75">
      <c r="D26904" s="67"/>
      <c r="G26904" s="68"/>
      <c r="K26904" s="68"/>
    </row>
    <row r="26905" spans="4:11" ht="12.75">
      <c r="D26905" s="67"/>
      <c r="G26905" s="68"/>
      <c r="K26905" s="68"/>
    </row>
    <row r="26906" spans="4:11" ht="12.75">
      <c r="D26906" s="67"/>
      <c r="G26906" s="68"/>
      <c r="K26906" s="68"/>
    </row>
    <row r="26907" spans="4:11" ht="12.75">
      <c r="D26907" s="67"/>
      <c r="G26907" s="68"/>
      <c r="K26907" s="68"/>
    </row>
    <row r="26908" spans="4:11" ht="12.75">
      <c r="D26908" s="67"/>
      <c r="G26908" s="68"/>
      <c r="K26908" s="68"/>
    </row>
    <row r="26909" spans="4:11" ht="12.75">
      <c r="D26909" s="67"/>
      <c r="G26909" s="68"/>
      <c r="K26909" s="68"/>
    </row>
    <row r="26910" spans="4:11" ht="12.75">
      <c r="D26910" s="67"/>
      <c r="G26910" s="68"/>
      <c r="K26910" s="68"/>
    </row>
    <row r="26911" spans="4:11" ht="12.75">
      <c r="D26911" s="67"/>
      <c r="G26911" s="68"/>
      <c r="K26911" s="68"/>
    </row>
    <row r="26912" spans="4:11" ht="12.75">
      <c r="D26912" s="67"/>
      <c r="G26912" s="68"/>
      <c r="K26912" s="68"/>
    </row>
    <row r="26913" spans="4:11" ht="12.75">
      <c r="D26913" s="67"/>
      <c r="G26913" s="68"/>
      <c r="K26913" s="68"/>
    </row>
    <row r="26914" spans="4:11" ht="12.75">
      <c r="D26914" s="67"/>
      <c r="G26914" s="68"/>
      <c r="K26914" s="68"/>
    </row>
    <row r="26915" spans="4:11" ht="12.75">
      <c r="D26915" s="67"/>
      <c r="G26915" s="68"/>
      <c r="K26915" s="68"/>
    </row>
    <row r="26916" spans="4:11" ht="12.75">
      <c r="D26916" s="67"/>
      <c r="G26916" s="68"/>
      <c r="K26916" s="68"/>
    </row>
    <row r="26917" spans="4:11" ht="12.75">
      <c r="D26917" s="67"/>
      <c r="G26917" s="68"/>
      <c r="K26917" s="68"/>
    </row>
    <row r="26918" spans="4:11" ht="12.75">
      <c r="D26918" s="67"/>
      <c r="G26918" s="68"/>
      <c r="K26918" s="68"/>
    </row>
    <row r="26919" spans="4:11" ht="12.75">
      <c r="D26919" s="67"/>
      <c r="G26919" s="68"/>
      <c r="K26919" s="68"/>
    </row>
    <row r="26920" spans="4:11" ht="12.75">
      <c r="D26920" s="67"/>
      <c r="G26920" s="68"/>
      <c r="K26920" s="68"/>
    </row>
    <row r="26921" spans="4:11" ht="12.75">
      <c r="D26921" s="67"/>
      <c r="G26921" s="68"/>
      <c r="K26921" s="68"/>
    </row>
    <row r="26922" spans="4:11" ht="12.75">
      <c r="D26922" s="67"/>
      <c r="G26922" s="68"/>
      <c r="K26922" s="68"/>
    </row>
    <row r="26923" spans="4:11" ht="12.75">
      <c r="D26923" s="67"/>
      <c r="G26923" s="68"/>
      <c r="K26923" s="68"/>
    </row>
    <row r="26924" spans="4:11" ht="12.75">
      <c r="D26924" s="67"/>
      <c r="G26924" s="68"/>
      <c r="K26924" s="68"/>
    </row>
    <row r="26925" spans="4:11" ht="12.75">
      <c r="D26925" s="67"/>
      <c r="G26925" s="68"/>
      <c r="K26925" s="68"/>
    </row>
    <row r="26926" spans="4:11" ht="12.75">
      <c r="D26926" s="67"/>
      <c r="G26926" s="68"/>
      <c r="K26926" s="68"/>
    </row>
    <row r="26927" spans="4:11" ht="12.75">
      <c r="D26927" s="67"/>
      <c r="G26927" s="68"/>
      <c r="K26927" s="68"/>
    </row>
    <row r="26928" spans="4:11" ht="12.75">
      <c r="D26928" s="67"/>
      <c r="G26928" s="68"/>
      <c r="K26928" s="68"/>
    </row>
    <row r="26929" spans="4:11" ht="12.75">
      <c r="D26929" s="67"/>
      <c r="G26929" s="68"/>
      <c r="K26929" s="68"/>
    </row>
    <row r="26930" spans="4:11" ht="12.75">
      <c r="D26930" s="67"/>
      <c r="G26930" s="68"/>
      <c r="K26930" s="68"/>
    </row>
    <row r="26931" spans="4:11" ht="12.75">
      <c r="D26931" s="67"/>
      <c r="G26931" s="68"/>
      <c r="K26931" s="68"/>
    </row>
    <row r="26932" spans="4:11" ht="12.75">
      <c r="D26932" s="67"/>
      <c r="G26932" s="68"/>
      <c r="K26932" s="68"/>
    </row>
    <row r="26933" spans="4:11" ht="12.75">
      <c r="D26933" s="67"/>
      <c r="G26933" s="68"/>
      <c r="K26933" s="68"/>
    </row>
    <row r="26934" spans="4:11" ht="12.75">
      <c r="D26934" s="67"/>
      <c r="G26934" s="68"/>
      <c r="K26934" s="68"/>
    </row>
    <row r="26935" spans="4:11" ht="12.75">
      <c r="D26935" s="67"/>
      <c r="G26935" s="68"/>
      <c r="K26935" s="68"/>
    </row>
    <row r="26936" spans="4:11" ht="12.75">
      <c r="D26936" s="67"/>
      <c r="G26936" s="68"/>
      <c r="K26936" s="68"/>
    </row>
    <row r="26937" spans="4:11" ht="12.75">
      <c r="D26937" s="67"/>
      <c r="G26937" s="68"/>
      <c r="K26937" s="68"/>
    </row>
    <row r="26938" spans="4:11" ht="12.75">
      <c r="D26938" s="67"/>
      <c r="G26938" s="68"/>
      <c r="K26938" s="68"/>
    </row>
    <row r="26939" spans="4:11" ht="12.75">
      <c r="D26939" s="67"/>
      <c r="G26939" s="68"/>
      <c r="K26939" s="68"/>
    </row>
    <row r="26940" spans="4:11" ht="12.75">
      <c r="D26940" s="67"/>
      <c r="G26940" s="68"/>
      <c r="K26940" s="68"/>
    </row>
    <row r="26941" spans="4:11" ht="12.75">
      <c r="D26941" s="67"/>
      <c r="G26941" s="68"/>
      <c r="K26941" s="68"/>
    </row>
    <row r="26942" spans="4:11" ht="12.75">
      <c r="D26942" s="67"/>
      <c r="G26942" s="68"/>
      <c r="K26942" s="68"/>
    </row>
    <row r="26943" spans="4:11" ht="12.75">
      <c r="D26943" s="67"/>
      <c r="G26943" s="68"/>
      <c r="K26943" s="68"/>
    </row>
    <row r="26944" spans="4:11" ht="12.75">
      <c r="D26944" s="67"/>
      <c r="G26944" s="68"/>
      <c r="K26944" s="68"/>
    </row>
    <row r="26945" spans="4:11" ht="12.75">
      <c r="D26945" s="67"/>
      <c r="G26945" s="68"/>
      <c r="K26945" s="68"/>
    </row>
    <row r="26946" spans="4:11" ht="12.75">
      <c r="D26946" s="67"/>
      <c r="G26946" s="68"/>
      <c r="K26946" s="68"/>
    </row>
    <row r="26947" spans="4:11" ht="12.75">
      <c r="D26947" s="67"/>
      <c r="G26947" s="68"/>
      <c r="K26947" s="68"/>
    </row>
    <row r="26948" spans="4:11" ht="12.75">
      <c r="D26948" s="67"/>
      <c r="G26948" s="68"/>
      <c r="K26948" s="68"/>
    </row>
    <row r="26949" spans="4:11" ht="12.75">
      <c r="D26949" s="67"/>
      <c r="G26949" s="68"/>
      <c r="K26949" s="68"/>
    </row>
    <row r="26950" spans="4:11" ht="12.75">
      <c r="D26950" s="67"/>
      <c r="G26950" s="68"/>
      <c r="K26950" s="68"/>
    </row>
    <row r="26951" spans="4:11" ht="12.75">
      <c r="D26951" s="67"/>
      <c r="G26951" s="68"/>
      <c r="K26951" s="68"/>
    </row>
    <row r="26952" spans="4:11" ht="12.75">
      <c r="D26952" s="67"/>
      <c r="G26952" s="68"/>
      <c r="K26952" s="68"/>
    </row>
    <row r="26953" spans="4:11" ht="12.75">
      <c r="D26953" s="67"/>
      <c r="G26953" s="68"/>
      <c r="K26953" s="68"/>
    </row>
    <row r="26954" spans="4:11" ht="12.75">
      <c r="D26954" s="67"/>
      <c r="G26954" s="68"/>
      <c r="K26954" s="68"/>
    </row>
    <row r="26955" spans="4:11" ht="12.75">
      <c r="D26955" s="67"/>
      <c r="G26955" s="68"/>
      <c r="K26955" s="68"/>
    </row>
    <row r="26956" spans="4:11" ht="12.75">
      <c r="D26956" s="67"/>
      <c r="G26956" s="68"/>
      <c r="K26956" s="68"/>
    </row>
    <row r="26957" spans="4:11" ht="12.75">
      <c r="D26957" s="67"/>
      <c r="G26957" s="68"/>
      <c r="K26957" s="68"/>
    </row>
    <row r="26958" spans="4:11" ht="12.75">
      <c r="D26958" s="67"/>
      <c r="G26958" s="68"/>
      <c r="K26958" s="68"/>
    </row>
    <row r="26959" spans="4:11" ht="12.75">
      <c r="D26959" s="67"/>
      <c r="G26959" s="68"/>
      <c r="K26959" s="68"/>
    </row>
    <row r="26960" spans="4:11" ht="12.75">
      <c r="D26960" s="67"/>
      <c r="G26960" s="68"/>
      <c r="K26960" s="68"/>
    </row>
    <row r="26961" spans="4:11" ht="12.75">
      <c r="D26961" s="67"/>
      <c r="G26961" s="68"/>
      <c r="K26961" s="68"/>
    </row>
    <row r="26962" spans="4:11" ht="12.75">
      <c r="D26962" s="67"/>
      <c r="G26962" s="68"/>
      <c r="K26962" s="68"/>
    </row>
    <row r="26963" spans="4:11" ht="12.75">
      <c r="D26963" s="67"/>
      <c r="G26963" s="68"/>
      <c r="K26963" s="68"/>
    </row>
    <row r="26964" spans="4:11" ht="12.75">
      <c r="D26964" s="67"/>
      <c r="G26964" s="68"/>
      <c r="K26964" s="68"/>
    </row>
    <row r="26965" spans="4:11" ht="12.75">
      <c r="D26965" s="67"/>
      <c r="G26965" s="68"/>
      <c r="K26965" s="68"/>
    </row>
    <row r="26966" spans="4:11" ht="12.75">
      <c r="D26966" s="67"/>
      <c r="G26966" s="68"/>
      <c r="K26966" s="68"/>
    </row>
    <row r="26967" spans="4:11" ht="12.75">
      <c r="D26967" s="67"/>
      <c r="G26967" s="68"/>
      <c r="K26967" s="68"/>
    </row>
    <row r="26968" spans="4:11" ht="12.75">
      <c r="D26968" s="67"/>
      <c r="G26968" s="68"/>
      <c r="K26968" s="68"/>
    </row>
    <row r="26969" spans="4:11" ht="12.75">
      <c r="D26969" s="67"/>
      <c r="G26969" s="68"/>
      <c r="K26969" s="68"/>
    </row>
    <row r="26970" spans="4:11" ht="12.75">
      <c r="D26970" s="67"/>
      <c r="G26970" s="68"/>
      <c r="K26970" s="68"/>
    </row>
    <row r="26971" spans="4:11" ht="12.75">
      <c r="D26971" s="67"/>
      <c r="G26971" s="68"/>
      <c r="K26971" s="68"/>
    </row>
    <row r="26972" spans="4:11" ht="12.75">
      <c r="D26972" s="67"/>
      <c r="G26972" s="68"/>
      <c r="K26972" s="68"/>
    </row>
    <row r="26973" spans="4:11" ht="12.75">
      <c r="D26973" s="67"/>
      <c r="G26973" s="68"/>
      <c r="K26973" s="68"/>
    </row>
    <row r="26974" spans="4:11" ht="12.75">
      <c r="D26974" s="67"/>
      <c r="G26974" s="68"/>
      <c r="K26974" s="68"/>
    </row>
    <row r="26975" spans="4:11" ht="12.75">
      <c r="D26975" s="67"/>
      <c r="G26975" s="68"/>
      <c r="K26975" s="68"/>
    </row>
    <row r="26976" spans="4:11" ht="12.75">
      <c r="D26976" s="67"/>
      <c r="G26976" s="68"/>
      <c r="K26976" s="68"/>
    </row>
    <row r="26977" spans="4:11" ht="12.75">
      <c r="D26977" s="67"/>
      <c r="G26977" s="68"/>
      <c r="K26977" s="68"/>
    </row>
    <row r="26978" spans="4:11" ht="12.75">
      <c r="D26978" s="67"/>
      <c r="G26978" s="68"/>
      <c r="K26978" s="68"/>
    </row>
    <row r="26979" spans="4:11" ht="12.75">
      <c r="D26979" s="67"/>
      <c r="G26979" s="68"/>
      <c r="K26979" s="68"/>
    </row>
    <row r="26980" spans="4:11" ht="12.75">
      <c r="D26980" s="67"/>
      <c r="G26980" s="68"/>
      <c r="K26980" s="68"/>
    </row>
    <row r="26981" spans="4:11" ht="12.75">
      <c r="D26981" s="67"/>
      <c r="G26981" s="68"/>
      <c r="K26981" s="68"/>
    </row>
    <row r="26982" spans="4:11" ht="12.75">
      <c r="D26982" s="67"/>
      <c r="G26982" s="68"/>
      <c r="K26982" s="68"/>
    </row>
    <row r="26983" spans="4:11" ht="12.75">
      <c r="D26983" s="67"/>
      <c r="G26983" s="68"/>
      <c r="K26983" s="68"/>
    </row>
    <row r="26984" spans="4:11" ht="12.75">
      <c r="D26984" s="67"/>
      <c r="G26984" s="68"/>
      <c r="K26984" s="68"/>
    </row>
    <row r="26985" spans="4:11" ht="12.75">
      <c r="D26985" s="67"/>
      <c r="G26985" s="68"/>
      <c r="K26985" s="68"/>
    </row>
    <row r="26986" spans="4:11" ht="12.75">
      <c r="D26986" s="67"/>
      <c r="G26986" s="68"/>
      <c r="K26986" s="68"/>
    </row>
    <row r="26987" spans="4:11" ht="12.75">
      <c r="D26987" s="67"/>
      <c r="G26987" s="68"/>
      <c r="K26987" s="68"/>
    </row>
    <row r="26988" spans="4:11" ht="12.75">
      <c r="D26988" s="67"/>
      <c r="G26988" s="68"/>
      <c r="K26988" s="68"/>
    </row>
    <row r="26989" spans="4:11" ht="12.75">
      <c r="D26989" s="67"/>
      <c r="G26989" s="68"/>
      <c r="K26989" s="68"/>
    </row>
    <row r="26990" spans="4:11" ht="12.75">
      <c r="D26990" s="67"/>
      <c r="G26990" s="68"/>
      <c r="K26990" s="68"/>
    </row>
    <row r="26991" spans="4:11" ht="12.75">
      <c r="D26991" s="67"/>
      <c r="G26991" s="68"/>
      <c r="K26991" s="68"/>
    </row>
    <row r="26992" spans="4:11" ht="12.75">
      <c r="D26992" s="67"/>
      <c r="G26992" s="68"/>
      <c r="K26992" s="68"/>
    </row>
    <row r="26993" spans="4:11" ht="12.75">
      <c r="D26993" s="67"/>
      <c r="G26993" s="68"/>
      <c r="K26993" s="68"/>
    </row>
    <row r="26994" spans="4:11" ht="12.75">
      <c r="D26994" s="67"/>
      <c r="G26994" s="68"/>
      <c r="K26994" s="68"/>
    </row>
    <row r="26995" spans="4:11" ht="12.75">
      <c r="D26995" s="67"/>
      <c r="G26995" s="68"/>
      <c r="K26995" s="68"/>
    </row>
    <row r="26996" spans="4:11" ht="12.75">
      <c r="D26996" s="67"/>
      <c r="G26996" s="68"/>
      <c r="K26996" s="68"/>
    </row>
    <row r="26997" spans="4:11" ht="12.75">
      <c r="D26997" s="67"/>
      <c r="G26997" s="68"/>
      <c r="K26997" s="68"/>
    </row>
    <row r="26998" spans="4:11" ht="12.75">
      <c r="D26998" s="67"/>
      <c r="G26998" s="68"/>
      <c r="K26998" s="68"/>
    </row>
    <row r="26999" spans="4:11" ht="12.75">
      <c r="D26999" s="67"/>
      <c r="G26999" s="68"/>
      <c r="K26999" s="68"/>
    </row>
    <row r="27000" spans="4:11" ht="12.75">
      <c r="D27000" s="67"/>
      <c r="G27000" s="68"/>
      <c r="K27000" s="68"/>
    </row>
    <row r="27001" spans="4:11" ht="12.75">
      <c r="D27001" s="67"/>
      <c r="G27001" s="68"/>
      <c r="K27001" s="68"/>
    </row>
    <row r="27002" spans="4:11" ht="12.75">
      <c r="D27002" s="67"/>
      <c r="G27002" s="68"/>
      <c r="K27002" s="68"/>
    </row>
    <row r="27003" spans="4:11" ht="12.75">
      <c r="D27003" s="67"/>
      <c r="G27003" s="68"/>
      <c r="K27003" s="68"/>
    </row>
    <row r="27004" spans="4:11" ht="12.75">
      <c r="D27004" s="67"/>
      <c r="G27004" s="68"/>
      <c r="K27004" s="68"/>
    </row>
    <row r="27005" spans="4:11" ht="12.75">
      <c r="D27005" s="67"/>
      <c r="G27005" s="68"/>
      <c r="K27005" s="68"/>
    </row>
    <row r="27006" spans="4:11" ht="12.75">
      <c r="D27006" s="67"/>
      <c r="G27006" s="68"/>
      <c r="K27006" s="68"/>
    </row>
    <row r="27007" spans="4:11" ht="12.75">
      <c r="D27007" s="67"/>
      <c r="G27007" s="68"/>
      <c r="K27007" s="68"/>
    </row>
    <row r="27008" spans="4:11" ht="12.75">
      <c r="D27008" s="67"/>
      <c r="G27008" s="68"/>
      <c r="K27008" s="68"/>
    </row>
    <row r="27009" spans="4:11" ht="12.75">
      <c r="D27009" s="67"/>
      <c r="G27009" s="68"/>
      <c r="K27009" s="68"/>
    </row>
    <row r="27010" spans="4:11" ht="12.75">
      <c r="D27010" s="67"/>
      <c r="G27010" s="68"/>
      <c r="K27010" s="68"/>
    </row>
    <row r="27011" spans="4:11" ht="12.75">
      <c r="D27011" s="67"/>
      <c r="G27011" s="68"/>
      <c r="K27011" s="68"/>
    </row>
    <row r="27012" spans="4:11" ht="12.75">
      <c r="D27012" s="67"/>
      <c r="G27012" s="68"/>
      <c r="K27012" s="68"/>
    </row>
    <row r="27013" spans="4:11" ht="12.75">
      <c r="D27013" s="67"/>
      <c r="G27013" s="68"/>
      <c r="K27013" s="68"/>
    </row>
    <row r="27014" spans="4:11" ht="12.75">
      <c r="D27014" s="67"/>
      <c r="G27014" s="68"/>
      <c r="K27014" s="68"/>
    </row>
    <row r="27015" spans="4:11" ht="12.75">
      <c r="D27015" s="67"/>
      <c r="G27015" s="68"/>
      <c r="K27015" s="68"/>
    </row>
    <row r="27016" spans="4:11" ht="12.75">
      <c r="D27016" s="67"/>
      <c r="G27016" s="68"/>
      <c r="K27016" s="68"/>
    </row>
    <row r="27017" spans="4:11" ht="12.75">
      <c r="D27017" s="67"/>
      <c r="G27017" s="68"/>
      <c r="K27017" s="68"/>
    </row>
    <row r="27018" spans="4:11" ht="12.75">
      <c r="D27018" s="67"/>
      <c r="G27018" s="68"/>
      <c r="K27018" s="68"/>
    </row>
    <row r="27019" spans="4:11" ht="12.75">
      <c r="D27019" s="67"/>
      <c r="G27019" s="68"/>
      <c r="K27019" s="68"/>
    </row>
    <row r="27020" spans="4:11" ht="12.75">
      <c r="D27020" s="67"/>
      <c r="G27020" s="68"/>
      <c r="K27020" s="68"/>
    </row>
    <row r="27021" spans="4:11" ht="12.75">
      <c r="D27021" s="67"/>
      <c r="G27021" s="68"/>
      <c r="K27021" s="68"/>
    </row>
    <row r="27022" spans="4:11" ht="12.75">
      <c r="D27022" s="67"/>
      <c r="G27022" s="68"/>
      <c r="K27022" s="68"/>
    </row>
    <row r="27023" spans="4:11" ht="12.75">
      <c r="D27023" s="67"/>
      <c r="G27023" s="68"/>
      <c r="K27023" s="68"/>
    </row>
    <row r="27024" spans="4:11" ht="12.75">
      <c r="D27024" s="67"/>
      <c r="G27024" s="68"/>
      <c r="K27024" s="68"/>
    </row>
    <row r="27025" spans="4:11" ht="12.75">
      <c r="D27025" s="67"/>
      <c r="G27025" s="68"/>
      <c r="K27025" s="68"/>
    </row>
    <row r="27026" spans="4:11" ht="12.75">
      <c r="D27026" s="67"/>
      <c r="G27026" s="68"/>
      <c r="K27026" s="68"/>
    </row>
    <row r="27027" spans="4:11" ht="12.75">
      <c r="D27027" s="67"/>
      <c r="G27027" s="68"/>
      <c r="K27027" s="68"/>
    </row>
    <row r="27028" spans="4:11" ht="12.75">
      <c r="D27028" s="67"/>
      <c r="G27028" s="68"/>
      <c r="K27028" s="68"/>
    </row>
    <row r="27029" spans="4:11" ht="12.75">
      <c r="D27029" s="67"/>
      <c r="G27029" s="68"/>
      <c r="K27029" s="68"/>
    </row>
    <row r="27030" spans="4:11" ht="12.75">
      <c r="D27030" s="67"/>
      <c r="G27030" s="68"/>
      <c r="K27030" s="68"/>
    </row>
    <row r="27031" spans="4:11" ht="12.75">
      <c r="D27031" s="67"/>
      <c r="G27031" s="68"/>
      <c r="K27031" s="68"/>
    </row>
    <row r="27032" spans="4:11" ht="12.75">
      <c r="D27032" s="67"/>
      <c r="G27032" s="68"/>
      <c r="K27032" s="68"/>
    </row>
    <row r="27033" spans="4:11" ht="12.75">
      <c r="D27033" s="67"/>
      <c r="G27033" s="68"/>
      <c r="K27033" s="68"/>
    </row>
    <row r="27034" spans="4:11" ht="12.75">
      <c r="D27034" s="67"/>
      <c r="G27034" s="68"/>
      <c r="K27034" s="68"/>
    </row>
    <row r="27035" spans="4:11" ht="12.75">
      <c r="D27035" s="67"/>
      <c r="G27035" s="68"/>
      <c r="K27035" s="68"/>
    </row>
    <row r="27036" spans="4:11" ht="12.75">
      <c r="D27036" s="67"/>
      <c r="G27036" s="68"/>
      <c r="K27036" s="68"/>
    </row>
    <row r="27037" spans="4:11" ht="12.75">
      <c r="D27037" s="67"/>
      <c r="G27037" s="68"/>
      <c r="K27037" s="68"/>
    </row>
    <row r="27038" spans="4:11" ht="12.75">
      <c r="D27038" s="67"/>
      <c r="G27038" s="68"/>
      <c r="K27038" s="68"/>
    </row>
    <row r="27039" spans="4:11" ht="12.75">
      <c r="D27039" s="67"/>
      <c r="G27039" s="68"/>
      <c r="K27039" s="68"/>
    </row>
    <row r="27040" spans="4:11" ht="12.75">
      <c r="D27040" s="67"/>
      <c r="G27040" s="68"/>
      <c r="K27040" s="68"/>
    </row>
    <row r="27041" spans="4:11" ht="12.75">
      <c r="D27041" s="67"/>
      <c r="G27041" s="68"/>
      <c r="K27041" s="68"/>
    </row>
    <row r="27042" spans="4:11" ht="12.75">
      <c r="D27042" s="67"/>
      <c r="G27042" s="68"/>
      <c r="K27042" s="68"/>
    </row>
    <row r="27043" spans="4:11" ht="12.75">
      <c r="D27043" s="67"/>
      <c r="G27043" s="68"/>
      <c r="K27043" s="68"/>
    </row>
    <row r="27044" spans="4:11" ht="12.75">
      <c r="D27044" s="67"/>
      <c r="G27044" s="68"/>
      <c r="K27044" s="68"/>
    </row>
    <row r="27045" spans="4:11" ht="12.75">
      <c r="D27045" s="67"/>
      <c r="G27045" s="68"/>
      <c r="K27045" s="68"/>
    </row>
    <row r="27046" spans="4:11" ht="12.75">
      <c r="D27046" s="67"/>
      <c r="G27046" s="68"/>
      <c r="K27046" s="68"/>
    </row>
    <row r="27047" spans="4:11" ht="12.75">
      <c r="D27047" s="67"/>
      <c r="G27047" s="68"/>
      <c r="K27047" s="68"/>
    </row>
    <row r="27048" spans="4:11" ht="12.75">
      <c r="D27048" s="67"/>
      <c r="G27048" s="68"/>
      <c r="K27048" s="68"/>
    </row>
    <row r="27049" spans="4:11" ht="12.75">
      <c r="D27049" s="67"/>
      <c r="G27049" s="68"/>
      <c r="K27049" s="68"/>
    </row>
    <row r="27050" spans="4:11" ht="12.75">
      <c r="D27050" s="67"/>
      <c r="G27050" s="68"/>
      <c r="K27050" s="68"/>
    </row>
    <row r="27051" spans="4:11" ht="12.75">
      <c r="D27051" s="67"/>
      <c r="G27051" s="68"/>
      <c r="K27051" s="68"/>
    </row>
    <row r="27052" spans="4:11" ht="12.75">
      <c r="D27052" s="67"/>
      <c r="G27052" s="68"/>
      <c r="K27052" s="68"/>
    </row>
    <row r="27053" spans="4:11" ht="12.75">
      <c r="D27053" s="67"/>
      <c r="G27053" s="68"/>
      <c r="K27053" s="68"/>
    </row>
    <row r="27054" spans="4:11" ht="12.75">
      <c r="D27054" s="67"/>
      <c r="G27054" s="68"/>
      <c r="K27054" s="68"/>
    </row>
    <row r="27055" spans="4:11" ht="12.75">
      <c r="D27055" s="67"/>
      <c r="G27055" s="68"/>
      <c r="K27055" s="68"/>
    </row>
    <row r="27056" spans="4:11" ht="12.75">
      <c r="D27056" s="67"/>
      <c r="G27056" s="68"/>
      <c r="K27056" s="68"/>
    </row>
    <row r="27057" spans="4:11" ht="12.75">
      <c r="D27057" s="67"/>
      <c r="G27057" s="68"/>
      <c r="K27057" s="68"/>
    </row>
    <row r="27058" spans="4:11" ht="12.75">
      <c r="D27058" s="67"/>
      <c r="G27058" s="68"/>
      <c r="K27058" s="68"/>
    </row>
    <row r="27059" spans="4:11" ht="12.75">
      <c r="D27059" s="67"/>
      <c r="G27059" s="68"/>
      <c r="K27059" s="68"/>
    </row>
    <row r="27060" spans="4:11" ht="12.75">
      <c r="D27060" s="67"/>
      <c r="G27060" s="68"/>
      <c r="K27060" s="68"/>
    </row>
    <row r="27061" spans="4:11" ht="12.75">
      <c r="D27061" s="67"/>
      <c r="G27061" s="68"/>
      <c r="K27061" s="68"/>
    </row>
    <row r="27062" spans="4:11" ht="12.75">
      <c r="D27062" s="67"/>
      <c r="G27062" s="68"/>
      <c r="K27062" s="68"/>
    </row>
    <row r="27063" spans="4:11" ht="12.75">
      <c r="D27063" s="67"/>
      <c r="G27063" s="68"/>
      <c r="K27063" s="68"/>
    </row>
    <row r="27064" spans="4:11" ht="12.75">
      <c r="D27064" s="67"/>
      <c r="G27064" s="68"/>
      <c r="K27064" s="68"/>
    </row>
    <row r="27065" spans="4:11" ht="12.75">
      <c r="D27065" s="67"/>
      <c r="G27065" s="68"/>
      <c r="K27065" s="68"/>
    </row>
    <row r="27066" spans="4:11" ht="12.75">
      <c r="D27066" s="67"/>
      <c r="G27066" s="68"/>
      <c r="K27066" s="68"/>
    </row>
    <row r="27067" spans="4:11" ht="12.75">
      <c r="D27067" s="67"/>
      <c r="G27067" s="68"/>
      <c r="K27067" s="68"/>
    </row>
    <row r="27068" spans="4:11" ht="12.75">
      <c r="D27068" s="67"/>
      <c r="G27068" s="68"/>
      <c r="K27068" s="68"/>
    </row>
    <row r="27069" spans="4:11" ht="12.75">
      <c r="D27069" s="67"/>
      <c r="G27069" s="68"/>
      <c r="K27069" s="68"/>
    </row>
    <row r="27070" spans="4:11" ht="12.75">
      <c r="D27070" s="67"/>
      <c r="G27070" s="68"/>
      <c r="K27070" s="68"/>
    </row>
    <row r="27071" spans="4:11" ht="12.75">
      <c r="D27071" s="67"/>
      <c r="G27071" s="68"/>
      <c r="K27071" s="68"/>
    </row>
    <row r="27072" spans="4:11" ht="12.75">
      <c r="D27072" s="67"/>
      <c r="G27072" s="68"/>
      <c r="K27072" s="68"/>
    </row>
    <row r="27073" spans="4:11" ht="12.75">
      <c r="D27073" s="67"/>
      <c r="G27073" s="68"/>
      <c r="K27073" s="68"/>
    </row>
    <row r="27074" spans="4:11" ht="12.75">
      <c r="D27074" s="67"/>
      <c r="G27074" s="68"/>
      <c r="K27074" s="68"/>
    </row>
    <row r="27075" spans="4:11" ht="12.75">
      <c r="D27075" s="67"/>
      <c r="G27075" s="68"/>
      <c r="K27075" s="68"/>
    </row>
    <row r="27076" spans="4:11" ht="12.75">
      <c r="D27076" s="67"/>
      <c r="G27076" s="68"/>
      <c r="K27076" s="68"/>
    </row>
    <row r="27077" spans="4:11" ht="12.75">
      <c r="D27077" s="67"/>
      <c r="G27077" s="68"/>
      <c r="K27077" s="68"/>
    </row>
    <row r="27078" spans="4:11" ht="12.75">
      <c r="D27078" s="67"/>
      <c r="G27078" s="68"/>
      <c r="K27078" s="68"/>
    </row>
    <row r="27079" spans="4:11" ht="12.75">
      <c r="D27079" s="67"/>
      <c r="G27079" s="68"/>
      <c r="K27079" s="68"/>
    </row>
    <row r="27080" spans="4:11" ht="12.75">
      <c r="D27080" s="67"/>
      <c r="G27080" s="68"/>
      <c r="K27080" s="68"/>
    </row>
    <row r="27081" spans="4:11" ht="12.75">
      <c r="D27081" s="67"/>
      <c r="G27081" s="68"/>
      <c r="K27081" s="68"/>
    </row>
    <row r="27082" spans="4:11" ht="12.75">
      <c r="D27082" s="67"/>
      <c r="G27082" s="68"/>
      <c r="K27082" s="68"/>
    </row>
    <row r="27083" spans="4:11" ht="12.75">
      <c r="D27083" s="67"/>
      <c r="G27083" s="68"/>
      <c r="K27083" s="68"/>
    </row>
    <row r="27084" spans="4:11" ht="12.75">
      <c r="D27084" s="67"/>
      <c r="G27084" s="68"/>
      <c r="K27084" s="68"/>
    </row>
    <row r="27085" spans="4:11" ht="12.75">
      <c r="D27085" s="67"/>
      <c r="G27085" s="68"/>
      <c r="K27085" s="68"/>
    </row>
    <row r="27086" spans="4:11" ht="12.75">
      <c r="D27086" s="67"/>
      <c r="G27086" s="68"/>
      <c r="K27086" s="68"/>
    </row>
    <row r="27087" spans="4:11" ht="12.75">
      <c r="D27087" s="67"/>
      <c r="G27087" s="68"/>
      <c r="K27087" s="68"/>
    </row>
    <row r="27088" spans="4:11" ht="12.75">
      <c r="D27088" s="67"/>
      <c r="G27088" s="68"/>
      <c r="K27088" s="68"/>
    </row>
    <row r="27089" spans="4:11" ht="12.75">
      <c r="D27089" s="67"/>
      <c r="G27089" s="68"/>
      <c r="K27089" s="68"/>
    </row>
    <row r="27090" spans="4:11" ht="12.75">
      <c r="D27090" s="67"/>
      <c r="G27090" s="68"/>
      <c r="K27090" s="68"/>
    </row>
    <row r="27091" spans="4:11" ht="12.75">
      <c r="D27091" s="67"/>
      <c r="G27091" s="68"/>
      <c r="K27091" s="68"/>
    </row>
    <row r="27092" spans="4:11" ht="12.75">
      <c r="D27092" s="67"/>
      <c r="G27092" s="68"/>
      <c r="K27092" s="68"/>
    </row>
    <row r="27093" spans="4:11" ht="12.75">
      <c r="D27093" s="67"/>
      <c r="G27093" s="68"/>
      <c r="K27093" s="68"/>
    </row>
    <row r="27094" spans="4:11" ht="12.75">
      <c r="D27094" s="67"/>
      <c r="G27094" s="68"/>
      <c r="K27094" s="68"/>
    </row>
    <row r="27095" spans="4:11" ht="12.75">
      <c r="D27095" s="67"/>
      <c r="G27095" s="68"/>
      <c r="K27095" s="68"/>
    </row>
    <row r="27096" spans="4:11" ht="12.75">
      <c r="D27096" s="67"/>
      <c r="G27096" s="68"/>
      <c r="K27096" s="68"/>
    </row>
    <row r="27097" spans="4:11" ht="12.75">
      <c r="D27097" s="67"/>
      <c r="G27097" s="68"/>
      <c r="K27097" s="68"/>
    </row>
    <row r="27098" spans="4:11" ht="12.75">
      <c r="D27098" s="67"/>
      <c r="G27098" s="68"/>
      <c r="K27098" s="68"/>
    </row>
    <row r="27099" spans="4:11" ht="12.75">
      <c r="D27099" s="67"/>
      <c r="G27099" s="68"/>
      <c r="K27099" s="68"/>
    </row>
    <row r="27100" spans="4:11" ht="12.75">
      <c r="D27100" s="67"/>
      <c r="G27100" s="68"/>
      <c r="K27100" s="68"/>
    </row>
    <row r="27101" spans="4:11" ht="12.75">
      <c r="D27101" s="67"/>
      <c r="G27101" s="68"/>
      <c r="K27101" s="68"/>
    </row>
    <row r="27102" spans="4:11" ht="12.75">
      <c r="D27102" s="67"/>
      <c r="G27102" s="68"/>
      <c r="K27102" s="68"/>
    </row>
    <row r="27103" spans="4:11" ht="12.75">
      <c r="D27103" s="67"/>
      <c r="G27103" s="68"/>
      <c r="K27103" s="68"/>
    </row>
    <row r="27104" spans="4:11" ht="12.75">
      <c r="D27104" s="67"/>
      <c r="G27104" s="68"/>
      <c r="K27104" s="68"/>
    </row>
    <row r="27105" spans="4:11" ht="12.75">
      <c r="D27105" s="67"/>
      <c r="G27105" s="68"/>
      <c r="K27105" s="68"/>
    </row>
    <row r="27106" spans="4:11" ht="12.75">
      <c r="D27106" s="67"/>
      <c r="G27106" s="68"/>
      <c r="K27106" s="68"/>
    </row>
    <row r="27107" spans="4:11" ht="12.75">
      <c r="D27107" s="67"/>
      <c r="G27107" s="68"/>
      <c r="K27107" s="68"/>
    </row>
    <row r="27108" spans="4:11" ht="12.75">
      <c r="D27108" s="67"/>
      <c r="G27108" s="68"/>
      <c r="K27108" s="68"/>
    </row>
    <row r="27109" spans="4:11" ht="12.75">
      <c r="D27109" s="67"/>
      <c r="G27109" s="68"/>
      <c r="K27109" s="68"/>
    </row>
    <row r="27110" spans="4:11" ht="12.75">
      <c r="D27110" s="67"/>
      <c r="G27110" s="68"/>
      <c r="K27110" s="68"/>
    </row>
    <row r="27111" spans="4:11" ht="12.75">
      <c r="D27111" s="67"/>
      <c r="G27111" s="68"/>
      <c r="K27111" s="68"/>
    </row>
    <row r="27112" spans="4:11" ht="12.75">
      <c r="D27112" s="67"/>
      <c r="G27112" s="68"/>
      <c r="K27112" s="68"/>
    </row>
    <row r="27113" spans="4:11" ht="12.75">
      <c r="D27113" s="67"/>
      <c r="G27113" s="68"/>
      <c r="K27113" s="68"/>
    </row>
    <row r="27114" spans="4:11" ht="12.75">
      <c r="D27114" s="67"/>
      <c r="G27114" s="68"/>
      <c r="K27114" s="68"/>
    </row>
    <row r="27115" spans="4:11" ht="12.75">
      <c r="D27115" s="67"/>
      <c r="G27115" s="68"/>
      <c r="K27115" s="68"/>
    </row>
    <row r="27116" spans="4:11" ht="12.75">
      <c r="D27116" s="67"/>
      <c r="G27116" s="68"/>
      <c r="K27116" s="68"/>
    </row>
    <row r="27117" spans="4:11" ht="12.75">
      <c r="D27117" s="67"/>
      <c r="G27117" s="68"/>
      <c r="K27117" s="68"/>
    </row>
    <row r="27118" spans="4:11" ht="12.75">
      <c r="D27118" s="67"/>
      <c r="G27118" s="68"/>
      <c r="K27118" s="68"/>
    </row>
    <row r="27119" spans="4:11" ht="12.75">
      <c r="D27119" s="67"/>
      <c r="G27119" s="68"/>
      <c r="K27119" s="68"/>
    </row>
    <row r="27120" spans="4:11" ht="12.75">
      <c r="D27120" s="67"/>
      <c r="G27120" s="68"/>
      <c r="K27120" s="68"/>
    </row>
    <row r="27121" spans="4:11" ht="12.75">
      <c r="D27121" s="67"/>
      <c r="G27121" s="68"/>
      <c r="K27121" s="68"/>
    </row>
    <row r="27122" spans="4:11" ht="12.75">
      <c r="D27122" s="67"/>
      <c r="G27122" s="68"/>
      <c r="K27122" s="68"/>
    </row>
    <row r="27123" spans="4:11" ht="12.75">
      <c r="D27123" s="67"/>
      <c r="G27123" s="68"/>
      <c r="K27123" s="68"/>
    </row>
    <row r="27124" spans="4:11" ht="12.75">
      <c r="D27124" s="67"/>
      <c r="G27124" s="68"/>
      <c r="K27124" s="68"/>
    </row>
    <row r="27125" spans="4:11" ht="12.75">
      <c r="D27125" s="67"/>
      <c r="G27125" s="68"/>
      <c r="K27125" s="68"/>
    </row>
    <row r="27126" spans="4:11" ht="12.75">
      <c r="D27126" s="67"/>
      <c r="G27126" s="68"/>
      <c r="K27126" s="68"/>
    </row>
    <row r="27127" spans="4:11" ht="12.75">
      <c r="D27127" s="67"/>
      <c r="G27127" s="68"/>
      <c r="K27127" s="68"/>
    </row>
    <row r="27128" spans="4:11" ht="12.75">
      <c r="D27128" s="67"/>
      <c r="G27128" s="68"/>
      <c r="K27128" s="68"/>
    </row>
    <row r="27129" spans="4:11" ht="12.75">
      <c r="D27129" s="67"/>
      <c r="G27129" s="68"/>
      <c r="K27129" s="68"/>
    </row>
    <row r="27130" spans="4:11" ht="12.75">
      <c r="D27130" s="67"/>
      <c r="G27130" s="68"/>
      <c r="K27130" s="68"/>
    </row>
    <row r="27131" spans="4:11" ht="12.75">
      <c r="D27131" s="67"/>
      <c r="G27131" s="68"/>
      <c r="K27131" s="68"/>
    </row>
    <row r="27132" spans="4:11" ht="12.75">
      <c r="D27132" s="67"/>
      <c r="G27132" s="68"/>
      <c r="K27132" s="68"/>
    </row>
    <row r="27133" spans="4:11" ht="12.75">
      <c r="D27133" s="67"/>
      <c r="G27133" s="68"/>
      <c r="K27133" s="68"/>
    </row>
    <row r="27134" spans="4:11" ht="12.75">
      <c r="D27134" s="67"/>
      <c r="G27134" s="68"/>
      <c r="K27134" s="68"/>
    </row>
    <row r="27135" spans="4:11" ht="12.75">
      <c r="D27135" s="67"/>
      <c r="G27135" s="68"/>
      <c r="K27135" s="68"/>
    </row>
    <row r="27136" spans="4:11" ht="12.75">
      <c r="D27136" s="67"/>
      <c r="G27136" s="68"/>
      <c r="K27136" s="68"/>
    </row>
    <row r="27137" spans="4:11" ht="12.75">
      <c r="D27137" s="67"/>
      <c r="G27137" s="68"/>
      <c r="K27137" s="68"/>
    </row>
    <row r="27138" spans="4:11" ht="12.75">
      <c r="D27138" s="67"/>
      <c r="G27138" s="68"/>
      <c r="K27138" s="68"/>
    </row>
    <row r="27139" spans="4:11" ht="12.75">
      <c r="D27139" s="67"/>
      <c r="G27139" s="68"/>
      <c r="K27139" s="68"/>
    </row>
    <row r="27140" spans="4:11" ht="12.75">
      <c r="D27140" s="67"/>
      <c r="G27140" s="68"/>
      <c r="K27140" s="68"/>
    </row>
    <row r="27141" spans="4:11" ht="12.75">
      <c r="D27141" s="67"/>
      <c r="G27141" s="68"/>
      <c r="K27141" s="68"/>
    </row>
    <row r="27142" spans="4:11" ht="12.75">
      <c r="D27142" s="67"/>
      <c r="G27142" s="68"/>
      <c r="K27142" s="68"/>
    </row>
    <row r="27143" spans="4:11" ht="12.75">
      <c r="D27143" s="67"/>
      <c r="G27143" s="68"/>
      <c r="K27143" s="68"/>
    </row>
    <row r="27144" spans="4:11" ht="12.75">
      <c r="D27144" s="67"/>
      <c r="G27144" s="68"/>
      <c r="K27144" s="68"/>
    </row>
    <row r="27145" spans="4:11" ht="12.75">
      <c r="D27145" s="67"/>
      <c r="G27145" s="68"/>
      <c r="K27145" s="68"/>
    </row>
    <row r="27146" spans="4:11" ht="12.75">
      <c r="D27146" s="67"/>
      <c r="G27146" s="68"/>
      <c r="K27146" s="68"/>
    </row>
    <row r="27147" spans="4:11" ht="12.75">
      <c r="D27147" s="67"/>
      <c r="G27147" s="68"/>
      <c r="K27147" s="68"/>
    </row>
    <row r="27148" spans="4:11" ht="12.75">
      <c r="D27148" s="67"/>
      <c r="G27148" s="68"/>
      <c r="K27148" s="68"/>
    </row>
    <row r="27149" spans="4:11" ht="12.75">
      <c r="D27149" s="67"/>
      <c r="G27149" s="68"/>
      <c r="K27149" s="68"/>
    </row>
    <row r="27150" spans="4:11" ht="12.75">
      <c r="D27150" s="67"/>
      <c r="G27150" s="68"/>
      <c r="K27150" s="68"/>
    </row>
    <row r="27151" spans="4:11" ht="12.75">
      <c r="D27151" s="67"/>
      <c r="G27151" s="68"/>
      <c r="K27151" s="68"/>
    </row>
    <row r="27152" spans="4:11" ht="12.75">
      <c r="D27152" s="67"/>
      <c r="G27152" s="68"/>
      <c r="K27152" s="68"/>
    </row>
    <row r="27153" spans="4:11" ht="12.75">
      <c r="D27153" s="67"/>
      <c r="G27153" s="68"/>
      <c r="K27153" s="68"/>
    </row>
    <row r="27154" spans="4:11" ht="12.75">
      <c r="D27154" s="67"/>
      <c r="G27154" s="68"/>
      <c r="K27154" s="68"/>
    </row>
    <row r="27155" spans="4:11" ht="12.75">
      <c r="D27155" s="67"/>
      <c r="G27155" s="68"/>
      <c r="K27155" s="68"/>
    </row>
    <row r="27156" spans="4:11" ht="12.75">
      <c r="D27156" s="67"/>
      <c r="G27156" s="68"/>
      <c r="K27156" s="68"/>
    </row>
    <row r="27157" spans="4:11" ht="12.75">
      <c r="D27157" s="67"/>
      <c r="G27157" s="68"/>
      <c r="K27157" s="68"/>
    </row>
    <row r="27158" spans="4:11" ht="12.75">
      <c r="D27158" s="67"/>
      <c r="G27158" s="68"/>
      <c r="K27158" s="68"/>
    </row>
    <row r="27159" spans="4:11" ht="12.75">
      <c r="D27159" s="67"/>
      <c r="G27159" s="68"/>
      <c r="K27159" s="68"/>
    </row>
    <row r="27160" spans="4:11" ht="12.75">
      <c r="D27160" s="67"/>
      <c r="G27160" s="68"/>
      <c r="K27160" s="68"/>
    </row>
    <row r="27161" spans="4:11" ht="12.75">
      <c r="D27161" s="67"/>
      <c r="G27161" s="68"/>
      <c r="K27161" s="68"/>
    </row>
    <row r="27162" spans="4:11" ht="12.75">
      <c r="D27162" s="67"/>
      <c r="G27162" s="68"/>
      <c r="K27162" s="68"/>
    </row>
    <row r="27163" spans="4:11" ht="12.75">
      <c r="D27163" s="67"/>
      <c r="G27163" s="68"/>
      <c r="K27163" s="68"/>
    </row>
    <row r="27164" spans="4:11" ht="12.75">
      <c r="D27164" s="67"/>
      <c r="G27164" s="68"/>
      <c r="K27164" s="68"/>
    </row>
    <row r="27165" spans="4:11" ht="12.75">
      <c r="D27165" s="67"/>
      <c r="G27165" s="68"/>
      <c r="K27165" s="68"/>
    </row>
    <row r="27166" spans="4:11" ht="12.75">
      <c r="D27166" s="67"/>
      <c r="G27166" s="68"/>
      <c r="K27166" s="68"/>
    </row>
    <row r="27167" spans="4:11" ht="12.75">
      <c r="D27167" s="67"/>
      <c r="G27167" s="68"/>
      <c r="K27167" s="68"/>
    </row>
    <row r="27168" spans="4:11" ht="12.75">
      <c r="D27168" s="67"/>
      <c r="G27168" s="68"/>
      <c r="K27168" s="68"/>
    </row>
    <row r="27169" spans="4:11" ht="12.75">
      <c r="D27169" s="67"/>
      <c r="G27169" s="68"/>
      <c r="K27169" s="68"/>
    </row>
    <row r="27170" spans="4:11" ht="12.75">
      <c r="D27170" s="67"/>
      <c r="G27170" s="68"/>
      <c r="K27170" s="68"/>
    </row>
    <row r="27171" spans="4:11" ht="12.75">
      <c r="D27171" s="67"/>
      <c r="G27171" s="68"/>
      <c r="K27171" s="68"/>
    </row>
    <row r="27172" spans="4:11" ht="12.75">
      <c r="D27172" s="67"/>
      <c r="G27172" s="68"/>
      <c r="K27172" s="68"/>
    </row>
    <row r="27173" spans="4:11" ht="12.75">
      <c r="D27173" s="67"/>
      <c r="G27173" s="68"/>
      <c r="K27173" s="68"/>
    </row>
    <row r="27174" spans="4:11" ht="12.75">
      <c r="D27174" s="67"/>
      <c r="G27174" s="68"/>
      <c r="K27174" s="68"/>
    </row>
    <row r="27175" spans="4:11" ht="12.75">
      <c r="D27175" s="67"/>
      <c r="G27175" s="68"/>
      <c r="K27175" s="68"/>
    </row>
    <row r="27176" spans="4:11" ht="12.75">
      <c r="D27176" s="67"/>
      <c r="G27176" s="68"/>
      <c r="K27176" s="68"/>
    </row>
    <row r="27177" spans="4:11" ht="12.75">
      <c r="D27177" s="67"/>
      <c r="G27177" s="68"/>
      <c r="K27177" s="68"/>
    </row>
    <row r="27178" spans="4:11" ht="12.75">
      <c r="D27178" s="67"/>
      <c r="G27178" s="68"/>
      <c r="K27178" s="68"/>
    </row>
    <row r="27179" spans="4:11" ht="12.75">
      <c r="D27179" s="67"/>
      <c r="G27179" s="68"/>
      <c r="K27179" s="68"/>
    </row>
    <row r="27180" spans="4:11" ht="12.75">
      <c r="D27180" s="67"/>
      <c r="G27180" s="68"/>
      <c r="K27180" s="68"/>
    </row>
    <row r="27181" spans="4:11" ht="12.75">
      <c r="D27181" s="67"/>
      <c r="G27181" s="68"/>
      <c r="K27181" s="68"/>
    </row>
    <row r="27182" spans="4:11" ht="12.75">
      <c r="D27182" s="67"/>
      <c r="G27182" s="68"/>
      <c r="K27182" s="68"/>
    </row>
    <row r="27183" spans="4:11" ht="12.75">
      <c r="D27183" s="67"/>
      <c r="G27183" s="68"/>
      <c r="K27183" s="68"/>
    </row>
    <row r="27184" spans="4:11" ht="12.75">
      <c r="D27184" s="67"/>
      <c r="G27184" s="68"/>
      <c r="K27184" s="68"/>
    </row>
    <row r="27185" spans="4:11" ht="12.75">
      <c r="D27185" s="67"/>
      <c r="G27185" s="68"/>
      <c r="K27185" s="68"/>
    </row>
    <row r="27186" spans="4:11" ht="12.75">
      <c r="D27186" s="67"/>
      <c r="G27186" s="68"/>
      <c r="K27186" s="68"/>
    </row>
    <row r="27187" spans="4:11" ht="12.75">
      <c r="D27187" s="67"/>
      <c r="G27187" s="68"/>
      <c r="K27187" s="68"/>
    </row>
    <row r="27188" spans="4:11" ht="12.75">
      <c r="D27188" s="67"/>
      <c r="G27188" s="68"/>
      <c r="K27188" s="68"/>
    </row>
    <row r="27189" spans="4:11" ht="12.75">
      <c r="D27189" s="67"/>
      <c r="G27189" s="68"/>
      <c r="K27189" s="68"/>
    </row>
    <row r="27190" spans="4:11" ht="12.75">
      <c r="D27190" s="67"/>
      <c r="G27190" s="68"/>
      <c r="K27190" s="68"/>
    </row>
    <row r="27191" spans="4:11" ht="12.75">
      <c r="D27191" s="67"/>
      <c r="G27191" s="68"/>
      <c r="K27191" s="68"/>
    </row>
    <row r="27192" spans="4:11" ht="12.75">
      <c r="D27192" s="67"/>
      <c r="G27192" s="68"/>
      <c r="K27192" s="68"/>
    </row>
    <row r="27193" spans="4:11" ht="12.75">
      <c r="D27193" s="67"/>
      <c r="G27193" s="68"/>
      <c r="K27193" s="68"/>
    </row>
    <row r="27194" spans="4:11" ht="12.75">
      <c r="D27194" s="67"/>
      <c r="G27194" s="68"/>
      <c r="K27194" s="68"/>
    </row>
    <row r="27195" spans="4:11" ht="12.75">
      <c r="D27195" s="67"/>
      <c r="G27195" s="68"/>
      <c r="K27195" s="68"/>
    </row>
    <row r="27196" spans="4:11" ht="12.75">
      <c r="D27196" s="67"/>
      <c r="G27196" s="68"/>
      <c r="K27196" s="68"/>
    </row>
    <row r="27197" spans="4:11" ht="12.75">
      <c r="D27197" s="67"/>
      <c r="G27197" s="68"/>
      <c r="K27197" s="68"/>
    </row>
    <row r="27198" spans="4:11" ht="12.75">
      <c r="D27198" s="67"/>
      <c r="G27198" s="68"/>
      <c r="K27198" s="68"/>
    </row>
    <row r="27199" spans="4:11" ht="12.75">
      <c r="D27199" s="67"/>
      <c r="G27199" s="68"/>
      <c r="K27199" s="68"/>
    </row>
    <row r="27200" spans="4:11" ht="12.75">
      <c r="D27200" s="67"/>
      <c r="G27200" s="68"/>
      <c r="K27200" s="68"/>
    </row>
    <row r="27201" spans="4:11" ht="12.75">
      <c r="D27201" s="67"/>
      <c r="G27201" s="68"/>
      <c r="K27201" s="68"/>
    </row>
    <row r="27202" spans="4:11" ht="12.75">
      <c r="D27202" s="67"/>
      <c r="G27202" s="68"/>
      <c r="K27202" s="68"/>
    </row>
    <row r="27203" spans="4:11" ht="12.75">
      <c r="D27203" s="67"/>
      <c r="G27203" s="68"/>
      <c r="K27203" s="68"/>
    </row>
    <row r="27204" spans="4:11" ht="12.75">
      <c r="D27204" s="67"/>
      <c r="G27204" s="68"/>
      <c r="K27204" s="68"/>
    </row>
    <row r="27205" spans="4:11" ht="12.75">
      <c r="D27205" s="67"/>
      <c r="G27205" s="68"/>
      <c r="K27205" s="68"/>
    </row>
    <row r="27206" spans="4:11" ht="12.75">
      <c r="D27206" s="67"/>
      <c r="G27206" s="68"/>
      <c r="K27206" s="68"/>
    </row>
    <row r="27207" spans="4:11" ht="12.75">
      <c r="D27207" s="67"/>
      <c r="G27207" s="68"/>
      <c r="K27207" s="68"/>
    </row>
    <row r="27208" spans="4:11" ht="12.75">
      <c r="D27208" s="67"/>
      <c r="G27208" s="68"/>
      <c r="K27208" s="68"/>
    </row>
    <row r="27209" spans="4:11" ht="12.75">
      <c r="D27209" s="67"/>
      <c r="G27209" s="68"/>
      <c r="K27209" s="68"/>
    </row>
    <row r="27210" spans="4:11" ht="12.75">
      <c r="D27210" s="67"/>
      <c r="G27210" s="68"/>
      <c r="K27210" s="68"/>
    </row>
    <row r="27211" spans="4:11" ht="12.75">
      <c r="D27211" s="67"/>
      <c r="G27211" s="68"/>
      <c r="K27211" s="68"/>
    </row>
    <row r="27212" spans="4:11" ht="12.75">
      <c r="D27212" s="67"/>
      <c r="G27212" s="68"/>
      <c r="K27212" s="68"/>
    </row>
    <row r="27213" spans="4:11" ht="12.75">
      <c r="D27213" s="67"/>
      <c r="G27213" s="68"/>
      <c r="K27213" s="68"/>
    </row>
    <row r="27214" spans="4:11" ht="12.75">
      <c r="D27214" s="67"/>
      <c r="G27214" s="68"/>
      <c r="K27214" s="68"/>
    </row>
    <row r="27215" spans="4:11" ht="12.75">
      <c r="D27215" s="67"/>
      <c r="G27215" s="68"/>
      <c r="K27215" s="68"/>
    </row>
    <row r="27216" spans="4:11" ht="12.75">
      <c r="D27216" s="67"/>
      <c r="G27216" s="68"/>
      <c r="K27216" s="68"/>
    </row>
    <row r="27217" spans="4:11" ht="12.75">
      <c r="D27217" s="67"/>
      <c r="G27217" s="68"/>
      <c r="K27217" s="68"/>
    </row>
    <row r="27218" spans="4:11" ht="12.75">
      <c r="D27218" s="67"/>
      <c r="G27218" s="68"/>
      <c r="K27218" s="68"/>
    </row>
    <row r="27219" spans="4:11" ht="12.75">
      <c r="D27219" s="67"/>
      <c r="G27219" s="68"/>
      <c r="K27219" s="68"/>
    </row>
    <row r="27220" spans="4:11" ht="12.75">
      <c r="D27220" s="67"/>
      <c r="G27220" s="68"/>
      <c r="K27220" s="68"/>
    </row>
    <row r="27221" spans="4:11" ht="12.75">
      <c r="D27221" s="67"/>
      <c r="G27221" s="68"/>
      <c r="K27221" s="68"/>
    </row>
    <row r="27222" spans="4:11" ht="12.75">
      <c r="D27222" s="67"/>
      <c r="G27222" s="68"/>
      <c r="K27222" s="68"/>
    </row>
    <row r="27223" spans="4:11" ht="12.75">
      <c r="D27223" s="67"/>
      <c r="G27223" s="68"/>
      <c r="K27223" s="68"/>
    </row>
    <row r="27224" spans="4:11" ht="12.75">
      <c r="D27224" s="67"/>
      <c r="G27224" s="68"/>
      <c r="K27224" s="68"/>
    </row>
    <row r="27225" spans="4:11" ht="12.75">
      <c r="D27225" s="67"/>
      <c r="G27225" s="68"/>
      <c r="K27225" s="68"/>
    </row>
    <row r="27226" spans="4:11" ht="12.75">
      <c r="D27226" s="67"/>
      <c r="G27226" s="68"/>
      <c r="K27226" s="68"/>
    </row>
    <row r="27227" spans="4:11" ht="12.75">
      <c r="D27227" s="67"/>
      <c r="G27227" s="68"/>
      <c r="K27227" s="68"/>
    </row>
    <row r="27228" spans="4:11" ht="12.75">
      <c r="D27228" s="67"/>
      <c r="G27228" s="68"/>
      <c r="K27228" s="68"/>
    </row>
    <row r="27229" spans="4:11" ht="12.75">
      <c r="D27229" s="67"/>
      <c r="G27229" s="68"/>
      <c r="K27229" s="68"/>
    </row>
    <row r="27230" spans="4:11" ht="12.75">
      <c r="D27230" s="67"/>
      <c r="G27230" s="68"/>
      <c r="K27230" s="68"/>
    </row>
    <row r="27231" spans="4:11" ht="12.75">
      <c r="D27231" s="67"/>
      <c r="G27231" s="68"/>
      <c r="K27231" s="68"/>
    </row>
    <row r="27232" spans="4:11" ht="12.75">
      <c r="D27232" s="67"/>
      <c r="G27232" s="68"/>
      <c r="K27232" s="68"/>
    </row>
    <row r="27233" spans="4:11" ht="12.75">
      <c r="D27233" s="67"/>
      <c r="G27233" s="68"/>
      <c r="K27233" s="68"/>
    </row>
    <row r="27234" spans="4:11" ht="12.75">
      <c r="D27234" s="67"/>
      <c r="G27234" s="68"/>
      <c r="K27234" s="68"/>
    </row>
    <row r="27235" spans="4:11" ht="12.75">
      <c r="D27235" s="67"/>
      <c r="G27235" s="68"/>
      <c r="K27235" s="68"/>
    </row>
    <row r="27236" spans="4:11" ht="12.75">
      <c r="D27236" s="67"/>
      <c r="G27236" s="68"/>
      <c r="K27236" s="68"/>
    </row>
    <row r="27237" spans="4:11" ht="12.75">
      <c r="D27237" s="67"/>
      <c r="G27237" s="68"/>
      <c r="K27237" s="68"/>
    </row>
    <row r="27238" spans="4:11" ht="12.75">
      <c r="D27238" s="67"/>
      <c r="G27238" s="68"/>
      <c r="K27238" s="68"/>
    </row>
    <row r="27239" spans="4:11" ht="12.75">
      <c r="D27239" s="67"/>
      <c r="G27239" s="68"/>
      <c r="K27239" s="68"/>
    </row>
    <row r="27240" spans="4:11" ht="12.75">
      <c r="D27240" s="67"/>
      <c r="G27240" s="68"/>
      <c r="K27240" s="68"/>
    </row>
    <row r="27241" spans="4:11" ht="12.75">
      <c r="D27241" s="67"/>
      <c r="G27241" s="68"/>
      <c r="K27241" s="68"/>
    </row>
    <row r="27242" spans="4:11" ht="12.75">
      <c r="D27242" s="67"/>
      <c r="G27242" s="68"/>
      <c r="K27242" s="68"/>
    </row>
    <row r="27243" spans="4:11" ht="12.75">
      <c r="D27243" s="67"/>
      <c r="G27243" s="68"/>
      <c r="K27243" s="68"/>
    </row>
    <row r="27244" spans="4:11" ht="12.75">
      <c r="D27244" s="67"/>
      <c r="G27244" s="68"/>
      <c r="K27244" s="68"/>
    </row>
    <row r="27245" spans="4:11" ht="12.75">
      <c r="D27245" s="67"/>
      <c r="G27245" s="68"/>
      <c r="K27245" s="68"/>
    </row>
    <row r="27246" spans="4:11" ht="12.75">
      <c r="D27246" s="67"/>
      <c r="G27246" s="68"/>
      <c r="K27246" s="68"/>
    </row>
    <row r="27247" spans="4:11" ht="12.75">
      <c r="D27247" s="67"/>
      <c r="G27247" s="68"/>
      <c r="K27247" s="68"/>
    </row>
    <row r="27248" spans="4:11" ht="12.75">
      <c r="D27248" s="67"/>
      <c r="G27248" s="68"/>
      <c r="K27248" s="68"/>
    </row>
    <row r="27249" spans="4:11" ht="12.75">
      <c r="D27249" s="67"/>
      <c r="G27249" s="68"/>
      <c r="K27249" s="68"/>
    </row>
    <row r="27250" spans="4:11" ht="12.75">
      <c r="D27250" s="67"/>
      <c r="G27250" s="68"/>
      <c r="K27250" s="68"/>
    </row>
    <row r="27251" spans="4:11" ht="12.75">
      <c r="D27251" s="67"/>
      <c r="G27251" s="68"/>
      <c r="K27251" s="68"/>
    </row>
    <row r="27252" spans="4:11" ht="12.75">
      <c r="D27252" s="67"/>
      <c r="G27252" s="68"/>
      <c r="K27252" s="68"/>
    </row>
    <row r="27253" spans="4:11" ht="12.75">
      <c r="D27253" s="67"/>
      <c r="G27253" s="68"/>
      <c r="K27253" s="68"/>
    </row>
    <row r="27254" spans="4:11" ht="12.75">
      <c r="D27254" s="67"/>
      <c r="G27254" s="68"/>
      <c r="K27254" s="68"/>
    </row>
    <row r="27255" spans="4:11" ht="12.75">
      <c r="D27255" s="67"/>
      <c r="G27255" s="68"/>
      <c r="K27255" s="68"/>
    </row>
    <row r="27256" spans="4:11" ht="12.75">
      <c r="D27256" s="67"/>
      <c r="G27256" s="68"/>
      <c r="K27256" s="68"/>
    </row>
    <row r="27257" spans="4:11" ht="12.75">
      <c r="D27257" s="67"/>
      <c r="G27257" s="68"/>
      <c r="K27257" s="68"/>
    </row>
    <row r="27258" spans="4:11" ht="12.75">
      <c r="D27258" s="67"/>
      <c r="G27258" s="68"/>
      <c r="K27258" s="68"/>
    </row>
    <row r="27259" spans="4:11" ht="12.75">
      <c r="D27259" s="67"/>
      <c r="G27259" s="68"/>
      <c r="K27259" s="68"/>
    </row>
    <row r="27260" spans="4:11" ht="12.75">
      <c r="D27260" s="67"/>
      <c r="G27260" s="68"/>
      <c r="K27260" s="68"/>
    </row>
    <row r="27261" spans="4:11" ht="12.75">
      <c r="D27261" s="67"/>
      <c r="G27261" s="68"/>
      <c r="K27261" s="68"/>
    </row>
    <row r="27262" spans="4:11" ht="12.75">
      <c r="D27262" s="67"/>
      <c r="G27262" s="68"/>
      <c r="K27262" s="68"/>
    </row>
    <row r="27263" spans="4:11" ht="12.75">
      <c r="D27263" s="67"/>
      <c r="G27263" s="68"/>
      <c r="K27263" s="68"/>
    </row>
    <row r="27264" spans="4:11" ht="12.75">
      <c r="D27264" s="67"/>
      <c r="G27264" s="68"/>
      <c r="K27264" s="68"/>
    </row>
    <row r="27265" spans="4:11" ht="12.75">
      <c r="D27265" s="67"/>
      <c r="G27265" s="68"/>
      <c r="K27265" s="68"/>
    </row>
    <row r="27266" spans="4:11" ht="12.75">
      <c r="D27266" s="67"/>
      <c r="G27266" s="68"/>
      <c r="K27266" s="68"/>
    </row>
    <row r="27267" spans="4:11" ht="12.75">
      <c r="D27267" s="67"/>
      <c r="G27267" s="68"/>
      <c r="K27267" s="68"/>
    </row>
    <row r="27268" spans="4:11" ht="12.75">
      <c r="D27268" s="67"/>
      <c r="G27268" s="68"/>
      <c r="K27268" s="68"/>
    </row>
    <row r="27269" spans="4:11" ht="12.75">
      <c r="D27269" s="67"/>
      <c r="G27269" s="68"/>
      <c r="K27269" s="68"/>
    </row>
    <row r="27270" spans="4:11" ht="12.75">
      <c r="D27270" s="67"/>
      <c r="G27270" s="68"/>
      <c r="K27270" s="68"/>
    </row>
    <row r="27271" spans="4:11" ht="12.75">
      <c r="D27271" s="67"/>
      <c r="G27271" s="68"/>
      <c r="K27271" s="68"/>
    </row>
    <row r="27272" spans="4:11" ht="12.75">
      <c r="D27272" s="67"/>
      <c r="G27272" s="68"/>
      <c r="K27272" s="68"/>
    </row>
    <row r="27273" spans="4:11" ht="12.75">
      <c r="D27273" s="67"/>
      <c r="G27273" s="68"/>
      <c r="K27273" s="68"/>
    </row>
    <row r="27274" spans="4:11" ht="12.75">
      <c r="D27274" s="67"/>
      <c r="G27274" s="68"/>
      <c r="K27274" s="68"/>
    </row>
    <row r="27275" spans="4:11" ht="12.75">
      <c r="D27275" s="67"/>
      <c r="G27275" s="68"/>
      <c r="K27275" s="68"/>
    </row>
    <row r="27276" spans="4:11" ht="12.75">
      <c r="D27276" s="67"/>
      <c r="G27276" s="68"/>
      <c r="K27276" s="68"/>
    </row>
    <row r="27277" spans="4:11" ht="12.75">
      <c r="D27277" s="67"/>
      <c r="G27277" s="68"/>
      <c r="K27277" s="68"/>
    </row>
    <row r="27278" spans="4:11" ht="12.75">
      <c r="D27278" s="67"/>
      <c r="G27278" s="68"/>
      <c r="K27278" s="68"/>
    </row>
    <row r="27279" spans="4:11" ht="12.75">
      <c r="D27279" s="67"/>
      <c r="G27279" s="68"/>
      <c r="K27279" s="68"/>
    </row>
    <row r="27280" spans="4:11" ht="12.75">
      <c r="D27280" s="67"/>
      <c r="G27280" s="68"/>
      <c r="K27280" s="68"/>
    </row>
    <row r="27281" spans="4:11" ht="12.75">
      <c r="D27281" s="67"/>
      <c r="G27281" s="68"/>
      <c r="K27281" s="68"/>
    </row>
    <row r="27282" spans="4:11" ht="12.75">
      <c r="D27282" s="67"/>
      <c r="G27282" s="68"/>
      <c r="K27282" s="68"/>
    </row>
    <row r="27283" spans="4:11" ht="12.75">
      <c r="D27283" s="67"/>
      <c r="G27283" s="68"/>
      <c r="K27283" s="68"/>
    </row>
    <row r="27284" spans="4:11" ht="12.75">
      <c r="D27284" s="67"/>
      <c r="G27284" s="68"/>
      <c r="K27284" s="68"/>
    </row>
    <row r="27285" spans="4:11" ht="12.75">
      <c r="D27285" s="67"/>
      <c r="G27285" s="68"/>
      <c r="K27285" s="68"/>
    </row>
    <row r="27286" spans="4:11" ht="12.75">
      <c r="D27286" s="67"/>
      <c r="G27286" s="68"/>
      <c r="K27286" s="68"/>
    </row>
    <row r="27287" spans="4:11" ht="12.75">
      <c r="D27287" s="67"/>
      <c r="G27287" s="68"/>
      <c r="K27287" s="68"/>
    </row>
    <row r="27288" spans="4:11" ht="12.75">
      <c r="D27288" s="67"/>
      <c r="G27288" s="68"/>
      <c r="K27288" s="68"/>
    </row>
    <row r="27289" spans="4:11" ht="12.75">
      <c r="D27289" s="67"/>
      <c r="G27289" s="68"/>
      <c r="K27289" s="68"/>
    </row>
    <row r="27290" spans="4:11" ht="12.75">
      <c r="D27290" s="67"/>
      <c r="G27290" s="68"/>
      <c r="K27290" s="68"/>
    </row>
    <row r="27291" spans="4:11" ht="12.75">
      <c r="D27291" s="67"/>
      <c r="G27291" s="68"/>
      <c r="K27291" s="68"/>
    </row>
    <row r="27292" spans="4:11" ht="12.75">
      <c r="D27292" s="67"/>
      <c r="G27292" s="68"/>
      <c r="K27292" s="68"/>
    </row>
    <row r="27293" spans="4:11" ht="12.75">
      <c r="D27293" s="67"/>
      <c r="G27293" s="68"/>
      <c r="K27293" s="68"/>
    </row>
    <row r="27294" spans="4:11" ht="12.75">
      <c r="D27294" s="67"/>
      <c r="G27294" s="68"/>
      <c r="K27294" s="68"/>
    </row>
    <row r="27295" spans="4:11" ht="12.75">
      <c r="D27295" s="67"/>
      <c r="G27295" s="68"/>
      <c r="K27295" s="68"/>
    </row>
    <row r="27296" spans="4:11" ht="12.75">
      <c r="D27296" s="67"/>
      <c r="G27296" s="68"/>
      <c r="K27296" s="68"/>
    </row>
    <row r="27297" spans="4:11" ht="12.75">
      <c r="D27297" s="67"/>
      <c r="G27297" s="68"/>
      <c r="K27297" s="68"/>
    </row>
    <row r="27298" spans="4:11" ht="12.75">
      <c r="D27298" s="67"/>
      <c r="G27298" s="68"/>
      <c r="K27298" s="68"/>
    </row>
    <row r="27299" spans="4:11" ht="12.75">
      <c r="D27299" s="67"/>
      <c r="G27299" s="68"/>
      <c r="K27299" s="68"/>
    </row>
    <row r="27300" spans="4:11" ht="12.75">
      <c r="D27300" s="67"/>
      <c r="G27300" s="68"/>
      <c r="K27300" s="68"/>
    </row>
    <row r="27301" spans="4:11" ht="12.75">
      <c r="D27301" s="67"/>
      <c r="G27301" s="68"/>
      <c r="K27301" s="68"/>
    </row>
    <row r="27302" spans="4:11" ht="12.75">
      <c r="D27302" s="67"/>
      <c r="G27302" s="68"/>
      <c r="K27302" s="68"/>
    </row>
    <row r="27303" spans="4:11" ht="12.75">
      <c r="D27303" s="67"/>
      <c r="G27303" s="68"/>
      <c r="K27303" s="68"/>
    </row>
    <row r="27304" spans="4:11" ht="12.75">
      <c r="D27304" s="67"/>
      <c r="G27304" s="68"/>
      <c r="K27304" s="68"/>
    </row>
    <row r="27305" spans="4:11" ht="12.75">
      <c r="D27305" s="67"/>
      <c r="G27305" s="68"/>
      <c r="K27305" s="68"/>
    </row>
    <row r="27306" spans="4:11" ht="12.75">
      <c r="D27306" s="67"/>
      <c r="G27306" s="68"/>
      <c r="K27306" s="68"/>
    </row>
    <row r="27307" spans="4:11" ht="12.75">
      <c r="D27307" s="67"/>
      <c r="G27307" s="68"/>
      <c r="K27307" s="68"/>
    </row>
    <row r="27308" spans="4:11" ht="12.75">
      <c r="D27308" s="67"/>
      <c r="G27308" s="68"/>
      <c r="K27308" s="68"/>
    </row>
    <row r="27309" spans="4:11" ht="12.75">
      <c r="D27309" s="67"/>
      <c r="G27309" s="68"/>
      <c r="K27309" s="68"/>
    </row>
    <row r="27310" spans="4:11" ht="12.75">
      <c r="D27310" s="67"/>
      <c r="G27310" s="68"/>
      <c r="K27310" s="68"/>
    </row>
    <row r="27311" spans="4:11" ht="12.75">
      <c r="D27311" s="67"/>
      <c r="G27311" s="68"/>
      <c r="K27311" s="68"/>
    </row>
    <row r="27312" spans="4:11" ht="12.75">
      <c r="D27312" s="67"/>
      <c r="G27312" s="68"/>
      <c r="K27312" s="68"/>
    </row>
    <row r="27313" spans="4:11" ht="12.75">
      <c r="D27313" s="67"/>
      <c r="G27313" s="68"/>
      <c r="K27313" s="68"/>
    </row>
    <row r="27314" spans="4:11" ht="12.75">
      <c r="D27314" s="67"/>
      <c r="G27314" s="68"/>
      <c r="K27314" s="68"/>
    </row>
    <row r="27315" spans="4:11" ht="12.75">
      <c r="D27315" s="67"/>
      <c r="G27315" s="68"/>
      <c r="K27315" s="68"/>
    </row>
    <row r="27316" spans="4:11" ht="12.75">
      <c r="D27316" s="67"/>
      <c r="G27316" s="68"/>
      <c r="K27316" s="68"/>
    </row>
    <row r="27317" spans="4:11" ht="12.75">
      <c r="D27317" s="67"/>
      <c r="G27317" s="68"/>
      <c r="K27317" s="68"/>
    </row>
    <row r="27318" spans="4:11" ht="12.75">
      <c r="D27318" s="67"/>
      <c r="G27318" s="68"/>
      <c r="K27318" s="68"/>
    </row>
    <row r="27319" spans="4:11" ht="12.75">
      <c r="D27319" s="67"/>
      <c r="G27319" s="68"/>
      <c r="K27319" s="68"/>
    </row>
    <row r="27320" spans="4:11" ht="12.75">
      <c r="D27320" s="67"/>
      <c r="G27320" s="68"/>
      <c r="K27320" s="68"/>
    </row>
    <row r="27321" spans="4:11" ht="12.75">
      <c r="D27321" s="67"/>
      <c r="G27321" s="68"/>
      <c r="K27321" s="68"/>
    </row>
    <row r="27322" spans="4:11" ht="12.75">
      <c r="D27322" s="67"/>
      <c r="G27322" s="68"/>
      <c r="K27322" s="68"/>
    </row>
    <row r="27323" spans="4:11" ht="12.75">
      <c r="D27323" s="67"/>
      <c r="G27323" s="68"/>
      <c r="K27323" s="68"/>
    </row>
    <row r="27324" spans="4:11" ht="12.75">
      <c r="D27324" s="67"/>
      <c r="G27324" s="68"/>
      <c r="K27324" s="68"/>
    </row>
    <row r="27325" spans="4:11" ht="12.75">
      <c r="D27325" s="67"/>
      <c r="G27325" s="68"/>
      <c r="K27325" s="68"/>
    </row>
    <row r="27326" spans="4:11" ht="12.75">
      <c r="D27326" s="67"/>
      <c r="G27326" s="68"/>
      <c r="K27326" s="68"/>
    </row>
    <row r="27327" spans="4:11" ht="12.75">
      <c r="D27327" s="67"/>
      <c r="G27327" s="68"/>
      <c r="K27327" s="68"/>
    </row>
    <row r="27328" spans="4:11" ht="12.75">
      <c r="D27328" s="67"/>
      <c r="G27328" s="68"/>
      <c r="K27328" s="68"/>
    </row>
    <row r="27329" spans="4:11" ht="12.75">
      <c r="D27329" s="67"/>
      <c r="G27329" s="68"/>
      <c r="K27329" s="68"/>
    </row>
    <row r="27330" spans="4:11" ht="12.75">
      <c r="D27330" s="67"/>
      <c r="G27330" s="68"/>
      <c r="K27330" s="68"/>
    </row>
    <row r="27331" spans="4:11" ht="12.75">
      <c r="D27331" s="67"/>
      <c r="G27331" s="68"/>
      <c r="K27331" s="68"/>
    </row>
    <row r="27332" spans="4:11" ht="12.75">
      <c r="D27332" s="67"/>
      <c r="G27332" s="68"/>
      <c r="K27332" s="68"/>
    </row>
    <row r="27333" spans="4:11" ht="12.75">
      <c r="D27333" s="67"/>
      <c r="G27333" s="68"/>
      <c r="K27333" s="68"/>
    </row>
    <row r="27334" spans="4:11" ht="12.75">
      <c r="D27334" s="67"/>
      <c r="G27334" s="68"/>
      <c r="K27334" s="68"/>
    </row>
    <row r="27335" spans="4:11" ht="12.75">
      <c r="D27335" s="67"/>
      <c r="G27335" s="68"/>
      <c r="K27335" s="68"/>
    </row>
    <row r="27336" spans="4:11" ht="12.75">
      <c r="D27336" s="67"/>
      <c r="G27336" s="68"/>
      <c r="K27336" s="68"/>
    </row>
    <row r="27337" spans="4:11" ht="12.75">
      <c r="D27337" s="67"/>
      <c r="G27337" s="68"/>
      <c r="K27337" s="68"/>
    </row>
    <row r="27338" spans="4:11" ht="12.75">
      <c r="D27338" s="67"/>
      <c r="G27338" s="68"/>
      <c r="K27338" s="68"/>
    </row>
    <row r="27339" spans="4:11" ht="12.75">
      <c r="D27339" s="67"/>
      <c r="G27339" s="68"/>
      <c r="K27339" s="68"/>
    </row>
    <row r="27340" spans="4:11" ht="12.75">
      <c r="D27340" s="67"/>
      <c r="G27340" s="68"/>
      <c r="K27340" s="68"/>
    </row>
    <row r="27341" spans="4:11" ht="12.75">
      <c r="D27341" s="67"/>
      <c r="G27341" s="68"/>
      <c r="K27341" s="68"/>
    </row>
    <row r="27342" spans="4:11" ht="12.75">
      <c r="D27342" s="67"/>
      <c r="G27342" s="68"/>
      <c r="K27342" s="68"/>
    </row>
    <row r="27343" spans="4:11" ht="12.75">
      <c r="D27343" s="67"/>
      <c r="G27343" s="68"/>
      <c r="K27343" s="68"/>
    </row>
    <row r="27344" spans="4:11" ht="12.75">
      <c r="D27344" s="67"/>
      <c r="G27344" s="68"/>
      <c r="K27344" s="68"/>
    </row>
    <row r="27345" spans="4:11" ht="12.75">
      <c r="D27345" s="67"/>
      <c r="G27345" s="68"/>
      <c r="K27345" s="68"/>
    </row>
    <row r="27346" spans="4:11" ht="12.75">
      <c r="D27346" s="67"/>
      <c r="G27346" s="68"/>
      <c r="K27346" s="68"/>
    </row>
    <row r="27347" spans="4:11" ht="12.75">
      <c r="D27347" s="67"/>
      <c r="G27347" s="68"/>
      <c r="K27347" s="68"/>
    </row>
    <row r="27348" spans="4:11" ht="12.75">
      <c r="D27348" s="67"/>
      <c r="G27348" s="68"/>
      <c r="K27348" s="68"/>
    </row>
    <row r="27349" spans="4:11" ht="12.75">
      <c r="D27349" s="67"/>
      <c r="G27349" s="68"/>
      <c r="K27349" s="68"/>
    </row>
    <row r="27350" spans="4:11" ht="12.75">
      <c r="D27350" s="67"/>
      <c r="G27350" s="68"/>
      <c r="K27350" s="68"/>
    </row>
    <row r="27351" spans="4:11" ht="12.75">
      <c r="D27351" s="67"/>
      <c r="G27351" s="68"/>
      <c r="K27351" s="68"/>
    </row>
    <row r="27352" spans="4:11" ht="12.75">
      <c r="D27352" s="67"/>
      <c r="G27352" s="68"/>
      <c r="K27352" s="68"/>
    </row>
    <row r="27353" spans="4:11" ht="12.75">
      <c r="D27353" s="67"/>
      <c r="G27353" s="68"/>
      <c r="K27353" s="68"/>
    </row>
    <row r="27354" spans="4:11" ht="12.75">
      <c r="D27354" s="67"/>
      <c r="G27354" s="68"/>
      <c r="K27354" s="68"/>
    </row>
    <row r="27355" spans="4:11" ht="12.75">
      <c r="D27355" s="67"/>
      <c r="G27355" s="68"/>
      <c r="K27355" s="68"/>
    </row>
    <row r="27356" spans="4:11" ht="12.75">
      <c r="D27356" s="67"/>
      <c r="G27356" s="68"/>
      <c r="K27356" s="68"/>
    </row>
    <row r="27357" spans="4:11" ht="12.75">
      <c r="D27357" s="67"/>
      <c r="G27357" s="68"/>
      <c r="K27357" s="68"/>
    </row>
    <row r="27358" spans="4:11" ht="12.75">
      <c r="D27358" s="67"/>
      <c r="G27358" s="68"/>
      <c r="K27358" s="68"/>
    </row>
    <row r="27359" spans="4:11" ht="12.75">
      <c r="D27359" s="67"/>
      <c r="G27359" s="68"/>
      <c r="K27359" s="68"/>
    </row>
    <row r="27360" spans="4:11" ht="12.75">
      <c r="D27360" s="67"/>
      <c r="G27360" s="68"/>
      <c r="K27360" s="68"/>
    </row>
    <row r="27361" spans="4:11" ht="12.75">
      <c r="D27361" s="67"/>
      <c r="G27361" s="68"/>
      <c r="K27361" s="68"/>
    </row>
    <row r="27362" spans="4:11" ht="12.75">
      <c r="D27362" s="67"/>
      <c r="G27362" s="68"/>
      <c r="K27362" s="68"/>
    </row>
    <row r="27363" spans="4:11" ht="12.75">
      <c r="D27363" s="67"/>
      <c r="G27363" s="68"/>
      <c r="K27363" s="68"/>
    </row>
    <row r="27364" spans="4:11" ht="12.75">
      <c r="D27364" s="67"/>
      <c r="G27364" s="68"/>
      <c r="K27364" s="68"/>
    </row>
    <row r="27365" spans="4:11" ht="12.75">
      <c r="D27365" s="67"/>
      <c r="G27365" s="68"/>
      <c r="K27365" s="68"/>
    </row>
    <row r="27366" spans="4:11" ht="12.75">
      <c r="D27366" s="67"/>
      <c r="G27366" s="68"/>
      <c r="K27366" s="68"/>
    </row>
    <row r="27367" spans="4:11" ht="12.75">
      <c r="D27367" s="67"/>
      <c r="G27367" s="68"/>
      <c r="K27367" s="68"/>
    </row>
    <row r="27368" spans="4:11" ht="12.75">
      <c r="D27368" s="67"/>
      <c r="G27368" s="68"/>
      <c r="K27368" s="68"/>
    </row>
    <row r="27369" spans="4:11" ht="12.75">
      <c r="D27369" s="67"/>
      <c r="G27369" s="68"/>
      <c r="K27369" s="68"/>
    </row>
    <row r="27370" spans="4:11" ht="12.75">
      <c r="D27370" s="67"/>
      <c r="G27370" s="68"/>
      <c r="K27370" s="68"/>
    </row>
    <row r="27371" spans="4:11" ht="12.75">
      <c r="D27371" s="67"/>
      <c r="G27371" s="68"/>
      <c r="K27371" s="68"/>
    </row>
    <row r="27372" spans="4:11" ht="12.75">
      <c r="D27372" s="67"/>
      <c r="G27372" s="68"/>
      <c r="K27372" s="68"/>
    </row>
    <row r="27373" spans="4:11" ht="12.75">
      <c r="D27373" s="67"/>
      <c r="G27373" s="68"/>
      <c r="K27373" s="68"/>
    </row>
    <row r="27374" spans="4:11" ht="12.75">
      <c r="D27374" s="67"/>
      <c r="G27374" s="68"/>
      <c r="K27374" s="68"/>
    </row>
    <row r="27375" spans="4:11" ht="12.75">
      <c r="D27375" s="67"/>
      <c r="G27375" s="68"/>
      <c r="K27375" s="68"/>
    </row>
    <row r="27376" spans="4:11" ht="12.75">
      <c r="D27376" s="67"/>
      <c r="G27376" s="68"/>
      <c r="K27376" s="68"/>
    </row>
    <row r="27377" spans="4:11" ht="12.75">
      <c r="D27377" s="67"/>
      <c r="G27377" s="68"/>
      <c r="K27377" s="68"/>
    </row>
    <row r="27378" spans="4:11" ht="12.75">
      <c r="D27378" s="67"/>
      <c r="G27378" s="68"/>
      <c r="K27378" s="68"/>
    </row>
    <row r="27379" spans="4:11" ht="12.75">
      <c r="D27379" s="67"/>
      <c r="G27379" s="68"/>
      <c r="K27379" s="68"/>
    </row>
    <row r="27380" spans="4:11" ht="12.75">
      <c r="D27380" s="67"/>
      <c r="G27380" s="68"/>
      <c r="K27380" s="68"/>
    </row>
    <row r="27381" spans="4:11" ht="12.75">
      <c r="D27381" s="67"/>
      <c r="G27381" s="68"/>
      <c r="K27381" s="68"/>
    </row>
    <row r="27382" spans="4:11" ht="12.75">
      <c r="D27382" s="67"/>
      <c r="G27382" s="68"/>
      <c r="K27382" s="68"/>
    </row>
    <row r="27383" spans="4:11" ht="12.75">
      <c r="D27383" s="67"/>
      <c r="G27383" s="68"/>
      <c r="K27383" s="68"/>
    </row>
    <row r="27384" spans="4:11" ht="12.75">
      <c r="D27384" s="67"/>
      <c r="G27384" s="68"/>
      <c r="K27384" s="68"/>
    </row>
    <row r="27385" spans="4:11" ht="12.75">
      <c r="D27385" s="67"/>
      <c r="G27385" s="68"/>
      <c r="K27385" s="68"/>
    </row>
    <row r="27386" spans="4:11" ht="12.75">
      <c r="D27386" s="67"/>
      <c r="G27386" s="68"/>
      <c r="K27386" s="68"/>
    </row>
    <row r="27387" spans="4:11" ht="12.75">
      <c r="D27387" s="67"/>
      <c r="G27387" s="68"/>
      <c r="K27387" s="68"/>
    </row>
    <row r="27388" spans="4:11" ht="12.75">
      <c r="D27388" s="67"/>
      <c r="G27388" s="68"/>
      <c r="K27388" s="68"/>
    </row>
    <row r="27389" spans="4:11" ht="12.75">
      <c r="D27389" s="67"/>
      <c r="G27389" s="68"/>
      <c r="K27389" s="68"/>
    </row>
    <row r="27390" spans="4:11" ht="12.75">
      <c r="D27390" s="67"/>
      <c r="G27390" s="68"/>
      <c r="K27390" s="68"/>
    </row>
    <row r="27391" spans="4:11" ht="12.75">
      <c r="D27391" s="67"/>
      <c r="G27391" s="68"/>
      <c r="K27391" s="68"/>
    </row>
    <row r="27392" spans="4:11" ht="12.75">
      <c r="D27392" s="67"/>
      <c r="G27392" s="68"/>
      <c r="K27392" s="68"/>
    </row>
    <row r="27393" spans="4:11" ht="12.75">
      <c r="D27393" s="67"/>
      <c r="G27393" s="68"/>
      <c r="K27393" s="68"/>
    </row>
    <row r="27394" spans="4:11" ht="12.75">
      <c r="D27394" s="67"/>
      <c r="G27394" s="68"/>
      <c r="K27394" s="68"/>
    </row>
    <row r="27395" spans="4:11" ht="12.75">
      <c r="D27395" s="67"/>
      <c r="G27395" s="68"/>
      <c r="K27395" s="68"/>
    </row>
    <row r="27396" spans="4:11" ht="12.75">
      <c r="D27396" s="67"/>
      <c r="G27396" s="68"/>
      <c r="K27396" s="68"/>
    </row>
    <row r="27397" spans="4:11" ht="12.75">
      <c r="D27397" s="67"/>
      <c r="G27397" s="68"/>
      <c r="K27397" s="68"/>
    </row>
    <row r="27398" spans="4:11" ht="12.75">
      <c r="D27398" s="67"/>
      <c r="G27398" s="68"/>
      <c r="K27398" s="68"/>
    </row>
    <row r="27399" spans="4:11" ht="12.75">
      <c r="D27399" s="67"/>
      <c r="G27399" s="68"/>
      <c r="K27399" s="68"/>
    </row>
    <row r="27400" spans="4:11" ht="12.75">
      <c r="D27400" s="67"/>
      <c r="G27400" s="68"/>
      <c r="K27400" s="68"/>
    </row>
    <row r="27401" spans="4:11" ht="12.75">
      <c r="D27401" s="67"/>
      <c r="G27401" s="68"/>
      <c r="K27401" s="68"/>
    </row>
    <row r="27402" spans="4:11" ht="12.75">
      <c r="D27402" s="67"/>
      <c r="G27402" s="68"/>
      <c r="K27402" s="68"/>
    </row>
    <row r="27403" spans="4:11" ht="12.75">
      <c r="D27403" s="67"/>
      <c r="G27403" s="68"/>
      <c r="K27403" s="68"/>
    </row>
    <row r="27404" spans="4:11" ht="12.75">
      <c r="D27404" s="67"/>
      <c r="G27404" s="68"/>
      <c r="K27404" s="68"/>
    </row>
    <row r="27405" spans="4:11" ht="12.75">
      <c r="D27405" s="67"/>
      <c r="G27405" s="68"/>
      <c r="K27405" s="68"/>
    </row>
    <row r="27406" spans="4:11" ht="12.75">
      <c r="D27406" s="67"/>
      <c r="G27406" s="68"/>
      <c r="K27406" s="68"/>
    </row>
    <row r="27407" spans="4:11" ht="12.75">
      <c r="D27407" s="67"/>
      <c r="G27407" s="68"/>
      <c r="K27407" s="68"/>
    </row>
    <row r="27408" spans="4:11" ht="12.75">
      <c r="D27408" s="67"/>
      <c r="G27408" s="68"/>
      <c r="K27408" s="68"/>
    </row>
    <row r="27409" spans="4:11" ht="12.75">
      <c r="D27409" s="67"/>
      <c r="G27409" s="68"/>
      <c r="K27409" s="68"/>
    </row>
    <row r="27410" spans="4:11" ht="12.75">
      <c r="D27410" s="67"/>
      <c r="G27410" s="68"/>
      <c r="K27410" s="68"/>
    </row>
    <row r="27411" spans="4:11" ht="12.75">
      <c r="D27411" s="67"/>
      <c r="G27411" s="68"/>
      <c r="K27411" s="68"/>
    </row>
    <row r="27412" spans="4:11" ht="12.75">
      <c r="D27412" s="67"/>
      <c r="G27412" s="68"/>
      <c r="K27412" s="68"/>
    </row>
    <row r="27413" spans="4:11" ht="12.75">
      <c r="D27413" s="67"/>
      <c r="G27413" s="68"/>
      <c r="K27413" s="68"/>
    </row>
    <row r="27414" spans="4:11" ht="12.75">
      <c r="D27414" s="67"/>
      <c r="G27414" s="68"/>
      <c r="K27414" s="68"/>
    </row>
    <row r="27415" spans="4:11" ht="12.75">
      <c r="D27415" s="67"/>
      <c r="G27415" s="68"/>
      <c r="K27415" s="68"/>
    </row>
    <row r="27416" spans="4:11" ht="12.75">
      <c r="D27416" s="67"/>
      <c r="G27416" s="68"/>
      <c r="K27416" s="68"/>
    </row>
    <row r="27417" spans="4:11" ht="12.75">
      <c r="D27417" s="67"/>
      <c r="G27417" s="68"/>
      <c r="K27417" s="68"/>
    </row>
    <row r="27418" spans="4:11" ht="12.75">
      <c r="D27418" s="67"/>
      <c r="G27418" s="68"/>
      <c r="K27418" s="68"/>
    </row>
    <row r="27419" spans="4:11" ht="12.75">
      <c r="D27419" s="67"/>
      <c r="G27419" s="68"/>
      <c r="K27419" s="68"/>
    </row>
    <row r="27420" spans="4:11" ht="12.75">
      <c r="D27420" s="67"/>
      <c r="G27420" s="68"/>
      <c r="K27420" s="68"/>
    </row>
    <row r="27421" spans="4:11" ht="12.75">
      <c r="D27421" s="67"/>
      <c r="G27421" s="68"/>
      <c r="K27421" s="68"/>
    </row>
    <row r="27422" spans="4:11" ht="12.75">
      <c r="D27422" s="67"/>
      <c r="G27422" s="68"/>
      <c r="K27422" s="68"/>
    </row>
    <row r="27423" spans="4:11" ht="12.75">
      <c r="D27423" s="67"/>
      <c r="G27423" s="68"/>
      <c r="K27423" s="68"/>
    </row>
    <row r="27424" spans="4:11" ht="12.75">
      <c r="D27424" s="67"/>
      <c r="G27424" s="68"/>
      <c r="K27424" s="68"/>
    </row>
    <row r="27425" spans="4:11" ht="12.75">
      <c r="D27425" s="67"/>
      <c r="G27425" s="68"/>
      <c r="K27425" s="68"/>
    </row>
    <row r="27426" spans="4:11" ht="12.75">
      <c r="D27426" s="67"/>
      <c r="G27426" s="68"/>
      <c r="K27426" s="68"/>
    </row>
    <row r="27427" spans="4:11" ht="12.75">
      <c r="D27427" s="67"/>
      <c r="G27427" s="68"/>
      <c r="K27427" s="68"/>
    </row>
    <row r="27428" spans="4:11" ht="12.75">
      <c r="D27428" s="67"/>
      <c r="G27428" s="68"/>
      <c r="K27428" s="68"/>
    </row>
    <row r="27429" spans="4:11" ht="12.75">
      <c r="D27429" s="67"/>
      <c r="G27429" s="68"/>
      <c r="K27429" s="68"/>
    </row>
    <row r="27430" spans="4:11" ht="12.75">
      <c r="D27430" s="67"/>
      <c r="G27430" s="68"/>
      <c r="K27430" s="68"/>
    </row>
    <row r="27431" spans="4:11" ht="12.75">
      <c r="D27431" s="67"/>
      <c r="G27431" s="68"/>
      <c r="K27431" s="68"/>
    </row>
    <row r="27432" spans="4:11" ht="12.75">
      <c r="D27432" s="67"/>
      <c r="G27432" s="68"/>
      <c r="K27432" s="68"/>
    </row>
    <row r="27433" spans="4:11" ht="12.75">
      <c r="D27433" s="67"/>
      <c r="G27433" s="68"/>
      <c r="K27433" s="68"/>
    </row>
    <row r="27434" spans="4:11" ht="12.75">
      <c r="D27434" s="67"/>
      <c r="G27434" s="68"/>
      <c r="K27434" s="68"/>
    </row>
    <row r="27435" spans="4:11" ht="12.75">
      <c r="D27435" s="67"/>
      <c r="G27435" s="68"/>
      <c r="K27435" s="68"/>
    </row>
    <row r="27436" spans="4:11" ht="12.75">
      <c r="D27436" s="67"/>
      <c r="G27436" s="68"/>
      <c r="K27436" s="68"/>
    </row>
    <row r="27437" spans="4:11" ht="12.75">
      <c r="D27437" s="67"/>
      <c r="G27437" s="68"/>
      <c r="K27437" s="68"/>
    </row>
    <row r="27438" spans="4:11" ht="12.75">
      <c r="D27438" s="67"/>
      <c r="G27438" s="68"/>
      <c r="K27438" s="68"/>
    </row>
    <row r="27439" spans="4:11" ht="12.75">
      <c r="D27439" s="67"/>
      <c r="G27439" s="68"/>
      <c r="K27439" s="68"/>
    </row>
    <row r="27440" spans="4:11" ht="12.75">
      <c r="D27440" s="67"/>
      <c r="G27440" s="68"/>
      <c r="K27440" s="68"/>
    </row>
    <row r="27441" spans="4:11" ht="12.75">
      <c r="D27441" s="67"/>
      <c r="G27441" s="68"/>
      <c r="K27441" s="68"/>
    </row>
    <row r="27442" spans="4:11" ht="12.75">
      <c r="D27442" s="67"/>
      <c r="G27442" s="68"/>
      <c r="K27442" s="68"/>
    </row>
    <row r="27443" spans="4:11" ht="12.75">
      <c r="D27443" s="67"/>
      <c r="G27443" s="68"/>
      <c r="K27443" s="68"/>
    </row>
    <row r="27444" spans="4:11" ht="12.75">
      <c r="D27444" s="67"/>
      <c r="G27444" s="68"/>
      <c r="K27444" s="68"/>
    </row>
    <row r="27445" spans="4:11" ht="12.75">
      <c r="D27445" s="67"/>
      <c r="G27445" s="68"/>
      <c r="K27445" s="68"/>
    </row>
    <row r="27446" spans="4:11" ht="12.75">
      <c r="D27446" s="67"/>
      <c r="G27446" s="68"/>
      <c r="K27446" s="68"/>
    </row>
    <row r="27447" spans="4:11" ht="12.75">
      <c r="D27447" s="67"/>
      <c r="G27447" s="68"/>
      <c r="K27447" s="68"/>
    </row>
    <row r="27448" spans="4:11" ht="12.75">
      <c r="D27448" s="67"/>
      <c r="G27448" s="68"/>
      <c r="K27448" s="68"/>
    </row>
    <row r="27449" spans="4:11" ht="12.75">
      <c r="D27449" s="67"/>
      <c r="G27449" s="68"/>
      <c r="K27449" s="68"/>
    </row>
    <row r="27450" spans="4:11" ht="12.75">
      <c r="D27450" s="67"/>
      <c r="G27450" s="68"/>
      <c r="K27450" s="68"/>
    </row>
    <row r="27451" spans="4:11" ht="12.75">
      <c r="D27451" s="67"/>
      <c r="G27451" s="68"/>
      <c r="K27451" s="68"/>
    </row>
    <row r="27452" spans="4:11" ht="12.75">
      <c r="D27452" s="67"/>
      <c r="G27452" s="68"/>
      <c r="K27452" s="68"/>
    </row>
    <row r="27453" spans="4:11" ht="12.75">
      <c r="D27453" s="67"/>
      <c r="G27453" s="68"/>
      <c r="K27453" s="68"/>
    </row>
    <row r="27454" spans="4:11" ht="12.75">
      <c r="D27454" s="67"/>
      <c r="G27454" s="68"/>
      <c r="K27454" s="68"/>
    </row>
    <row r="27455" spans="4:11" ht="12.75">
      <c r="D27455" s="67"/>
      <c r="G27455" s="68"/>
      <c r="K27455" s="68"/>
    </row>
    <row r="27456" spans="4:11" ht="12.75">
      <c r="D27456" s="67"/>
      <c r="G27456" s="68"/>
      <c r="K27456" s="68"/>
    </row>
    <row r="27457" spans="4:11" ht="12.75">
      <c r="D27457" s="67"/>
      <c r="G27457" s="68"/>
      <c r="K27457" s="68"/>
    </row>
    <row r="27458" spans="4:11" ht="12.75">
      <c r="D27458" s="67"/>
      <c r="G27458" s="68"/>
      <c r="K27458" s="68"/>
    </row>
    <row r="27459" spans="4:11" ht="12.75">
      <c r="D27459" s="67"/>
      <c r="G27459" s="68"/>
      <c r="K27459" s="68"/>
    </row>
    <row r="27460" spans="4:11" ht="12.75">
      <c r="D27460" s="67"/>
      <c r="G27460" s="68"/>
      <c r="K27460" s="68"/>
    </row>
    <row r="27461" spans="4:11" ht="12.75">
      <c r="D27461" s="67"/>
      <c r="G27461" s="68"/>
      <c r="K27461" s="68"/>
    </row>
    <row r="27462" spans="4:11" ht="12.75">
      <c r="D27462" s="67"/>
      <c r="G27462" s="68"/>
      <c r="K27462" s="68"/>
    </row>
    <row r="27463" spans="4:11" ht="12.75">
      <c r="D27463" s="67"/>
      <c r="G27463" s="68"/>
      <c r="K27463" s="68"/>
    </row>
    <row r="27464" spans="4:11" ht="12.75">
      <c r="D27464" s="67"/>
      <c r="G27464" s="68"/>
      <c r="K27464" s="68"/>
    </row>
    <row r="27465" spans="4:11" ht="12.75">
      <c r="D27465" s="67"/>
      <c r="G27465" s="68"/>
      <c r="K27465" s="68"/>
    </row>
    <row r="27466" spans="4:11" ht="12.75">
      <c r="D27466" s="67"/>
      <c r="G27466" s="68"/>
      <c r="K27466" s="68"/>
    </row>
    <row r="27467" spans="4:11" ht="12.75">
      <c r="D27467" s="67"/>
      <c r="G27467" s="68"/>
      <c r="K27467" s="68"/>
    </row>
    <row r="27468" spans="4:11" ht="12.75">
      <c r="D27468" s="67"/>
      <c r="G27468" s="68"/>
      <c r="K27468" s="68"/>
    </row>
    <row r="27469" spans="4:11" ht="12.75">
      <c r="D27469" s="67"/>
      <c r="G27469" s="68"/>
      <c r="K27469" s="68"/>
    </row>
    <row r="27470" spans="4:11" ht="12.75">
      <c r="D27470" s="67"/>
      <c r="G27470" s="68"/>
      <c r="K27470" s="68"/>
    </row>
    <row r="27471" spans="4:11" ht="12.75">
      <c r="D27471" s="67"/>
      <c r="G27471" s="68"/>
      <c r="K27471" s="68"/>
    </row>
    <row r="27472" spans="4:11" ht="12.75">
      <c r="D27472" s="67"/>
      <c r="G27472" s="68"/>
      <c r="K27472" s="68"/>
    </row>
    <row r="27473" spans="4:11" ht="12.75">
      <c r="D27473" s="67"/>
      <c r="G27473" s="68"/>
      <c r="K27473" s="68"/>
    </row>
    <row r="27474" spans="4:11" ht="12.75">
      <c r="D27474" s="67"/>
      <c r="G27474" s="68"/>
      <c r="K27474" s="68"/>
    </row>
    <row r="27475" spans="4:11" ht="12.75">
      <c r="D27475" s="67"/>
      <c r="G27475" s="68"/>
      <c r="K27475" s="68"/>
    </row>
    <row r="27476" spans="4:11" ht="12.75">
      <c r="D27476" s="67"/>
      <c r="G27476" s="68"/>
      <c r="K27476" s="68"/>
    </row>
    <row r="27477" spans="4:11" ht="12.75">
      <c r="D27477" s="67"/>
      <c r="G27477" s="68"/>
      <c r="K27477" s="68"/>
    </row>
    <row r="27478" spans="4:11" ht="12.75">
      <c r="D27478" s="67"/>
      <c r="G27478" s="68"/>
      <c r="K27478" s="68"/>
    </row>
    <row r="27479" spans="4:11" ht="12.75">
      <c r="D27479" s="67"/>
      <c r="G27479" s="68"/>
      <c r="K27479" s="68"/>
    </row>
    <row r="27480" spans="4:11" ht="12.75">
      <c r="D27480" s="67"/>
      <c r="G27480" s="68"/>
      <c r="K27480" s="68"/>
    </row>
    <row r="27481" spans="4:11" ht="12.75">
      <c r="D27481" s="67"/>
      <c r="G27481" s="68"/>
      <c r="K27481" s="68"/>
    </row>
    <row r="27482" spans="4:11" ht="12.75">
      <c r="D27482" s="67"/>
      <c r="G27482" s="68"/>
      <c r="K27482" s="68"/>
    </row>
    <row r="27483" spans="4:11" ht="12.75">
      <c r="D27483" s="67"/>
      <c r="G27483" s="68"/>
      <c r="K27483" s="68"/>
    </row>
    <row r="27484" spans="4:11" ht="12.75">
      <c r="D27484" s="67"/>
      <c r="G27484" s="68"/>
      <c r="K27484" s="68"/>
    </row>
    <row r="27485" spans="4:11" ht="12.75">
      <c r="D27485" s="67"/>
      <c r="G27485" s="68"/>
      <c r="K27485" s="68"/>
    </row>
    <row r="27486" spans="4:11" ht="12.75">
      <c r="D27486" s="67"/>
      <c r="G27486" s="68"/>
      <c r="K27486" s="68"/>
    </row>
    <row r="27487" spans="4:11" ht="12.75">
      <c r="D27487" s="67"/>
      <c r="G27487" s="68"/>
      <c r="K27487" s="68"/>
    </row>
    <row r="27488" spans="4:11" ht="12.75">
      <c r="D27488" s="67"/>
      <c r="G27488" s="68"/>
      <c r="K27488" s="68"/>
    </row>
    <row r="27489" spans="4:11" ht="12.75">
      <c r="D27489" s="67"/>
      <c r="G27489" s="68"/>
      <c r="K27489" s="68"/>
    </row>
    <row r="27490" spans="4:11" ht="12.75">
      <c r="D27490" s="67"/>
      <c r="G27490" s="68"/>
      <c r="K27490" s="68"/>
    </row>
    <row r="27491" spans="4:11" ht="12.75">
      <c r="D27491" s="67"/>
      <c r="G27491" s="68"/>
      <c r="K27491" s="68"/>
    </row>
    <row r="27492" spans="4:11" ht="12.75">
      <c r="D27492" s="67"/>
      <c r="G27492" s="68"/>
      <c r="K27492" s="68"/>
    </row>
    <row r="27493" spans="4:11" ht="12.75">
      <c r="D27493" s="67"/>
      <c r="G27493" s="68"/>
      <c r="K27493" s="68"/>
    </row>
    <row r="27494" spans="4:11" ht="12.75">
      <c r="D27494" s="67"/>
      <c r="G27494" s="68"/>
      <c r="K27494" s="68"/>
    </row>
    <row r="27495" spans="4:11" ht="12.75">
      <c r="D27495" s="67"/>
      <c r="G27495" s="68"/>
      <c r="K27495" s="68"/>
    </row>
    <row r="27496" spans="4:11" ht="12.75">
      <c r="D27496" s="67"/>
      <c r="G27496" s="68"/>
      <c r="K27496" s="68"/>
    </row>
    <row r="27497" spans="4:11" ht="12.75">
      <c r="D27497" s="67"/>
      <c r="G27497" s="68"/>
      <c r="K27497" s="68"/>
    </row>
    <row r="27498" spans="4:11" ht="12.75">
      <c r="D27498" s="67"/>
      <c r="G27498" s="68"/>
      <c r="K27498" s="68"/>
    </row>
    <row r="27499" spans="4:11" ht="12.75">
      <c r="D27499" s="67"/>
      <c r="G27499" s="68"/>
      <c r="K27499" s="68"/>
    </row>
    <row r="27500" spans="4:11" ht="12.75">
      <c r="D27500" s="67"/>
      <c r="G27500" s="68"/>
      <c r="K27500" s="68"/>
    </row>
    <row r="27501" spans="4:11" ht="12.75">
      <c r="D27501" s="67"/>
      <c r="G27501" s="68"/>
      <c r="K27501" s="68"/>
    </row>
    <row r="27502" spans="4:11" ht="12.75">
      <c r="D27502" s="67"/>
      <c r="G27502" s="68"/>
      <c r="K27502" s="68"/>
    </row>
    <row r="27503" spans="4:11" ht="12.75">
      <c r="D27503" s="67"/>
      <c r="G27503" s="68"/>
      <c r="K27503" s="68"/>
    </row>
    <row r="27504" spans="4:11" ht="12.75">
      <c r="D27504" s="67"/>
      <c r="G27504" s="68"/>
      <c r="K27504" s="68"/>
    </row>
    <row r="27505" spans="4:11" ht="12.75">
      <c r="D27505" s="67"/>
      <c r="G27505" s="68"/>
      <c r="K27505" s="68"/>
    </row>
    <row r="27506" spans="4:11" ht="12.75">
      <c r="D27506" s="67"/>
      <c r="G27506" s="68"/>
      <c r="K27506" s="68"/>
    </row>
    <row r="27507" spans="4:11" ht="12.75">
      <c r="D27507" s="67"/>
      <c r="G27507" s="68"/>
      <c r="K27507" s="68"/>
    </row>
    <row r="27508" spans="4:11" ht="12.75">
      <c r="D27508" s="67"/>
      <c r="G27508" s="68"/>
      <c r="K27508" s="68"/>
    </row>
    <row r="27509" spans="4:11" ht="12.75">
      <c r="D27509" s="67"/>
      <c r="G27509" s="68"/>
      <c r="K27509" s="68"/>
    </row>
    <row r="27510" spans="4:11" ht="12.75">
      <c r="D27510" s="67"/>
      <c r="G27510" s="68"/>
      <c r="K27510" s="68"/>
    </row>
    <row r="27511" spans="4:11" ht="12.75">
      <c r="D27511" s="67"/>
      <c r="G27511" s="68"/>
      <c r="K27511" s="68"/>
    </row>
    <row r="27512" spans="4:11" ht="12.75">
      <c r="D27512" s="67"/>
      <c r="G27512" s="68"/>
      <c r="K27512" s="68"/>
    </row>
    <row r="27513" spans="4:11" ht="12.75">
      <c r="D27513" s="67"/>
      <c r="G27513" s="68"/>
      <c r="K27513" s="68"/>
    </row>
    <row r="27514" spans="4:11" ht="12.75">
      <c r="D27514" s="67"/>
      <c r="G27514" s="68"/>
      <c r="K27514" s="68"/>
    </row>
    <row r="27515" spans="4:11" ht="12.75">
      <c r="D27515" s="67"/>
      <c r="G27515" s="68"/>
      <c r="K27515" s="68"/>
    </row>
    <row r="27516" spans="4:11" ht="12.75">
      <c r="D27516" s="67"/>
      <c r="G27516" s="68"/>
      <c r="K27516" s="68"/>
    </row>
    <row r="27517" spans="4:11" ht="12.75">
      <c r="D27517" s="67"/>
      <c r="G27517" s="68"/>
      <c r="K27517" s="68"/>
    </row>
    <row r="27518" spans="4:11" ht="12.75">
      <c r="D27518" s="67"/>
      <c r="G27518" s="68"/>
      <c r="K27518" s="68"/>
    </row>
    <row r="27519" spans="4:11" ht="12.75">
      <c r="D27519" s="67"/>
      <c r="G27519" s="68"/>
      <c r="K27519" s="68"/>
    </row>
    <row r="27520" spans="4:11" ht="12.75">
      <c r="D27520" s="67"/>
      <c r="G27520" s="68"/>
      <c r="K27520" s="68"/>
    </row>
    <row r="27521" spans="4:11" ht="12.75">
      <c r="D27521" s="67"/>
      <c r="G27521" s="68"/>
      <c r="K27521" s="68"/>
    </row>
    <row r="27522" spans="4:11" ht="12.75">
      <c r="D27522" s="67"/>
      <c r="G27522" s="68"/>
      <c r="K27522" s="68"/>
    </row>
    <row r="27523" spans="4:11" ht="12.75">
      <c r="D27523" s="67"/>
      <c r="G27523" s="68"/>
      <c r="K27523" s="68"/>
    </row>
    <row r="27524" spans="4:11" ht="12.75">
      <c r="D27524" s="67"/>
      <c r="G27524" s="68"/>
      <c r="K27524" s="68"/>
    </row>
    <row r="27525" spans="4:11" ht="12.75">
      <c r="D27525" s="67"/>
      <c r="G27525" s="68"/>
      <c r="K27525" s="68"/>
    </row>
    <row r="27526" spans="4:11" ht="12.75">
      <c r="D27526" s="67"/>
      <c r="G27526" s="68"/>
      <c r="K27526" s="68"/>
    </row>
    <row r="27527" spans="4:11" ht="12.75">
      <c r="D27527" s="67"/>
      <c r="G27527" s="68"/>
      <c r="K27527" s="68"/>
    </row>
    <row r="27528" spans="4:11" ht="12.75">
      <c r="D27528" s="67"/>
      <c r="G27528" s="68"/>
      <c r="K27528" s="68"/>
    </row>
    <row r="27529" spans="4:11" ht="12.75">
      <c r="D27529" s="67"/>
      <c r="G27529" s="68"/>
      <c r="K27529" s="68"/>
    </row>
    <row r="27530" spans="4:11" ht="12.75">
      <c r="D27530" s="67"/>
      <c r="G27530" s="68"/>
      <c r="K27530" s="68"/>
    </row>
    <row r="27531" spans="4:11" ht="12.75">
      <c r="D27531" s="67"/>
      <c r="G27531" s="68"/>
      <c r="K27531" s="68"/>
    </row>
    <row r="27532" spans="4:11" ht="12.75">
      <c r="D27532" s="67"/>
      <c r="G27532" s="68"/>
      <c r="K27532" s="68"/>
    </row>
    <row r="27533" spans="4:11" ht="12.75">
      <c r="D27533" s="67"/>
      <c r="G27533" s="68"/>
      <c r="K27533" s="68"/>
    </row>
    <row r="27534" spans="4:11" ht="12.75">
      <c r="D27534" s="67"/>
      <c r="G27534" s="68"/>
      <c r="K27534" s="68"/>
    </row>
    <row r="27535" spans="4:11" ht="12.75">
      <c r="D27535" s="67"/>
      <c r="G27535" s="68"/>
      <c r="K27535" s="68"/>
    </row>
    <row r="27536" spans="4:11" ht="12.75">
      <c r="D27536" s="67"/>
      <c r="G27536" s="68"/>
      <c r="K27536" s="68"/>
    </row>
    <row r="27537" spans="4:11" ht="12.75">
      <c r="D27537" s="67"/>
      <c r="G27537" s="68"/>
      <c r="K27537" s="68"/>
    </row>
    <row r="27538" spans="4:11" ht="12.75">
      <c r="D27538" s="67"/>
      <c r="G27538" s="68"/>
      <c r="K27538" s="68"/>
    </row>
    <row r="27539" spans="4:11" ht="12.75">
      <c r="D27539" s="67"/>
      <c r="G27539" s="68"/>
      <c r="K27539" s="68"/>
    </row>
    <row r="27540" spans="4:11" ht="12.75">
      <c r="D27540" s="67"/>
      <c r="G27540" s="68"/>
      <c r="K27540" s="68"/>
    </row>
    <row r="27541" spans="4:11" ht="12.75">
      <c r="D27541" s="67"/>
      <c r="G27541" s="68"/>
      <c r="K27541" s="68"/>
    </row>
    <row r="27542" spans="4:11" ht="12.75">
      <c r="D27542" s="67"/>
      <c r="G27542" s="68"/>
      <c r="K27542" s="68"/>
    </row>
    <row r="27543" spans="4:11" ht="12.75">
      <c r="D27543" s="67"/>
      <c r="G27543" s="68"/>
      <c r="K27543" s="68"/>
    </row>
    <row r="27544" spans="4:11" ht="12.75">
      <c r="D27544" s="67"/>
      <c r="G27544" s="68"/>
      <c r="K27544" s="68"/>
    </row>
    <row r="27545" spans="4:11" ht="12.75">
      <c r="D27545" s="67"/>
      <c r="G27545" s="68"/>
      <c r="K27545" s="68"/>
    </row>
    <row r="27546" spans="4:11" ht="12.75">
      <c r="D27546" s="67"/>
      <c r="G27546" s="68"/>
      <c r="K27546" s="68"/>
    </row>
    <row r="27547" spans="4:11" ht="12.75">
      <c r="D27547" s="67"/>
      <c r="G27547" s="68"/>
      <c r="K27547" s="68"/>
    </row>
    <row r="27548" spans="4:11" ht="12.75">
      <c r="D27548" s="67"/>
      <c r="G27548" s="68"/>
      <c r="K27548" s="68"/>
    </row>
    <row r="27549" spans="4:11" ht="12.75">
      <c r="D27549" s="67"/>
      <c r="G27549" s="68"/>
      <c r="K27549" s="68"/>
    </row>
    <row r="27550" spans="4:11" ht="12.75">
      <c r="D27550" s="67"/>
      <c r="G27550" s="68"/>
      <c r="K27550" s="68"/>
    </row>
    <row r="27551" spans="4:11" ht="12.75">
      <c r="D27551" s="67"/>
      <c r="G27551" s="68"/>
      <c r="K27551" s="68"/>
    </row>
    <row r="27552" spans="4:11" ht="12.75">
      <c r="D27552" s="67"/>
      <c r="G27552" s="68"/>
      <c r="K27552" s="68"/>
    </row>
    <row r="27553" spans="4:11" ht="12.75">
      <c r="D27553" s="67"/>
      <c r="G27553" s="68"/>
      <c r="K27553" s="68"/>
    </row>
    <row r="27554" spans="4:11" ht="12.75">
      <c r="D27554" s="67"/>
      <c r="G27554" s="68"/>
      <c r="K27554" s="68"/>
    </row>
    <row r="27555" spans="4:11" ht="12.75">
      <c r="D27555" s="67"/>
      <c r="G27555" s="68"/>
      <c r="K27555" s="68"/>
    </row>
    <row r="27556" spans="4:11" ht="12.75">
      <c r="D27556" s="67"/>
      <c r="G27556" s="68"/>
      <c r="K27556" s="68"/>
    </row>
    <row r="27557" spans="4:11" ht="12.75">
      <c r="D27557" s="67"/>
      <c r="G27557" s="68"/>
      <c r="K27557" s="68"/>
    </row>
    <row r="27558" spans="4:11" ht="12.75">
      <c r="D27558" s="67"/>
      <c r="G27558" s="68"/>
      <c r="K27558" s="68"/>
    </row>
    <row r="27559" spans="4:11" ht="12.75">
      <c r="D27559" s="67"/>
      <c r="G27559" s="68"/>
      <c r="K27559" s="68"/>
    </row>
    <row r="27560" spans="4:11" ht="12.75">
      <c r="D27560" s="67"/>
      <c r="G27560" s="68"/>
      <c r="K27560" s="68"/>
    </row>
    <row r="27561" spans="4:11" ht="12.75">
      <c r="D27561" s="67"/>
      <c r="G27561" s="68"/>
      <c r="K27561" s="68"/>
    </row>
    <row r="27562" spans="4:11" ht="12.75">
      <c r="D27562" s="67"/>
      <c r="G27562" s="68"/>
      <c r="K27562" s="68"/>
    </row>
    <row r="27563" spans="4:11" ht="12.75">
      <c r="D27563" s="67"/>
      <c r="G27563" s="68"/>
      <c r="K27563" s="68"/>
    </row>
    <row r="27564" spans="4:11" ht="12.75">
      <c r="D27564" s="67"/>
      <c r="G27564" s="68"/>
      <c r="K27564" s="68"/>
    </row>
    <row r="27565" spans="4:11" ht="12.75">
      <c r="D27565" s="67"/>
      <c r="G27565" s="68"/>
      <c r="K27565" s="68"/>
    </row>
    <row r="27566" spans="4:11" ht="12.75">
      <c r="D27566" s="67"/>
      <c r="G27566" s="68"/>
      <c r="K27566" s="68"/>
    </row>
    <row r="27567" spans="4:11" ht="12.75">
      <c r="D27567" s="67"/>
      <c r="G27567" s="68"/>
      <c r="K27567" s="68"/>
    </row>
    <row r="27568" spans="4:11" ht="12.75">
      <c r="D27568" s="67"/>
      <c r="G27568" s="68"/>
      <c r="K27568" s="68"/>
    </row>
    <row r="27569" spans="4:11" ht="12.75">
      <c r="D27569" s="67"/>
      <c r="G27569" s="68"/>
      <c r="K27569" s="68"/>
    </row>
    <row r="27570" spans="4:11" ht="12.75">
      <c r="D27570" s="67"/>
      <c r="G27570" s="68"/>
      <c r="K27570" s="68"/>
    </row>
    <row r="27571" spans="4:11" ht="12.75">
      <c r="D27571" s="67"/>
      <c r="G27571" s="68"/>
      <c r="K27571" s="68"/>
    </row>
    <row r="27572" spans="4:11" ht="12.75">
      <c r="D27572" s="67"/>
      <c r="G27572" s="68"/>
      <c r="K27572" s="68"/>
    </row>
    <row r="27573" spans="4:11" ht="12.75">
      <c r="D27573" s="67"/>
      <c r="G27573" s="68"/>
      <c r="K27573" s="68"/>
    </row>
    <row r="27574" spans="4:11" ht="12.75">
      <c r="D27574" s="67"/>
      <c r="G27574" s="68"/>
      <c r="K27574" s="68"/>
    </row>
    <row r="27575" spans="4:11" ht="12.75">
      <c r="D27575" s="67"/>
      <c r="G27575" s="68"/>
      <c r="K27575" s="68"/>
    </row>
    <row r="27576" spans="4:11" ht="12.75">
      <c r="D27576" s="67"/>
      <c r="G27576" s="68"/>
      <c r="K27576" s="68"/>
    </row>
    <row r="27577" spans="4:11" ht="12.75">
      <c r="D27577" s="67"/>
      <c r="G27577" s="68"/>
      <c r="K27577" s="68"/>
    </row>
    <row r="27578" spans="4:11" ht="12.75">
      <c r="D27578" s="67"/>
      <c r="G27578" s="68"/>
      <c r="K27578" s="68"/>
    </row>
    <row r="27579" spans="4:11" ht="12.75">
      <c r="D27579" s="67"/>
      <c r="G27579" s="68"/>
      <c r="K27579" s="68"/>
    </row>
    <row r="27580" spans="4:11" ht="12.75">
      <c r="D27580" s="67"/>
      <c r="G27580" s="68"/>
      <c r="K27580" s="68"/>
    </row>
    <row r="27581" spans="4:11" ht="12.75">
      <c r="D27581" s="67"/>
      <c r="G27581" s="68"/>
      <c r="K27581" s="68"/>
    </row>
    <row r="27582" spans="4:11" ht="12.75">
      <c r="D27582" s="67"/>
      <c r="G27582" s="68"/>
      <c r="K27582" s="68"/>
    </row>
    <row r="27583" spans="4:11" ht="12.75">
      <c r="D27583" s="67"/>
      <c r="G27583" s="68"/>
      <c r="K27583" s="68"/>
    </row>
    <row r="27584" spans="4:11" ht="12.75">
      <c r="D27584" s="67"/>
      <c r="G27584" s="68"/>
      <c r="K27584" s="68"/>
    </row>
    <row r="27585" spans="4:11" ht="12.75">
      <c r="D27585" s="67"/>
      <c r="G27585" s="68"/>
      <c r="K27585" s="68"/>
    </row>
    <row r="27586" spans="4:11" ht="12.75">
      <c r="D27586" s="67"/>
      <c r="G27586" s="68"/>
      <c r="K27586" s="68"/>
    </row>
    <row r="27587" spans="4:11" ht="12.75">
      <c r="D27587" s="67"/>
      <c r="G27587" s="68"/>
      <c r="K27587" s="68"/>
    </row>
    <row r="27588" spans="4:11" ht="12.75">
      <c r="D27588" s="67"/>
      <c r="G27588" s="68"/>
      <c r="K27588" s="68"/>
    </row>
    <row r="27589" spans="4:11" ht="12.75">
      <c r="D27589" s="67"/>
      <c r="G27589" s="68"/>
      <c r="K27589" s="68"/>
    </row>
    <row r="27590" spans="4:11" ht="12.75">
      <c r="D27590" s="67"/>
      <c r="G27590" s="68"/>
      <c r="K27590" s="68"/>
    </row>
    <row r="27591" spans="4:11" ht="12.75">
      <c r="D27591" s="67"/>
      <c r="G27591" s="68"/>
      <c r="K27591" s="68"/>
    </row>
    <row r="27592" spans="4:11" ht="12.75">
      <c r="D27592" s="67"/>
      <c r="G27592" s="68"/>
      <c r="K27592" s="68"/>
    </row>
    <row r="27593" spans="4:11" ht="12.75">
      <c r="D27593" s="67"/>
      <c r="G27593" s="68"/>
      <c r="K27593" s="68"/>
    </row>
    <row r="27594" spans="4:11" ht="12.75">
      <c r="D27594" s="67"/>
      <c r="G27594" s="68"/>
      <c r="K27594" s="68"/>
    </row>
    <row r="27595" spans="4:11" ht="12.75">
      <c r="D27595" s="67"/>
      <c r="G27595" s="68"/>
      <c r="K27595" s="68"/>
    </row>
    <row r="27596" spans="4:11" ht="12.75">
      <c r="D27596" s="67"/>
      <c r="G27596" s="68"/>
      <c r="K27596" s="68"/>
    </row>
    <row r="27597" spans="4:11" ht="12.75">
      <c r="D27597" s="67"/>
      <c r="G27597" s="68"/>
      <c r="K27597" s="68"/>
    </row>
    <row r="27598" spans="4:11" ht="12.75">
      <c r="D27598" s="67"/>
      <c r="G27598" s="68"/>
      <c r="K27598" s="68"/>
    </row>
    <row r="27599" spans="4:11" ht="12.75">
      <c r="D27599" s="67"/>
      <c r="G27599" s="68"/>
      <c r="K27599" s="68"/>
    </row>
    <row r="27600" spans="4:11" ht="12.75">
      <c r="D27600" s="67"/>
      <c r="G27600" s="68"/>
      <c r="K27600" s="68"/>
    </row>
    <row r="27601" spans="4:11" ht="12.75">
      <c r="D27601" s="67"/>
      <c r="G27601" s="68"/>
      <c r="K27601" s="68"/>
    </row>
    <row r="27602" spans="4:11" ht="12.75">
      <c r="D27602" s="67"/>
      <c r="G27602" s="68"/>
      <c r="K27602" s="68"/>
    </row>
    <row r="27603" spans="4:11" ht="12.75">
      <c r="D27603" s="67"/>
      <c r="G27603" s="68"/>
      <c r="K27603" s="68"/>
    </row>
    <row r="27604" spans="4:11" ht="12.75">
      <c r="D27604" s="67"/>
      <c r="G27604" s="68"/>
      <c r="K27604" s="68"/>
    </row>
    <row r="27605" spans="4:11" ht="12.75">
      <c r="D27605" s="67"/>
      <c r="G27605" s="68"/>
      <c r="K27605" s="68"/>
    </row>
    <row r="27606" spans="4:11" ht="12.75">
      <c r="D27606" s="67"/>
      <c r="G27606" s="68"/>
      <c r="K27606" s="68"/>
    </row>
    <row r="27607" spans="4:11" ht="12.75">
      <c r="D27607" s="67"/>
      <c r="G27607" s="68"/>
      <c r="K27607" s="68"/>
    </row>
    <row r="27608" spans="4:11" ht="12.75">
      <c r="D27608" s="67"/>
      <c r="G27608" s="68"/>
      <c r="K27608" s="68"/>
    </row>
    <row r="27609" spans="4:11" ht="12.75">
      <c r="D27609" s="67"/>
      <c r="G27609" s="68"/>
      <c r="K27609" s="68"/>
    </row>
    <row r="27610" spans="4:11" ht="12.75">
      <c r="D27610" s="67"/>
      <c r="G27610" s="68"/>
      <c r="K27610" s="68"/>
    </row>
    <row r="27611" spans="4:11" ht="12.75">
      <c r="D27611" s="67"/>
      <c r="G27611" s="68"/>
      <c r="K27611" s="68"/>
    </row>
    <row r="27612" spans="4:11" ht="12.75">
      <c r="D27612" s="67"/>
      <c r="G27612" s="68"/>
      <c r="K27612" s="68"/>
    </row>
    <row r="27613" spans="4:11" ht="12.75">
      <c r="D27613" s="67"/>
      <c r="G27613" s="68"/>
      <c r="K27613" s="68"/>
    </row>
    <row r="27614" spans="4:11" ht="12.75">
      <c r="D27614" s="67"/>
      <c r="G27614" s="68"/>
      <c r="K27614" s="68"/>
    </row>
    <row r="27615" spans="4:11" ht="12.75">
      <c r="D27615" s="67"/>
      <c r="G27615" s="68"/>
      <c r="K27615" s="68"/>
    </row>
    <row r="27616" spans="4:11" ht="12.75">
      <c r="D27616" s="67"/>
      <c r="G27616" s="68"/>
      <c r="K27616" s="68"/>
    </row>
    <row r="27617" spans="4:11" ht="12.75">
      <c r="D27617" s="67"/>
      <c r="G27617" s="68"/>
      <c r="K27617" s="68"/>
    </row>
    <row r="27618" spans="4:11" ht="12.75">
      <c r="D27618" s="67"/>
      <c r="G27618" s="68"/>
      <c r="K27618" s="68"/>
    </row>
    <row r="27619" spans="4:11" ht="12.75">
      <c r="D27619" s="67"/>
      <c r="G27619" s="68"/>
      <c r="K27619" s="68"/>
    </row>
    <row r="27620" spans="4:11" ht="12.75">
      <c r="D27620" s="67"/>
      <c r="G27620" s="68"/>
      <c r="K27620" s="68"/>
    </row>
    <row r="27621" spans="4:11" ht="12.75">
      <c r="D27621" s="67"/>
      <c r="G27621" s="68"/>
      <c r="K27621" s="68"/>
    </row>
    <row r="27622" spans="4:11" ht="12.75">
      <c r="D27622" s="67"/>
      <c r="G27622" s="68"/>
      <c r="K27622" s="68"/>
    </row>
    <row r="27623" spans="4:11" ht="12.75">
      <c r="D27623" s="67"/>
      <c r="G27623" s="68"/>
      <c r="K27623" s="68"/>
    </row>
    <row r="27624" spans="4:11" ht="12.75">
      <c r="D27624" s="67"/>
      <c r="G27624" s="68"/>
      <c r="K27624" s="68"/>
    </row>
    <row r="27625" spans="4:11" ht="12.75">
      <c r="D27625" s="67"/>
      <c r="G27625" s="68"/>
      <c r="K27625" s="68"/>
    </row>
    <row r="27626" spans="4:11" ht="12.75">
      <c r="D27626" s="67"/>
      <c r="G27626" s="68"/>
      <c r="K27626" s="68"/>
    </row>
    <row r="27627" spans="4:11" ht="12.75">
      <c r="D27627" s="67"/>
      <c r="G27627" s="68"/>
      <c r="K27627" s="68"/>
    </row>
    <row r="27628" spans="4:11" ht="12.75">
      <c r="D27628" s="67"/>
      <c r="G27628" s="68"/>
      <c r="K27628" s="68"/>
    </row>
    <row r="27629" spans="4:11" ht="12.75">
      <c r="D27629" s="67"/>
      <c r="G27629" s="68"/>
      <c r="K27629" s="68"/>
    </row>
    <row r="27630" spans="4:11" ht="12.75">
      <c r="D27630" s="67"/>
      <c r="G27630" s="68"/>
      <c r="K27630" s="68"/>
    </row>
    <row r="27631" spans="4:11" ht="12.75">
      <c r="D27631" s="67"/>
      <c r="G27631" s="68"/>
      <c r="K27631" s="68"/>
    </row>
    <row r="27632" spans="4:11" ht="12.75">
      <c r="D27632" s="67"/>
      <c r="G27632" s="68"/>
      <c r="K27632" s="68"/>
    </row>
    <row r="27633" spans="4:11" ht="12.75">
      <c r="D27633" s="67"/>
      <c r="G27633" s="68"/>
      <c r="K27633" s="68"/>
    </row>
    <row r="27634" spans="4:11" ht="12.75">
      <c r="D27634" s="67"/>
      <c r="G27634" s="68"/>
      <c r="K27634" s="68"/>
    </row>
    <row r="27635" spans="4:11" ht="12.75">
      <c r="D27635" s="67"/>
      <c r="G27635" s="68"/>
      <c r="K27635" s="68"/>
    </row>
    <row r="27636" spans="4:11" ht="12.75">
      <c r="D27636" s="67"/>
      <c r="G27636" s="68"/>
      <c r="K27636" s="68"/>
    </row>
    <row r="27637" spans="4:11" ht="12.75">
      <c r="D27637" s="67"/>
      <c r="G27637" s="68"/>
      <c r="K27637" s="68"/>
    </row>
    <row r="27638" spans="4:11" ht="12.75">
      <c r="D27638" s="67"/>
      <c r="G27638" s="68"/>
      <c r="K27638" s="68"/>
    </row>
    <row r="27639" spans="4:11" ht="12.75">
      <c r="D27639" s="67"/>
      <c r="G27639" s="68"/>
      <c r="K27639" s="68"/>
    </row>
    <row r="27640" spans="4:11" ht="12.75">
      <c r="D27640" s="67"/>
      <c r="G27640" s="68"/>
      <c r="K27640" s="68"/>
    </row>
    <row r="27641" spans="4:11" ht="12.75">
      <c r="D27641" s="67"/>
      <c r="G27641" s="68"/>
      <c r="K27641" s="68"/>
    </row>
    <row r="27642" spans="4:11" ht="12.75">
      <c r="D27642" s="67"/>
      <c r="G27642" s="68"/>
      <c r="K27642" s="68"/>
    </row>
    <row r="27643" spans="4:11" ht="12.75">
      <c r="D27643" s="67"/>
      <c r="G27643" s="68"/>
      <c r="K27643" s="68"/>
    </row>
    <row r="27644" spans="4:11" ht="12.75">
      <c r="D27644" s="67"/>
      <c r="G27644" s="68"/>
      <c r="K27644" s="68"/>
    </row>
    <row r="27645" spans="4:11" ht="12.75">
      <c r="D27645" s="67"/>
      <c r="G27645" s="68"/>
      <c r="K27645" s="68"/>
    </row>
    <row r="27646" spans="4:11" ht="12.75">
      <c r="D27646" s="67"/>
      <c r="G27646" s="68"/>
      <c r="K27646" s="68"/>
    </row>
    <row r="27647" spans="4:11" ht="12.75">
      <c r="D27647" s="67"/>
      <c r="G27647" s="68"/>
      <c r="K27647" s="68"/>
    </row>
    <row r="27648" spans="4:11" ht="12.75">
      <c r="D27648" s="67"/>
      <c r="G27648" s="68"/>
      <c r="K27648" s="68"/>
    </row>
    <row r="27649" spans="4:11" ht="12.75">
      <c r="D27649" s="67"/>
      <c r="G27649" s="68"/>
      <c r="K27649" s="68"/>
    </row>
    <row r="27650" spans="4:11" ht="12.75">
      <c r="D27650" s="67"/>
      <c r="G27650" s="68"/>
      <c r="K27650" s="68"/>
    </row>
    <row r="27651" spans="4:11" ht="12.75">
      <c r="D27651" s="67"/>
      <c r="G27651" s="68"/>
      <c r="K27651" s="68"/>
    </row>
    <row r="27652" spans="4:11" ht="12.75">
      <c r="D27652" s="67"/>
      <c r="G27652" s="68"/>
      <c r="K27652" s="68"/>
    </row>
    <row r="27653" spans="4:11" ht="12.75">
      <c r="D27653" s="67"/>
      <c r="G27653" s="68"/>
      <c r="K27653" s="68"/>
    </row>
    <row r="27654" spans="4:11" ht="12.75">
      <c r="D27654" s="67"/>
      <c r="G27654" s="68"/>
      <c r="K27654" s="68"/>
    </row>
    <row r="27655" spans="4:11" ht="12.75">
      <c r="D27655" s="67"/>
      <c r="G27655" s="68"/>
      <c r="K27655" s="68"/>
    </row>
    <row r="27656" spans="4:11" ht="12.75">
      <c r="D27656" s="67"/>
      <c r="G27656" s="68"/>
      <c r="K27656" s="68"/>
    </row>
    <row r="27657" spans="4:11" ht="12.75">
      <c r="D27657" s="67"/>
      <c r="G27657" s="68"/>
      <c r="K27657" s="68"/>
    </row>
    <row r="27658" spans="4:11" ht="12.75">
      <c r="D27658" s="67"/>
      <c r="G27658" s="68"/>
      <c r="K27658" s="68"/>
    </row>
    <row r="27659" spans="4:11" ht="12.75">
      <c r="D27659" s="67"/>
      <c r="G27659" s="68"/>
      <c r="K27659" s="68"/>
    </row>
    <row r="27660" spans="4:11" ht="12.75">
      <c r="D27660" s="67"/>
      <c r="G27660" s="68"/>
      <c r="K27660" s="68"/>
    </row>
    <row r="27661" spans="4:11" ht="12.75">
      <c r="D27661" s="67"/>
      <c r="G27661" s="68"/>
      <c r="K27661" s="68"/>
    </row>
    <row r="27662" spans="4:11" ht="12.75">
      <c r="D27662" s="67"/>
      <c r="G27662" s="68"/>
      <c r="K27662" s="68"/>
    </row>
    <row r="27663" spans="4:11" ht="12.75">
      <c r="D27663" s="67"/>
      <c r="G27663" s="68"/>
      <c r="K27663" s="68"/>
    </row>
    <row r="27664" spans="4:11" ht="12.75">
      <c r="D27664" s="67"/>
      <c r="G27664" s="68"/>
      <c r="K27664" s="68"/>
    </row>
    <row r="27665" spans="4:11" ht="12.75">
      <c r="D27665" s="67"/>
      <c r="G27665" s="68"/>
      <c r="K27665" s="68"/>
    </row>
    <row r="27666" spans="4:11" ht="12.75">
      <c r="D27666" s="67"/>
      <c r="G27666" s="68"/>
      <c r="K27666" s="68"/>
    </row>
    <row r="27667" spans="4:11" ht="12.75">
      <c r="D27667" s="67"/>
      <c r="G27667" s="68"/>
      <c r="K27667" s="68"/>
    </row>
    <row r="27668" spans="4:11" ht="12.75">
      <c r="D27668" s="67"/>
      <c r="G27668" s="68"/>
      <c r="K27668" s="68"/>
    </row>
    <row r="27669" spans="4:11" ht="12.75">
      <c r="D27669" s="67"/>
      <c r="G27669" s="68"/>
      <c r="K27669" s="68"/>
    </row>
    <row r="27670" spans="4:11" ht="12.75">
      <c r="D27670" s="67"/>
      <c r="G27670" s="68"/>
      <c r="K27670" s="68"/>
    </row>
    <row r="27671" spans="4:11" ht="12.75">
      <c r="D27671" s="67"/>
      <c r="G27671" s="68"/>
      <c r="K27671" s="68"/>
    </row>
    <row r="27672" spans="4:11" ht="12.75">
      <c r="D27672" s="67"/>
      <c r="G27672" s="68"/>
      <c r="K27672" s="68"/>
    </row>
    <row r="27673" spans="4:11" ht="12.75">
      <c r="D27673" s="67"/>
      <c r="G27673" s="68"/>
      <c r="K27673" s="68"/>
    </row>
    <row r="27674" spans="4:11" ht="12.75">
      <c r="D27674" s="67"/>
      <c r="G27674" s="68"/>
      <c r="K27674" s="68"/>
    </row>
    <row r="27675" spans="4:11" ht="12.75">
      <c r="D27675" s="67"/>
      <c r="G27675" s="68"/>
      <c r="K27675" s="68"/>
    </row>
    <row r="27676" spans="4:11" ht="12.75">
      <c r="D27676" s="67"/>
      <c r="G27676" s="68"/>
      <c r="K27676" s="68"/>
    </row>
    <row r="27677" spans="4:11" ht="12.75">
      <c r="D27677" s="67"/>
      <c r="G27677" s="68"/>
      <c r="K27677" s="68"/>
    </row>
    <row r="27678" spans="4:11" ht="12.75">
      <c r="D27678" s="67"/>
      <c r="G27678" s="68"/>
      <c r="K27678" s="68"/>
    </row>
    <row r="27679" spans="4:11" ht="12.75">
      <c r="D27679" s="67"/>
      <c r="G27679" s="68"/>
      <c r="K27679" s="68"/>
    </row>
    <row r="27680" spans="4:11" ht="12.75">
      <c r="D27680" s="67"/>
      <c r="G27680" s="68"/>
      <c r="K27680" s="68"/>
    </row>
    <row r="27681" spans="4:11" ht="12.75">
      <c r="D27681" s="67"/>
      <c r="G27681" s="68"/>
      <c r="K27681" s="68"/>
    </row>
    <row r="27682" spans="4:11" ht="12.75">
      <c r="D27682" s="67"/>
      <c r="G27682" s="68"/>
      <c r="K27682" s="68"/>
    </row>
    <row r="27683" spans="4:11" ht="12.75">
      <c r="D27683" s="67"/>
      <c r="G27683" s="68"/>
      <c r="K27683" s="68"/>
    </row>
    <row r="27684" spans="4:11" ht="12.75">
      <c r="D27684" s="67"/>
      <c r="G27684" s="68"/>
      <c r="K27684" s="68"/>
    </row>
    <row r="27685" spans="4:11" ht="12.75">
      <c r="D27685" s="67"/>
      <c r="G27685" s="68"/>
      <c r="K27685" s="68"/>
    </row>
    <row r="27686" spans="4:11" ht="12.75">
      <c r="D27686" s="67"/>
      <c r="G27686" s="68"/>
      <c r="K27686" s="68"/>
    </row>
    <row r="27687" spans="4:11" ht="12.75">
      <c r="D27687" s="67"/>
      <c r="G27687" s="68"/>
      <c r="K27687" s="68"/>
    </row>
    <row r="27688" spans="4:11" ht="12.75">
      <c r="D27688" s="67"/>
      <c r="G27688" s="68"/>
      <c r="K27688" s="68"/>
    </row>
    <row r="27689" spans="4:11" ht="12.75">
      <c r="D27689" s="67"/>
      <c r="G27689" s="68"/>
      <c r="K27689" s="68"/>
    </row>
    <row r="27690" spans="4:11" ht="12.75">
      <c r="D27690" s="67"/>
      <c r="G27690" s="68"/>
      <c r="K27690" s="68"/>
    </row>
    <row r="27691" spans="4:11" ht="12.75">
      <c r="D27691" s="67"/>
      <c r="G27691" s="68"/>
      <c r="K27691" s="68"/>
    </row>
    <row r="27692" spans="4:11" ht="12.75">
      <c r="D27692" s="67"/>
      <c r="G27692" s="68"/>
      <c r="K27692" s="68"/>
    </row>
    <row r="27693" spans="4:11" ht="12.75">
      <c r="D27693" s="67"/>
      <c r="G27693" s="68"/>
      <c r="K27693" s="68"/>
    </row>
    <row r="27694" spans="4:11" ht="12.75">
      <c r="D27694" s="67"/>
      <c r="G27694" s="68"/>
      <c r="K27694" s="68"/>
    </row>
    <row r="27695" spans="4:11" ht="12.75">
      <c r="D27695" s="67"/>
      <c r="G27695" s="68"/>
      <c r="K27695" s="68"/>
    </row>
    <row r="27696" spans="4:11" ht="12.75">
      <c r="D27696" s="67"/>
      <c r="G27696" s="68"/>
      <c r="K27696" s="68"/>
    </row>
    <row r="27697" spans="4:11" ht="12.75">
      <c r="D27697" s="67"/>
      <c r="G27697" s="68"/>
      <c r="K27697" s="68"/>
    </row>
    <row r="27698" spans="4:11" ht="12.75">
      <c r="D27698" s="67"/>
      <c r="G27698" s="68"/>
      <c r="K27698" s="68"/>
    </row>
    <row r="27699" spans="4:11" ht="12.75">
      <c r="D27699" s="67"/>
      <c r="G27699" s="68"/>
      <c r="K27699" s="68"/>
    </row>
    <row r="27700" spans="4:11" ht="12.75">
      <c r="D27700" s="67"/>
      <c r="G27700" s="68"/>
      <c r="K27700" s="68"/>
    </row>
    <row r="27701" spans="4:11" ht="12.75">
      <c r="D27701" s="67"/>
      <c r="G27701" s="68"/>
      <c r="K27701" s="68"/>
    </row>
    <row r="27702" spans="4:11" ht="12.75">
      <c r="D27702" s="67"/>
      <c r="G27702" s="68"/>
      <c r="K27702" s="68"/>
    </row>
    <row r="27703" spans="4:11" ht="12.75">
      <c r="D27703" s="67"/>
      <c r="G27703" s="68"/>
      <c r="K27703" s="68"/>
    </row>
    <row r="27704" spans="4:11" ht="12.75">
      <c r="D27704" s="67"/>
      <c r="G27704" s="68"/>
      <c r="K27704" s="68"/>
    </row>
    <row r="27705" spans="4:11" ht="12.75">
      <c r="D27705" s="67"/>
      <c r="G27705" s="68"/>
      <c r="K27705" s="68"/>
    </row>
    <row r="27706" spans="4:11" ht="12.75">
      <c r="D27706" s="67"/>
      <c r="G27706" s="68"/>
      <c r="K27706" s="68"/>
    </row>
    <row r="27707" spans="4:11" ht="12.75">
      <c r="D27707" s="67"/>
      <c r="G27707" s="68"/>
      <c r="K27707" s="68"/>
    </row>
    <row r="27708" spans="4:11" ht="12.75">
      <c r="D27708" s="67"/>
      <c r="G27708" s="68"/>
      <c r="K27708" s="68"/>
    </row>
    <row r="27709" spans="4:11" ht="12.75">
      <c r="D27709" s="67"/>
      <c r="G27709" s="68"/>
      <c r="K27709" s="68"/>
    </row>
    <row r="27710" spans="4:11" ht="12.75">
      <c r="D27710" s="67"/>
      <c r="G27710" s="68"/>
      <c r="K27710" s="68"/>
    </row>
    <row r="27711" spans="4:11" ht="12.75">
      <c r="D27711" s="67"/>
      <c r="G27711" s="68"/>
      <c r="K27711" s="68"/>
    </row>
    <row r="27712" spans="4:11" ht="12.75">
      <c r="D27712" s="67"/>
      <c r="G27712" s="68"/>
      <c r="K27712" s="68"/>
    </row>
    <row r="27713" spans="4:11" ht="12.75">
      <c r="D27713" s="67"/>
      <c r="G27713" s="68"/>
      <c r="K27713" s="68"/>
    </row>
    <row r="27714" spans="4:11" ht="12.75">
      <c r="D27714" s="67"/>
      <c r="G27714" s="68"/>
      <c r="K27714" s="68"/>
    </row>
    <row r="27715" spans="4:11" ht="12.75">
      <c r="D27715" s="67"/>
      <c r="G27715" s="68"/>
      <c r="K27715" s="68"/>
    </row>
    <row r="27716" spans="4:11" ht="12.75">
      <c r="D27716" s="67"/>
      <c r="G27716" s="68"/>
      <c r="K27716" s="68"/>
    </row>
    <row r="27717" spans="4:11" ht="12.75">
      <c r="D27717" s="67"/>
      <c r="G27717" s="68"/>
      <c r="K27717" s="68"/>
    </row>
    <row r="27718" spans="4:11" ht="12.75">
      <c r="D27718" s="67"/>
      <c r="G27718" s="68"/>
      <c r="K27718" s="68"/>
    </row>
    <row r="27719" spans="4:11" ht="12.75">
      <c r="D27719" s="67"/>
      <c r="G27719" s="68"/>
      <c r="K27719" s="68"/>
    </row>
    <row r="27720" spans="4:11" ht="12.75">
      <c r="D27720" s="67"/>
      <c r="G27720" s="68"/>
      <c r="K27720" s="68"/>
    </row>
    <row r="27721" spans="4:11" ht="12.75">
      <c r="D27721" s="67"/>
      <c r="G27721" s="68"/>
      <c r="K27721" s="68"/>
    </row>
    <row r="27722" spans="4:11" ht="12.75">
      <c r="D27722" s="67"/>
      <c r="G27722" s="68"/>
      <c r="K27722" s="68"/>
    </row>
    <row r="27723" spans="4:11" ht="12.75">
      <c r="D27723" s="67"/>
      <c r="G27723" s="68"/>
      <c r="K27723" s="68"/>
    </row>
    <row r="27724" spans="4:11" ht="12.75">
      <c r="D27724" s="67"/>
      <c r="G27724" s="68"/>
      <c r="K27724" s="68"/>
    </row>
    <row r="27725" spans="4:11" ht="12.75">
      <c r="D27725" s="67"/>
      <c r="G27725" s="68"/>
      <c r="K27725" s="68"/>
    </row>
    <row r="27726" spans="4:11" ht="12.75">
      <c r="D27726" s="67"/>
      <c r="G27726" s="68"/>
      <c r="K27726" s="68"/>
    </row>
    <row r="27727" spans="4:11" ht="12.75">
      <c r="D27727" s="67"/>
      <c r="G27727" s="68"/>
      <c r="K27727" s="68"/>
    </row>
    <row r="27728" spans="4:11" ht="12.75">
      <c r="D27728" s="67"/>
      <c r="G27728" s="68"/>
      <c r="K27728" s="68"/>
    </row>
    <row r="27729" spans="4:11" ht="12.75">
      <c r="D27729" s="67"/>
      <c r="G27729" s="68"/>
      <c r="K27729" s="68"/>
    </row>
    <row r="27730" spans="4:11" ht="12.75">
      <c r="D27730" s="67"/>
      <c r="G27730" s="68"/>
      <c r="K27730" s="68"/>
    </row>
    <row r="27731" spans="4:11" ht="12.75">
      <c r="D27731" s="67"/>
      <c r="G27731" s="68"/>
      <c r="K27731" s="68"/>
    </row>
    <row r="27732" spans="4:11" ht="12.75">
      <c r="D27732" s="67"/>
      <c r="G27732" s="68"/>
      <c r="K27732" s="68"/>
    </row>
    <row r="27733" spans="4:11" ht="12.75">
      <c r="D27733" s="67"/>
      <c r="G27733" s="68"/>
      <c r="K27733" s="68"/>
    </row>
    <row r="27734" spans="4:11" ht="12.75">
      <c r="D27734" s="67"/>
      <c r="G27734" s="68"/>
      <c r="K27734" s="68"/>
    </row>
    <row r="27735" spans="4:11" ht="12.75">
      <c r="D27735" s="67"/>
      <c r="G27735" s="68"/>
      <c r="K27735" s="68"/>
    </row>
    <row r="27736" spans="4:11" ht="12.75">
      <c r="D27736" s="67"/>
      <c r="G27736" s="68"/>
      <c r="K27736" s="68"/>
    </row>
    <row r="27737" spans="4:11" ht="12.75">
      <c r="D27737" s="67"/>
      <c r="G27737" s="68"/>
      <c r="K27737" s="68"/>
    </row>
    <row r="27738" spans="4:11" ht="12.75">
      <c r="D27738" s="67"/>
      <c r="G27738" s="68"/>
      <c r="K27738" s="68"/>
    </row>
    <row r="27739" spans="4:11" ht="12.75">
      <c r="D27739" s="67"/>
      <c r="G27739" s="68"/>
      <c r="K27739" s="68"/>
    </row>
    <row r="27740" spans="4:11" ht="12.75">
      <c r="D27740" s="67"/>
      <c r="G27740" s="68"/>
      <c r="K27740" s="68"/>
    </row>
    <row r="27741" spans="4:11" ht="12.75">
      <c r="D27741" s="67"/>
      <c r="G27741" s="68"/>
      <c r="K27741" s="68"/>
    </row>
    <row r="27742" spans="4:11" ht="12.75">
      <c r="D27742" s="67"/>
      <c r="G27742" s="68"/>
      <c r="K27742" s="68"/>
    </row>
    <row r="27743" spans="4:11" ht="12.75">
      <c r="D27743" s="67"/>
      <c r="G27743" s="68"/>
      <c r="K27743" s="68"/>
    </row>
    <row r="27744" spans="4:11" ht="12.75">
      <c r="D27744" s="67"/>
      <c r="G27744" s="68"/>
      <c r="K27744" s="68"/>
    </row>
    <row r="27745" spans="4:11" ht="12.75">
      <c r="D27745" s="67"/>
      <c r="G27745" s="68"/>
      <c r="K27745" s="68"/>
    </row>
    <row r="27746" spans="4:11" ht="12.75">
      <c r="D27746" s="67"/>
      <c r="G27746" s="68"/>
      <c r="K27746" s="68"/>
    </row>
    <row r="27747" spans="4:11" ht="12.75">
      <c r="D27747" s="67"/>
      <c r="G27747" s="68"/>
      <c r="K27747" s="68"/>
    </row>
    <row r="27748" spans="4:11" ht="12.75">
      <c r="D27748" s="67"/>
      <c r="G27748" s="68"/>
      <c r="K27748" s="68"/>
    </row>
    <row r="27749" spans="4:11" ht="12.75">
      <c r="D27749" s="67"/>
      <c r="G27749" s="68"/>
      <c r="K27749" s="68"/>
    </row>
    <row r="27750" spans="4:11" ht="12.75">
      <c r="D27750" s="67"/>
      <c r="G27750" s="68"/>
      <c r="K27750" s="68"/>
    </row>
    <row r="27751" spans="4:11" ht="12.75">
      <c r="D27751" s="67"/>
      <c r="G27751" s="68"/>
      <c r="K27751" s="68"/>
    </row>
    <row r="27752" spans="4:11" ht="12.75">
      <c r="D27752" s="67"/>
      <c r="G27752" s="68"/>
      <c r="K27752" s="68"/>
    </row>
    <row r="27753" spans="4:11" ht="12.75">
      <c r="D27753" s="67"/>
      <c r="G27753" s="68"/>
      <c r="K27753" s="68"/>
    </row>
    <row r="27754" spans="4:11" ht="12.75">
      <c r="D27754" s="67"/>
      <c r="G27754" s="68"/>
      <c r="K27754" s="68"/>
    </row>
    <row r="27755" spans="4:11" ht="12.75">
      <c r="D27755" s="67"/>
      <c r="G27755" s="68"/>
      <c r="K27755" s="68"/>
    </row>
    <row r="27756" spans="4:11" ht="12.75">
      <c r="D27756" s="67"/>
      <c r="G27756" s="68"/>
      <c r="K27756" s="68"/>
    </row>
    <row r="27757" spans="4:11" ht="12.75">
      <c r="D27757" s="67"/>
      <c r="G27757" s="68"/>
      <c r="K27757" s="68"/>
    </row>
    <row r="27758" spans="4:11" ht="12.75">
      <c r="D27758" s="67"/>
      <c r="G27758" s="68"/>
      <c r="K27758" s="68"/>
    </row>
    <row r="27759" spans="4:11" ht="12.75">
      <c r="D27759" s="67"/>
      <c r="G27759" s="68"/>
      <c r="K27759" s="68"/>
    </row>
    <row r="27760" spans="4:11" ht="12.75">
      <c r="D27760" s="67"/>
      <c r="G27760" s="68"/>
      <c r="K27760" s="68"/>
    </row>
    <row r="27761" spans="4:11" ht="12.75">
      <c r="D27761" s="67"/>
      <c r="G27761" s="68"/>
      <c r="K27761" s="68"/>
    </row>
    <row r="27762" spans="4:11" ht="12.75">
      <c r="D27762" s="67"/>
      <c r="G27762" s="68"/>
      <c r="K27762" s="68"/>
    </row>
    <row r="27763" spans="4:11" ht="12.75">
      <c r="D27763" s="67"/>
      <c r="G27763" s="68"/>
      <c r="K27763" s="68"/>
    </row>
    <row r="27764" spans="4:11" ht="12.75">
      <c r="D27764" s="67"/>
      <c r="G27764" s="68"/>
      <c r="K27764" s="68"/>
    </row>
    <row r="27765" spans="4:11" ht="12.75">
      <c r="D27765" s="67"/>
      <c r="G27765" s="68"/>
      <c r="K27765" s="68"/>
    </row>
    <row r="27766" spans="4:11" ht="12.75">
      <c r="D27766" s="67"/>
      <c r="G27766" s="68"/>
      <c r="K27766" s="68"/>
    </row>
    <row r="27767" spans="4:11" ht="12.75">
      <c r="D27767" s="67"/>
      <c r="G27767" s="68"/>
      <c r="K27767" s="68"/>
    </row>
    <row r="27768" spans="4:11" ht="12.75">
      <c r="D27768" s="67"/>
      <c r="G27768" s="68"/>
      <c r="K27768" s="68"/>
    </row>
    <row r="27769" spans="4:11" ht="12.75">
      <c r="D27769" s="67"/>
      <c r="G27769" s="68"/>
      <c r="K27769" s="68"/>
    </row>
    <row r="27770" spans="4:11" ht="12.75">
      <c r="D27770" s="67"/>
      <c r="G27770" s="68"/>
      <c r="K27770" s="68"/>
    </row>
    <row r="27771" spans="4:11" ht="12.75">
      <c r="D27771" s="67"/>
      <c r="G27771" s="68"/>
      <c r="K27771" s="68"/>
    </row>
    <row r="27772" spans="4:11" ht="12.75">
      <c r="D27772" s="67"/>
      <c r="G27772" s="68"/>
      <c r="K27772" s="68"/>
    </row>
    <row r="27773" spans="4:11" ht="12.75">
      <c r="D27773" s="67"/>
      <c r="G27773" s="68"/>
      <c r="K27773" s="68"/>
    </row>
    <row r="27774" spans="4:11" ht="12.75">
      <c r="D27774" s="67"/>
      <c r="G27774" s="68"/>
      <c r="K27774" s="68"/>
    </row>
    <row r="27775" spans="4:11" ht="12.75">
      <c r="D27775" s="67"/>
      <c r="G27775" s="68"/>
      <c r="K27775" s="68"/>
    </row>
    <row r="27776" spans="4:11" ht="12.75">
      <c r="D27776" s="67"/>
      <c r="G27776" s="68"/>
      <c r="K27776" s="68"/>
    </row>
    <row r="27777" spans="4:11" ht="12.75">
      <c r="D27777" s="67"/>
      <c r="G27777" s="68"/>
      <c r="K27777" s="68"/>
    </row>
    <row r="27778" spans="4:11" ht="12.75">
      <c r="D27778" s="67"/>
      <c r="G27778" s="68"/>
      <c r="K27778" s="68"/>
    </row>
    <row r="27779" spans="4:11" ht="12.75">
      <c r="D27779" s="67"/>
      <c r="G27779" s="68"/>
      <c r="K27779" s="68"/>
    </row>
    <row r="27780" spans="4:11" ht="12.75">
      <c r="D27780" s="67"/>
      <c r="G27780" s="68"/>
      <c r="K27780" s="68"/>
    </row>
    <row r="27781" spans="4:11" ht="12.75">
      <c r="D27781" s="67"/>
      <c r="G27781" s="68"/>
      <c r="K27781" s="68"/>
    </row>
    <row r="27782" spans="4:11" ht="12.75">
      <c r="D27782" s="67"/>
      <c r="G27782" s="68"/>
      <c r="K27782" s="68"/>
    </row>
    <row r="27783" spans="4:11" ht="12.75">
      <c r="D27783" s="67"/>
      <c r="G27783" s="68"/>
      <c r="K27783" s="68"/>
    </row>
    <row r="27784" spans="4:11" ht="12.75">
      <c r="D27784" s="67"/>
      <c r="G27784" s="68"/>
      <c r="K27784" s="68"/>
    </row>
    <row r="27785" spans="4:11" ht="12.75">
      <c r="D27785" s="67"/>
      <c r="G27785" s="68"/>
      <c r="K27785" s="68"/>
    </row>
    <row r="27786" spans="4:11" ht="12.75">
      <c r="D27786" s="67"/>
      <c r="G27786" s="68"/>
      <c r="K27786" s="68"/>
    </row>
    <row r="27787" spans="4:11" ht="12.75">
      <c r="D27787" s="67"/>
      <c r="G27787" s="68"/>
      <c r="K27787" s="68"/>
    </row>
    <row r="27788" spans="4:11" ht="12.75">
      <c r="D27788" s="67"/>
      <c r="G27788" s="68"/>
      <c r="K27788" s="68"/>
    </row>
    <row r="27789" spans="4:11" ht="12.75">
      <c r="D27789" s="67"/>
      <c r="G27789" s="68"/>
      <c r="K27789" s="68"/>
    </row>
    <row r="27790" spans="4:11" ht="12.75">
      <c r="D27790" s="67"/>
      <c r="G27790" s="68"/>
      <c r="K27790" s="68"/>
    </row>
    <row r="27791" spans="4:11" ht="12.75">
      <c r="D27791" s="67"/>
      <c r="G27791" s="68"/>
      <c r="K27791" s="68"/>
    </row>
    <row r="27792" spans="4:11" ht="12.75">
      <c r="D27792" s="67"/>
      <c r="G27792" s="68"/>
      <c r="K27792" s="68"/>
    </row>
    <row r="27793" spans="4:11" ht="12.75">
      <c r="D27793" s="67"/>
      <c r="G27793" s="68"/>
      <c r="K27793" s="68"/>
    </row>
    <row r="27794" spans="4:11" ht="12.75">
      <c r="D27794" s="67"/>
      <c r="G27794" s="68"/>
      <c r="K27794" s="68"/>
    </row>
    <row r="27795" spans="4:11" ht="12.75">
      <c r="D27795" s="67"/>
      <c r="G27795" s="68"/>
      <c r="K27795" s="68"/>
    </row>
    <row r="27796" spans="4:11" ht="12.75">
      <c r="D27796" s="67"/>
      <c r="G27796" s="68"/>
      <c r="K27796" s="68"/>
    </row>
    <row r="27797" spans="4:11" ht="12.75">
      <c r="D27797" s="67"/>
      <c r="G27797" s="68"/>
      <c r="K27797" s="68"/>
    </row>
    <row r="27798" spans="4:11" ht="12.75">
      <c r="D27798" s="67"/>
      <c r="G27798" s="68"/>
      <c r="K27798" s="68"/>
    </row>
    <row r="27799" spans="4:11" ht="12.75">
      <c r="D27799" s="67"/>
      <c r="G27799" s="68"/>
      <c r="K27799" s="68"/>
    </row>
    <row r="27800" spans="4:11" ht="12.75">
      <c r="D27800" s="67"/>
      <c r="G27800" s="68"/>
      <c r="K27800" s="68"/>
    </row>
    <row r="27801" spans="4:11" ht="12.75">
      <c r="D27801" s="67"/>
      <c r="G27801" s="68"/>
      <c r="K27801" s="68"/>
    </row>
    <row r="27802" spans="4:11" ht="12.75">
      <c r="D27802" s="67"/>
      <c r="G27802" s="68"/>
      <c r="K27802" s="68"/>
    </row>
    <row r="27803" spans="4:11" ht="12.75">
      <c r="D27803" s="67"/>
      <c r="G27803" s="68"/>
      <c r="K27803" s="68"/>
    </row>
    <row r="27804" spans="4:11" ht="12.75">
      <c r="D27804" s="67"/>
      <c r="G27804" s="68"/>
      <c r="K27804" s="68"/>
    </row>
    <row r="27805" spans="4:11" ht="12.75">
      <c r="D27805" s="67"/>
      <c r="G27805" s="68"/>
      <c r="K27805" s="68"/>
    </row>
    <row r="27806" spans="4:11" ht="12.75">
      <c r="D27806" s="67"/>
      <c r="G27806" s="68"/>
      <c r="K27806" s="68"/>
    </row>
    <row r="27807" spans="4:11" ht="12.75">
      <c r="D27807" s="67"/>
      <c r="G27807" s="68"/>
      <c r="K27807" s="68"/>
    </row>
    <row r="27808" spans="4:11" ht="12.75">
      <c r="D27808" s="67"/>
      <c r="G27808" s="68"/>
      <c r="K27808" s="68"/>
    </row>
    <row r="27809" spans="4:11" ht="12.75">
      <c r="D27809" s="67"/>
      <c r="G27809" s="68"/>
      <c r="K27809" s="68"/>
    </row>
    <row r="27810" spans="4:11" ht="12.75">
      <c r="D27810" s="67"/>
      <c r="G27810" s="68"/>
      <c r="K27810" s="68"/>
    </row>
    <row r="27811" spans="4:11" ht="12.75">
      <c r="D27811" s="67"/>
      <c r="G27811" s="68"/>
      <c r="K27811" s="68"/>
    </row>
    <row r="27812" spans="4:11" ht="12.75">
      <c r="D27812" s="67"/>
      <c r="G27812" s="68"/>
      <c r="K27812" s="68"/>
    </row>
    <row r="27813" spans="4:11" ht="12.75">
      <c r="D27813" s="67"/>
      <c r="G27813" s="68"/>
      <c r="K27813" s="68"/>
    </row>
    <row r="27814" spans="4:11" ht="12.75">
      <c r="D27814" s="67"/>
      <c r="G27814" s="68"/>
      <c r="K27814" s="68"/>
    </row>
    <row r="27815" spans="4:11" ht="12.75">
      <c r="D27815" s="67"/>
      <c r="G27815" s="68"/>
      <c r="K27815" s="68"/>
    </row>
    <row r="27816" spans="4:11" ht="12.75">
      <c r="D27816" s="67"/>
      <c r="G27816" s="68"/>
      <c r="K27816" s="68"/>
    </row>
    <row r="27817" spans="4:11" ht="12.75">
      <c r="D27817" s="67"/>
      <c r="G27817" s="68"/>
      <c r="K27817" s="68"/>
    </row>
    <row r="27818" spans="4:11" ht="12.75">
      <c r="D27818" s="67"/>
      <c r="G27818" s="68"/>
      <c r="K27818" s="68"/>
    </row>
    <row r="27819" spans="4:11" ht="12.75">
      <c r="D27819" s="67"/>
      <c r="G27819" s="68"/>
      <c r="K27819" s="68"/>
    </row>
    <row r="27820" spans="4:11" ht="12.75">
      <c r="D27820" s="67"/>
      <c r="G27820" s="68"/>
      <c r="K27820" s="68"/>
    </row>
    <row r="27821" spans="4:11" ht="12.75">
      <c r="D27821" s="67"/>
      <c r="G27821" s="68"/>
      <c r="K27821" s="68"/>
    </row>
    <row r="27822" spans="4:11" ht="12.75">
      <c r="D27822" s="67"/>
      <c r="G27822" s="68"/>
      <c r="K27822" s="68"/>
    </row>
    <row r="27823" spans="4:11" ht="12.75">
      <c r="D27823" s="67"/>
      <c r="G27823" s="68"/>
      <c r="K27823" s="68"/>
    </row>
    <row r="27824" spans="4:11" ht="12.75">
      <c r="D27824" s="67"/>
      <c r="G27824" s="68"/>
      <c r="K27824" s="68"/>
    </row>
    <row r="27825" spans="4:11" ht="12.75">
      <c r="D27825" s="67"/>
      <c r="G27825" s="68"/>
      <c r="K27825" s="68"/>
    </row>
    <row r="27826" spans="4:11" ht="12.75">
      <c r="D27826" s="67"/>
      <c r="G27826" s="68"/>
      <c r="K27826" s="68"/>
    </row>
    <row r="27827" spans="4:11" ht="12.75">
      <c r="D27827" s="67"/>
      <c r="G27827" s="68"/>
      <c r="K27827" s="68"/>
    </row>
    <row r="27828" spans="4:11" ht="12.75">
      <c r="D27828" s="67"/>
      <c r="G27828" s="68"/>
      <c r="K27828" s="68"/>
    </row>
    <row r="27829" spans="4:11" ht="12.75">
      <c r="D27829" s="67"/>
      <c r="G27829" s="68"/>
      <c r="K27829" s="68"/>
    </row>
    <row r="27830" spans="4:11" ht="12.75">
      <c r="D27830" s="67"/>
      <c r="G27830" s="68"/>
      <c r="K27830" s="68"/>
    </row>
    <row r="27831" spans="4:11" ht="12.75">
      <c r="D27831" s="67"/>
      <c r="G27831" s="68"/>
      <c r="K27831" s="68"/>
    </row>
    <row r="27832" spans="4:11" ht="12.75">
      <c r="D27832" s="67"/>
      <c r="G27832" s="68"/>
      <c r="K27832" s="68"/>
    </row>
    <row r="27833" spans="4:11" ht="12.75">
      <c r="D27833" s="67"/>
      <c r="G27833" s="68"/>
      <c r="K27833" s="68"/>
    </row>
    <row r="27834" spans="4:11" ht="12.75">
      <c r="D27834" s="67"/>
      <c r="G27834" s="68"/>
      <c r="K27834" s="68"/>
    </row>
    <row r="27835" spans="4:11" ht="12.75">
      <c r="D27835" s="67"/>
      <c r="G27835" s="68"/>
      <c r="K27835" s="68"/>
    </row>
    <row r="27836" spans="4:11" ht="12.75">
      <c r="D27836" s="67"/>
      <c r="G27836" s="68"/>
      <c r="K27836" s="68"/>
    </row>
    <row r="27837" spans="4:11" ht="12.75">
      <c r="D27837" s="67"/>
      <c r="G27837" s="68"/>
      <c r="K27837" s="68"/>
    </row>
    <row r="27838" spans="4:11" ht="12.75">
      <c r="D27838" s="67"/>
      <c r="G27838" s="68"/>
      <c r="K27838" s="68"/>
    </row>
    <row r="27839" spans="4:11" ht="12.75">
      <c r="D27839" s="67"/>
      <c r="G27839" s="68"/>
      <c r="K27839" s="68"/>
    </row>
    <row r="27840" spans="4:11" ht="12.75">
      <c r="D27840" s="67"/>
      <c r="G27840" s="68"/>
      <c r="K27840" s="68"/>
    </row>
    <row r="27841" spans="4:11" ht="12.75">
      <c r="D27841" s="67"/>
      <c r="G27841" s="68"/>
      <c r="K27841" s="68"/>
    </row>
    <row r="27842" spans="4:11" ht="12.75">
      <c r="D27842" s="67"/>
      <c r="G27842" s="68"/>
      <c r="K27842" s="68"/>
    </row>
    <row r="27843" spans="4:11" ht="12.75">
      <c r="D27843" s="67"/>
      <c r="G27843" s="68"/>
      <c r="K27843" s="68"/>
    </row>
    <row r="27844" spans="4:11" ht="12.75">
      <c r="D27844" s="67"/>
      <c r="G27844" s="68"/>
      <c r="K27844" s="68"/>
    </row>
    <row r="27845" spans="4:11" ht="12.75">
      <c r="D27845" s="67"/>
      <c r="G27845" s="68"/>
      <c r="K27845" s="68"/>
    </row>
    <row r="27846" spans="4:11" ht="12.75">
      <c r="D27846" s="67"/>
      <c r="G27846" s="68"/>
      <c r="K27846" s="68"/>
    </row>
    <row r="27847" spans="4:11" ht="12.75">
      <c r="D27847" s="67"/>
      <c r="G27847" s="68"/>
      <c r="K27847" s="68"/>
    </row>
    <row r="27848" spans="4:11" ht="12.75">
      <c r="D27848" s="67"/>
      <c r="G27848" s="68"/>
      <c r="K27848" s="68"/>
    </row>
    <row r="27849" spans="4:11" ht="12.75">
      <c r="D27849" s="67"/>
      <c r="G27849" s="68"/>
      <c r="K27849" s="68"/>
    </row>
    <row r="27850" spans="4:11" ht="12.75">
      <c r="D27850" s="67"/>
      <c r="G27850" s="68"/>
      <c r="K27850" s="68"/>
    </row>
    <row r="27851" spans="4:11" ht="12.75">
      <c r="D27851" s="67"/>
      <c r="G27851" s="68"/>
      <c r="K27851" s="68"/>
    </row>
    <row r="27852" spans="4:11" ht="12.75">
      <c r="D27852" s="67"/>
      <c r="G27852" s="68"/>
      <c r="K27852" s="68"/>
    </row>
    <row r="27853" spans="4:11" ht="12.75">
      <c r="D27853" s="67"/>
      <c r="G27853" s="68"/>
      <c r="K27853" s="68"/>
    </row>
    <row r="27854" spans="4:11" ht="12.75">
      <c r="D27854" s="67"/>
      <c r="G27854" s="68"/>
      <c r="K27854" s="68"/>
    </row>
    <row r="27855" spans="4:11" ht="12.75">
      <c r="D27855" s="67"/>
      <c r="G27855" s="68"/>
      <c r="K27855" s="68"/>
    </row>
    <row r="27856" spans="4:11" ht="12.75">
      <c r="D27856" s="67"/>
      <c r="G27856" s="68"/>
      <c r="K27856" s="68"/>
    </row>
    <row r="27857" spans="4:11" ht="12.75">
      <c r="D27857" s="67"/>
      <c r="G27857" s="68"/>
      <c r="K27857" s="68"/>
    </row>
    <row r="27858" spans="4:11" ht="12.75">
      <c r="D27858" s="67"/>
      <c r="G27858" s="68"/>
      <c r="K27858" s="68"/>
    </row>
    <row r="27859" spans="4:11" ht="12.75">
      <c r="D27859" s="67"/>
      <c r="G27859" s="68"/>
      <c r="K27859" s="68"/>
    </row>
    <row r="27860" spans="4:11" ht="12.75">
      <c r="D27860" s="67"/>
      <c r="G27860" s="68"/>
      <c r="K27860" s="68"/>
    </row>
    <row r="27861" spans="4:11" ht="12.75">
      <c r="D27861" s="67"/>
      <c r="G27861" s="68"/>
      <c r="K27861" s="68"/>
    </row>
    <row r="27862" spans="4:11" ht="12.75">
      <c r="D27862" s="67"/>
      <c r="G27862" s="68"/>
      <c r="K27862" s="68"/>
    </row>
    <row r="27863" spans="4:11" ht="12.75">
      <c r="D27863" s="67"/>
      <c r="G27863" s="68"/>
      <c r="K27863" s="68"/>
    </row>
    <row r="27864" spans="4:11" ht="12.75">
      <c r="D27864" s="67"/>
      <c r="G27864" s="68"/>
      <c r="K27864" s="68"/>
    </row>
    <row r="27865" spans="4:11" ht="12.75">
      <c r="D27865" s="67"/>
      <c r="G27865" s="68"/>
      <c r="K27865" s="68"/>
    </row>
    <row r="27866" spans="4:11" ht="12.75">
      <c r="D27866" s="67"/>
      <c r="G27866" s="68"/>
      <c r="K27866" s="68"/>
    </row>
    <row r="27867" spans="4:11" ht="12.75">
      <c r="D27867" s="67"/>
      <c r="G27867" s="68"/>
      <c r="K27867" s="68"/>
    </row>
    <row r="27868" spans="4:11" ht="12.75">
      <c r="D27868" s="67"/>
      <c r="G27868" s="68"/>
      <c r="K27868" s="68"/>
    </row>
    <row r="27869" spans="4:11" ht="12.75">
      <c r="D27869" s="67"/>
      <c r="G27869" s="68"/>
      <c r="K27869" s="68"/>
    </row>
    <row r="27870" spans="4:11" ht="12.75">
      <c r="D27870" s="67"/>
      <c r="G27870" s="68"/>
      <c r="K27870" s="68"/>
    </row>
    <row r="27871" spans="4:11" ht="12.75">
      <c r="D27871" s="67"/>
      <c r="G27871" s="68"/>
      <c r="K27871" s="68"/>
    </row>
    <row r="27872" spans="4:11" ht="12.75">
      <c r="D27872" s="67"/>
      <c r="G27872" s="68"/>
      <c r="K27872" s="68"/>
    </row>
    <row r="27873" spans="4:11" ht="12.75">
      <c r="D27873" s="67"/>
      <c r="G27873" s="68"/>
      <c r="K27873" s="68"/>
    </row>
    <row r="27874" spans="4:11" ht="12.75">
      <c r="D27874" s="67"/>
      <c r="G27874" s="68"/>
      <c r="K27874" s="68"/>
    </row>
    <row r="27875" spans="4:11" ht="12.75">
      <c r="D27875" s="67"/>
      <c r="G27875" s="68"/>
      <c r="K27875" s="68"/>
    </row>
    <row r="27876" spans="4:11" ht="12.75">
      <c r="D27876" s="67"/>
      <c r="G27876" s="68"/>
      <c r="K27876" s="68"/>
    </row>
    <row r="27877" spans="4:11" ht="12.75">
      <c r="D27877" s="67"/>
      <c r="G27877" s="68"/>
      <c r="K27877" s="68"/>
    </row>
    <row r="27878" spans="4:11" ht="12.75">
      <c r="D27878" s="67"/>
      <c r="G27878" s="68"/>
      <c r="K27878" s="68"/>
    </row>
    <row r="27879" spans="4:11" ht="12.75">
      <c r="D27879" s="67"/>
      <c r="G27879" s="68"/>
      <c r="K27879" s="68"/>
    </row>
    <row r="27880" spans="4:11" ht="12.75">
      <c r="D27880" s="67"/>
      <c r="G27880" s="68"/>
      <c r="K27880" s="68"/>
    </row>
    <row r="27881" spans="4:11" ht="12.75">
      <c r="D27881" s="67"/>
      <c r="G27881" s="68"/>
      <c r="K27881" s="68"/>
    </row>
    <row r="27882" spans="4:11" ht="12.75">
      <c r="D27882" s="67"/>
      <c r="G27882" s="68"/>
      <c r="K27882" s="68"/>
    </row>
    <row r="27883" spans="4:11" ht="12.75">
      <c r="D27883" s="67"/>
      <c r="G27883" s="68"/>
      <c r="K27883" s="68"/>
    </row>
    <row r="27884" spans="4:11" ht="12.75">
      <c r="D27884" s="67"/>
      <c r="G27884" s="68"/>
      <c r="K27884" s="68"/>
    </row>
    <row r="27885" spans="4:11" ht="12.75">
      <c r="D27885" s="67"/>
      <c r="G27885" s="68"/>
      <c r="K27885" s="68"/>
    </row>
    <row r="27886" spans="4:11" ht="12.75">
      <c r="D27886" s="67"/>
      <c r="G27886" s="68"/>
      <c r="K27886" s="68"/>
    </row>
    <row r="27887" spans="4:11" ht="12.75">
      <c r="D27887" s="67"/>
      <c r="G27887" s="68"/>
      <c r="K27887" s="68"/>
    </row>
    <row r="27888" spans="4:11" ht="12.75">
      <c r="D27888" s="67"/>
      <c r="G27888" s="68"/>
      <c r="K27888" s="68"/>
    </row>
    <row r="27889" spans="4:11" ht="12.75">
      <c r="D27889" s="67"/>
      <c r="G27889" s="68"/>
      <c r="K27889" s="68"/>
    </row>
    <row r="27890" spans="4:11" ht="12.75">
      <c r="D27890" s="67"/>
      <c r="G27890" s="68"/>
      <c r="K27890" s="68"/>
    </row>
    <row r="27891" spans="4:11" ht="12.75">
      <c r="D27891" s="67"/>
      <c r="G27891" s="68"/>
      <c r="K27891" s="68"/>
    </row>
    <row r="27892" spans="4:11" ht="12.75">
      <c r="D27892" s="67"/>
      <c r="G27892" s="68"/>
      <c r="K27892" s="68"/>
    </row>
    <row r="27893" spans="4:11" ht="12.75">
      <c r="D27893" s="67"/>
      <c r="G27893" s="68"/>
      <c r="K27893" s="68"/>
    </row>
    <row r="27894" spans="4:11" ht="12.75">
      <c r="D27894" s="67"/>
      <c r="G27894" s="68"/>
      <c r="K27894" s="68"/>
    </row>
    <row r="27895" spans="4:11" ht="12.75">
      <c r="D27895" s="67"/>
      <c r="G27895" s="68"/>
      <c r="K27895" s="68"/>
    </row>
    <row r="27896" spans="4:11" ht="12.75">
      <c r="D27896" s="67"/>
      <c r="G27896" s="68"/>
      <c r="K27896" s="68"/>
    </row>
    <row r="27897" spans="4:11" ht="12.75">
      <c r="D27897" s="67"/>
      <c r="G27897" s="68"/>
      <c r="K27897" s="68"/>
    </row>
    <row r="27898" spans="4:11" ht="12.75">
      <c r="D27898" s="67"/>
      <c r="G27898" s="68"/>
      <c r="K27898" s="68"/>
    </row>
    <row r="27899" spans="4:11" ht="12.75">
      <c r="D27899" s="67"/>
      <c r="G27899" s="68"/>
      <c r="K27899" s="68"/>
    </row>
    <row r="27900" spans="4:11" ht="12.75">
      <c r="D27900" s="67"/>
      <c r="G27900" s="68"/>
      <c r="K27900" s="68"/>
    </row>
    <row r="27901" spans="4:11" ht="12.75">
      <c r="D27901" s="67"/>
      <c r="G27901" s="68"/>
      <c r="K27901" s="68"/>
    </row>
    <row r="27902" spans="4:11" ht="12.75">
      <c r="D27902" s="67"/>
      <c r="G27902" s="68"/>
      <c r="K27902" s="68"/>
    </row>
    <row r="27903" spans="4:11" ht="12.75">
      <c r="D27903" s="67"/>
      <c r="G27903" s="68"/>
      <c r="K27903" s="68"/>
    </row>
    <row r="27904" spans="4:11" ht="12.75">
      <c r="D27904" s="67"/>
      <c r="G27904" s="68"/>
      <c r="K27904" s="68"/>
    </row>
    <row r="27905" spans="4:11" ht="12.75">
      <c r="D27905" s="67"/>
      <c r="G27905" s="68"/>
      <c r="K27905" s="68"/>
    </row>
    <row r="27906" spans="4:11" ht="12.75">
      <c r="D27906" s="67"/>
      <c r="G27906" s="68"/>
      <c r="K27906" s="68"/>
    </row>
    <row r="27907" spans="4:11" ht="12.75">
      <c r="D27907" s="67"/>
      <c r="G27907" s="68"/>
      <c r="K27907" s="68"/>
    </row>
    <row r="27908" spans="4:11" ht="12.75">
      <c r="D27908" s="67"/>
      <c r="G27908" s="68"/>
      <c r="K27908" s="68"/>
    </row>
    <row r="27909" spans="4:11" ht="12.75">
      <c r="D27909" s="67"/>
      <c r="G27909" s="68"/>
      <c r="K27909" s="68"/>
    </row>
    <row r="27910" spans="4:11" ht="12.75">
      <c r="D27910" s="67"/>
      <c r="G27910" s="68"/>
      <c r="K27910" s="68"/>
    </row>
    <row r="27911" spans="4:11" ht="12.75">
      <c r="D27911" s="67"/>
      <c r="G27911" s="68"/>
      <c r="K27911" s="68"/>
    </row>
    <row r="27912" spans="4:11" ht="12.75">
      <c r="D27912" s="67"/>
      <c r="G27912" s="68"/>
      <c r="K27912" s="68"/>
    </row>
    <row r="27913" spans="4:11" ht="12.75">
      <c r="D27913" s="67"/>
      <c r="G27913" s="68"/>
      <c r="K27913" s="68"/>
    </row>
    <row r="27914" spans="4:11" ht="12.75">
      <c r="D27914" s="67"/>
      <c r="G27914" s="68"/>
      <c r="K27914" s="68"/>
    </row>
    <row r="27915" spans="4:11" ht="12.75">
      <c r="D27915" s="67"/>
      <c r="G27915" s="68"/>
      <c r="K27915" s="68"/>
    </row>
    <row r="27916" spans="4:11" ht="12.75">
      <c r="D27916" s="67"/>
      <c r="G27916" s="68"/>
      <c r="K27916" s="68"/>
    </row>
    <row r="27917" spans="4:11" ht="12.75">
      <c r="D27917" s="67"/>
      <c r="G27917" s="68"/>
      <c r="K27917" s="68"/>
    </row>
    <row r="27918" spans="4:11" ht="12.75">
      <c r="D27918" s="67"/>
      <c r="G27918" s="68"/>
      <c r="K27918" s="68"/>
    </row>
    <row r="27919" spans="4:11" ht="12.75">
      <c r="D27919" s="67"/>
      <c r="G27919" s="68"/>
      <c r="K27919" s="68"/>
    </row>
    <row r="27920" spans="4:11" ht="12.75">
      <c r="D27920" s="67"/>
      <c r="G27920" s="68"/>
      <c r="K27920" s="68"/>
    </row>
    <row r="27921" spans="4:11" ht="12.75">
      <c r="D27921" s="67"/>
      <c r="G27921" s="68"/>
      <c r="K27921" s="68"/>
    </row>
    <row r="27922" spans="4:11" ht="12.75">
      <c r="D27922" s="67"/>
      <c r="G27922" s="68"/>
      <c r="K27922" s="68"/>
    </row>
    <row r="27923" spans="4:11" ht="12.75">
      <c r="D27923" s="67"/>
      <c r="G27923" s="68"/>
      <c r="K27923" s="68"/>
    </row>
    <row r="27924" spans="4:11" ht="12.75">
      <c r="D27924" s="67"/>
      <c r="G27924" s="68"/>
      <c r="K27924" s="68"/>
    </row>
    <row r="27925" spans="4:11" ht="12.75">
      <c r="D27925" s="67"/>
      <c r="G27925" s="68"/>
      <c r="K27925" s="68"/>
    </row>
    <row r="27926" spans="4:11" ht="12.75">
      <c r="D27926" s="67"/>
      <c r="G27926" s="68"/>
      <c r="K27926" s="68"/>
    </row>
    <row r="27927" spans="4:11" ht="12.75">
      <c r="D27927" s="67"/>
      <c r="G27927" s="68"/>
      <c r="K27927" s="68"/>
    </row>
    <row r="27928" spans="4:11" ht="12.75">
      <c r="D27928" s="67"/>
      <c r="G27928" s="68"/>
      <c r="K27928" s="68"/>
    </row>
    <row r="27929" spans="4:11" ht="12.75">
      <c r="D27929" s="67"/>
      <c r="G27929" s="68"/>
      <c r="K27929" s="68"/>
    </row>
    <row r="27930" spans="4:11" ht="12.75">
      <c r="D27930" s="67"/>
      <c r="G27930" s="68"/>
      <c r="K27930" s="68"/>
    </row>
    <row r="27931" spans="4:11" ht="12.75">
      <c r="D27931" s="67"/>
      <c r="G27931" s="68"/>
      <c r="K27931" s="68"/>
    </row>
    <row r="27932" spans="4:11" ht="12.75">
      <c r="D27932" s="67"/>
      <c r="G27932" s="68"/>
      <c r="K27932" s="68"/>
    </row>
    <row r="27933" spans="4:11" ht="12.75">
      <c r="D27933" s="67"/>
      <c r="G27933" s="68"/>
      <c r="K27933" s="68"/>
    </row>
    <row r="27934" spans="4:11" ht="12.75">
      <c r="D27934" s="67"/>
      <c r="G27934" s="68"/>
      <c r="K27934" s="68"/>
    </row>
    <row r="27935" spans="4:11" ht="12.75">
      <c r="D27935" s="67"/>
      <c r="G27935" s="68"/>
      <c r="K27935" s="68"/>
    </row>
    <row r="27936" spans="4:11" ht="12.75">
      <c r="D27936" s="67"/>
      <c r="G27936" s="68"/>
      <c r="K27936" s="68"/>
    </row>
    <row r="27937" spans="4:11" ht="12.75">
      <c r="D27937" s="67"/>
      <c r="G27937" s="68"/>
      <c r="K27937" s="68"/>
    </row>
    <row r="27938" spans="4:11" ht="12.75">
      <c r="D27938" s="67"/>
      <c r="G27938" s="68"/>
      <c r="K27938" s="68"/>
    </row>
    <row r="27939" spans="4:11" ht="12.75">
      <c r="D27939" s="67"/>
      <c r="G27939" s="68"/>
      <c r="K27939" s="68"/>
    </row>
    <row r="27940" spans="4:11" ht="12.75">
      <c r="D27940" s="67"/>
      <c r="G27940" s="68"/>
      <c r="K27940" s="68"/>
    </row>
    <row r="27941" spans="4:11" ht="12.75">
      <c r="D27941" s="67"/>
      <c r="G27941" s="68"/>
      <c r="K27941" s="68"/>
    </row>
    <row r="27942" spans="4:11" ht="12.75">
      <c r="D27942" s="67"/>
      <c r="G27942" s="68"/>
      <c r="K27942" s="68"/>
    </row>
    <row r="27943" spans="4:11" ht="12.75">
      <c r="D27943" s="67"/>
      <c r="G27943" s="68"/>
      <c r="K27943" s="68"/>
    </row>
    <row r="27944" spans="4:11" ht="12.75">
      <c r="D27944" s="67"/>
      <c r="G27944" s="68"/>
      <c r="K27944" s="68"/>
    </row>
    <row r="27945" spans="4:11" ht="12.75">
      <c r="D27945" s="67"/>
      <c r="G27945" s="68"/>
      <c r="K27945" s="68"/>
    </row>
    <row r="27946" spans="4:11" ht="12.75">
      <c r="D27946" s="67"/>
      <c r="G27946" s="68"/>
      <c r="K27946" s="68"/>
    </row>
    <row r="27947" spans="4:11" ht="12.75">
      <c r="D27947" s="67"/>
      <c r="G27947" s="68"/>
      <c r="K27947" s="68"/>
    </row>
    <row r="27948" spans="4:11" ht="12.75">
      <c r="D27948" s="67"/>
      <c r="G27948" s="68"/>
      <c r="K27948" s="68"/>
    </row>
    <row r="27949" spans="4:11" ht="12.75">
      <c r="D27949" s="67"/>
      <c r="G27949" s="68"/>
      <c r="K27949" s="68"/>
    </row>
    <row r="27950" spans="4:11" ht="12.75">
      <c r="D27950" s="67"/>
      <c r="G27950" s="68"/>
      <c r="K27950" s="68"/>
    </row>
    <row r="27951" spans="4:11" ht="12.75">
      <c r="D27951" s="67"/>
      <c r="G27951" s="68"/>
      <c r="K27951" s="68"/>
    </row>
    <row r="27952" spans="4:11" ht="12.75">
      <c r="D27952" s="67"/>
      <c r="G27952" s="68"/>
      <c r="K27952" s="68"/>
    </row>
    <row r="27953" spans="4:11" ht="12.75">
      <c r="D27953" s="67"/>
      <c r="G27953" s="68"/>
      <c r="K27953" s="68"/>
    </row>
    <row r="27954" spans="4:11" ht="12.75">
      <c r="D27954" s="67"/>
      <c r="G27954" s="68"/>
      <c r="K27954" s="68"/>
    </row>
    <row r="27955" spans="4:11" ht="12.75">
      <c r="D27955" s="67"/>
      <c r="G27955" s="68"/>
      <c r="K27955" s="68"/>
    </row>
    <row r="27956" spans="4:11" ht="12.75">
      <c r="D27956" s="67"/>
      <c r="G27956" s="68"/>
      <c r="K27956" s="68"/>
    </row>
    <row r="27957" spans="4:11" ht="12.75">
      <c r="D27957" s="67"/>
      <c r="G27957" s="68"/>
      <c r="K27957" s="68"/>
    </row>
    <row r="27958" spans="4:11" ht="12.75">
      <c r="D27958" s="67"/>
      <c r="G27958" s="68"/>
      <c r="K27958" s="68"/>
    </row>
    <row r="27959" spans="4:11" ht="12.75">
      <c r="D27959" s="67"/>
      <c r="G27959" s="68"/>
      <c r="K27959" s="68"/>
    </row>
    <row r="27960" spans="4:11" ht="12.75">
      <c r="D27960" s="67"/>
      <c r="G27960" s="68"/>
      <c r="K27960" s="68"/>
    </row>
    <row r="27961" spans="4:11" ht="12.75">
      <c r="D27961" s="67"/>
      <c r="G27961" s="68"/>
      <c r="K27961" s="68"/>
    </row>
    <row r="27962" spans="4:11" ht="12.75">
      <c r="D27962" s="67"/>
      <c r="G27962" s="68"/>
      <c r="K27962" s="68"/>
    </row>
    <row r="27963" spans="4:11" ht="12.75">
      <c r="D27963" s="67"/>
      <c r="G27963" s="68"/>
      <c r="K27963" s="68"/>
    </row>
    <row r="27964" spans="4:11" ht="12.75">
      <c r="D27964" s="67"/>
      <c r="G27964" s="68"/>
      <c r="K27964" s="68"/>
    </row>
    <row r="27965" spans="4:11" ht="12.75">
      <c r="D27965" s="67"/>
      <c r="G27965" s="68"/>
      <c r="K27965" s="68"/>
    </row>
    <row r="27966" spans="4:11" ht="12.75">
      <c r="D27966" s="67"/>
      <c r="G27966" s="68"/>
      <c r="K27966" s="68"/>
    </row>
    <row r="27967" spans="4:11" ht="12.75">
      <c r="D27967" s="67"/>
      <c r="G27967" s="68"/>
      <c r="K27967" s="68"/>
    </row>
    <row r="27968" spans="4:11" ht="12.75">
      <c r="D27968" s="67"/>
      <c r="G27968" s="68"/>
      <c r="K27968" s="68"/>
    </row>
    <row r="27969" spans="4:11" ht="12.75">
      <c r="D27969" s="67"/>
      <c r="G27969" s="68"/>
      <c r="K27969" s="68"/>
    </row>
    <row r="27970" spans="4:11" ht="12.75">
      <c r="D27970" s="67"/>
      <c r="G27970" s="68"/>
      <c r="K27970" s="68"/>
    </row>
    <row r="27971" spans="4:11" ht="12.75">
      <c r="D27971" s="67"/>
      <c r="G27971" s="68"/>
      <c r="K27971" s="68"/>
    </row>
    <row r="27972" spans="4:11" ht="12.75">
      <c r="D27972" s="67"/>
      <c r="G27972" s="68"/>
      <c r="K27972" s="68"/>
    </row>
    <row r="27973" spans="4:11" ht="12.75">
      <c r="D27973" s="67"/>
      <c r="G27973" s="68"/>
      <c r="K27973" s="68"/>
    </row>
    <row r="27974" spans="4:11" ht="12.75">
      <c r="D27974" s="67"/>
      <c r="G27974" s="68"/>
      <c r="K27974" s="68"/>
    </row>
    <row r="27975" spans="4:11" ht="12.75">
      <c r="D27975" s="67"/>
      <c r="G27975" s="68"/>
      <c r="K27975" s="68"/>
    </row>
    <row r="27976" spans="4:11" ht="12.75">
      <c r="D27976" s="67"/>
      <c r="G27976" s="68"/>
      <c r="K27976" s="68"/>
    </row>
    <row r="27977" spans="4:11" ht="12.75">
      <c r="D27977" s="67"/>
      <c r="G27977" s="68"/>
      <c r="K27977" s="68"/>
    </row>
    <row r="27978" spans="4:11" ht="12.75">
      <c r="D27978" s="67"/>
      <c r="G27978" s="68"/>
      <c r="K27978" s="68"/>
    </row>
    <row r="27979" spans="4:11" ht="12.75">
      <c r="D27979" s="67"/>
      <c r="G27979" s="68"/>
      <c r="K27979" s="68"/>
    </row>
    <row r="27980" spans="4:11" ht="12.75">
      <c r="D27980" s="67"/>
      <c r="G27980" s="68"/>
      <c r="K27980" s="68"/>
    </row>
    <row r="27981" spans="4:11" ht="12.75">
      <c r="D27981" s="67"/>
      <c r="G27981" s="68"/>
      <c r="K27981" s="68"/>
    </row>
    <row r="27982" spans="4:11" ht="12.75">
      <c r="D27982" s="67"/>
      <c r="G27982" s="68"/>
      <c r="K27982" s="68"/>
    </row>
    <row r="27983" spans="4:11" ht="12.75">
      <c r="D27983" s="67"/>
      <c r="G27983" s="68"/>
      <c r="K27983" s="68"/>
    </row>
    <row r="27984" spans="4:11" ht="12.75">
      <c r="D27984" s="67"/>
      <c r="G27984" s="68"/>
      <c r="K27984" s="68"/>
    </row>
    <row r="27985" spans="4:11" ht="12.75">
      <c r="D27985" s="67"/>
      <c r="G27985" s="68"/>
      <c r="K27985" s="68"/>
    </row>
    <row r="27986" spans="4:11" ht="12.75">
      <c r="D27986" s="67"/>
      <c r="G27986" s="68"/>
      <c r="K27986" s="68"/>
    </row>
    <row r="27987" spans="4:11" ht="12.75">
      <c r="D27987" s="67"/>
      <c r="G27987" s="68"/>
      <c r="K27987" s="68"/>
    </row>
    <row r="27988" spans="4:11" ht="12.75">
      <c r="D27988" s="67"/>
      <c r="G27988" s="68"/>
      <c r="K27988" s="68"/>
    </row>
    <row r="27989" spans="4:11" ht="12.75">
      <c r="D27989" s="67"/>
      <c r="G27989" s="68"/>
      <c r="K27989" s="68"/>
    </row>
    <row r="27990" spans="4:11" ht="12.75">
      <c r="D27990" s="67"/>
      <c r="G27990" s="68"/>
      <c r="K27990" s="68"/>
    </row>
    <row r="27991" spans="4:11" ht="12.75">
      <c r="D27991" s="67"/>
      <c r="G27991" s="68"/>
      <c r="K27991" s="68"/>
    </row>
    <row r="27992" spans="4:11" ht="12.75">
      <c r="D27992" s="67"/>
      <c r="G27992" s="68"/>
      <c r="K27992" s="68"/>
    </row>
    <row r="27993" spans="4:11" ht="12.75">
      <c r="D27993" s="67"/>
      <c r="G27993" s="68"/>
      <c r="K27993" s="68"/>
    </row>
    <row r="27994" spans="4:11" ht="12.75">
      <c r="D27994" s="67"/>
      <c r="G27994" s="68"/>
      <c r="K27994" s="68"/>
    </row>
    <row r="27995" spans="4:11" ht="12.75">
      <c r="D27995" s="67"/>
      <c r="G27995" s="68"/>
      <c r="K27995" s="68"/>
    </row>
    <row r="27996" spans="4:11" ht="12.75">
      <c r="D27996" s="67"/>
      <c r="G27996" s="68"/>
      <c r="K27996" s="68"/>
    </row>
    <row r="27997" spans="4:11" ht="12.75">
      <c r="D27997" s="67"/>
      <c r="G27997" s="68"/>
      <c r="K27997" s="68"/>
    </row>
    <row r="27998" spans="4:11" ht="12.75">
      <c r="D27998" s="67"/>
      <c r="G27998" s="68"/>
      <c r="K27998" s="68"/>
    </row>
    <row r="27999" spans="4:11" ht="12.75">
      <c r="D27999" s="67"/>
      <c r="G27999" s="68"/>
      <c r="K27999" s="68"/>
    </row>
    <row r="28000" spans="4:11" ht="12.75">
      <c r="D28000" s="67"/>
      <c r="G28000" s="68"/>
      <c r="K28000" s="68"/>
    </row>
    <row r="28001" spans="4:11" ht="12.75">
      <c r="D28001" s="67"/>
      <c r="G28001" s="68"/>
      <c r="K28001" s="68"/>
    </row>
    <row r="28002" spans="4:11" ht="12.75">
      <c r="D28002" s="67"/>
      <c r="G28002" s="68"/>
      <c r="K28002" s="68"/>
    </row>
    <row r="28003" spans="4:11" ht="12.75">
      <c r="D28003" s="67"/>
      <c r="G28003" s="68"/>
      <c r="K28003" s="68"/>
    </row>
    <row r="28004" spans="4:11" ht="12.75">
      <c r="D28004" s="67"/>
      <c r="G28004" s="68"/>
      <c r="K28004" s="68"/>
    </row>
    <row r="28005" spans="4:11" ht="12.75">
      <c r="D28005" s="67"/>
      <c r="G28005" s="68"/>
      <c r="K28005" s="68"/>
    </row>
    <row r="28006" spans="4:11" ht="12.75">
      <c r="D28006" s="67"/>
      <c r="G28006" s="68"/>
      <c r="K28006" s="68"/>
    </row>
    <row r="28007" spans="4:11" ht="12.75">
      <c r="D28007" s="67"/>
      <c r="G28007" s="68"/>
      <c r="K28007" s="68"/>
    </row>
    <row r="28008" spans="4:11" ht="12.75">
      <c r="D28008" s="67"/>
      <c r="G28008" s="68"/>
      <c r="K28008" s="68"/>
    </row>
    <row r="28009" spans="4:11" ht="12.75">
      <c r="D28009" s="67"/>
      <c r="G28009" s="68"/>
      <c r="K28009" s="68"/>
    </row>
    <row r="28010" spans="4:11" ht="12.75">
      <c r="D28010" s="67"/>
      <c r="G28010" s="68"/>
      <c r="K28010" s="68"/>
    </row>
    <row r="28011" spans="4:11" ht="12.75">
      <c r="D28011" s="67"/>
      <c r="G28011" s="68"/>
      <c r="K28011" s="68"/>
    </row>
    <row r="28012" spans="4:11" ht="12.75">
      <c r="D28012" s="67"/>
      <c r="G28012" s="68"/>
      <c r="K28012" s="68"/>
    </row>
    <row r="28013" spans="4:11" ht="12.75">
      <c r="D28013" s="67"/>
      <c r="G28013" s="68"/>
      <c r="K28013" s="68"/>
    </row>
    <row r="28014" spans="4:11" ht="12.75">
      <c r="D28014" s="67"/>
      <c r="G28014" s="68"/>
      <c r="K28014" s="68"/>
    </row>
    <row r="28015" spans="4:11" ht="12.75">
      <c r="D28015" s="67"/>
      <c r="G28015" s="68"/>
      <c r="K28015" s="68"/>
    </row>
    <row r="28016" spans="4:11" ht="12.75">
      <c r="D28016" s="67"/>
      <c r="G28016" s="68"/>
      <c r="K28016" s="68"/>
    </row>
    <row r="28017" spans="4:11" ht="12.75">
      <c r="D28017" s="67"/>
      <c r="G28017" s="68"/>
      <c r="K28017" s="68"/>
    </row>
    <row r="28018" spans="4:11" ht="12.75">
      <c r="D28018" s="67"/>
      <c r="G28018" s="68"/>
      <c r="K28018" s="68"/>
    </row>
    <row r="28019" spans="4:11" ht="12.75">
      <c r="D28019" s="67"/>
      <c r="G28019" s="68"/>
      <c r="K28019" s="68"/>
    </row>
    <row r="28020" spans="4:11" ht="12.75">
      <c r="D28020" s="67"/>
      <c r="G28020" s="68"/>
      <c r="K28020" s="68"/>
    </row>
    <row r="28021" spans="4:11" ht="12.75">
      <c r="D28021" s="67"/>
      <c r="G28021" s="68"/>
      <c r="K28021" s="68"/>
    </row>
    <row r="28022" spans="4:11" ht="12.75">
      <c r="D28022" s="67"/>
      <c r="G28022" s="68"/>
      <c r="K28022" s="68"/>
    </row>
    <row r="28023" spans="4:11" ht="12.75">
      <c r="D28023" s="67"/>
      <c r="G28023" s="68"/>
      <c r="K28023" s="68"/>
    </row>
    <row r="28024" spans="4:11" ht="12.75">
      <c r="D28024" s="67"/>
      <c r="G28024" s="68"/>
      <c r="K28024" s="68"/>
    </row>
    <row r="28025" spans="4:11" ht="12.75">
      <c r="D28025" s="67"/>
      <c r="G28025" s="68"/>
      <c r="K28025" s="68"/>
    </row>
    <row r="28026" spans="4:11" ht="12.75">
      <c r="D28026" s="67"/>
      <c r="G28026" s="68"/>
      <c r="K28026" s="68"/>
    </row>
    <row r="28027" spans="4:11" ht="12.75">
      <c r="D28027" s="67"/>
      <c r="G28027" s="68"/>
      <c r="K28027" s="68"/>
    </row>
    <row r="28028" spans="4:11" ht="12.75">
      <c r="D28028" s="67"/>
      <c r="G28028" s="68"/>
      <c r="K28028" s="68"/>
    </row>
    <row r="28029" spans="4:11" ht="12.75">
      <c r="D28029" s="67"/>
      <c r="G28029" s="68"/>
      <c r="K28029" s="68"/>
    </row>
    <row r="28030" spans="4:11" ht="12.75">
      <c r="D28030" s="67"/>
      <c r="G28030" s="68"/>
      <c r="K28030" s="68"/>
    </row>
    <row r="28031" spans="4:11" ht="12.75">
      <c r="D28031" s="67"/>
      <c r="G28031" s="68"/>
      <c r="K28031" s="68"/>
    </row>
    <row r="28032" spans="4:11" ht="12.75">
      <c r="D28032" s="67"/>
      <c r="G28032" s="68"/>
      <c r="K28032" s="68"/>
    </row>
    <row r="28033" spans="4:11" ht="12.75">
      <c r="D28033" s="67"/>
      <c r="G28033" s="68"/>
      <c r="K28033" s="68"/>
    </row>
    <row r="28034" spans="4:11" ht="12.75">
      <c r="D28034" s="67"/>
      <c r="G28034" s="68"/>
      <c r="K28034" s="68"/>
    </row>
    <row r="28035" spans="4:11" ht="12.75">
      <c r="D28035" s="67"/>
      <c r="G28035" s="68"/>
      <c r="K28035" s="68"/>
    </row>
    <row r="28036" spans="4:11" ht="12.75">
      <c r="D28036" s="67"/>
      <c r="G28036" s="68"/>
      <c r="K28036" s="68"/>
    </row>
    <row r="28037" spans="4:11" ht="12.75">
      <c r="D28037" s="67"/>
      <c r="G28037" s="68"/>
      <c r="K28037" s="68"/>
    </row>
    <row r="28038" spans="4:11" ht="12.75">
      <c r="D28038" s="67"/>
      <c r="G28038" s="68"/>
      <c r="K28038" s="68"/>
    </row>
    <row r="28039" spans="4:11" ht="12.75">
      <c r="D28039" s="67"/>
      <c r="G28039" s="68"/>
      <c r="K28039" s="68"/>
    </row>
    <row r="28040" spans="4:11" ht="12.75">
      <c r="D28040" s="67"/>
      <c r="G28040" s="68"/>
      <c r="K28040" s="68"/>
    </row>
    <row r="28041" spans="4:11" ht="12.75">
      <c r="D28041" s="67"/>
      <c r="G28041" s="68"/>
      <c r="K28041" s="68"/>
    </row>
    <row r="28042" spans="4:11" ht="12.75">
      <c r="D28042" s="67"/>
      <c r="G28042" s="68"/>
      <c r="K28042" s="68"/>
    </row>
    <row r="28043" spans="4:11" ht="12.75">
      <c r="D28043" s="67"/>
      <c r="G28043" s="68"/>
      <c r="K28043" s="68"/>
    </row>
    <row r="28044" spans="4:11" ht="12.75">
      <c r="D28044" s="67"/>
      <c r="G28044" s="68"/>
      <c r="K28044" s="68"/>
    </row>
    <row r="28045" spans="4:11" ht="12.75">
      <c r="D28045" s="67"/>
      <c r="G28045" s="68"/>
      <c r="K28045" s="68"/>
    </row>
    <row r="28046" spans="4:11" ht="12.75">
      <c r="D28046" s="67"/>
      <c r="G28046" s="68"/>
      <c r="K28046" s="68"/>
    </row>
    <row r="28047" spans="4:11" ht="12.75">
      <c r="D28047" s="67"/>
      <c r="G28047" s="68"/>
      <c r="K28047" s="68"/>
    </row>
    <row r="28048" spans="4:11" ht="12.75">
      <c r="D28048" s="67"/>
      <c r="G28048" s="68"/>
      <c r="K28048" s="68"/>
    </row>
    <row r="28049" spans="4:11" ht="12.75">
      <c r="D28049" s="67"/>
      <c r="G28049" s="68"/>
      <c r="K28049" s="68"/>
    </row>
    <row r="28050" spans="4:11" ht="12.75">
      <c r="D28050" s="67"/>
      <c r="G28050" s="68"/>
      <c r="K28050" s="68"/>
    </row>
    <row r="28051" spans="4:11" ht="12.75">
      <c r="D28051" s="67"/>
      <c r="G28051" s="68"/>
      <c r="K28051" s="68"/>
    </row>
    <row r="28052" spans="4:11" ht="12.75">
      <c r="D28052" s="67"/>
      <c r="G28052" s="68"/>
      <c r="K28052" s="68"/>
    </row>
    <row r="28053" spans="4:11" ht="12.75">
      <c r="D28053" s="67"/>
      <c r="G28053" s="68"/>
      <c r="K28053" s="68"/>
    </row>
    <row r="28054" spans="4:11" ht="12.75">
      <c r="D28054" s="67"/>
      <c r="G28054" s="68"/>
      <c r="K28054" s="68"/>
    </row>
    <row r="28055" spans="4:11" ht="12.75">
      <c r="D28055" s="67"/>
      <c r="G28055" s="68"/>
      <c r="K28055" s="68"/>
    </row>
    <row r="28056" spans="4:11" ht="12.75">
      <c r="D28056" s="67"/>
      <c r="G28056" s="68"/>
      <c r="K28056" s="68"/>
    </row>
    <row r="28057" spans="4:11" ht="12.75">
      <c r="D28057" s="67"/>
      <c r="G28057" s="68"/>
      <c r="K28057" s="68"/>
    </row>
    <row r="28058" spans="4:11" ht="12.75">
      <c r="D28058" s="67"/>
      <c r="G28058" s="68"/>
      <c r="K28058" s="68"/>
    </row>
    <row r="28059" spans="4:11" ht="12.75">
      <c r="D28059" s="67"/>
      <c r="G28059" s="68"/>
      <c r="K28059" s="68"/>
    </row>
    <row r="28060" spans="4:11" ht="12.75">
      <c r="D28060" s="67"/>
      <c r="G28060" s="68"/>
      <c r="K28060" s="68"/>
    </row>
    <row r="28061" spans="4:11" ht="12.75">
      <c r="D28061" s="67"/>
      <c r="G28061" s="68"/>
      <c r="K28061" s="68"/>
    </row>
    <row r="28062" spans="4:11" ht="12.75">
      <c r="D28062" s="67"/>
      <c r="G28062" s="68"/>
      <c r="K28062" s="68"/>
    </row>
    <row r="28063" spans="4:11" ht="12.75">
      <c r="D28063" s="67"/>
      <c r="G28063" s="68"/>
      <c r="K28063" s="68"/>
    </row>
    <row r="28064" spans="4:11" ht="12.75">
      <c r="D28064" s="67"/>
      <c r="G28064" s="68"/>
      <c r="K28064" s="68"/>
    </row>
    <row r="28065" spans="4:11" ht="12.75">
      <c r="D28065" s="67"/>
      <c r="G28065" s="68"/>
      <c r="K28065" s="68"/>
    </row>
    <row r="28066" spans="4:11" ht="12.75">
      <c r="D28066" s="67"/>
      <c r="G28066" s="68"/>
      <c r="K28066" s="68"/>
    </row>
    <row r="28067" spans="4:11" ht="12.75">
      <c r="D28067" s="67"/>
      <c r="G28067" s="68"/>
      <c r="K28067" s="68"/>
    </row>
    <row r="28068" spans="4:11" ht="12.75">
      <c r="D28068" s="67"/>
      <c r="G28068" s="68"/>
      <c r="K28068" s="68"/>
    </row>
    <row r="28069" spans="4:11" ht="12.75">
      <c r="D28069" s="67"/>
      <c r="G28069" s="68"/>
      <c r="K28069" s="68"/>
    </row>
    <row r="28070" spans="4:11" ht="12.75">
      <c r="D28070" s="67"/>
      <c r="G28070" s="68"/>
      <c r="K28070" s="68"/>
    </row>
    <row r="28071" spans="4:11" ht="12.75">
      <c r="D28071" s="67"/>
      <c r="G28071" s="68"/>
      <c r="K28071" s="68"/>
    </row>
    <row r="28072" spans="4:11" ht="12.75">
      <c r="D28072" s="67"/>
      <c r="G28072" s="68"/>
      <c r="K28072" s="68"/>
    </row>
    <row r="28073" spans="4:11" ht="12.75">
      <c r="D28073" s="67"/>
      <c r="G28073" s="68"/>
      <c r="K28073" s="68"/>
    </row>
    <row r="28074" spans="4:11" ht="12.75">
      <c r="D28074" s="67"/>
      <c r="G28074" s="68"/>
      <c r="K28074" s="68"/>
    </row>
    <row r="28075" spans="4:11" ht="12.75">
      <c r="D28075" s="67"/>
      <c r="G28075" s="68"/>
      <c r="K28075" s="68"/>
    </row>
    <row r="28076" spans="4:11" ht="12.75">
      <c r="D28076" s="67"/>
      <c r="G28076" s="68"/>
      <c r="K28076" s="68"/>
    </row>
    <row r="28077" spans="4:11" ht="12.75">
      <c r="D28077" s="67"/>
      <c r="G28077" s="68"/>
      <c r="K28077" s="68"/>
    </row>
    <row r="28078" spans="4:11" ht="12.75">
      <c r="D28078" s="67"/>
      <c r="G28078" s="68"/>
      <c r="K28078" s="68"/>
    </row>
    <row r="28079" spans="4:11" ht="12.75">
      <c r="D28079" s="67"/>
      <c r="G28079" s="68"/>
      <c r="K28079" s="68"/>
    </row>
    <row r="28080" spans="4:11" ht="12.75">
      <c r="D28080" s="67"/>
      <c r="G28080" s="68"/>
      <c r="K28080" s="68"/>
    </row>
    <row r="28081" spans="4:11" ht="12.75">
      <c r="D28081" s="67"/>
      <c r="G28081" s="68"/>
      <c r="K28081" s="68"/>
    </row>
    <row r="28082" spans="4:11" ht="12.75">
      <c r="D28082" s="67"/>
      <c r="G28082" s="68"/>
      <c r="K28082" s="68"/>
    </row>
    <row r="28083" spans="4:11" ht="12.75">
      <c r="D28083" s="67"/>
      <c r="G28083" s="68"/>
      <c r="K28083" s="68"/>
    </row>
    <row r="28084" spans="4:11" ht="12.75">
      <c r="D28084" s="67"/>
      <c r="G28084" s="68"/>
      <c r="K28084" s="68"/>
    </row>
    <row r="28085" spans="4:11" ht="12.75">
      <c r="D28085" s="67"/>
      <c r="G28085" s="68"/>
      <c r="K28085" s="68"/>
    </row>
    <row r="28086" spans="4:11" ht="12.75">
      <c r="D28086" s="67"/>
      <c r="G28086" s="68"/>
      <c r="K28086" s="68"/>
    </row>
    <row r="28087" spans="4:11" ht="12.75">
      <c r="D28087" s="67"/>
      <c r="G28087" s="68"/>
      <c r="K28087" s="68"/>
    </row>
    <row r="28088" spans="4:11" ht="12.75">
      <c r="D28088" s="67"/>
      <c r="G28088" s="68"/>
      <c r="K28088" s="68"/>
    </row>
    <row r="28089" spans="4:11" ht="12.75">
      <c r="D28089" s="67"/>
      <c r="G28089" s="68"/>
      <c r="K28089" s="68"/>
    </row>
    <row r="28090" spans="4:11" ht="12.75">
      <c r="D28090" s="67"/>
      <c r="G28090" s="68"/>
      <c r="K28090" s="68"/>
    </row>
    <row r="28091" spans="4:11" ht="12.75">
      <c r="D28091" s="67"/>
      <c r="G28091" s="68"/>
      <c r="K28091" s="68"/>
    </row>
    <row r="28092" spans="4:11" ht="12.75">
      <c r="D28092" s="67"/>
      <c r="G28092" s="68"/>
      <c r="K28092" s="68"/>
    </row>
    <row r="28093" spans="4:11" ht="12.75">
      <c r="D28093" s="67"/>
      <c r="G28093" s="68"/>
      <c r="K28093" s="68"/>
    </row>
    <row r="28094" spans="4:11" ht="12.75">
      <c r="D28094" s="67"/>
      <c r="G28094" s="68"/>
      <c r="K28094" s="68"/>
    </row>
    <row r="28095" spans="4:11" ht="12.75">
      <c r="D28095" s="67"/>
      <c r="G28095" s="68"/>
      <c r="K28095" s="68"/>
    </row>
    <row r="28096" spans="4:11" ht="12.75">
      <c r="D28096" s="67"/>
      <c r="G28096" s="68"/>
      <c r="K28096" s="68"/>
    </row>
    <row r="28097" spans="4:11" ht="12.75">
      <c r="D28097" s="67"/>
      <c r="G28097" s="68"/>
      <c r="K28097" s="68"/>
    </row>
    <row r="28098" spans="4:11" ht="12.75">
      <c r="D28098" s="67"/>
      <c r="G28098" s="68"/>
      <c r="K28098" s="68"/>
    </row>
    <row r="28099" spans="4:11" ht="12.75">
      <c r="D28099" s="67"/>
      <c r="G28099" s="68"/>
      <c r="K28099" s="68"/>
    </row>
    <row r="28100" spans="4:11" ht="12.75">
      <c r="D28100" s="67"/>
      <c r="G28100" s="68"/>
      <c r="K28100" s="68"/>
    </row>
    <row r="28101" spans="4:11" ht="12.75">
      <c r="D28101" s="67"/>
      <c r="G28101" s="68"/>
      <c r="K28101" s="68"/>
    </row>
    <row r="28102" spans="4:11" ht="12.75">
      <c r="D28102" s="67"/>
      <c r="G28102" s="68"/>
      <c r="K28102" s="68"/>
    </row>
    <row r="28103" spans="4:11" ht="12.75">
      <c r="D28103" s="67"/>
      <c r="G28103" s="68"/>
      <c r="K28103" s="68"/>
    </row>
    <row r="28104" spans="4:11" ht="12.75">
      <c r="D28104" s="67"/>
      <c r="G28104" s="68"/>
      <c r="K28104" s="68"/>
    </row>
    <row r="28105" spans="4:11" ht="12.75">
      <c r="D28105" s="67"/>
      <c r="G28105" s="68"/>
      <c r="K28105" s="68"/>
    </row>
    <row r="28106" spans="4:11" ht="12.75">
      <c r="D28106" s="67"/>
      <c r="G28106" s="68"/>
      <c r="K28106" s="68"/>
    </row>
    <row r="28107" spans="4:11" ht="12.75">
      <c r="D28107" s="67"/>
      <c r="G28107" s="68"/>
      <c r="K28107" s="68"/>
    </row>
    <row r="28108" spans="4:11" ht="12.75">
      <c r="D28108" s="67"/>
      <c r="G28108" s="68"/>
      <c r="K28108" s="68"/>
    </row>
    <row r="28109" spans="4:11" ht="12.75">
      <c r="D28109" s="67"/>
      <c r="G28109" s="68"/>
      <c r="K28109" s="68"/>
    </row>
    <row r="28110" spans="4:11" ht="12.75">
      <c r="D28110" s="67"/>
      <c r="G28110" s="68"/>
      <c r="K28110" s="68"/>
    </row>
    <row r="28111" spans="4:11" ht="12.75">
      <c r="D28111" s="67"/>
      <c r="G28111" s="68"/>
      <c r="K28111" s="68"/>
    </row>
    <row r="28112" spans="4:11" ht="12.75">
      <c r="D28112" s="67"/>
      <c r="G28112" s="68"/>
      <c r="K28112" s="68"/>
    </row>
    <row r="28113" spans="4:11" ht="12.75">
      <c r="D28113" s="67"/>
      <c r="G28113" s="68"/>
      <c r="K28113" s="68"/>
    </row>
    <row r="28114" spans="4:11" ht="12.75">
      <c r="D28114" s="67"/>
      <c r="G28114" s="68"/>
      <c r="K28114" s="68"/>
    </row>
    <row r="28115" spans="4:11" ht="12.75">
      <c r="D28115" s="67"/>
      <c r="G28115" s="68"/>
      <c r="K28115" s="68"/>
    </row>
    <row r="28116" spans="4:11" ht="12.75">
      <c r="D28116" s="67"/>
      <c r="G28116" s="68"/>
      <c r="K28116" s="68"/>
    </row>
    <row r="28117" spans="4:11" ht="12.75">
      <c r="D28117" s="67"/>
      <c r="G28117" s="68"/>
      <c r="K28117" s="68"/>
    </row>
    <row r="28118" spans="4:11" ht="12.75">
      <c r="D28118" s="67"/>
      <c r="G28118" s="68"/>
      <c r="K28118" s="68"/>
    </row>
    <row r="28119" spans="4:11" ht="12.75">
      <c r="D28119" s="67"/>
      <c r="G28119" s="68"/>
      <c r="K28119" s="68"/>
    </row>
    <row r="28120" spans="4:11" ht="12.75">
      <c r="D28120" s="67"/>
      <c r="G28120" s="68"/>
      <c r="K28120" s="68"/>
    </row>
    <row r="28121" spans="4:11" ht="12.75">
      <c r="D28121" s="67"/>
      <c r="G28121" s="68"/>
      <c r="K28121" s="68"/>
    </row>
    <row r="28122" spans="4:11" ht="12.75">
      <c r="D28122" s="67"/>
      <c r="G28122" s="68"/>
      <c r="K28122" s="68"/>
    </row>
    <row r="28123" spans="4:11" ht="12.75">
      <c r="D28123" s="67"/>
      <c r="G28123" s="68"/>
      <c r="K28123" s="68"/>
    </row>
    <row r="28124" spans="4:11" ht="12.75">
      <c r="D28124" s="67"/>
      <c r="G28124" s="68"/>
      <c r="K28124" s="68"/>
    </row>
    <row r="28125" spans="4:11" ht="12.75">
      <c r="D28125" s="67"/>
      <c r="G28125" s="68"/>
      <c r="K28125" s="68"/>
    </row>
    <row r="28126" spans="4:11" ht="12.75">
      <c r="D28126" s="67"/>
      <c r="G28126" s="68"/>
      <c r="K28126" s="68"/>
    </row>
    <row r="28127" spans="4:11" ht="12.75">
      <c r="D28127" s="67"/>
      <c r="G28127" s="68"/>
      <c r="K28127" s="68"/>
    </row>
    <row r="28128" spans="4:11" ht="12.75">
      <c r="D28128" s="67"/>
      <c r="G28128" s="68"/>
      <c r="K28128" s="68"/>
    </row>
    <row r="28129" spans="4:11" ht="12.75">
      <c r="D28129" s="67"/>
      <c r="G28129" s="68"/>
      <c r="K28129" s="68"/>
    </row>
    <row r="28130" spans="4:11" ht="12.75">
      <c r="D28130" s="67"/>
      <c r="G28130" s="68"/>
      <c r="K28130" s="68"/>
    </row>
    <row r="28131" spans="4:11" ht="12.75">
      <c r="D28131" s="67"/>
      <c r="G28131" s="68"/>
      <c r="K28131" s="68"/>
    </row>
    <row r="28132" spans="4:11" ht="12.75">
      <c r="D28132" s="67"/>
      <c r="G28132" s="68"/>
      <c r="K28132" s="68"/>
    </row>
    <row r="28133" spans="4:11" ht="12.75">
      <c r="D28133" s="67"/>
      <c r="G28133" s="68"/>
      <c r="K28133" s="68"/>
    </row>
    <row r="28134" spans="4:11" ht="12.75">
      <c r="D28134" s="67"/>
      <c r="G28134" s="68"/>
      <c r="K28134" s="68"/>
    </row>
    <row r="28135" spans="4:11" ht="12.75">
      <c r="D28135" s="67"/>
      <c r="G28135" s="68"/>
      <c r="K28135" s="68"/>
    </row>
    <row r="28136" spans="4:11" ht="12.75">
      <c r="D28136" s="67"/>
      <c r="G28136" s="68"/>
      <c r="K28136" s="68"/>
    </row>
    <row r="28137" spans="4:11" ht="12.75">
      <c r="D28137" s="67"/>
      <c r="G28137" s="68"/>
      <c r="K28137" s="68"/>
    </row>
    <row r="28138" spans="4:11" ht="12.75">
      <c r="D28138" s="67"/>
      <c r="G28138" s="68"/>
      <c r="K28138" s="68"/>
    </row>
    <row r="28139" spans="4:11" ht="12.75">
      <c r="D28139" s="67"/>
      <c r="G28139" s="68"/>
      <c r="K28139" s="68"/>
    </row>
    <row r="28140" spans="4:11" ht="12.75">
      <c r="D28140" s="67"/>
      <c r="G28140" s="68"/>
      <c r="K28140" s="68"/>
    </row>
    <row r="28141" spans="4:11" ht="12.75">
      <c r="D28141" s="67"/>
      <c r="G28141" s="68"/>
      <c r="K28141" s="68"/>
    </row>
    <row r="28142" spans="4:11" ht="12.75">
      <c r="D28142" s="67"/>
      <c r="G28142" s="68"/>
      <c r="K28142" s="68"/>
    </row>
    <row r="28143" spans="4:11" ht="12.75">
      <c r="D28143" s="67"/>
      <c r="G28143" s="68"/>
      <c r="K28143" s="68"/>
    </row>
    <row r="28144" spans="4:11" ht="12.75">
      <c r="D28144" s="67"/>
      <c r="G28144" s="68"/>
      <c r="K28144" s="68"/>
    </row>
    <row r="28145" spans="4:11" ht="12.75">
      <c r="D28145" s="67"/>
      <c r="G28145" s="68"/>
      <c r="K28145" s="68"/>
    </row>
    <row r="28146" spans="4:11" ht="12.75">
      <c r="D28146" s="67"/>
      <c r="G28146" s="68"/>
      <c r="K28146" s="68"/>
    </row>
    <row r="28147" spans="4:11" ht="12.75">
      <c r="D28147" s="67"/>
      <c r="G28147" s="68"/>
      <c r="K28147" s="68"/>
    </row>
    <row r="28148" spans="4:11" ht="12.75">
      <c r="D28148" s="67"/>
      <c r="G28148" s="68"/>
      <c r="K28148" s="68"/>
    </row>
    <row r="28149" spans="4:11" ht="12.75">
      <c r="D28149" s="67"/>
      <c r="G28149" s="68"/>
      <c r="K28149" s="68"/>
    </row>
    <row r="28150" spans="4:11" ht="12.75">
      <c r="D28150" s="67"/>
      <c r="G28150" s="68"/>
      <c r="K28150" s="68"/>
    </row>
    <row r="28151" spans="4:11" ht="12.75">
      <c r="D28151" s="67"/>
      <c r="G28151" s="68"/>
      <c r="K28151" s="68"/>
    </row>
    <row r="28152" spans="4:11" ht="12.75">
      <c r="D28152" s="67"/>
      <c r="G28152" s="68"/>
      <c r="K28152" s="68"/>
    </row>
    <row r="28153" spans="4:11" ht="12.75">
      <c r="D28153" s="67"/>
      <c r="G28153" s="68"/>
      <c r="K28153" s="68"/>
    </row>
    <row r="28154" spans="4:11" ht="12.75">
      <c r="D28154" s="67"/>
      <c r="G28154" s="68"/>
      <c r="K28154" s="68"/>
    </row>
    <row r="28155" spans="4:11" ht="12.75">
      <c r="D28155" s="67"/>
      <c r="G28155" s="68"/>
      <c r="K28155" s="68"/>
    </row>
    <row r="28156" spans="4:11" ht="12.75">
      <c r="D28156" s="67"/>
      <c r="G28156" s="68"/>
      <c r="K28156" s="68"/>
    </row>
    <row r="28157" spans="4:11" ht="12.75">
      <c r="D28157" s="67"/>
      <c r="G28157" s="68"/>
      <c r="K28157" s="68"/>
    </row>
    <row r="28158" spans="4:11" ht="12.75">
      <c r="D28158" s="67"/>
      <c r="G28158" s="68"/>
      <c r="K28158" s="68"/>
    </row>
    <row r="28159" spans="4:11" ht="12.75">
      <c r="D28159" s="67"/>
      <c r="G28159" s="68"/>
      <c r="K28159" s="68"/>
    </row>
    <row r="28160" spans="4:11" ht="12.75">
      <c r="D28160" s="67"/>
      <c r="G28160" s="68"/>
      <c r="K28160" s="68"/>
    </row>
    <row r="28161" spans="4:11" ht="12.75">
      <c r="D28161" s="67"/>
      <c r="G28161" s="68"/>
      <c r="K28161" s="68"/>
    </row>
    <row r="28162" spans="4:11" ht="12.75">
      <c r="D28162" s="67"/>
      <c r="G28162" s="68"/>
      <c r="K28162" s="68"/>
    </row>
    <row r="28163" spans="4:11" ht="12.75">
      <c r="D28163" s="67"/>
      <c r="G28163" s="68"/>
      <c r="K28163" s="68"/>
    </row>
    <row r="28164" spans="4:11" ht="12.75">
      <c r="D28164" s="67"/>
      <c r="G28164" s="68"/>
      <c r="K28164" s="68"/>
    </row>
    <row r="28165" spans="4:11" ht="12.75">
      <c r="D28165" s="67"/>
      <c r="G28165" s="68"/>
      <c r="K28165" s="68"/>
    </row>
    <row r="28166" spans="4:11" ht="12.75">
      <c r="D28166" s="67"/>
      <c r="G28166" s="68"/>
      <c r="K28166" s="68"/>
    </row>
    <row r="28167" spans="4:11" ht="12.75">
      <c r="D28167" s="67"/>
      <c r="G28167" s="68"/>
      <c r="K28167" s="68"/>
    </row>
    <row r="28168" spans="4:11" ht="12.75">
      <c r="D28168" s="67"/>
      <c r="G28168" s="68"/>
      <c r="K28168" s="68"/>
    </row>
    <row r="28169" spans="4:11" ht="12.75">
      <c r="D28169" s="67"/>
      <c r="G28169" s="68"/>
      <c r="K28169" s="68"/>
    </row>
    <row r="28170" spans="4:11" ht="12.75">
      <c r="D28170" s="67"/>
      <c r="G28170" s="68"/>
      <c r="K28170" s="68"/>
    </row>
    <row r="28171" spans="4:11" ht="12.75">
      <c r="D28171" s="67"/>
      <c r="G28171" s="68"/>
      <c r="K28171" s="68"/>
    </row>
    <row r="28172" spans="4:11" ht="12.75">
      <c r="D28172" s="67"/>
      <c r="G28172" s="68"/>
      <c r="K28172" s="68"/>
    </row>
    <row r="28173" spans="4:11" ht="12.75">
      <c r="D28173" s="67"/>
      <c r="G28173" s="68"/>
      <c r="K28173" s="68"/>
    </row>
    <row r="28174" spans="4:11" ht="12.75">
      <c r="D28174" s="67"/>
      <c r="G28174" s="68"/>
      <c r="K28174" s="68"/>
    </row>
    <row r="28175" spans="4:11" ht="12.75">
      <c r="D28175" s="67"/>
      <c r="G28175" s="68"/>
      <c r="K28175" s="68"/>
    </row>
    <row r="28176" spans="4:11" ht="12.75">
      <c r="D28176" s="67"/>
      <c r="G28176" s="68"/>
      <c r="K28176" s="68"/>
    </row>
    <row r="28177" spans="4:11" ht="12.75">
      <c r="D28177" s="67"/>
      <c r="G28177" s="68"/>
      <c r="K28177" s="68"/>
    </row>
    <row r="28178" spans="4:11" ht="12.75">
      <c r="D28178" s="67"/>
      <c r="G28178" s="68"/>
      <c r="K28178" s="68"/>
    </row>
    <row r="28179" spans="4:11" ht="12.75">
      <c r="D28179" s="67"/>
      <c r="G28179" s="68"/>
      <c r="K28179" s="68"/>
    </row>
    <row r="28180" spans="4:11" ht="12.75">
      <c r="D28180" s="67"/>
      <c r="G28180" s="68"/>
      <c r="K28180" s="68"/>
    </row>
    <row r="28181" spans="4:11" ht="12.75">
      <c r="D28181" s="67"/>
      <c r="G28181" s="68"/>
      <c r="K28181" s="68"/>
    </row>
    <row r="28182" spans="4:11" ht="12.75">
      <c r="D28182" s="67"/>
      <c r="G28182" s="68"/>
      <c r="K28182" s="68"/>
    </row>
    <row r="28183" spans="4:11" ht="12.75">
      <c r="D28183" s="67"/>
      <c r="G28183" s="68"/>
      <c r="K28183" s="68"/>
    </row>
    <row r="28184" spans="4:11" ht="12.75">
      <c r="D28184" s="67"/>
      <c r="G28184" s="68"/>
      <c r="K28184" s="68"/>
    </row>
    <row r="28185" spans="4:11" ht="12.75">
      <c r="D28185" s="67"/>
      <c r="G28185" s="68"/>
      <c r="K28185" s="68"/>
    </row>
    <row r="28186" spans="4:11" ht="12.75">
      <c r="D28186" s="67"/>
      <c r="G28186" s="68"/>
      <c r="K28186" s="68"/>
    </row>
    <row r="28187" spans="4:11" ht="12.75">
      <c r="D28187" s="67"/>
      <c r="G28187" s="68"/>
      <c r="K28187" s="68"/>
    </row>
    <row r="28188" spans="4:11" ht="12.75">
      <c r="D28188" s="67"/>
      <c r="G28188" s="68"/>
      <c r="K28188" s="68"/>
    </row>
    <row r="28189" spans="4:11" ht="12.75">
      <c r="D28189" s="67"/>
      <c r="G28189" s="68"/>
      <c r="K28189" s="68"/>
    </row>
    <row r="28190" spans="4:11" ht="12.75">
      <c r="D28190" s="67"/>
      <c r="G28190" s="68"/>
      <c r="K28190" s="68"/>
    </row>
    <row r="28191" spans="4:11" ht="12.75">
      <c r="D28191" s="67"/>
      <c r="G28191" s="68"/>
      <c r="K28191" s="68"/>
    </row>
    <row r="28192" spans="4:11" ht="12.75">
      <c r="D28192" s="67"/>
      <c r="G28192" s="68"/>
      <c r="K28192" s="68"/>
    </row>
    <row r="28193" spans="4:11" ht="12.75">
      <c r="D28193" s="67"/>
      <c r="G28193" s="68"/>
      <c r="K28193" s="68"/>
    </row>
    <row r="28194" spans="4:11" ht="12.75">
      <c r="D28194" s="67"/>
      <c r="G28194" s="68"/>
      <c r="K28194" s="68"/>
    </row>
    <row r="28195" spans="4:11" ht="12.75">
      <c r="D28195" s="67"/>
      <c r="G28195" s="68"/>
      <c r="K28195" s="68"/>
    </row>
    <row r="28196" spans="4:11" ht="12.75">
      <c r="D28196" s="67"/>
      <c r="G28196" s="68"/>
      <c r="K28196" s="68"/>
    </row>
    <row r="28197" spans="4:11" ht="12.75">
      <c r="D28197" s="67"/>
      <c r="G28197" s="68"/>
      <c r="K28197" s="68"/>
    </row>
    <row r="28198" spans="4:11" ht="12.75">
      <c r="D28198" s="67"/>
      <c r="G28198" s="68"/>
      <c r="K28198" s="68"/>
    </row>
    <row r="28199" spans="4:11" ht="12.75">
      <c r="D28199" s="67"/>
      <c r="G28199" s="68"/>
      <c r="K28199" s="68"/>
    </row>
    <row r="28200" spans="4:11" ht="12.75">
      <c r="D28200" s="67"/>
      <c r="G28200" s="68"/>
      <c r="K28200" s="68"/>
    </row>
    <row r="28201" spans="4:11" ht="12.75">
      <c r="D28201" s="67"/>
      <c r="G28201" s="68"/>
      <c r="K28201" s="68"/>
    </row>
    <row r="28202" spans="4:11" ht="12.75">
      <c r="D28202" s="67"/>
      <c r="G28202" s="68"/>
      <c r="K28202" s="68"/>
    </row>
    <row r="28203" spans="4:11" ht="12.75">
      <c r="D28203" s="67"/>
      <c r="G28203" s="68"/>
      <c r="K28203" s="68"/>
    </row>
    <row r="28204" spans="4:11" ht="12.75">
      <c r="D28204" s="67"/>
      <c r="G28204" s="68"/>
      <c r="K28204" s="68"/>
    </row>
    <row r="28205" spans="4:11" ht="12.75">
      <c r="D28205" s="67"/>
      <c r="G28205" s="68"/>
      <c r="K28205" s="68"/>
    </row>
    <row r="28206" spans="4:11" ht="12.75">
      <c r="D28206" s="67"/>
      <c r="G28206" s="68"/>
      <c r="K28206" s="68"/>
    </row>
    <row r="28207" spans="4:11" ht="12.75">
      <c r="D28207" s="67"/>
      <c r="G28207" s="68"/>
      <c r="K28207" s="68"/>
    </row>
    <row r="28208" spans="4:11" ht="12.75">
      <c r="D28208" s="67"/>
      <c r="G28208" s="68"/>
      <c r="K28208" s="68"/>
    </row>
    <row r="28209" spans="4:11" ht="12.75">
      <c r="D28209" s="67"/>
      <c r="G28209" s="68"/>
      <c r="K28209" s="68"/>
    </row>
    <row r="28210" spans="4:11" ht="12.75">
      <c r="D28210" s="67"/>
      <c r="G28210" s="68"/>
      <c r="K28210" s="68"/>
    </row>
    <row r="28211" spans="4:11" ht="12.75">
      <c r="D28211" s="67"/>
      <c r="G28211" s="68"/>
      <c r="K28211" s="68"/>
    </row>
    <row r="28212" spans="4:11" ht="12.75">
      <c r="D28212" s="67"/>
      <c r="G28212" s="68"/>
      <c r="K28212" s="68"/>
    </row>
    <row r="28213" spans="4:11" ht="12.75">
      <c r="D28213" s="67"/>
      <c r="G28213" s="68"/>
      <c r="K28213" s="68"/>
    </row>
    <row r="28214" spans="4:11" ht="12.75">
      <c r="D28214" s="67"/>
      <c r="G28214" s="68"/>
      <c r="K28214" s="68"/>
    </row>
    <row r="28215" spans="4:11" ht="12.75">
      <c r="D28215" s="67"/>
      <c r="G28215" s="68"/>
      <c r="K28215" s="68"/>
    </row>
    <row r="28216" spans="4:11" ht="12.75">
      <c r="D28216" s="67"/>
      <c r="G28216" s="68"/>
      <c r="K28216" s="68"/>
    </row>
    <row r="28217" spans="4:11" ht="12.75">
      <c r="D28217" s="67"/>
      <c r="G28217" s="68"/>
      <c r="K28217" s="68"/>
    </row>
    <row r="28218" spans="4:11" ht="12.75">
      <c r="D28218" s="67"/>
      <c r="G28218" s="68"/>
      <c r="K28218" s="68"/>
    </row>
    <row r="28219" spans="4:11" ht="12.75">
      <c r="D28219" s="67"/>
      <c r="G28219" s="68"/>
      <c r="K28219" s="68"/>
    </row>
    <row r="28220" spans="4:11" ht="12.75">
      <c r="D28220" s="67"/>
      <c r="G28220" s="68"/>
      <c r="K28220" s="68"/>
    </row>
    <row r="28221" spans="4:11" ht="12.75">
      <c r="D28221" s="67"/>
      <c r="G28221" s="68"/>
      <c r="K28221" s="68"/>
    </row>
    <row r="28222" spans="4:11" ht="12.75">
      <c r="D28222" s="67"/>
      <c r="G28222" s="68"/>
      <c r="K28222" s="68"/>
    </row>
    <row r="28223" spans="4:11" ht="12.75">
      <c r="D28223" s="67"/>
      <c r="G28223" s="68"/>
      <c r="K28223" s="68"/>
    </row>
    <row r="28224" spans="4:11" ht="12.75">
      <c r="D28224" s="67"/>
      <c r="G28224" s="68"/>
      <c r="K28224" s="68"/>
    </row>
    <row r="28225" spans="4:11" ht="12.75">
      <c r="D28225" s="67"/>
      <c r="G28225" s="68"/>
      <c r="K28225" s="68"/>
    </row>
    <row r="28226" spans="4:11" ht="12.75">
      <c r="D28226" s="67"/>
      <c r="G28226" s="68"/>
      <c r="K28226" s="68"/>
    </row>
    <row r="28227" spans="4:11" ht="12.75">
      <c r="D28227" s="67"/>
      <c r="G28227" s="68"/>
      <c r="K28227" s="68"/>
    </row>
    <row r="28228" spans="4:11" ht="12.75">
      <c r="D28228" s="67"/>
      <c r="G28228" s="68"/>
      <c r="K28228" s="68"/>
    </row>
    <row r="28229" spans="4:11" ht="12.75">
      <c r="D28229" s="67"/>
      <c r="G28229" s="68"/>
      <c r="K28229" s="68"/>
    </row>
    <row r="28230" spans="4:11" ht="12.75">
      <c r="D28230" s="67"/>
      <c r="G28230" s="68"/>
      <c r="K28230" s="68"/>
    </row>
    <row r="28231" spans="4:11" ht="12.75">
      <c r="D28231" s="67"/>
      <c r="G28231" s="68"/>
      <c r="K28231" s="68"/>
    </row>
    <row r="28232" spans="4:11" ht="12.75">
      <c r="D28232" s="67"/>
      <c r="G28232" s="68"/>
      <c r="K28232" s="68"/>
    </row>
    <row r="28233" spans="4:11" ht="12.75">
      <c r="D28233" s="67"/>
      <c r="G28233" s="68"/>
      <c r="K28233" s="68"/>
    </row>
    <row r="28234" spans="4:11" ht="12.75">
      <c r="D28234" s="67"/>
      <c r="G28234" s="68"/>
      <c r="K28234" s="68"/>
    </row>
    <row r="28235" spans="4:11" ht="12.75">
      <c r="D28235" s="67"/>
      <c r="G28235" s="68"/>
      <c r="K28235" s="68"/>
    </row>
    <row r="28236" spans="4:11" ht="12.75">
      <c r="D28236" s="67"/>
      <c r="G28236" s="68"/>
      <c r="K28236" s="68"/>
    </row>
    <row r="28237" spans="4:11" ht="12.75">
      <c r="D28237" s="67"/>
      <c r="G28237" s="68"/>
      <c r="K28237" s="68"/>
    </row>
    <row r="28238" spans="4:11" ht="12.75">
      <c r="D28238" s="67"/>
      <c r="G28238" s="68"/>
      <c r="K28238" s="68"/>
    </row>
    <row r="28239" spans="4:11" ht="12.75">
      <c r="D28239" s="67"/>
      <c r="G28239" s="68"/>
      <c r="K28239" s="68"/>
    </row>
    <row r="28240" spans="4:11" ht="12.75">
      <c r="D28240" s="67"/>
      <c r="G28240" s="68"/>
      <c r="K28240" s="68"/>
    </row>
    <row r="28241" spans="4:11" ht="12.75">
      <c r="D28241" s="67"/>
      <c r="G28241" s="68"/>
      <c r="K28241" s="68"/>
    </row>
    <row r="28242" spans="4:11" ht="12.75">
      <c r="D28242" s="67"/>
      <c r="G28242" s="68"/>
      <c r="K28242" s="68"/>
    </row>
    <row r="28243" spans="4:11" ht="12.75">
      <c r="D28243" s="67"/>
      <c r="G28243" s="68"/>
      <c r="K28243" s="68"/>
    </row>
    <row r="28244" spans="4:11" ht="12.75">
      <c r="D28244" s="67"/>
      <c r="G28244" s="68"/>
      <c r="K28244" s="68"/>
    </row>
    <row r="28245" spans="4:11" ht="12.75">
      <c r="D28245" s="67"/>
      <c r="G28245" s="68"/>
      <c r="K28245" s="68"/>
    </row>
    <row r="28246" spans="4:11" ht="12.75">
      <c r="D28246" s="67"/>
      <c r="G28246" s="68"/>
      <c r="K28246" s="68"/>
    </row>
    <row r="28247" spans="4:11" ht="12.75">
      <c r="D28247" s="67"/>
      <c r="G28247" s="68"/>
      <c r="K28247" s="68"/>
    </row>
    <row r="28248" spans="4:11" ht="12.75">
      <c r="D28248" s="67"/>
      <c r="G28248" s="68"/>
      <c r="K28248" s="68"/>
    </row>
    <row r="28249" spans="4:11" ht="12.75">
      <c r="D28249" s="67"/>
      <c r="G28249" s="68"/>
      <c r="K28249" s="68"/>
    </row>
    <row r="28250" spans="4:11" ht="12.75">
      <c r="D28250" s="67"/>
      <c r="G28250" s="68"/>
      <c r="K28250" s="68"/>
    </row>
    <row r="28251" spans="4:11" ht="12.75">
      <c r="D28251" s="67"/>
      <c r="G28251" s="68"/>
      <c r="K28251" s="68"/>
    </row>
    <row r="28252" spans="4:11" ht="12.75">
      <c r="D28252" s="67"/>
      <c r="G28252" s="68"/>
      <c r="K28252" s="68"/>
    </row>
    <row r="28253" spans="4:11" ht="12.75">
      <c r="D28253" s="67"/>
      <c r="G28253" s="68"/>
      <c r="K28253" s="68"/>
    </row>
    <row r="28254" spans="4:11" ht="12.75">
      <c r="D28254" s="67"/>
      <c r="G28254" s="68"/>
      <c r="K28254" s="68"/>
    </row>
    <row r="28255" spans="4:11" ht="12.75">
      <c r="D28255" s="67"/>
      <c r="G28255" s="68"/>
      <c r="K28255" s="68"/>
    </row>
    <row r="28256" spans="4:11" ht="12.75">
      <c r="D28256" s="67"/>
      <c r="G28256" s="68"/>
      <c r="K28256" s="68"/>
    </row>
    <row r="28257" spans="4:11" ht="12.75">
      <c r="D28257" s="67"/>
      <c r="G28257" s="68"/>
      <c r="K28257" s="68"/>
    </row>
    <row r="28258" spans="4:11" ht="12.75">
      <c r="D28258" s="67"/>
      <c r="G28258" s="68"/>
      <c r="K28258" s="68"/>
    </row>
    <row r="28259" spans="4:11" ht="12.75">
      <c r="D28259" s="67"/>
      <c r="G28259" s="68"/>
      <c r="K28259" s="68"/>
    </row>
    <row r="28260" spans="4:11" ht="12.75">
      <c r="D28260" s="67"/>
      <c r="G28260" s="68"/>
      <c r="K28260" s="68"/>
    </row>
    <row r="28261" spans="4:11" ht="12.75">
      <c r="D28261" s="67"/>
      <c r="G28261" s="68"/>
      <c r="K28261" s="68"/>
    </row>
    <row r="28262" spans="4:11" ht="12.75">
      <c r="D28262" s="67"/>
      <c r="G28262" s="68"/>
      <c r="K28262" s="68"/>
    </row>
    <row r="28263" spans="4:11" ht="12.75">
      <c r="D28263" s="67"/>
      <c r="G28263" s="68"/>
      <c r="K28263" s="68"/>
    </row>
    <row r="28264" spans="4:11" ht="12.75">
      <c r="D28264" s="67"/>
      <c r="G28264" s="68"/>
      <c r="K28264" s="68"/>
    </row>
    <row r="28265" spans="4:11" ht="12.75">
      <c r="D28265" s="67"/>
      <c r="G28265" s="68"/>
      <c r="K28265" s="68"/>
    </row>
    <row r="28266" spans="4:11" ht="12.75">
      <c r="D28266" s="67"/>
      <c r="G28266" s="68"/>
      <c r="K28266" s="68"/>
    </row>
    <row r="28267" spans="4:11" ht="12.75">
      <c r="D28267" s="67"/>
      <c r="G28267" s="68"/>
      <c r="K28267" s="68"/>
    </row>
    <row r="28268" spans="4:11" ht="12.75">
      <c r="D28268" s="67"/>
      <c r="G28268" s="68"/>
      <c r="K28268" s="68"/>
    </row>
    <row r="28269" spans="4:11" ht="12.75">
      <c r="D28269" s="67"/>
      <c r="G28269" s="68"/>
      <c r="K28269" s="68"/>
    </row>
    <row r="28270" spans="4:11" ht="12.75">
      <c r="D28270" s="67"/>
      <c r="G28270" s="68"/>
      <c r="K28270" s="68"/>
    </row>
    <row r="28271" spans="4:11" ht="12.75">
      <c r="D28271" s="67"/>
      <c r="G28271" s="68"/>
      <c r="K28271" s="68"/>
    </row>
    <row r="28272" spans="4:11" ht="12.75">
      <c r="D28272" s="67"/>
      <c r="G28272" s="68"/>
      <c r="K28272" s="68"/>
    </row>
    <row r="28273" spans="4:11" ht="12.75">
      <c r="D28273" s="67"/>
      <c r="G28273" s="68"/>
      <c r="K28273" s="68"/>
    </row>
    <row r="28274" spans="4:11" ht="12.75">
      <c r="D28274" s="67"/>
      <c r="G28274" s="68"/>
      <c r="K28274" s="68"/>
    </row>
    <row r="28275" spans="4:11" ht="12.75">
      <c r="D28275" s="67"/>
      <c r="G28275" s="68"/>
      <c r="K28275" s="68"/>
    </row>
    <row r="28276" spans="4:11" ht="12.75">
      <c r="D28276" s="67"/>
      <c r="G28276" s="68"/>
      <c r="K28276" s="68"/>
    </row>
    <row r="28277" spans="4:11" ht="12.75">
      <c r="D28277" s="67"/>
      <c r="G28277" s="68"/>
      <c r="K28277" s="68"/>
    </row>
    <row r="28278" spans="4:11" ht="12.75">
      <c r="D28278" s="67"/>
      <c r="G28278" s="68"/>
      <c r="K28278" s="68"/>
    </row>
    <row r="28279" spans="4:11" ht="12.75">
      <c r="D28279" s="67"/>
      <c r="G28279" s="68"/>
      <c r="K28279" s="68"/>
    </row>
    <row r="28280" spans="4:11" ht="12.75">
      <c r="D28280" s="67"/>
      <c r="G28280" s="68"/>
      <c r="K28280" s="68"/>
    </row>
    <row r="28281" spans="4:11" ht="12.75">
      <c r="D28281" s="67"/>
      <c r="G28281" s="68"/>
      <c r="K28281" s="68"/>
    </row>
    <row r="28282" spans="4:11" ht="12.75">
      <c r="D28282" s="67"/>
      <c r="G28282" s="68"/>
      <c r="K28282" s="68"/>
    </row>
    <row r="28283" spans="4:11" ht="12.75">
      <c r="D28283" s="67"/>
      <c r="G28283" s="68"/>
      <c r="K28283" s="68"/>
    </row>
    <row r="28284" spans="4:11" ht="12.75">
      <c r="D28284" s="67"/>
      <c r="G28284" s="68"/>
      <c r="K28284" s="68"/>
    </row>
    <row r="28285" spans="4:11" ht="12.75">
      <c r="D28285" s="67"/>
      <c r="G28285" s="68"/>
      <c r="K28285" s="68"/>
    </row>
    <row r="28286" spans="4:11" ht="12.75">
      <c r="D28286" s="67"/>
      <c r="G28286" s="68"/>
      <c r="K28286" s="68"/>
    </row>
    <row r="28287" spans="4:11" ht="12.75">
      <c r="D28287" s="67"/>
      <c r="G28287" s="68"/>
      <c r="K28287" s="68"/>
    </row>
    <row r="28288" spans="4:11" ht="12.75">
      <c r="D28288" s="67"/>
      <c r="G28288" s="68"/>
      <c r="K28288" s="68"/>
    </row>
    <row r="28289" spans="4:11" ht="12.75">
      <c r="D28289" s="67"/>
      <c r="G28289" s="68"/>
      <c r="K28289" s="68"/>
    </row>
    <row r="28290" spans="4:11" ht="12.75">
      <c r="D28290" s="67"/>
      <c r="G28290" s="68"/>
      <c r="K28290" s="68"/>
    </row>
    <row r="28291" spans="4:11" ht="12.75">
      <c r="D28291" s="67"/>
      <c r="G28291" s="68"/>
      <c r="K28291" s="68"/>
    </row>
    <row r="28292" spans="4:11" ht="12.75">
      <c r="D28292" s="67"/>
      <c r="G28292" s="68"/>
      <c r="K28292" s="68"/>
    </row>
    <row r="28293" spans="4:11" ht="12.75">
      <c r="D28293" s="67"/>
      <c r="G28293" s="68"/>
      <c r="K28293" s="68"/>
    </row>
    <row r="28294" spans="4:11" ht="12.75">
      <c r="D28294" s="67"/>
      <c r="G28294" s="68"/>
      <c r="K28294" s="68"/>
    </row>
    <row r="28295" spans="4:11" ht="12.75">
      <c r="D28295" s="67"/>
      <c r="G28295" s="68"/>
      <c r="K28295" s="68"/>
    </row>
    <row r="28296" spans="4:11" ht="12.75">
      <c r="D28296" s="67"/>
      <c r="G28296" s="68"/>
      <c r="K28296" s="68"/>
    </row>
    <row r="28297" spans="4:11" ht="12.75">
      <c r="D28297" s="67"/>
      <c r="G28297" s="68"/>
      <c r="K28297" s="68"/>
    </row>
    <row r="28298" spans="4:11" ht="12.75">
      <c r="D28298" s="67"/>
      <c r="G28298" s="68"/>
      <c r="K28298" s="68"/>
    </row>
    <row r="28299" spans="4:11" ht="12.75">
      <c r="D28299" s="67"/>
      <c r="G28299" s="68"/>
      <c r="K28299" s="68"/>
    </row>
    <row r="28300" spans="4:11" ht="12.75">
      <c r="D28300" s="67"/>
      <c r="G28300" s="68"/>
      <c r="K28300" s="68"/>
    </row>
    <row r="28301" spans="4:11" ht="12.75">
      <c r="D28301" s="67"/>
      <c r="G28301" s="68"/>
      <c r="K28301" s="68"/>
    </row>
    <row r="28302" spans="4:11" ht="12.75">
      <c r="D28302" s="67"/>
      <c r="G28302" s="68"/>
      <c r="K28302" s="68"/>
    </row>
    <row r="28303" spans="4:11" ht="12.75">
      <c r="D28303" s="67"/>
      <c r="G28303" s="68"/>
      <c r="K28303" s="68"/>
    </row>
    <row r="28304" spans="4:11" ht="12.75">
      <c r="D28304" s="67"/>
      <c r="G28304" s="68"/>
      <c r="K28304" s="68"/>
    </row>
    <row r="28305" spans="4:11" ht="12.75">
      <c r="D28305" s="67"/>
      <c r="G28305" s="68"/>
      <c r="K28305" s="68"/>
    </row>
    <row r="28306" spans="4:11" ht="12.75">
      <c r="D28306" s="67"/>
      <c r="G28306" s="68"/>
      <c r="K28306" s="68"/>
    </row>
    <row r="28307" spans="4:11" ht="12.75">
      <c r="D28307" s="67"/>
      <c r="G28307" s="68"/>
      <c r="K28307" s="68"/>
    </row>
    <row r="28308" spans="4:11" ht="12.75">
      <c r="D28308" s="67"/>
      <c r="G28308" s="68"/>
      <c r="K28308" s="68"/>
    </row>
    <row r="28309" spans="4:11" ht="12.75">
      <c r="D28309" s="67"/>
      <c r="G28309" s="68"/>
      <c r="K28309" s="68"/>
    </row>
    <row r="28310" spans="4:11" ht="12.75">
      <c r="D28310" s="67"/>
      <c r="G28310" s="68"/>
      <c r="K28310" s="68"/>
    </row>
    <row r="28311" spans="4:11" ht="12.75">
      <c r="D28311" s="67"/>
      <c r="G28311" s="68"/>
      <c r="K28311" s="68"/>
    </row>
    <row r="28312" spans="4:11" ht="12.75">
      <c r="D28312" s="67"/>
      <c r="G28312" s="68"/>
      <c r="K28312" s="68"/>
    </row>
    <row r="28313" spans="4:11" ht="12.75">
      <c r="D28313" s="67"/>
      <c r="G28313" s="68"/>
      <c r="K28313" s="68"/>
    </row>
    <row r="28314" spans="4:11" ht="12.75">
      <c r="D28314" s="67"/>
      <c r="G28314" s="68"/>
      <c r="K28314" s="68"/>
    </row>
    <row r="28315" spans="4:11" ht="12.75">
      <c r="D28315" s="67"/>
      <c r="G28315" s="68"/>
      <c r="K28315" s="68"/>
    </row>
    <row r="28316" spans="4:11" ht="12.75">
      <c r="D28316" s="67"/>
      <c r="G28316" s="68"/>
      <c r="K28316" s="68"/>
    </row>
    <row r="28317" spans="4:11" ht="12.75">
      <c r="D28317" s="67"/>
      <c r="G28317" s="68"/>
      <c r="K28317" s="68"/>
    </row>
    <row r="28318" spans="4:11" ht="12.75">
      <c r="D28318" s="67"/>
      <c r="G28318" s="68"/>
      <c r="K28318" s="68"/>
    </row>
    <row r="28319" spans="4:11" ht="12.75">
      <c r="D28319" s="67"/>
      <c r="G28319" s="68"/>
      <c r="K28319" s="68"/>
    </row>
    <row r="28320" spans="4:11" ht="12.75">
      <c r="D28320" s="67"/>
      <c r="G28320" s="68"/>
      <c r="K28320" s="68"/>
    </row>
    <row r="28321" spans="4:11" ht="12.75">
      <c r="D28321" s="67"/>
      <c r="G28321" s="68"/>
      <c r="K28321" s="68"/>
    </row>
    <row r="28322" spans="4:11" ht="12.75">
      <c r="D28322" s="67"/>
      <c r="G28322" s="68"/>
      <c r="K28322" s="68"/>
    </row>
    <row r="28323" spans="4:11" ht="12.75">
      <c r="D28323" s="67"/>
      <c r="G28323" s="68"/>
      <c r="K28323" s="68"/>
    </row>
    <row r="28324" spans="4:11" ht="12.75">
      <c r="D28324" s="67"/>
      <c r="G28324" s="68"/>
      <c r="K28324" s="68"/>
    </row>
    <row r="28325" spans="4:11" ht="12.75">
      <c r="D28325" s="67"/>
      <c r="G28325" s="68"/>
      <c r="K28325" s="68"/>
    </row>
    <row r="28326" spans="4:11" ht="12.75">
      <c r="D28326" s="67"/>
      <c r="G28326" s="68"/>
      <c r="K28326" s="68"/>
    </row>
    <row r="28327" spans="4:11" ht="12.75">
      <c r="D28327" s="67"/>
      <c r="G28327" s="68"/>
      <c r="K28327" s="68"/>
    </row>
    <row r="28328" spans="4:11" ht="12.75">
      <c r="D28328" s="67"/>
      <c r="G28328" s="68"/>
      <c r="K28328" s="68"/>
    </row>
    <row r="28329" spans="4:11" ht="12.75">
      <c r="D28329" s="67"/>
      <c r="G28329" s="68"/>
      <c r="K28329" s="68"/>
    </row>
    <row r="28330" spans="4:11" ht="12.75">
      <c r="D28330" s="67"/>
      <c r="G28330" s="68"/>
      <c r="K28330" s="68"/>
    </row>
    <row r="28331" spans="4:11" ht="12.75">
      <c r="D28331" s="67"/>
      <c r="G28331" s="68"/>
      <c r="K28331" s="68"/>
    </row>
    <row r="28332" spans="4:11" ht="12.75">
      <c r="D28332" s="67"/>
      <c r="G28332" s="68"/>
      <c r="K28332" s="68"/>
    </row>
    <row r="28333" spans="4:11" ht="12.75">
      <c r="D28333" s="67"/>
      <c r="G28333" s="68"/>
      <c r="K28333" s="68"/>
    </row>
    <row r="28334" spans="4:11" ht="12.75">
      <c r="D28334" s="67"/>
      <c r="G28334" s="68"/>
      <c r="K28334" s="68"/>
    </row>
    <row r="28335" spans="4:11" ht="12.75">
      <c r="D28335" s="67"/>
      <c r="G28335" s="68"/>
      <c r="K28335" s="68"/>
    </row>
    <row r="28336" spans="4:11" ht="12.75">
      <c r="D28336" s="67"/>
      <c r="G28336" s="68"/>
      <c r="K28336" s="68"/>
    </row>
    <row r="28337" spans="4:11" ht="12.75">
      <c r="D28337" s="67"/>
      <c r="G28337" s="68"/>
      <c r="K28337" s="68"/>
    </row>
    <row r="28338" spans="4:11" ht="12.75">
      <c r="D28338" s="67"/>
      <c r="G28338" s="68"/>
      <c r="K28338" s="68"/>
    </row>
    <row r="28339" spans="4:11" ht="12.75">
      <c r="D28339" s="67"/>
      <c r="G28339" s="68"/>
      <c r="K28339" s="68"/>
    </row>
    <row r="28340" spans="4:11" ht="12.75">
      <c r="D28340" s="67"/>
      <c r="G28340" s="68"/>
      <c r="K28340" s="68"/>
    </row>
    <row r="28341" spans="4:11" ht="12.75">
      <c r="D28341" s="67"/>
      <c r="G28341" s="68"/>
      <c r="K28341" s="68"/>
    </row>
    <row r="28342" spans="4:11" ht="12.75">
      <c r="D28342" s="67"/>
      <c r="G28342" s="68"/>
      <c r="K28342" s="68"/>
    </row>
    <row r="28343" spans="4:11" ht="12.75">
      <c r="D28343" s="67"/>
      <c r="G28343" s="68"/>
      <c r="K28343" s="68"/>
    </row>
    <row r="28344" spans="4:11" ht="12.75">
      <c r="D28344" s="67"/>
      <c r="G28344" s="68"/>
      <c r="K28344" s="68"/>
    </row>
    <row r="28345" spans="4:11" ht="12.75">
      <c r="D28345" s="67"/>
      <c r="G28345" s="68"/>
      <c r="K28345" s="68"/>
    </row>
    <row r="28346" spans="4:11" ht="12.75">
      <c r="D28346" s="67"/>
      <c r="G28346" s="68"/>
      <c r="K28346" s="68"/>
    </row>
    <row r="28347" spans="4:11" ht="12.75">
      <c r="D28347" s="67"/>
      <c r="G28347" s="68"/>
      <c r="K28347" s="68"/>
    </row>
    <row r="28348" spans="4:11" ht="12.75">
      <c r="D28348" s="67"/>
      <c r="G28348" s="68"/>
      <c r="K28348" s="68"/>
    </row>
    <row r="28349" spans="4:11" ht="12.75">
      <c r="D28349" s="67"/>
      <c r="G28349" s="68"/>
      <c r="K28349" s="68"/>
    </row>
    <row r="28350" spans="4:11" ht="12.75">
      <c r="D28350" s="67"/>
      <c r="G28350" s="68"/>
      <c r="K28350" s="68"/>
    </row>
    <row r="28351" spans="4:11" ht="12.75">
      <c r="D28351" s="67"/>
      <c r="G28351" s="68"/>
      <c r="K28351" s="68"/>
    </row>
    <row r="28352" spans="4:11" ht="12.75">
      <c r="D28352" s="67"/>
      <c r="G28352" s="68"/>
      <c r="K28352" s="68"/>
    </row>
    <row r="28353" spans="4:11" ht="12.75">
      <c r="D28353" s="67"/>
      <c r="G28353" s="68"/>
      <c r="K28353" s="68"/>
    </row>
    <row r="28354" spans="4:11" ht="12.75">
      <c r="D28354" s="67"/>
      <c r="G28354" s="68"/>
      <c r="K28354" s="68"/>
    </row>
    <row r="28355" spans="4:11" ht="12.75">
      <c r="D28355" s="67"/>
      <c r="G28355" s="68"/>
      <c r="K28355" s="68"/>
    </row>
    <row r="28356" spans="4:11" ht="12.75">
      <c r="D28356" s="67"/>
      <c r="G28356" s="68"/>
      <c r="K28356" s="68"/>
    </row>
    <row r="28357" spans="4:11" ht="12.75">
      <c r="D28357" s="67"/>
      <c r="G28357" s="68"/>
      <c r="K28357" s="68"/>
    </row>
    <row r="28358" spans="4:11" ht="12.75">
      <c r="D28358" s="67"/>
      <c r="G28358" s="68"/>
      <c r="K28358" s="68"/>
    </row>
    <row r="28359" spans="4:11" ht="12.75">
      <c r="D28359" s="67"/>
      <c r="G28359" s="68"/>
      <c r="K28359" s="68"/>
    </row>
    <row r="28360" spans="4:11" ht="12.75">
      <c r="D28360" s="67"/>
      <c r="G28360" s="68"/>
      <c r="K28360" s="68"/>
    </row>
    <row r="28361" spans="4:11" ht="12.75">
      <c r="D28361" s="67"/>
      <c r="G28361" s="68"/>
      <c r="K28361" s="68"/>
    </row>
    <row r="28362" spans="4:11" ht="12.75">
      <c r="D28362" s="67"/>
      <c r="G28362" s="68"/>
      <c r="K28362" s="68"/>
    </row>
    <row r="28363" spans="4:11" ht="12.75">
      <c r="D28363" s="67"/>
      <c r="G28363" s="68"/>
      <c r="K28363" s="68"/>
    </row>
    <row r="28364" spans="4:11" ht="12.75">
      <c r="D28364" s="67"/>
      <c r="G28364" s="68"/>
      <c r="K28364" s="68"/>
    </row>
    <row r="28365" spans="4:11" ht="12.75">
      <c r="D28365" s="67"/>
      <c r="G28365" s="68"/>
      <c r="K28365" s="68"/>
    </row>
    <row r="28366" spans="4:11" ht="12.75">
      <c r="D28366" s="67"/>
      <c r="G28366" s="68"/>
      <c r="K28366" s="68"/>
    </row>
    <row r="28367" spans="4:11" ht="12.75">
      <c r="D28367" s="67"/>
      <c r="G28367" s="68"/>
      <c r="K28367" s="68"/>
    </row>
    <row r="28368" spans="4:11" ht="12.75">
      <c r="D28368" s="67"/>
      <c r="G28368" s="68"/>
      <c r="K28368" s="68"/>
    </row>
    <row r="28369" spans="4:11" ht="12.75">
      <c r="D28369" s="67"/>
      <c r="G28369" s="68"/>
      <c r="K28369" s="68"/>
    </row>
    <row r="28370" spans="4:11" ht="12.75">
      <c r="D28370" s="67"/>
      <c r="G28370" s="68"/>
      <c r="K28370" s="68"/>
    </row>
    <row r="28371" spans="4:11" ht="12.75">
      <c r="D28371" s="67"/>
      <c r="G28371" s="68"/>
      <c r="K28371" s="68"/>
    </row>
    <row r="28372" spans="4:11" ht="12.75">
      <c r="D28372" s="67"/>
      <c r="G28372" s="68"/>
      <c r="K28372" s="68"/>
    </row>
    <row r="28373" spans="4:11" ht="12.75">
      <c r="D28373" s="67"/>
      <c r="G28373" s="68"/>
      <c r="K28373" s="68"/>
    </row>
    <row r="28374" spans="4:11" ht="12.75">
      <c r="D28374" s="67"/>
      <c r="G28374" s="68"/>
      <c r="K28374" s="68"/>
    </row>
    <row r="28375" spans="4:11" ht="12.75">
      <c r="D28375" s="67"/>
      <c r="G28375" s="68"/>
      <c r="K28375" s="68"/>
    </row>
    <row r="28376" spans="4:11" ht="12.75">
      <c r="D28376" s="67"/>
      <c r="G28376" s="68"/>
      <c r="K28376" s="68"/>
    </row>
    <row r="28377" spans="4:11" ht="12.75">
      <c r="D28377" s="67"/>
      <c r="G28377" s="68"/>
      <c r="K28377" s="68"/>
    </row>
    <row r="28378" spans="4:11" ht="12.75">
      <c r="D28378" s="67"/>
      <c r="G28378" s="68"/>
      <c r="K28378" s="68"/>
    </row>
    <row r="28379" spans="4:11" ht="12.75">
      <c r="D28379" s="67"/>
      <c r="G28379" s="68"/>
      <c r="K28379" s="68"/>
    </row>
    <row r="28380" spans="4:11" ht="12.75">
      <c r="D28380" s="67"/>
      <c r="G28380" s="68"/>
      <c r="K28380" s="68"/>
    </row>
    <row r="28381" spans="4:11" ht="12.75">
      <c r="D28381" s="67"/>
      <c r="G28381" s="68"/>
      <c r="K28381" s="68"/>
    </row>
    <row r="28382" spans="4:11" ht="12.75">
      <c r="D28382" s="67"/>
      <c r="G28382" s="68"/>
      <c r="K28382" s="68"/>
    </row>
    <row r="28383" spans="4:11" ht="12.75">
      <c r="D28383" s="67"/>
      <c r="G28383" s="68"/>
      <c r="K28383" s="68"/>
    </row>
    <row r="28384" spans="4:11" ht="12.75">
      <c r="D28384" s="67"/>
      <c r="G28384" s="68"/>
      <c r="K28384" s="68"/>
    </row>
    <row r="28385" spans="4:11" ht="12.75">
      <c r="D28385" s="67"/>
      <c r="G28385" s="68"/>
      <c r="K28385" s="68"/>
    </row>
    <row r="28386" spans="4:11" ht="12.75">
      <c r="D28386" s="67"/>
      <c r="G28386" s="68"/>
      <c r="K28386" s="68"/>
    </row>
    <row r="28387" spans="4:11" ht="12.75">
      <c r="D28387" s="67"/>
      <c r="G28387" s="68"/>
      <c r="K28387" s="68"/>
    </row>
    <row r="28388" spans="4:11" ht="12.75">
      <c r="D28388" s="67"/>
      <c r="G28388" s="68"/>
      <c r="K28388" s="68"/>
    </row>
    <row r="28389" spans="4:11" ht="12.75">
      <c r="D28389" s="67"/>
      <c r="G28389" s="68"/>
      <c r="K28389" s="68"/>
    </row>
    <row r="28390" spans="4:11" ht="12.75">
      <c r="D28390" s="67"/>
      <c r="G28390" s="68"/>
      <c r="K28390" s="68"/>
    </row>
    <row r="28391" spans="4:11" ht="12.75">
      <c r="D28391" s="67"/>
      <c r="G28391" s="68"/>
      <c r="K28391" s="68"/>
    </row>
    <row r="28392" spans="4:11" ht="12.75">
      <c r="D28392" s="67"/>
      <c r="G28392" s="68"/>
      <c r="K28392" s="68"/>
    </row>
    <row r="28393" spans="4:11" ht="12.75">
      <c r="D28393" s="67"/>
      <c r="G28393" s="68"/>
      <c r="K28393" s="68"/>
    </row>
    <row r="28394" spans="4:11" ht="12.75">
      <c r="D28394" s="67"/>
      <c r="G28394" s="68"/>
      <c r="K28394" s="68"/>
    </row>
    <row r="28395" spans="4:11" ht="12.75">
      <c r="D28395" s="67"/>
      <c r="G28395" s="68"/>
      <c r="K28395" s="68"/>
    </row>
    <row r="28396" spans="4:11" ht="12.75">
      <c r="D28396" s="67"/>
      <c r="G28396" s="68"/>
      <c r="K28396" s="68"/>
    </row>
    <row r="28397" spans="4:11" ht="12.75">
      <c r="D28397" s="67"/>
      <c r="G28397" s="68"/>
      <c r="K28397" s="68"/>
    </row>
    <row r="28398" spans="4:11" ht="12.75">
      <c r="D28398" s="67"/>
      <c r="G28398" s="68"/>
      <c r="K28398" s="68"/>
    </row>
    <row r="28399" spans="4:11" ht="12.75">
      <c r="D28399" s="67"/>
      <c r="G28399" s="68"/>
      <c r="K28399" s="68"/>
    </row>
    <row r="28400" spans="4:11" ht="12.75">
      <c r="D28400" s="67"/>
      <c r="G28400" s="68"/>
      <c r="K28400" s="68"/>
    </row>
    <row r="28401" spans="4:11" ht="12.75">
      <c r="D28401" s="67"/>
      <c r="G28401" s="68"/>
      <c r="K28401" s="68"/>
    </row>
    <row r="28402" spans="4:11" ht="12.75">
      <c r="D28402" s="67"/>
      <c r="G28402" s="68"/>
      <c r="K28402" s="68"/>
    </row>
    <row r="28403" spans="4:11" ht="12.75">
      <c r="D28403" s="67"/>
      <c r="G28403" s="68"/>
      <c r="K28403" s="68"/>
    </row>
    <row r="28404" spans="4:11" ht="12.75">
      <c r="D28404" s="67"/>
      <c r="G28404" s="68"/>
      <c r="K28404" s="68"/>
    </row>
    <row r="28405" spans="4:11" ht="12.75">
      <c r="D28405" s="67"/>
      <c r="G28405" s="68"/>
      <c r="K28405" s="68"/>
    </row>
    <row r="28406" spans="4:11" ht="12.75">
      <c r="D28406" s="67"/>
      <c r="G28406" s="68"/>
      <c r="K28406" s="68"/>
    </row>
    <row r="28407" spans="4:11" ht="12.75">
      <c r="D28407" s="67"/>
      <c r="G28407" s="68"/>
      <c r="K28407" s="68"/>
    </row>
    <row r="28408" spans="4:11" ht="12.75">
      <c r="D28408" s="67"/>
      <c r="G28408" s="68"/>
      <c r="K28408" s="68"/>
    </row>
    <row r="28409" spans="4:11" ht="12.75">
      <c r="D28409" s="67"/>
      <c r="G28409" s="68"/>
      <c r="K28409" s="68"/>
    </row>
    <row r="28410" spans="4:11" ht="12.75">
      <c r="D28410" s="67"/>
      <c r="G28410" s="68"/>
      <c r="K28410" s="68"/>
    </row>
    <row r="28411" spans="4:11" ht="12.75">
      <c r="D28411" s="67"/>
      <c r="G28411" s="68"/>
      <c r="K28411" s="68"/>
    </row>
    <row r="28412" spans="4:11" ht="12.75">
      <c r="D28412" s="67"/>
      <c r="G28412" s="68"/>
      <c r="K28412" s="68"/>
    </row>
    <row r="28413" spans="4:11" ht="12.75">
      <c r="D28413" s="67"/>
      <c r="G28413" s="68"/>
      <c r="K28413" s="68"/>
    </row>
    <row r="28414" spans="4:11" ht="12.75">
      <c r="D28414" s="67"/>
      <c r="G28414" s="68"/>
      <c r="K28414" s="68"/>
    </row>
    <row r="28415" spans="4:11" ht="12.75">
      <c r="D28415" s="67"/>
      <c r="G28415" s="68"/>
      <c r="K28415" s="68"/>
    </row>
    <row r="28416" spans="4:11" ht="12.75">
      <c r="D28416" s="67"/>
      <c r="G28416" s="68"/>
      <c r="K28416" s="68"/>
    </row>
    <row r="28417" spans="4:11" ht="12.75">
      <c r="D28417" s="67"/>
      <c r="G28417" s="68"/>
      <c r="K28417" s="68"/>
    </row>
    <row r="28418" spans="4:11" ht="12.75">
      <c r="D28418" s="67"/>
      <c r="G28418" s="68"/>
      <c r="K28418" s="68"/>
    </row>
    <row r="28419" spans="4:11" ht="12.75">
      <c r="D28419" s="67"/>
      <c r="G28419" s="68"/>
      <c r="K28419" s="68"/>
    </row>
    <row r="28420" spans="4:11" ht="12.75">
      <c r="D28420" s="67"/>
      <c r="G28420" s="68"/>
      <c r="K28420" s="68"/>
    </row>
    <row r="28421" spans="4:11" ht="12.75">
      <c r="D28421" s="67"/>
      <c r="G28421" s="68"/>
      <c r="K28421" s="68"/>
    </row>
    <row r="28422" spans="4:11" ht="12.75">
      <c r="D28422" s="67"/>
      <c r="G28422" s="68"/>
      <c r="K28422" s="68"/>
    </row>
    <row r="28423" spans="4:11" ht="12.75">
      <c r="D28423" s="67"/>
      <c r="G28423" s="68"/>
      <c r="K28423" s="68"/>
    </row>
    <row r="28424" spans="4:11" ht="12.75">
      <c r="D28424" s="67"/>
      <c r="G28424" s="68"/>
      <c r="K28424" s="68"/>
    </row>
    <row r="28425" spans="4:11" ht="12.75">
      <c r="D28425" s="67"/>
      <c r="G28425" s="68"/>
      <c r="K28425" s="68"/>
    </row>
    <row r="28426" spans="4:11" ht="12.75">
      <c r="D28426" s="67"/>
      <c r="G28426" s="68"/>
      <c r="K28426" s="68"/>
    </row>
    <row r="28427" spans="4:11" ht="12.75">
      <c r="D28427" s="67"/>
      <c r="G28427" s="68"/>
      <c r="K28427" s="68"/>
    </row>
    <row r="28428" spans="4:11" ht="12.75">
      <c r="D28428" s="67"/>
      <c r="G28428" s="68"/>
      <c r="K28428" s="68"/>
    </row>
    <row r="28429" spans="4:11" ht="12.75">
      <c r="D28429" s="67"/>
      <c r="G28429" s="68"/>
      <c r="K28429" s="68"/>
    </row>
    <row r="28430" spans="4:11" ht="12.75">
      <c r="D28430" s="67"/>
      <c r="G28430" s="68"/>
      <c r="K28430" s="68"/>
    </row>
    <row r="28431" spans="4:11" ht="12.75">
      <c r="D28431" s="67"/>
      <c r="G28431" s="68"/>
      <c r="K28431" s="68"/>
    </row>
    <row r="28432" spans="4:11" ht="12.75">
      <c r="D28432" s="67"/>
      <c r="G28432" s="68"/>
      <c r="K28432" s="68"/>
    </row>
    <row r="28433" spans="4:11" ht="12.75">
      <c r="D28433" s="67"/>
      <c r="G28433" s="68"/>
      <c r="K28433" s="68"/>
    </row>
    <row r="28434" spans="4:11" ht="12.75">
      <c r="D28434" s="67"/>
      <c r="G28434" s="68"/>
      <c r="K28434" s="68"/>
    </row>
    <row r="28435" spans="4:11" ht="12.75">
      <c r="D28435" s="67"/>
      <c r="G28435" s="68"/>
      <c r="K28435" s="68"/>
    </row>
    <row r="28436" spans="4:11" ht="12.75">
      <c r="D28436" s="67"/>
      <c r="G28436" s="68"/>
      <c r="K28436" s="68"/>
    </row>
    <row r="28437" spans="4:11" ht="12.75">
      <c r="D28437" s="67"/>
      <c r="G28437" s="68"/>
      <c r="K28437" s="68"/>
    </row>
    <row r="28438" spans="4:11" ht="12.75">
      <c r="D28438" s="67"/>
      <c r="G28438" s="68"/>
      <c r="K28438" s="68"/>
    </row>
    <row r="28439" spans="4:11" ht="12.75">
      <c r="D28439" s="67"/>
      <c r="G28439" s="68"/>
      <c r="K28439" s="68"/>
    </row>
    <row r="28440" spans="4:11" ht="12.75">
      <c r="D28440" s="67"/>
      <c r="G28440" s="68"/>
      <c r="K28440" s="68"/>
    </row>
    <row r="28441" spans="4:11" ht="12.75">
      <c r="D28441" s="67"/>
      <c r="G28441" s="68"/>
      <c r="K28441" s="68"/>
    </row>
    <row r="28442" spans="4:11" ht="12.75">
      <c r="D28442" s="67"/>
      <c r="G28442" s="68"/>
      <c r="K28442" s="68"/>
    </row>
    <row r="28443" spans="4:11" ht="12.75">
      <c r="D28443" s="67"/>
      <c r="G28443" s="68"/>
      <c r="K28443" s="68"/>
    </row>
    <row r="28444" spans="4:11" ht="12.75">
      <c r="D28444" s="67"/>
      <c r="G28444" s="68"/>
      <c r="K28444" s="68"/>
    </row>
    <row r="28445" spans="4:11" ht="12.75">
      <c r="D28445" s="67"/>
      <c r="G28445" s="68"/>
      <c r="K28445" s="68"/>
    </row>
    <row r="28446" spans="4:11" ht="12.75">
      <c r="D28446" s="67"/>
      <c r="G28446" s="68"/>
      <c r="K28446" s="68"/>
    </row>
    <row r="28447" spans="4:11" ht="12.75">
      <c r="D28447" s="67"/>
      <c r="G28447" s="68"/>
      <c r="K28447" s="68"/>
    </row>
    <row r="28448" spans="4:11" ht="12.75">
      <c r="D28448" s="67"/>
      <c r="G28448" s="68"/>
      <c r="K28448" s="68"/>
    </row>
    <row r="28449" spans="4:11" ht="12.75">
      <c r="D28449" s="67"/>
      <c r="G28449" s="68"/>
      <c r="K28449" s="68"/>
    </row>
    <row r="28450" spans="4:11" ht="12.75">
      <c r="D28450" s="67"/>
      <c r="G28450" s="68"/>
      <c r="K28450" s="68"/>
    </row>
    <row r="28451" spans="4:11" ht="12.75">
      <c r="D28451" s="67"/>
      <c r="G28451" s="68"/>
      <c r="K28451" s="68"/>
    </row>
    <row r="28452" spans="4:11" ht="12.75">
      <c r="D28452" s="67"/>
      <c r="G28452" s="68"/>
      <c r="K28452" s="68"/>
    </row>
    <row r="28453" spans="4:11" ht="12.75">
      <c r="D28453" s="67"/>
      <c r="G28453" s="68"/>
      <c r="K28453" s="68"/>
    </row>
    <row r="28454" spans="4:11" ht="12.75">
      <c r="D28454" s="67"/>
      <c r="G28454" s="68"/>
      <c r="K28454" s="68"/>
    </row>
    <row r="28455" spans="4:11" ht="12.75">
      <c r="D28455" s="67"/>
      <c r="G28455" s="68"/>
      <c r="K28455" s="68"/>
    </row>
    <row r="28456" spans="4:11" ht="12.75">
      <c r="D28456" s="67"/>
      <c r="G28456" s="68"/>
      <c r="K28456" s="68"/>
    </row>
    <row r="28457" spans="4:11" ht="12.75">
      <c r="D28457" s="67"/>
      <c r="G28457" s="68"/>
      <c r="K28457" s="68"/>
    </row>
    <row r="28458" spans="4:11" ht="12.75">
      <c r="D28458" s="67"/>
      <c r="G28458" s="68"/>
      <c r="K28458" s="68"/>
    </row>
    <row r="28459" spans="4:11" ht="12.75">
      <c r="D28459" s="67"/>
      <c r="G28459" s="68"/>
      <c r="K28459" s="68"/>
    </row>
    <row r="28460" spans="4:11" ht="12.75">
      <c r="D28460" s="67"/>
      <c r="G28460" s="68"/>
      <c r="K28460" s="68"/>
    </row>
    <row r="28461" spans="4:11" ht="12.75">
      <c r="D28461" s="67"/>
      <c r="G28461" s="68"/>
      <c r="K28461" s="68"/>
    </row>
    <row r="28462" spans="4:11" ht="12.75">
      <c r="D28462" s="67"/>
      <c r="G28462" s="68"/>
      <c r="K28462" s="68"/>
    </row>
    <row r="28463" spans="4:11" ht="12.75">
      <c r="D28463" s="67"/>
      <c r="G28463" s="68"/>
      <c r="K28463" s="68"/>
    </row>
    <row r="28464" spans="4:11" ht="12.75">
      <c r="D28464" s="67"/>
      <c r="G28464" s="68"/>
      <c r="K28464" s="68"/>
    </row>
    <row r="28465" spans="4:11" ht="12.75">
      <c r="D28465" s="67"/>
      <c r="G28465" s="68"/>
      <c r="K28465" s="68"/>
    </row>
    <row r="28466" spans="4:11" ht="12.75">
      <c r="D28466" s="67"/>
      <c r="G28466" s="68"/>
      <c r="K28466" s="68"/>
    </row>
    <row r="28467" spans="4:11" ht="12.75">
      <c r="D28467" s="67"/>
      <c r="G28467" s="68"/>
      <c r="K28467" s="68"/>
    </row>
    <row r="28468" spans="4:11" ht="12.75">
      <c r="D28468" s="67"/>
      <c r="G28468" s="68"/>
      <c r="K28468" s="68"/>
    </row>
    <row r="28469" spans="4:11" ht="12.75">
      <c r="D28469" s="67"/>
      <c r="G28469" s="68"/>
      <c r="K28469" s="68"/>
    </row>
    <row r="28470" spans="4:11" ht="12.75">
      <c r="D28470" s="67"/>
      <c r="G28470" s="68"/>
      <c r="K28470" s="68"/>
    </row>
    <row r="28471" spans="4:11" ht="12.75">
      <c r="D28471" s="67"/>
      <c r="G28471" s="68"/>
      <c r="K28471" s="68"/>
    </row>
    <row r="28472" spans="4:11" ht="12.75">
      <c r="D28472" s="67"/>
      <c r="G28472" s="68"/>
      <c r="K28472" s="68"/>
    </row>
    <row r="28473" spans="4:11" ht="12.75">
      <c r="D28473" s="67"/>
      <c r="G28473" s="68"/>
      <c r="K28473" s="68"/>
    </row>
    <row r="28474" spans="4:11" ht="12.75">
      <c r="D28474" s="67"/>
      <c r="G28474" s="68"/>
      <c r="K28474" s="68"/>
    </row>
    <row r="28475" spans="4:11" ht="12.75">
      <c r="D28475" s="67"/>
      <c r="G28475" s="68"/>
      <c r="K28475" s="68"/>
    </row>
    <row r="28476" spans="4:11" ht="12.75">
      <c r="D28476" s="67"/>
      <c r="G28476" s="68"/>
      <c r="K28476" s="68"/>
    </row>
    <row r="28477" spans="4:11" ht="12.75">
      <c r="D28477" s="67"/>
      <c r="G28477" s="68"/>
      <c r="K28477" s="68"/>
    </row>
    <row r="28478" spans="4:11" ht="12.75">
      <c r="D28478" s="67"/>
      <c r="G28478" s="68"/>
      <c r="K28478" s="68"/>
    </row>
    <row r="28479" spans="4:11" ht="12.75">
      <c r="D28479" s="67"/>
      <c r="G28479" s="68"/>
      <c r="K28479" s="68"/>
    </row>
    <row r="28480" spans="4:11" ht="12.75">
      <c r="D28480" s="67"/>
      <c r="G28480" s="68"/>
      <c r="K28480" s="68"/>
    </row>
    <row r="28481" spans="4:11" ht="12.75">
      <c r="D28481" s="67"/>
      <c r="G28481" s="68"/>
      <c r="K28481" s="68"/>
    </row>
    <row r="28482" spans="4:11" ht="12.75">
      <c r="D28482" s="67"/>
      <c r="G28482" s="68"/>
      <c r="K28482" s="68"/>
    </row>
    <row r="28483" spans="4:11" ht="12.75">
      <c r="D28483" s="67"/>
      <c r="G28483" s="68"/>
      <c r="K28483" s="68"/>
    </row>
    <row r="28484" spans="4:11" ht="12.75">
      <c r="D28484" s="67"/>
      <c r="G28484" s="68"/>
      <c r="K28484" s="68"/>
    </row>
    <row r="28485" spans="4:11" ht="12.75">
      <c r="D28485" s="67"/>
      <c r="G28485" s="68"/>
      <c r="K28485" s="68"/>
    </row>
    <row r="28486" spans="4:11" ht="12.75">
      <c r="D28486" s="67"/>
      <c r="G28486" s="68"/>
      <c r="K28486" s="68"/>
    </row>
    <row r="28487" spans="4:11" ht="12.75">
      <c r="D28487" s="67"/>
      <c r="G28487" s="68"/>
      <c r="K28487" s="68"/>
    </row>
    <row r="28488" spans="4:11" ht="12.75">
      <c r="D28488" s="67"/>
      <c r="G28488" s="68"/>
      <c r="K28488" s="68"/>
    </row>
    <row r="28489" spans="4:11" ht="12.75">
      <c r="D28489" s="67"/>
      <c r="G28489" s="68"/>
      <c r="K28489" s="68"/>
    </row>
    <row r="28490" spans="4:11" ht="12.75">
      <c r="D28490" s="67"/>
      <c r="G28490" s="68"/>
      <c r="K28490" s="68"/>
    </row>
    <row r="28491" spans="4:11" ht="12.75">
      <c r="D28491" s="67"/>
      <c r="G28491" s="68"/>
      <c r="K28491" s="68"/>
    </row>
    <row r="28492" spans="4:11" ht="12.75">
      <c r="D28492" s="67"/>
      <c r="G28492" s="68"/>
      <c r="K28492" s="68"/>
    </row>
    <row r="28493" spans="4:11" ht="12.75">
      <c r="D28493" s="67"/>
      <c r="G28493" s="68"/>
      <c r="K28493" s="68"/>
    </row>
    <row r="28494" spans="4:11" ht="12.75">
      <c r="D28494" s="67"/>
      <c r="G28494" s="68"/>
      <c r="K28494" s="68"/>
    </row>
    <row r="28495" spans="4:11" ht="12.75">
      <c r="D28495" s="67"/>
      <c r="G28495" s="68"/>
      <c r="K28495" s="68"/>
    </row>
    <row r="28496" spans="4:11" ht="12.75">
      <c r="D28496" s="67"/>
      <c r="G28496" s="68"/>
      <c r="K28496" s="68"/>
    </row>
    <row r="28497" spans="4:11" ht="12.75">
      <c r="D28497" s="67"/>
      <c r="G28497" s="68"/>
      <c r="K28497" s="68"/>
    </row>
    <row r="28498" spans="4:11" ht="12.75">
      <c r="D28498" s="67"/>
      <c r="G28498" s="68"/>
      <c r="K28498" s="68"/>
    </row>
    <row r="28499" spans="4:11" ht="12.75">
      <c r="D28499" s="67"/>
      <c r="G28499" s="68"/>
      <c r="K28499" s="68"/>
    </row>
    <row r="28500" spans="4:11" ht="12.75">
      <c r="D28500" s="67"/>
      <c r="G28500" s="68"/>
      <c r="K28500" s="68"/>
    </row>
    <row r="28501" spans="4:11" ht="12.75">
      <c r="D28501" s="67"/>
      <c r="G28501" s="68"/>
      <c r="K28501" s="68"/>
    </row>
    <row r="28502" spans="4:11" ht="12.75">
      <c r="D28502" s="67"/>
      <c r="G28502" s="68"/>
      <c r="K28502" s="68"/>
    </row>
    <row r="28503" spans="4:11" ht="12.75">
      <c r="D28503" s="67"/>
      <c r="G28503" s="68"/>
      <c r="K28503" s="68"/>
    </row>
    <row r="28504" spans="4:11" ht="12.75">
      <c r="D28504" s="67"/>
      <c r="G28504" s="68"/>
      <c r="K28504" s="68"/>
    </row>
    <row r="28505" spans="4:11" ht="12.75">
      <c r="D28505" s="67"/>
      <c r="G28505" s="68"/>
      <c r="K28505" s="68"/>
    </row>
    <row r="28506" spans="4:11" ht="12.75">
      <c r="D28506" s="67"/>
      <c r="G28506" s="68"/>
      <c r="K28506" s="68"/>
    </row>
    <row r="28507" spans="4:11" ht="12.75">
      <c r="D28507" s="67"/>
      <c r="G28507" s="68"/>
      <c r="K28507" s="68"/>
    </row>
    <row r="28508" spans="4:11" ht="12.75">
      <c r="D28508" s="67"/>
      <c r="G28508" s="68"/>
      <c r="K28508" s="68"/>
    </row>
    <row r="28509" spans="4:11" ht="12.75">
      <c r="D28509" s="67"/>
      <c r="G28509" s="68"/>
      <c r="K28509" s="68"/>
    </row>
    <row r="28510" spans="4:11" ht="12.75">
      <c r="D28510" s="67"/>
      <c r="G28510" s="68"/>
      <c r="K28510" s="68"/>
    </row>
    <row r="28511" spans="4:11" ht="12.75">
      <c r="D28511" s="67"/>
      <c r="G28511" s="68"/>
      <c r="K28511" s="68"/>
    </row>
    <row r="28512" spans="4:11" ht="12.75">
      <c r="D28512" s="67"/>
      <c r="G28512" s="68"/>
      <c r="K28512" s="68"/>
    </row>
    <row r="28513" spans="4:11" ht="12.75">
      <c r="D28513" s="67"/>
      <c r="G28513" s="68"/>
      <c r="K28513" s="68"/>
    </row>
    <row r="28514" spans="4:11" ht="12.75">
      <c r="D28514" s="67"/>
      <c r="G28514" s="68"/>
      <c r="K28514" s="68"/>
    </row>
    <row r="28515" spans="4:11" ht="12.75">
      <c r="D28515" s="67"/>
      <c r="G28515" s="68"/>
      <c r="K28515" s="68"/>
    </row>
    <row r="28516" spans="4:11" ht="12.75">
      <c r="D28516" s="67"/>
      <c r="G28516" s="68"/>
      <c r="K28516" s="68"/>
    </row>
    <row r="28517" spans="4:11" ht="12.75">
      <c r="D28517" s="67"/>
      <c r="G28517" s="68"/>
      <c r="K28517" s="68"/>
    </row>
    <row r="28518" spans="4:11" ht="12.75">
      <c r="D28518" s="67"/>
      <c r="G28518" s="68"/>
      <c r="K28518" s="68"/>
    </row>
    <row r="28519" spans="4:11" ht="12.75">
      <c r="D28519" s="67"/>
      <c r="G28519" s="68"/>
      <c r="K28519" s="68"/>
    </row>
    <row r="28520" spans="4:11" ht="12.75">
      <c r="D28520" s="67"/>
      <c r="G28520" s="68"/>
      <c r="K28520" s="68"/>
    </row>
    <row r="28521" spans="4:11" ht="12.75">
      <c r="D28521" s="67"/>
      <c r="G28521" s="68"/>
      <c r="K28521" s="68"/>
    </row>
    <row r="28522" spans="4:11" ht="12.75">
      <c r="D28522" s="67"/>
      <c r="G28522" s="68"/>
      <c r="K28522" s="68"/>
    </row>
    <row r="28523" spans="4:11" ht="12.75">
      <c r="D28523" s="67"/>
      <c r="G28523" s="68"/>
      <c r="K28523" s="68"/>
    </row>
    <row r="28524" spans="4:11" ht="12.75">
      <c r="D28524" s="67"/>
      <c r="G28524" s="68"/>
      <c r="K28524" s="68"/>
    </row>
    <row r="28525" spans="4:11" ht="12.75">
      <c r="D28525" s="67"/>
      <c r="G28525" s="68"/>
      <c r="K28525" s="68"/>
    </row>
    <row r="28526" spans="4:11" ht="12.75">
      <c r="D28526" s="67"/>
      <c r="G28526" s="68"/>
      <c r="K28526" s="68"/>
    </row>
    <row r="28527" spans="4:11" ht="12.75">
      <c r="D28527" s="67"/>
      <c r="G28527" s="68"/>
      <c r="K28527" s="68"/>
    </row>
    <row r="28528" spans="4:11" ht="12.75">
      <c r="D28528" s="67"/>
      <c r="G28528" s="68"/>
      <c r="K28528" s="68"/>
    </row>
    <row r="28529" spans="4:11" ht="12.75">
      <c r="D28529" s="67"/>
      <c r="G28529" s="68"/>
      <c r="K28529" s="68"/>
    </row>
    <row r="28530" spans="4:11" ht="12.75">
      <c r="D28530" s="67"/>
      <c r="G28530" s="68"/>
      <c r="K28530" s="68"/>
    </row>
    <row r="28531" spans="4:11" ht="12.75">
      <c r="D28531" s="67"/>
      <c r="G28531" s="68"/>
      <c r="K28531" s="68"/>
    </row>
    <row r="28532" spans="4:11" ht="12.75">
      <c r="D28532" s="67"/>
      <c r="G28532" s="68"/>
      <c r="K28532" s="68"/>
    </row>
    <row r="28533" spans="4:11" ht="12.75">
      <c r="D28533" s="67"/>
      <c r="G28533" s="68"/>
      <c r="K28533" s="68"/>
    </row>
    <row r="28534" spans="4:11" ht="12.75">
      <c r="D28534" s="67"/>
      <c r="G28534" s="68"/>
      <c r="K28534" s="68"/>
    </row>
    <row r="28535" spans="4:11" ht="12.75">
      <c r="D28535" s="67"/>
      <c r="G28535" s="68"/>
      <c r="K28535" s="68"/>
    </row>
    <row r="28536" spans="4:11" ht="12.75">
      <c r="D28536" s="67"/>
      <c r="G28536" s="68"/>
      <c r="K28536" s="68"/>
    </row>
    <row r="28537" spans="4:11" ht="12.75">
      <c r="D28537" s="67"/>
      <c r="G28537" s="68"/>
      <c r="K28537" s="68"/>
    </row>
    <row r="28538" spans="4:11" ht="12.75">
      <c r="D28538" s="67"/>
      <c r="G28538" s="68"/>
      <c r="K28538" s="68"/>
    </row>
    <row r="28539" spans="4:11" ht="12.75">
      <c r="D28539" s="67"/>
      <c r="G28539" s="68"/>
      <c r="K28539" s="68"/>
    </row>
    <row r="28540" spans="4:11" ht="12.75">
      <c r="D28540" s="67"/>
      <c r="G28540" s="68"/>
      <c r="K28540" s="68"/>
    </row>
    <row r="28541" spans="4:11" ht="12.75">
      <c r="D28541" s="67"/>
      <c r="G28541" s="68"/>
      <c r="K28541" s="68"/>
    </row>
    <row r="28542" spans="4:11" ht="12.75">
      <c r="D28542" s="67"/>
      <c r="G28542" s="68"/>
      <c r="K28542" s="68"/>
    </row>
    <row r="28543" spans="4:11" ht="12.75">
      <c r="D28543" s="67"/>
      <c r="G28543" s="68"/>
      <c r="K28543" s="68"/>
    </row>
    <row r="28544" spans="4:11" ht="12.75">
      <c r="D28544" s="67"/>
      <c r="G28544" s="68"/>
      <c r="K28544" s="68"/>
    </row>
    <row r="28545" spans="4:11" ht="12.75">
      <c r="D28545" s="67"/>
      <c r="G28545" s="68"/>
      <c r="K28545" s="68"/>
    </row>
    <row r="28546" spans="4:11" ht="12.75">
      <c r="D28546" s="67"/>
      <c r="G28546" s="68"/>
      <c r="K28546" s="68"/>
    </row>
    <row r="28547" spans="4:11" ht="12.75">
      <c r="D28547" s="67"/>
      <c r="G28547" s="68"/>
      <c r="K28547" s="68"/>
    </row>
    <row r="28548" spans="4:11" ht="12.75">
      <c r="D28548" s="67"/>
      <c r="G28548" s="68"/>
      <c r="K28548" s="68"/>
    </row>
    <row r="28549" spans="4:11" ht="12.75">
      <c r="D28549" s="67"/>
      <c r="G28549" s="68"/>
      <c r="K28549" s="68"/>
    </row>
    <row r="28550" spans="4:11" ht="12.75">
      <c r="D28550" s="67"/>
      <c r="G28550" s="68"/>
      <c r="K28550" s="68"/>
    </row>
    <row r="28551" spans="4:11" ht="12.75">
      <c r="D28551" s="67"/>
      <c r="G28551" s="68"/>
      <c r="K28551" s="68"/>
    </row>
    <row r="28552" spans="4:11" ht="12.75">
      <c r="D28552" s="67"/>
      <c r="G28552" s="68"/>
      <c r="K28552" s="68"/>
    </row>
    <row r="28553" spans="4:11" ht="12.75">
      <c r="D28553" s="67"/>
      <c r="G28553" s="68"/>
      <c r="K28553" s="68"/>
    </row>
    <row r="28554" spans="4:11" ht="12.75">
      <c r="D28554" s="67"/>
      <c r="G28554" s="68"/>
      <c r="K28554" s="68"/>
    </row>
    <row r="28555" spans="4:11" ht="12.75">
      <c r="D28555" s="67"/>
      <c r="G28555" s="68"/>
      <c r="K28555" s="68"/>
    </row>
    <row r="28556" spans="4:11" ht="12.75">
      <c r="D28556" s="67"/>
      <c r="G28556" s="68"/>
      <c r="K28556" s="68"/>
    </row>
    <row r="28557" spans="4:11" ht="12.75">
      <c r="D28557" s="67"/>
      <c r="G28557" s="68"/>
      <c r="K28557" s="68"/>
    </row>
    <row r="28558" spans="4:11" ht="12.75">
      <c r="D28558" s="67"/>
      <c r="G28558" s="68"/>
      <c r="K28558" s="68"/>
    </row>
    <row r="28559" spans="4:11" ht="12.75">
      <c r="D28559" s="67"/>
      <c r="G28559" s="68"/>
      <c r="K28559" s="68"/>
    </row>
    <row r="28560" spans="4:11" ht="12.75">
      <c r="D28560" s="67"/>
      <c r="G28560" s="68"/>
      <c r="K28560" s="68"/>
    </row>
    <row r="28561" spans="4:11" ht="12.75">
      <c r="D28561" s="67"/>
      <c r="G28561" s="68"/>
      <c r="K28561" s="68"/>
    </row>
    <row r="28562" spans="4:11" ht="12.75">
      <c r="D28562" s="67"/>
      <c r="G28562" s="68"/>
      <c r="K28562" s="68"/>
    </row>
    <row r="28563" spans="4:11" ht="12.75">
      <c r="D28563" s="67"/>
      <c r="G28563" s="68"/>
      <c r="K28563" s="68"/>
    </row>
    <row r="28564" spans="4:11" ht="12.75">
      <c r="D28564" s="67"/>
      <c r="G28564" s="68"/>
      <c r="K28564" s="68"/>
    </row>
    <row r="28565" spans="4:11" ht="12.75">
      <c r="D28565" s="67"/>
      <c r="G28565" s="68"/>
      <c r="K28565" s="68"/>
    </row>
    <row r="28566" spans="4:11" ht="12.75">
      <c r="D28566" s="67"/>
      <c r="G28566" s="68"/>
      <c r="K28566" s="68"/>
    </row>
    <row r="28567" spans="4:11" ht="12.75">
      <c r="D28567" s="67"/>
      <c r="G28567" s="68"/>
      <c r="K28567" s="68"/>
    </row>
    <row r="28568" spans="4:11" ht="12.75">
      <c r="D28568" s="67"/>
      <c r="G28568" s="68"/>
      <c r="K28568" s="68"/>
    </row>
    <row r="28569" spans="4:11" ht="12.75">
      <c r="D28569" s="67"/>
      <c r="G28569" s="68"/>
      <c r="K28569" s="68"/>
    </row>
    <row r="28570" spans="4:11" ht="12.75">
      <c r="D28570" s="67"/>
      <c r="G28570" s="68"/>
      <c r="K28570" s="68"/>
    </row>
    <row r="28571" spans="4:11" ht="12.75">
      <c r="D28571" s="67"/>
      <c r="G28571" s="68"/>
      <c r="K28571" s="68"/>
    </row>
    <row r="28572" spans="4:11" ht="12.75">
      <c r="D28572" s="67"/>
      <c r="G28572" s="68"/>
      <c r="K28572" s="68"/>
    </row>
    <row r="28573" spans="4:11" ht="12.75">
      <c r="D28573" s="67"/>
      <c r="G28573" s="68"/>
      <c r="K28573" s="68"/>
    </row>
    <row r="28574" spans="4:11" ht="12.75">
      <c r="D28574" s="67"/>
      <c r="G28574" s="68"/>
      <c r="K28574" s="68"/>
    </row>
    <row r="28575" spans="4:11" ht="12.75">
      <c r="D28575" s="67"/>
      <c r="G28575" s="68"/>
      <c r="K28575" s="68"/>
    </row>
    <row r="28576" spans="4:11" ht="12.75">
      <c r="D28576" s="67"/>
      <c r="G28576" s="68"/>
      <c r="K28576" s="68"/>
    </row>
    <row r="28577" spans="4:11" ht="12.75">
      <c r="D28577" s="67"/>
      <c r="G28577" s="68"/>
      <c r="K28577" s="68"/>
    </row>
    <row r="28578" spans="4:11" ht="12.75">
      <c r="D28578" s="67"/>
      <c r="G28578" s="68"/>
      <c r="K28578" s="68"/>
    </row>
    <row r="28579" spans="4:11" ht="12.75">
      <c r="D28579" s="67"/>
      <c r="G28579" s="68"/>
      <c r="K28579" s="68"/>
    </row>
    <row r="28580" spans="4:11" ht="12.75">
      <c r="D28580" s="67"/>
      <c r="G28580" s="68"/>
      <c r="K28580" s="68"/>
    </row>
    <row r="28581" spans="4:11" ht="12.75">
      <c r="D28581" s="67"/>
      <c r="G28581" s="68"/>
      <c r="K28581" s="68"/>
    </row>
    <row r="28582" spans="4:11" ht="12.75">
      <c r="D28582" s="67"/>
      <c r="G28582" s="68"/>
      <c r="K28582" s="68"/>
    </row>
    <row r="28583" spans="4:11" ht="12.75">
      <c r="D28583" s="67"/>
      <c r="G28583" s="68"/>
      <c r="K28583" s="68"/>
    </row>
    <row r="28584" spans="4:11" ht="12.75">
      <c r="D28584" s="67"/>
      <c r="G28584" s="68"/>
      <c r="K28584" s="68"/>
    </row>
    <row r="28585" spans="4:11" ht="12.75">
      <c r="D28585" s="67"/>
      <c r="G28585" s="68"/>
      <c r="K28585" s="68"/>
    </row>
    <row r="28586" spans="4:11" ht="12.75">
      <c r="D28586" s="67"/>
      <c r="G28586" s="68"/>
      <c r="K28586" s="68"/>
    </row>
    <row r="28587" spans="4:11" ht="12.75">
      <c r="D28587" s="67"/>
      <c r="G28587" s="68"/>
      <c r="K28587" s="68"/>
    </row>
    <row r="28588" spans="4:11" ht="12.75">
      <c r="D28588" s="67"/>
      <c r="G28588" s="68"/>
      <c r="K28588" s="68"/>
    </row>
    <row r="28589" spans="4:11" ht="12.75">
      <c r="D28589" s="67"/>
      <c r="G28589" s="68"/>
      <c r="K28589" s="68"/>
    </row>
    <row r="28590" spans="4:11" ht="12.75">
      <c r="D28590" s="67"/>
      <c r="G28590" s="68"/>
      <c r="K28590" s="68"/>
    </row>
    <row r="28591" spans="4:11" ht="12.75">
      <c r="D28591" s="67"/>
      <c r="G28591" s="68"/>
      <c r="K28591" s="68"/>
    </row>
    <row r="28592" spans="4:11" ht="12.75">
      <c r="D28592" s="67"/>
      <c r="G28592" s="68"/>
      <c r="K28592" s="68"/>
    </row>
    <row r="28593" spans="4:11" ht="12.75">
      <c r="D28593" s="67"/>
      <c r="G28593" s="68"/>
      <c r="K28593" s="68"/>
    </row>
    <row r="28594" spans="4:11" ht="12.75">
      <c r="D28594" s="67"/>
      <c r="G28594" s="68"/>
      <c r="K28594" s="68"/>
    </row>
    <row r="28595" spans="4:11" ht="12.75">
      <c r="D28595" s="67"/>
      <c r="G28595" s="68"/>
      <c r="K28595" s="68"/>
    </row>
    <row r="28596" spans="4:11" ht="12.75">
      <c r="D28596" s="67"/>
      <c r="G28596" s="68"/>
      <c r="K28596" s="68"/>
    </row>
    <row r="28597" spans="4:11" ht="12.75">
      <c r="D28597" s="67"/>
      <c r="G28597" s="68"/>
      <c r="K28597" s="68"/>
    </row>
    <row r="28598" spans="4:11" ht="12.75">
      <c r="D28598" s="67"/>
      <c r="G28598" s="68"/>
      <c r="K28598" s="68"/>
    </row>
    <row r="28599" spans="4:11" ht="12.75">
      <c r="D28599" s="67"/>
      <c r="G28599" s="68"/>
      <c r="K28599" s="68"/>
    </row>
    <row r="28600" spans="4:11" ht="12.75">
      <c r="D28600" s="67"/>
      <c r="G28600" s="68"/>
      <c r="K28600" s="68"/>
    </row>
    <row r="28601" spans="4:11" ht="12.75">
      <c r="D28601" s="67"/>
      <c r="G28601" s="68"/>
      <c r="K28601" s="68"/>
    </row>
    <row r="28602" spans="4:11" ht="12.75">
      <c r="D28602" s="67"/>
      <c r="G28602" s="68"/>
      <c r="K28602" s="68"/>
    </row>
    <row r="28603" spans="4:11" ht="12.75">
      <c r="D28603" s="67"/>
      <c r="G28603" s="68"/>
      <c r="K28603" s="68"/>
    </row>
    <row r="28604" spans="4:11" ht="12.75">
      <c r="D28604" s="67"/>
      <c r="G28604" s="68"/>
      <c r="K28604" s="68"/>
    </row>
    <row r="28605" spans="4:11" ht="12.75">
      <c r="D28605" s="67"/>
      <c r="G28605" s="68"/>
      <c r="K28605" s="68"/>
    </row>
    <row r="28606" spans="4:11" ht="12.75">
      <c r="D28606" s="67"/>
      <c r="G28606" s="68"/>
      <c r="K28606" s="68"/>
    </row>
    <row r="28607" spans="4:11" ht="12.75">
      <c r="D28607" s="67"/>
      <c r="G28607" s="68"/>
      <c r="K28607" s="68"/>
    </row>
    <row r="28608" spans="4:11" ht="12.75">
      <c r="D28608" s="67"/>
      <c r="G28608" s="68"/>
      <c r="K28608" s="68"/>
    </row>
    <row r="28609" spans="4:11" ht="12.75">
      <c r="D28609" s="67"/>
      <c r="G28609" s="68"/>
      <c r="K28609" s="68"/>
    </row>
    <row r="28610" spans="4:11" ht="12.75">
      <c r="D28610" s="67"/>
      <c r="G28610" s="68"/>
      <c r="K28610" s="68"/>
    </row>
    <row r="28611" spans="4:11" ht="12.75">
      <c r="D28611" s="67"/>
      <c r="G28611" s="68"/>
      <c r="K28611" s="68"/>
    </row>
    <row r="28612" spans="4:11" ht="12.75">
      <c r="D28612" s="67"/>
      <c r="G28612" s="68"/>
      <c r="K28612" s="68"/>
    </row>
    <row r="28613" spans="4:11" ht="12.75">
      <c r="D28613" s="67"/>
      <c r="G28613" s="68"/>
      <c r="K28613" s="68"/>
    </row>
    <row r="28614" spans="4:11" ht="12.75">
      <c r="D28614" s="67"/>
      <c r="G28614" s="68"/>
      <c r="K28614" s="68"/>
    </row>
    <row r="28615" spans="4:11" ht="12.75">
      <c r="D28615" s="67"/>
      <c r="G28615" s="68"/>
      <c r="K28615" s="68"/>
    </row>
    <row r="28616" spans="4:11" ht="12.75">
      <c r="D28616" s="67"/>
      <c r="G28616" s="68"/>
      <c r="K28616" s="68"/>
    </row>
    <row r="28617" spans="4:11" ht="12.75">
      <c r="D28617" s="67"/>
      <c r="G28617" s="68"/>
      <c r="K28617" s="68"/>
    </row>
    <row r="28618" spans="4:11" ht="12.75">
      <c r="D28618" s="67"/>
      <c r="G28618" s="68"/>
      <c r="K28618" s="68"/>
    </row>
    <row r="28619" spans="4:11" ht="12.75">
      <c r="D28619" s="67"/>
      <c r="G28619" s="68"/>
      <c r="K28619" s="68"/>
    </row>
    <row r="28620" spans="4:11" ht="12.75">
      <c r="D28620" s="67"/>
      <c r="G28620" s="68"/>
      <c r="K28620" s="68"/>
    </row>
    <row r="28621" spans="4:11" ht="12.75">
      <c r="D28621" s="67"/>
      <c r="G28621" s="68"/>
      <c r="K28621" s="68"/>
    </row>
    <row r="28622" spans="4:11" ht="12.75">
      <c r="D28622" s="67"/>
      <c r="G28622" s="68"/>
      <c r="K28622" s="68"/>
    </row>
    <row r="28623" spans="4:11" ht="12.75">
      <c r="D28623" s="67"/>
      <c r="G28623" s="68"/>
      <c r="K28623" s="68"/>
    </row>
    <row r="28624" spans="4:11" ht="12.75">
      <c r="D28624" s="67"/>
      <c r="G28624" s="68"/>
      <c r="K28624" s="68"/>
    </row>
    <row r="28625" spans="4:11" ht="12.75">
      <c r="D28625" s="67"/>
      <c r="G28625" s="68"/>
      <c r="K28625" s="68"/>
    </row>
    <row r="28626" spans="4:11" ht="12.75">
      <c r="D28626" s="67"/>
      <c r="G28626" s="68"/>
      <c r="K28626" s="68"/>
    </row>
    <row r="28627" spans="4:11" ht="12.75">
      <c r="D28627" s="67"/>
      <c r="G28627" s="68"/>
      <c r="K28627" s="68"/>
    </row>
    <row r="28628" spans="4:11" ht="12.75">
      <c r="D28628" s="67"/>
      <c r="G28628" s="68"/>
      <c r="K28628" s="68"/>
    </row>
    <row r="28629" spans="4:11" ht="12.75">
      <c r="D28629" s="67"/>
      <c r="G28629" s="68"/>
      <c r="K28629" s="68"/>
    </row>
    <row r="28630" spans="4:11" ht="12.75">
      <c r="D28630" s="67"/>
      <c r="G28630" s="68"/>
      <c r="K28630" s="68"/>
    </row>
    <row r="28631" spans="4:11" ht="12.75">
      <c r="D28631" s="67"/>
      <c r="G28631" s="68"/>
      <c r="K28631" s="68"/>
    </row>
    <row r="28632" spans="4:11" ht="12.75">
      <c r="D28632" s="67"/>
      <c r="G28632" s="68"/>
      <c r="K28632" s="68"/>
    </row>
    <row r="28633" spans="4:11" ht="12.75">
      <c r="D28633" s="67"/>
      <c r="G28633" s="68"/>
      <c r="K28633" s="68"/>
    </row>
    <row r="28634" spans="4:11" ht="12.75">
      <c r="D28634" s="67"/>
      <c r="G28634" s="68"/>
      <c r="K28634" s="68"/>
    </row>
    <row r="28635" spans="4:11" ht="12.75">
      <c r="D28635" s="67"/>
      <c r="G28635" s="68"/>
      <c r="K28635" s="68"/>
    </row>
    <row r="28636" spans="4:11" ht="12.75">
      <c r="D28636" s="67"/>
      <c r="G28636" s="68"/>
      <c r="K28636" s="68"/>
    </row>
    <row r="28637" spans="4:11" ht="12.75">
      <c r="D28637" s="67"/>
      <c r="G28637" s="68"/>
      <c r="K28637" s="68"/>
    </row>
    <row r="28638" spans="4:11" ht="12.75">
      <c r="D28638" s="67"/>
      <c r="G28638" s="68"/>
      <c r="K28638" s="68"/>
    </row>
    <row r="28639" spans="4:11" ht="12.75">
      <c r="D28639" s="67"/>
      <c r="G28639" s="68"/>
      <c r="K28639" s="68"/>
    </row>
    <row r="28640" spans="4:11" ht="12.75">
      <c r="D28640" s="67"/>
      <c r="G28640" s="68"/>
      <c r="K28640" s="68"/>
    </row>
    <row r="28641" spans="4:11" ht="12.75">
      <c r="D28641" s="67"/>
      <c r="G28641" s="68"/>
      <c r="K28641" s="68"/>
    </row>
    <row r="28642" spans="4:11" ht="12.75">
      <c r="D28642" s="67"/>
      <c r="G28642" s="68"/>
      <c r="K28642" s="68"/>
    </row>
    <row r="28643" spans="4:11" ht="12.75">
      <c r="D28643" s="67"/>
      <c r="G28643" s="68"/>
      <c r="K28643" s="68"/>
    </row>
    <row r="28644" spans="4:11" ht="12.75">
      <c r="D28644" s="67"/>
      <c r="G28644" s="68"/>
      <c r="K28644" s="68"/>
    </row>
    <row r="28645" spans="4:11" ht="12.75">
      <c r="D28645" s="67"/>
      <c r="G28645" s="68"/>
      <c r="K28645" s="68"/>
    </row>
    <row r="28646" spans="4:11" ht="12.75">
      <c r="D28646" s="67"/>
      <c r="G28646" s="68"/>
      <c r="K28646" s="68"/>
    </row>
    <row r="28647" spans="4:11" ht="12.75">
      <c r="D28647" s="67"/>
      <c r="G28647" s="68"/>
      <c r="K28647" s="68"/>
    </row>
    <row r="28648" spans="4:11" ht="12.75">
      <c r="D28648" s="67"/>
      <c r="G28648" s="68"/>
      <c r="K28648" s="68"/>
    </row>
    <row r="28649" spans="4:11" ht="12.75">
      <c r="D28649" s="67"/>
      <c r="G28649" s="68"/>
      <c r="K28649" s="68"/>
    </row>
    <row r="28650" spans="4:11" ht="12.75">
      <c r="D28650" s="67"/>
      <c r="G28650" s="68"/>
      <c r="K28650" s="68"/>
    </row>
    <row r="28651" spans="4:11" ht="12.75">
      <c r="D28651" s="67"/>
      <c r="G28651" s="68"/>
      <c r="K28651" s="68"/>
    </row>
    <row r="28652" spans="4:11" ht="12.75">
      <c r="D28652" s="67"/>
      <c r="G28652" s="68"/>
      <c r="K28652" s="68"/>
    </row>
    <row r="28653" spans="4:11" ht="12.75">
      <c r="D28653" s="67"/>
      <c r="G28653" s="68"/>
      <c r="K28653" s="68"/>
    </row>
    <row r="28654" spans="4:11" ht="12.75">
      <c r="D28654" s="67"/>
      <c r="G28654" s="68"/>
      <c r="K28654" s="68"/>
    </row>
    <row r="28655" spans="4:11" ht="12.75">
      <c r="D28655" s="67"/>
      <c r="G28655" s="68"/>
      <c r="K28655" s="68"/>
    </row>
    <row r="28656" spans="4:11" ht="12.75">
      <c r="D28656" s="67"/>
      <c r="G28656" s="68"/>
      <c r="K28656" s="68"/>
    </row>
    <row r="28657" spans="4:11" ht="12.75">
      <c r="D28657" s="67"/>
      <c r="G28657" s="68"/>
      <c r="K28657" s="68"/>
    </row>
    <row r="28658" spans="4:11" ht="12.75">
      <c r="D28658" s="67"/>
      <c r="G28658" s="68"/>
      <c r="K28658" s="68"/>
    </row>
    <row r="28659" spans="4:11" ht="12.75">
      <c r="D28659" s="67"/>
      <c r="G28659" s="68"/>
      <c r="K28659" s="68"/>
    </row>
    <row r="28660" spans="4:11" ht="12.75">
      <c r="D28660" s="67"/>
      <c r="G28660" s="68"/>
      <c r="K28660" s="68"/>
    </row>
    <row r="28661" spans="4:11" ht="12.75">
      <c r="D28661" s="67"/>
      <c r="G28661" s="68"/>
      <c r="K28661" s="68"/>
    </row>
    <row r="28662" spans="4:11" ht="12.75">
      <c r="D28662" s="67"/>
      <c r="G28662" s="68"/>
      <c r="K28662" s="68"/>
    </row>
    <row r="28663" spans="4:11" ht="12.75">
      <c r="D28663" s="67"/>
      <c r="G28663" s="68"/>
      <c r="K28663" s="68"/>
    </row>
    <row r="28664" spans="4:11" ht="12.75">
      <c r="D28664" s="67"/>
      <c r="G28664" s="68"/>
      <c r="K28664" s="68"/>
    </row>
    <row r="28665" spans="4:11" ht="12.75">
      <c r="D28665" s="67"/>
      <c r="G28665" s="68"/>
      <c r="K28665" s="68"/>
    </row>
    <row r="28666" spans="4:11" ht="12.75">
      <c r="D28666" s="67"/>
      <c r="G28666" s="68"/>
      <c r="K28666" s="68"/>
    </row>
    <row r="28667" spans="4:11" ht="12.75">
      <c r="D28667" s="67"/>
      <c r="G28667" s="68"/>
      <c r="K28667" s="68"/>
    </row>
    <row r="28668" spans="4:11" ht="12.75">
      <c r="D28668" s="67"/>
      <c r="G28668" s="68"/>
      <c r="K28668" s="68"/>
    </row>
    <row r="28669" spans="4:11" ht="12.75">
      <c r="D28669" s="67"/>
      <c r="G28669" s="68"/>
      <c r="K28669" s="68"/>
    </row>
    <row r="28670" spans="4:11" ht="12.75">
      <c r="D28670" s="67"/>
      <c r="G28670" s="68"/>
      <c r="K28670" s="68"/>
    </row>
    <row r="28671" spans="4:11" ht="12.75">
      <c r="D28671" s="67"/>
      <c r="G28671" s="68"/>
      <c r="K28671" s="68"/>
    </row>
    <row r="28672" spans="4:11" ht="12.75">
      <c r="D28672" s="67"/>
      <c r="G28672" s="68"/>
      <c r="K28672" s="68"/>
    </row>
    <row r="28673" spans="4:11" ht="12.75">
      <c r="D28673" s="67"/>
      <c r="G28673" s="68"/>
      <c r="K28673" s="68"/>
    </row>
    <row r="28674" spans="4:11" ht="12.75">
      <c r="D28674" s="67"/>
      <c r="G28674" s="68"/>
      <c r="K28674" s="68"/>
    </row>
    <row r="28675" spans="4:11" ht="12.75">
      <c r="D28675" s="67"/>
      <c r="G28675" s="68"/>
      <c r="K28675" s="68"/>
    </row>
    <row r="28676" spans="4:11" ht="12.75">
      <c r="D28676" s="67"/>
      <c r="G28676" s="68"/>
      <c r="K28676" s="68"/>
    </row>
    <row r="28677" spans="4:11" ht="12.75">
      <c r="D28677" s="67"/>
      <c r="G28677" s="68"/>
      <c r="K28677" s="68"/>
    </row>
    <row r="28678" spans="4:11" ht="12.75">
      <c r="D28678" s="67"/>
      <c r="G28678" s="68"/>
      <c r="K28678" s="68"/>
    </row>
    <row r="28679" spans="4:11" ht="12.75">
      <c r="D28679" s="67"/>
      <c r="G28679" s="68"/>
      <c r="K28679" s="68"/>
    </row>
    <row r="28680" spans="4:11" ht="12.75">
      <c r="D28680" s="67"/>
      <c r="G28680" s="68"/>
      <c r="K28680" s="68"/>
    </row>
    <row r="28681" spans="4:11" ht="12.75">
      <c r="D28681" s="67"/>
      <c r="G28681" s="68"/>
      <c r="K28681" s="68"/>
    </row>
    <row r="28682" spans="4:11" ht="12.75">
      <c r="D28682" s="67"/>
      <c r="G28682" s="68"/>
      <c r="K28682" s="68"/>
    </row>
    <row r="28683" spans="4:11" ht="12.75">
      <c r="D28683" s="67"/>
      <c r="G28683" s="68"/>
      <c r="K28683" s="68"/>
    </row>
    <row r="28684" spans="4:11" ht="12.75">
      <c r="D28684" s="67"/>
      <c r="G28684" s="68"/>
      <c r="K28684" s="68"/>
    </row>
    <row r="28685" spans="4:11" ht="12.75">
      <c r="D28685" s="67"/>
      <c r="G28685" s="68"/>
      <c r="K28685" s="68"/>
    </row>
    <row r="28686" spans="4:11" ht="12.75">
      <c r="D28686" s="67"/>
      <c r="G28686" s="68"/>
      <c r="K28686" s="68"/>
    </row>
    <row r="28687" spans="4:11" ht="12.75">
      <c r="D28687" s="67"/>
      <c r="G28687" s="68"/>
      <c r="K28687" s="68"/>
    </row>
    <row r="28688" spans="4:11" ht="12.75">
      <c r="D28688" s="67"/>
      <c r="G28688" s="68"/>
      <c r="K28688" s="68"/>
    </row>
    <row r="28689" spans="4:11" ht="12.75">
      <c r="D28689" s="67"/>
      <c r="G28689" s="68"/>
      <c r="K28689" s="68"/>
    </row>
    <row r="28690" spans="4:11" ht="12.75">
      <c r="D28690" s="67"/>
      <c r="G28690" s="68"/>
      <c r="K28690" s="68"/>
    </row>
    <row r="28691" spans="4:11" ht="12.75">
      <c r="D28691" s="67"/>
      <c r="G28691" s="68"/>
      <c r="K28691" s="68"/>
    </row>
    <row r="28692" spans="4:11" ht="12.75">
      <c r="D28692" s="67"/>
      <c r="G28692" s="68"/>
      <c r="K28692" s="68"/>
    </row>
    <row r="28693" spans="4:11" ht="12.75">
      <c r="D28693" s="67"/>
      <c r="G28693" s="68"/>
      <c r="K28693" s="68"/>
    </row>
    <row r="28694" spans="4:11" ht="12.75">
      <c r="D28694" s="67"/>
      <c r="G28694" s="68"/>
      <c r="K28694" s="68"/>
    </row>
    <row r="28695" spans="4:11" ht="12.75">
      <c r="D28695" s="67"/>
      <c r="G28695" s="68"/>
      <c r="K28695" s="68"/>
    </row>
    <row r="28696" spans="4:11" ht="12.75">
      <c r="D28696" s="67"/>
      <c r="G28696" s="68"/>
      <c r="K28696" s="68"/>
    </row>
    <row r="28697" spans="4:11" ht="12.75">
      <c r="D28697" s="67"/>
      <c r="G28697" s="68"/>
      <c r="K28697" s="68"/>
    </row>
    <row r="28698" spans="4:11" ht="12.75">
      <c r="D28698" s="67"/>
      <c r="G28698" s="68"/>
      <c r="K28698" s="68"/>
    </row>
    <row r="28699" spans="4:11" ht="12.75">
      <c r="D28699" s="67"/>
      <c r="G28699" s="68"/>
      <c r="K28699" s="68"/>
    </row>
    <row r="28700" spans="4:11" ht="12.75">
      <c r="D28700" s="67"/>
      <c r="G28700" s="68"/>
      <c r="K28700" s="68"/>
    </row>
    <row r="28701" spans="4:11" ht="12.75">
      <c r="D28701" s="67"/>
      <c r="G28701" s="68"/>
      <c r="K28701" s="68"/>
    </row>
    <row r="28702" spans="4:11" ht="12.75">
      <c r="D28702" s="67"/>
      <c r="G28702" s="68"/>
      <c r="K28702" s="68"/>
    </row>
    <row r="28703" spans="4:11" ht="12.75">
      <c r="D28703" s="67"/>
      <c r="G28703" s="68"/>
      <c r="K28703" s="68"/>
    </row>
    <row r="28704" spans="4:11" ht="12.75">
      <c r="D28704" s="67"/>
      <c r="G28704" s="68"/>
      <c r="K28704" s="68"/>
    </row>
    <row r="28705" spans="4:11" ht="12.75">
      <c r="D28705" s="67"/>
      <c r="G28705" s="68"/>
      <c r="K28705" s="68"/>
    </row>
    <row r="28706" spans="4:11" ht="12.75">
      <c r="D28706" s="67"/>
      <c r="G28706" s="68"/>
      <c r="K28706" s="68"/>
    </row>
    <row r="28707" spans="4:11" ht="12.75">
      <c r="D28707" s="67"/>
      <c r="G28707" s="68"/>
      <c r="K28707" s="68"/>
    </row>
    <row r="28708" spans="4:11" ht="12.75">
      <c r="D28708" s="67"/>
      <c r="G28708" s="68"/>
      <c r="K28708" s="68"/>
    </row>
    <row r="28709" spans="4:11" ht="12.75">
      <c r="D28709" s="67"/>
      <c r="G28709" s="68"/>
      <c r="K28709" s="68"/>
    </row>
    <row r="28710" spans="4:11" ht="12.75">
      <c r="D28710" s="67"/>
      <c r="G28710" s="68"/>
      <c r="K28710" s="68"/>
    </row>
    <row r="28711" spans="4:11" ht="12.75">
      <c r="D28711" s="67"/>
      <c r="G28711" s="68"/>
      <c r="K28711" s="68"/>
    </row>
    <row r="28712" spans="4:11" ht="12.75">
      <c r="D28712" s="67"/>
      <c r="G28712" s="68"/>
      <c r="K28712" s="68"/>
    </row>
    <row r="28713" spans="4:11" ht="12.75">
      <c r="D28713" s="67"/>
      <c r="G28713" s="68"/>
      <c r="K28713" s="68"/>
    </row>
    <row r="28714" spans="4:11" ht="12.75">
      <c r="D28714" s="67"/>
      <c r="G28714" s="68"/>
      <c r="K28714" s="68"/>
    </row>
    <row r="28715" spans="4:11" ht="12.75">
      <c r="D28715" s="67"/>
      <c r="G28715" s="68"/>
      <c r="K28715" s="68"/>
    </row>
    <row r="28716" spans="4:11" ht="12.75">
      <c r="D28716" s="67"/>
      <c r="G28716" s="68"/>
      <c r="K28716" s="68"/>
    </row>
    <row r="28717" spans="4:11" ht="12.75">
      <c r="D28717" s="67"/>
      <c r="G28717" s="68"/>
      <c r="K28717" s="68"/>
    </row>
    <row r="28718" spans="4:11" ht="12.75">
      <c r="D28718" s="67"/>
      <c r="G28718" s="68"/>
      <c r="K28718" s="68"/>
    </row>
    <row r="28719" spans="4:11" ht="12.75">
      <c r="D28719" s="67"/>
      <c r="G28719" s="68"/>
      <c r="K28719" s="68"/>
    </row>
    <row r="28720" spans="4:11" ht="12.75">
      <c r="D28720" s="67"/>
      <c r="G28720" s="68"/>
      <c r="K28720" s="68"/>
    </row>
    <row r="28721" spans="4:11" ht="12.75">
      <c r="D28721" s="67"/>
      <c r="G28721" s="68"/>
      <c r="K28721" s="68"/>
    </row>
    <row r="28722" spans="4:11" ht="12.75">
      <c r="D28722" s="67"/>
      <c r="G28722" s="68"/>
      <c r="K28722" s="68"/>
    </row>
    <row r="28723" spans="4:11" ht="12.75">
      <c r="D28723" s="67"/>
      <c r="G28723" s="68"/>
      <c r="K28723" s="68"/>
    </row>
    <row r="28724" spans="4:11" ht="12.75">
      <c r="D28724" s="67"/>
      <c r="G28724" s="68"/>
      <c r="K28724" s="68"/>
    </row>
    <row r="28725" spans="4:11" ht="12.75">
      <c r="D28725" s="67"/>
      <c r="G28725" s="68"/>
      <c r="K28725" s="68"/>
    </row>
    <row r="28726" spans="4:11" ht="12.75">
      <c r="D28726" s="67"/>
      <c r="G28726" s="68"/>
      <c r="K28726" s="68"/>
    </row>
    <row r="28727" spans="4:11" ht="12.75">
      <c r="D28727" s="67"/>
      <c r="G28727" s="68"/>
      <c r="K28727" s="68"/>
    </row>
    <row r="28728" spans="4:11" ht="12.75">
      <c r="D28728" s="67"/>
      <c r="G28728" s="68"/>
      <c r="K28728" s="68"/>
    </row>
    <row r="28729" spans="4:11" ht="12.75">
      <c r="D28729" s="67"/>
      <c r="G28729" s="68"/>
      <c r="K28729" s="68"/>
    </row>
    <row r="28730" spans="4:11" ht="12.75">
      <c r="D28730" s="67"/>
      <c r="G28730" s="68"/>
      <c r="K28730" s="68"/>
    </row>
    <row r="28731" spans="4:11" ht="12.75">
      <c r="D28731" s="67"/>
      <c r="G28731" s="68"/>
      <c r="K28731" s="68"/>
    </row>
    <row r="28732" spans="4:11" ht="12.75">
      <c r="D28732" s="67"/>
      <c r="G28732" s="68"/>
      <c r="K28732" s="68"/>
    </row>
    <row r="28733" spans="4:11" ht="12.75">
      <c r="D28733" s="67"/>
      <c r="G28733" s="68"/>
      <c r="K28733" s="68"/>
    </row>
    <row r="28734" spans="4:11" ht="12.75">
      <c r="D28734" s="67"/>
      <c r="G28734" s="68"/>
      <c r="K28734" s="68"/>
    </row>
    <row r="28735" spans="4:11" ht="12.75">
      <c r="D28735" s="67"/>
      <c r="G28735" s="68"/>
      <c r="K28735" s="68"/>
    </row>
    <row r="28736" spans="4:11" ht="12.75">
      <c r="D28736" s="67"/>
      <c r="G28736" s="68"/>
      <c r="K28736" s="68"/>
    </row>
    <row r="28737" spans="4:11" ht="12.75">
      <c r="D28737" s="67"/>
      <c r="G28737" s="68"/>
      <c r="K28737" s="68"/>
    </row>
    <row r="28738" spans="4:11" ht="12.75">
      <c r="D28738" s="67"/>
      <c r="G28738" s="68"/>
      <c r="K28738" s="68"/>
    </row>
    <row r="28739" spans="4:11" ht="12.75">
      <c r="D28739" s="67"/>
      <c r="G28739" s="68"/>
      <c r="K28739" s="68"/>
    </row>
    <row r="28740" spans="4:11" ht="12.75">
      <c r="D28740" s="67"/>
      <c r="G28740" s="68"/>
      <c r="K28740" s="68"/>
    </row>
    <row r="28741" spans="4:11" ht="12.75">
      <c r="D28741" s="67"/>
      <c r="G28741" s="68"/>
      <c r="K28741" s="68"/>
    </row>
    <row r="28742" spans="4:11" ht="12.75">
      <c r="D28742" s="67"/>
      <c r="G28742" s="68"/>
      <c r="K28742" s="68"/>
    </row>
    <row r="28743" spans="4:11" ht="12.75">
      <c r="D28743" s="67"/>
      <c r="G28743" s="68"/>
      <c r="K28743" s="68"/>
    </row>
    <row r="28744" spans="4:11" ht="12.75">
      <c r="D28744" s="67"/>
      <c r="G28744" s="68"/>
      <c r="K28744" s="68"/>
    </row>
    <row r="28745" spans="4:11" ht="12.75">
      <c r="D28745" s="67"/>
      <c r="G28745" s="68"/>
      <c r="K28745" s="68"/>
    </row>
    <row r="28746" spans="4:11" ht="12.75">
      <c r="D28746" s="67"/>
      <c r="G28746" s="68"/>
      <c r="K28746" s="68"/>
    </row>
    <row r="28747" spans="4:11" ht="12.75">
      <c r="D28747" s="67"/>
      <c r="G28747" s="68"/>
      <c r="K28747" s="68"/>
    </row>
    <row r="28748" spans="4:11" ht="12.75">
      <c r="D28748" s="67"/>
      <c r="G28748" s="68"/>
      <c r="K28748" s="68"/>
    </row>
    <row r="28749" spans="4:11" ht="12.75">
      <c r="D28749" s="67"/>
      <c r="G28749" s="68"/>
      <c r="K28749" s="68"/>
    </row>
    <row r="28750" spans="4:11" ht="12.75">
      <c r="D28750" s="67"/>
      <c r="G28750" s="68"/>
      <c r="K28750" s="68"/>
    </row>
    <row r="28751" spans="4:11" ht="12.75">
      <c r="D28751" s="67"/>
      <c r="G28751" s="68"/>
      <c r="K28751" s="68"/>
    </row>
    <row r="28752" spans="4:11" ht="12.75">
      <c r="D28752" s="67"/>
      <c r="G28752" s="68"/>
      <c r="K28752" s="68"/>
    </row>
    <row r="28753" spans="4:11" ht="12.75">
      <c r="D28753" s="67"/>
      <c r="G28753" s="68"/>
      <c r="K28753" s="68"/>
    </row>
    <row r="28754" spans="4:11" ht="12.75">
      <c r="D28754" s="67"/>
      <c r="G28754" s="68"/>
      <c r="K28754" s="68"/>
    </row>
    <row r="28755" spans="4:11" ht="12.75">
      <c r="D28755" s="67"/>
      <c r="G28755" s="68"/>
      <c r="K28755" s="68"/>
    </row>
    <row r="28756" spans="4:11" ht="12.75">
      <c r="D28756" s="67"/>
      <c r="G28756" s="68"/>
      <c r="K28756" s="68"/>
    </row>
    <row r="28757" spans="4:11" ht="12.75">
      <c r="D28757" s="67"/>
      <c r="G28757" s="68"/>
      <c r="K28757" s="68"/>
    </row>
    <row r="28758" spans="4:11" ht="12.75">
      <c r="D28758" s="67"/>
      <c r="G28758" s="68"/>
      <c r="K28758" s="68"/>
    </row>
    <row r="28759" spans="4:11" ht="12.75">
      <c r="D28759" s="67"/>
      <c r="G28759" s="68"/>
      <c r="K28759" s="68"/>
    </row>
    <row r="28760" spans="4:11" ht="12.75">
      <c r="D28760" s="67"/>
      <c r="G28760" s="68"/>
      <c r="K28760" s="68"/>
    </row>
    <row r="28761" spans="4:11" ht="12.75">
      <c r="D28761" s="67"/>
      <c r="G28761" s="68"/>
      <c r="K28761" s="68"/>
    </row>
    <row r="28762" spans="4:11" ht="12.75">
      <c r="D28762" s="67"/>
      <c r="G28762" s="68"/>
      <c r="K28762" s="68"/>
    </row>
    <row r="28763" spans="4:11" ht="12.75">
      <c r="D28763" s="67"/>
      <c r="G28763" s="68"/>
      <c r="K28763" s="68"/>
    </row>
    <row r="28764" spans="4:11" ht="12.75">
      <c r="D28764" s="67"/>
      <c r="G28764" s="68"/>
      <c r="K28764" s="68"/>
    </row>
    <row r="28765" spans="4:11" ht="12.75">
      <c r="D28765" s="67"/>
      <c r="G28765" s="68"/>
      <c r="K28765" s="68"/>
    </row>
    <row r="28766" spans="4:11" ht="12.75">
      <c r="D28766" s="67"/>
      <c r="G28766" s="68"/>
      <c r="K28766" s="68"/>
    </row>
    <row r="28767" spans="4:11" ht="12.75">
      <c r="D28767" s="67"/>
      <c r="G28767" s="68"/>
      <c r="K28767" s="68"/>
    </row>
    <row r="28768" spans="4:11" ht="12.75">
      <c r="D28768" s="67"/>
      <c r="G28768" s="68"/>
      <c r="K28768" s="68"/>
    </row>
    <row r="28769" spans="4:11" ht="12.75">
      <c r="D28769" s="67"/>
      <c r="G28769" s="68"/>
      <c r="K28769" s="68"/>
    </row>
    <row r="28770" spans="4:11" ht="12.75">
      <c r="D28770" s="67"/>
      <c r="G28770" s="68"/>
      <c r="K28770" s="68"/>
    </row>
    <row r="28771" spans="4:11" ht="12.75">
      <c r="D28771" s="67"/>
      <c r="G28771" s="68"/>
      <c r="K28771" s="68"/>
    </row>
    <row r="28772" spans="4:11" ht="12.75">
      <c r="D28772" s="67"/>
      <c r="G28772" s="68"/>
      <c r="K28772" s="68"/>
    </row>
    <row r="28773" spans="4:11" ht="12.75">
      <c r="D28773" s="67"/>
      <c r="G28773" s="68"/>
      <c r="K28773" s="68"/>
    </row>
    <row r="28774" spans="4:11" ht="12.75">
      <c r="D28774" s="67"/>
      <c r="G28774" s="68"/>
      <c r="K28774" s="68"/>
    </row>
    <row r="28775" spans="4:11" ht="12.75">
      <c r="D28775" s="67"/>
      <c r="G28775" s="68"/>
      <c r="K28775" s="68"/>
    </row>
    <row r="28776" spans="4:11" ht="12.75">
      <c r="D28776" s="67"/>
      <c r="G28776" s="68"/>
      <c r="K28776" s="68"/>
    </row>
    <row r="28777" spans="4:11" ht="12.75">
      <c r="D28777" s="67"/>
      <c r="G28777" s="68"/>
      <c r="K28777" s="68"/>
    </row>
    <row r="28778" spans="4:11" ht="12.75">
      <c r="D28778" s="67"/>
      <c r="G28778" s="68"/>
      <c r="K28778" s="68"/>
    </row>
    <row r="28779" spans="4:11" ht="12.75">
      <c r="D28779" s="67"/>
      <c r="G28779" s="68"/>
      <c r="K28779" s="68"/>
    </row>
    <row r="28780" spans="4:11" ht="12.75">
      <c r="D28780" s="67"/>
      <c r="G28780" s="68"/>
      <c r="K28780" s="68"/>
    </row>
    <row r="28781" spans="4:11" ht="12.75">
      <c r="D28781" s="67"/>
      <c r="G28781" s="68"/>
      <c r="K28781" s="68"/>
    </row>
    <row r="28782" spans="4:11" ht="12.75">
      <c r="D28782" s="67"/>
      <c r="G28782" s="68"/>
      <c r="K28782" s="68"/>
    </row>
    <row r="28783" spans="4:11" ht="12.75">
      <c r="D28783" s="67"/>
      <c r="G28783" s="68"/>
      <c r="K28783" s="68"/>
    </row>
    <row r="28784" spans="4:11" ht="12.75">
      <c r="D28784" s="67"/>
      <c r="G28784" s="68"/>
      <c r="K28784" s="68"/>
    </row>
    <row r="28785" spans="4:11" ht="12.75">
      <c r="D28785" s="67"/>
      <c r="G28785" s="68"/>
      <c r="K28785" s="68"/>
    </row>
    <row r="28786" spans="4:11" ht="12.75">
      <c r="D28786" s="67"/>
      <c r="G28786" s="68"/>
      <c r="K28786" s="68"/>
    </row>
    <row r="28787" spans="4:11" ht="12.75">
      <c r="D28787" s="67"/>
      <c r="G28787" s="68"/>
      <c r="K28787" s="68"/>
    </row>
    <row r="28788" spans="4:11" ht="12.75">
      <c r="D28788" s="67"/>
      <c r="G28788" s="68"/>
      <c r="K28788" s="68"/>
    </row>
    <row r="28789" spans="4:11" ht="12.75">
      <c r="D28789" s="67"/>
      <c r="G28789" s="68"/>
      <c r="K28789" s="68"/>
    </row>
    <row r="28790" spans="4:11" ht="12.75">
      <c r="D28790" s="67"/>
      <c r="G28790" s="68"/>
      <c r="K28790" s="68"/>
    </row>
    <row r="28791" spans="4:11" ht="12.75">
      <c r="D28791" s="67"/>
      <c r="G28791" s="68"/>
      <c r="K28791" s="68"/>
    </row>
    <row r="28792" spans="4:11" ht="12.75">
      <c r="D28792" s="67"/>
      <c r="G28792" s="68"/>
      <c r="K28792" s="68"/>
    </row>
    <row r="28793" spans="4:11" ht="12.75">
      <c r="D28793" s="67"/>
      <c r="G28793" s="68"/>
      <c r="K28793" s="68"/>
    </row>
    <row r="28794" spans="4:11" ht="12.75">
      <c r="D28794" s="67"/>
      <c r="G28794" s="68"/>
      <c r="K28794" s="68"/>
    </row>
    <row r="28795" spans="4:11" ht="12.75">
      <c r="D28795" s="67"/>
      <c r="G28795" s="68"/>
      <c r="K28795" s="68"/>
    </row>
    <row r="28796" spans="4:11" ht="12.75">
      <c r="D28796" s="67"/>
      <c r="G28796" s="68"/>
      <c r="K28796" s="68"/>
    </row>
    <row r="28797" spans="4:11" ht="12.75">
      <c r="D28797" s="67"/>
      <c r="G28797" s="68"/>
      <c r="K28797" s="68"/>
    </row>
    <row r="28798" spans="4:11" ht="12.75">
      <c r="D28798" s="67"/>
      <c r="G28798" s="68"/>
      <c r="K28798" s="68"/>
    </row>
    <row r="28799" spans="4:11" ht="12.75">
      <c r="D28799" s="67"/>
      <c r="G28799" s="68"/>
      <c r="K28799" s="68"/>
    </row>
    <row r="28800" spans="4:11" ht="12.75">
      <c r="D28800" s="67"/>
      <c r="G28800" s="68"/>
      <c r="K28800" s="68"/>
    </row>
    <row r="28801" spans="4:11" ht="12.75">
      <c r="D28801" s="67"/>
      <c r="G28801" s="68"/>
      <c r="K28801" s="68"/>
    </row>
    <row r="28802" spans="4:11" ht="12.75">
      <c r="D28802" s="67"/>
      <c r="G28802" s="68"/>
      <c r="K28802" s="68"/>
    </row>
    <row r="28803" spans="4:11" ht="12.75">
      <c r="D28803" s="67"/>
      <c r="G28803" s="68"/>
      <c r="K28803" s="68"/>
    </row>
    <row r="28804" spans="4:11" ht="12.75">
      <c r="D28804" s="67"/>
      <c r="G28804" s="68"/>
      <c r="K28804" s="68"/>
    </row>
    <row r="28805" spans="4:11" ht="12.75">
      <c r="D28805" s="67"/>
      <c r="G28805" s="68"/>
      <c r="K28805" s="68"/>
    </row>
    <row r="28806" spans="4:11" ht="12.75">
      <c r="D28806" s="67"/>
      <c r="G28806" s="68"/>
      <c r="K28806" s="68"/>
    </row>
    <row r="28807" spans="4:11" ht="12.75">
      <c r="D28807" s="67"/>
      <c r="G28807" s="68"/>
      <c r="K28807" s="68"/>
    </row>
    <row r="28808" spans="4:11" ht="12.75">
      <c r="D28808" s="67"/>
      <c r="G28808" s="68"/>
      <c r="K28808" s="68"/>
    </row>
    <row r="28809" spans="4:11" ht="12.75">
      <c r="D28809" s="67"/>
      <c r="G28809" s="68"/>
      <c r="K28809" s="68"/>
    </row>
    <row r="28810" spans="4:11" ht="12.75">
      <c r="D28810" s="67"/>
      <c r="G28810" s="68"/>
      <c r="K28810" s="68"/>
    </row>
    <row r="28811" spans="4:11" ht="12.75">
      <c r="D28811" s="67"/>
      <c r="G28811" s="68"/>
      <c r="K28811" s="68"/>
    </row>
    <row r="28812" spans="4:11" ht="12.75">
      <c r="D28812" s="67"/>
      <c r="G28812" s="68"/>
      <c r="K28812" s="68"/>
    </row>
    <row r="28813" spans="4:11" ht="12.75">
      <c r="D28813" s="67"/>
      <c r="G28813" s="68"/>
      <c r="K28813" s="68"/>
    </row>
    <row r="28814" spans="4:11" ht="12.75">
      <c r="D28814" s="67"/>
      <c r="G28814" s="68"/>
      <c r="K28814" s="68"/>
    </row>
    <row r="28815" spans="4:11" ht="12.75">
      <c r="D28815" s="67"/>
      <c r="G28815" s="68"/>
      <c r="K28815" s="68"/>
    </row>
    <row r="28816" spans="4:11" ht="12.75">
      <c r="D28816" s="67"/>
      <c r="G28816" s="68"/>
      <c r="K28816" s="68"/>
    </row>
    <row r="28817" spans="4:11" ht="12.75">
      <c r="D28817" s="67"/>
      <c r="G28817" s="68"/>
      <c r="K28817" s="68"/>
    </row>
    <row r="28818" spans="4:11" ht="12.75">
      <c r="D28818" s="67"/>
      <c r="G28818" s="68"/>
      <c r="K28818" s="68"/>
    </row>
    <row r="28819" spans="4:11" ht="12.75">
      <c r="D28819" s="67"/>
      <c r="G28819" s="68"/>
      <c r="K28819" s="68"/>
    </row>
    <row r="28820" spans="4:11" ht="12.75">
      <c r="D28820" s="67"/>
      <c r="G28820" s="68"/>
      <c r="K28820" s="68"/>
    </row>
    <row r="28821" spans="4:11" ht="12.75">
      <c r="D28821" s="67"/>
      <c r="G28821" s="68"/>
      <c r="K28821" s="68"/>
    </row>
    <row r="28822" spans="4:11" ht="12.75">
      <c r="D28822" s="67"/>
      <c r="G28822" s="68"/>
      <c r="K28822" s="68"/>
    </row>
    <row r="28823" spans="4:11" ht="12.75">
      <c r="D28823" s="67"/>
      <c r="G28823" s="68"/>
      <c r="K28823" s="68"/>
    </row>
    <row r="28824" spans="4:11" ht="12.75">
      <c r="D28824" s="67"/>
      <c r="G28824" s="68"/>
      <c r="K28824" s="68"/>
    </row>
    <row r="28825" spans="4:11" ht="12.75">
      <c r="D28825" s="67"/>
      <c r="G28825" s="68"/>
      <c r="K28825" s="68"/>
    </row>
    <row r="28826" spans="4:11" ht="12.75">
      <c r="D28826" s="67"/>
      <c r="G28826" s="68"/>
      <c r="K28826" s="68"/>
    </row>
    <row r="28827" spans="4:11" ht="12.75">
      <c r="D28827" s="67"/>
      <c r="G28827" s="68"/>
      <c r="K28827" s="68"/>
    </row>
    <row r="28828" spans="4:11" ht="12.75">
      <c r="D28828" s="67"/>
      <c r="G28828" s="68"/>
      <c r="K28828" s="68"/>
    </row>
    <row r="28829" spans="4:11" ht="12.75">
      <c r="D28829" s="67"/>
      <c r="G28829" s="68"/>
      <c r="K28829" s="68"/>
    </row>
    <row r="28830" spans="4:11" ht="12.75">
      <c r="D28830" s="67"/>
      <c r="G28830" s="68"/>
      <c r="K28830" s="68"/>
    </row>
    <row r="28831" spans="4:11" ht="12.75">
      <c r="D28831" s="67"/>
      <c r="G28831" s="68"/>
      <c r="K28831" s="68"/>
    </row>
    <row r="28832" spans="4:11" ht="12.75">
      <c r="D28832" s="67"/>
      <c r="G28832" s="68"/>
      <c r="K28832" s="68"/>
    </row>
    <row r="28833" spans="4:11" ht="12.75">
      <c r="D28833" s="67"/>
      <c r="G28833" s="68"/>
      <c r="K28833" s="68"/>
    </row>
    <row r="28834" spans="4:11" ht="12.75">
      <c r="D28834" s="67"/>
      <c r="G28834" s="68"/>
      <c r="K28834" s="68"/>
    </row>
    <row r="28835" spans="4:11" ht="12.75">
      <c r="D28835" s="67"/>
      <c r="G28835" s="68"/>
      <c r="K28835" s="68"/>
    </row>
    <row r="28836" spans="4:11" ht="12.75">
      <c r="D28836" s="67"/>
      <c r="G28836" s="68"/>
      <c r="K28836" s="68"/>
    </row>
    <row r="28837" spans="4:11" ht="12.75">
      <c r="D28837" s="67"/>
      <c r="G28837" s="68"/>
      <c r="K28837" s="68"/>
    </row>
    <row r="28838" spans="4:11" ht="12.75">
      <c r="D28838" s="67"/>
      <c r="G28838" s="68"/>
      <c r="K28838" s="68"/>
    </row>
    <row r="28839" spans="4:11" ht="12.75">
      <c r="D28839" s="67"/>
      <c r="G28839" s="68"/>
      <c r="K28839" s="68"/>
    </row>
    <row r="28840" spans="4:11" ht="12.75">
      <c r="D28840" s="67"/>
      <c r="G28840" s="68"/>
      <c r="K28840" s="68"/>
    </row>
    <row r="28841" spans="4:11" ht="12.75">
      <c r="D28841" s="67"/>
      <c r="G28841" s="68"/>
      <c r="K28841" s="68"/>
    </row>
    <row r="28842" spans="4:11" ht="12.75">
      <c r="D28842" s="67"/>
      <c r="G28842" s="68"/>
      <c r="K28842" s="68"/>
    </row>
    <row r="28843" spans="4:11" ht="12.75">
      <c r="D28843" s="67"/>
      <c r="G28843" s="68"/>
      <c r="K28843" s="68"/>
    </row>
    <row r="28844" spans="4:11" ht="12.75">
      <c r="D28844" s="67"/>
      <c r="G28844" s="68"/>
      <c r="K28844" s="68"/>
    </row>
    <row r="28845" spans="4:11" ht="12.75">
      <c r="D28845" s="67"/>
      <c r="G28845" s="68"/>
      <c r="K28845" s="68"/>
    </row>
    <row r="28846" spans="4:11" ht="12.75">
      <c r="D28846" s="67"/>
      <c r="G28846" s="68"/>
      <c r="K28846" s="68"/>
    </row>
    <row r="28847" spans="4:11" ht="12.75">
      <c r="D28847" s="67"/>
      <c r="G28847" s="68"/>
      <c r="K28847" s="68"/>
    </row>
    <row r="28848" spans="4:11" ht="12.75">
      <c r="D28848" s="67"/>
      <c r="G28848" s="68"/>
      <c r="K28848" s="68"/>
    </row>
    <row r="28849" spans="4:11" ht="12.75">
      <c r="D28849" s="67"/>
      <c r="G28849" s="68"/>
      <c r="K28849" s="68"/>
    </row>
    <row r="28850" spans="4:11" ht="12.75">
      <c r="D28850" s="67"/>
      <c r="G28850" s="68"/>
      <c r="K28850" s="68"/>
    </row>
    <row r="28851" spans="4:11" ht="12.75">
      <c r="D28851" s="67"/>
      <c r="G28851" s="68"/>
      <c r="K28851" s="68"/>
    </row>
    <row r="28852" spans="4:11" ht="12.75">
      <c r="D28852" s="67"/>
      <c r="G28852" s="68"/>
      <c r="K28852" s="68"/>
    </row>
    <row r="28853" spans="4:11" ht="12.75">
      <c r="D28853" s="67"/>
      <c r="G28853" s="68"/>
      <c r="K28853" s="68"/>
    </row>
    <row r="28854" spans="4:11" ht="12.75">
      <c r="D28854" s="67"/>
      <c r="G28854" s="68"/>
      <c r="K28854" s="68"/>
    </row>
    <row r="28855" spans="4:11" ht="12.75">
      <c r="D28855" s="67"/>
      <c r="G28855" s="68"/>
      <c r="K28855" s="68"/>
    </row>
    <row r="28856" spans="4:11" ht="12.75">
      <c r="D28856" s="67"/>
      <c r="G28856" s="68"/>
      <c r="K28856" s="68"/>
    </row>
    <row r="28857" spans="4:11" ht="12.75">
      <c r="D28857" s="67"/>
      <c r="G28857" s="68"/>
      <c r="K28857" s="68"/>
    </row>
    <row r="28858" spans="4:11" ht="12.75">
      <c r="D28858" s="67"/>
      <c r="G28858" s="68"/>
      <c r="K28858" s="68"/>
    </row>
    <row r="28859" spans="4:11" ht="12.75">
      <c r="D28859" s="67"/>
      <c r="G28859" s="68"/>
      <c r="K28859" s="68"/>
    </row>
    <row r="28860" spans="4:11" ht="12.75">
      <c r="D28860" s="67"/>
      <c r="G28860" s="68"/>
      <c r="K28860" s="68"/>
    </row>
    <row r="28861" spans="4:11" ht="12.75">
      <c r="D28861" s="67"/>
      <c r="G28861" s="68"/>
      <c r="K28861" s="68"/>
    </row>
    <row r="28862" spans="4:11" ht="12.75">
      <c r="D28862" s="67"/>
      <c r="G28862" s="68"/>
      <c r="K28862" s="68"/>
    </row>
    <row r="28863" spans="4:11" ht="12.75">
      <c r="D28863" s="67"/>
      <c r="G28863" s="68"/>
      <c r="K28863" s="68"/>
    </row>
    <row r="28864" spans="4:11" ht="12.75">
      <c r="D28864" s="67"/>
      <c r="G28864" s="68"/>
      <c r="K28864" s="68"/>
    </row>
    <row r="28865" spans="4:11" ht="12.75">
      <c r="D28865" s="67"/>
      <c r="G28865" s="68"/>
      <c r="K28865" s="68"/>
    </row>
    <row r="28866" spans="4:11" ht="12.75">
      <c r="D28866" s="67"/>
      <c r="G28866" s="68"/>
      <c r="K28866" s="68"/>
    </row>
    <row r="28867" spans="4:11" ht="12.75">
      <c r="D28867" s="67"/>
      <c r="G28867" s="68"/>
      <c r="K28867" s="68"/>
    </row>
    <row r="28868" spans="4:11" ht="12.75">
      <c r="D28868" s="67"/>
      <c r="G28868" s="68"/>
      <c r="K28868" s="68"/>
    </row>
    <row r="28869" spans="4:11" ht="12.75">
      <c r="D28869" s="67"/>
      <c r="G28869" s="68"/>
      <c r="K28869" s="68"/>
    </row>
    <row r="28870" spans="4:11" ht="12.75">
      <c r="D28870" s="67"/>
      <c r="G28870" s="68"/>
      <c r="K28870" s="68"/>
    </row>
    <row r="28871" spans="4:11" ht="12.75">
      <c r="D28871" s="67"/>
      <c r="G28871" s="68"/>
      <c r="K28871" s="68"/>
    </row>
    <row r="28872" spans="4:11" ht="12.75">
      <c r="D28872" s="67"/>
      <c r="G28872" s="68"/>
      <c r="K28872" s="68"/>
    </row>
    <row r="28873" spans="4:11" ht="12.75">
      <c r="D28873" s="67"/>
      <c r="G28873" s="68"/>
      <c r="K28873" s="68"/>
    </row>
    <row r="28874" spans="4:11" ht="12.75">
      <c r="D28874" s="67"/>
      <c r="G28874" s="68"/>
      <c r="K28874" s="68"/>
    </row>
    <row r="28875" spans="4:11" ht="12.75">
      <c r="D28875" s="67"/>
      <c r="G28875" s="68"/>
      <c r="K28875" s="68"/>
    </row>
    <row r="28876" spans="4:11" ht="12.75">
      <c r="D28876" s="67"/>
      <c r="G28876" s="68"/>
      <c r="K28876" s="68"/>
    </row>
    <row r="28877" spans="4:11" ht="12.75">
      <c r="D28877" s="67"/>
      <c r="G28877" s="68"/>
      <c r="K28877" s="68"/>
    </row>
    <row r="28878" spans="4:11" ht="12.75">
      <c r="D28878" s="67"/>
      <c r="G28878" s="68"/>
      <c r="K28878" s="68"/>
    </row>
    <row r="28879" spans="4:11" ht="12.75">
      <c r="D28879" s="67"/>
      <c r="G28879" s="68"/>
      <c r="K28879" s="68"/>
    </row>
    <row r="28880" spans="4:11" ht="12.75">
      <c r="D28880" s="67"/>
      <c r="G28880" s="68"/>
      <c r="K28880" s="68"/>
    </row>
    <row r="28881" spans="4:11" ht="12.75">
      <c r="D28881" s="67"/>
      <c r="G28881" s="68"/>
      <c r="K28881" s="68"/>
    </row>
    <row r="28882" spans="4:11" ht="12.75">
      <c r="D28882" s="67"/>
      <c r="G28882" s="68"/>
      <c r="K28882" s="68"/>
    </row>
    <row r="28883" spans="4:11" ht="12.75">
      <c r="D28883" s="67"/>
      <c r="G28883" s="68"/>
      <c r="K28883" s="68"/>
    </row>
    <row r="28884" spans="4:11" ht="12.75">
      <c r="D28884" s="67"/>
      <c r="G28884" s="68"/>
      <c r="K28884" s="68"/>
    </row>
    <row r="28885" spans="4:11" ht="12.75">
      <c r="D28885" s="67"/>
      <c r="G28885" s="68"/>
      <c r="K28885" s="68"/>
    </row>
    <row r="28886" spans="4:11" ht="12.75">
      <c r="D28886" s="67"/>
      <c r="G28886" s="68"/>
      <c r="K28886" s="68"/>
    </row>
    <row r="28887" spans="4:11" ht="12.75">
      <c r="D28887" s="67"/>
      <c r="G28887" s="68"/>
      <c r="K28887" s="68"/>
    </row>
    <row r="28888" spans="4:11" ht="12.75">
      <c r="D28888" s="67"/>
      <c r="G28888" s="68"/>
      <c r="K28888" s="68"/>
    </row>
    <row r="28889" spans="4:11" ht="12.75">
      <c r="D28889" s="67"/>
      <c r="G28889" s="68"/>
      <c r="K28889" s="68"/>
    </row>
    <row r="28890" spans="4:11" ht="12.75">
      <c r="D28890" s="67"/>
      <c r="G28890" s="68"/>
      <c r="K28890" s="68"/>
    </row>
    <row r="28891" spans="4:11" ht="12.75">
      <c r="D28891" s="67"/>
      <c r="G28891" s="68"/>
      <c r="K28891" s="68"/>
    </row>
    <row r="28892" spans="4:11" ht="12.75">
      <c r="D28892" s="67"/>
      <c r="G28892" s="68"/>
      <c r="K28892" s="68"/>
    </row>
    <row r="28893" spans="4:11" ht="12.75">
      <c r="D28893" s="67"/>
      <c r="G28893" s="68"/>
      <c r="K28893" s="68"/>
    </row>
    <row r="28894" spans="4:11" ht="12.75">
      <c r="D28894" s="67"/>
      <c r="G28894" s="68"/>
      <c r="K28894" s="68"/>
    </row>
    <row r="28895" spans="4:11" ht="12.75">
      <c r="D28895" s="67"/>
      <c r="G28895" s="68"/>
      <c r="K28895" s="68"/>
    </row>
    <row r="28896" spans="4:11" ht="12.75">
      <c r="D28896" s="67"/>
      <c r="G28896" s="68"/>
      <c r="K28896" s="68"/>
    </row>
    <row r="28897" spans="4:11" ht="12.75">
      <c r="D28897" s="67"/>
      <c r="G28897" s="68"/>
      <c r="K28897" s="68"/>
    </row>
    <row r="28898" spans="4:11" ht="12.75">
      <c r="D28898" s="67"/>
      <c r="G28898" s="68"/>
      <c r="K28898" s="68"/>
    </row>
    <row r="28899" spans="4:11" ht="12.75">
      <c r="D28899" s="67"/>
      <c r="G28899" s="68"/>
      <c r="K28899" s="68"/>
    </row>
    <row r="28900" spans="4:11" ht="12.75">
      <c r="D28900" s="67"/>
      <c r="G28900" s="68"/>
      <c r="K28900" s="68"/>
    </row>
    <row r="28901" spans="4:11" ht="12.75">
      <c r="D28901" s="67"/>
      <c r="G28901" s="68"/>
      <c r="K28901" s="68"/>
    </row>
    <row r="28902" spans="4:11" ht="12.75">
      <c r="D28902" s="67"/>
      <c r="G28902" s="68"/>
      <c r="K28902" s="68"/>
    </row>
    <row r="28903" spans="4:11" ht="12.75">
      <c r="D28903" s="67"/>
      <c r="G28903" s="68"/>
      <c r="K28903" s="68"/>
    </row>
    <row r="28904" spans="4:11" ht="12.75">
      <c r="D28904" s="67"/>
      <c r="G28904" s="68"/>
      <c r="K28904" s="68"/>
    </row>
    <row r="28905" spans="4:11" ht="12.75">
      <c r="D28905" s="67"/>
      <c r="G28905" s="68"/>
      <c r="K28905" s="68"/>
    </row>
    <row r="28906" spans="4:11" ht="12.75">
      <c r="D28906" s="67"/>
      <c r="G28906" s="68"/>
      <c r="K28906" s="68"/>
    </row>
    <row r="28907" spans="4:11" ht="12.75">
      <c r="D28907" s="67"/>
      <c r="G28907" s="68"/>
      <c r="K28907" s="68"/>
    </row>
    <row r="28908" spans="4:11" ht="12.75">
      <c r="D28908" s="67"/>
      <c r="G28908" s="68"/>
      <c r="K28908" s="68"/>
    </row>
    <row r="28909" spans="4:11" ht="12.75">
      <c r="D28909" s="67"/>
      <c r="G28909" s="68"/>
      <c r="K28909" s="68"/>
    </row>
    <row r="28910" spans="4:11" ht="12.75">
      <c r="D28910" s="67"/>
      <c r="G28910" s="68"/>
      <c r="K28910" s="68"/>
    </row>
    <row r="28911" spans="4:11" ht="12.75">
      <c r="D28911" s="67"/>
      <c r="G28911" s="68"/>
      <c r="K28911" s="68"/>
    </row>
    <row r="28912" spans="4:11" ht="12.75">
      <c r="D28912" s="67"/>
      <c r="G28912" s="68"/>
      <c r="K28912" s="68"/>
    </row>
    <row r="28913" spans="4:11" ht="12.75">
      <c r="D28913" s="67"/>
      <c r="G28913" s="68"/>
      <c r="K28913" s="68"/>
    </row>
    <row r="28914" spans="4:11" ht="12.75">
      <c r="D28914" s="67"/>
      <c r="G28914" s="68"/>
      <c r="K28914" s="68"/>
    </row>
    <row r="28915" spans="4:11" ht="12.75">
      <c r="D28915" s="67"/>
      <c r="G28915" s="68"/>
      <c r="K28915" s="68"/>
    </row>
    <row r="28916" spans="4:11" ht="12.75">
      <c r="D28916" s="67"/>
      <c r="G28916" s="68"/>
      <c r="K28916" s="68"/>
    </row>
    <row r="28917" spans="4:11" ht="12.75">
      <c r="D28917" s="67"/>
      <c r="G28917" s="68"/>
      <c r="K28917" s="68"/>
    </row>
    <row r="28918" spans="4:11" ht="12.75">
      <c r="D28918" s="67"/>
      <c r="G28918" s="68"/>
      <c r="K28918" s="68"/>
    </row>
    <row r="28919" spans="4:11" ht="12.75">
      <c r="D28919" s="67"/>
      <c r="G28919" s="68"/>
      <c r="K28919" s="68"/>
    </row>
    <row r="28920" spans="4:11" ht="12.75">
      <c r="D28920" s="67"/>
      <c r="G28920" s="68"/>
      <c r="K28920" s="68"/>
    </row>
    <row r="28921" spans="4:11" ht="12.75">
      <c r="D28921" s="67"/>
      <c r="G28921" s="68"/>
      <c r="K28921" s="68"/>
    </row>
    <row r="28922" spans="4:11" ht="12.75">
      <c r="D28922" s="67"/>
      <c r="G28922" s="68"/>
      <c r="K28922" s="68"/>
    </row>
    <row r="28923" spans="4:11" ht="12.75">
      <c r="D28923" s="67"/>
      <c r="G28923" s="68"/>
      <c r="K28923" s="68"/>
    </row>
    <row r="28924" spans="4:11" ht="12.75">
      <c r="D28924" s="67"/>
      <c r="G28924" s="68"/>
      <c r="K28924" s="68"/>
    </row>
    <row r="28925" spans="4:11" ht="12.75">
      <c r="D28925" s="67"/>
      <c r="G28925" s="68"/>
      <c r="K28925" s="68"/>
    </row>
    <row r="28926" spans="4:11" ht="12.75">
      <c r="D28926" s="67"/>
      <c r="G28926" s="68"/>
      <c r="K28926" s="68"/>
    </row>
    <row r="28927" spans="4:11" ht="12.75">
      <c r="D28927" s="67"/>
      <c r="G28927" s="68"/>
      <c r="K28927" s="68"/>
    </row>
    <row r="28928" spans="4:11" ht="12.75">
      <c r="D28928" s="67"/>
      <c r="G28928" s="68"/>
      <c r="K28928" s="68"/>
    </row>
    <row r="28929" spans="4:11" ht="12.75">
      <c r="D28929" s="67"/>
      <c r="G28929" s="68"/>
      <c r="K28929" s="68"/>
    </row>
    <row r="28930" spans="4:11" ht="12.75">
      <c r="D28930" s="67"/>
      <c r="G28930" s="68"/>
      <c r="K28930" s="68"/>
    </row>
    <row r="28931" spans="4:11" ht="12.75">
      <c r="D28931" s="67"/>
      <c r="G28931" s="68"/>
      <c r="K28931" s="68"/>
    </row>
    <row r="28932" spans="4:11" ht="12.75">
      <c r="D28932" s="67"/>
      <c r="G28932" s="68"/>
      <c r="K28932" s="68"/>
    </row>
    <row r="28933" spans="4:11" ht="12.75">
      <c r="D28933" s="67"/>
      <c r="G28933" s="68"/>
      <c r="K28933" s="68"/>
    </row>
    <row r="28934" spans="4:11" ht="12.75">
      <c r="D28934" s="67"/>
      <c r="G28934" s="68"/>
      <c r="K28934" s="68"/>
    </row>
    <row r="28935" spans="4:11" ht="12.75">
      <c r="D28935" s="67"/>
      <c r="G28935" s="68"/>
      <c r="K28935" s="68"/>
    </row>
    <row r="28936" spans="4:11" ht="12.75">
      <c r="D28936" s="67"/>
      <c r="G28936" s="68"/>
      <c r="K28936" s="68"/>
    </row>
    <row r="28937" spans="4:11" ht="12.75">
      <c r="D28937" s="67"/>
      <c r="G28937" s="68"/>
      <c r="K28937" s="68"/>
    </row>
    <row r="28938" spans="4:11" ht="12.75">
      <c r="D28938" s="67"/>
      <c r="G28938" s="68"/>
      <c r="K28938" s="68"/>
    </row>
    <row r="28939" spans="4:11" ht="12.75">
      <c r="D28939" s="67"/>
      <c r="G28939" s="68"/>
      <c r="K28939" s="68"/>
    </row>
    <row r="28940" spans="4:11" ht="12.75">
      <c r="D28940" s="67"/>
      <c r="G28940" s="68"/>
      <c r="K28940" s="68"/>
    </row>
    <row r="28941" spans="4:11" ht="12.75">
      <c r="D28941" s="67"/>
      <c r="G28941" s="68"/>
      <c r="K28941" s="68"/>
    </row>
    <row r="28942" spans="4:11" ht="12.75">
      <c r="D28942" s="67"/>
      <c r="G28942" s="68"/>
      <c r="K28942" s="68"/>
    </row>
    <row r="28943" spans="4:11" ht="12.75">
      <c r="D28943" s="67"/>
      <c r="G28943" s="68"/>
      <c r="K28943" s="68"/>
    </row>
    <row r="28944" spans="4:11" ht="12.75">
      <c r="D28944" s="67"/>
      <c r="G28944" s="68"/>
      <c r="K28944" s="68"/>
    </row>
    <row r="28945" spans="4:11" ht="12.75">
      <c r="D28945" s="67"/>
      <c r="G28945" s="68"/>
      <c r="K28945" s="68"/>
    </row>
    <row r="28946" spans="4:11" ht="12.75">
      <c r="D28946" s="67"/>
      <c r="G28946" s="68"/>
      <c r="K28946" s="68"/>
    </row>
    <row r="28947" spans="4:11" ht="12.75">
      <c r="D28947" s="67"/>
      <c r="G28947" s="68"/>
      <c r="K28947" s="68"/>
    </row>
    <row r="28948" spans="4:11" ht="12.75">
      <c r="D28948" s="67"/>
      <c r="G28948" s="68"/>
      <c r="K28948" s="68"/>
    </row>
    <row r="28949" spans="4:11" ht="12.75">
      <c r="D28949" s="67"/>
      <c r="G28949" s="68"/>
      <c r="K28949" s="68"/>
    </row>
    <row r="28950" spans="4:11" ht="12.75">
      <c r="D28950" s="67"/>
      <c r="G28950" s="68"/>
      <c r="K28950" s="68"/>
    </row>
    <row r="28951" spans="4:11" ht="12.75">
      <c r="D28951" s="67"/>
      <c r="G28951" s="68"/>
      <c r="K28951" s="68"/>
    </row>
    <row r="28952" spans="4:11" ht="12.75">
      <c r="D28952" s="67"/>
      <c r="G28952" s="68"/>
      <c r="K28952" s="68"/>
    </row>
    <row r="28953" spans="4:11" ht="12.75">
      <c r="D28953" s="67"/>
      <c r="G28953" s="68"/>
      <c r="K28953" s="68"/>
    </row>
    <row r="28954" spans="4:11" ht="12.75">
      <c r="D28954" s="67"/>
      <c r="G28954" s="68"/>
      <c r="K28954" s="68"/>
    </row>
    <row r="28955" spans="4:11" ht="12.75">
      <c r="D28955" s="67"/>
      <c r="G28955" s="68"/>
      <c r="K28955" s="68"/>
    </row>
    <row r="28956" spans="4:11" ht="12.75">
      <c r="D28956" s="67"/>
      <c r="G28956" s="68"/>
      <c r="K28956" s="68"/>
    </row>
    <row r="28957" spans="4:11" ht="12.75">
      <c r="D28957" s="67"/>
      <c r="G28957" s="68"/>
      <c r="K28957" s="68"/>
    </row>
    <row r="28958" spans="4:11" ht="12.75">
      <c r="D28958" s="67"/>
      <c r="G28958" s="68"/>
      <c r="K28958" s="68"/>
    </row>
    <row r="28959" spans="4:11" ht="12.75">
      <c r="D28959" s="67"/>
      <c r="G28959" s="68"/>
      <c r="K28959" s="68"/>
    </row>
    <row r="28960" spans="4:11" ht="12.75">
      <c r="D28960" s="67"/>
      <c r="G28960" s="68"/>
      <c r="K28960" s="68"/>
    </row>
    <row r="28961" spans="4:11" ht="12.75">
      <c r="D28961" s="67"/>
      <c r="G28961" s="68"/>
      <c r="K28961" s="68"/>
    </row>
    <row r="28962" spans="4:11" ht="12.75">
      <c r="D28962" s="67"/>
      <c r="G28962" s="68"/>
      <c r="K28962" s="68"/>
    </row>
    <row r="28963" spans="4:11" ht="12.75">
      <c r="D28963" s="67"/>
      <c r="G28963" s="68"/>
      <c r="K28963" s="68"/>
    </row>
    <row r="28964" spans="4:11" ht="12.75">
      <c r="D28964" s="67"/>
      <c r="G28964" s="68"/>
      <c r="K28964" s="68"/>
    </row>
    <row r="28965" spans="4:11" ht="12.75">
      <c r="D28965" s="67"/>
      <c r="G28965" s="68"/>
      <c r="K28965" s="68"/>
    </row>
    <row r="28966" spans="4:11" ht="12.75">
      <c r="D28966" s="67"/>
      <c r="G28966" s="68"/>
      <c r="K28966" s="68"/>
    </row>
    <row r="28967" spans="4:11" ht="12.75">
      <c r="D28967" s="67"/>
      <c r="G28967" s="68"/>
      <c r="K28967" s="68"/>
    </row>
    <row r="28968" spans="4:11" ht="12.75">
      <c r="D28968" s="67"/>
      <c r="G28968" s="68"/>
      <c r="K28968" s="68"/>
    </row>
    <row r="28969" spans="4:11" ht="12.75">
      <c r="D28969" s="67"/>
      <c r="G28969" s="68"/>
      <c r="K28969" s="68"/>
    </row>
    <row r="28970" spans="4:11" ht="12.75">
      <c r="D28970" s="67"/>
      <c r="G28970" s="68"/>
      <c r="K28970" s="68"/>
    </row>
    <row r="28971" spans="4:11" ht="12.75">
      <c r="D28971" s="67"/>
      <c r="G28971" s="68"/>
      <c r="K28971" s="68"/>
    </row>
    <row r="28972" spans="4:11" ht="12.75">
      <c r="D28972" s="67"/>
      <c r="G28972" s="68"/>
      <c r="K28972" s="68"/>
    </row>
    <row r="28973" spans="4:11" ht="12.75">
      <c r="D28973" s="67"/>
      <c r="G28973" s="68"/>
      <c r="K28973" s="68"/>
    </row>
    <row r="28974" spans="4:11" ht="12.75">
      <c r="D28974" s="67"/>
      <c r="G28974" s="68"/>
      <c r="K28974" s="68"/>
    </row>
    <row r="28975" spans="4:11" ht="12.75">
      <c r="D28975" s="67"/>
      <c r="G28975" s="68"/>
      <c r="K28975" s="68"/>
    </row>
    <row r="28976" spans="4:11" ht="12.75">
      <c r="D28976" s="67"/>
      <c r="G28976" s="68"/>
      <c r="K28976" s="68"/>
    </row>
    <row r="28977" spans="4:11" ht="12.75">
      <c r="D28977" s="67"/>
      <c r="G28977" s="68"/>
      <c r="K28977" s="68"/>
    </row>
    <row r="28978" spans="4:11" ht="12.75">
      <c r="D28978" s="67"/>
      <c r="G28978" s="68"/>
      <c r="K28978" s="68"/>
    </row>
    <row r="28979" spans="4:11" ht="12.75">
      <c r="D28979" s="67"/>
      <c r="G28979" s="68"/>
      <c r="K28979" s="68"/>
    </row>
    <row r="28980" spans="4:11" ht="12.75">
      <c r="D28980" s="67"/>
      <c r="G28980" s="68"/>
      <c r="K28980" s="68"/>
    </row>
    <row r="28981" spans="4:11" ht="12.75">
      <c r="D28981" s="67"/>
      <c r="G28981" s="68"/>
      <c r="K28981" s="68"/>
    </row>
    <row r="28982" spans="4:11" ht="12.75">
      <c r="D28982" s="67"/>
      <c r="G28982" s="68"/>
      <c r="K28982" s="68"/>
    </row>
    <row r="28983" spans="4:11" ht="12.75">
      <c r="D28983" s="67"/>
      <c r="G28983" s="68"/>
      <c r="K28983" s="68"/>
    </row>
    <row r="28984" spans="4:11" ht="12.75">
      <c r="D28984" s="67"/>
      <c r="G28984" s="68"/>
      <c r="K28984" s="68"/>
    </row>
    <row r="28985" spans="4:11" ht="12.75">
      <c r="D28985" s="67"/>
      <c r="G28985" s="68"/>
      <c r="K28985" s="68"/>
    </row>
    <row r="28986" spans="4:11" ht="12.75">
      <c r="D28986" s="67"/>
      <c r="G28986" s="68"/>
      <c r="K28986" s="68"/>
    </row>
    <row r="28987" spans="4:11" ht="12.75">
      <c r="D28987" s="67"/>
      <c r="G28987" s="68"/>
      <c r="K28987" s="68"/>
    </row>
    <row r="28988" spans="4:11" ht="12.75">
      <c r="D28988" s="67"/>
      <c r="G28988" s="68"/>
      <c r="K28988" s="68"/>
    </row>
    <row r="28989" spans="4:11" ht="12.75">
      <c r="D28989" s="67"/>
      <c r="G28989" s="68"/>
      <c r="K28989" s="68"/>
    </row>
    <row r="28990" spans="4:11" ht="12.75">
      <c r="D28990" s="67"/>
      <c r="G28990" s="68"/>
      <c r="K28990" s="68"/>
    </row>
    <row r="28991" spans="4:11" ht="12.75">
      <c r="D28991" s="67"/>
      <c r="G28991" s="68"/>
      <c r="K28991" s="68"/>
    </row>
    <row r="28992" spans="4:11" ht="12.75">
      <c r="D28992" s="67"/>
      <c r="G28992" s="68"/>
      <c r="K28992" s="68"/>
    </row>
    <row r="28993" spans="4:11" ht="12.75">
      <c r="D28993" s="67"/>
      <c r="G28993" s="68"/>
      <c r="K28993" s="68"/>
    </row>
    <row r="28994" spans="4:11" ht="12.75">
      <c r="D28994" s="67"/>
      <c r="G28994" s="68"/>
      <c r="K28994" s="68"/>
    </row>
    <row r="28995" spans="4:11" ht="12.75">
      <c r="D28995" s="67"/>
      <c r="G28995" s="68"/>
      <c r="K28995" s="68"/>
    </row>
    <row r="28996" spans="4:11" ht="12.75">
      <c r="D28996" s="67"/>
      <c r="G28996" s="68"/>
      <c r="K28996" s="68"/>
    </row>
    <row r="28997" spans="4:11" ht="12.75">
      <c r="D28997" s="67"/>
      <c r="G28997" s="68"/>
      <c r="K28997" s="68"/>
    </row>
    <row r="28998" spans="4:11" ht="12.75">
      <c r="D28998" s="67"/>
      <c r="G28998" s="68"/>
      <c r="K28998" s="68"/>
    </row>
    <row r="28999" spans="4:11" ht="12.75">
      <c r="D28999" s="67"/>
      <c r="G28999" s="68"/>
      <c r="K28999" s="68"/>
    </row>
    <row r="29000" spans="4:11" ht="12.75">
      <c r="D29000" s="67"/>
      <c r="G29000" s="68"/>
      <c r="K29000" s="68"/>
    </row>
    <row r="29001" spans="4:11" ht="12.75">
      <c r="D29001" s="67"/>
      <c r="G29001" s="68"/>
      <c r="K29001" s="68"/>
    </row>
    <row r="29002" spans="4:11" ht="12.75">
      <c r="D29002" s="67"/>
      <c r="G29002" s="68"/>
      <c r="K29002" s="68"/>
    </row>
    <row r="29003" spans="4:11" ht="12.75">
      <c r="D29003" s="67"/>
      <c r="G29003" s="68"/>
      <c r="K29003" s="68"/>
    </row>
    <row r="29004" spans="4:11" ht="12.75">
      <c r="D29004" s="67"/>
      <c r="G29004" s="68"/>
      <c r="K29004" s="68"/>
    </row>
    <row r="29005" spans="4:11" ht="12.75">
      <c r="D29005" s="67"/>
      <c r="G29005" s="68"/>
      <c r="K29005" s="68"/>
    </row>
    <row r="29006" spans="4:11" ht="12.75">
      <c r="D29006" s="67"/>
      <c r="G29006" s="68"/>
      <c r="K29006" s="68"/>
    </row>
    <row r="29007" spans="4:11" ht="12.75">
      <c r="D29007" s="67"/>
      <c r="G29007" s="68"/>
      <c r="K29007" s="68"/>
    </row>
    <row r="29008" spans="4:11" ht="12.75">
      <c r="D29008" s="67"/>
      <c r="G29008" s="68"/>
      <c r="K29008" s="68"/>
    </row>
    <row r="29009" spans="4:11" ht="12.75">
      <c r="D29009" s="67"/>
      <c r="G29009" s="68"/>
      <c r="K29009" s="68"/>
    </row>
    <row r="29010" spans="4:11" ht="12.75">
      <c r="D29010" s="67"/>
      <c r="G29010" s="68"/>
      <c r="K29010" s="68"/>
    </row>
    <row r="29011" spans="4:11" ht="12.75">
      <c r="D29011" s="67"/>
      <c r="G29011" s="68"/>
      <c r="K29011" s="68"/>
    </row>
    <row r="29012" spans="4:11" ht="12.75">
      <c r="D29012" s="67"/>
      <c r="G29012" s="68"/>
      <c r="K29012" s="68"/>
    </row>
    <row r="29013" spans="4:11" ht="12.75">
      <c r="D29013" s="67"/>
      <c r="G29013" s="68"/>
      <c r="K29013" s="68"/>
    </row>
    <row r="29014" spans="4:11" ht="12.75">
      <c r="D29014" s="67"/>
      <c r="G29014" s="68"/>
      <c r="K29014" s="68"/>
    </row>
    <row r="29015" spans="4:11" ht="12.75">
      <c r="D29015" s="67"/>
      <c r="G29015" s="68"/>
      <c r="K29015" s="68"/>
    </row>
    <row r="29016" spans="4:11" ht="12.75">
      <c r="D29016" s="67"/>
      <c r="G29016" s="68"/>
      <c r="K29016" s="68"/>
    </row>
    <row r="29017" spans="4:11" ht="12.75">
      <c r="D29017" s="67"/>
      <c r="G29017" s="68"/>
      <c r="K29017" s="68"/>
    </row>
    <row r="29018" spans="4:11" ht="12.75">
      <c r="D29018" s="67"/>
      <c r="G29018" s="68"/>
      <c r="K29018" s="68"/>
    </row>
    <row r="29019" spans="4:11" ht="12.75">
      <c r="D29019" s="67"/>
      <c r="G29019" s="68"/>
      <c r="K29019" s="68"/>
    </row>
    <row r="29020" spans="4:11" ht="12.75">
      <c r="D29020" s="67"/>
      <c r="G29020" s="68"/>
      <c r="K29020" s="68"/>
    </row>
    <row r="29021" spans="4:11" ht="12.75">
      <c r="D29021" s="67"/>
      <c r="G29021" s="68"/>
      <c r="K29021" s="68"/>
    </row>
    <row r="29022" spans="4:11" ht="12.75">
      <c r="D29022" s="67"/>
      <c r="G29022" s="68"/>
      <c r="K29022" s="68"/>
    </row>
    <row r="29023" spans="4:11" ht="12.75">
      <c r="D29023" s="67"/>
      <c r="G29023" s="68"/>
      <c r="K29023" s="68"/>
    </row>
    <row r="29024" spans="4:11" ht="12.75">
      <c r="D29024" s="67"/>
      <c r="G29024" s="68"/>
      <c r="K29024" s="68"/>
    </row>
    <row r="29025" spans="4:11" ht="12.75">
      <c r="D29025" s="67"/>
      <c r="G29025" s="68"/>
      <c r="K29025" s="68"/>
    </row>
    <row r="29026" spans="4:11" ht="12.75">
      <c r="D29026" s="67"/>
      <c r="G29026" s="68"/>
      <c r="K29026" s="68"/>
    </row>
    <row r="29027" spans="4:11" ht="12.75">
      <c r="D29027" s="67"/>
      <c r="G29027" s="68"/>
      <c r="K29027" s="68"/>
    </row>
    <row r="29028" spans="4:11" ht="12.75">
      <c r="D29028" s="67"/>
      <c r="G29028" s="68"/>
      <c r="K29028" s="68"/>
    </row>
    <row r="29029" spans="4:11" ht="12.75">
      <c r="D29029" s="67"/>
      <c r="G29029" s="68"/>
      <c r="K29029" s="68"/>
    </row>
    <row r="29030" spans="4:11" ht="12.75">
      <c r="D29030" s="67"/>
      <c r="G29030" s="68"/>
      <c r="K29030" s="68"/>
    </row>
    <row r="29031" spans="4:11" ht="12.75">
      <c r="D29031" s="67"/>
      <c r="G29031" s="68"/>
      <c r="K29031" s="68"/>
    </row>
    <row r="29032" spans="4:11" ht="12.75">
      <c r="D29032" s="67"/>
      <c r="G29032" s="68"/>
      <c r="K29032" s="68"/>
    </row>
    <row r="29033" spans="4:11" ht="12.75">
      <c r="D29033" s="67"/>
      <c r="G29033" s="68"/>
      <c r="K29033" s="68"/>
    </row>
    <row r="29034" spans="4:11" ht="12.75">
      <c r="D29034" s="67"/>
      <c r="G29034" s="68"/>
      <c r="K29034" s="68"/>
    </row>
    <row r="29035" spans="4:11" ht="12.75">
      <c r="D29035" s="67"/>
      <c r="G29035" s="68"/>
      <c r="K29035" s="68"/>
    </row>
    <row r="29036" spans="4:11" ht="12.75">
      <c r="D29036" s="67"/>
      <c r="G29036" s="68"/>
      <c r="K29036" s="68"/>
    </row>
    <row r="29037" spans="4:11" ht="12.75">
      <c r="D29037" s="67"/>
      <c r="G29037" s="68"/>
      <c r="K29037" s="68"/>
    </row>
    <row r="29038" spans="4:11" ht="12.75">
      <c r="D29038" s="67"/>
      <c r="G29038" s="68"/>
      <c r="K29038" s="68"/>
    </row>
    <row r="29039" spans="4:11" ht="12.75">
      <c r="D29039" s="67"/>
      <c r="G29039" s="68"/>
      <c r="K29039" s="68"/>
    </row>
    <row r="29040" spans="4:11" ht="12.75">
      <c r="D29040" s="67"/>
      <c r="G29040" s="68"/>
      <c r="K29040" s="68"/>
    </row>
    <row r="29041" spans="4:11" ht="12.75">
      <c r="D29041" s="67"/>
      <c r="G29041" s="68"/>
      <c r="K29041" s="68"/>
    </row>
    <row r="29042" spans="4:11" ht="12.75">
      <c r="D29042" s="67"/>
      <c r="G29042" s="68"/>
      <c r="K29042" s="68"/>
    </row>
    <row r="29043" spans="4:11" ht="12.75">
      <c r="D29043" s="67"/>
      <c r="G29043" s="68"/>
      <c r="K29043" s="68"/>
    </row>
    <row r="29044" spans="4:11" ht="12.75">
      <c r="D29044" s="67"/>
      <c r="G29044" s="68"/>
      <c r="K29044" s="68"/>
    </row>
    <row r="29045" spans="4:11" ht="12.75">
      <c r="D29045" s="67"/>
      <c r="G29045" s="68"/>
      <c r="K29045" s="68"/>
    </row>
    <row r="29046" spans="4:11" ht="12.75">
      <c r="D29046" s="67"/>
      <c r="G29046" s="68"/>
      <c r="K29046" s="68"/>
    </row>
    <row r="29047" spans="4:11" ht="12.75">
      <c r="D29047" s="67"/>
      <c r="G29047" s="68"/>
      <c r="K29047" s="68"/>
    </row>
    <row r="29048" spans="4:11" ht="12.75">
      <c r="D29048" s="67"/>
      <c r="G29048" s="68"/>
      <c r="K29048" s="68"/>
    </row>
    <row r="29049" spans="4:11" ht="12.75">
      <c r="D29049" s="67"/>
      <c r="G29049" s="68"/>
      <c r="K29049" s="68"/>
    </row>
    <row r="29050" spans="4:11" ht="12.75">
      <c r="D29050" s="67"/>
      <c r="G29050" s="68"/>
      <c r="K29050" s="68"/>
    </row>
    <row r="29051" spans="4:11" ht="12.75">
      <c r="D29051" s="67"/>
      <c r="G29051" s="68"/>
      <c r="K29051" s="68"/>
    </row>
    <row r="29052" spans="4:11" ht="12.75">
      <c r="D29052" s="67"/>
      <c r="G29052" s="68"/>
      <c r="K29052" s="68"/>
    </row>
    <row r="29053" spans="4:11" ht="12.75">
      <c r="D29053" s="67"/>
      <c r="G29053" s="68"/>
      <c r="K29053" s="68"/>
    </row>
    <row r="29054" spans="4:11" ht="12.75">
      <c r="D29054" s="67"/>
      <c r="G29054" s="68"/>
      <c r="K29054" s="68"/>
    </row>
    <row r="29055" spans="4:11" ht="12.75">
      <c r="D29055" s="67"/>
      <c r="G29055" s="68"/>
      <c r="K29055" s="68"/>
    </row>
    <row r="29056" spans="4:11" ht="12.75">
      <c r="D29056" s="67"/>
      <c r="G29056" s="68"/>
      <c r="K29056" s="68"/>
    </row>
    <row r="29057" spans="4:11" ht="12.75">
      <c r="D29057" s="67"/>
      <c r="G29057" s="68"/>
      <c r="K29057" s="68"/>
    </row>
    <row r="29058" spans="4:11" ht="12.75">
      <c r="D29058" s="67"/>
      <c r="G29058" s="68"/>
      <c r="K29058" s="68"/>
    </row>
    <row r="29059" spans="4:11" ht="12.75">
      <c r="D29059" s="67"/>
      <c r="G29059" s="68"/>
      <c r="K29059" s="68"/>
    </row>
    <row r="29060" spans="4:11" ht="12.75">
      <c r="D29060" s="67"/>
      <c r="G29060" s="68"/>
      <c r="K29060" s="68"/>
    </row>
    <row r="29061" spans="4:11" ht="12.75">
      <c r="D29061" s="67"/>
      <c r="G29061" s="68"/>
      <c r="K29061" s="68"/>
    </row>
    <row r="29062" spans="4:11" ht="12.75">
      <c r="D29062" s="67"/>
      <c r="G29062" s="68"/>
      <c r="K29062" s="68"/>
    </row>
    <row r="29063" spans="4:11" ht="12.75">
      <c r="D29063" s="67"/>
      <c r="G29063" s="68"/>
      <c r="K29063" s="68"/>
    </row>
    <row r="29064" spans="4:11" ht="12.75">
      <c r="D29064" s="67"/>
      <c r="G29064" s="68"/>
      <c r="K29064" s="68"/>
    </row>
    <row r="29065" spans="4:11" ht="12.75">
      <c r="D29065" s="67"/>
      <c r="G29065" s="68"/>
      <c r="K29065" s="68"/>
    </row>
    <row r="29066" spans="4:11" ht="12.75">
      <c r="D29066" s="67"/>
      <c r="G29066" s="68"/>
      <c r="K29066" s="68"/>
    </row>
    <row r="29067" spans="4:11" ht="12.75">
      <c r="D29067" s="67"/>
      <c r="G29067" s="68"/>
      <c r="K29067" s="68"/>
    </row>
    <row r="29068" spans="4:11" ht="12.75">
      <c r="D29068" s="67"/>
      <c r="G29068" s="68"/>
      <c r="K29068" s="68"/>
    </row>
    <row r="29069" spans="4:11" ht="12.75">
      <c r="D29069" s="67"/>
      <c r="G29069" s="68"/>
      <c r="K29069" s="68"/>
    </row>
    <row r="29070" spans="4:11" ht="12.75">
      <c r="D29070" s="67"/>
      <c r="G29070" s="68"/>
      <c r="K29070" s="68"/>
    </row>
    <row r="29071" spans="4:11" ht="12.75">
      <c r="D29071" s="67"/>
      <c r="G29071" s="68"/>
      <c r="K29071" s="68"/>
    </row>
    <row r="29072" spans="4:11" ht="12.75">
      <c r="D29072" s="67"/>
      <c r="G29072" s="68"/>
      <c r="K29072" s="68"/>
    </row>
    <row r="29073" spans="4:11" ht="12.75">
      <c r="D29073" s="67"/>
      <c r="G29073" s="68"/>
      <c r="K29073" s="68"/>
    </row>
    <row r="29074" spans="4:11" ht="12.75">
      <c r="D29074" s="67"/>
      <c r="G29074" s="68"/>
      <c r="K29074" s="68"/>
    </row>
    <row r="29075" spans="4:11" ht="12.75">
      <c r="D29075" s="67"/>
      <c r="G29075" s="68"/>
      <c r="K29075" s="68"/>
    </row>
    <row r="29076" spans="4:11" ht="12.75">
      <c r="D29076" s="67"/>
      <c r="G29076" s="68"/>
      <c r="K29076" s="68"/>
    </row>
    <row r="29077" spans="4:11" ht="12.75">
      <c r="D29077" s="67"/>
      <c r="G29077" s="68"/>
      <c r="K29077" s="68"/>
    </row>
    <row r="29078" spans="4:11" ht="12.75">
      <c r="D29078" s="67"/>
      <c r="G29078" s="68"/>
      <c r="K29078" s="68"/>
    </row>
    <row r="29079" spans="4:11" ht="12.75">
      <c r="D29079" s="67"/>
      <c r="G29079" s="68"/>
      <c r="K29079" s="68"/>
    </row>
    <row r="29080" spans="4:11" ht="12.75">
      <c r="D29080" s="67"/>
      <c r="G29080" s="68"/>
      <c r="K29080" s="68"/>
    </row>
    <row r="29081" spans="4:11" ht="12.75">
      <c r="D29081" s="67"/>
      <c r="G29081" s="68"/>
      <c r="K29081" s="68"/>
    </row>
    <row r="29082" spans="4:11" ht="12.75">
      <c r="D29082" s="67"/>
      <c r="G29082" s="68"/>
      <c r="K29082" s="68"/>
    </row>
    <row r="29083" spans="4:11" ht="12.75">
      <c r="D29083" s="67"/>
      <c r="G29083" s="68"/>
      <c r="K29083" s="68"/>
    </row>
    <row r="29084" spans="4:11" ht="12.75">
      <c r="D29084" s="67"/>
      <c r="G29084" s="68"/>
      <c r="K29084" s="68"/>
    </row>
    <row r="29085" spans="4:11" ht="12.75">
      <c r="D29085" s="67"/>
      <c r="G29085" s="68"/>
      <c r="K29085" s="68"/>
    </row>
    <row r="29086" spans="4:11" ht="12.75">
      <c r="D29086" s="67"/>
      <c r="G29086" s="68"/>
      <c r="K29086" s="68"/>
    </row>
    <row r="29087" spans="4:11" ht="12.75">
      <c r="D29087" s="67"/>
      <c r="G29087" s="68"/>
      <c r="K29087" s="68"/>
    </row>
    <row r="29088" spans="4:11" ht="12.75">
      <c r="D29088" s="67"/>
      <c r="G29088" s="68"/>
      <c r="K29088" s="68"/>
    </row>
    <row r="29089" spans="4:11" ht="12.75">
      <c r="D29089" s="67"/>
      <c r="G29089" s="68"/>
      <c r="K29089" s="68"/>
    </row>
    <row r="29090" spans="4:11" ht="12.75">
      <c r="D29090" s="67"/>
      <c r="G29090" s="68"/>
      <c r="K29090" s="68"/>
    </row>
    <row r="29091" spans="4:11" ht="12.75">
      <c r="D29091" s="67"/>
      <c r="G29091" s="68"/>
      <c r="K29091" s="68"/>
    </row>
    <row r="29092" spans="4:11" ht="12.75">
      <c r="D29092" s="67"/>
      <c r="G29092" s="68"/>
      <c r="K29092" s="68"/>
    </row>
    <row r="29093" spans="4:11" ht="12.75">
      <c r="D29093" s="67"/>
      <c r="G29093" s="68"/>
      <c r="K29093" s="68"/>
    </row>
    <row r="29094" spans="4:11" ht="12.75">
      <c r="D29094" s="67"/>
      <c r="G29094" s="68"/>
      <c r="K29094" s="68"/>
    </row>
    <row r="29095" spans="4:11" ht="12.75">
      <c r="D29095" s="67"/>
      <c r="G29095" s="68"/>
      <c r="K29095" s="68"/>
    </row>
    <row r="29096" spans="4:11" ht="12.75">
      <c r="D29096" s="67"/>
      <c r="G29096" s="68"/>
      <c r="K29096" s="68"/>
    </row>
    <row r="29097" spans="4:11" ht="12.75">
      <c r="D29097" s="67"/>
      <c r="G29097" s="68"/>
      <c r="K29097" s="68"/>
    </row>
    <row r="29098" spans="4:11" ht="12.75">
      <c r="D29098" s="67"/>
      <c r="G29098" s="68"/>
      <c r="K29098" s="68"/>
    </row>
    <row r="29099" spans="4:11" ht="12.75">
      <c r="D29099" s="67"/>
      <c r="G29099" s="68"/>
      <c r="K29099" s="68"/>
    </row>
    <row r="29100" spans="4:11" ht="12.75">
      <c r="D29100" s="67"/>
      <c r="G29100" s="68"/>
      <c r="K29100" s="68"/>
    </row>
    <row r="29101" spans="4:11" ht="12.75">
      <c r="D29101" s="67"/>
      <c r="G29101" s="68"/>
      <c r="K29101" s="68"/>
    </row>
    <row r="29102" spans="4:11" ht="12.75">
      <c r="D29102" s="67"/>
      <c r="G29102" s="68"/>
      <c r="K29102" s="68"/>
    </row>
    <row r="29103" spans="4:11" ht="12.75">
      <c r="D29103" s="67"/>
      <c r="G29103" s="68"/>
      <c r="K29103" s="68"/>
    </row>
    <row r="29104" spans="4:11" ht="12.75">
      <c r="D29104" s="67"/>
      <c r="G29104" s="68"/>
      <c r="K29104" s="68"/>
    </row>
    <row r="29105" spans="4:11" ht="12.75">
      <c r="D29105" s="67"/>
      <c r="G29105" s="68"/>
      <c r="K29105" s="68"/>
    </row>
    <row r="29106" spans="4:11" ht="12.75">
      <c r="D29106" s="67"/>
      <c r="G29106" s="68"/>
      <c r="K29106" s="68"/>
    </row>
    <row r="29107" spans="4:11" ht="12.75">
      <c r="D29107" s="67"/>
      <c r="G29107" s="68"/>
      <c r="K29107" s="68"/>
    </row>
    <row r="29108" spans="4:11" ht="12.75">
      <c r="D29108" s="67"/>
      <c r="G29108" s="68"/>
      <c r="K29108" s="68"/>
    </row>
    <row r="29109" spans="4:11" ht="12.75">
      <c r="D29109" s="67"/>
      <c r="G29109" s="68"/>
      <c r="K29109" s="68"/>
    </row>
    <row r="29110" spans="4:11" ht="12.75">
      <c r="D29110" s="67"/>
      <c r="G29110" s="68"/>
      <c r="K29110" s="68"/>
    </row>
    <row r="29111" spans="4:11" ht="12.75">
      <c r="D29111" s="67"/>
      <c r="G29111" s="68"/>
      <c r="K29111" s="68"/>
    </row>
    <row r="29112" spans="4:11" ht="12.75">
      <c r="D29112" s="67"/>
      <c r="G29112" s="68"/>
      <c r="K29112" s="68"/>
    </row>
    <row r="29113" spans="4:11" ht="12.75">
      <c r="D29113" s="67"/>
      <c r="G29113" s="68"/>
      <c r="K29113" s="68"/>
    </row>
    <row r="29114" spans="4:11" ht="12.75">
      <c r="D29114" s="67"/>
      <c r="G29114" s="68"/>
      <c r="K29114" s="68"/>
    </row>
    <row r="29115" spans="4:11" ht="12.75">
      <c r="D29115" s="67"/>
      <c r="G29115" s="68"/>
      <c r="K29115" s="68"/>
    </row>
    <row r="29116" spans="4:11" ht="12.75">
      <c r="D29116" s="67"/>
      <c r="G29116" s="68"/>
      <c r="K29116" s="68"/>
    </row>
    <row r="29117" spans="4:11" ht="12.75">
      <c r="D29117" s="67"/>
      <c r="G29117" s="68"/>
      <c r="K29117" s="68"/>
    </row>
    <row r="29118" spans="4:11" ht="12.75">
      <c r="D29118" s="67"/>
      <c r="G29118" s="68"/>
      <c r="K29118" s="68"/>
    </row>
    <row r="29119" spans="4:11" ht="12.75">
      <c r="D29119" s="67"/>
      <c r="G29119" s="68"/>
      <c r="K29119" s="68"/>
    </row>
    <row r="29120" spans="4:11" ht="12.75">
      <c r="D29120" s="67"/>
      <c r="G29120" s="68"/>
      <c r="K29120" s="68"/>
    </row>
    <row r="29121" spans="4:11" ht="12.75">
      <c r="D29121" s="67"/>
      <c r="G29121" s="68"/>
      <c r="K29121" s="68"/>
    </row>
    <row r="29122" spans="4:11" ht="12.75">
      <c r="D29122" s="67"/>
      <c r="G29122" s="68"/>
      <c r="K29122" s="68"/>
    </row>
    <row r="29123" spans="4:11" ht="12.75">
      <c r="D29123" s="67"/>
      <c r="G29123" s="68"/>
      <c r="K29123" s="68"/>
    </row>
    <row r="29124" spans="4:11" ht="12.75">
      <c r="D29124" s="67"/>
      <c r="G29124" s="68"/>
      <c r="K29124" s="68"/>
    </row>
    <row r="29125" spans="4:11" ht="12.75">
      <c r="D29125" s="67"/>
      <c r="G29125" s="68"/>
      <c r="K29125" s="68"/>
    </row>
    <row r="29126" spans="4:11" ht="12.75">
      <c r="D29126" s="67"/>
      <c r="G29126" s="68"/>
      <c r="K29126" s="68"/>
    </row>
    <row r="29127" spans="4:11" ht="12.75">
      <c r="D29127" s="67"/>
      <c r="G29127" s="68"/>
      <c r="K29127" s="68"/>
    </row>
    <row r="29128" spans="4:11" ht="12.75">
      <c r="D29128" s="67"/>
      <c r="G29128" s="68"/>
      <c r="K29128" s="68"/>
    </row>
    <row r="29129" spans="4:11" ht="12.75">
      <c r="D29129" s="67"/>
      <c r="G29129" s="68"/>
      <c r="K29129" s="68"/>
    </row>
    <row r="29130" spans="4:11" ht="12.75">
      <c r="D29130" s="67"/>
      <c r="G29130" s="68"/>
      <c r="K29130" s="68"/>
    </row>
    <row r="29131" spans="4:11" ht="12.75">
      <c r="D29131" s="67"/>
      <c r="G29131" s="68"/>
      <c r="K29131" s="68"/>
    </row>
    <row r="29132" spans="4:11" ht="12.75">
      <c r="D29132" s="67"/>
      <c r="G29132" s="68"/>
      <c r="K29132" s="68"/>
    </row>
    <row r="29133" spans="4:11" ht="12.75">
      <c r="D29133" s="67"/>
      <c r="G29133" s="68"/>
      <c r="K29133" s="68"/>
    </row>
    <row r="29134" spans="4:11" ht="12.75">
      <c r="D29134" s="67"/>
      <c r="G29134" s="68"/>
      <c r="K29134" s="68"/>
    </row>
    <row r="29135" spans="4:11" ht="12.75">
      <c r="D29135" s="67"/>
      <c r="G29135" s="68"/>
      <c r="K29135" s="68"/>
    </row>
    <row r="29136" spans="4:11" ht="12.75">
      <c r="D29136" s="67"/>
      <c r="G29136" s="68"/>
      <c r="K29136" s="68"/>
    </row>
    <row r="29137" spans="4:11" ht="12.75">
      <c r="D29137" s="67"/>
      <c r="G29137" s="68"/>
      <c r="K29137" s="68"/>
    </row>
    <row r="29138" spans="4:11" ht="12.75">
      <c r="D29138" s="67"/>
      <c r="G29138" s="68"/>
      <c r="K29138" s="68"/>
    </row>
    <row r="29139" spans="4:11" ht="12.75">
      <c r="D29139" s="67"/>
      <c r="G29139" s="68"/>
      <c r="K29139" s="68"/>
    </row>
    <row r="29140" spans="4:11" ht="12.75">
      <c r="D29140" s="67"/>
      <c r="G29140" s="68"/>
      <c r="K29140" s="68"/>
    </row>
    <row r="29141" spans="4:11" ht="12.75">
      <c r="D29141" s="67"/>
      <c r="G29141" s="68"/>
      <c r="K29141" s="68"/>
    </row>
    <row r="29142" spans="4:11" ht="12.75">
      <c r="D29142" s="67"/>
      <c r="G29142" s="68"/>
      <c r="K29142" s="68"/>
    </row>
    <row r="29143" spans="4:11" ht="12.75">
      <c r="D29143" s="67"/>
      <c r="G29143" s="68"/>
      <c r="K29143" s="68"/>
    </row>
    <row r="29144" spans="4:11" ht="12.75">
      <c r="D29144" s="67"/>
      <c r="G29144" s="68"/>
      <c r="K29144" s="68"/>
    </row>
    <row r="29145" spans="4:11" ht="12.75">
      <c r="D29145" s="67"/>
      <c r="G29145" s="68"/>
      <c r="K29145" s="68"/>
    </row>
    <row r="29146" spans="4:11" ht="12.75">
      <c r="D29146" s="67"/>
      <c r="G29146" s="68"/>
      <c r="K29146" s="68"/>
    </row>
    <row r="29147" spans="4:11" ht="12.75">
      <c r="D29147" s="67"/>
      <c r="G29147" s="68"/>
      <c r="K29147" s="68"/>
    </row>
    <row r="29148" spans="4:11" ht="12.75">
      <c r="D29148" s="67"/>
      <c r="G29148" s="68"/>
      <c r="K29148" s="68"/>
    </row>
    <row r="29149" spans="4:11" ht="12.75">
      <c r="D29149" s="67"/>
      <c r="G29149" s="68"/>
      <c r="K29149" s="68"/>
    </row>
    <row r="29150" spans="4:11" ht="12.75">
      <c r="D29150" s="67"/>
      <c r="G29150" s="68"/>
      <c r="K29150" s="68"/>
    </row>
    <row r="29151" spans="4:11" ht="12.75">
      <c r="D29151" s="67"/>
      <c r="G29151" s="68"/>
      <c r="K29151" s="68"/>
    </row>
    <row r="29152" spans="4:11" ht="12.75">
      <c r="D29152" s="67"/>
      <c r="G29152" s="68"/>
      <c r="K29152" s="68"/>
    </row>
    <row r="29153" spans="4:11" ht="12.75">
      <c r="D29153" s="67"/>
      <c r="G29153" s="68"/>
      <c r="K29153" s="68"/>
    </row>
    <row r="29154" spans="4:11" ht="12.75">
      <c r="D29154" s="67"/>
      <c r="G29154" s="68"/>
      <c r="K29154" s="68"/>
    </row>
    <row r="29155" spans="4:11" ht="12.75">
      <c r="D29155" s="67"/>
      <c r="G29155" s="68"/>
      <c r="K29155" s="68"/>
    </row>
    <row r="29156" spans="4:11" ht="12.75">
      <c r="D29156" s="67"/>
      <c r="G29156" s="68"/>
      <c r="K29156" s="68"/>
    </row>
    <row r="29157" spans="4:11" ht="12.75">
      <c r="D29157" s="67"/>
      <c r="G29157" s="68"/>
      <c r="K29157" s="68"/>
    </row>
    <row r="29158" spans="4:11" ht="12.75">
      <c r="D29158" s="67"/>
      <c r="G29158" s="68"/>
      <c r="K29158" s="68"/>
    </row>
    <row r="29159" spans="4:11" ht="12.75">
      <c r="D29159" s="67"/>
      <c r="G29159" s="68"/>
      <c r="K29159" s="68"/>
    </row>
    <row r="29160" spans="4:11" ht="12.75">
      <c r="D29160" s="67"/>
      <c r="G29160" s="68"/>
      <c r="K29160" s="68"/>
    </row>
    <row r="29161" spans="4:11" ht="12.75">
      <c r="D29161" s="67"/>
      <c r="G29161" s="68"/>
      <c r="K29161" s="68"/>
    </row>
    <row r="29162" spans="4:11" ht="12.75">
      <c r="D29162" s="67"/>
      <c r="G29162" s="68"/>
      <c r="K29162" s="68"/>
    </row>
    <row r="29163" spans="4:11" ht="12.75">
      <c r="D29163" s="67"/>
      <c r="G29163" s="68"/>
      <c r="K29163" s="68"/>
    </row>
    <row r="29164" spans="4:11" ht="12.75">
      <c r="D29164" s="67"/>
      <c r="G29164" s="68"/>
      <c r="K29164" s="68"/>
    </row>
    <row r="29165" spans="4:11" ht="12.75">
      <c r="D29165" s="67"/>
      <c r="G29165" s="68"/>
      <c r="K29165" s="68"/>
    </row>
    <row r="29166" spans="4:11" ht="12.75">
      <c r="D29166" s="67"/>
      <c r="G29166" s="68"/>
      <c r="K29166" s="68"/>
    </row>
    <row r="29167" spans="4:11" ht="12.75">
      <c r="D29167" s="67"/>
      <c r="G29167" s="68"/>
      <c r="K29167" s="68"/>
    </row>
    <row r="29168" spans="4:11" ht="12.75">
      <c r="D29168" s="67"/>
      <c r="G29168" s="68"/>
      <c r="K29168" s="68"/>
    </row>
    <row r="29169" spans="4:11" ht="12.75">
      <c r="D29169" s="67"/>
      <c r="G29169" s="68"/>
      <c r="K29169" s="68"/>
    </row>
    <row r="29170" spans="4:11" ht="12.75">
      <c r="D29170" s="67"/>
      <c r="G29170" s="68"/>
      <c r="K29170" s="68"/>
    </row>
    <row r="29171" spans="4:11" ht="12.75">
      <c r="D29171" s="67"/>
      <c r="G29171" s="68"/>
      <c r="K29171" s="68"/>
    </row>
    <row r="29172" spans="4:11" ht="12.75">
      <c r="D29172" s="67"/>
      <c r="G29172" s="68"/>
      <c r="K29172" s="68"/>
    </row>
    <row r="29173" spans="4:11" ht="12.75">
      <c r="D29173" s="67"/>
      <c r="G29173" s="68"/>
      <c r="K29173" s="68"/>
    </row>
    <row r="29174" spans="4:11" ht="12.75">
      <c r="D29174" s="67"/>
      <c r="G29174" s="68"/>
      <c r="K29174" s="68"/>
    </row>
    <row r="29175" spans="4:11" ht="12.75">
      <c r="D29175" s="67"/>
      <c r="G29175" s="68"/>
      <c r="K29175" s="68"/>
    </row>
    <row r="29176" spans="4:11" ht="12.75">
      <c r="D29176" s="67"/>
      <c r="G29176" s="68"/>
      <c r="K29176" s="68"/>
    </row>
    <row r="29177" spans="4:11" ht="12.75">
      <c r="D29177" s="67"/>
      <c r="G29177" s="68"/>
      <c r="K29177" s="68"/>
    </row>
    <row r="29178" spans="4:11" ht="12.75">
      <c r="D29178" s="67"/>
      <c r="G29178" s="68"/>
      <c r="K29178" s="68"/>
    </row>
    <row r="29179" spans="4:11" ht="12.75">
      <c r="D29179" s="67"/>
      <c r="G29179" s="68"/>
      <c r="K29179" s="68"/>
    </row>
    <row r="29180" spans="4:11" ht="12.75">
      <c r="D29180" s="67"/>
      <c r="G29180" s="68"/>
      <c r="K29180" s="68"/>
    </row>
    <row r="29181" spans="4:11" ht="12.75">
      <c r="D29181" s="67"/>
      <c r="G29181" s="68"/>
      <c r="K29181" s="68"/>
    </row>
    <row r="29182" spans="4:11" ht="12.75">
      <c r="D29182" s="67"/>
      <c r="G29182" s="68"/>
      <c r="K29182" s="68"/>
    </row>
    <row r="29183" spans="4:11" ht="12.75">
      <c r="D29183" s="67"/>
      <c r="G29183" s="68"/>
      <c r="K29183" s="68"/>
    </row>
    <row r="29184" spans="4:11" ht="12.75">
      <c r="D29184" s="67"/>
      <c r="G29184" s="68"/>
      <c r="K29184" s="68"/>
    </row>
    <row r="29185" spans="4:11" ht="12.75">
      <c r="D29185" s="67"/>
      <c r="G29185" s="68"/>
      <c r="K29185" s="68"/>
    </row>
    <row r="29186" spans="4:11" ht="12.75">
      <c r="D29186" s="67"/>
      <c r="G29186" s="68"/>
      <c r="K29186" s="68"/>
    </row>
    <row r="29187" spans="4:11" ht="12.75">
      <c r="D29187" s="67"/>
      <c r="G29187" s="68"/>
      <c r="K29187" s="68"/>
    </row>
    <row r="29188" spans="4:11" ht="12.75">
      <c r="D29188" s="67"/>
      <c r="G29188" s="68"/>
      <c r="K29188" s="68"/>
    </row>
    <row r="29189" spans="4:11" ht="12.75">
      <c r="D29189" s="67"/>
      <c r="G29189" s="68"/>
      <c r="K29189" s="68"/>
    </row>
    <row r="29190" spans="4:11" ht="12.75">
      <c r="D29190" s="67"/>
      <c r="G29190" s="68"/>
      <c r="K29190" s="68"/>
    </row>
    <row r="29191" spans="4:11" ht="12.75">
      <c r="D29191" s="67"/>
      <c r="G29191" s="68"/>
      <c r="K29191" s="68"/>
    </row>
    <row r="29192" spans="4:11" ht="12.75">
      <c r="D29192" s="67"/>
      <c r="G29192" s="68"/>
      <c r="K29192" s="68"/>
    </row>
    <row r="29193" spans="4:11" ht="12.75">
      <c r="D29193" s="67"/>
      <c r="G29193" s="68"/>
      <c r="K29193" s="68"/>
    </row>
    <row r="29194" spans="4:11" ht="12.75">
      <c r="D29194" s="67"/>
      <c r="G29194" s="68"/>
      <c r="K29194" s="68"/>
    </row>
    <row r="29195" spans="4:11" ht="12.75">
      <c r="D29195" s="67"/>
      <c r="G29195" s="68"/>
      <c r="K29195" s="68"/>
    </row>
    <row r="29196" spans="4:11" ht="12.75">
      <c r="D29196" s="67"/>
      <c r="G29196" s="68"/>
      <c r="K29196" s="68"/>
    </row>
    <row r="29197" spans="4:11" ht="12.75">
      <c r="D29197" s="67"/>
      <c r="G29197" s="68"/>
      <c r="K29197" s="68"/>
    </row>
    <row r="29198" spans="4:11" ht="12.75">
      <c r="D29198" s="67"/>
      <c r="G29198" s="68"/>
      <c r="K29198" s="68"/>
    </row>
    <row r="29199" spans="4:11" ht="12.75">
      <c r="D29199" s="67"/>
      <c r="G29199" s="68"/>
      <c r="K29199" s="68"/>
    </row>
    <row r="29200" spans="4:11" ht="12.75">
      <c r="D29200" s="67"/>
      <c r="G29200" s="68"/>
      <c r="K29200" s="68"/>
    </row>
    <row r="29201" spans="4:11" ht="12.75">
      <c r="D29201" s="67"/>
      <c r="G29201" s="68"/>
      <c r="K29201" s="68"/>
    </row>
    <row r="29202" spans="4:11" ht="12.75">
      <c r="D29202" s="67"/>
      <c r="G29202" s="68"/>
      <c r="K29202" s="68"/>
    </row>
    <row r="29203" spans="4:11" ht="12.75">
      <c r="D29203" s="67"/>
      <c r="G29203" s="68"/>
      <c r="K29203" s="68"/>
    </row>
    <row r="29204" spans="4:11" ht="12.75">
      <c r="D29204" s="67"/>
      <c r="G29204" s="68"/>
      <c r="K29204" s="68"/>
    </row>
    <row r="29205" spans="4:11" ht="12.75">
      <c r="D29205" s="67"/>
      <c r="G29205" s="68"/>
      <c r="K29205" s="68"/>
    </row>
    <row r="29206" spans="4:11" ht="12.75">
      <c r="D29206" s="67"/>
      <c r="G29206" s="68"/>
      <c r="K29206" s="68"/>
    </row>
    <row r="29207" spans="4:11" ht="12.75">
      <c r="D29207" s="67"/>
      <c r="G29207" s="68"/>
      <c r="K29207" s="68"/>
    </row>
    <row r="29208" spans="4:11" ht="12.75">
      <c r="D29208" s="67"/>
      <c r="G29208" s="68"/>
      <c r="K29208" s="68"/>
    </row>
    <row r="29209" spans="4:11" ht="12.75">
      <c r="D29209" s="67"/>
      <c r="G29209" s="68"/>
      <c r="K29209" s="68"/>
    </row>
    <row r="29210" spans="4:11" ht="12.75">
      <c r="D29210" s="67"/>
      <c r="G29210" s="68"/>
      <c r="K29210" s="68"/>
    </row>
    <row r="29211" spans="4:11" ht="12.75">
      <c r="D29211" s="67"/>
      <c r="G29211" s="68"/>
      <c r="K29211" s="68"/>
    </row>
    <row r="29212" spans="4:11" ht="12.75">
      <c r="D29212" s="67"/>
      <c r="G29212" s="68"/>
      <c r="K29212" s="68"/>
    </row>
    <row r="29213" spans="4:11" ht="12.75">
      <c r="D29213" s="67"/>
      <c r="G29213" s="68"/>
      <c r="K29213" s="68"/>
    </row>
    <row r="29214" spans="4:11" ht="12.75">
      <c r="D29214" s="67"/>
      <c r="G29214" s="68"/>
      <c r="K29214" s="68"/>
    </row>
    <row r="29215" spans="4:11" ht="12.75">
      <c r="D29215" s="67"/>
      <c r="G29215" s="68"/>
      <c r="K29215" s="68"/>
    </row>
    <row r="29216" spans="4:11" ht="12.75">
      <c r="D29216" s="67"/>
      <c r="G29216" s="68"/>
      <c r="K29216" s="68"/>
    </row>
    <row r="29217" spans="4:11" ht="12.75">
      <c r="D29217" s="67"/>
      <c r="G29217" s="68"/>
      <c r="K29217" s="68"/>
    </row>
    <row r="29218" spans="4:11" ht="12.75">
      <c r="D29218" s="67"/>
      <c r="G29218" s="68"/>
      <c r="K29218" s="68"/>
    </row>
    <row r="29219" spans="4:11" ht="12.75">
      <c r="D29219" s="67"/>
      <c r="G29219" s="68"/>
      <c r="K29219" s="68"/>
    </row>
    <row r="29220" spans="4:11" ht="12.75">
      <c r="D29220" s="67"/>
      <c r="G29220" s="68"/>
      <c r="K29220" s="68"/>
    </row>
    <row r="29221" spans="4:11" ht="12.75">
      <c r="D29221" s="67"/>
      <c r="G29221" s="68"/>
      <c r="K29221" s="68"/>
    </row>
    <row r="29222" spans="4:11" ht="12.75">
      <c r="D29222" s="67"/>
      <c r="G29222" s="68"/>
      <c r="K29222" s="68"/>
    </row>
    <row r="29223" spans="4:11" ht="12.75">
      <c r="D29223" s="67"/>
      <c r="G29223" s="68"/>
      <c r="K29223" s="68"/>
    </row>
    <row r="29224" spans="4:11" ht="12.75">
      <c r="D29224" s="67"/>
      <c r="G29224" s="68"/>
      <c r="K29224" s="68"/>
    </row>
    <row r="29225" spans="4:11" ht="12.75">
      <c r="D29225" s="67"/>
      <c r="G29225" s="68"/>
      <c r="K29225" s="68"/>
    </row>
    <row r="29226" spans="4:11" ht="12.75">
      <c r="D29226" s="67"/>
      <c r="G29226" s="68"/>
      <c r="K29226" s="68"/>
    </row>
    <row r="29227" spans="4:11" ht="12.75">
      <c r="D29227" s="67"/>
      <c r="G29227" s="68"/>
      <c r="K29227" s="68"/>
    </row>
    <row r="29228" spans="4:11" ht="12.75">
      <c r="D29228" s="67"/>
      <c r="G29228" s="68"/>
      <c r="K29228" s="68"/>
    </row>
    <row r="29229" spans="4:11" ht="12.75">
      <c r="D29229" s="67"/>
      <c r="G29229" s="68"/>
      <c r="K29229" s="68"/>
    </row>
    <row r="29230" spans="4:11" ht="12.75">
      <c r="D29230" s="67"/>
      <c r="G29230" s="68"/>
      <c r="K29230" s="68"/>
    </row>
    <row r="29231" spans="4:11" ht="12.75">
      <c r="D29231" s="67"/>
      <c r="G29231" s="68"/>
      <c r="K29231" s="68"/>
    </row>
    <row r="29232" spans="4:11" ht="12.75">
      <c r="D29232" s="67"/>
      <c r="G29232" s="68"/>
      <c r="K29232" s="68"/>
    </row>
    <row r="29233" spans="4:11" ht="12.75">
      <c r="D29233" s="67"/>
      <c r="G29233" s="68"/>
      <c r="K29233" s="68"/>
    </row>
    <row r="29234" spans="4:11" ht="12.75">
      <c r="D29234" s="67"/>
      <c r="G29234" s="68"/>
      <c r="K29234" s="68"/>
    </row>
    <row r="29235" spans="4:11" ht="12.75">
      <c r="D29235" s="67"/>
      <c r="G29235" s="68"/>
      <c r="K29235" s="68"/>
    </row>
    <row r="29236" spans="4:11" ht="12.75">
      <c r="D29236" s="67"/>
      <c r="G29236" s="68"/>
      <c r="K29236" s="68"/>
    </row>
    <row r="29237" spans="4:11" ht="12.75">
      <c r="D29237" s="67"/>
      <c r="G29237" s="68"/>
      <c r="K29237" s="68"/>
    </row>
    <row r="29238" spans="4:11" ht="12.75">
      <c r="D29238" s="67"/>
      <c r="G29238" s="68"/>
      <c r="K29238" s="68"/>
    </row>
    <row r="29239" spans="4:11" ht="12.75">
      <c r="D29239" s="67"/>
      <c r="G29239" s="68"/>
      <c r="K29239" s="68"/>
    </row>
    <row r="29240" spans="4:11" ht="12.75">
      <c r="D29240" s="67"/>
      <c r="G29240" s="68"/>
      <c r="K29240" s="68"/>
    </row>
    <row r="29241" spans="4:11" ht="12.75">
      <c r="D29241" s="67"/>
      <c r="G29241" s="68"/>
      <c r="K29241" s="68"/>
    </row>
    <row r="29242" spans="4:11" ht="12.75">
      <c r="D29242" s="67"/>
      <c r="G29242" s="68"/>
      <c r="K29242" s="68"/>
    </row>
    <row r="29243" spans="4:11" ht="12.75">
      <c r="D29243" s="67"/>
      <c r="G29243" s="68"/>
      <c r="K29243" s="68"/>
    </row>
    <row r="29244" spans="4:11" ht="12.75">
      <c r="D29244" s="67"/>
      <c r="G29244" s="68"/>
      <c r="K29244" s="68"/>
    </row>
    <row r="29245" spans="4:11" ht="12.75">
      <c r="D29245" s="67"/>
      <c r="G29245" s="68"/>
      <c r="K29245" s="68"/>
    </row>
    <row r="29246" spans="4:11" ht="12.75">
      <c r="D29246" s="67"/>
      <c r="G29246" s="68"/>
      <c r="K29246" s="68"/>
    </row>
    <row r="29247" spans="4:11" ht="12.75">
      <c r="D29247" s="67"/>
      <c r="G29247" s="68"/>
      <c r="K29247" s="68"/>
    </row>
    <row r="29248" spans="4:11" ht="12.75">
      <c r="D29248" s="67"/>
      <c r="G29248" s="68"/>
      <c r="K29248" s="68"/>
    </row>
    <row r="29249" spans="4:11" ht="12.75">
      <c r="D29249" s="67"/>
      <c r="G29249" s="68"/>
      <c r="K29249" s="68"/>
    </row>
    <row r="29250" spans="4:11" ht="12.75">
      <c r="D29250" s="67"/>
      <c r="G29250" s="68"/>
      <c r="K29250" s="68"/>
    </row>
    <row r="29251" spans="4:11" ht="12.75">
      <c r="D29251" s="67"/>
      <c r="G29251" s="68"/>
      <c r="K29251" s="68"/>
    </row>
    <row r="29252" spans="4:11" ht="12.75">
      <c r="D29252" s="67"/>
      <c r="G29252" s="68"/>
      <c r="K29252" s="68"/>
    </row>
    <row r="29253" spans="4:11" ht="12.75">
      <c r="D29253" s="67"/>
      <c r="G29253" s="68"/>
      <c r="K29253" s="68"/>
    </row>
    <row r="29254" spans="4:11" ht="12.75">
      <c r="D29254" s="67"/>
      <c r="G29254" s="68"/>
      <c r="K29254" s="68"/>
    </row>
    <row r="29255" spans="4:11" ht="12.75">
      <c r="D29255" s="67"/>
      <c r="G29255" s="68"/>
      <c r="K29255" s="68"/>
    </row>
    <row r="29256" spans="4:11" ht="12.75">
      <c r="D29256" s="67"/>
      <c r="G29256" s="68"/>
      <c r="K29256" s="68"/>
    </row>
    <row r="29257" spans="4:11" ht="12.75">
      <c r="D29257" s="67"/>
      <c r="G29257" s="68"/>
      <c r="K29257" s="68"/>
    </row>
    <row r="29258" spans="4:11" ht="12.75">
      <c r="D29258" s="67"/>
      <c r="G29258" s="68"/>
      <c r="K29258" s="68"/>
    </row>
    <row r="29259" spans="4:11" ht="12.75">
      <c r="D29259" s="67"/>
      <c r="G29259" s="68"/>
      <c r="K29259" s="68"/>
    </row>
    <row r="29260" spans="4:11" ht="12.75">
      <c r="D29260" s="67"/>
      <c r="G29260" s="68"/>
      <c r="K29260" s="68"/>
    </row>
    <row r="29261" spans="4:11" ht="12.75">
      <c r="D29261" s="67"/>
      <c r="G29261" s="68"/>
      <c r="K29261" s="68"/>
    </row>
    <row r="29262" spans="4:11" ht="12.75">
      <c r="D29262" s="67"/>
      <c r="G29262" s="68"/>
      <c r="K29262" s="68"/>
    </row>
    <row r="29263" spans="4:11" ht="12.75">
      <c r="D29263" s="67"/>
      <c r="G29263" s="68"/>
      <c r="K29263" s="68"/>
    </row>
    <row r="29264" spans="4:11" ht="12.75">
      <c r="D29264" s="67"/>
      <c r="G29264" s="68"/>
      <c r="K29264" s="68"/>
    </row>
    <row r="29265" spans="4:11" ht="12.75">
      <c r="D29265" s="67"/>
      <c r="G29265" s="68"/>
      <c r="K29265" s="68"/>
    </row>
    <row r="29266" spans="4:11" ht="12.75">
      <c r="D29266" s="67"/>
      <c r="G29266" s="68"/>
      <c r="K29266" s="68"/>
    </row>
    <row r="29267" spans="4:11" ht="12.75">
      <c r="D29267" s="67"/>
      <c r="G29267" s="68"/>
      <c r="K29267" s="68"/>
    </row>
    <row r="29268" spans="4:11" ht="12.75">
      <c r="D29268" s="67"/>
      <c r="G29268" s="68"/>
      <c r="K29268" s="68"/>
    </row>
    <row r="29269" spans="4:11" ht="12.75">
      <c r="D29269" s="67"/>
      <c r="G29269" s="68"/>
      <c r="K29269" s="68"/>
    </row>
    <row r="29270" spans="4:11" ht="12.75">
      <c r="D29270" s="67"/>
      <c r="G29270" s="68"/>
      <c r="K29270" s="68"/>
    </row>
    <row r="29271" spans="4:11" ht="12.75">
      <c r="D29271" s="67"/>
      <c r="G29271" s="68"/>
      <c r="K29271" s="68"/>
    </row>
    <row r="29272" spans="4:11" ht="12.75">
      <c r="D29272" s="67"/>
      <c r="G29272" s="68"/>
      <c r="K29272" s="68"/>
    </row>
    <row r="29273" spans="4:11" ht="12.75">
      <c r="D29273" s="67"/>
      <c r="G29273" s="68"/>
      <c r="K29273" s="68"/>
    </row>
    <row r="29274" spans="4:11" ht="12.75">
      <c r="D29274" s="67"/>
      <c r="G29274" s="68"/>
      <c r="K29274" s="68"/>
    </row>
    <row r="29275" spans="4:11" ht="12.75">
      <c r="D29275" s="67"/>
      <c r="G29275" s="68"/>
      <c r="K29275" s="68"/>
    </row>
    <row r="29276" spans="4:11" ht="12.75">
      <c r="D29276" s="67"/>
      <c r="G29276" s="68"/>
      <c r="K29276" s="68"/>
    </row>
    <row r="29277" spans="4:11" ht="12.75">
      <c r="D29277" s="67"/>
      <c r="G29277" s="68"/>
      <c r="K29277" s="68"/>
    </row>
    <row r="29278" spans="4:11" ht="12.75">
      <c r="D29278" s="67"/>
      <c r="G29278" s="68"/>
      <c r="K29278" s="68"/>
    </row>
    <row r="29279" spans="4:11" ht="12.75">
      <c r="D29279" s="67"/>
      <c r="G29279" s="68"/>
      <c r="K29279" s="68"/>
    </row>
    <row r="29280" spans="4:11" ht="12.75">
      <c r="D29280" s="67"/>
      <c r="G29280" s="68"/>
      <c r="K29280" s="68"/>
    </row>
    <row r="29281" spans="4:11" ht="12.75">
      <c r="D29281" s="67"/>
      <c r="G29281" s="68"/>
      <c r="K29281" s="68"/>
    </row>
    <row r="29282" spans="4:11" ht="12.75">
      <c r="D29282" s="67"/>
      <c r="G29282" s="68"/>
      <c r="K29282" s="68"/>
    </row>
    <row r="29283" spans="4:11" ht="12.75">
      <c r="D29283" s="67"/>
      <c r="G29283" s="68"/>
      <c r="K29283" s="68"/>
    </row>
    <row r="29284" spans="4:11" ht="12.75">
      <c r="D29284" s="67"/>
      <c r="G29284" s="68"/>
      <c r="K29284" s="68"/>
    </row>
    <row r="29285" spans="4:11" ht="12.75">
      <c r="D29285" s="67"/>
      <c r="G29285" s="68"/>
      <c r="K29285" s="68"/>
    </row>
    <row r="29286" spans="4:11" ht="12.75">
      <c r="D29286" s="67"/>
      <c r="G29286" s="68"/>
      <c r="K29286" s="68"/>
    </row>
    <row r="29287" spans="4:11" ht="12.75">
      <c r="D29287" s="67"/>
      <c r="G29287" s="68"/>
      <c r="K29287" s="68"/>
    </row>
    <row r="29288" spans="4:11" ht="12.75">
      <c r="D29288" s="67"/>
      <c r="G29288" s="68"/>
      <c r="K29288" s="68"/>
    </row>
    <row r="29289" spans="4:11" ht="12.75">
      <c r="D29289" s="67"/>
      <c r="G29289" s="68"/>
      <c r="K29289" s="68"/>
    </row>
    <row r="29290" spans="4:11" ht="12.75">
      <c r="D29290" s="67"/>
      <c r="G29290" s="68"/>
      <c r="K29290" s="68"/>
    </row>
    <row r="29291" spans="4:11" ht="12.75">
      <c r="D29291" s="67"/>
      <c r="G29291" s="68"/>
      <c r="K29291" s="68"/>
    </row>
    <row r="29292" spans="4:11" ht="12.75">
      <c r="D29292" s="67"/>
      <c r="G29292" s="68"/>
      <c r="K29292" s="68"/>
    </row>
    <row r="29293" spans="4:11" ht="12.75">
      <c r="D29293" s="67"/>
      <c r="G29293" s="68"/>
      <c r="K29293" s="68"/>
    </row>
    <row r="29294" spans="4:11" ht="12.75">
      <c r="D29294" s="67"/>
      <c r="G29294" s="68"/>
      <c r="K29294" s="68"/>
    </row>
    <row r="29295" spans="4:11" ht="12.75">
      <c r="D29295" s="67"/>
      <c r="G29295" s="68"/>
      <c r="K29295" s="68"/>
    </row>
    <row r="29296" spans="4:11" ht="12.75">
      <c r="D29296" s="67"/>
      <c r="G29296" s="68"/>
      <c r="K29296" s="68"/>
    </row>
    <row r="29297" spans="4:11" ht="12.75">
      <c r="D29297" s="67"/>
      <c r="G29297" s="68"/>
      <c r="K29297" s="68"/>
    </row>
    <row r="29298" spans="4:11" ht="12.75">
      <c r="D29298" s="67"/>
      <c r="G29298" s="68"/>
      <c r="K29298" s="68"/>
    </row>
    <row r="29299" spans="4:11" ht="12.75">
      <c r="D29299" s="67"/>
      <c r="G29299" s="68"/>
      <c r="K29299" s="68"/>
    </row>
    <row r="29300" spans="4:11" ht="12.75">
      <c r="D29300" s="67"/>
      <c r="G29300" s="68"/>
      <c r="K29300" s="68"/>
    </row>
    <row r="29301" spans="4:11" ht="12.75">
      <c r="D29301" s="67"/>
      <c r="G29301" s="68"/>
      <c r="K29301" s="68"/>
    </row>
    <row r="29302" spans="4:11" ht="12.75">
      <c r="D29302" s="67"/>
      <c r="G29302" s="68"/>
      <c r="K29302" s="68"/>
    </row>
    <row r="29303" spans="4:11" ht="12.75">
      <c r="D29303" s="67"/>
      <c r="G29303" s="68"/>
      <c r="K29303" s="68"/>
    </row>
    <row r="29304" spans="4:11" ht="12.75">
      <c r="D29304" s="67"/>
      <c r="G29304" s="68"/>
      <c r="K29304" s="68"/>
    </row>
    <row r="29305" spans="4:11" ht="12.75">
      <c r="D29305" s="67"/>
      <c r="G29305" s="68"/>
      <c r="K29305" s="68"/>
    </row>
    <row r="29306" spans="4:11" ht="12.75">
      <c r="D29306" s="67"/>
      <c r="G29306" s="68"/>
      <c r="K29306" s="68"/>
    </row>
    <row r="29307" spans="4:11" ht="12.75">
      <c r="D29307" s="67"/>
      <c r="G29307" s="68"/>
      <c r="K29307" s="68"/>
    </row>
    <row r="29308" spans="4:11" ht="12.75">
      <c r="D29308" s="67"/>
      <c r="G29308" s="68"/>
      <c r="K29308" s="68"/>
    </row>
    <row r="29309" spans="4:11" ht="12.75">
      <c r="D29309" s="67"/>
      <c r="G29309" s="68"/>
      <c r="K29309" s="68"/>
    </row>
    <row r="29310" spans="4:11" ht="12.75">
      <c r="D29310" s="67"/>
      <c r="G29310" s="68"/>
      <c r="K29310" s="68"/>
    </row>
    <row r="29311" spans="4:11" ht="12.75">
      <c r="D29311" s="67"/>
      <c r="G29311" s="68"/>
      <c r="K29311" s="68"/>
    </row>
    <row r="29312" spans="4:11" ht="12.75">
      <c r="D29312" s="67"/>
      <c r="G29312" s="68"/>
      <c r="K29312" s="68"/>
    </row>
    <row r="29313" spans="4:11" ht="12.75">
      <c r="D29313" s="67"/>
      <c r="G29313" s="68"/>
      <c r="K29313" s="68"/>
    </row>
    <row r="29314" spans="4:11" ht="12.75">
      <c r="D29314" s="67"/>
      <c r="G29314" s="68"/>
      <c r="K29314" s="68"/>
    </row>
    <row r="29315" spans="4:11" ht="12.75">
      <c r="D29315" s="67"/>
      <c r="G29315" s="68"/>
      <c r="K29315" s="68"/>
    </row>
    <row r="29316" spans="4:11" ht="12.75">
      <c r="D29316" s="67"/>
      <c r="G29316" s="68"/>
      <c r="K29316" s="68"/>
    </row>
    <row r="29317" spans="4:11" ht="12.75">
      <c r="D29317" s="67"/>
      <c r="G29317" s="68"/>
      <c r="K29317" s="68"/>
    </row>
    <row r="29318" spans="4:11" ht="12.75">
      <c r="D29318" s="67"/>
      <c r="G29318" s="68"/>
      <c r="K29318" s="68"/>
    </row>
    <row r="29319" spans="4:11" ht="12.75">
      <c r="D29319" s="67"/>
      <c r="G29319" s="68"/>
      <c r="K29319" s="68"/>
    </row>
    <row r="29320" spans="4:11" ht="12.75">
      <c r="D29320" s="67"/>
      <c r="G29320" s="68"/>
      <c r="K29320" s="68"/>
    </row>
    <row r="29321" spans="4:11" ht="12.75">
      <c r="D29321" s="67"/>
      <c r="G29321" s="68"/>
      <c r="K29321" s="68"/>
    </row>
    <row r="29322" spans="4:11" ht="12.75">
      <c r="D29322" s="67"/>
      <c r="G29322" s="68"/>
      <c r="K29322" s="68"/>
    </row>
    <row r="29323" spans="4:11" ht="12.75">
      <c r="D29323" s="67"/>
      <c r="G29323" s="68"/>
      <c r="K29323" s="68"/>
    </row>
    <row r="29324" spans="4:11" ht="12.75">
      <c r="D29324" s="67"/>
      <c r="G29324" s="68"/>
      <c r="K29324" s="68"/>
    </row>
    <row r="29325" spans="4:11" ht="12.75">
      <c r="D29325" s="67"/>
      <c r="G29325" s="68"/>
      <c r="K29325" s="68"/>
    </row>
    <row r="29326" spans="4:11" ht="12.75">
      <c r="D29326" s="67"/>
      <c r="G29326" s="68"/>
      <c r="K29326" s="68"/>
    </row>
    <row r="29327" spans="4:11" ht="12.75">
      <c r="D29327" s="67"/>
      <c r="G29327" s="68"/>
      <c r="K29327" s="68"/>
    </row>
    <row r="29328" spans="4:11" ht="12.75">
      <c r="D29328" s="67"/>
      <c r="G29328" s="68"/>
      <c r="K29328" s="68"/>
    </row>
    <row r="29329" spans="4:11" ht="12.75">
      <c r="D29329" s="67"/>
      <c r="G29329" s="68"/>
      <c r="K29329" s="68"/>
    </row>
    <row r="29330" spans="4:11" ht="12.75">
      <c r="D29330" s="67"/>
      <c r="G29330" s="68"/>
      <c r="K29330" s="68"/>
    </row>
    <row r="29331" spans="4:11" ht="12.75">
      <c r="D29331" s="67"/>
      <c r="G29331" s="68"/>
      <c r="K29331" s="68"/>
    </row>
    <row r="29332" spans="4:11" ht="12.75">
      <c r="D29332" s="67"/>
      <c r="G29332" s="68"/>
      <c r="K29332" s="68"/>
    </row>
    <row r="29333" spans="4:11" ht="12.75">
      <c r="D29333" s="67"/>
      <c r="G29333" s="68"/>
      <c r="K29333" s="68"/>
    </row>
    <row r="29334" spans="4:11" ht="12.75">
      <c r="D29334" s="67"/>
      <c r="G29334" s="68"/>
      <c r="K29334" s="68"/>
    </row>
    <row r="29335" spans="4:11" ht="12.75">
      <c r="D29335" s="67"/>
      <c r="G29335" s="68"/>
      <c r="K29335" s="68"/>
    </row>
    <row r="29336" spans="4:11" ht="12.75">
      <c r="D29336" s="67"/>
      <c r="G29336" s="68"/>
      <c r="K29336" s="68"/>
    </row>
    <row r="29337" spans="4:11" ht="12.75">
      <c r="D29337" s="67"/>
      <c r="G29337" s="68"/>
      <c r="K29337" s="68"/>
    </row>
    <row r="29338" spans="4:11" ht="12.75">
      <c r="D29338" s="67"/>
      <c r="G29338" s="68"/>
      <c r="K29338" s="68"/>
    </row>
    <row r="29339" spans="4:11" ht="12.75">
      <c r="D29339" s="67"/>
      <c r="G29339" s="68"/>
      <c r="K29339" s="68"/>
    </row>
    <row r="29340" spans="4:11" ht="12.75">
      <c r="D29340" s="67"/>
      <c r="G29340" s="68"/>
      <c r="K29340" s="68"/>
    </row>
    <row r="29341" spans="4:11" ht="12.75">
      <c r="D29341" s="67"/>
      <c r="G29341" s="68"/>
      <c r="K29341" s="68"/>
    </row>
    <row r="29342" spans="4:11" ht="12.75">
      <c r="D29342" s="67"/>
      <c r="G29342" s="68"/>
      <c r="K29342" s="68"/>
    </row>
    <row r="29343" spans="4:11" ht="12.75">
      <c r="D29343" s="67"/>
      <c r="G29343" s="68"/>
      <c r="K29343" s="68"/>
    </row>
    <row r="29344" spans="4:11" ht="12.75">
      <c r="D29344" s="67"/>
      <c r="G29344" s="68"/>
      <c r="K29344" s="68"/>
    </row>
    <row r="29345" spans="4:11" ht="12.75">
      <c r="D29345" s="67"/>
      <c r="G29345" s="68"/>
      <c r="K29345" s="68"/>
    </row>
    <row r="29346" spans="4:11" ht="12.75">
      <c r="D29346" s="67"/>
      <c r="G29346" s="68"/>
      <c r="K29346" s="68"/>
    </row>
    <row r="29347" spans="4:11" ht="12.75">
      <c r="D29347" s="67"/>
      <c r="G29347" s="68"/>
      <c r="K29347" s="68"/>
    </row>
    <row r="29348" spans="4:11" ht="12.75">
      <c r="D29348" s="67"/>
      <c r="G29348" s="68"/>
      <c r="K29348" s="68"/>
    </row>
    <row r="29349" spans="4:11" ht="12.75">
      <c r="D29349" s="67"/>
      <c r="G29349" s="68"/>
      <c r="K29349" s="68"/>
    </row>
    <row r="29350" spans="4:11" ht="12.75">
      <c r="D29350" s="67"/>
      <c r="G29350" s="68"/>
      <c r="K29350" s="68"/>
    </row>
    <row r="29351" spans="4:11" ht="12.75">
      <c r="D29351" s="67"/>
      <c r="G29351" s="68"/>
      <c r="K29351" s="68"/>
    </row>
    <row r="29352" spans="4:11" ht="12.75">
      <c r="D29352" s="67"/>
      <c r="G29352" s="68"/>
      <c r="K29352" s="68"/>
    </row>
    <row r="29353" spans="4:11" ht="12.75">
      <c r="D29353" s="67"/>
      <c r="G29353" s="68"/>
      <c r="K29353" s="68"/>
    </row>
    <row r="29354" spans="4:11" ht="12.75">
      <c r="D29354" s="67"/>
      <c r="G29354" s="68"/>
      <c r="K29354" s="68"/>
    </row>
    <row r="29355" spans="4:11" ht="12.75">
      <c r="D29355" s="67"/>
      <c r="G29355" s="68"/>
      <c r="K29355" s="68"/>
    </row>
    <row r="29356" spans="4:11" ht="12.75">
      <c r="D29356" s="67"/>
      <c r="G29356" s="68"/>
      <c r="K29356" s="68"/>
    </row>
    <row r="29357" spans="4:11" ht="12.75">
      <c r="D29357" s="67"/>
      <c r="G29357" s="68"/>
      <c r="K29357" s="68"/>
    </row>
    <row r="29358" spans="4:11" ht="12.75">
      <c r="D29358" s="67"/>
      <c r="G29358" s="68"/>
      <c r="K29358" s="68"/>
    </row>
    <row r="29359" spans="4:11" ht="12.75">
      <c r="D29359" s="67"/>
      <c r="G29359" s="68"/>
      <c r="K29359" s="68"/>
    </row>
    <row r="29360" spans="4:11" ht="12.75">
      <c r="D29360" s="67"/>
      <c r="G29360" s="68"/>
      <c r="K29360" s="68"/>
    </row>
    <row r="29361" spans="4:11" ht="12.75">
      <c r="D29361" s="67"/>
      <c r="G29361" s="68"/>
      <c r="K29361" s="68"/>
    </row>
    <row r="29362" spans="4:11" ht="12.75">
      <c r="D29362" s="67"/>
      <c r="G29362" s="68"/>
      <c r="K29362" s="68"/>
    </row>
    <row r="29363" spans="4:11" ht="12.75">
      <c r="D29363" s="67"/>
      <c r="G29363" s="68"/>
      <c r="K29363" s="68"/>
    </row>
    <row r="29364" spans="4:11" ht="12.75">
      <c r="D29364" s="67"/>
      <c r="G29364" s="68"/>
      <c r="K29364" s="68"/>
    </row>
    <row r="29365" spans="4:11" ht="12.75">
      <c r="D29365" s="67"/>
      <c r="G29365" s="68"/>
      <c r="K29365" s="68"/>
    </row>
    <row r="29366" spans="4:11" ht="12.75">
      <c r="D29366" s="67"/>
      <c r="G29366" s="68"/>
      <c r="K29366" s="68"/>
    </row>
    <row r="29367" spans="4:11" ht="12.75">
      <c r="D29367" s="67"/>
      <c r="G29367" s="68"/>
      <c r="K29367" s="68"/>
    </row>
    <row r="29368" spans="4:11" ht="12.75">
      <c r="D29368" s="67"/>
      <c r="G29368" s="68"/>
      <c r="K29368" s="68"/>
    </row>
    <row r="29369" spans="4:11" ht="12.75">
      <c r="D29369" s="67"/>
      <c r="G29369" s="68"/>
      <c r="K29369" s="68"/>
    </row>
    <row r="29370" spans="4:11" ht="12.75">
      <c r="D29370" s="67"/>
      <c r="G29370" s="68"/>
      <c r="K29370" s="68"/>
    </row>
    <row r="29371" spans="4:11" ht="12.75">
      <c r="D29371" s="67"/>
      <c r="G29371" s="68"/>
      <c r="K29371" s="68"/>
    </row>
    <row r="29372" spans="4:11" ht="12.75">
      <c r="D29372" s="67"/>
      <c r="G29372" s="68"/>
      <c r="K29372" s="68"/>
    </row>
    <row r="29373" spans="4:11" ht="12.75">
      <c r="D29373" s="67"/>
      <c r="G29373" s="68"/>
      <c r="K29373" s="68"/>
    </row>
    <row r="29374" spans="4:11" ht="12.75">
      <c r="D29374" s="67"/>
      <c r="G29374" s="68"/>
      <c r="K29374" s="68"/>
    </row>
    <row r="29375" spans="4:11" ht="12.75">
      <c r="D29375" s="67"/>
      <c r="G29375" s="68"/>
      <c r="K29375" s="68"/>
    </row>
    <row r="29376" spans="4:11" ht="12.75">
      <c r="D29376" s="67"/>
      <c r="G29376" s="68"/>
      <c r="K29376" s="68"/>
    </row>
    <row r="29377" spans="4:11" ht="12.75">
      <c r="D29377" s="67"/>
      <c r="G29377" s="68"/>
      <c r="K29377" s="68"/>
    </row>
    <row r="29378" spans="4:11" ht="12.75">
      <c r="D29378" s="67"/>
      <c r="G29378" s="68"/>
      <c r="K29378" s="68"/>
    </row>
    <row r="29379" spans="4:11" ht="12.75">
      <c r="D29379" s="67"/>
      <c r="G29379" s="68"/>
      <c r="K29379" s="68"/>
    </row>
    <row r="29380" spans="4:11" ht="12.75">
      <c r="D29380" s="67"/>
      <c r="G29380" s="68"/>
      <c r="K29380" s="68"/>
    </row>
    <row r="29381" spans="4:11" ht="12.75">
      <c r="D29381" s="67"/>
      <c r="G29381" s="68"/>
      <c r="K29381" s="68"/>
    </row>
    <row r="29382" spans="4:11" ht="12.75">
      <c r="D29382" s="67"/>
      <c r="G29382" s="68"/>
      <c r="K29382" s="68"/>
    </row>
    <row r="29383" spans="4:11" ht="12.75">
      <c r="D29383" s="67"/>
      <c r="G29383" s="68"/>
      <c r="K29383" s="68"/>
    </row>
    <row r="29384" spans="4:11" ht="12.75">
      <c r="D29384" s="67"/>
      <c r="G29384" s="68"/>
      <c r="K29384" s="68"/>
    </row>
    <row r="29385" spans="4:11" ht="12.75">
      <c r="D29385" s="67"/>
      <c r="G29385" s="68"/>
      <c r="K29385" s="68"/>
    </row>
    <row r="29386" spans="4:11" ht="12.75">
      <c r="D29386" s="67"/>
      <c r="G29386" s="68"/>
      <c r="K29386" s="68"/>
    </row>
    <row r="29387" spans="4:11" ht="12.75">
      <c r="D29387" s="67"/>
      <c r="G29387" s="68"/>
      <c r="K29387" s="68"/>
    </row>
    <row r="29388" spans="4:11" ht="12.75">
      <c r="D29388" s="67"/>
      <c r="G29388" s="68"/>
      <c r="K29388" s="68"/>
    </row>
    <row r="29389" spans="4:11" ht="12.75">
      <c r="D29389" s="67"/>
      <c r="G29389" s="68"/>
      <c r="K29389" s="68"/>
    </row>
    <row r="29390" spans="4:11" ht="12.75">
      <c r="D29390" s="67"/>
      <c r="G29390" s="68"/>
      <c r="K29390" s="68"/>
    </row>
    <row r="29391" spans="4:11" ht="12.75">
      <c r="D29391" s="67"/>
      <c r="G29391" s="68"/>
      <c r="K29391" s="68"/>
    </row>
    <row r="29392" spans="4:11" ht="12.75">
      <c r="D29392" s="67"/>
      <c r="G29392" s="68"/>
      <c r="K29392" s="68"/>
    </row>
    <row r="29393" spans="4:11" ht="12.75">
      <c r="D29393" s="67"/>
      <c r="G29393" s="68"/>
      <c r="K29393" s="68"/>
    </row>
    <row r="29394" spans="4:11" ht="12.75">
      <c r="D29394" s="67"/>
      <c r="G29394" s="68"/>
      <c r="K29394" s="68"/>
    </row>
    <row r="29395" spans="4:11" ht="12.75">
      <c r="D29395" s="67"/>
      <c r="G29395" s="68"/>
      <c r="K29395" s="68"/>
    </row>
    <row r="29396" spans="4:11" ht="12.75">
      <c r="D29396" s="67"/>
      <c r="G29396" s="68"/>
      <c r="K29396" s="68"/>
    </row>
    <row r="29397" spans="4:11" ht="12.75">
      <c r="D29397" s="67"/>
      <c r="G29397" s="68"/>
      <c r="K29397" s="68"/>
    </row>
    <row r="29398" spans="4:11" ht="12.75">
      <c r="D29398" s="67"/>
      <c r="G29398" s="68"/>
      <c r="K29398" s="68"/>
    </row>
    <row r="29399" spans="4:11" ht="12.75">
      <c r="D29399" s="67"/>
      <c r="G29399" s="68"/>
      <c r="K29399" s="68"/>
    </row>
    <row r="29400" spans="4:11" ht="12.75">
      <c r="D29400" s="67"/>
      <c r="G29400" s="68"/>
      <c r="K29400" s="68"/>
    </row>
    <row r="29401" spans="4:11" ht="12.75">
      <c r="D29401" s="67"/>
      <c r="G29401" s="68"/>
      <c r="K29401" s="68"/>
    </row>
    <row r="29402" spans="4:11" ht="12.75">
      <c r="D29402" s="67"/>
      <c r="G29402" s="68"/>
      <c r="K29402" s="68"/>
    </row>
    <row r="29403" spans="4:11" ht="12.75">
      <c r="D29403" s="67"/>
      <c r="G29403" s="68"/>
      <c r="K29403" s="68"/>
    </row>
    <row r="29404" spans="4:11" ht="12.75">
      <c r="D29404" s="67"/>
      <c r="G29404" s="68"/>
      <c r="K29404" s="68"/>
    </row>
    <row r="29405" spans="4:11" ht="12.75">
      <c r="D29405" s="67"/>
      <c r="G29405" s="68"/>
      <c r="K29405" s="68"/>
    </row>
    <row r="29406" spans="4:11" ht="12.75">
      <c r="D29406" s="67"/>
      <c r="G29406" s="68"/>
      <c r="K29406" s="68"/>
    </row>
    <row r="29407" spans="4:11" ht="12.75">
      <c r="D29407" s="67"/>
      <c r="G29407" s="68"/>
      <c r="K29407" s="68"/>
    </row>
    <row r="29408" spans="4:11" ht="12.75">
      <c r="D29408" s="67"/>
      <c r="G29408" s="68"/>
      <c r="K29408" s="68"/>
    </row>
    <row r="29409" spans="4:11" ht="12.75">
      <c r="D29409" s="67"/>
      <c r="G29409" s="68"/>
      <c r="K29409" s="68"/>
    </row>
    <row r="29410" spans="4:11" ht="12.75">
      <c r="D29410" s="67"/>
      <c r="G29410" s="68"/>
      <c r="K29410" s="68"/>
    </row>
    <row r="29411" spans="4:11" ht="12.75">
      <c r="D29411" s="67"/>
      <c r="G29411" s="68"/>
      <c r="K29411" s="68"/>
    </row>
    <row r="29412" spans="4:11" ht="12.75">
      <c r="D29412" s="67"/>
      <c r="G29412" s="68"/>
      <c r="K29412" s="68"/>
    </row>
    <row r="29413" spans="4:11" ht="12.75">
      <c r="D29413" s="67"/>
      <c r="G29413" s="68"/>
      <c r="K29413" s="68"/>
    </row>
    <row r="29414" spans="4:11" ht="12.75">
      <c r="D29414" s="67"/>
      <c r="G29414" s="68"/>
      <c r="K29414" s="68"/>
    </row>
    <row r="29415" spans="4:11" ht="12.75">
      <c r="D29415" s="67"/>
      <c r="G29415" s="68"/>
      <c r="K29415" s="68"/>
    </row>
    <row r="29416" spans="4:11" ht="12.75">
      <c r="D29416" s="67"/>
      <c r="G29416" s="68"/>
      <c r="K29416" s="68"/>
    </row>
    <row r="29417" spans="4:11" ht="12.75">
      <c r="D29417" s="67"/>
      <c r="G29417" s="68"/>
      <c r="K29417" s="68"/>
    </row>
    <row r="29418" spans="4:11" ht="12.75">
      <c r="D29418" s="67"/>
      <c r="G29418" s="68"/>
      <c r="K29418" s="68"/>
    </row>
    <row r="29419" spans="4:11" ht="12.75">
      <c r="D29419" s="67"/>
      <c r="G29419" s="68"/>
      <c r="K29419" s="68"/>
    </row>
    <row r="29420" spans="4:11" ht="12.75">
      <c r="D29420" s="67"/>
      <c r="G29420" s="68"/>
      <c r="K29420" s="68"/>
    </row>
    <row r="29421" spans="4:11" ht="12.75">
      <c r="D29421" s="67"/>
      <c r="G29421" s="68"/>
      <c r="K29421" s="68"/>
    </row>
    <row r="29422" spans="4:11" ht="12.75">
      <c r="D29422" s="67"/>
      <c r="G29422" s="68"/>
      <c r="K29422" s="68"/>
    </row>
    <row r="29423" spans="4:11" ht="12.75">
      <c r="D29423" s="67"/>
      <c r="G29423" s="68"/>
      <c r="K29423" s="68"/>
    </row>
    <row r="29424" spans="4:11" ht="12.75">
      <c r="D29424" s="67"/>
      <c r="G29424" s="68"/>
      <c r="K29424" s="68"/>
    </row>
    <row r="29425" spans="4:11" ht="12.75">
      <c r="D29425" s="67"/>
      <c r="G29425" s="68"/>
      <c r="K29425" s="68"/>
    </row>
    <row r="29426" spans="4:11" ht="12.75">
      <c r="D29426" s="67"/>
      <c r="G29426" s="68"/>
      <c r="K29426" s="68"/>
    </row>
    <row r="29427" spans="4:11" ht="12.75">
      <c r="D29427" s="67"/>
      <c r="G29427" s="68"/>
      <c r="K29427" s="68"/>
    </row>
    <row r="29428" spans="4:11" ht="12.75">
      <c r="D29428" s="67"/>
      <c r="G29428" s="68"/>
      <c r="K29428" s="68"/>
    </row>
    <row r="29429" spans="4:11" ht="12.75">
      <c r="D29429" s="67"/>
      <c r="G29429" s="68"/>
      <c r="K29429" s="68"/>
    </row>
    <row r="29430" spans="4:11" ht="12.75">
      <c r="D29430" s="67"/>
      <c r="G29430" s="68"/>
      <c r="K29430" s="68"/>
    </row>
    <row r="29431" spans="4:11" ht="12.75">
      <c r="D29431" s="67"/>
      <c r="G29431" s="68"/>
      <c r="K29431" s="68"/>
    </row>
    <row r="29432" spans="4:11" ht="12.75">
      <c r="D29432" s="67"/>
      <c r="G29432" s="68"/>
      <c r="K29432" s="68"/>
    </row>
    <row r="29433" spans="4:11" ht="12.75">
      <c r="D29433" s="67"/>
      <c r="G29433" s="68"/>
      <c r="K29433" s="68"/>
    </row>
    <row r="29434" spans="4:11" ht="12.75">
      <c r="D29434" s="67"/>
      <c r="G29434" s="68"/>
      <c r="K29434" s="68"/>
    </row>
    <row r="29435" spans="4:11" ht="12.75">
      <c r="D29435" s="67"/>
      <c r="G29435" s="68"/>
      <c r="K29435" s="68"/>
    </row>
    <row r="29436" spans="4:11" ht="12.75">
      <c r="D29436" s="67"/>
      <c r="G29436" s="68"/>
      <c r="K29436" s="68"/>
    </row>
    <row r="29437" spans="4:11" ht="12.75">
      <c r="D29437" s="67"/>
      <c r="G29437" s="68"/>
      <c r="K29437" s="68"/>
    </row>
    <row r="29438" spans="4:11" ht="12.75">
      <c r="D29438" s="67"/>
      <c r="G29438" s="68"/>
      <c r="K29438" s="68"/>
    </row>
    <row r="29439" spans="4:11" ht="12.75">
      <c r="D29439" s="67"/>
      <c r="G29439" s="68"/>
      <c r="K29439" s="68"/>
    </row>
    <row r="29440" spans="4:11" ht="12.75">
      <c r="D29440" s="67"/>
      <c r="G29440" s="68"/>
      <c r="K29440" s="68"/>
    </row>
    <row r="29441" spans="4:11" ht="12.75">
      <c r="D29441" s="67"/>
      <c r="G29441" s="68"/>
      <c r="K29441" s="68"/>
    </row>
    <row r="29442" spans="4:11" ht="12.75">
      <c r="D29442" s="67"/>
      <c r="G29442" s="68"/>
      <c r="K29442" s="68"/>
    </row>
    <row r="29443" spans="4:11" ht="12.75">
      <c r="D29443" s="67"/>
      <c r="G29443" s="68"/>
      <c r="K29443" s="68"/>
    </row>
    <row r="29444" spans="4:11" ht="12.75">
      <c r="D29444" s="67"/>
      <c r="G29444" s="68"/>
      <c r="K29444" s="68"/>
    </row>
    <row r="29445" spans="4:11" ht="12.75">
      <c r="D29445" s="67"/>
      <c r="G29445" s="68"/>
      <c r="K29445" s="68"/>
    </row>
    <row r="29446" spans="4:11" ht="12.75">
      <c r="D29446" s="67"/>
      <c r="G29446" s="68"/>
      <c r="K29446" s="68"/>
    </row>
    <row r="29447" spans="4:11" ht="12.75">
      <c r="D29447" s="67"/>
      <c r="G29447" s="68"/>
      <c r="K29447" s="68"/>
    </row>
    <row r="29448" spans="4:11" ht="12.75">
      <c r="D29448" s="67"/>
      <c r="G29448" s="68"/>
      <c r="K29448" s="68"/>
    </row>
    <row r="29449" spans="4:11" ht="12.75">
      <c r="D29449" s="67"/>
      <c r="G29449" s="68"/>
      <c r="K29449" s="68"/>
    </row>
    <row r="29450" spans="4:11" ht="12.75">
      <c r="D29450" s="67"/>
      <c r="G29450" s="68"/>
      <c r="K29450" s="68"/>
    </row>
    <row r="29451" spans="4:11" ht="12.75">
      <c r="D29451" s="67"/>
      <c r="G29451" s="68"/>
      <c r="K29451" s="68"/>
    </row>
    <row r="29452" spans="4:11" ht="12.75">
      <c r="D29452" s="67"/>
      <c r="G29452" s="68"/>
      <c r="K29452" s="68"/>
    </row>
    <row r="29453" spans="4:11" ht="12.75">
      <c r="D29453" s="67"/>
      <c r="G29453" s="68"/>
      <c r="K29453" s="68"/>
    </row>
    <row r="29454" spans="4:11" ht="12.75">
      <c r="D29454" s="67"/>
      <c r="G29454" s="68"/>
      <c r="K29454" s="68"/>
    </row>
    <row r="29455" spans="4:11" ht="12.75">
      <c r="D29455" s="67"/>
      <c r="G29455" s="68"/>
      <c r="K29455" s="68"/>
    </row>
    <row r="29456" spans="4:11" ht="12.75">
      <c r="D29456" s="67"/>
      <c r="G29456" s="68"/>
      <c r="K29456" s="68"/>
    </row>
    <row r="29457" spans="4:11" ht="12.75">
      <c r="D29457" s="67"/>
      <c r="G29457" s="68"/>
      <c r="K29457" s="68"/>
    </row>
    <row r="29458" spans="4:11" ht="12.75">
      <c r="D29458" s="67"/>
      <c r="G29458" s="68"/>
      <c r="K29458" s="68"/>
    </row>
    <row r="29459" spans="4:11" ht="12.75">
      <c r="D29459" s="67"/>
      <c r="G29459" s="68"/>
      <c r="K29459" s="68"/>
    </row>
    <row r="29460" spans="4:11" ht="12.75">
      <c r="D29460" s="67"/>
      <c r="G29460" s="68"/>
      <c r="K29460" s="68"/>
    </row>
    <row r="29461" spans="4:11" ht="12.75">
      <c r="D29461" s="67"/>
      <c r="G29461" s="68"/>
      <c r="K29461" s="68"/>
    </row>
    <row r="29462" spans="4:11" ht="12.75">
      <c r="D29462" s="67"/>
      <c r="G29462" s="68"/>
      <c r="K29462" s="68"/>
    </row>
    <row r="29463" spans="4:11" ht="12.75">
      <c r="D29463" s="67"/>
      <c r="G29463" s="68"/>
      <c r="K29463" s="68"/>
    </row>
    <row r="29464" spans="4:11" ht="12.75">
      <c r="D29464" s="67"/>
      <c r="G29464" s="68"/>
      <c r="K29464" s="68"/>
    </row>
    <row r="29465" spans="4:11" ht="12.75">
      <c r="D29465" s="67"/>
      <c r="G29465" s="68"/>
      <c r="K29465" s="68"/>
    </row>
    <row r="29466" spans="4:11" ht="12.75">
      <c r="D29466" s="67"/>
      <c r="G29466" s="68"/>
      <c r="K29466" s="68"/>
    </row>
    <row r="29467" spans="4:11" ht="12.75">
      <c r="D29467" s="67"/>
      <c r="G29467" s="68"/>
      <c r="K29467" s="68"/>
    </row>
    <row r="29468" spans="4:11" ht="12.75">
      <c r="D29468" s="67"/>
      <c r="G29468" s="68"/>
      <c r="K29468" s="68"/>
    </row>
    <row r="29469" spans="4:11" ht="12.75">
      <c r="D29469" s="67"/>
      <c r="G29469" s="68"/>
      <c r="K29469" s="68"/>
    </row>
    <row r="29470" spans="4:11" ht="12.75">
      <c r="D29470" s="67"/>
      <c r="G29470" s="68"/>
      <c r="K29470" s="68"/>
    </row>
    <row r="29471" spans="4:11" ht="12.75">
      <c r="D29471" s="67"/>
      <c r="G29471" s="68"/>
      <c r="K29471" s="68"/>
    </row>
    <row r="29472" spans="4:11" ht="12.75">
      <c r="D29472" s="67"/>
      <c r="G29472" s="68"/>
      <c r="K29472" s="68"/>
    </row>
    <row r="29473" spans="4:11" ht="12.75">
      <c r="D29473" s="67"/>
      <c r="G29473" s="68"/>
      <c r="K29473" s="68"/>
    </row>
    <row r="29474" spans="4:11" ht="12.75">
      <c r="D29474" s="67"/>
      <c r="G29474" s="68"/>
      <c r="K29474" s="68"/>
    </row>
    <row r="29475" spans="4:11" ht="12.75">
      <c r="D29475" s="67"/>
      <c r="G29475" s="68"/>
      <c r="K29475" s="68"/>
    </row>
    <row r="29476" spans="4:11" ht="12.75">
      <c r="D29476" s="67"/>
      <c r="G29476" s="68"/>
      <c r="K29476" s="68"/>
    </row>
    <row r="29477" spans="4:11" ht="12.75">
      <c r="D29477" s="67"/>
      <c r="G29477" s="68"/>
      <c r="K29477" s="68"/>
    </row>
    <row r="29478" spans="4:11" ht="12.75">
      <c r="D29478" s="67"/>
      <c r="G29478" s="68"/>
      <c r="K29478" s="68"/>
    </row>
    <row r="29479" spans="4:11" ht="12.75">
      <c r="D29479" s="67"/>
      <c r="G29479" s="68"/>
      <c r="K29479" s="68"/>
    </row>
    <row r="29480" spans="4:11" ht="12.75">
      <c r="D29480" s="67"/>
      <c r="G29480" s="68"/>
      <c r="K29480" s="68"/>
    </row>
    <row r="29481" spans="4:11" ht="12.75">
      <c r="D29481" s="67"/>
      <c r="G29481" s="68"/>
      <c r="K29481" s="68"/>
    </row>
    <row r="29482" spans="4:11" ht="12.75">
      <c r="D29482" s="67"/>
      <c r="G29482" s="68"/>
      <c r="K29482" s="68"/>
    </row>
    <row r="29483" spans="4:11" ht="12.75">
      <c r="D29483" s="67"/>
      <c r="G29483" s="68"/>
      <c r="K29483" s="68"/>
    </row>
    <row r="29484" spans="4:11" ht="12.75">
      <c r="D29484" s="67"/>
      <c r="G29484" s="68"/>
      <c r="K29484" s="68"/>
    </row>
    <row r="29485" spans="4:11" ht="12.75">
      <c r="D29485" s="67"/>
      <c r="G29485" s="68"/>
      <c r="K29485" s="68"/>
    </row>
    <row r="29486" spans="4:11" ht="12.75">
      <c r="D29486" s="67"/>
      <c r="G29486" s="68"/>
      <c r="K29486" s="68"/>
    </row>
    <row r="29487" spans="4:11" ht="12.75">
      <c r="D29487" s="67"/>
      <c r="G29487" s="68"/>
      <c r="K29487" s="68"/>
    </row>
    <row r="29488" spans="4:11" ht="12.75">
      <c r="D29488" s="67"/>
      <c r="G29488" s="68"/>
      <c r="K29488" s="68"/>
    </row>
    <row r="29489" spans="4:11" ht="12.75">
      <c r="D29489" s="67"/>
      <c r="G29489" s="68"/>
      <c r="K29489" s="68"/>
    </row>
    <row r="29490" spans="4:11" ht="12.75">
      <c r="D29490" s="67"/>
      <c r="G29490" s="68"/>
      <c r="K29490" s="68"/>
    </row>
    <row r="29491" spans="4:11" ht="12.75">
      <c r="D29491" s="67"/>
      <c r="G29491" s="68"/>
      <c r="K29491" s="68"/>
    </row>
    <row r="29492" spans="4:11" ht="12.75">
      <c r="D29492" s="67"/>
      <c r="G29492" s="68"/>
      <c r="K29492" s="68"/>
    </row>
    <row r="29493" spans="4:11" ht="12.75">
      <c r="D29493" s="67"/>
      <c r="G29493" s="68"/>
      <c r="K29493" s="68"/>
    </row>
    <row r="29494" spans="4:11" ht="12.75">
      <c r="D29494" s="67"/>
      <c r="G29494" s="68"/>
      <c r="K29494" s="68"/>
    </row>
    <row r="29495" spans="4:11" ht="12.75">
      <c r="D29495" s="67"/>
      <c r="G29495" s="68"/>
      <c r="K29495" s="68"/>
    </row>
    <row r="29496" spans="4:11" ht="12.75">
      <c r="D29496" s="67"/>
      <c r="G29496" s="68"/>
      <c r="K29496" s="68"/>
    </row>
    <row r="29497" spans="4:11" ht="12.75">
      <c r="D29497" s="67"/>
      <c r="G29497" s="68"/>
      <c r="K29497" s="68"/>
    </row>
    <row r="29498" spans="4:11" ht="12.75">
      <c r="D29498" s="67"/>
      <c r="G29498" s="68"/>
      <c r="K29498" s="68"/>
    </row>
    <row r="29499" spans="4:11" ht="12.75">
      <c r="D29499" s="67"/>
      <c r="G29499" s="68"/>
      <c r="K29499" s="68"/>
    </row>
    <row r="29500" spans="4:11" ht="12.75">
      <c r="D29500" s="67"/>
      <c r="G29500" s="68"/>
      <c r="K29500" s="68"/>
    </row>
    <row r="29501" spans="4:11" ht="12.75">
      <c r="D29501" s="67"/>
      <c r="G29501" s="68"/>
      <c r="K29501" s="68"/>
    </row>
    <row r="29502" spans="4:11" ht="12.75">
      <c r="D29502" s="67"/>
      <c r="G29502" s="68"/>
      <c r="K29502" s="68"/>
    </row>
    <row r="29503" spans="4:11" ht="12.75">
      <c r="D29503" s="67"/>
      <c r="G29503" s="68"/>
      <c r="K29503" s="68"/>
    </row>
    <row r="29504" spans="4:11" ht="12.75">
      <c r="D29504" s="67"/>
      <c r="G29504" s="68"/>
      <c r="K29504" s="68"/>
    </row>
    <row r="29505" spans="4:11" ht="12.75">
      <c r="D29505" s="67"/>
      <c r="G29505" s="68"/>
      <c r="K29505" s="68"/>
    </row>
    <row r="29506" spans="4:11" ht="12.75">
      <c r="D29506" s="67"/>
      <c r="G29506" s="68"/>
      <c r="K29506" s="68"/>
    </row>
    <row r="29507" spans="4:11" ht="12.75">
      <c r="D29507" s="67"/>
      <c r="G29507" s="68"/>
      <c r="K29507" s="68"/>
    </row>
    <row r="29508" spans="4:11" ht="12.75">
      <c r="D29508" s="67"/>
      <c r="G29508" s="68"/>
      <c r="K29508" s="68"/>
    </row>
    <row r="29509" spans="4:11" ht="12.75">
      <c r="D29509" s="67"/>
      <c r="G29509" s="68"/>
      <c r="K29509" s="68"/>
    </row>
    <row r="29510" spans="4:11" ht="12.75">
      <c r="D29510" s="67"/>
      <c r="G29510" s="68"/>
      <c r="K29510" s="68"/>
    </row>
    <row r="29511" spans="4:11" ht="12.75">
      <c r="D29511" s="67"/>
      <c r="G29511" s="68"/>
      <c r="K29511" s="68"/>
    </row>
    <row r="29512" spans="4:11" ht="12.75">
      <c r="D29512" s="67"/>
      <c r="G29512" s="68"/>
      <c r="K29512" s="68"/>
    </row>
    <row r="29513" spans="4:11" ht="12.75">
      <c r="D29513" s="67"/>
      <c r="G29513" s="68"/>
      <c r="K29513" s="68"/>
    </row>
    <row r="29514" spans="4:11" ht="12.75">
      <c r="D29514" s="67"/>
      <c r="G29514" s="68"/>
      <c r="K29514" s="68"/>
    </row>
    <row r="29515" spans="4:11" ht="12.75">
      <c r="D29515" s="67"/>
      <c r="G29515" s="68"/>
      <c r="K29515" s="68"/>
    </row>
    <row r="29516" spans="4:11" ht="12.75">
      <c r="D29516" s="67"/>
      <c r="G29516" s="68"/>
      <c r="K29516" s="68"/>
    </row>
    <row r="29517" spans="4:11" ht="12.75">
      <c r="D29517" s="67"/>
      <c r="G29517" s="68"/>
      <c r="K29517" s="68"/>
    </row>
    <row r="29518" spans="4:11" ht="12.75">
      <c r="D29518" s="67"/>
      <c r="G29518" s="68"/>
      <c r="K29518" s="68"/>
    </row>
    <row r="29519" spans="4:11" ht="12.75">
      <c r="D29519" s="67"/>
      <c r="G29519" s="68"/>
      <c r="K29519" s="68"/>
    </row>
    <row r="29520" spans="4:11" ht="12.75">
      <c r="D29520" s="67"/>
      <c r="G29520" s="68"/>
      <c r="K29520" s="68"/>
    </row>
    <row r="29521" spans="4:11" ht="12.75">
      <c r="D29521" s="67"/>
      <c r="G29521" s="68"/>
      <c r="K29521" s="68"/>
    </row>
    <row r="29522" spans="4:11" ht="12.75">
      <c r="D29522" s="67"/>
      <c r="G29522" s="68"/>
      <c r="K29522" s="68"/>
    </row>
    <row r="29523" spans="4:11" ht="12.75">
      <c r="D29523" s="67"/>
      <c r="G29523" s="68"/>
      <c r="K29523" s="68"/>
    </row>
    <row r="29524" spans="4:11" ht="12.75">
      <c r="D29524" s="67"/>
      <c r="G29524" s="68"/>
      <c r="K29524" s="68"/>
    </row>
    <row r="29525" spans="4:11" ht="12.75">
      <c r="D29525" s="67"/>
      <c r="G29525" s="68"/>
      <c r="K29525" s="68"/>
    </row>
    <row r="29526" spans="4:11" ht="12.75">
      <c r="D29526" s="67"/>
      <c r="G29526" s="68"/>
      <c r="K29526" s="68"/>
    </row>
    <row r="29527" spans="4:11" ht="12.75">
      <c r="D29527" s="67"/>
      <c r="G29527" s="68"/>
      <c r="K29527" s="68"/>
    </row>
    <row r="29528" spans="4:11" ht="12.75">
      <c r="D29528" s="67"/>
      <c r="G29528" s="68"/>
      <c r="K29528" s="68"/>
    </row>
    <row r="29529" spans="4:11" ht="12.75">
      <c r="D29529" s="67"/>
      <c r="G29529" s="68"/>
      <c r="K29529" s="68"/>
    </row>
    <row r="29530" spans="4:11" ht="12.75">
      <c r="D29530" s="67"/>
      <c r="G29530" s="68"/>
      <c r="K29530" s="68"/>
    </row>
    <row r="29531" spans="4:11" ht="12.75">
      <c r="D29531" s="67"/>
      <c r="G29531" s="68"/>
      <c r="K29531" s="68"/>
    </row>
    <row r="29532" spans="4:11" ht="12.75">
      <c r="D29532" s="67"/>
      <c r="G29532" s="68"/>
      <c r="K29532" s="68"/>
    </row>
    <row r="29533" spans="4:11" ht="12.75">
      <c r="D29533" s="67"/>
      <c r="G29533" s="68"/>
      <c r="K29533" s="68"/>
    </row>
    <row r="29534" spans="4:11" ht="12.75">
      <c r="D29534" s="67"/>
      <c r="G29534" s="68"/>
      <c r="K29534" s="68"/>
    </row>
    <row r="29535" spans="4:11" ht="12.75">
      <c r="D29535" s="67"/>
      <c r="G29535" s="68"/>
      <c r="K29535" s="68"/>
    </row>
    <row r="29536" spans="4:11" ht="12.75">
      <c r="D29536" s="67"/>
      <c r="G29536" s="68"/>
      <c r="K29536" s="68"/>
    </row>
    <row r="29537" spans="4:11" ht="12.75">
      <c r="D29537" s="67"/>
      <c r="G29537" s="68"/>
      <c r="K29537" s="68"/>
    </row>
    <row r="29538" spans="4:11" ht="12.75">
      <c r="D29538" s="67"/>
      <c r="G29538" s="68"/>
      <c r="K29538" s="68"/>
    </row>
    <row r="29539" spans="4:11" ht="12.75">
      <c r="D29539" s="67"/>
      <c r="G29539" s="68"/>
      <c r="K29539" s="68"/>
    </row>
    <row r="29540" spans="4:11" ht="12.75">
      <c r="D29540" s="67"/>
      <c r="G29540" s="68"/>
      <c r="K29540" s="68"/>
    </row>
    <row r="29541" spans="4:11" ht="12.75">
      <c r="D29541" s="67"/>
      <c r="G29541" s="68"/>
      <c r="K29541" s="68"/>
    </row>
    <row r="29542" spans="4:11" ht="12.75">
      <c r="D29542" s="67"/>
      <c r="G29542" s="68"/>
      <c r="K29542" s="68"/>
    </row>
    <row r="29543" spans="4:11" ht="12.75">
      <c r="D29543" s="67"/>
      <c r="G29543" s="68"/>
      <c r="K29543" s="68"/>
    </row>
    <row r="29544" spans="4:11" ht="12.75">
      <c r="D29544" s="67"/>
      <c r="G29544" s="68"/>
      <c r="K29544" s="68"/>
    </row>
    <row r="29545" spans="4:11" ht="12.75">
      <c r="D29545" s="67"/>
      <c r="G29545" s="68"/>
      <c r="K29545" s="68"/>
    </row>
    <row r="29546" spans="4:11" ht="12.75">
      <c r="D29546" s="67"/>
      <c r="G29546" s="68"/>
      <c r="K29546" s="68"/>
    </row>
    <row r="29547" spans="4:11" ht="12.75">
      <c r="D29547" s="67"/>
      <c r="G29547" s="68"/>
      <c r="K29547" s="68"/>
    </row>
    <row r="29548" spans="4:11" ht="12.75">
      <c r="D29548" s="67"/>
      <c r="G29548" s="68"/>
      <c r="K29548" s="68"/>
    </row>
    <row r="29549" spans="4:11" ht="12.75">
      <c r="D29549" s="67"/>
      <c r="G29549" s="68"/>
      <c r="K29549" s="68"/>
    </row>
    <row r="29550" spans="4:11" ht="12.75">
      <c r="D29550" s="67"/>
      <c r="G29550" s="68"/>
      <c r="K29550" s="68"/>
    </row>
    <row r="29551" spans="4:11" ht="12.75">
      <c r="D29551" s="67"/>
      <c r="G29551" s="68"/>
      <c r="K29551" s="68"/>
    </row>
    <row r="29552" spans="4:11" ht="12.75">
      <c r="D29552" s="67"/>
      <c r="G29552" s="68"/>
      <c r="K29552" s="68"/>
    </row>
    <row r="29553" spans="4:11" ht="12.75">
      <c r="D29553" s="67"/>
      <c r="G29553" s="68"/>
      <c r="K29553" s="68"/>
    </row>
    <row r="29554" spans="4:11" ht="12.75">
      <c r="D29554" s="67"/>
      <c r="G29554" s="68"/>
      <c r="K29554" s="68"/>
    </row>
    <row r="29555" spans="4:11" ht="12.75">
      <c r="D29555" s="67"/>
      <c r="G29555" s="68"/>
      <c r="K29555" s="68"/>
    </row>
    <row r="29556" spans="4:11" ht="12.75">
      <c r="D29556" s="67"/>
      <c r="G29556" s="68"/>
      <c r="K29556" s="68"/>
    </row>
    <row r="29557" spans="4:11" ht="12.75">
      <c r="D29557" s="67"/>
      <c r="G29557" s="68"/>
      <c r="K29557" s="68"/>
    </row>
    <row r="29558" spans="4:11" ht="12.75">
      <c r="D29558" s="67"/>
      <c r="G29558" s="68"/>
      <c r="K29558" s="68"/>
    </row>
    <row r="29559" spans="4:11" ht="12.75">
      <c r="D29559" s="67"/>
      <c r="G29559" s="68"/>
      <c r="K29559" s="68"/>
    </row>
    <row r="29560" spans="4:11" ht="12.75">
      <c r="D29560" s="67"/>
      <c r="G29560" s="68"/>
      <c r="K29560" s="68"/>
    </row>
    <row r="29561" spans="4:11" ht="12.75">
      <c r="D29561" s="67"/>
      <c r="G29561" s="68"/>
      <c r="K29561" s="68"/>
    </row>
    <row r="29562" spans="4:11" ht="12.75">
      <c r="D29562" s="67"/>
      <c r="G29562" s="68"/>
      <c r="K29562" s="68"/>
    </row>
    <row r="29563" spans="4:11" ht="12.75">
      <c r="D29563" s="67"/>
      <c r="G29563" s="68"/>
      <c r="K29563" s="68"/>
    </row>
    <row r="29564" spans="4:11" ht="12.75">
      <c r="D29564" s="67"/>
      <c r="G29564" s="68"/>
      <c r="K29564" s="68"/>
    </row>
    <row r="29565" spans="4:11" ht="12.75">
      <c r="D29565" s="67"/>
      <c r="G29565" s="68"/>
      <c r="K29565" s="68"/>
    </row>
    <row r="29566" spans="4:11" ht="12.75">
      <c r="D29566" s="67"/>
      <c r="G29566" s="68"/>
      <c r="K29566" s="68"/>
    </row>
    <row r="29567" spans="4:11" ht="12.75">
      <c r="D29567" s="67"/>
      <c r="G29567" s="68"/>
      <c r="K29567" s="68"/>
    </row>
    <row r="29568" spans="4:11" ht="12.75">
      <c r="D29568" s="67"/>
      <c r="G29568" s="68"/>
      <c r="K29568" s="68"/>
    </row>
    <row r="29569" spans="4:11" ht="12.75">
      <c r="D29569" s="67"/>
      <c r="G29569" s="68"/>
      <c r="K29569" s="68"/>
    </row>
    <row r="29570" spans="4:11" ht="12.75">
      <c r="D29570" s="67"/>
      <c r="G29570" s="68"/>
      <c r="K29570" s="68"/>
    </row>
    <row r="29571" spans="4:11" ht="12.75">
      <c r="D29571" s="67"/>
      <c r="G29571" s="68"/>
      <c r="K29571" s="68"/>
    </row>
    <row r="29572" spans="4:11" ht="12.75">
      <c r="D29572" s="67"/>
      <c r="G29572" s="68"/>
      <c r="K29572" s="68"/>
    </row>
    <row r="29573" spans="4:11" ht="12.75">
      <c r="D29573" s="67"/>
      <c r="G29573" s="68"/>
      <c r="K29573" s="68"/>
    </row>
    <row r="29574" spans="4:11" ht="12.75">
      <c r="D29574" s="67"/>
      <c r="G29574" s="68"/>
      <c r="K29574" s="68"/>
    </row>
    <row r="29575" spans="4:11" ht="12.75">
      <c r="D29575" s="67"/>
      <c r="G29575" s="68"/>
      <c r="K29575" s="68"/>
    </row>
    <row r="29576" spans="4:11" ht="12.75">
      <c r="D29576" s="67"/>
      <c r="G29576" s="68"/>
      <c r="K29576" s="68"/>
    </row>
    <row r="29577" spans="4:11" ht="12.75">
      <c r="D29577" s="67"/>
      <c r="G29577" s="68"/>
      <c r="K29577" s="68"/>
    </row>
    <row r="29578" spans="4:11" ht="12.75">
      <c r="D29578" s="67"/>
      <c r="G29578" s="68"/>
      <c r="K29578" s="68"/>
    </row>
    <row r="29579" spans="4:11" ht="12.75">
      <c r="D29579" s="67"/>
      <c r="G29579" s="68"/>
      <c r="K29579" s="68"/>
    </row>
    <row r="29580" spans="4:11" ht="12.75">
      <c r="D29580" s="67"/>
      <c r="G29580" s="68"/>
      <c r="K29580" s="68"/>
    </row>
    <row r="29581" spans="4:11" ht="12.75">
      <c r="D29581" s="67"/>
      <c r="G29581" s="68"/>
      <c r="K29581" s="68"/>
    </row>
    <row r="29582" spans="4:11" ht="12.75">
      <c r="D29582" s="67"/>
      <c r="G29582" s="68"/>
      <c r="K29582" s="68"/>
    </row>
    <row r="29583" spans="4:11" ht="12.75">
      <c r="D29583" s="67"/>
      <c r="G29583" s="68"/>
      <c r="K29583" s="68"/>
    </row>
    <row r="29584" spans="4:11" ht="12.75">
      <c r="D29584" s="67"/>
      <c r="G29584" s="68"/>
      <c r="K29584" s="68"/>
    </row>
    <row r="29585" spans="4:11" ht="12.75">
      <c r="D29585" s="67"/>
      <c r="G29585" s="68"/>
      <c r="K29585" s="68"/>
    </row>
    <row r="29586" spans="4:11" ht="12.75">
      <c r="D29586" s="67"/>
      <c r="G29586" s="68"/>
      <c r="K29586" s="68"/>
    </row>
    <row r="29587" spans="4:11" ht="12.75">
      <c r="D29587" s="67"/>
      <c r="G29587" s="68"/>
      <c r="K29587" s="68"/>
    </row>
    <row r="29588" spans="4:11" ht="12.75">
      <c r="D29588" s="67"/>
      <c r="G29588" s="68"/>
      <c r="K29588" s="68"/>
    </row>
    <row r="29589" spans="4:11" ht="12.75">
      <c r="D29589" s="67"/>
      <c r="G29589" s="68"/>
      <c r="K29589" s="68"/>
    </row>
    <row r="29590" spans="4:11" ht="12.75">
      <c r="D29590" s="67"/>
      <c r="G29590" s="68"/>
      <c r="K29590" s="68"/>
    </row>
    <row r="29591" spans="4:11" ht="12.75">
      <c r="D29591" s="67"/>
      <c r="G29591" s="68"/>
      <c r="K29591" s="68"/>
    </row>
    <row r="29592" spans="4:11" ht="12.75">
      <c r="D29592" s="67"/>
      <c r="G29592" s="68"/>
      <c r="K29592" s="68"/>
    </row>
    <row r="29593" spans="4:11" ht="12.75">
      <c r="D29593" s="67"/>
      <c r="G29593" s="68"/>
      <c r="K29593" s="68"/>
    </row>
    <row r="29594" spans="4:11" ht="12.75">
      <c r="D29594" s="67"/>
      <c r="G29594" s="68"/>
      <c r="K29594" s="68"/>
    </row>
    <row r="29595" spans="4:11" ht="12.75">
      <c r="D29595" s="67"/>
      <c r="G29595" s="68"/>
      <c r="K29595" s="68"/>
    </row>
    <row r="29596" spans="4:11" ht="12.75">
      <c r="D29596" s="67"/>
      <c r="G29596" s="68"/>
      <c r="K29596" s="68"/>
    </row>
    <row r="29597" spans="4:11" ht="12.75">
      <c r="D29597" s="67"/>
      <c r="G29597" s="68"/>
      <c r="K29597" s="68"/>
    </row>
    <row r="29598" spans="4:11" ht="12.75">
      <c r="D29598" s="67"/>
      <c r="G29598" s="68"/>
      <c r="K29598" s="68"/>
    </row>
    <row r="29599" spans="4:11" ht="12.75">
      <c r="D29599" s="67"/>
      <c r="G29599" s="68"/>
      <c r="K29599" s="68"/>
    </row>
    <row r="29600" spans="4:11" ht="12.75">
      <c r="D29600" s="67"/>
      <c r="G29600" s="68"/>
      <c r="K29600" s="68"/>
    </row>
    <row r="29601" spans="4:11" ht="12.75">
      <c r="D29601" s="67"/>
      <c r="G29601" s="68"/>
      <c r="K29601" s="68"/>
    </row>
    <row r="29602" spans="4:11" ht="12.75">
      <c r="D29602" s="67"/>
      <c r="G29602" s="68"/>
      <c r="K29602" s="68"/>
    </row>
    <row r="29603" spans="4:11" ht="12.75">
      <c r="D29603" s="67"/>
      <c r="G29603" s="68"/>
      <c r="K29603" s="68"/>
    </row>
    <row r="29604" spans="4:11" ht="12.75">
      <c r="D29604" s="67"/>
      <c r="G29604" s="68"/>
      <c r="K29604" s="68"/>
    </row>
    <row r="29605" spans="4:11" ht="12.75">
      <c r="D29605" s="67"/>
      <c r="G29605" s="68"/>
      <c r="K29605" s="68"/>
    </row>
    <row r="29606" spans="4:11" ht="12.75">
      <c r="D29606" s="67"/>
      <c r="G29606" s="68"/>
      <c r="K29606" s="68"/>
    </row>
    <row r="29607" spans="4:11" ht="12.75">
      <c r="D29607" s="67"/>
      <c r="G29607" s="68"/>
      <c r="K29607" s="68"/>
    </row>
    <row r="29608" spans="4:11" ht="12.75">
      <c r="D29608" s="67"/>
      <c r="G29608" s="68"/>
      <c r="K29608" s="68"/>
    </row>
    <row r="29609" spans="4:11" ht="12.75">
      <c r="D29609" s="67"/>
      <c r="G29609" s="68"/>
      <c r="K29609" s="68"/>
    </row>
    <row r="29610" spans="4:11" ht="12.75">
      <c r="D29610" s="67"/>
      <c r="G29610" s="68"/>
      <c r="K29610" s="68"/>
    </row>
    <row r="29611" spans="4:11" ht="12.75">
      <c r="D29611" s="67"/>
      <c r="G29611" s="68"/>
      <c r="K29611" s="68"/>
    </row>
    <row r="29612" spans="4:11" ht="12.75">
      <c r="D29612" s="67"/>
      <c r="G29612" s="68"/>
      <c r="K29612" s="68"/>
    </row>
    <row r="29613" spans="4:11" ht="12.75">
      <c r="D29613" s="67"/>
      <c r="G29613" s="68"/>
      <c r="K29613" s="68"/>
    </row>
    <row r="29614" spans="4:11" ht="12.75">
      <c r="D29614" s="67"/>
      <c r="G29614" s="68"/>
      <c r="K29614" s="68"/>
    </row>
    <row r="29615" spans="4:11" ht="12.75">
      <c r="D29615" s="67"/>
      <c r="G29615" s="68"/>
      <c r="K29615" s="68"/>
    </row>
    <row r="29616" spans="4:11" ht="12.75">
      <c r="D29616" s="67"/>
      <c r="G29616" s="68"/>
      <c r="K29616" s="68"/>
    </row>
    <row r="29617" spans="4:11" ht="12.75">
      <c r="D29617" s="67"/>
      <c r="G29617" s="68"/>
      <c r="K29617" s="68"/>
    </row>
    <row r="29618" spans="4:11" ht="12.75">
      <c r="D29618" s="67"/>
      <c r="G29618" s="68"/>
      <c r="K29618" s="68"/>
    </row>
    <row r="29619" spans="4:11" ht="12.75">
      <c r="D29619" s="67"/>
      <c r="G29619" s="68"/>
      <c r="K29619" s="68"/>
    </row>
    <row r="29620" spans="4:11" ht="12.75">
      <c r="D29620" s="67"/>
      <c r="G29620" s="68"/>
      <c r="K29620" s="68"/>
    </row>
    <row r="29621" spans="4:11" ht="12.75">
      <c r="D29621" s="67"/>
      <c r="G29621" s="68"/>
      <c r="K29621" s="68"/>
    </row>
    <row r="29622" spans="4:11" ht="12.75">
      <c r="D29622" s="67"/>
      <c r="G29622" s="68"/>
      <c r="K29622" s="68"/>
    </row>
    <row r="29623" spans="4:11" ht="12.75">
      <c r="D29623" s="67"/>
      <c r="G29623" s="68"/>
      <c r="K29623" s="68"/>
    </row>
    <row r="29624" spans="4:11" ht="12.75">
      <c r="D29624" s="67"/>
      <c r="G29624" s="68"/>
      <c r="K29624" s="68"/>
    </row>
    <row r="29625" spans="4:11" ht="12.75">
      <c r="D29625" s="67"/>
      <c r="G29625" s="68"/>
      <c r="K29625" s="68"/>
    </row>
    <row r="29626" spans="4:11" ht="12.75">
      <c r="D29626" s="67"/>
      <c r="G29626" s="68"/>
      <c r="K29626" s="68"/>
    </row>
    <row r="29627" spans="4:11" ht="12.75">
      <c r="D29627" s="67"/>
      <c r="G29627" s="68"/>
      <c r="K29627" s="68"/>
    </row>
    <row r="29628" spans="4:11" ht="12.75">
      <c r="D29628" s="67"/>
      <c r="G29628" s="68"/>
      <c r="K29628" s="68"/>
    </row>
    <row r="29629" spans="4:11" ht="12.75">
      <c r="D29629" s="67"/>
      <c r="G29629" s="68"/>
      <c r="K29629" s="68"/>
    </row>
    <row r="29630" spans="4:11" ht="12.75">
      <c r="D29630" s="67"/>
      <c r="G29630" s="68"/>
      <c r="K29630" s="68"/>
    </row>
    <row r="29631" spans="4:11" ht="12.75">
      <c r="D29631" s="67"/>
      <c r="G29631" s="68"/>
      <c r="K29631" s="68"/>
    </row>
    <row r="29632" spans="4:11" ht="12.75">
      <c r="D29632" s="67"/>
      <c r="G29632" s="68"/>
      <c r="K29632" s="68"/>
    </row>
    <row r="29633" spans="4:11" ht="12.75">
      <c r="D29633" s="67"/>
      <c r="G29633" s="68"/>
      <c r="K29633" s="68"/>
    </row>
    <row r="29634" spans="4:11" ht="12.75">
      <c r="D29634" s="67"/>
      <c r="G29634" s="68"/>
      <c r="K29634" s="68"/>
    </row>
    <row r="29635" spans="4:11" ht="12.75">
      <c r="D29635" s="67"/>
      <c r="G29635" s="68"/>
      <c r="K29635" s="68"/>
    </row>
    <row r="29636" spans="4:11" ht="12.75">
      <c r="D29636" s="67"/>
      <c r="G29636" s="68"/>
      <c r="K29636" s="68"/>
    </row>
    <row r="29637" spans="4:11" ht="12.75">
      <c r="D29637" s="67"/>
      <c r="G29637" s="68"/>
      <c r="K29637" s="68"/>
    </row>
    <row r="29638" spans="4:11" ht="12.75">
      <c r="D29638" s="67"/>
      <c r="G29638" s="68"/>
      <c r="K29638" s="68"/>
    </row>
    <row r="29639" spans="4:11" ht="12.75">
      <c r="D29639" s="67"/>
      <c r="G29639" s="68"/>
      <c r="K29639" s="68"/>
    </row>
    <row r="29640" spans="4:11" ht="12.75">
      <c r="D29640" s="67"/>
      <c r="G29640" s="68"/>
      <c r="K29640" s="68"/>
    </row>
    <row r="29641" spans="4:11" ht="12.75">
      <c r="D29641" s="67"/>
      <c r="G29641" s="68"/>
      <c r="K29641" s="68"/>
    </row>
    <row r="29642" spans="4:11" ht="12.75">
      <c r="D29642" s="67"/>
      <c r="G29642" s="68"/>
      <c r="K29642" s="68"/>
    </row>
    <row r="29643" spans="4:11" ht="12.75">
      <c r="D29643" s="67"/>
      <c r="G29643" s="68"/>
      <c r="K29643" s="68"/>
    </row>
    <row r="29644" spans="4:11" ht="12.75">
      <c r="D29644" s="67"/>
      <c r="G29644" s="68"/>
      <c r="K29644" s="68"/>
    </row>
    <row r="29645" spans="4:11" ht="12.75">
      <c r="D29645" s="67"/>
      <c r="G29645" s="68"/>
      <c r="K29645" s="68"/>
    </row>
    <row r="29646" spans="4:11" ht="12.75">
      <c r="D29646" s="67"/>
      <c r="G29646" s="68"/>
      <c r="K29646" s="68"/>
    </row>
    <row r="29647" spans="4:11" ht="12.75">
      <c r="D29647" s="67"/>
      <c r="G29647" s="68"/>
      <c r="K29647" s="68"/>
    </row>
    <row r="29648" spans="4:11" ht="12.75">
      <c r="D29648" s="67"/>
      <c r="G29648" s="68"/>
      <c r="K29648" s="68"/>
    </row>
    <row r="29649" spans="4:11" ht="12.75">
      <c r="D29649" s="67"/>
      <c r="G29649" s="68"/>
      <c r="K29649" s="68"/>
    </row>
    <row r="29650" spans="4:11" ht="12.75">
      <c r="D29650" s="67"/>
      <c r="G29650" s="68"/>
      <c r="K29650" s="68"/>
    </row>
    <row r="29651" spans="4:11" ht="12.75">
      <c r="D29651" s="67"/>
      <c r="G29651" s="68"/>
      <c r="K29651" s="68"/>
    </row>
    <row r="29652" spans="4:11" ht="12.75">
      <c r="D29652" s="67"/>
      <c r="G29652" s="68"/>
      <c r="K29652" s="68"/>
    </row>
    <row r="29653" spans="4:11" ht="12.75">
      <c r="D29653" s="67"/>
      <c r="G29653" s="68"/>
      <c r="K29653" s="68"/>
    </row>
    <row r="29654" spans="4:11" ht="12.75">
      <c r="D29654" s="67"/>
      <c r="G29654" s="68"/>
      <c r="K29654" s="68"/>
    </row>
    <row r="29655" spans="4:11" ht="12.75">
      <c r="D29655" s="67"/>
      <c r="G29655" s="68"/>
      <c r="K29655" s="68"/>
    </row>
    <row r="29656" spans="4:11" ht="12.75">
      <c r="D29656" s="67"/>
      <c r="G29656" s="68"/>
      <c r="K29656" s="68"/>
    </row>
    <row r="29657" spans="4:11" ht="12.75">
      <c r="D29657" s="67"/>
      <c r="G29657" s="68"/>
      <c r="K29657" s="68"/>
    </row>
    <row r="29658" spans="4:11" ht="12.75">
      <c r="D29658" s="67"/>
      <c r="G29658" s="68"/>
      <c r="K29658" s="68"/>
    </row>
    <row r="29659" spans="4:11" ht="12.75">
      <c r="D29659" s="67"/>
      <c r="G29659" s="68"/>
      <c r="K29659" s="68"/>
    </row>
    <row r="29660" spans="4:11" ht="12.75">
      <c r="D29660" s="67"/>
      <c r="G29660" s="68"/>
      <c r="K29660" s="68"/>
    </row>
    <row r="29661" spans="4:11" ht="12.75">
      <c r="D29661" s="67"/>
      <c r="G29661" s="68"/>
      <c r="K29661" s="68"/>
    </row>
    <row r="29662" spans="4:11" ht="12.75">
      <c r="D29662" s="67"/>
      <c r="G29662" s="68"/>
      <c r="K29662" s="68"/>
    </row>
    <row r="29663" spans="4:11" ht="12.75">
      <c r="D29663" s="67"/>
      <c r="G29663" s="68"/>
      <c r="K29663" s="68"/>
    </row>
    <row r="29664" spans="4:11" ht="12.75">
      <c r="D29664" s="67"/>
      <c r="G29664" s="68"/>
      <c r="K29664" s="68"/>
    </row>
    <row r="29665" spans="4:11" ht="12.75">
      <c r="D29665" s="67"/>
      <c r="G29665" s="68"/>
      <c r="K29665" s="68"/>
    </row>
    <row r="29666" spans="4:11" ht="12.75">
      <c r="D29666" s="67"/>
      <c r="G29666" s="68"/>
      <c r="K29666" s="68"/>
    </row>
    <row r="29667" spans="4:11" ht="12.75">
      <c r="D29667" s="67"/>
      <c r="G29667" s="68"/>
      <c r="K29667" s="68"/>
    </row>
    <row r="29668" spans="4:11" ht="12.75">
      <c r="D29668" s="67"/>
      <c r="G29668" s="68"/>
      <c r="K29668" s="68"/>
    </row>
    <row r="29669" spans="4:11" ht="12.75">
      <c r="D29669" s="67"/>
      <c r="G29669" s="68"/>
      <c r="K29669" s="68"/>
    </row>
    <row r="29670" spans="4:11" ht="12.75">
      <c r="D29670" s="67"/>
      <c r="G29670" s="68"/>
      <c r="K29670" s="68"/>
    </row>
    <row r="29671" spans="4:11" ht="12.75">
      <c r="D29671" s="67"/>
      <c r="G29671" s="68"/>
      <c r="K29671" s="68"/>
    </row>
    <row r="29672" spans="4:11" ht="12.75">
      <c r="D29672" s="67"/>
      <c r="G29672" s="68"/>
      <c r="K29672" s="68"/>
    </row>
    <row r="29673" spans="4:11" ht="12.75">
      <c r="D29673" s="67"/>
      <c r="G29673" s="68"/>
      <c r="K29673" s="68"/>
    </row>
    <row r="29674" spans="4:11" ht="12.75">
      <c r="D29674" s="67"/>
      <c r="G29674" s="68"/>
      <c r="K29674" s="68"/>
    </row>
    <row r="29675" spans="4:11" ht="12.75">
      <c r="D29675" s="67"/>
      <c r="G29675" s="68"/>
      <c r="K29675" s="68"/>
    </row>
    <row r="29676" spans="4:11" ht="12.75">
      <c r="D29676" s="67"/>
      <c r="G29676" s="68"/>
      <c r="K29676" s="68"/>
    </row>
    <row r="29677" spans="4:11" ht="12.75">
      <c r="D29677" s="67"/>
      <c r="G29677" s="68"/>
      <c r="K29677" s="68"/>
    </row>
    <row r="29678" spans="4:11" ht="12.75">
      <c r="D29678" s="67"/>
      <c r="G29678" s="68"/>
      <c r="K29678" s="68"/>
    </row>
    <row r="29679" spans="4:11" ht="12.75">
      <c r="D29679" s="67"/>
      <c r="G29679" s="68"/>
      <c r="K29679" s="68"/>
    </row>
    <row r="29680" spans="4:11" ht="12.75">
      <c r="D29680" s="67"/>
      <c r="G29680" s="68"/>
      <c r="K29680" s="68"/>
    </row>
    <row r="29681" spans="4:11" ht="12.75">
      <c r="D29681" s="67"/>
      <c r="G29681" s="68"/>
      <c r="K29681" s="68"/>
    </row>
    <row r="29682" spans="4:11" ht="12.75">
      <c r="D29682" s="67"/>
      <c r="G29682" s="68"/>
      <c r="K29682" s="68"/>
    </row>
    <row r="29683" spans="4:11" ht="12.75">
      <c r="D29683" s="67"/>
      <c r="G29683" s="68"/>
      <c r="K29683" s="68"/>
    </row>
    <row r="29684" spans="4:11" ht="12.75">
      <c r="D29684" s="67"/>
      <c r="G29684" s="68"/>
      <c r="K29684" s="68"/>
    </row>
    <row r="29685" spans="4:11" ht="12.75">
      <c r="D29685" s="67"/>
      <c r="G29685" s="68"/>
      <c r="K29685" s="68"/>
    </row>
    <row r="29686" spans="4:11" ht="12.75">
      <c r="D29686" s="67"/>
      <c r="G29686" s="68"/>
      <c r="K29686" s="68"/>
    </row>
    <row r="29687" spans="4:11" ht="12.75">
      <c r="D29687" s="67"/>
      <c r="G29687" s="68"/>
      <c r="K29687" s="68"/>
    </row>
    <row r="29688" spans="4:11" ht="12.75">
      <c r="D29688" s="67"/>
      <c r="G29688" s="68"/>
      <c r="K29688" s="68"/>
    </row>
    <row r="29689" spans="4:11" ht="12.75">
      <c r="D29689" s="67"/>
      <c r="G29689" s="68"/>
      <c r="K29689" s="68"/>
    </row>
    <row r="29690" spans="4:11" ht="12.75">
      <c r="D29690" s="67"/>
      <c r="G29690" s="68"/>
      <c r="K29690" s="68"/>
    </row>
    <row r="29691" spans="4:11" ht="12.75">
      <c r="D29691" s="67"/>
      <c r="G29691" s="68"/>
      <c r="K29691" s="68"/>
    </row>
    <row r="29692" spans="4:11" ht="12.75">
      <c r="D29692" s="67"/>
      <c r="G29692" s="68"/>
      <c r="K29692" s="68"/>
    </row>
    <row r="29693" spans="4:11" ht="12.75">
      <c r="D29693" s="67"/>
      <c r="G29693" s="68"/>
      <c r="K29693" s="68"/>
    </row>
    <row r="29694" spans="4:11" ht="12.75">
      <c r="D29694" s="67"/>
      <c r="G29694" s="68"/>
      <c r="K29694" s="68"/>
    </row>
    <row r="29695" spans="4:11" ht="12.75">
      <c r="D29695" s="67"/>
      <c r="G29695" s="68"/>
      <c r="K29695" s="68"/>
    </row>
    <row r="29696" spans="4:11" ht="12.75">
      <c r="D29696" s="67"/>
      <c r="G29696" s="68"/>
      <c r="K29696" s="68"/>
    </row>
    <row r="29697" spans="4:11" ht="12.75">
      <c r="D29697" s="67"/>
      <c r="G29697" s="68"/>
      <c r="K29697" s="68"/>
    </row>
    <row r="29698" spans="4:11" ht="12.75">
      <c r="D29698" s="67"/>
      <c r="G29698" s="68"/>
      <c r="K29698" s="68"/>
    </row>
    <row r="29699" spans="4:11" ht="12.75">
      <c r="D29699" s="67"/>
      <c r="G29699" s="68"/>
      <c r="K29699" s="68"/>
    </row>
    <row r="29700" spans="4:11" ht="12.75">
      <c r="D29700" s="67"/>
      <c r="G29700" s="68"/>
      <c r="K29700" s="68"/>
    </row>
    <row r="29701" spans="4:11" ht="12.75">
      <c r="D29701" s="67"/>
      <c r="G29701" s="68"/>
      <c r="K29701" s="68"/>
    </row>
    <row r="29702" spans="4:11" ht="12.75">
      <c r="D29702" s="67"/>
      <c r="G29702" s="68"/>
      <c r="K29702" s="68"/>
    </row>
    <row r="29703" spans="4:11" ht="12.75">
      <c r="D29703" s="67"/>
      <c r="G29703" s="68"/>
      <c r="K29703" s="68"/>
    </row>
    <row r="29704" spans="4:11" ht="12.75">
      <c r="D29704" s="67"/>
      <c r="G29704" s="68"/>
      <c r="K29704" s="68"/>
    </row>
    <row r="29705" spans="4:11" ht="12.75">
      <c r="D29705" s="67"/>
      <c r="G29705" s="68"/>
      <c r="K29705" s="68"/>
    </row>
    <row r="29706" spans="4:11" ht="12.75">
      <c r="D29706" s="67"/>
      <c r="G29706" s="68"/>
      <c r="K29706" s="68"/>
    </row>
    <row r="29707" spans="4:11" ht="12.75">
      <c r="D29707" s="67"/>
      <c r="G29707" s="68"/>
      <c r="K29707" s="68"/>
    </row>
    <row r="29708" spans="4:11" ht="12.75">
      <c r="D29708" s="67"/>
      <c r="G29708" s="68"/>
      <c r="K29708" s="68"/>
    </row>
    <row r="29709" spans="4:11" ht="12.75">
      <c r="D29709" s="67"/>
      <c r="G29709" s="68"/>
      <c r="K29709" s="68"/>
    </row>
    <row r="29710" spans="4:11" ht="12.75">
      <c r="D29710" s="67"/>
      <c r="G29710" s="68"/>
      <c r="K29710" s="68"/>
    </row>
    <row r="29711" spans="4:11" ht="12.75">
      <c r="D29711" s="67"/>
      <c r="G29711" s="68"/>
      <c r="K29711" s="68"/>
    </row>
    <row r="29712" spans="4:11" ht="12.75">
      <c r="D29712" s="67"/>
      <c r="G29712" s="68"/>
      <c r="K29712" s="68"/>
    </row>
    <row r="29713" spans="4:11" ht="12.75">
      <c r="D29713" s="67"/>
      <c r="G29713" s="68"/>
      <c r="K29713" s="68"/>
    </row>
    <row r="29714" spans="4:11" ht="12.75">
      <c r="D29714" s="67"/>
      <c r="G29714" s="68"/>
      <c r="K29714" s="68"/>
    </row>
    <row r="29715" spans="4:11" ht="12.75">
      <c r="D29715" s="67"/>
      <c r="G29715" s="68"/>
      <c r="K29715" s="68"/>
    </row>
    <row r="29716" spans="4:11" ht="12.75">
      <c r="D29716" s="67"/>
      <c r="G29716" s="68"/>
      <c r="K29716" s="68"/>
    </row>
    <row r="29717" spans="4:11" ht="12.75">
      <c r="D29717" s="67"/>
      <c r="G29717" s="68"/>
      <c r="K29717" s="68"/>
    </row>
    <row r="29718" spans="4:11" ht="12.75">
      <c r="D29718" s="67"/>
      <c r="G29718" s="68"/>
      <c r="K29718" s="68"/>
    </row>
    <row r="29719" spans="4:11" ht="12.75">
      <c r="D29719" s="67"/>
      <c r="G29719" s="68"/>
      <c r="K29719" s="68"/>
    </row>
    <row r="29720" spans="4:11" ht="12.75">
      <c r="D29720" s="67"/>
      <c r="G29720" s="68"/>
      <c r="K29720" s="68"/>
    </row>
    <row r="29721" spans="4:11" ht="12.75">
      <c r="D29721" s="67"/>
      <c r="G29721" s="68"/>
      <c r="K29721" s="68"/>
    </row>
    <row r="29722" spans="4:11" ht="12.75">
      <c r="D29722" s="67"/>
      <c r="G29722" s="68"/>
      <c r="K29722" s="68"/>
    </row>
    <row r="29723" spans="4:11" ht="12.75">
      <c r="D29723" s="67"/>
      <c r="G29723" s="68"/>
      <c r="K29723" s="68"/>
    </row>
    <row r="29724" spans="4:11" ht="12.75">
      <c r="D29724" s="67"/>
      <c r="G29724" s="68"/>
      <c r="K29724" s="68"/>
    </row>
    <row r="29725" spans="4:11" ht="12.75">
      <c r="D29725" s="67"/>
      <c r="G29725" s="68"/>
      <c r="K29725" s="68"/>
    </row>
    <row r="29726" spans="4:11" ht="12.75">
      <c r="D29726" s="67"/>
      <c r="G29726" s="68"/>
      <c r="K29726" s="68"/>
    </row>
    <row r="29727" spans="4:11" ht="12.75">
      <c r="D29727" s="67"/>
      <c r="G29727" s="68"/>
      <c r="K29727" s="68"/>
    </row>
    <row r="29728" spans="4:11" ht="12.75">
      <c r="D29728" s="67"/>
      <c r="G29728" s="68"/>
      <c r="K29728" s="68"/>
    </row>
    <row r="29729" spans="4:11" ht="12.75">
      <c r="D29729" s="67"/>
      <c r="G29729" s="68"/>
      <c r="K29729" s="68"/>
    </row>
    <row r="29730" spans="4:11" ht="12.75">
      <c r="D29730" s="67"/>
      <c r="G29730" s="68"/>
      <c r="K29730" s="68"/>
    </row>
    <row r="29731" spans="4:11" ht="12.75">
      <c r="D29731" s="67"/>
      <c r="G29731" s="68"/>
      <c r="K29731" s="68"/>
    </row>
    <row r="29732" spans="4:11" ht="12.75">
      <c r="D29732" s="67"/>
      <c r="G29732" s="68"/>
      <c r="K29732" s="68"/>
    </row>
    <row r="29733" spans="4:11" ht="12.75">
      <c r="D29733" s="67"/>
      <c r="G29733" s="68"/>
      <c r="K29733" s="68"/>
    </row>
    <row r="29734" spans="4:11" ht="12.75">
      <c r="D29734" s="67"/>
      <c r="G29734" s="68"/>
      <c r="K29734" s="68"/>
    </row>
    <row r="29735" spans="4:11" ht="12.75">
      <c r="D29735" s="67"/>
      <c r="G29735" s="68"/>
      <c r="K29735" s="68"/>
    </row>
    <row r="29736" spans="4:11" ht="12.75">
      <c r="D29736" s="67"/>
      <c r="G29736" s="68"/>
      <c r="K29736" s="68"/>
    </row>
    <row r="29737" spans="4:11" ht="12.75">
      <c r="D29737" s="67"/>
      <c r="G29737" s="68"/>
      <c r="K29737" s="68"/>
    </row>
    <row r="29738" spans="4:11" ht="12.75">
      <c r="D29738" s="67"/>
      <c r="G29738" s="68"/>
      <c r="K29738" s="68"/>
    </row>
    <row r="29739" spans="4:11" ht="12.75">
      <c r="D29739" s="67"/>
      <c r="G29739" s="68"/>
      <c r="K29739" s="68"/>
    </row>
    <row r="29740" spans="4:11" ht="12.75">
      <c r="D29740" s="67"/>
      <c r="G29740" s="68"/>
      <c r="K29740" s="68"/>
    </row>
    <row r="29741" spans="4:11" ht="12.75">
      <c r="D29741" s="67"/>
      <c r="G29741" s="68"/>
      <c r="K29741" s="68"/>
    </row>
    <row r="29742" spans="4:11" ht="12.75">
      <c r="D29742" s="67"/>
      <c r="G29742" s="68"/>
      <c r="K29742" s="68"/>
    </row>
    <row r="29743" spans="4:11" ht="12.75">
      <c r="D29743" s="67"/>
      <c r="G29743" s="68"/>
      <c r="K29743" s="68"/>
    </row>
    <row r="29744" spans="4:11" ht="12.75">
      <c r="D29744" s="67"/>
      <c r="G29744" s="68"/>
      <c r="K29744" s="68"/>
    </row>
    <row r="29745" spans="4:11" ht="12.75">
      <c r="D29745" s="67"/>
      <c r="G29745" s="68"/>
      <c r="K29745" s="68"/>
    </row>
    <row r="29746" spans="4:11" ht="12.75">
      <c r="D29746" s="67"/>
      <c r="G29746" s="68"/>
      <c r="K29746" s="68"/>
    </row>
    <row r="29747" spans="4:11" ht="12.75">
      <c r="D29747" s="67"/>
      <c r="G29747" s="68"/>
      <c r="K29747" s="68"/>
    </row>
    <row r="29748" spans="4:11" ht="12.75">
      <c r="D29748" s="67"/>
      <c r="G29748" s="68"/>
      <c r="K29748" s="68"/>
    </row>
    <row r="29749" spans="4:11" ht="12.75">
      <c r="D29749" s="67"/>
      <c r="G29749" s="68"/>
      <c r="K29749" s="68"/>
    </row>
    <row r="29750" spans="4:11" ht="12.75">
      <c r="D29750" s="67"/>
      <c r="G29750" s="68"/>
      <c r="K29750" s="68"/>
    </row>
    <row r="29751" spans="4:11" ht="12.75">
      <c r="D29751" s="67"/>
      <c r="G29751" s="68"/>
      <c r="K29751" s="68"/>
    </row>
    <row r="29752" spans="4:11" ht="12.75">
      <c r="D29752" s="67"/>
      <c r="G29752" s="68"/>
      <c r="K29752" s="68"/>
    </row>
    <row r="29753" spans="4:11" ht="12.75">
      <c r="D29753" s="67"/>
      <c r="G29753" s="68"/>
      <c r="K29753" s="68"/>
    </row>
    <row r="29754" spans="4:11" ht="12.75">
      <c r="D29754" s="67"/>
      <c r="G29754" s="68"/>
      <c r="K29754" s="68"/>
    </row>
    <row r="29755" spans="4:11" ht="12.75">
      <c r="D29755" s="67"/>
      <c r="G29755" s="68"/>
      <c r="K29755" s="68"/>
    </row>
    <row r="29756" spans="4:11" ht="12.75">
      <c r="D29756" s="67"/>
      <c r="G29756" s="68"/>
      <c r="K29756" s="68"/>
    </row>
    <row r="29757" spans="4:11" ht="12.75">
      <c r="D29757" s="67"/>
      <c r="G29757" s="68"/>
      <c r="K29757" s="68"/>
    </row>
    <row r="29758" spans="4:11" ht="12.75">
      <c r="D29758" s="67"/>
      <c r="G29758" s="68"/>
      <c r="K29758" s="68"/>
    </row>
    <row r="29759" spans="4:11" ht="12.75">
      <c r="D29759" s="67"/>
      <c r="G29759" s="68"/>
      <c r="K29759" s="68"/>
    </row>
    <row r="29760" spans="4:11" ht="12.75">
      <c r="D29760" s="67"/>
      <c r="G29760" s="68"/>
      <c r="K29760" s="68"/>
    </row>
    <row r="29761" spans="4:11" ht="12.75">
      <c r="D29761" s="67"/>
      <c r="G29761" s="68"/>
      <c r="K29761" s="68"/>
    </row>
    <row r="29762" spans="4:11" ht="12.75">
      <c r="D29762" s="67"/>
      <c r="G29762" s="68"/>
      <c r="K29762" s="68"/>
    </row>
    <row r="29763" spans="4:11" ht="12.75">
      <c r="D29763" s="67"/>
      <c r="G29763" s="68"/>
      <c r="K29763" s="68"/>
    </row>
    <row r="29764" spans="4:11" ht="12.75">
      <c r="D29764" s="67"/>
      <c r="G29764" s="68"/>
      <c r="K29764" s="68"/>
    </row>
    <row r="29765" spans="4:11" ht="12.75">
      <c r="D29765" s="67"/>
      <c r="G29765" s="68"/>
      <c r="K29765" s="68"/>
    </row>
    <row r="29766" spans="4:11" ht="12.75">
      <c r="D29766" s="67"/>
      <c r="G29766" s="68"/>
      <c r="K29766" s="68"/>
    </row>
    <row r="29767" spans="4:11" ht="12.75">
      <c r="D29767" s="67"/>
      <c r="G29767" s="68"/>
      <c r="K29767" s="68"/>
    </row>
    <row r="29768" spans="4:11" ht="12.75">
      <c r="D29768" s="67"/>
      <c r="G29768" s="68"/>
      <c r="K29768" s="68"/>
    </row>
    <row r="29769" spans="4:11" ht="12.75">
      <c r="D29769" s="67"/>
      <c r="G29769" s="68"/>
      <c r="K29769" s="68"/>
    </row>
    <row r="29770" spans="4:11" ht="12.75">
      <c r="D29770" s="67"/>
      <c r="G29770" s="68"/>
      <c r="K29770" s="68"/>
    </row>
    <row r="29771" spans="4:11" ht="12.75">
      <c r="D29771" s="67"/>
      <c r="G29771" s="68"/>
      <c r="K29771" s="68"/>
    </row>
    <row r="29772" spans="4:11" ht="12.75">
      <c r="D29772" s="67"/>
      <c r="G29772" s="68"/>
      <c r="K29772" s="68"/>
    </row>
    <row r="29773" spans="4:11" ht="12.75">
      <c r="D29773" s="67"/>
      <c r="G29773" s="68"/>
      <c r="K29773" s="68"/>
    </row>
    <row r="29774" spans="4:11" ht="12.75">
      <c r="D29774" s="67"/>
      <c r="G29774" s="68"/>
      <c r="K29774" s="68"/>
    </row>
    <row r="29775" spans="4:11" ht="12.75">
      <c r="D29775" s="67"/>
      <c r="G29775" s="68"/>
      <c r="K29775" s="68"/>
    </row>
    <row r="29776" spans="4:11" ht="12.75">
      <c r="D29776" s="67"/>
      <c r="G29776" s="68"/>
      <c r="K29776" s="68"/>
    </row>
    <row r="29777" spans="4:11" ht="12.75">
      <c r="D29777" s="67"/>
      <c r="G29777" s="68"/>
      <c r="K29777" s="68"/>
    </row>
    <row r="29778" spans="4:11" ht="12.75">
      <c r="D29778" s="67"/>
      <c r="G29778" s="68"/>
      <c r="K29778" s="68"/>
    </row>
    <row r="29779" spans="4:11" ht="12.75">
      <c r="D29779" s="67"/>
      <c r="G29779" s="68"/>
      <c r="K29779" s="68"/>
    </row>
    <row r="29780" spans="4:11" ht="12.75">
      <c r="D29780" s="67"/>
      <c r="G29780" s="68"/>
      <c r="K29780" s="68"/>
    </row>
    <row r="29781" spans="4:11" ht="12.75">
      <c r="D29781" s="67"/>
      <c r="G29781" s="68"/>
      <c r="K29781" s="68"/>
    </row>
    <row r="29782" spans="4:11" ht="12.75">
      <c r="D29782" s="67"/>
      <c r="G29782" s="68"/>
      <c r="K29782" s="68"/>
    </row>
    <row r="29783" spans="4:11" ht="12.75">
      <c r="D29783" s="67"/>
      <c r="G29783" s="68"/>
      <c r="K29783" s="68"/>
    </row>
    <row r="29784" spans="4:11" ht="12.75">
      <c r="D29784" s="67"/>
      <c r="G29784" s="68"/>
      <c r="K29784" s="68"/>
    </row>
    <row r="29785" spans="4:11" ht="12.75">
      <c r="D29785" s="67"/>
      <c r="G29785" s="68"/>
      <c r="K29785" s="68"/>
    </row>
    <row r="29786" spans="4:11" ht="12.75">
      <c r="D29786" s="67"/>
      <c r="G29786" s="68"/>
      <c r="K29786" s="68"/>
    </row>
    <row r="29787" spans="4:11" ht="12.75">
      <c r="D29787" s="67"/>
      <c r="G29787" s="68"/>
      <c r="K29787" s="68"/>
    </row>
    <row r="29788" spans="4:11" ht="12.75">
      <c r="D29788" s="67"/>
      <c r="G29788" s="68"/>
      <c r="K29788" s="68"/>
    </row>
    <row r="29789" spans="4:11" ht="12.75">
      <c r="D29789" s="67"/>
      <c r="G29789" s="68"/>
      <c r="K29789" s="68"/>
    </row>
    <row r="29790" spans="4:11" ht="12.75">
      <c r="D29790" s="67"/>
      <c r="G29790" s="68"/>
      <c r="K29790" s="68"/>
    </row>
    <row r="29791" spans="4:11" ht="12.75">
      <c r="D29791" s="67"/>
      <c r="G29791" s="68"/>
      <c r="K29791" s="68"/>
    </row>
    <row r="29792" spans="4:11" ht="12.75">
      <c r="D29792" s="67"/>
      <c r="G29792" s="68"/>
      <c r="K29792" s="68"/>
    </row>
    <row r="29793" spans="4:11" ht="12.75">
      <c r="D29793" s="67"/>
      <c r="G29793" s="68"/>
      <c r="K29793" s="68"/>
    </row>
    <row r="29794" spans="4:11" ht="12.75">
      <c r="D29794" s="67"/>
      <c r="G29794" s="68"/>
      <c r="K29794" s="68"/>
    </row>
    <row r="29795" spans="4:11" ht="12.75">
      <c r="D29795" s="67"/>
      <c r="G29795" s="68"/>
      <c r="K29795" s="68"/>
    </row>
    <row r="29796" spans="4:11" ht="12.75">
      <c r="D29796" s="67"/>
      <c r="G29796" s="68"/>
      <c r="K29796" s="68"/>
    </row>
    <row r="29797" spans="4:11" ht="12.75">
      <c r="D29797" s="67"/>
      <c r="G29797" s="68"/>
      <c r="K29797" s="68"/>
    </row>
    <row r="29798" spans="4:11" ht="12.75">
      <c r="D29798" s="67"/>
      <c r="G29798" s="68"/>
      <c r="K29798" s="68"/>
    </row>
    <row r="29799" spans="4:11" ht="12.75">
      <c r="D29799" s="67"/>
      <c r="G29799" s="68"/>
      <c r="K29799" s="68"/>
    </row>
    <row r="29800" spans="4:11" ht="12.75">
      <c r="D29800" s="67"/>
      <c r="G29800" s="68"/>
      <c r="K29800" s="68"/>
    </row>
    <row r="29801" spans="4:11" ht="12.75">
      <c r="D29801" s="67"/>
      <c r="G29801" s="68"/>
      <c r="K29801" s="68"/>
    </row>
    <row r="29802" spans="4:11" ht="12.75">
      <c r="D29802" s="67"/>
      <c r="G29802" s="68"/>
      <c r="K29802" s="68"/>
    </row>
    <row r="29803" spans="4:11" ht="12.75">
      <c r="D29803" s="67"/>
      <c r="G29803" s="68"/>
      <c r="K29803" s="68"/>
    </row>
    <row r="29804" spans="4:11" ht="12.75">
      <c r="D29804" s="67"/>
      <c r="G29804" s="68"/>
      <c r="K29804" s="68"/>
    </row>
    <row r="29805" spans="4:11" ht="12.75">
      <c r="D29805" s="67"/>
      <c r="G29805" s="68"/>
      <c r="K29805" s="68"/>
    </row>
    <row r="29806" spans="4:11" ht="12.75">
      <c r="D29806" s="67"/>
      <c r="G29806" s="68"/>
      <c r="K29806" s="68"/>
    </row>
    <row r="29807" spans="4:11" ht="12.75">
      <c r="D29807" s="67"/>
      <c r="G29807" s="68"/>
      <c r="K29807" s="68"/>
    </row>
    <row r="29808" spans="4:11" ht="12.75">
      <c r="D29808" s="67"/>
      <c r="G29808" s="68"/>
      <c r="K29808" s="68"/>
    </row>
    <row r="29809" spans="4:11" ht="12.75">
      <c r="D29809" s="67"/>
      <c r="G29809" s="68"/>
      <c r="K29809" s="68"/>
    </row>
    <row r="29810" spans="4:11" ht="12.75">
      <c r="D29810" s="67"/>
      <c r="G29810" s="68"/>
      <c r="K29810" s="68"/>
    </row>
    <row r="29811" spans="4:11" ht="12.75">
      <c r="D29811" s="67"/>
      <c r="G29811" s="68"/>
      <c r="K29811" s="68"/>
    </row>
    <row r="29812" spans="4:11" ht="12.75">
      <c r="D29812" s="67"/>
      <c r="G29812" s="68"/>
      <c r="K29812" s="68"/>
    </row>
    <row r="29813" spans="4:11" ht="12.75">
      <c r="D29813" s="67"/>
      <c r="G29813" s="68"/>
      <c r="K29813" s="68"/>
    </row>
    <row r="29814" spans="4:11" ht="12.75">
      <c r="D29814" s="67"/>
      <c r="G29814" s="68"/>
      <c r="K29814" s="68"/>
    </row>
    <row r="29815" spans="4:11" ht="12.75">
      <c r="D29815" s="67"/>
      <c r="G29815" s="68"/>
      <c r="K29815" s="68"/>
    </row>
    <row r="29816" spans="4:11" ht="12.75">
      <c r="D29816" s="67"/>
      <c r="G29816" s="68"/>
      <c r="K29816" s="68"/>
    </row>
    <row r="29817" spans="4:11" ht="12.75">
      <c r="D29817" s="67"/>
      <c r="G29817" s="68"/>
      <c r="K29817" s="68"/>
    </row>
    <row r="29818" spans="4:11" ht="12.75">
      <c r="D29818" s="67"/>
      <c r="G29818" s="68"/>
      <c r="K29818" s="68"/>
    </row>
    <row r="29819" spans="4:11" ht="12.75">
      <c r="D29819" s="67"/>
      <c r="G29819" s="68"/>
      <c r="K29819" s="68"/>
    </row>
    <row r="29820" spans="4:11" ht="12.75">
      <c r="D29820" s="67"/>
      <c r="G29820" s="68"/>
      <c r="K29820" s="68"/>
    </row>
    <row r="29821" spans="4:11" ht="12.75">
      <c r="D29821" s="67"/>
      <c r="G29821" s="68"/>
      <c r="K29821" s="68"/>
    </row>
    <row r="29822" spans="4:11" ht="12.75">
      <c r="D29822" s="67"/>
      <c r="G29822" s="68"/>
      <c r="K29822" s="68"/>
    </row>
    <row r="29823" spans="4:11" ht="12.75">
      <c r="D29823" s="67"/>
      <c r="G29823" s="68"/>
      <c r="K29823" s="68"/>
    </row>
    <row r="29824" spans="4:11" ht="12.75">
      <c r="D29824" s="67"/>
      <c r="G29824" s="68"/>
      <c r="K29824" s="68"/>
    </row>
    <row r="29825" spans="4:11" ht="12.75">
      <c r="D29825" s="67"/>
      <c r="G29825" s="68"/>
      <c r="K29825" s="68"/>
    </row>
    <row r="29826" spans="4:11" ht="12.75">
      <c r="D29826" s="67"/>
      <c r="G29826" s="68"/>
      <c r="K29826" s="68"/>
    </row>
    <row r="29827" spans="4:11" ht="12.75">
      <c r="D29827" s="67"/>
      <c r="G29827" s="68"/>
      <c r="K29827" s="68"/>
    </row>
    <row r="29828" spans="4:11" ht="12.75">
      <c r="D29828" s="67"/>
      <c r="G29828" s="68"/>
      <c r="K29828" s="68"/>
    </row>
    <row r="29829" spans="4:11" ht="12.75">
      <c r="D29829" s="67"/>
      <c r="G29829" s="68"/>
      <c r="K29829" s="68"/>
    </row>
    <row r="29830" spans="4:11" ht="12.75">
      <c r="D29830" s="67"/>
      <c r="G29830" s="68"/>
      <c r="K29830" s="68"/>
    </row>
    <row r="29831" spans="4:11" ht="12.75">
      <c r="D29831" s="67"/>
      <c r="G29831" s="68"/>
      <c r="K29831" s="68"/>
    </row>
    <row r="29832" spans="4:11" ht="12.75">
      <c r="D29832" s="67"/>
      <c r="G29832" s="68"/>
      <c r="K29832" s="68"/>
    </row>
    <row r="29833" spans="4:11" ht="12.75">
      <c r="D29833" s="67"/>
      <c r="G29833" s="68"/>
      <c r="K29833" s="68"/>
    </row>
    <row r="29834" spans="4:11" ht="12.75">
      <c r="D29834" s="67"/>
      <c r="G29834" s="68"/>
      <c r="K29834" s="68"/>
    </row>
    <row r="29835" spans="4:11" ht="12.75">
      <c r="D29835" s="67"/>
      <c r="G29835" s="68"/>
      <c r="K29835" s="68"/>
    </row>
    <row r="29836" spans="4:11" ht="12.75">
      <c r="D29836" s="67"/>
      <c r="G29836" s="68"/>
      <c r="K29836" s="68"/>
    </row>
    <row r="29837" spans="4:11" ht="12.75">
      <c r="D29837" s="67"/>
      <c r="G29837" s="68"/>
      <c r="K29837" s="68"/>
    </row>
    <row r="29838" spans="4:11" ht="12.75">
      <c r="D29838" s="67"/>
      <c r="G29838" s="68"/>
      <c r="K29838" s="68"/>
    </row>
    <row r="29839" spans="4:11" ht="12.75">
      <c r="D29839" s="67"/>
      <c r="G29839" s="68"/>
      <c r="K29839" s="68"/>
    </row>
    <row r="29840" spans="4:11" ht="12.75">
      <c r="D29840" s="67"/>
      <c r="G29840" s="68"/>
      <c r="K29840" s="68"/>
    </row>
    <row r="29841" spans="4:11" ht="12.75">
      <c r="D29841" s="67"/>
      <c r="G29841" s="68"/>
      <c r="K29841" s="68"/>
    </row>
    <row r="29842" spans="4:11" ht="12.75">
      <c r="D29842" s="67"/>
      <c r="G29842" s="68"/>
      <c r="K29842" s="68"/>
    </row>
    <row r="29843" spans="4:11" ht="12.75">
      <c r="D29843" s="67"/>
      <c r="G29843" s="68"/>
      <c r="K29843" s="68"/>
    </row>
    <row r="29844" spans="4:11" ht="12.75">
      <c r="D29844" s="67"/>
      <c r="G29844" s="68"/>
      <c r="K29844" s="68"/>
    </row>
    <row r="29845" spans="4:11" ht="12.75">
      <c r="D29845" s="67"/>
      <c r="G29845" s="68"/>
      <c r="K29845" s="68"/>
    </row>
    <row r="29846" spans="4:11" ht="12.75">
      <c r="D29846" s="67"/>
      <c r="G29846" s="68"/>
      <c r="K29846" s="68"/>
    </row>
    <row r="29847" spans="4:11" ht="12.75">
      <c r="D29847" s="67"/>
      <c r="G29847" s="68"/>
      <c r="K29847" s="68"/>
    </row>
    <row r="29848" spans="4:11" ht="12.75">
      <c r="D29848" s="67"/>
      <c r="G29848" s="68"/>
      <c r="K29848" s="68"/>
    </row>
    <row r="29849" spans="4:11" ht="12.75">
      <c r="D29849" s="67"/>
      <c r="G29849" s="68"/>
      <c r="K29849" s="68"/>
    </row>
    <row r="29850" spans="4:11" ht="12.75">
      <c r="D29850" s="67"/>
      <c r="G29850" s="68"/>
      <c r="K29850" s="68"/>
    </row>
    <row r="29851" spans="4:11" ht="12.75">
      <c r="D29851" s="67"/>
      <c r="G29851" s="68"/>
      <c r="K29851" s="68"/>
    </row>
    <row r="29852" spans="4:11" ht="12.75">
      <c r="D29852" s="67"/>
      <c r="G29852" s="68"/>
      <c r="K29852" s="68"/>
    </row>
    <row r="29853" spans="4:11" ht="12.75">
      <c r="D29853" s="67"/>
      <c r="G29853" s="68"/>
      <c r="K29853" s="68"/>
    </row>
    <row r="29854" spans="4:11" ht="12.75">
      <c r="D29854" s="67"/>
      <c r="G29854" s="68"/>
      <c r="K29854" s="68"/>
    </row>
    <row r="29855" spans="4:11" ht="12.75">
      <c r="D29855" s="67"/>
      <c r="G29855" s="68"/>
      <c r="K29855" s="68"/>
    </row>
    <row r="29856" spans="4:11" ht="12.75">
      <c r="D29856" s="67"/>
      <c r="G29856" s="68"/>
      <c r="K29856" s="68"/>
    </row>
    <row r="29857" spans="4:11" ht="12.75">
      <c r="D29857" s="67"/>
      <c r="G29857" s="68"/>
      <c r="K29857" s="68"/>
    </row>
    <row r="29858" spans="4:11" ht="12.75">
      <c r="D29858" s="67"/>
      <c r="G29858" s="68"/>
      <c r="K29858" s="68"/>
    </row>
    <row r="29859" spans="4:11" ht="12.75">
      <c r="D29859" s="67"/>
      <c r="G29859" s="68"/>
      <c r="K29859" s="68"/>
    </row>
    <row r="29860" spans="4:11" ht="12.75">
      <c r="D29860" s="67"/>
      <c r="G29860" s="68"/>
      <c r="K29860" s="68"/>
    </row>
    <row r="29861" spans="4:11" ht="12.75">
      <c r="D29861" s="67"/>
      <c r="G29861" s="68"/>
      <c r="K29861" s="68"/>
    </row>
    <row r="29862" spans="4:11" ht="12.75">
      <c r="D29862" s="67"/>
      <c r="G29862" s="68"/>
      <c r="K29862" s="68"/>
    </row>
    <row r="29863" spans="4:11" ht="12.75">
      <c r="D29863" s="67"/>
      <c r="G29863" s="68"/>
      <c r="K29863" s="68"/>
    </row>
    <row r="29864" spans="4:11" ht="12.75">
      <c r="D29864" s="67"/>
      <c r="G29864" s="68"/>
      <c r="K29864" s="68"/>
    </row>
    <row r="29865" spans="4:11" ht="12.75">
      <c r="D29865" s="67"/>
      <c r="G29865" s="68"/>
      <c r="K29865" s="68"/>
    </row>
    <row r="29866" spans="4:11" ht="12.75">
      <c r="D29866" s="67"/>
      <c r="G29866" s="68"/>
      <c r="K29866" s="68"/>
    </row>
    <row r="29867" spans="4:11" ht="12.75">
      <c r="D29867" s="67"/>
      <c r="G29867" s="68"/>
      <c r="K29867" s="68"/>
    </row>
    <row r="29868" spans="4:11" ht="12.75">
      <c r="D29868" s="67"/>
      <c r="G29868" s="68"/>
      <c r="K29868" s="68"/>
    </row>
    <row r="29869" spans="4:11" ht="12.75">
      <c r="D29869" s="67"/>
      <c r="G29869" s="68"/>
      <c r="K29869" s="68"/>
    </row>
    <row r="29870" spans="4:11" ht="12.75">
      <c r="D29870" s="67"/>
      <c r="G29870" s="68"/>
      <c r="K29870" s="68"/>
    </row>
    <row r="29871" spans="4:11" ht="12.75">
      <c r="D29871" s="67"/>
      <c r="G29871" s="68"/>
      <c r="K29871" s="68"/>
    </row>
    <row r="29872" spans="4:11" ht="12.75">
      <c r="D29872" s="67"/>
      <c r="G29872" s="68"/>
      <c r="K29872" s="68"/>
    </row>
    <row r="29873" spans="4:11" ht="12.75">
      <c r="D29873" s="67"/>
      <c r="G29873" s="68"/>
      <c r="K29873" s="68"/>
    </row>
    <row r="29874" spans="4:11" ht="12.75">
      <c r="D29874" s="67"/>
      <c r="G29874" s="68"/>
      <c r="K29874" s="68"/>
    </row>
    <row r="29875" spans="4:11" ht="12.75">
      <c r="D29875" s="67"/>
      <c r="G29875" s="68"/>
      <c r="K29875" s="68"/>
    </row>
    <row r="29876" spans="4:11" ht="12.75">
      <c r="D29876" s="67"/>
      <c r="G29876" s="68"/>
      <c r="K29876" s="68"/>
    </row>
    <row r="29877" spans="4:11" ht="12.75">
      <c r="D29877" s="67"/>
      <c r="G29877" s="68"/>
      <c r="K29877" s="68"/>
    </row>
    <row r="29878" spans="4:11" ht="12.75">
      <c r="D29878" s="67"/>
      <c r="G29878" s="68"/>
      <c r="K29878" s="68"/>
    </row>
    <row r="29879" spans="4:11" ht="12.75">
      <c r="D29879" s="67"/>
      <c r="G29879" s="68"/>
      <c r="K29879" s="68"/>
    </row>
    <row r="29880" spans="4:11" ht="12.75">
      <c r="D29880" s="67"/>
      <c r="G29880" s="68"/>
      <c r="K29880" s="68"/>
    </row>
    <row r="29881" spans="4:11" ht="12.75">
      <c r="D29881" s="67"/>
      <c r="G29881" s="68"/>
      <c r="K29881" s="68"/>
    </row>
    <row r="29882" spans="4:11" ht="12.75">
      <c r="D29882" s="67"/>
      <c r="G29882" s="68"/>
      <c r="K29882" s="68"/>
    </row>
    <row r="29883" spans="4:11" ht="12.75">
      <c r="D29883" s="67"/>
      <c r="G29883" s="68"/>
      <c r="K29883" s="68"/>
    </row>
    <row r="29884" spans="4:11" ht="12.75">
      <c r="D29884" s="67"/>
      <c r="G29884" s="68"/>
      <c r="K29884" s="68"/>
    </row>
    <row r="29885" spans="4:11" ht="12.75">
      <c r="D29885" s="67"/>
      <c r="G29885" s="68"/>
      <c r="K29885" s="68"/>
    </row>
    <row r="29886" spans="4:11" ht="12.75">
      <c r="D29886" s="67"/>
      <c r="G29886" s="68"/>
      <c r="K29886" s="68"/>
    </row>
    <row r="29887" spans="4:11" ht="12.75">
      <c r="D29887" s="67"/>
      <c r="G29887" s="68"/>
      <c r="K29887" s="68"/>
    </row>
    <row r="29888" spans="4:11" ht="12.75">
      <c r="D29888" s="67"/>
      <c r="G29888" s="68"/>
      <c r="K29888" s="68"/>
    </row>
    <row r="29889" spans="4:11" ht="12.75">
      <c r="D29889" s="67"/>
      <c r="G29889" s="68"/>
      <c r="K29889" s="68"/>
    </row>
    <row r="29890" spans="4:11" ht="12.75">
      <c r="D29890" s="67"/>
      <c r="G29890" s="68"/>
      <c r="K29890" s="68"/>
    </row>
    <row r="29891" spans="4:11" ht="12.75">
      <c r="D29891" s="67"/>
      <c r="G29891" s="68"/>
      <c r="K29891" s="68"/>
    </row>
    <row r="29892" spans="4:11" ht="12.75">
      <c r="D29892" s="67"/>
      <c r="G29892" s="68"/>
      <c r="K29892" s="68"/>
    </row>
    <row r="29893" spans="4:11" ht="12.75">
      <c r="D29893" s="67"/>
      <c r="G29893" s="68"/>
      <c r="K29893" s="68"/>
    </row>
    <row r="29894" spans="4:11" ht="12.75">
      <c r="D29894" s="67"/>
      <c r="G29894" s="68"/>
      <c r="K29894" s="68"/>
    </row>
    <row r="29895" spans="4:11" ht="12.75">
      <c r="D29895" s="67"/>
      <c r="G29895" s="68"/>
      <c r="K29895" s="68"/>
    </row>
    <row r="29896" spans="4:11" ht="12.75">
      <c r="D29896" s="67"/>
      <c r="G29896" s="68"/>
      <c r="K29896" s="68"/>
    </row>
    <row r="29897" spans="4:11" ht="12.75">
      <c r="D29897" s="67"/>
      <c r="G29897" s="68"/>
      <c r="K29897" s="68"/>
    </row>
    <row r="29898" spans="4:11" ht="12.75">
      <c r="D29898" s="67"/>
      <c r="G29898" s="68"/>
      <c r="K29898" s="68"/>
    </row>
    <row r="29899" spans="4:11" ht="12.75">
      <c r="D29899" s="67"/>
      <c r="G29899" s="68"/>
      <c r="K29899" s="68"/>
    </row>
    <row r="29900" spans="4:11" ht="12.75">
      <c r="D29900" s="67"/>
      <c r="G29900" s="68"/>
      <c r="K29900" s="68"/>
    </row>
    <row r="29901" spans="4:11" ht="12.75">
      <c r="D29901" s="67"/>
      <c r="G29901" s="68"/>
      <c r="K29901" s="68"/>
    </row>
    <row r="29902" spans="4:11" ht="12.75">
      <c r="D29902" s="67"/>
      <c r="G29902" s="68"/>
      <c r="K29902" s="68"/>
    </row>
    <row r="29903" spans="4:11" ht="12.75">
      <c r="D29903" s="67"/>
      <c r="G29903" s="68"/>
      <c r="K29903" s="68"/>
    </row>
    <row r="29904" spans="4:11" ht="12.75">
      <c r="D29904" s="67"/>
      <c r="G29904" s="68"/>
      <c r="K29904" s="68"/>
    </row>
    <row r="29905" spans="4:11" ht="12.75">
      <c r="D29905" s="67"/>
      <c r="G29905" s="68"/>
      <c r="K29905" s="68"/>
    </row>
    <row r="29906" spans="4:11" ht="12.75">
      <c r="D29906" s="67"/>
      <c r="G29906" s="68"/>
      <c r="K29906" s="68"/>
    </row>
    <row r="29907" spans="4:11" ht="12.75">
      <c r="D29907" s="67"/>
      <c r="G29907" s="68"/>
      <c r="K29907" s="68"/>
    </row>
    <row r="29908" spans="4:11" ht="12.75">
      <c r="D29908" s="67"/>
      <c r="G29908" s="68"/>
      <c r="K29908" s="68"/>
    </row>
    <row r="29909" spans="4:11" ht="12.75">
      <c r="D29909" s="67"/>
      <c r="G29909" s="68"/>
      <c r="K29909" s="68"/>
    </row>
    <row r="29910" spans="4:11" ht="12.75">
      <c r="D29910" s="67"/>
      <c r="G29910" s="68"/>
      <c r="K29910" s="68"/>
    </row>
    <row r="29911" spans="4:11" ht="12.75">
      <c r="D29911" s="67"/>
      <c r="G29911" s="68"/>
      <c r="K29911" s="68"/>
    </row>
    <row r="29912" spans="4:11" ht="12.75">
      <c r="D29912" s="67"/>
      <c r="G29912" s="68"/>
      <c r="K29912" s="68"/>
    </row>
    <row r="29913" spans="4:11" ht="12.75">
      <c r="D29913" s="67"/>
      <c r="G29913" s="68"/>
      <c r="K29913" s="68"/>
    </row>
    <row r="29914" spans="4:11" ht="12.75">
      <c r="D29914" s="67"/>
      <c r="G29914" s="68"/>
      <c r="K29914" s="68"/>
    </row>
    <row r="29915" spans="4:11" ht="12.75">
      <c r="D29915" s="67"/>
      <c r="G29915" s="68"/>
      <c r="K29915" s="68"/>
    </row>
    <row r="29916" spans="4:11" ht="12.75">
      <c r="D29916" s="67"/>
      <c r="G29916" s="68"/>
      <c r="K29916" s="68"/>
    </row>
    <row r="29917" spans="4:11" ht="12.75">
      <c r="D29917" s="67"/>
      <c r="G29917" s="68"/>
      <c r="K29917" s="68"/>
    </row>
    <row r="29918" spans="4:11" ht="12.75">
      <c r="D29918" s="67"/>
      <c r="G29918" s="68"/>
      <c r="K29918" s="68"/>
    </row>
    <row r="29919" spans="4:11" ht="12.75">
      <c r="D29919" s="67"/>
      <c r="G29919" s="68"/>
      <c r="K29919" s="68"/>
    </row>
    <row r="29920" spans="4:11" ht="12.75">
      <c r="D29920" s="67"/>
      <c r="G29920" s="68"/>
      <c r="K29920" s="68"/>
    </row>
    <row r="29921" spans="4:11" ht="12.75">
      <c r="D29921" s="67"/>
      <c r="G29921" s="68"/>
      <c r="K29921" s="68"/>
    </row>
    <row r="29922" spans="4:11" ht="12.75">
      <c r="D29922" s="67"/>
      <c r="G29922" s="68"/>
      <c r="K29922" s="68"/>
    </row>
    <row r="29923" spans="4:11" ht="12.75">
      <c r="D29923" s="67"/>
      <c r="G29923" s="68"/>
      <c r="K29923" s="68"/>
    </row>
    <row r="29924" spans="4:11" ht="12.75">
      <c r="D29924" s="67"/>
      <c r="G29924" s="68"/>
      <c r="K29924" s="68"/>
    </row>
    <row r="29925" spans="4:11" ht="12.75">
      <c r="D29925" s="67"/>
      <c r="G29925" s="68"/>
      <c r="K29925" s="68"/>
    </row>
    <row r="29926" spans="4:11" ht="12.75">
      <c r="D29926" s="67"/>
      <c r="G29926" s="68"/>
      <c r="K29926" s="68"/>
    </row>
    <row r="29927" spans="4:11" ht="12.75">
      <c r="D29927" s="67"/>
      <c r="G29927" s="68"/>
      <c r="K29927" s="68"/>
    </row>
    <row r="29928" spans="4:11" ht="12.75">
      <c r="D29928" s="67"/>
      <c r="G29928" s="68"/>
      <c r="K29928" s="68"/>
    </row>
    <row r="29929" spans="4:11" ht="12.75">
      <c r="D29929" s="67"/>
      <c r="G29929" s="68"/>
      <c r="K29929" s="68"/>
    </row>
    <row r="29930" spans="4:11" ht="12.75">
      <c r="D29930" s="67"/>
      <c r="G29930" s="68"/>
      <c r="K29930" s="68"/>
    </row>
    <row r="29931" spans="4:11" ht="12.75">
      <c r="D29931" s="67"/>
      <c r="G29931" s="68"/>
      <c r="K29931" s="68"/>
    </row>
    <row r="29932" spans="4:11" ht="12.75">
      <c r="D29932" s="67"/>
      <c r="G29932" s="68"/>
      <c r="K29932" s="68"/>
    </row>
    <row r="29933" spans="4:11" ht="12.75">
      <c r="D29933" s="67"/>
      <c r="G29933" s="68"/>
      <c r="K29933" s="68"/>
    </row>
    <row r="29934" spans="4:11" ht="12.75">
      <c r="D29934" s="67"/>
      <c r="G29934" s="68"/>
      <c r="K29934" s="68"/>
    </row>
    <row r="29935" spans="4:11" ht="12.75">
      <c r="D29935" s="67"/>
      <c r="G29935" s="68"/>
      <c r="K29935" s="68"/>
    </row>
    <row r="29936" spans="4:11" ht="12.75">
      <c r="D29936" s="67"/>
      <c r="G29936" s="68"/>
      <c r="K29936" s="68"/>
    </row>
    <row r="29937" spans="4:11" ht="12.75">
      <c r="D29937" s="67"/>
      <c r="G29937" s="68"/>
      <c r="K29937" s="68"/>
    </row>
    <row r="29938" spans="4:11" ht="12.75">
      <c r="D29938" s="67"/>
      <c r="G29938" s="68"/>
      <c r="K29938" s="68"/>
    </row>
    <row r="29939" spans="4:11" ht="12.75">
      <c r="D29939" s="67"/>
      <c r="G29939" s="68"/>
      <c r="K29939" s="68"/>
    </row>
    <row r="29940" spans="4:11" ht="12.75">
      <c r="D29940" s="67"/>
      <c r="G29940" s="68"/>
      <c r="K29940" s="68"/>
    </row>
    <row r="29941" spans="4:11" ht="12.75">
      <c r="D29941" s="67"/>
      <c r="G29941" s="68"/>
      <c r="K29941" s="68"/>
    </row>
    <row r="29942" spans="4:11" ht="12.75">
      <c r="D29942" s="67"/>
      <c r="G29942" s="68"/>
      <c r="K29942" s="68"/>
    </row>
    <row r="29943" spans="4:11" ht="12.75">
      <c r="D29943" s="67"/>
      <c r="G29943" s="68"/>
      <c r="K29943" s="68"/>
    </row>
    <row r="29944" spans="4:11" ht="12.75">
      <c r="D29944" s="67"/>
      <c r="G29944" s="68"/>
      <c r="K29944" s="68"/>
    </row>
    <row r="29945" spans="4:11" ht="12.75">
      <c r="D29945" s="67"/>
      <c r="G29945" s="68"/>
      <c r="K29945" s="68"/>
    </row>
    <row r="29946" spans="4:11" ht="12.75">
      <c r="D29946" s="67"/>
      <c r="G29946" s="68"/>
      <c r="K29946" s="68"/>
    </row>
    <row r="29947" spans="4:11" ht="12.75">
      <c r="D29947" s="67"/>
      <c r="G29947" s="68"/>
      <c r="K29947" s="68"/>
    </row>
    <row r="29948" spans="4:11" ht="12.75">
      <c r="D29948" s="67"/>
      <c r="G29948" s="68"/>
      <c r="K29948" s="68"/>
    </row>
    <row r="29949" spans="4:11" ht="12.75">
      <c r="D29949" s="67"/>
      <c r="G29949" s="68"/>
      <c r="K29949" s="68"/>
    </row>
    <row r="29950" spans="4:11" ht="12.75">
      <c r="D29950" s="67"/>
      <c r="G29950" s="68"/>
      <c r="K29950" s="68"/>
    </row>
    <row r="29951" spans="4:11" ht="12.75">
      <c r="D29951" s="67"/>
      <c r="G29951" s="68"/>
      <c r="K29951" s="68"/>
    </row>
    <row r="29952" spans="4:11" ht="12.75">
      <c r="D29952" s="67"/>
      <c r="G29952" s="68"/>
      <c r="K29952" s="68"/>
    </row>
    <row r="29953" spans="4:11" ht="12.75">
      <c r="D29953" s="67"/>
      <c r="G29953" s="68"/>
      <c r="K29953" s="68"/>
    </row>
    <row r="29954" spans="4:11" ht="12.75">
      <c r="D29954" s="67"/>
      <c r="G29954" s="68"/>
      <c r="K29954" s="68"/>
    </row>
    <row r="29955" spans="4:11" ht="12.75">
      <c r="D29955" s="67"/>
      <c r="G29955" s="68"/>
      <c r="K29955" s="68"/>
    </row>
    <row r="29956" spans="4:11" ht="12.75">
      <c r="D29956" s="67"/>
      <c r="G29956" s="68"/>
      <c r="K29956" s="68"/>
    </row>
    <row r="29957" spans="4:11" ht="12.75">
      <c r="D29957" s="67"/>
      <c r="G29957" s="68"/>
      <c r="K29957" s="68"/>
    </row>
    <row r="29958" spans="4:11" ht="12.75">
      <c r="D29958" s="67"/>
      <c r="G29958" s="68"/>
      <c r="K29958" s="68"/>
    </row>
    <row r="29959" spans="4:11" ht="12.75">
      <c r="D29959" s="67"/>
      <c r="G29959" s="68"/>
      <c r="K29959" s="68"/>
    </row>
    <row r="29960" spans="4:11" ht="12.75">
      <c r="D29960" s="67"/>
      <c r="G29960" s="68"/>
      <c r="K29960" s="68"/>
    </row>
    <row r="29961" spans="4:11" ht="12.75">
      <c r="D29961" s="67"/>
      <c r="G29961" s="68"/>
      <c r="K29961" s="68"/>
    </row>
    <row r="29962" spans="4:11" ht="12.75">
      <c r="D29962" s="67"/>
      <c r="G29962" s="68"/>
      <c r="K29962" s="68"/>
    </row>
    <row r="29963" spans="4:11" ht="12.75">
      <c r="D29963" s="67"/>
      <c r="G29963" s="68"/>
      <c r="K29963" s="68"/>
    </row>
    <row r="29964" spans="4:11" ht="12.75">
      <c r="D29964" s="67"/>
      <c r="G29964" s="68"/>
      <c r="K29964" s="68"/>
    </row>
    <row r="29965" spans="4:11" ht="12.75">
      <c r="D29965" s="67"/>
      <c r="G29965" s="68"/>
      <c r="K29965" s="68"/>
    </row>
    <row r="29966" spans="4:11" ht="12.75">
      <c r="D29966" s="67"/>
      <c r="G29966" s="68"/>
      <c r="K29966" s="68"/>
    </row>
    <row r="29967" spans="4:11" ht="12.75">
      <c r="D29967" s="67"/>
      <c r="G29967" s="68"/>
      <c r="K29967" s="68"/>
    </row>
    <row r="29968" spans="4:11" ht="12.75">
      <c r="D29968" s="67"/>
      <c r="G29968" s="68"/>
      <c r="K29968" s="68"/>
    </row>
    <row r="29969" spans="4:11" ht="12.75">
      <c r="D29969" s="67"/>
      <c r="G29969" s="68"/>
      <c r="K29969" s="68"/>
    </row>
    <row r="29970" spans="4:11" ht="12.75">
      <c r="D29970" s="67"/>
      <c r="G29970" s="68"/>
      <c r="K29970" s="68"/>
    </row>
    <row r="29971" spans="4:11" ht="12.75">
      <c r="D29971" s="67"/>
      <c r="G29971" s="68"/>
      <c r="K29971" s="68"/>
    </row>
    <row r="29972" spans="4:11" ht="12.75">
      <c r="D29972" s="67"/>
      <c r="G29972" s="68"/>
      <c r="K29972" s="68"/>
    </row>
    <row r="29973" spans="4:11" ht="12.75">
      <c r="D29973" s="67"/>
      <c r="G29973" s="68"/>
      <c r="K29973" s="68"/>
    </row>
    <row r="29974" spans="4:11" ht="12.75">
      <c r="D29974" s="67"/>
      <c r="G29974" s="68"/>
      <c r="K29974" s="68"/>
    </row>
    <row r="29975" spans="4:11" ht="12.75">
      <c r="D29975" s="67"/>
      <c r="G29975" s="68"/>
      <c r="K29975" s="68"/>
    </row>
    <row r="29976" spans="4:11" ht="12.75">
      <c r="D29976" s="67"/>
      <c r="G29976" s="68"/>
      <c r="K29976" s="68"/>
    </row>
    <row r="29977" spans="4:11" ht="12.75">
      <c r="D29977" s="67"/>
      <c r="G29977" s="68"/>
      <c r="K29977" s="68"/>
    </row>
    <row r="29978" spans="4:11" ht="12.75">
      <c r="D29978" s="67"/>
      <c r="G29978" s="68"/>
      <c r="K29978" s="68"/>
    </row>
    <row r="29979" spans="4:11" ht="12.75">
      <c r="D29979" s="67"/>
      <c r="G29979" s="68"/>
      <c r="K29979" s="68"/>
    </row>
    <row r="29980" spans="4:11" ht="12.75">
      <c r="D29980" s="67"/>
      <c r="G29980" s="68"/>
      <c r="K29980" s="68"/>
    </row>
    <row r="29981" spans="4:11" ht="12.75">
      <c r="D29981" s="67"/>
      <c r="G29981" s="68"/>
      <c r="K29981" s="68"/>
    </row>
    <row r="29982" spans="4:11" ht="12.75">
      <c r="D29982" s="67"/>
      <c r="G29982" s="68"/>
      <c r="K29982" s="68"/>
    </row>
    <row r="29983" spans="4:11" ht="12.75">
      <c r="D29983" s="67"/>
      <c r="G29983" s="68"/>
      <c r="K29983" s="68"/>
    </row>
    <row r="29984" spans="4:11" ht="12.75">
      <c r="D29984" s="67"/>
      <c r="G29984" s="68"/>
      <c r="K29984" s="68"/>
    </row>
    <row r="29985" spans="4:11" ht="12.75">
      <c r="D29985" s="67"/>
      <c r="G29985" s="68"/>
      <c r="K29985" s="68"/>
    </row>
    <row r="29986" spans="4:11" ht="12.75">
      <c r="D29986" s="67"/>
      <c r="G29986" s="68"/>
      <c r="K29986" s="68"/>
    </row>
    <row r="29987" spans="4:11" ht="12.75">
      <c r="D29987" s="67"/>
      <c r="G29987" s="68"/>
      <c r="K29987" s="68"/>
    </row>
    <row r="29988" spans="4:11" ht="12.75">
      <c r="D29988" s="67"/>
      <c r="G29988" s="68"/>
      <c r="K29988" s="68"/>
    </row>
    <row r="29989" spans="4:11" ht="12.75">
      <c r="D29989" s="67"/>
      <c r="G29989" s="68"/>
      <c r="K29989" s="68"/>
    </row>
    <row r="29990" spans="4:11" ht="12.75">
      <c r="D29990" s="67"/>
      <c r="G29990" s="68"/>
      <c r="K29990" s="68"/>
    </row>
    <row r="29991" spans="4:11" ht="12.75">
      <c r="D29991" s="67"/>
      <c r="G29991" s="68"/>
      <c r="K29991" s="68"/>
    </row>
    <row r="29992" spans="4:11" ht="12.75">
      <c r="D29992" s="67"/>
      <c r="G29992" s="68"/>
      <c r="K29992" s="68"/>
    </row>
    <row r="29993" spans="4:11" ht="12.75">
      <c r="D29993" s="67"/>
      <c r="G29993" s="68"/>
      <c r="K29993" s="68"/>
    </row>
    <row r="29994" spans="4:11" ht="12.75">
      <c r="D29994" s="67"/>
      <c r="G29994" s="68"/>
      <c r="K29994" s="68"/>
    </row>
    <row r="29995" spans="4:11" ht="12.75">
      <c r="D29995" s="67"/>
      <c r="G29995" s="68"/>
      <c r="K29995" s="68"/>
    </row>
    <row r="29996" spans="4:11" ht="12.75">
      <c r="D29996" s="67"/>
      <c r="G29996" s="68"/>
      <c r="K29996" s="68"/>
    </row>
    <row r="29997" spans="4:11" ht="12.75">
      <c r="D29997" s="67"/>
      <c r="G29997" s="68"/>
      <c r="K29997" s="68"/>
    </row>
    <row r="29998" spans="4:11" ht="12.75">
      <c r="D29998" s="67"/>
      <c r="G29998" s="68"/>
      <c r="K29998" s="68"/>
    </row>
    <row r="29999" spans="4:11" ht="12.75">
      <c r="D29999" s="67"/>
      <c r="G29999" s="68"/>
      <c r="K29999" s="68"/>
    </row>
    <row r="30000" spans="4:11" ht="12.75">
      <c r="D30000" s="67"/>
      <c r="G30000" s="68"/>
      <c r="K30000" s="68"/>
    </row>
    <row r="30001" spans="4:11" ht="12.75">
      <c r="D30001" s="67"/>
      <c r="G30001" s="68"/>
      <c r="K30001" s="68"/>
    </row>
    <row r="30002" spans="4:11" ht="12.75">
      <c r="D30002" s="67"/>
      <c r="G30002" s="68"/>
      <c r="K30002" s="68"/>
    </row>
    <row r="30003" spans="4:11" ht="12.75">
      <c r="D30003" s="67"/>
      <c r="G30003" s="68"/>
      <c r="K30003" s="68"/>
    </row>
    <row r="30004" spans="4:11" ht="12.75">
      <c r="D30004" s="67"/>
      <c r="G30004" s="68"/>
      <c r="K30004" s="68"/>
    </row>
    <row r="30005" spans="4:11" ht="12.75">
      <c r="D30005" s="67"/>
      <c r="G30005" s="68"/>
      <c r="K30005" s="68"/>
    </row>
    <row r="30006" spans="4:11" ht="12.75">
      <c r="D30006" s="67"/>
      <c r="G30006" s="68"/>
      <c r="K30006" s="68"/>
    </row>
    <row r="30007" spans="4:11" ht="12.75">
      <c r="D30007" s="67"/>
      <c r="G30007" s="68"/>
      <c r="K30007" s="68"/>
    </row>
    <row r="30008" spans="4:11" ht="12.75">
      <c r="D30008" s="67"/>
      <c r="G30008" s="68"/>
      <c r="K30008" s="68"/>
    </row>
    <row r="30009" spans="4:11" ht="12.75">
      <c r="D30009" s="67"/>
      <c r="G30009" s="68"/>
      <c r="K30009" s="68"/>
    </row>
    <row r="30010" spans="4:11" ht="12.75">
      <c r="D30010" s="67"/>
      <c r="G30010" s="68"/>
      <c r="K30010" s="68"/>
    </row>
    <row r="30011" spans="4:11" ht="12.75">
      <c r="D30011" s="67"/>
      <c r="G30011" s="68"/>
      <c r="K30011" s="68"/>
    </row>
    <row r="30012" spans="4:11" ht="12.75">
      <c r="D30012" s="67"/>
      <c r="G30012" s="68"/>
      <c r="K30012" s="68"/>
    </row>
    <row r="30013" spans="4:11" ht="12.75">
      <c r="D30013" s="67"/>
      <c r="G30013" s="68"/>
      <c r="K30013" s="68"/>
    </row>
    <row r="30014" spans="4:11" ht="12.75">
      <c r="D30014" s="67"/>
      <c r="G30014" s="68"/>
      <c r="K30014" s="68"/>
    </row>
    <row r="30015" spans="4:11" ht="12.75">
      <c r="D30015" s="67"/>
      <c r="G30015" s="68"/>
      <c r="K30015" s="68"/>
    </row>
    <row r="30016" spans="4:11" ht="12.75">
      <c r="D30016" s="67"/>
      <c r="G30016" s="68"/>
      <c r="K30016" s="68"/>
    </row>
    <row r="30017" spans="4:11" ht="12.75">
      <c r="D30017" s="67"/>
      <c r="G30017" s="68"/>
      <c r="K30017" s="68"/>
    </row>
    <row r="30018" spans="4:11" ht="12.75">
      <c r="D30018" s="67"/>
      <c r="G30018" s="68"/>
      <c r="K30018" s="68"/>
    </row>
    <row r="30019" spans="4:11" ht="12.75">
      <c r="D30019" s="67"/>
      <c r="G30019" s="68"/>
      <c r="K30019" s="68"/>
    </row>
    <row r="30020" spans="4:11" ht="12.75">
      <c r="D30020" s="67"/>
      <c r="G30020" s="68"/>
      <c r="K30020" s="68"/>
    </row>
    <row r="30021" spans="4:11" ht="12.75">
      <c r="D30021" s="67"/>
      <c r="G30021" s="68"/>
      <c r="K30021" s="68"/>
    </row>
    <row r="30022" spans="4:11" ht="12.75">
      <c r="D30022" s="67"/>
      <c r="G30022" s="68"/>
      <c r="K30022" s="68"/>
    </row>
    <row r="30023" spans="4:11" ht="12.75">
      <c r="D30023" s="67"/>
      <c r="G30023" s="68"/>
      <c r="K30023" s="68"/>
    </row>
    <row r="30024" spans="4:11" ht="12.75">
      <c r="D30024" s="67"/>
      <c r="G30024" s="68"/>
      <c r="K30024" s="68"/>
    </row>
    <row r="30025" spans="4:11" ht="12.75">
      <c r="D30025" s="67"/>
      <c r="G30025" s="68"/>
      <c r="K30025" s="68"/>
    </row>
    <row r="30026" spans="4:11" ht="12.75">
      <c r="D30026" s="67"/>
      <c r="G30026" s="68"/>
      <c r="K30026" s="68"/>
    </row>
    <row r="30027" spans="4:11" ht="12.75">
      <c r="D30027" s="67"/>
      <c r="G30027" s="68"/>
      <c r="K30027" s="68"/>
    </row>
    <row r="30028" spans="4:11" ht="12.75">
      <c r="D30028" s="67"/>
      <c r="G30028" s="68"/>
      <c r="K30028" s="68"/>
    </row>
    <row r="30029" spans="4:11" ht="12.75">
      <c r="D30029" s="67"/>
      <c r="G30029" s="68"/>
      <c r="K30029" s="68"/>
    </row>
    <row r="30030" spans="4:11" ht="12.75">
      <c r="D30030" s="67"/>
      <c r="G30030" s="68"/>
      <c r="K30030" s="68"/>
    </row>
    <row r="30031" spans="4:11" ht="12.75">
      <c r="D30031" s="67"/>
      <c r="G30031" s="68"/>
      <c r="K30031" s="68"/>
    </row>
    <row r="30032" spans="4:11" ht="12.75">
      <c r="D30032" s="67"/>
      <c r="G30032" s="68"/>
      <c r="K30032" s="68"/>
    </row>
    <row r="30033" spans="4:11" ht="12.75">
      <c r="D30033" s="67"/>
      <c r="G30033" s="68"/>
      <c r="K30033" s="68"/>
    </row>
    <row r="30034" spans="4:11" ht="12.75">
      <c r="D30034" s="67"/>
      <c r="G30034" s="68"/>
      <c r="K30034" s="68"/>
    </row>
    <row r="30035" spans="4:11" ht="12.75">
      <c r="D30035" s="67"/>
      <c r="G30035" s="68"/>
      <c r="K30035" s="68"/>
    </row>
    <row r="30036" spans="4:11" ht="12.75">
      <c r="D30036" s="67"/>
      <c r="G30036" s="68"/>
      <c r="K30036" s="68"/>
    </row>
    <row r="30037" spans="4:11" ht="12.75">
      <c r="D30037" s="67"/>
      <c r="G30037" s="68"/>
      <c r="K30037" s="68"/>
    </row>
    <row r="30038" spans="4:11" ht="12.75">
      <c r="D30038" s="67"/>
      <c r="G30038" s="68"/>
      <c r="K30038" s="68"/>
    </row>
    <row r="30039" spans="4:11" ht="12.75">
      <c r="D30039" s="67"/>
      <c r="G30039" s="68"/>
      <c r="K30039" s="68"/>
    </row>
    <row r="30040" spans="4:11" ht="12.75">
      <c r="D30040" s="67"/>
      <c r="G30040" s="68"/>
      <c r="K30040" s="68"/>
    </row>
    <row r="30041" spans="4:11" ht="12.75">
      <c r="D30041" s="67"/>
      <c r="G30041" s="68"/>
      <c r="K30041" s="68"/>
    </row>
    <row r="30042" spans="4:11" ht="12.75">
      <c r="D30042" s="67"/>
      <c r="G30042" s="68"/>
      <c r="K30042" s="68"/>
    </row>
    <row r="30043" spans="4:11" ht="12.75">
      <c r="D30043" s="67"/>
      <c r="G30043" s="68"/>
      <c r="K30043" s="68"/>
    </row>
    <row r="30044" spans="4:11" ht="12.75">
      <c r="D30044" s="67"/>
      <c r="G30044" s="68"/>
      <c r="K30044" s="68"/>
    </row>
    <row r="30045" spans="4:11" ht="12.75">
      <c r="D30045" s="67"/>
      <c r="G30045" s="68"/>
      <c r="K30045" s="68"/>
    </row>
    <row r="30046" spans="4:11" ht="12.75">
      <c r="D30046" s="67"/>
      <c r="G30046" s="68"/>
      <c r="K30046" s="68"/>
    </row>
    <row r="30047" spans="4:11" ht="12.75">
      <c r="D30047" s="67"/>
      <c r="G30047" s="68"/>
      <c r="K30047" s="68"/>
    </row>
    <row r="30048" spans="4:11" ht="12.75">
      <c r="D30048" s="67"/>
      <c r="G30048" s="68"/>
      <c r="K30048" s="68"/>
    </row>
    <row r="30049" spans="4:11" ht="12.75">
      <c r="D30049" s="67"/>
      <c r="G30049" s="68"/>
      <c r="K30049" s="68"/>
    </row>
    <row r="30050" spans="4:11" ht="12.75">
      <c r="D30050" s="67"/>
      <c r="G30050" s="68"/>
      <c r="K30050" s="68"/>
    </row>
    <row r="30051" spans="4:11" ht="12.75">
      <c r="D30051" s="67"/>
      <c r="G30051" s="68"/>
      <c r="K30051" s="68"/>
    </row>
    <row r="30052" spans="4:11" ht="12.75">
      <c r="D30052" s="67"/>
      <c r="G30052" s="68"/>
      <c r="K30052" s="68"/>
    </row>
    <row r="30053" spans="4:11" ht="12.75">
      <c r="D30053" s="67"/>
      <c r="G30053" s="68"/>
      <c r="K30053" s="68"/>
    </row>
    <row r="30054" spans="4:11" ht="12.75">
      <c r="D30054" s="67"/>
      <c r="G30054" s="68"/>
      <c r="K30054" s="68"/>
    </row>
    <row r="30055" spans="4:11" ht="12.75">
      <c r="D30055" s="67"/>
      <c r="G30055" s="68"/>
      <c r="K30055" s="68"/>
    </row>
    <row r="30056" spans="4:11" ht="12.75">
      <c r="D30056" s="67"/>
      <c r="G30056" s="68"/>
      <c r="K30056" s="68"/>
    </row>
    <row r="30057" spans="4:11" ht="12.75">
      <c r="D30057" s="67"/>
      <c r="G30057" s="68"/>
      <c r="K30057" s="68"/>
    </row>
    <row r="30058" spans="4:11" ht="12.75">
      <c r="D30058" s="67"/>
      <c r="G30058" s="68"/>
      <c r="K30058" s="68"/>
    </row>
    <row r="30059" spans="4:11" ht="12.75">
      <c r="D30059" s="67"/>
      <c r="G30059" s="68"/>
      <c r="K30059" s="68"/>
    </row>
    <row r="30060" spans="4:11" ht="12.75">
      <c r="D30060" s="67"/>
      <c r="G30060" s="68"/>
      <c r="K30060" s="68"/>
    </row>
    <row r="30061" spans="4:11" ht="12.75">
      <c r="D30061" s="67"/>
      <c r="G30061" s="68"/>
      <c r="K30061" s="68"/>
    </row>
    <row r="30062" spans="4:11" ht="12.75">
      <c r="D30062" s="67"/>
      <c r="G30062" s="68"/>
      <c r="K30062" s="68"/>
    </row>
    <row r="30063" spans="4:11" ht="12.75">
      <c r="D30063" s="67"/>
      <c r="G30063" s="68"/>
      <c r="K30063" s="68"/>
    </row>
    <row r="30064" spans="4:11" ht="12.75">
      <c r="D30064" s="67"/>
      <c r="G30064" s="68"/>
      <c r="K30064" s="68"/>
    </row>
    <row r="30065" spans="4:11" ht="12.75">
      <c r="D30065" s="67"/>
      <c r="G30065" s="68"/>
      <c r="K30065" s="68"/>
    </row>
    <row r="30066" spans="4:11" ht="12.75">
      <c r="D30066" s="67"/>
      <c r="G30066" s="68"/>
      <c r="K30066" s="68"/>
    </row>
    <row r="30067" spans="4:11" ht="12.75">
      <c r="D30067" s="67"/>
      <c r="G30067" s="68"/>
      <c r="K30067" s="68"/>
    </row>
    <row r="30068" spans="4:11" ht="12.75">
      <c r="D30068" s="67"/>
      <c r="G30068" s="68"/>
      <c r="K30068" s="68"/>
    </row>
    <row r="30069" spans="4:11" ht="12.75">
      <c r="D30069" s="67"/>
      <c r="G30069" s="68"/>
      <c r="K30069" s="68"/>
    </row>
    <row r="30070" spans="4:11" ht="12.75">
      <c r="D30070" s="67"/>
      <c r="G30070" s="68"/>
      <c r="K30070" s="68"/>
    </row>
    <row r="30071" spans="4:11" ht="12.75">
      <c r="D30071" s="67"/>
      <c r="G30071" s="68"/>
      <c r="K30071" s="68"/>
    </row>
    <row r="30072" spans="4:11" ht="12.75">
      <c r="D30072" s="67"/>
      <c r="G30072" s="68"/>
      <c r="K30072" s="68"/>
    </row>
    <row r="30073" spans="4:11" ht="12.75">
      <c r="D30073" s="67"/>
      <c r="G30073" s="68"/>
      <c r="K30073" s="68"/>
    </row>
    <row r="30074" spans="4:11" ht="12.75">
      <c r="D30074" s="67"/>
      <c r="G30074" s="68"/>
      <c r="K30074" s="68"/>
    </row>
    <row r="30075" spans="4:11" ht="12.75">
      <c r="D30075" s="67"/>
      <c r="G30075" s="68"/>
      <c r="K30075" s="68"/>
    </row>
    <row r="30076" spans="4:11" ht="12.75">
      <c r="D30076" s="67"/>
      <c r="G30076" s="68"/>
      <c r="K30076" s="68"/>
    </row>
    <row r="30077" spans="4:11" ht="12.75">
      <c r="D30077" s="67"/>
      <c r="G30077" s="68"/>
      <c r="K30077" s="68"/>
    </row>
    <row r="30078" spans="4:11" ht="12.75">
      <c r="D30078" s="67"/>
      <c r="G30078" s="68"/>
      <c r="K30078" s="68"/>
    </row>
    <row r="30079" spans="4:11" ht="12.75">
      <c r="D30079" s="67"/>
      <c r="G30079" s="68"/>
      <c r="K30079" s="68"/>
    </row>
    <row r="30080" spans="4:11" ht="12.75">
      <c r="D30080" s="67"/>
      <c r="G30080" s="68"/>
      <c r="K30080" s="68"/>
    </row>
    <row r="30081" spans="4:11" ht="12.75">
      <c r="D30081" s="67"/>
      <c r="G30081" s="68"/>
      <c r="K30081" s="68"/>
    </row>
    <row r="30082" spans="4:11" ht="12.75">
      <c r="D30082" s="67"/>
      <c r="G30082" s="68"/>
      <c r="K30082" s="68"/>
    </row>
    <row r="30083" spans="4:11" ht="12.75">
      <c r="D30083" s="67"/>
      <c r="G30083" s="68"/>
      <c r="K30083" s="68"/>
    </row>
    <row r="30084" spans="4:11" ht="12.75">
      <c r="D30084" s="67"/>
      <c r="G30084" s="68"/>
      <c r="K30084" s="68"/>
    </row>
    <row r="30085" spans="4:11" ht="12.75">
      <c r="D30085" s="67"/>
      <c r="G30085" s="68"/>
      <c r="K30085" s="68"/>
    </row>
    <row r="30086" spans="4:11" ht="12.75">
      <c r="D30086" s="67"/>
      <c r="G30086" s="68"/>
      <c r="K30086" s="68"/>
    </row>
    <row r="30087" spans="4:11" ht="12.75">
      <c r="D30087" s="67"/>
      <c r="G30087" s="68"/>
      <c r="K30087" s="68"/>
    </row>
    <row r="30088" spans="4:11" ht="12.75">
      <c r="D30088" s="67"/>
      <c r="G30088" s="68"/>
      <c r="K30088" s="68"/>
    </row>
    <row r="30089" spans="4:11" ht="12.75">
      <c r="D30089" s="67"/>
      <c r="G30089" s="68"/>
      <c r="K30089" s="68"/>
    </row>
    <row r="30090" spans="4:11" ht="12.75">
      <c r="D30090" s="67"/>
      <c r="G30090" s="68"/>
      <c r="K30090" s="68"/>
    </row>
    <row r="30091" spans="4:11" ht="12.75">
      <c r="D30091" s="67"/>
      <c r="G30091" s="68"/>
      <c r="K30091" s="68"/>
    </row>
    <row r="30092" spans="4:11" ht="12.75">
      <c r="D30092" s="67"/>
      <c r="G30092" s="68"/>
      <c r="K30092" s="68"/>
    </row>
    <row r="30093" spans="4:11" ht="12.75">
      <c r="D30093" s="67"/>
      <c r="G30093" s="68"/>
      <c r="K30093" s="68"/>
    </row>
    <row r="30094" spans="4:11" ht="12.75">
      <c r="D30094" s="67"/>
      <c r="G30094" s="68"/>
      <c r="K30094" s="68"/>
    </row>
    <row r="30095" spans="4:11" ht="12.75">
      <c r="D30095" s="67"/>
      <c r="G30095" s="68"/>
      <c r="K30095" s="68"/>
    </row>
    <row r="30096" spans="4:11" ht="12.75">
      <c r="D30096" s="67"/>
      <c r="G30096" s="68"/>
      <c r="K30096" s="68"/>
    </row>
    <row r="30097" spans="4:11" ht="12.75">
      <c r="D30097" s="67"/>
      <c r="G30097" s="68"/>
      <c r="K30097" s="68"/>
    </row>
    <row r="30098" spans="4:11" ht="12.75">
      <c r="D30098" s="67"/>
      <c r="G30098" s="68"/>
      <c r="K30098" s="68"/>
    </row>
    <row r="30099" spans="4:11" ht="12.75">
      <c r="D30099" s="67"/>
      <c r="G30099" s="68"/>
      <c r="K30099" s="68"/>
    </row>
    <row r="30100" spans="4:11" ht="12.75">
      <c r="D30100" s="67"/>
      <c r="G30100" s="68"/>
      <c r="K30100" s="68"/>
    </row>
    <row r="30101" spans="4:11" ht="12.75">
      <c r="D30101" s="67"/>
      <c r="G30101" s="68"/>
      <c r="K30101" s="68"/>
    </row>
    <row r="30102" spans="4:11" ht="12.75">
      <c r="D30102" s="67"/>
      <c r="G30102" s="68"/>
      <c r="K30102" s="68"/>
    </row>
    <row r="30103" spans="4:11" ht="12.75">
      <c r="D30103" s="67"/>
      <c r="G30103" s="68"/>
      <c r="K30103" s="68"/>
    </row>
    <row r="30104" spans="4:11" ht="12.75">
      <c r="D30104" s="67"/>
      <c r="G30104" s="68"/>
      <c r="K30104" s="68"/>
    </row>
    <row r="30105" spans="4:11" ht="12.75">
      <c r="D30105" s="67"/>
      <c r="G30105" s="68"/>
      <c r="K30105" s="68"/>
    </row>
    <row r="30106" spans="4:11" ht="12.75">
      <c r="D30106" s="67"/>
      <c r="G30106" s="68"/>
      <c r="K30106" s="68"/>
    </row>
    <row r="30107" spans="4:11" ht="12.75">
      <c r="D30107" s="67"/>
      <c r="G30107" s="68"/>
      <c r="K30107" s="68"/>
    </row>
    <row r="30108" spans="4:11" ht="12.75">
      <c r="D30108" s="67"/>
      <c r="G30108" s="68"/>
      <c r="K30108" s="68"/>
    </row>
    <row r="30109" spans="4:11" ht="12.75">
      <c r="D30109" s="67"/>
      <c r="G30109" s="68"/>
      <c r="K30109" s="68"/>
    </row>
    <row r="30110" spans="4:11" ht="12.75">
      <c r="D30110" s="67"/>
      <c r="G30110" s="68"/>
      <c r="K30110" s="68"/>
    </row>
    <row r="30111" spans="4:11" ht="12.75">
      <c r="D30111" s="67"/>
      <c r="G30111" s="68"/>
      <c r="K30111" s="68"/>
    </row>
    <row r="30112" spans="4:11" ht="12.75">
      <c r="D30112" s="67"/>
      <c r="G30112" s="68"/>
      <c r="K30112" s="68"/>
    </row>
    <row r="30113" spans="4:11" ht="12.75">
      <c r="D30113" s="67"/>
      <c r="G30113" s="68"/>
      <c r="K30113" s="68"/>
    </row>
    <row r="30114" spans="4:11" ht="12.75">
      <c r="D30114" s="67"/>
      <c r="G30114" s="68"/>
      <c r="K30114" s="68"/>
    </row>
    <row r="30115" spans="4:11" ht="12.75">
      <c r="D30115" s="67"/>
      <c r="G30115" s="68"/>
      <c r="K30115" s="68"/>
    </row>
    <row r="30116" spans="4:11" ht="12.75">
      <c r="D30116" s="67"/>
      <c r="G30116" s="68"/>
      <c r="K30116" s="68"/>
    </row>
    <row r="30117" spans="4:11" ht="12.75">
      <c r="D30117" s="67"/>
      <c r="G30117" s="68"/>
      <c r="K30117" s="68"/>
    </row>
    <row r="30118" spans="4:11" ht="12.75">
      <c r="D30118" s="67"/>
      <c r="G30118" s="68"/>
      <c r="K30118" s="68"/>
    </row>
    <row r="30119" spans="4:11" ht="12.75">
      <c r="D30119" s="67"/>
      <c r="G30119" s="68"/>
      <c r="K30119" s="68"/>
    </row>
    <row r="30120" spans="4:11" ht="12.75">
      <c r="D30120" s="67"/>
      <c r="G30120" s="68"/>
      <c r="K30120" s="68"/>
    </row>
    <row r="30121" spans="4:11" ht="12.75">
      <c r="D30121" s="67"/>
      <c r="G30121" s="68"/>
      <c r="K30121" s="68"/>
    </row>
    <row r="30122" spans="4:11" ht="12.75">
      <c r="D30122" s="67"/>
      <c r="G30122" s="68"/>
      <c r="K30122" s="68"/>
    </row>
    <row r="30123" spans="4:11" ht="12.75">
      <c r="D30123" s="67"/>
      <c r="G30123" s="68"/>
      <c r="K30123" s="68"/>
    </row>
    <row r="30124" spans="4:11" ht="12.75">
      <c r="D30124" s="67"/>
      <c r="G30124" s="68"/>
      <c r="K30124" s="68"/>
    </row>
    <row r="30125" spans="4:11" ht="12.75">
      <c r="D30125" s="67"/>
      <c r="G30125" s="68"/>
      <c r="K30125" s="68"/>
    </row>
    <row r="30126" spans="4:11" ht="12.75">
      <c r="D30126" s="67"/>
      <c r="G30126" s="68"/>
      <c r="K30126" s="68"/>
    </row>
    <row r="30127" spans="4:11" ht="12.75">
      <c r="D30127" s="67"/>
      <c r="G30127" s="68"/>
      <c r="K30127" s="68"/>
    </row>
    <row r="30128" spans="4:11" ht="12.75">
      <c r="D30128" s="67"/>
      <c r="G30128" s="68"/>
      <c r="K30128" s="68"/>
    </row>
    <row r="30129" spans="4:11" ht="12.75">
      <c r="D30129" s="67"/>
      <c r="G30129" s="68"/>
      <c r="K30129" s="68"/>
    </row>
    <row r="30130" spans="4:11" ht="12.75">
      <c r="D30130" s="67"/>
      <c r="G30130" s="68"/>
      <c r="K30130" s="68"/>
    </row>
    <row r="30131" spans="4:11" ht="12.75">
      <c r="D30131" s="67"/>
      <c r="G30131" s="68"/>
      <c r="K30131" s="68"/>
    </row>
    <row r="30132" spans="4:11" ht="12.75">
      <c r="D30132" s="67"/>
      <c r="G30132" s="68"/>
      <c r="K30132" s="68"/>
    </row>
    <row r="30133" spans="4:11" ht="12.75">
      <c r="D30133" s="67"/>
      <c r="G30133" s="68"/>
      <c r="K30133" s="68"/>
    </row>
    <row r="30134" spans="4:11" ht="12.75">
      <c r="D30134" s="67"/>
      <c r="G30134" s="68"/>
      <c r="K30134" s="68"/>
    </row>
    <row r="30135" spans="4:11" ht="12.75">
      <c r="D30135" s="67"/>
      <c r="G30135" s="68"/>
      <c r="K30135" s="68"/>
    </row>
    <row r="30136" spans="4:11" ht="12.75">
      <c r="D30136" s="67"/>
      <c r="G30136" s="68"/>
      <c r="K30136" s="68"/>
    </row>
    <row r="30137" spans="4:11" ht="12.75">
      <c r="D30137" s="67"/>
      <c r="G30137" s="68"/>
      <c r="K30137" s="68"/>
    </row>
    <row r="30138" spans="4:11" ht="12.75">
      <c r="D30138" s="67"/>
      <c r="G30138" s="68"/>
      <c r="K30138" s="68"/>
    </row>
    <row r="30139" spans="4:11" ht="12.75">
      <c r="D30139" s="67"/>
      <c r="G30139" s="68"/>
      <c r="K30139" s="68"/>
    </row>
    <row r="30140" spans="4:11" ht="12.75">
      <c r="D30140" s="67"/>
      <c r="G30140" s="68"/>
      <c r="K30140" s="68"/>
    </row>
    <row r="30141" spans="4:11" ht="12.75">
      <c r="D30141" s="67"/>
      <c r="G30141" s="68"/>
      <c r="K30141" s="68"/>
    </row>
    <row r="30142" spans="4:11" ht="12.75">
      <c r="D30142" s="67"/>
      <c r="G30142" s="68"/>
      <c r="K30142" s="68"/>
    </row>
    <row r="30143" spans="4:11" ht="12.75">
      <c r="D30143" s="67"/>
      <c r="G30143" s="68"/>
      <c r="K30143" s="68"/>
    </row>
    <row r="30144" spans="4:11" ht="12.75">
      <c r="D30144" s="67"/>
      <c r="G30144" s="68"/>
      <c r="K30144" s="68"/>
    </row>
    <row r="30145" spans="4:11" ht="12.75">
      <c r="D30145" s="67"/>
      <c r="G30145" s="68"/>
      <c r="K30145" s="68"/>
    </row>
    <row r="30146" spans="4:11" ht="12.75">
      <c r="D30146" s="67"/>
      <c r="G30146" s="68"/>
      <c r="K30146" s="68"/>
    </row>
    <row r="30147" spans="4:11" ht="12.75">
      <c r="D30147" s="67"/>
      <c r="G30147" s="68"/>
      <c r="K30147" s="68"/>
    </row>
    <row r="30148" spans="4:11" ht="12.75">
      <c r="D30148" s="67"/>
      <c r="G30148" s="68"/>
      <c r="K30148" s="68"/>
    </row>
    <row r="30149" spans="4:11" ht="12.75">
      <c r="D30149" s="67"/>
      <c r="G30149" s="68"/>
      <c r="K30149" s="68"/>
    </row>
    <row r="30150" spans="4:11" ht="12.75">
      <c r="D30150" s="67"/>
      <c r="G30150" s="68"/>
      <c r="K30150" s="68"/>
    </row>
    <row r="30151" spans="4:11" ht="12.75">
      <c r="D30151" s="67"/>
      <c r="G30151" s="68"/>
      <c r="K30151" s="68"/>
    </row>
    <row r="30152" spans="4:11" ht="12.75">
      <c r="D30152" s="67"/>
      <c r="G30152" s="68"/>
      <c r="K30152" s="68"/>
    </row>
    <row r="30153" spans="4:11" ht="12.75">
      <c r="D30153" s="67"/>
      <c r="G30153" s="68"/>
      <c r="K30153" s="68"/>
    </row>
    <row r="30154" spans="4:11" ht="12.75">
      <c r="D30154" s="67"/>
      <c r="G30154" s="68"/>
      <c r="K30154" s="68"/>
    </row>
    <row r="30155" spans="4:11" ht="12.75">
      <c r="D30155" s="67"/>
      <c r="G30155" s="68"/>
      <c r="K30155" s="68"/>
    </row>
    <row r="30156" spans="4:11" ht="12.75">
      <c r="D30156" s="67"/>
      <c r="G30156" s="68"/>
      <c r="K30156" s="68"/>
    </row>
    <row r="30157" spans="4:11" ht="12.75">
      <c r="D30157" s="67"/>
      <c r="G30157" s="68"/>
      <c r="K30157" s="68"/>
    </row>
    <row r="30158" spans="4:11" ht="12.75">
      <c r="D30158" s="67"/>
      <c r="G30158" s="68"/>
      <c r="K30158" s="68"/>
    </row>
    <row r="30159" spans="4:11" ht="12.75">
      <c r="D30159" s="67"/>
      <c r="G30159" s="68"/>
      <c r="K30159" s="68"/>
    </row>
    <row r="30160" spans="4:11" ht="12.75">
      <c r="D30160" s="67"/>
      <c r="G30160" s="68"/>
      <c r="K30160" s="68"/>
    </row>
    <row r="30161" spans="4:11" ht="12.75">
      <c r="D30161" s="67"/>
      <c r="G30161" s="68"/>
      <c r="K30161" s="68"/>
    </row>
    <row r="30162" spans="4:11" ht="12.75">
      <c r="D30162" s="67"/>
      <c r="G30162" s="68"/>
      <c r="K30162" s="68"/>
    </row>
    <row r="30163" spans="4:11" ht="12.75">
      <c r="D30163" s="67"/>
      <c r="G30163" s="68"/>
      <c r="K30163" s="68"/>
    </row>
    <row r="30164" spans="4:11" ht="12.75">
      <c r="D30164" s="67"/>
      <c r="G30164" s="68"/>
      <c r="K30164" s="68"/>
    </row>
    <row r="30165" spans="4:11" ht="12.75">
      <c r="D30165" s="67"/>
      <c r="G30165" s="68"/>
      <c r="K30165" s="68"/>
    </row>
    <row r="30166" spans="4:11" ht="12.75">
      <c r="D30166" s="67"/>
      <c r="G30166" s="68"/>
      <c r="K30166" s="68"/>
    </row>
    <row r="30167" spans="4:11" ht="12.75">
      <c r="D30167" s="67"/>
      <c r="G30167" s="68"/>
      <c r="K30167" s="68"/>
    </row>
    <row r="30168" spans="4:11" ht="12.75">
      <c r="D30168" s="67"/>
      <c r="G30168" s="68"/>
      <c r="K30168" s="68"/>
    </row>
    <row r="30169" spans="4:11" ht="12.75">
      <c r="D30169" s="67"/>
      <c r="G30169" s="68"/>
      <c r="K30169" s="68"/>
    </row>
    <row r="30170" spans="4:11" ht="12.75">
      <c r="D30170" s="67"/>
      <c r="G30170" s="68"/>
      <c r="K30170" s="68"/>
    </row>
    <row r="30171" spans="4:11" ht="12.75">
      <c r="D30171" s="67"/>
      <c r="G30171" s="68"/>
      <c r="K30171" s="68"/>
    </row>
    <row r="30172" spans="4:11" ht="12.75">
      <c r="D30172" s="67"/>
      <c r="G30172" s="68"/>
      <c r="K30172" s="68"/>
    </row>
    <row r="30173" spans="4:11" ht="12.75">
      <c r="D30173" s="67"/>
      <c r="G30173" s="68"/>
      <c r="K30173" s="68"/>
    </row>
    <row r="30174" spans="4:11" ht="12.75">
      <c r="D30174" s="67"/>
      <c r="G30174" s="68"/>
      <c r="K30174" s="68"/>
    </row>
    <row r="30175" spans="4:11" ht="12.75">
      <c r="D30175" s="67"/>
      <c r="G30175" s="68"/>
      <c r="K30175" s="68"/>
    </row>
    <row r="30176" spans="4:11" ht="12.75">
      <c r="D30176" s="67"/>
      <c r="G30176" s="68"/>
      <c r="K30176" s="68"/>
    </row>
    <row r="30177" spans="4:11" ht="12.75">
      <c r="D30177" s="67"/>
      <c r="G30177" s="68"/>
      <c r="K30177" s="68"/>
    </row>
    <row r="30178" spans="4:11" ht="12.75">
      <c r="D30178" s="67"/>
      <c r="G30178" s="68"/>
      <c r="K30178" s="68"/>
    </row>
    <row r="30179" spans="4:11" ht="12.75">
      <c r="D30179" s="67"/>
      <c r="G30179" s="68"/>
      <c r="K30179" s="68"/>
    </row>
    <row r="30180" spans="4:11" ht="12.75">
      <c r="D30180" s="67"/>
      <c r="G30180" s="68"/>
      <c r="K30180" s="68"/>
    </row>
    <row r="30181" spans="4:11" ht="12.75">
      <c r="D30181" s="67"/>
      <c r="G30181" s="68"/>
      <c r="K30181" s="68"/>
    </row>
    <row r="30182" spans="4:11" ht="12.75">
      <c r="D30182" s="67"/>
      <c r="G30182" s="68"/>
      <c r="K30182" s="68"/>
    </row>
    <row r="30183" spans="4:11" ht="12.75">
      <c r="D30183" s="67"/>
      <c r="G30183" s="68"/>
      <c r="K30183" s="68"/>
    </row>
    <row r="30184" spans="4:11" ht="12.75">
      <c r="D30184" s="67"/>
      <c r="G30184" s="68"/>
      <c r="K30184" s="68"/>
    </row>
    <row r="30185" spans="4:11" ht="12.75">
      <c r="D30185" s="67"/>
      <c r="G30185" s="68"/>
      <c r="K30185" s="68"/>
    </row>
    <row r="30186" spans="4:11" ht="12.75">
      <c r="D30186" s="67"/>
      <c r="G30186" s="68"/>
      <c r="K30186" s="68"/>
    </row>
    <row r="30187" spans="4:11" ht="12.75">
      <c r="D30187" s="67"/>
      <c r="G30187" s="68"/>
      <c r="K30187" s="68"/>
    </row>
    <row r="30188" spans="4:11" ht="12.75">
      <c r="D30188" s="67"/>
      <c r="G30188" s="68"/>
      <c r="K30188" s="68"/>
    </row>
    <row r="30189" spans="4:11" ht="12.75">
      <c r="D30189" s="67"/>
      <c r="G30189" s="68"/>
      <c r="K30189" s="68"/>
    </row>
    <row r="30190" spans="4:11" ht="12.75">
      <c r="D30190" s="67"/>
      <c r="G30190" s="68"/>
      <c r="K30190" s="68"/>
    </row>
    <row r="30191" spans="4:11" ht="12.75">
      <c r="D30191" s="67"/>
      <c r="G30191" s="68"/>
      <c r="K30191" s="68"/>
    </row>
    <row r="30192" spans="4:11" ht="12.75">
      <c r="D30192" s="67"/>
      <c r="G30192" s="68"/>
      <c r="K30192" s="68"/>
    </row>
    <row r="30193" spans="4:11" ht="12.75">
      <c r="D30193" s="67"/>
      <c r="G30193" s="68"/>
      <c r="K30193" s="68"/>
    </row>
    <row r="30194" spans="4:11" ht="12.75">
      <c r="D30194" s="67"/>
      <c r="G30194" s="68"/>
      <c r="K30194" s="68"/>
    </row>
    <row r="30195" spans="4:11" ht="12.75">
      <c r="D30195" s="67"/>
      <c r="G30195" s="68"/>
      <c r="K30195" s="68"/>
    </row>
    <row r="30196" spans="4:11" ht="12.75">
      <c r="D30196" s="67"/>
      <c r="G30196" s="68"/>
      <c r="K30196" s="68"/>
    </row>
    <row r="30197" spans="4:11" ht="12.75">
      <c r="D30197" s="67"/>
      <c r="G30197" s="68"/>
      <c r="K30197" s="68"/>
    </row>
    <row r="30198" spans="4:11" ht="12.75">
      <c r="D30198" s="67"/>
      <c r="G30198" s="68"/>
      <c r="K30198" s="68"/>
    </row>
    <row r="30199" spans="4:11" ht="12.75">
      <c r="D30199" s="67"/>
      <c r="G30199" s="68"/>
      <c r="K30199" s="68"/>
    </row>
    <row r="30200" spans="4:11" ht="12.75">
      <c r="D30200" s="67"/>
      <c r="G30200" s="68"/>
      <c r="K30200" s="68"/>
    </row>
    <row r="30201" spans="4:11" ht="12.75">
      <c r="D30201" s="67"/>
      <c r="G30201" s="68"/>
      <c r="K30201" s="68"/>
    </row>
    <row r="30202" spans="4:11" ht="12.75">
      <c r="D30202" s="67"/>
      <c r="G30202" s="68"/>
      <c r="K30202" s="68"/>
    </row>
    <row r="30203" spans="4:11" ht="12.75">
      <c r="D30203" s="67"/>
      <c r="G30203" s="68"/>
      <c r="K30203" s="68"/>
    </row>
    <row r="30204" spans="4:11" ht="12.75">
      <c r="D30204" s="67"/>
      <c r="G30204" s="68"/>
      <c r="K30204" s="68"/>
    </row>
    <row r="30205" spans="4:11" ht="12.75">
      <c r="D30205" s="67"/>
      <c r="G30205" s="68"/>
      <c r="K30205" s="68"/>
    </row>
    <row r="30206" spans="4:11" ht="12.75">
      <c r="D30206" s="67"/>
      <c r="G30206" s="68"/>
      <c r="K30206" s="68"/>
    </row>
    <row r="30207" spans="4:11" ht="12.75">
      <c r="D30207" s="67"/>
      <c r="G30207" s="68"/>
      <c r="K30207" s="68"/>
    </row>
    <row r="30208" spans="4:11" ht="12.75">
      <c r="D30208" s="67"/>
      <c r="G30208" s="68"/>
      <c r="K30208" s="68"/>
    </row>
    <row r="30209" spans="4:11" ht="12.75">
      <c r="D30209" s="67"/>
      <c r="G30209" s="68"/>
      <c r="K30209" s="68"/>
    </row>
    <row r="30210" spans="4:11" ht="12.75">
      <c r="D30210" s="67"/>
      <c r="G30210" s="68"/>
      <c r="K30210" s="68"/>
    </row>
    <row r="30211" spans="4:11" ht="12.75">
      <c r="D30211" s="67"/>
      <c r="G30211" s="68"/>
      <c r="K30211" s="68"/>
    </row>
    <row r="30212" spans="4:11" ht="12.75">
      <c r="D30212" s="67"/>
      <c r="G30212" s="68"/>
      <c r="K30212" s="68"/>
    </row>
    <row r="30213" spans="4:11" ht="12.75">
      <c r="D30213" s="67"/>
      <c r="G30213" s="68"/>
      <c r="K30213" s="68"/>
    </row>
    <row r="30214" spans="4:11" ht="12.75">
      <c r="D30214" s="67"/>
      <c r="G30214" s="68"/>
      <c r="K30214" s="68"/>
    </row>
    <row r="30215" spans="4:11" ht="12.75">
      <c r="D30215" s="67"/>
      <c r="G30215" s="68"/>
      <c r="K30215" s="68"/>
    </row>
    <row r="30216" spans="4:11" ht="12.75">
      <c r="D30216" s="67"/>
      <c r="G30216" s="68"/>
      <c r="K30216" s="68"/>
    </row>
    <row r="30217" spans="4:11" ht="12.75">
      <c r="D30217" s="67"/>
      <c r="G30217" s="68"/>
      <c r="K30217" s="68"/>
    </row>
    <row r="30218" spans="4:11" ht="12.75">
      <c r="D30218" s="67"/>
      <c r="G30218" s="68"/>
      <c r="K30218" s="68"/>
    </row>
    <row r="30219" spans="4:11" ht="12.75">
      <c r="D30219" s="67"/>
      <c r="G30219" s="68"/>
      <c r="K30219" s="68"/>
    </row>
    <row r="30220" spans="4:11" ht="12.75">
      <c r="D30220" s="67"/>
      <c r="G30220" s="68"/>
      <c r="K30220" s="68"/>
    </row>
    <row r="30221" spans="4:11" ht="12.75">
      <c r="D30221" s="67"/>
      <c r="G30221" s="68"/>
      <c r="K30221" s="68"/>
    </row>
    <row r="30222" spans="4:11" ht="12.75">
      <c r="D30222" s="67"/>
      <c r="G30222" s="68"/>
      <c r="K30222" s="68"/>
    </row>
    <row r="30223" spans="4:11" ht="12.75">
      <c r="D30223" s="67"/>
      <c r="G30223" s="68"/>
      <c r="K30223" s="68"/>
    </row>
    <row r="30224" spans="4:11" ht="12.75">
      <c r="D30224" s="67"/>
      <c r="G30224" s="68"/>
      <c r="K30224" s="68"/>
    </row>
    <row r="30225" spans="4:11" ht="12.75">
      <c r="D30225" s="67"/>
      <c r="G30225" s="68"/>
      <c r="K30225" s="68"/>
    </row>
    <row r="30226" spans="4:11" ht="12.75">
      <c r="D30226" s="67"/>
      <c r="G30226" s="68"/>
      <c r="K30226" s="68"/>
    </row>
    <row r="30227" spans="4:11" ht="12.75">
      <c r="D30227" s="67"/>
      <c r="G30227" s="68"/>
      <c r="K30227" s="68"/>
    </row>
    <row r="30228" spans="4:11" ht="12.75">
      <c r="D30228" s="67"/>
      <c r="G30228" s="68"/>
      <c r="K30228" s="68"/>
    </row>
    <row r="30229" spans="4:11" ht="12.75">
      <c r="D30229" s="67"/>
      <c r="G30229" s="68"/>
      <c r="K30229" s="68"/>
    </row>
    <row r="30230" spans="4:11" ht="12.75">
      <c r="D30230" s="67"/>
      <c r="G30230" s="68"/>
      <c r="K30230" s="68"/>
    </row>
    <row r="30231" spans="4:11" ht="12.75">
      <c r="D30231" s="67"/>
      <c r="G30231" s="68"/>
      <c r="K30231" s="68"/>
    </row>
    <row r="30232" spans="4:11" ht="12.75">
      <c r="D30232" s="67"/>
      <c r="G30232" s="68"/>
      <c r="K30232" s="68"/>
    </row>
    <row r="30233" spans="4:11" ht="12.75">
      <c r="D30233" s="67"/>
      <c r="G30233" s="68"/>
      <c r="K30233" s="68"/>
    </row>
    <row r="30234" spans="4:11" ht="12.75">
      <c r="D30234" s="67"/>
      <c r="G30234" s="68"/>
      <c r="K30234" s="68"/>
    </row>
    <row r="30235" spans="4:11" ht="12.75">
      <c r="D30235" s="67"/>
      <c r="G30235" s="68"/>
      <c r="K30235" s="68"/>
    </row>
    <row r="30236" spans="4:11" ht="12.75">
      <c r="D30236" s="67"/>
      <c r="G30236" s="68"/>
      <c r="K30236" s="68"/>
    </row>
    <row r="30237" spans="4:11" ht="12.75">
      <c r="D30237" s="67"/>
      <c r="G30237" s="68"/>
      <c r="K30237" s="68"/>
    </row>
    <row r="30238" spans="4:11" ht="12.75">
      <c r="D30238" s="67"/>
      <c r="G30238" s="68"/>
      <c r="K30238" s="68"/>
    </row>
    <row r="30239" spans="4:11" ht="12.75">
      <c r="D30239" s="67"/>
      <c r="G30239" s="68"/>
      <c r="K30239" s="68"/>
    </row>
    <row r="30240" spans="4:11" ht="12.75">
      <c r="D30240" s="67"/>
      <c r="G30240" s="68"/>
      <c r="K30240" s="68"/>
    </row>
    <row r="30241" spans="4:11" ht="12.75">
      <c r="D30241" s="67"/>
      <c r="G30241" s="68"/>
      <c r="K30241" s="68"/>
    </row>
    <row r="30242" spans="4:11" ht="12.75">
      <c r="D30242" s="67"/>
      <c r="G30242" s="68"/>
      <c r="K30242" s="68"/>
    </row>
    <row r="30243" spans="4:11" ht="12.75">
      <c r="D30243" s="67"/>
      <c r="G30243" s="68"/>
      <c r="K30243" s="68"/>
    </row>
    <row r="30244" spans="4:11" ht="12.75">
      <c r="D30244" s="67"/>
      <c r="G30244" s="68"/>
      <c r="K30244" s="68"/>
    </row>
    <row r="30245" spans="4:11" ht="12.75">
      <c r="D30245" s="67"/>
      <c r="G30245" s="68"/>
      <c r="K30245" s="68"/>
    </row>
    <row r="30246" spans="4:11" ht="12.75">
      <c r="D30246" s="67"/>
      <c r="G30246" s="68"/>
      <c r="K30246" s="68"/>
    </row>
    <row r="30247" spans="4:11" ht="12.75">
      <c r="D30247" s="67"/>
      <c r="G30247" s="68"/>
      <c r="K30247" s="68"/>
    </row>
    <row r="30248" spans="4:11" ht="12.75">
      <c r="D30248" s="67"/>
      <c r="G30248" s="68"/>
      <c r="K30248" s="68"/>
    </row>
    <row r="30249" spans="4:11" ht="12.75">
      <c r="D30249" s="67"/>
      <c r="G30249" s="68"/>
      <c r="K30249" s="68"/>
    </row>
    <row r="30250" spans="4:11" ht="12.75">
      <c r="D30250" s="67"/>
      <c r="G30250" s="68"/>
      <c r="K30250" s="68"/>
    </row>
    <row r="30251" spans="4:11" ht="12.75">
      <c r="D30251" s="67"/>
      <c r="G30251" s="68"/>
      <c r="K30251" s="68"/>
    </row>
    <row r="30252" spans="4:11" ht="12.75">
      <c r="D30252" s="67"/>
      <c r="G30252" s="68"/>
      <c r="K30252" s="68"/>
    </row>
    <row r="30253" spans="4:11" ht="12.75">
      <c r="D30253" s="67"/>
      <c r="G30253" s="68"/>
      <c r="K30253" s="68"/>
    </row>
    <row r="30254" spans="4:11" ht="12.75">
      <c r="D30254" s="67"/>
      <c r="G30254" s="68"/>
      <c r="K30254" s="68"/>
    </row>
    <row r="30255" spans="4:11" ht="12.75">
      <c r="D30255" s="67"/>
      <c r="G30255" s="68"/>
      <c r="K30255" s="68"/>
    </row>
    <row r="30256" spans="4:11" ht="12.75">
      <c r="D30256" s="67"/>
      <c r="G30256" s="68"/>
      <c r="K30256" s="68"/>
    </row>
    <row r="30257" spans="4:11" ht="12.75">
      <c r="D30257" s="67"/>
      <c r="G30257" s="68"/>
      <c r="K30257" s="68"/>
    </row>
    <row r="30258" spans="4:11" ht="12.75">
      <c r="D30258" s="67"/>
      <c r="G30258" s="68"/>
      <c r="K30258" s="68"/>
    </row>
    <row r="30259" spans="4:11" ht="12.75">
      <c r="D30259" s="67"/>
      <c r="G30259" s="68"/>
      <c r="K30259" s="68"/>
    </row>
    <row r="30260" spans="4:11" ht="12.75">
      <c r="D30260" s="67"/>
      <c r="G30260" s="68"/>
      <c r="K30260" s="68"/>
    </row>
    <row r="30261" spans="4:11" ht="12.75">
      <c r="D30261" s="67"/>
      <c r="G30261" s="68"/>
      <c r="K30261" s="68"/>
    </row>
    <row r="30262" spans="4:11" ht="12.75">
      <c r="D30262" s="67"/>
      <c r="G30262" s="68"/>
      <c r="K30262" s="68"/>
    </row>
    <row r="30263" spans="4:11" ht="12.75">
      <c r="D30263" s="67"/>
      <c r="G30263" s="68"/>
      <c r="K30263" s="68"/>
    </row>
    <row r="30264" spans="4:11" ht="12.75">
      <c r="D30264" s="67"/>
      <c r="G30264" s="68"/>
      <c r="K30264" s="68"/>
    </row>
    <row r="30265" spans="4:11" ht="12.75">
      <c r="D30265" s="67"/>
      <c r="G30265" s="68"/>
      <c r="K30265" s="68"/>
    </row>
    <row r="30266" spans="4:11" ht="12.75">
      <c r="D30266" s="67"/>
      <c r="G30266" s="68"/>
      <c r="K30266" s="68"/>
    </row>
    <row r="30267" spans="4:11" ht="12.75">
      <c r="D30267" s="67"/>
      <c r="G30267" s="68"/>
      <c r="K30267" s="68"/>
    </row>
    <row r="30268" spans="4:11" ht="12.75">
      <c r="D30268" s="67"/>
      <c r="G30268" s="68"/>
      <c r="K30268" s="68"/>
    </row>
    <row r="30269" spans="4:11" ht="12.75">
      <c r="D30269" s="67"/>
      <c r="G30269" s="68"/>
      <c r="K30269" s="68"/>
    </row>
    <row r="30270" spans="4:11" ht="12.75">
      <c r="D30270" s="67"/>
      <c r="G30270" s="68"/>
      <c r="K30270" s="68"/>
    </row>
    <row r="30271" spans="4:11" ht="12.75">
      <c r="D30271" s="67"/>
      <c r="G30271" s="68"/>
      <c r="K30271" s="68"/>
    </row>
    <row r="30272" spans="4:11" ht="12.75">
      <c r="D30272" s="67"/>
      <c r="G30272" s="68"/>
      <c r="K30272" s="68"/>
    </row>
    <row r="30273" spans="4:11" ht="12.75">
      <c r="D30273" s="67"/>
      <c r="G30273" s="68"/>
      <c r="K30273" s="68"/>
    </row>
    <row r="30274" spans="4:11" ht="12.75">
      <c r="D30274" s="67"/>
      <c r="G30274" s="68"/>
      <c r="K30274" s="68"/>
    </row>
    <row r="30275" spans="4:11" ht="12.75">
      <c r="D30275" s="67"/>
      <c r="G30275" s="68"/>
      <c r="K30275" s="68"/>
    </row>
    <row r="30276" spans="4:11" ht="12.75">
      <c r="D30276" s="67"/>
      <c r="G30276" s="68"/>
      <c r="K30276" s="68"/>
    </row>
    <row r="30277" spans="4:11" ht="12.75">
      <c r="D30277" s="67"/>
      <c r="G30277" s="68"/>
      <c r="K30277" s="68"/>
    </row>
    <row r="30278" spans="4:11" ht="12.75">
      <c r="D30278" s="67"/>
      <c r="G30278" s="68"/>
      <c r="K30278" s="68"/>
    </row>
    <row r="30279" spans="4:11" ht="12.75">
      <c r="D30279" s="67"/>
      <c r="G30279" s="68"/>
      <c r="K30279" s="68"/>
    </row>
    <row r="30280" spans="4:11" ht="12.75">
      <c r="D30280" s="67"/>
      <c r="G30280" s="68"/>
      <c r="K30280" s="68"/>
    </row>
    <row r="30281" spans="4:11" ht="12.75">
      <c r="D30281" s="67"/>
      <c r="G30281" s="68"/>
      <c r="K30281" s="68"/>
    </row>
    <row r="30282" spans="4:11" ht="12.75">
      <c r="D30282" s="67"/>
      <c r="G30282" s="68"/>
      <c r="K30282" s="68"/>
    </row>
    <row r="30283" spans="4:11" ht="12.75">
      <c r="D30283" s="67"/>
      <c r="G30283" s="68"/>
      <c r="K30283" s="68"/>
    </row>
    <row r="30284" spans="4:11" ht="12.75">
      <c r="D30284" s="67"/>
      <c r="G30284" s="68"/>
      <c r="K30284" s="68"/>
    </row>
    <row r="30285" spans="4:11" ht="12.75">
      <c r="D30285" s="67"/>
      <c r="G30285" s="68"/>
      <c r="K30285" s="68"/>
    </row>
    <row r="30286" spans="4:11" ht="12.75">
      <c r="D30286" s="67"/>
      <c r="G30286" s="68"/>
      <c r="K30286" s="68"/>
    </row>
    <row r="30287" spans="4:11" ht="12.75">
      <c r="D30287" s="67"/>
      <c r="G30287" s="68"/>
      <c r="K30287" s="68"/>
    </row>
    <row r="30288" spans="4:11" ht="12.75">
      <c r="D30288" s="67"/>
      <c r="G30288" s="68"/>
      <c r="K30288" s="68"/>
    </row>
    <row r="30289" spans="4:11" ht="12.75">
      <c r="D30289" s="67"/>
      <c r="G30289" s="68"/>
      <c r="K30289" s="68"/>
    </row>
    <row r="30290" spans="4:11" ht="12.75">
      <c r="D30290" s="67"/>
      <c r="G30290" s="68"/>
      <c r="K30290" s="68"/>
    </row>
    <row r="30291" spans="4:11" ht="12.75">
      <c r="D30291" s="67"/>
      <c r="G30291" s="68"/>
      <c r="K30291" s="68"/>
    </row>
    <row r="30292" spans="4:11" ht="12.75">
      <c r="D30292" s="67"/>
      <c r="G30292" s="68"/>
      <c r="K30292" s="68"/>
    </row>
    <row r="30293" spans="4:11" ht="12.75">
      <c r="D30293" s="67"/>
      <c r="G30293" s="68"/>
      <c r="K30293" s="68"/>
    </row>
    <row r="30294" spans="4:11" ht="12.75">
      <c r="D30294" s="67"/>
      <c r="G30294" s="68"/>
      <c r="K30294" s="68"/>
    </row>
    <row r="30295" spans="4:11" ht="12.75">
      <c r="D30295" s="67"/>
      <c r="G30295" s="68"/>
      <c r="K30295" s="68"/>
    </row>
    <row r="30296" spans="4:11" ht="12.75">
      <c r="D30296" s="67"/>
      <c r="G30296" s="68"/>
      <c r="K30296" s="68"/>
    </row>
    <row r="30297" spans="4:11" ht="12.75">
      <c r="D30297" s="67"/>
      <c r="G30297" s="68"/>
      <c r="K30297" s="68"/>
    </row>
    <row r="30298" spans="4:11" ht="12.75">
      <c r="D30298" s="67"/>
      <c r="G30298" s="68"/>
      <c r="K30298" s="68"/>
    </row>
    <row r="30299" spans="4:11" ht="12.75">
      <c r="D30299" s="67"/>
      <c r="G30299" s="68"/>
      <c r="K30299" s="68"/>
    </row>
    <row r="30300" spans="4:11" ht="12.75">
      <c r="D30300" s="67"/>
      <c r="G30300" s="68"/>
      <c r="K30300" s="68"/>
    </row>
    <row r="30301" spans="4:11" ht="12.75">
      <c r="D30301" s="67"/>
      <c r="G30301" s="68"/>
      <c r="K30301" s="68"/>
    </row>
    <row r="30302" spans="4:11" ht="12.75">
      <c r="D30302" s="67"/>
      <c r="G30302" s="68"/>
      <c r="K30302" s="68"/>
    </row>
    <row r="30303" spans="4:11" ht="12.75">
      <c r="D30303" s="67"/>
      <c r="G30303" s="68"/>
      <c r="K30303" s="68"/>
    </row>
    <row r="30304" spans="4:11" ht="12.75">
      <c r="D30304" s="67"/>
      <c r="G30304" s="68"/>
      <c r="K30304" s="68"/>
    </row>
    <row r="30305" spans="4:11" ht="12.75">
      <c r="D30305" s="67"/>
      <c r="G30305" s="68"/>
      <c r="K30305" s="68"/>
    </row>
    <row r="30306" spans="4:11" ht="12.75">
      <c r="D30306" s="67"/>
      <c r="G30306" s="68"/>
      <c r="K30306" s="68"/>
    </row>
    <row r="30307" spans="4:11" ht="12.75">
      <c r="D30307" s="67"/>
      <c r="G30307" s="68"/>
      <c r="K30307" s="68"/>
    </row>
    <row r="30308" spans="4:11" ht="12.75">
      <c r="D30308" s="67"/>
      <c r="G30308" s="68"/>
      <c r="K30308" s="68"/>
    </row>
    <row r="30309" spans="4:11" ht="12.75">
      <c r="D30309" s="67"/>
      <c r="G30309" s="68"/>
      <c r="K30309" s="68"/>
    </row>
    <row r="30310" spans="4:11" ht="12.75">
      <c r="D30310" s="67"/>
      <c r="G30310" s="68"/>
      <c r="K30310" s="68"/>
    </row>
    <row r="30311" spans="4:11" ht="12.75">
      <c r="D30311" s="67"/>
      <c r="G30311" s="68"/>
      <c r="K30311" s="68"/>
    </row>
    <row r="30312" spans="4:11" ht="12.75">
      <c r="D30312" s="67"/>
      <c r="G30312" s="68"/>
      <c r="K30312" s="68"/>
    </row>
    <row r="30313" spans="4:11" ht="12.75">
      <c r="D30313" s="67"/>
      <c r="G30313" s="68"/>
      <c r="K30313" s="68"/>
    </row>
    <row r="30314" spans="4:11" ht="12.75">
      <c r="D30314" s="67"/>
      <c r="G30314" s="68"/>
      <c r="K30314" s="68"/>
    </row>
    <row r="30315" spans="4:11" ht="12.75">
      <c r="D30315" s="67"/>
      <c r="G30315" s="68"/>
      <c r="K30315" s="68"/>
    </row>
    <row r="30316" spans="4:11" ht="12.75">
      <c r="D30316" s="67"/>
      <c r="G30316" s="68"/>
      <c r="K30316" s="68"/>
    </row>
    <row r="30317" spans="4:11" ht="12.75">
      <c r="D30317" s="67"/>
      <c r="G30317" s="68"/>
      <c r="K30317" s="68"/>
    </row>
    <row r="30318" spans="4:11" ht="12.75">
      <c r="D30318" s="67"/>
      <c r="G30318" s="68"/>
      <c r="K30318" s="68"/>
    </row>
    <row r="30319" spans="4:11" ht="12.75">
      <c r="D30319" s="67"/>
      <c r="G30319" s="68"/>
      <c r="K30319" s="68"/>
    </row>
    <row r="30320" spans="4:11" ht="12.75">
      <c r="D30320" s="67"/>
      <c r="G30320" s="68"/>
      <c r="K30320" s="68"/>
    </row>
    <row r="30321" spans="4:11" ht="12.75">
      <c r="D30321" s="67"/>
      <c r="G30321" s="68"/>
      <c r="K30321" s="68"/>
    </row>
    <row r="30322" spans="4:11" ht="12.75">
      <c r="D30322" s="67"/>
      <c r="G30322" s="68"/>
      <c r="K30322" s="68"/>
    </row>
    <row r="30323" spans="4:11" ht="12.75">
      <c r="D30323" s="67"/>
      <c r="G30323" s="68"/>
      <c r="K30323" s="68"/>
    </row>
    <row r="30324" spans="4:11" ht="12.75">
      <c r="D30324" s="67"/>
      <c r="G30324" s="68"/>
      <c r="K30324" s="68"/>
    </row>
    <row r="30325" spans="4:11" ht="12.75">
      <c r="D30325" s="67"/>
      <c r="G30325" s="68"/>
      <c r="K30325" s="68"/>
    </row>
    <row r="30326" spans="4:11" ht="12.75">
      <c r="D30326" s="67"/>
      <c r="G30326" s="68"/>
      <c r="K30326" s="68"/>
    </row>
    <row r="30327" spans="4:11" ht="12.75">
      <c r="D30327" s="67"/>
      <c r="G30327" s="68"/>
      <c r="K30327" s="68"/>
    </row>
    <row r="30328" spans="4:11" ht="12.75">
      <c r="D30328" s="67"/>
      <c r="G30328" s="68"/>
      <c r="K30328" s="68"/>
    </row>
    <row r="30329" spans="4:11" ht="12.75">
      <c r="D30329" s="67"/>
      <c r="G30329" s="68"/>
      <c r="K30329" s="68"/>
    </row>
    <row r="30330" spans="4:11" ht="12.75">
      <c r="D30330" s="67"/>
      <c r="G30330" s="68"/>
      <c r="K30330" s="68"/>
    </row>
    <row r="30331" spans="4:11" ht="12.75">
      <c r="D30331" s="67"/>
      <c r="G30331" s="68"/>
      <c r="K30331" s="68"/>
    </row>
    <row r="30332" spans="4:11" ht="12.75">
      <c r="D30332" s="67"/>
      <c r="G30332" s="68"/>
      <c r="K30332" s="68"/>
    </row>
    <row r="30333" spans="4:11" ht="12.75">
      <c r="D30333" s="67"/>
      <c r="G30333" s="68"/>
      <c r="K30333" s="68"/>
    </row>
    <row r="30334" spans="4:11" ht="12.75">
      <c r="D30334" s="67"/>
      <c r="G30334" s="68"/>
      <c r="K30334" s="68"/>
    </row>
    <row r="30335" spans="4:11" ht="12.75">
      <c r="D30335" s="67"/>
      <c r="G30335" s="68"/>
      <c r="K30335" s="68"/>
    </row>
    <row r="30336" spans="4:11" ht="12.75">
      <c r="D30336" s="67"/>
      <c r="G30336" s="68"/>
      <c r="K30336" s="68"/>
    </row>
    <row r="30337" spans="4:11" ht="12.75">
      <c r="D30337" s="67"/>
      <c r="G30337" s="68"/>
      <c r="K30337" s="68"/>
    </row>
    <row r="30338" spans="4:11" ht="12.75">
      <c r="D30338" s="67"/>
      <c r="G30338" s="68"/>
      <c r="K30338" s="68"/>
    </row>
    <row r="30339" spans="4:11" ht="12.75">
      <c r="D30339" s="67"/>
      <c r="G30339" s="68"/>
      <c r="K30339" s="68"/>
    </row>
    <row r="30340" spans="4:11" ht="12.75">
      <c r="D30340" s="67"/>
      <c r="G30340" s="68"/>
      <c r="K30340" s="68"/>
    </row>
    <row r="30341" spans="4:11" ht="12.75">
      <c r="D30341" s="67"/>
      <c r="G30341" s="68"/>
      <c r="K30341" s="68"/>
    </row>
    <row r="30342" spans="4:11" ht="12.75">
      <c r="D30342" s="67"/>
      <c r="G30342" s="68"/>
      <c r="K30342" s="68"/>
    </row>
    <row r="30343" spans="4:11" ht="12.75">
      <c r="D30343" s="67"/>
      <c r="G30343" s="68"/>
      <c r="K30343" s="68"/>
    </row>
    <row r="30344" spans="4:11" ht="12.75">
      <c r="D30344" s="67"/>
      <c r="G30344" s="68"/>
      <c r="K30344" s="68"/>
    </row>
    <row r="30345" spans="4:11" ht="12.75">
      <c r="D30345" s="67"/>
      <c r="G30345" s="68"/>
      <c r="K30345" s="68"/>
    </row>
    <row r="30346" spans="4:11" ht="12.75">
      <c r="D30346" s="67"/>
      <c r="G30346" s="68"/>
      <c r="K30346" s="68"/>
    </row>
    <row r="30347" spans="4:11" ht="12.75">
      <c r="D30347" s="67"/>
      <c r="G30347" s="68"/>
      <c r="K30347" s="68"/>
    </row>
    <row r="30348" spans="4:11" ht="12.75">
      <c r="D30348" s="67"/>
      <c r="G30348" s="68"/>
      <c r="K30348" s="68"/>
    </row>
    <row r="30349" spans="4:11" ht="12.75">
      <c r="D30349" s="67"/>
      <c r="G30349" s="68"/>
      <c r="K30349" s="68"/>
    </row>
    <row r="30350" spans="4:11" ht="12.75">
      <c r="D30350" s="67"/>
      <c r="G30350" s="68"/>
      <c r="K30350" s="68"/>
    </row>
    <row r="30351" spans="4:11" ht="12.75">
      <c r="D30351" s="67"/>
      <c r="G30351" s="68"/>
      <c r="K30351" s="68"/>
    </row>
    <row r="30352" spans="4:11" ht="12.75">
      <c r="D30352" s="67"/>
      <c r="G30352" s="68"/>
      <c r="K30352" s="68"/>
    </row>
    <row r="30353" spans="4:11" ht="12.75">
      <c r="D30353" s="67"/>
      <c r="G30353" s="68"/>
      <c r="K30353" s="68"/>
    </row>
    <row r="30354" spans="4:11" ht="12.75">
      <c r="D30354" s="67"/>
      <c r="G30354" s="68"/>
      <c r="K30354" s="68"/>
    </row>
    <row r="30355" spans="4:11" ht="12.75">
      <c r="D30355" s="67"/>
      <c r="G30355" s="68"/>
      <c r="K30355" s="68"/>
    </row>
    <row r="30356" spans="4:11" ht="12.75">
      <c r="D30356" s="67"/>
      <c r="G30356" s="68"/>
      <c r="K30356" s="68"/>
    </row>
    <row r="30357" spans="4:11" ht="12.75">
      <c r="D30357" s="67"/>
      <c r="G30357" s="68"/>
      <c r="K30357" s="68"/>
    </row>
    <row r="30358" spans="4:11" ht="12.75">
      <c r="D30358" s="67"/>
      <c r="G30358" s="68"/>
      <c r="K30358" s="68"/>
    </row>
    <row r="30359" spans="4:11" ht="12.75">
      <c r="D30359" s="67"/>
      <c r="G30359" s="68"/>
      <c r="K30359" s="68"/>
    </row>
    <row r="30360" spans="4:11" ht="12.75">
      <c r="D30360" s="67"/>
      <c r="G30360" s="68"/>
      <c r="K30360" s="68"/>
    </row>
    <row r="30361" spans="4:11" ht="12.75">
      <c r="D30361" s="67"/>
      <c r="G30361" s="68"/>
      <c r="K30361" s="68"/>
    </row>
    <row r="30362" spans="4:11" ht="12.75">
      <c r="D30362" s="67"/>
      <c r="G30362" s="68"/>
      <c r="K30362" s="68"/>
    </row>
    <row r="30363" spans="4:11" ht="12.75">
      <c r="D30363" s="67"/>
      <c r="G30363" s="68"/>
      <c r="K30363" s="68"/>
    </row>
    <row r="30364" spans="4:11" ht="12.75">
      <c r="D30364" s="67"/>
      <c r="G30364" s="68"/>
      <c r="K30364" s="68"/>
    </row>
    <row r="30365" spans="4:11" ht="12.75">
      <c r="D30365" s="67"/>
      <c r="G30365" s="68"/>
      <c r="K30365" s="68"/>
    </row>
    <row r="30366" spans="4:11" ht="12.75">
      <c r="D30366" s="67"/>
      <c r="G30366" s="68"/>
      <c r="K30366" s="68"/>
    </row>
    <row r="30367" spans="4:11" ht="12.75">
      <c r="D30367" s="67"/>
      <c r="G30367" s="68"/>
      <c r="K30367" s="68"/>
    </row>
    <row r="30368" spans="4:11" ht="12.75">
      <c r="D30368" s="67"/>
      <c r="G30368" s="68"/>
      <c r="K30368" s="68"/>
    </row>
    <row r="30369" spans="4:11" ht="12.75">
      <c r="D30369" s="67"/>
      <c r="G30369" s="68"/>
      <c r="K30369" s="68"/>
    </row>
    <row r="30370" spans="4:11" ht="12.75">
      <c r="D30370" s="67"/>
      <c r="G30370" s="68"/>
      <c r="K30370" s="68"/>
    </row>
    <row r="30371" spans="4:11" ht="12.75">
      <c r="D30371" s="67"/>
      <c r="G30371" s="68"/>
      <c r="K30371" s="68"/>
    </row>
    <row r="30372" spans="4:11" ht="12.75">
      <c r="D30372" s="67"/>
      <c r="G30372" s="68"/>
      <c r="K30372" s="68"/>
    </row>
    <row r="30373" spans="4:11" ht="12.75">
      <c r="D30373" s="67"/>
      <c r="G30373" s="68"/>
      <c r="K30373" s="68"/>
    </row>
    <row r="30374" spans="4:11" ht="12.75">
      <c r="D30374" s="67"/>
      <c r="G30374" s="68"/>
      <c r="K30374" s="68"/>
    </row>
    <row r="30375" spans="4:11" ht="12.75">
      <c r="D30375" s="67"/>
      <c r="G30375" s="68"/>
      <c r="K30375" s="68"/>
    </row>
    <row r="30376" spans="4:11" ht="12.75">
      <c r="D30376" s="67"/>
      <c r="G30376" s="68"/>
      <c r="K30376" s="68"/>
    </row>
    <row r="30377" spans="4:11" ht="12.75">
      <c r="D30377" s="67"/>
      <c r="G30377" s="68"/>
      <c r="K30377" s="68"/>
    </row>
    <row r="30378" spans="4:11" ht="12.75">
      <c r="D30378" s="67"/>
      <c r="G30378" s="68"/>
      <c r="K30378" s="68"/>
    </row>
    <row r="30379" spans="4:11" ht="12.75">
      <c r="D30379" s="67"/>
      <c r="G30379" s="68"/>
      <c r="K30379" s="68"/>
    </row>
    <row r="30380" spans="4:11" ht="12.75">
      <c r="D30380" s="67"/>
      <c r="G30380" s="68"/>
      <c r="K30380" s="68"/>
    </row>
    <row r="30381" spans="4:11" ht="12.75">
      <c r="D30381" s="67"/>
      <c r="G30381" s="68"/>
      <c r="K30381" s="68"/>
    </row>
    <row r="30382" spans="4:11" ht="12.75">
      <c r="D30382" s="67"/>
      <c r="G30382" s="68"/>
      <c r="K30382" s="68"/>
    </row>
    <row r="30383" spans="4:11" ht="12.75">
      <c r="D30383" s="67"/>
      <c r="G30383" s="68"/>
      <c r="K30383" s="68"/>
    </row>
    <row r="30384" spans="4:11" ht="12.75">
      <c r="D30384" s="67"/>
      <c r="G30384" s="68"/>
      <c r="K30384" s="68"/>
    </row>
    <row r="30385" spans="4:11" ht="12.75">
      <c r="D30385" s="67"/>
      <c r="G30385" s="68"/>
      <c r="K30385" s="68"/>
    </row>
    <row r="30386" spans="4:11" ht="12.75">
      <c r="D30386" s="67"/>
      <c r="G30386" s="68"/>
      <c r="K30386" s="68"/>
    </row>
    <row r="30387" spans="4:11" ht="12.75">
      <c r="D30387" s="67"/>
      <c r="G30387" s="68"/>
      <c r="K30387" s="68"/>
    </row>
    <row r="30388" spans="4:11" ht="12.75">
      <c r="D30388" s="67"/>
      <c r="G30388" s="68"/>
      <c r="K30388" s="68"/>
    </row>
    <row r="30389" spans="4:11" ht="12.75">
      <c r="D30389" s="67"/>
      <c r="G30389" s="68"/>
      <c r="K30389" s="68"/>
    </row>
    <row r="30390" spans="4:11" ht="12.75">
      <c r="D30390" s="67"/>
      <c r="G30390" s="68"/>
      <c r="K30390" s="68"/>
    </row>
    <row r="30391" spans="4:11" ht="12.75">
      <c r="D30391" s="67"/>
      <c r="G30391" s="68"/>
      <c r="K30391" s="68"/>
    </row>
    <row r="30392" spans="4:11" ht="12.75">
      <c r="D30392" s="67"/>
      <c r="G30392" s="68"/>
      <c r="K30392" s="68"/>
    </row>
    <row r="30393" spans="4:11" ht="12.75">
      <c r="D30393" s="67"/>
      <c r="G30393" s="68"/>
      <c r="K30393" s="68"/>
    </row>
    <row r="30394" spans="4:11" ht="12.75">
      <c r="D30394" s="67"/>
      <c r="G30394" s="68"/>
      <c r="K30394" s="68"/>
    </row>
    <row r="30395" spans="4:11" ht="12.75">
      <c r="D30395" s="67"/>
      <c r="G30395" s="68"/>
      <c r="K30395" s="68"/>
    </row>
    <row r="30396" spans="4:11" ht="12.75">
      <c r="D30396" s="67"/>
      <c r="G30396" s="68"/>
      <c r="K30396" s="68"/>
    </row>
    <row r="30397" spans="4:11" ht="12.75">
      <c r="D30397" s="67"/>
      <c r="G30397" s="68"/>
      <c r="K30397" s="68"/>
    </row>
    <row r="30398" spans="4:11" ht="12.75">
      <c r="D30398" s="67"/>
      <c r="G30398" s="68"/>
      <c r="K30398" s="68"/>
    </row>
    <row r="30399" spans="4:11" ht="12.75">
      <c r="D30399" s="67"/>
      <c r="G30399" s="68"/>
      <c r="K30399" s="68"/>
    </row>
    <row r="30400" spans="4:11" ht="12.75">
      <c r="D30400" s="67"/>
      <c r="G30400" s="68"/>
      <c r="K30400" s="68"/>
    </row>
    <row r="30401" spans="4:11" ht="12.75">
      <c r="D30401" s="67"/>
      <c r="G30401" s="68"/>
      <c r="K30401" s="68"/>
    </row>
    <row r="30402" spans="4:11" ht="12.75">
      <c r="D30402" s="67"/>
      <c r="G30402" s="68"/>
      <c r="K30402" s="68"/>
    </row>
    <row r="30403" spans="4:11" ht="12.75">
      <c r="D30403" s="67"/>
      <c r="G30403" s="68"/>
      <c r="K30403" s="68"/>
    </row>
    <row r="30404" spans="4:11" ht="12.75">
      <c r="D30404" s="67"/>
      <c r="G30404" s="68"/>
      <c r="K30404" s="68"/>
    </row>
    <row r="30405" spans="4:11" ht="12.75">
      <c r="D30405" s="67"/>
      <c r="G30405" s="68"/>
      <c r="K30405" s="68"/>
    </row>
    <row r="30406" spans="4:11" ht="12.75">
      <c r="D30406" s="67"/>
      <c r="G30406" s="68"/>
      <c r="K30406" s="68"/>
    </row>
    <row r="30407" spans="4:11" ht="12.75">
      <c r="D30407" s="67"/>
      <c r="G30407" s="68"/>
      <c r="K30407" s="68"/>
    </row>
    <row r="30408" spans="4:11" ht="12.75">
      <c r="D30408" s="67"/>
      <c r="G30408" s="68"/>
      <c r="K30408" s="68"/>
    </row>
    <row r="30409" spans="4:11" ht="12.75">
      <c r="D30409" s="67"/>
      <c r="G30409" s="68"/>
      <c r="K30409" s="68"/>
    </row>
    <row r="30410" spans="4:11" ht="12.75">
      <c r="D30410" s="67"/>
      <c r="G30410" s="68"/>
      <c r="K30410" s="68"/>
    </row>
    <row r="30411" spans="4:11" ht="12.75">
      <c r="D30411" s="67"/>
      <c r="G30411" s="68"/>
      <c r="K30411" s="68"/>
    </row>
    <row r="30412" spans="4:11" ht="12.75">
      <c r="D30412" s="67"/>
      <c r="G30412" s="68"/>
      <c r="K30412" s="68"/>
    </row>
    <row r="30413" spans="4:11" ht="12.75">
      <c r="D30413" s="67"/>
      <c r="G30413" s="68"/>
      <c r="K30413" s="68"/>
    </row>
    <row r="30414" spans="4:11" ht="12.75">
      <c r="D30414" s="67"/>
      <c r="G30414" s="68"/>
      <c r="K30414" s="68"/>
    </row>
    <row r="30415" spans="4:11" ht="12.75">
      <c r="D30415" s="67"/>
      <c r="G30415" s="68"/>
      <c r="K30415" s="68"/>
    </row>
    <row r="30416" spans="4:11" ht="12.75">
      <c r="D30416" s="67"/>
      <c r="G30416" s="68"/>
      <c r="K30416" s="68"/>
    </row>
    <row r="30417" spans="4:11" ht="12.75">
      <c r="D30417" s="67"/>
      <c r="G30417" s="68"/>
      <c r="K30417" s="68"/>
    </row>
    <row r="30418" spans="4:11" ht="12.75">
      <c r="D30418" s="67"/>
      <c r="G30418" s="68"/>
      <c r="K30418" s="68"/>
    </row>
    <row r="30419" spans="4:11" ht="12.75">
      <c r="D30419" s="67"/>
      <c r="G30419" s="68"/>
      <c r="K30419" s="68"/>
    </row>
    <row r="30420" spans="4:11" ht="12.75">
      <c r="D30420" s="67"/>
      <c r="G30420" s="68"/>
      <c r="K30420" s="68"/>
    </row>
    <row r="30421" spans="4:11" ht="12.75">
      <c r="D30421" s="67"/>
      <c r="G30421" s="68"/>
      <c r="K30421" s="68"/>
    </row>
    <row r="30422" spans="4:11" ht="12.75">
      <c r="D30422" s="67"/>
      <c r="G30422" s="68"/>
      <c r="K30422" s="68"/>
    </row>
    <row r="30423" spans="4:11" ht="12.75">
      <c r="D30423" s="67"/>
      <c r="G30423" s="68"/>
      <c r="K30423" s="68"/>
    </row>
    <row r="30424" spans="4:11" ht="12.75">
      <c r="D30424" s="67"/>
      <c r="G30424" s="68"/>
      <c r="K30424" s="68"/>
    </row>
    <row r="30425" spans="4:11" ht="12.75">
      <c r="D30425" s="67"/>
      <c r="G30425" s="68"/>
      <c r="K30425" s="68"/>
    </row>
    <row r="30426" spans="4:11" ht="12.75">
      <c r="D30426" s="67"/>
      <c r="G30426" s="68"/>
      <c r="K30426" s="68"/>
    </row>
    <row r="30427" spans="4:11" ht="12.75">
      <c r="D30427" s="67"/>
      <c r="G30427" s="68"/>
      <c r="K30427" s="68"/>
    </row>
    <row r="30428" spans="4:11" ht="12.75">
      <c r="D30428" s="67"/>
      <c r="G30428" s="68"/>
      <c r="K30428" s="68"/>
    </row>
    <row r="30429" spans="4:11" ht="12.75">
      <c r="D30429" s="67"/>
      <c r="G30429" s="68"/>
      <c r="K30429" s="68"/>
    </row>
    <row r="30430" spans="4:11" ht="12.75">
      <c r="D30430" s="67"/>
      <c r="G30430" s="68"/>
      <c r="K30430" s="68"/>
    </row>
    <row r="30431" spans="4:11" ht="12.75">
      <c r="D30431" s="67"/>
      <c r="G30431" s="68"/>
      <c r="K30431" s="68"/>
    </row>
    <row r="30432" spans="4:11" ht="12.75">
      <c r="D30432" s="67"/>
      <c r="G30432" s="68"/>
      <c r="K30432" s="68"/>
    </row>
    <row r="30433" spans="4:11" ht="12.75">
      <c r="D30433" s="67"/>
      <c r="G30433" s="68"/>
      <c r="K30433" s="68"/>
    </row>
    <row r="30434" spans="4:11" ht="12.75">
      <c r="D30434" s="67"/>
      <c r="G30434" s="68"/>
      <c r="K30434" s="68"/>
    </row>
    <row r="30435" spans="4:11" ht="12.75">
      <c r="D30435" s="67"/>
      <c r="G30435" s="68"/>
      <c r="K30435" s="68"/>
    </row>
    <row r="30436" spans="4:11" ht="12.75">
      <c r="D30436" s="67"/>
      <c r="G30436" s="68"/>
      <c r="K30436" s="68"/>
    </row>
    <row r="30437" spans="4:11" ht="12.75">
      <c r="D30437" s="67"/>
      <c r="G30437" s="68"/>
      <c r="K30437" s="68"/>
    </row>
    <row r="30438" spans="4:11" ht="12.75">
      <c r="D30438" s="67"/>
      <c r="G30438" s="68"/>
      <c r="K30438" s="68"/>
    </row>
    <row r="30439" spans="4:11" ht="12.75">
      <c r="D30439" s="67"/>
      <c r="G30439" s="68"/>
      <c r="K30439" s="68"/>
    </row>
    <row r="30440" spans="4:11" ht="12.75">
      <c r="D30440" s="67"/>
      <c r="G30440" s="68"/>
      <c r="K30440" s="68"/>
    </row>
    <row r="30441" spans="4:11" ht="12.75">
      <c r="D30441" s="67"/>
      <c r="G30441" s="68"/>
      <c r="K30441" s="68"/>
    </row>
    <row r="30442" spans="4:11" ht="12.75">
      <c r="D30442" s="67"/>
      <c r="G30442" s="68"/>
      <c r="K30442" s="68"/>
    </row>
    <row r="30443" spans="4:11" ht="12.75">
      <c r="D30443" s="67"/>
      <c r="G30443" s="68"/>
      <c r="K30443" s="68"/>
    </row>
    <row r="30444" spans="4:11" ht="12.75">
      <c r="D30444" s="67"/>
      <c r="G30444" s="68"/>
      <c r="K30444" s="68"/>
    </row>
    <row r="30445" spans="4:11" ht="12.75">
      <c r="D30445" s="67"/>
      <c r="G30445" s="68"/>
      <c r="K30445" s="68"/>
    </row>
    <row r="30446" spans="4:11" ht="12.75">
      <c r="D30446" s="67"/>
      <c r="G30446" s="68"/>
      <c r="K30446" s="68"/>
    </row>
    <row r="30447" spans="4:11" ht="12.75">
      <c r="D30447" s="67"/>
      <c r="G30447" s="68"/>
      <c r="K30447" s="68"/>
    </row>
    <row r="30448" spans="4:11" ht="12.75">
      <c r="D30448" s="67"/>
      <c r="G30448" s="68"/>
      <c r="K30448" s="68"/>
    </row>
    <row r="30449" spans="4:11" ht="12.75">
      <c r="D30449" s="67"/>
      <c r="G30449" s="68"/>
      <c r="K30449" s="68"/>
    </row>
    <row r="30450" spans="4:11" ht="12.75">
      <c r="D30450" s="67"/>
      <c r="G30450" s="68"/>
      <c r="K30450" s="68"/>
    </row>
    <row r="30451" spans="4:11" ht="12.75">
      <c r="D30451" s="67"/>
      <c r="G30451" s="68"/>
      <c r="K30451" s="68"/>
    </row>
    <row r="30452" spans="4:11" ht="12.75">
      <c r="D30452" s="67"/>
      <c r="G30452" s="68"/>
      <c r="K30452" s="68"/>
    </row>
    <row r="30453" spans="4:11" ht="12.75">
      <c r="D30453" s="67"/>
      <c r="G30453" s="68"/>
      <c r="K30453" s="68"/>
    </row>
    <row r="30454" spans="4:11" ht="12.75">
      <c r="D30454" s="67"/>
      <c r="G30454" s="68"/>
      <c r="K30454" s="68"/>
    </row>
    <row r="30455" spans="4:11" ht="12.75">
      <c r="D30455" s="67"/>
      <c r="G30455" s="68"/>
      <c r="K30455" s="68"/>
    </row>
    <row r="30456" spans="4:11" ht="12.75">
      <c r="D30456" s="67"/>
      <c r="G30456" s="68"/>
      <c r="K30456" s="68"/>
    </row>
    <row r="30457" spans="4:11" ht="12.75">
      <c r="D30457" s="67"/>
      <c r="G30457" s="68"/>
      <c r="K30457" s="68"/>
    </row>
    <row r="30458" spans="4:11" ht="12.75">
      <c r="D30458" s="67"/>
      <c r="G30458" s="68"/>
      <c r="K30458" s="68"/>
    </row>
    <row r="30459" spans="4:11" ht="12.75">
      <c r="D30459" s="67"/>
      <c r="G30459" s="68"/>
      <c r="K30459" s="68"/>
    </row>
    <row r="30460" spans="4:11" ht="12.75">
      <c r="D30460" s="67"/>
      <c r="G30460" s="68"/>
      <c r="K30460" s="68"/>
    </row>
    <row r="30461" spans="4:11" ht="12.75">
      <c r="D30461" s="67"/>
      <c r="G30461" s="68"/>
      <c r="K30461" s="68"/>
    </row>
    <row r="30462" spans="4:11" ht="12.75">
      <c r="D30462" s="67"/>
      <c r="G30462" s="68"/>
      <c r="K30462" s="68"/>
    </row>
    <row r="30463" spans="4:11" ht="12.75">
      <c r="D30463" s="67"/>
      <c r="G30463" s="68"/>
      <c r="K30463" s="68"/>
    </row>
    <row r="30464" spans="4:11" ht="12.75">
      <c r="D30464" s="67"/>
      <c r="G30464" s="68"/>
      <c r="K30464" s="68"/>
    </row>
    <row r="30465" spans="4:11" ht="12.75">
      <c r="D30465" s="67"/>
      <c r="G30465" s="68"/>
      <c r="K30465" s="68"/>
    </row>
    <row r="30466" spans="4:11" ht="12.75">
      <c r="D30466" s="67"/>
      <c r="G30466" s="68"/>
      <c r="K30466" s="68"/>
    </row>
    <row r="30467" spans="4:11" ht="12.75">
      <c r="D30467" s="67"/>
      <c r="G30467" s="68"/>
      <c r="K30467" s="68"/>
    </row>
    <row r="30468" spans="4:11" ht="12.75">
      <c r="D30468" s="67"/>
      <c r="G30468" s="68"/>
      <c r="K30468" s="68"/>
    </row>
    <row r="30469" spans="4:11" ht="12.75">
      <c r="D30469" s="67"/>
      <c r="G30469" s="68"/>
      <c r="K30469" s="68"/>
    </row>
    <row r="30470" spans="4:11" ht="12.75">
      <c r="D30470" s="67"/>
      <c r="G30470" s="68"/>
      <c r="K30470" s="68"/>
    </row>
    <row r="30471" spans="4:11" ht="12.75">
      <c r="D30471" s="67"/>
      <c r="G30471" s="68"/>
      <c r="K30471" s="68"/>
    </row>
    <row r="30472" spans="4:11" ht="12.75">
      <c r="D30472" s="67"/>
      <c r="G30472" s="68"/>
      <c r="K30472" s="68"/>
    </row>
    <row r="30473" spans="4:11" ht="12.75">
      <c r="D30473" s="67"/>
      <c r="G30473" s="68"/>
      <c r="K30473" s="68"/>
    </row>
    <row r="30474" spans="4:11" ht="12.75">
      <c r="D30474" s="67"/>
      <c r="G30474" s="68"/>
      <c r="K30474" s="68"/>
    </row>
    <row r="30475" spans="4:11" ht="12.75">
      <c r="D30475" s="67"/>
      <c r="G30475" s="68"/>
      <c r="K30475" s="68"/>
    </row>
    <row r="30476" spans="4:11" ht="12.75">
      <c r="D30476" s="67"/>
      <c r="G30476" s="68"/>
      <c r="K30476" s="68"/>
    </row>
    <row r="30477" spans="4:11" ht="12.75">
      <c r="D30477" s="67"/>
      <c r="G30477" s="68"/>
      <c r="K30477" s="68"/>
    </row>
    <row r="30478" spans="4:11" ht="12.75">
      <c r="D30478" s="67"/>
      <c r="G30478" s="68"/>
      <c r="K30478" s="68"/>
    </row>
    <row r="30479" spans="4:11" ht="12.75">
      <c r="D30479" s="67"/>
      <c r="G30479" s="68"/>
      <c r="K30479" s="68"/>
    </row>
    <row r="30480" spans="4:11" ht="12.75">
      <c r="D30480" s="67"/>
      <c r="G30480" s="68"/>
      <c r="K30480" s="68"/>
    </row>
    <row r="30481" spans="4:11" ht="12.75">
      <c r="D30481" s="67"/>
      <c r="G30481" s="68"/>
      <c r="K30481" s="68"/>
    </row>
    <row r="30482" spans="4:11" ht="12.75">
      <c r="D30482" s="67"/>
      <c r="G30482" s="68"/>
      <c r="K30482" s="68"/>
    </row>
    <row r="30483" spans="4:11" ht="12.75">
      <c r="D30483" s="67"/>
      <c r="G30483" s="68"/>
      <c r="K30483" s="68"/>
    </row>
    <row r="30484" spans="4:11" ht="12.75">
      <c r="D30484" s="67"/>
      <c r="G30484" s="68"/>
      <c r="K30484" s="68"/>
    </row>
    <row r="30485" spans="4:11" ht="12.75">
      <c r="D30485" s="67"/>
      <c r="G30485" s="68"/>
      <c r="K30485" s="68"/>
    </row>
    <row r="30486" spans="4:11" ht="12.75">
      <c r="D30486" s="67"/>
      <c r="G30486" s="68"/>
      <c r="K30486" s="68"/>
    </row>
    <row r="30487" spans="4:11" ht="12.75">
      <c r="D30487" s="67"/>
      <c r="G30487" s="68"/>
      <c r="K30487" s="68"/>
    </row>
    <row r="30488" spans="4:11" ht="12.75">
      <c r="D30488" s="67"/>
      <c r="G30488" s="68"/>
      <c r="K30488" s="68"/>
    </row>
    <row r="30489" spans="4:11" ht="12.75">
      <c r="D30489" s="67"/>
      <c r="G30489" s="68"/>
      <c r="K30489" s="68"/>
    </row>
    <row r="30490" spans="4:11" ht="12.75">
      <c r="D30490" s="67"/>
      <c r="G30490" s="68"/>
      <c r="K30490" s="68"/>
    </row>
    <row r="30491" spans="4:11" ht="12.75">
      <c r="D30491" s="67"/>
      <c r="G30491" s="68"/>
      <c r="K30491" s="68"/>
    </row>
    <row r="30492" spans="4:11" ht="12.75">
      <c r="D30492" s="67"/>
      <c r="G30492" s="68"/>
      <c r="K30492" s="68"/>
    </row>
    <row r="30493" spans="4:11" ht="12.75">
      <c r="D30493" s="67"/>
      <c r="G30493" s="68"/>
      <c r="K30493" s="68"/>
    </row>
    <row r="30494" spans="4:11" ht="12.75">
      <c r="D30494" s="67"/>
      <c r="G30494" s="68"/>
      <c r="K30494" s="68"/>
    </row>
    <row r="30495" spans="4:11" ht="12.75">
      <c r="D30495" s="67"/>
      <c r="G30495" s="68"/>
      <c r="K30495" s="68"/>
    </row>
    <row r="30496" spans="4:11" ht="12.75">
      <c r="D30496" s="67"/>
      <c r="G30496" s="68"/>
      <c r="K30496" s="68"/>
    </row>
    <row r="30497" spans="4:11" ht="12.75">
      <c r="D30497" s="67"/>
      <c r="G30497" s="68"/>
      <c r="K30497" s="68"/>
    </row>
    <row r="30498" spans="4:11" ht="12.75">
      <c r="D30498" s="67"/>
      <c r="G30498" s="68"/>
      <c r="K30498" s="68"/>
    </row>
    <row r="30499" spans="4:11" ht="12.75">
      <c r="D30499" s="67"/>
      <c r="G30499" s="68"/>
      <c r="K30499" s="68"/>
    </row>
    <row r="30500" spans="4:11" ht="12.75">
      <c r="D30500" s="67"/>
      <c r="G30500" s="68"/>
      <c r="K30500" s="68"/>
    </row>
    <row r="30501" spans="4:11" ht="12.75">
      <c r="D30501" s="67"/>
      <c r="G30501" s="68"/>
      <c r="K30501" s="68"/>
    </row>
    <row r="30502" spans="4:11" ht="12.75">
      <c r="D30502" s="67"/>
      <c r="G30502" s="68"/>
      <c r="K30502" s="68"/>
    </row>
    <row r="30503" spans="4:11" ht="12.75">
      <c r="D30503" s="67"/>
      <c r="G30503" s="68"/>
      <c r="K30503" s="68"/>
    </row>
    <row r="30504" spans="4:11" ht="12.75">
      <c r="D30504" s="67"/>
      <c r="G30504" s="68"/>
      <c r="K30504" s="68"/>
    </row>
    <row r="30505" spans="4:11" ht="12.75">
      <c r="D30505" s="67"/>
      <c r="G30505" s="68"/>
      <c r="K30505" s="68"/>
    </row>
    <row r="30506" spans="4:11" ht="12.75">
      <c r="D30506" s="67"/>
      <c r="G30506" s="68"/>
      <c r="K30506" s="68"/>
    </row>
    <row r="30507" spans="4:11" ht="12.75">
      <c r="D30507" s="67"/>
      <c r="G30507" s="68"/>
      <c r="K30507" s="68"/>
    </row>
    <row r="30508" spans="4:11" ht="12.75">
      <c r="D30508" s="67"/>
      <c r="G30508" s="68"/>
      <c r="K30508" s="68"/>
    </row>
    <row r="30509" spans="4:11" ht="12.75">
      <c r="D30509" s="67"/>
      <c r="G30509" s="68"/>
      <c r="K30509" s="68"/>
    </row>
    <row r="30510" spans="4:11" ht="12.75">
      <c r="D30510" s="67"/>
      <c r="G30510" s="68"/>
      <c r="K30510" s="68"/>
    </row>
    <row r="30511" spans="4:11" ht="12.75">
      <c r="D30511" s="67"/>
      <c r="G30511" s="68"/>
      <c r="K30511" s="68"/>
    </row>
    <row r="30512" spans="4:11" ht="12.75">
      <c r="D30512" s="67"/>
      <c r="G30512" s="68"/>
      <c r="K30512" s="68"/>
    </row>
    <row r="30513" spans="4:11" ht="12.75">
      <c r="D30513" s="67"/>
      <c r="G30513" s="68"/>
      <c r="K30513" s="68"/>
    </row>
    <row r="30514" spans="4:11" ht="12.75">
      <c r="D30514" s="67"/>
      <c r="G30514" s="68"/>
      <c r="K30514" s="68"/>
    </row>
    <row r="30515" spans="4:11" ht="12.75">
      <c r="D30515" s="67"/>
      <c r="G30515" s="68"/>
      <c r="K30515" s="68"/>
    </row>
    <row r="30516" spans="4:11" ht="12.75">
      <c r="D30516" s="67"/>
      <c r="G30516" s="68"/>
      <c r="K30516" s="68"/>
    </row>
    <row r="30517" spans="4:11" ht="12.75">
      <c r="D30517" s="67"/>
      <c r="G30517" s="68"/>
      <c r="K30517" s="68"/>
    </row>
    <row r="30518" spans="4:11" ht="12.75">
      <c r="D30518" s="67"/>
      <c r="G30518" s="68"/>
      <c r="K30518" s="68"/>
    </row>
    <row r="30519" spans="4:11" ht="12.75">
      <c r="D30519" s="67"/>
      <c r="G30519" s="68"/>
      <c r="K30519" s="68"/>
    </row>
    <row r="30520" spans="4:11" ht="12.75">
      <c r="D30520" s="67"/>
      <c r="G30520" s="68"/>
      <c r="K30520" s="68"/>
    </row>
    <row r="30521" spans="4:11" ht="12.75">
      <c r="D30521" s="67"/>
      <c r="G30521" s="68"/>
      <c r="K30521" s="68"/>
    </row>
    <row r="30522" spans="4:11" ht="12.75">
      <c r="D30522" s="67"/>
      <c r="G30522" s="68"/>
      <c r="K30522" s="68"/>
    </row>
    <row r="30523" spans="4:11" ht="12.75">
      <c r="D30523" s="67"/>
      <c r="G30523" s="68"/>
      <c r="K30523" s="68"/>
    </row>
    <row r="30524" spans="4:11" ht="12.75">
      <c r="D30524" s="67"/>
      <c r="G30524" s="68"/>
      <c r="K30524" s="68"/>
    </row>
    <row r="30525" spans="4:11" ht="12.75">
      <c r="D30525" s="67"/>
      <c r="G30525" s="68"/>
      <c r="K30525" s="68"/>
    </row>
    <row r="30526" spans="4:11" ht="12.75">
      <c r="D30526" s="67"/>
      <c r="G30526" s="68"/>
      <c r="K30526" s="68"/>
    </row>
    <row r="30527" spans="4:11" ht="12.75">
      <c r="D30527" s="67"/>
      <c r="G30527" s="68"/>
      <c r="K30527" s="68"/>
    </row>
    <row r="30528" spans="4:11" ht="12.75">
      <c r="D30528" s="67"/>
      <c r="G30528" s="68"/>
      <c r="K30528" s="68"/>
    </row>
    <row r="30529" spans="4:11" ht="12.75">
      <c r="D30529" s="67"/>
      <c r="G30529" s="68"/>
      <c r="K30529" s="68"/>
    </row>
    <row r="30530" spans="4:11" ht="12.75">
      <c r="D30530" s="67"/>
      <c r="G30530" s="68"/>
      <c r="K30530" s="68"/>
    </row>
    <row r="30531" spans="4:11" ht="12.75">
      <c r="D30531" s="67"/>
      <c r="G30531" s="68"/>
      <c r="K30531" s="68"/>
    </row>
    <row r="30532" spans="4:11" ht="12.75">
      <c r="D30532" s="67"/>
      <c r="G30532" s="68"/>
      <c r="K30532" s="68"/>
    </row>
    <row r="30533" spans="4:11" ht="12.75">
      <c r="D30533" s="67"/>
      <c r="G30533" s="68"/>
      <c r="K30533" s="68"/>
    </row>
    <row r="30534" spans="4:11" ht="12.75">
      <c r="D30534" s="67"/>
      <c r="G30534" s="68"/>
      <c r="K30534" s="68"/>
    </row>
    <row r="30535" spans="4:11" ht="12.75">
      <c r="D30535" s="67"/>
      <c r="G30535" s="68"/>
      <c r="K30535" s="68"/>
    </row>
    <row r="30536" spans="4:11" ht="12.75">
      <c r="D30536" s="67"/>
      <c r="G30536" s="68"/>
      <c r="K30536" s="68"/>
    </row>
    <row r="30537" spans="4:11" ht="12.75">
      <c r="D30537" s="67"/>
      <c r="G30537" s="68"/>
      <c r="K30537" s="68"/>
    </row>
    <row r="30538" spans="4:11" ht="12.75">
      <c r="D30538" s="67"/>
      <c r="G30538" s="68"/>
      <c r="K30538" s="68"/>
    </row>
    <row r="30539" spans="4:11" ht="12.75">
      <c r="D30539" s="67"/>
      <c r="G30539" s="68"/>
      <c r="K30539" s="68"/>
    </row>
    <row r="30540" spans="4:11" ht="12.75">
      <c r="D30540" s="67"/>
      <c r="G30540" s="68"/>
      <c r="K30540" s="68"/>
    </row>
    <row r="30541" spans="4:11" ht="12.75">
      <c r="D30541" s="67"/>
      <c r="G30541" s="68"/>
      <c r="K30541" s="68"/>
    </row>
    <row r="30542" spans="4:11" ht="12.75">
      <c r="D30542" s="67"/>
      <c r="G30542" s="68"/>
      <c r="K30542" s="68"/>
    </row>
    <row r="30543" spans="4:11" ht="12.75">
      <c r="D30543" s="67"/>
      <c r="G30543" s="68"/>
      <c r="K30543" s="68"/>
    </row>
    <row r="30544" spans="4:11" ht="12.75">
      <c r="D30544" s="67"/>
      <c r="G30544" s="68"/>
      <c r="K30544" s="68"/>
    </row>
    <row r="30545" spans="4:11" ht="12.75">
      <c r="D30545" s="67"/>
      <c r="G30545" s="68"/>
      <c r="K30545" s="68"/>
    </row>
    <row r="30546" spans="4:11" ht="12.75">
      <c r="D30546" s="67"/>
      <c r="G30546" s="68"/>
      <c r="K30546" s="68"/>
    </row>
    <row r="30547" spans="4:11" ht="12.75">
      <c r="D30547" s="67"/>
      <c r="G30547" s="68"/>
      <c r="K30547" s="68"/>
    </row>
    <row r="30548" spans="4:11" ht="12.75">
      <c r="D30548" s="67"/>
      <c r="G30548" s="68"/>
      <c r="K30548" s="68"/>
    </row>
    <row r="30549" spans="4:11" ht="12.75">
      <c r="D30549" s="67"/>
      <c r="G30549" s="68"/>
      <c r="K30549" s="68"/>
    </row>
    <row r="30550" spans="4:11" ht="12.75">
      <c r="D30550" s="67"/>
      <c r="G30550" s="68"/>
      <c r="K30550" s="68"/>
    </row>
    <row r="30551" spans="4:11" ht="12.75">
      <c r="D30551" s="67"/>
      <c r="G30551" s="68"/>
      <c r="K30551" s="68"/>
    </row>
    <row r="30552" spans="4:11" ht="12.75">
      <c r="D30552" s="67"/>
      <c r="G30552" s="68"/>
      <c r="K30552" s="68"/>
    </row>
    <row r="30553" spans="4:11" ht="12.75">
      <c r="D30553" s="67"/>
      <c r="G30553" s="68"/>
      <c r="K30553" s="68"/>
    </row>
    <row r="30554" spans="4:11" ht="12.75">
      <c r="D30554" s="67"/>
      <c r="G30554" s="68"/>
      <c r="K30554" s="68"/>
    </row>
    <row r="30555" spans="4:11" ht="12.75">
      <c r="D30555" s="67"/>
      <c r="G30555" s="68"/>
      <c r="K30555" s="68"/>
    </row>
    <row r="30556" spans="4:11" ht="12.75">
      <c r="D30556" s="67"/>
      <c r="G30556" s="68"/>
      <c r="K30556" s="68"/>
    </row>
    <row r="30557" spans="4:11" ht="12.75">
      <c r="D30557" s="67"/>
      <c r="G30557" s="68"/>
      <c r="K30557" s="68"/>
    </row>
    <row r="30558" spans="4:11" ht="12.75">
      <c r="D30558" s="67"/>
      <c r="G30558" s="68"/>
      <c r="K30558" s="68"/>
    </row>
    <row r="30559" spans="4:11" ht="12.75">
      <c r="D30559" s="67"/>
      <c r="G30559" s="68"/>
      <c r="K30559" s="68"/>
    </row>
    <row r="30560" spans="4:11" ht="12.75">
      <c r="D30560" s="67"/>
      <c r="G30560" s="68"/>
      <c r="K30560" s="68"/>
    </row>
    <row r="30561" spans="4:11" ht="12.75">
      <c r="D30561" s="67"/>
      <c r="G30561" s="68"/>
      <c r="K30561" s="68"/>
    </row>
    <row r="30562" spans="4:11" ht="12.75">
      <c r="D30562" s="67"/>
      <c r="G30562" s="68"/>
      <c r="K30562" s="68"/>
    </row>
    <row r="30563" spans="4:11" ht="12.75">
      <c r="D30563" s="67"/>
      <c r="G30563" s="68"/>
      <c r="K30563" s="68"/>
    </row>
    <row r="30564" spans="4:11" ht="12.75">
      <c r="D30564" s="67"/>
      <c r="G30564" s="68"/>
      <c r="K30564" s="68"/>
    </row>
    <row r="30565" spans="4:11" ht="12.75">
      <c r="D30565" s="67"/>
      <c r="G30565" s="68"/>
      <c r="K30565" s="68"/>
    </row>
    <row r="30566" spans="4:11" ht="12.75">
      <c r="D30566" s="67"/>
      <c r="G30566" s="68"/>
      <c r="K30566" s="68"/>
    </row>
    <row r="30567" spans="4:11" ht="12.75">
      <c r="D30567" s="67"/>
      <c r="G30567" s="68"/>
      <c r="K30567" s="68"/>
    </row>
    <row r="30568" spans="4:11" ht="12.75">
      <c r="D30568" s="67"/>
      <c r="G30568" s="68"/>
      <c r="K30568" s="68"/>
    </row>
    <row r="30569" spans="4:11" ht="12.75">
      <c r="D30569" s="67"/>
      <c r="G30569" s="68"/>
      <c r="K30569" s="68"/>
    </row>
    <row r="30570" spans="4:11" ht="12.75">
      <c r="D30570" s="67"/>
      <c r="G30570" s="68"/>
      <c r="K30570" s="68"/>
    </row>
    <row r="30571" spans="4:11" ht="12.75">
      <c r="D30571" s="67"/>
      <c r="G30571" s="68"/>
      <c r="K30571" s="68"/>
    </row>
    <row r="30572" spans="4:11" ht="12.75">
      <c r="D30572" s="67"/>
      <c r="G30572" s="68"/>
      <c r="K30572" s="68"/>
    </row>
    <row r="30573" spans="4:11" ht="12.75">
      <c r="D30573" s="67"/>
      <c r="G30573" s="68"/>
      <c r="K30573" s="68"/>
    </row>
    <row r="30574" spans="4:11" ht="12.75">
      <c r="D30574" s="67"/>
      <c r="G30574" s="68"/>
      <c r="K30574" s="68"/>
    </row>
    <row r="30575" spans="4:11" ht="12.75">
      <c r="D30575" s="67"/>
      <c r="G30575" s="68"/>
      <c r="K30575" s="68"/>
    </row>
    <row r="30576" spans="4:11" ht="12.75">
      <c r="D30576" s="67"/>
      <c r="G30576" s="68"/>
      <c r="K30576" s="68"/>
    </row>
    <row r="30577" spans="4:11" ht="12.75">
      <c r="D30577" s="67"/>
      <c r="G30577" s="68"/>
      <c r="K30577" s="68"/>
    </row>
    <row r="30578" spans="4:11" ht="12.75">
      <c r="D30578" s="67"/>
      <c r="G30578" s="68"/>
      <c r="K30578" s="68"/>
    </row>
    <row r="30579" spans="4:11" ht="12.75">
      <c r="D30579" s="67"/>
      <c r="G30579" s="68"/>
      <c r="K30579" s="68"/>
    </row>
    <row r="30580" spans="4:11" ht="12.75">
      <c r="D30580" s="67"/>
      <c r="G30580" s="68"/>
      <c r="K30580" s="68"/>
    </row>
    <row r="30581" spans="4:11" ht="12.75">
      <c r="D30581" s="67"/>
      <c r="G30581" s="68"/>
      <c r="K30581" s="68"/>
    </row>
    <row r="30582" spans="4:11" ht="12.75">
      <c r="D30582" s="67"/>
      <c r="G30582" s="68"/>
      <c r="K30582" s="68"/>
    </row>
    <row r="30583" spans="4:11" ht="12.75">
      <c r="D30583" s="67"/>
      <c r="G30583" s="68"/>
      <c r="K30583" s="68"/>
    </row>
    <row r="30584" spans="4:11" ht="12.75">
      <c r="D30584" s="67"/>
      <c r="G30584" s="68"/>
      <c r="K30584" s="68"/>
    </row>
    <row r="30585" spans="4:11" ht="12.75">
      <c r="D30585" s="67"/>
      <c r="G30585" s="68"/>
      <c r="K30585" s="68"/>
    </row>
    <row r="30586" spans="4:11" ht="12.75">
      <c r="D30586" s="67"/>
      <c r="G30586" s="68"/>
      <c r="K30586" s="68"/>
    </row>
    <row r="30587" spans="4:11" ht="12.75">
      <c r="D30587" s="67"/>
      <c r="G30587" s="68"/>
      <c r="K30587" s="68"/>
    </row>
    <row r="30588" spans="4:11" ht="12.75">
      <c r="D30588" s="67"/>
      <c r="G30588" s="68"/>
      <c r="K30588" s="68"/>
    </row>
    <row r="30589" spans="4:11" ht="12.75">
      <c r="D30589" s="67"/>
      <c r="G30589" s="68"/>
      <c r="K30589" s="68"/>
    </row>
    <row r="30590" spans="4:11" ht="12.75">
      <c r="D30590" s="67"/>
      <c r="G30590" s="68"/>
      <c r="K30590" s="68"/>
    </row>
    <row r="30591" spans="4:11" ht="12.75">
      <c r="D30591" s="67"/>
      <c r="G30591" s="68"/>
      <c r="K30591" s="68"/>
    </row>
    <row r="30592" spans="4:11" ht="12.75">
      <c r="D30592" s="67"/>
      <c r="G30592" s="68"/>
      <c r="K30592" s="68"/>
    </row>
    <row r="30593" spans="4:11" ht="12.75">
      <c r="D30593" s="67"/>
      <c r="G30593" s="68"/>
      <c r="K30593" s="68"/>
    </row>
    <row r="30594" spans="4:11" ht="12.75">
      <c r="D30594" s="67"/>
      <c r="G30594" s="68"/>
      <c r="K30594" s="68"/>
    </row>
    <row r="30595" spans="4:11" ht="12.75">
      <c r="D30595" s="67"/>
      <c r="G30595" s="68"/>
      <c r="K30595" s="68"/>
    </row>
    <row r="30596" spans="4:11" ht="12.75">
      <c r="D30596" s="67"/>
      <c r="G30596" s="68"/>
      <c r="K30596" s="68"/>
    </row>
    <row r="30597" spans="4:11" ht="12.75">
      <c r="D30597" s="67"/>
      <c r="G30597" s="68"/>
      <c r="K30597" s="68"/>
    </row>
    <row r="30598" spans="4:11" ht="12.75">
      <c r="D30598" s="67"/>
      <c r="G30598" s="68"/>
      <c r="K30598" s="68"/>
    </row>
    <row r="30599" spans="4:11" ht="12.75">
      <c r="D30599" s="67"/>
      <c r="G30599" s="68"/>
      <c r="K30599" s="68"/>
    </row>
    <row r="30600" spans="4:11" ht="12.75">
      <c r="D30600" s="67"/>
      <c r="G30600" s="68"/>
      <c r="K30600" s="68"/>
    </row>
    <row r="30601" spans="4:11" ht="12.75">
      <c r="D30601" s="67"/>
      <c r="G30601" s="68"/>
      <c r="K30601" s="68"/>
    </row>
    <row r="30602" spans="4:11" ht="12.75">
      <c r="D30602" s="67"/>
      <c r="G30602" s="68"/>
      <c r="K30602" s="68"/>
    </row>
    <row r="30603" spans="4:11" ht="12.75">
      <c r="D30603" s="67"/>
      <c r="G30603" s="68"/>
      <c r="K30603" s="68"/>
    </row>
    <row r="30604" spans="4:11" ht="12.75">
      <c r="D30604" s="67"/>
      <c r="G30604" s="68"/>
      <c r="K30604" s="68"/>
    </row>
    <row r="30605" spans="4:11" ht="12.75">
      <c r="D30605" s="67"/>
      <c r="G30605" s="68"/>
      <c r="K30605" s="68"/>
    </row>
    <row r="30606" spans="4:11" ht="12.75">
      <c r="D30606" s="67"/>
      <c r="G30606" s="68"/>
      <c r="K30606" s="68"/>
    </row>
    <row r="30607" spans="4:11" ht="12.75">
      <c r="D30607" s="67"/>
      <c r="G30607" s="68"/>
      <c r="K30607" s="68"/>
    </row>
    <row r="30608" spans="4:11" ht="12.75">
      <c r="D30608" s="67"/>
      <c r="G30608" s="68"/>
      <c r="K30608" s="68"/>
    </row>
    <row r="30609" spans="4:11" ht="12.75">
      <c r="D30609" s="67"/>
      <c r="G30609" s="68"/>
      <c r="K30609" s="68"/>
    </row>
    <row r="30610" spans="4:11" ht="12.75">
      <c r="D30610" s="67"/>
      <c r="G30610" s="68"/>
      <c r="K30610" s="68"/>
    </row>
    <row r="30611" spans="4:11" ht="12.75">
      <c r="D30611" s="67"/>
      <c r="G30611" s="68"/>
      <c r="K30611" s="68"/>
    </row>
    <row r="30612" spans="4:11" ht="12.75">
      <c r="D30612" s="67"/>
      <c r="G30612" s="68"/>
      <c r="K30612" s="68"/>
    </row>
    <row r="30613" spans="4:11" ht="12.75">
      <c r="D30613" s="67"/>
      <c r="G30613" s="68"/>
      <c r="K30613" s="68"/>
    </row>
    <row r="30614" spans="4:11" ht="12.75">
      <c r="D30614" s="67"/>
      <c r="G30614" s="68"/>
      <c r="K30614" s="68"/>
    </row>
    <row r="30615" spans="4:11" ht="12.75">
      <c r="D30615" s="67"/>
      <c r="G30615" s="68"/>
      <c r="K30615" s="68"/>
    </row>
    <row r="30616" spans="4:11" ht="12.75">
      <c r="D30616" s="67"/>
      <c r="G30616" s="68"/>
      <c r="K30616" s="68"/>
    </row>
    <row r="30617" spans="4:11" ht="12.75">
      <c r="D30617" s="67"/>
      <c r="G30617" s="68"/>
      <c r="K30617" s="68"/>
    </row>
    <row r="30618" spans="4:11" ht="12.75">
      <c r="D30618" s="67"/>
      <c r="G30618" s="68"/>
      <c r="K30618" s="68"/>
    </row>
    <row r="30619" spans="4:11" ht="12.75">
      <c r="D30619" s="67"/>
      <c r="G30619" s="68"/>
      <c r="K30619" s="68"/>
    </row>
    <row r="30620" spans="4:11" ht="12.75">
      <c r="D30620" s="67"/>
      <c r="G30620" s="68"/>
      <c r="K30620" s="68"/>
    </row>
    <row r="30621" spans="4:11" ht="12.75">
      <c r="D30621" s="67"/>
      <c r="G30621" s="68"/>
      <c r="K30621" s="68"/>
    </row>
    <row r="30622" spans="4:11" ht="12.75">
      <c r="D30622" s="67"/>
      <c r="G30622" s="68"/>
      <c r="K30622" s="68"/>
    </row>
    <row r="30623" spans="4:11" ht="12.75">
      <c r="D30623" s="67"/>
      <c r="G30623" s="68"/>
      <c r="K30623" s="68"/>
    </row>
    <row r="30624" spans="4:11" ht="12.75">
      <c r="D30624" s="67"/>
      <c r="G30624" s="68"/>
      <c r="K30624" s="68"/>
    </row>
    <row r="30625" spans="4:11" ht="12.75">
      <c r="D30625" s="67"/>
      <c r="G30625" s="68"/>
      <c r="K30625" s="68"/>
    </row>
    <row r="30626" spans="4:11" ht="12.75">
      <c r="D30626" s="67"/>
      <c r="G30626" s="68"/>
      <c r="K30626" s="68"/>
    </row>
    <row r="30627" spans="4:11" ht="12.75">
      <c r="D30627" s="67"/>
      <c r="G30627" s="68"/>
      <c r="K30627" s="68"/>
    </row>
    <row r="30628" spans="4:11" ht="12.75">
      <c r="D30628" s="67"/>
      <c r="G30628" s="68"/>
      <c r="K30628" s="68"/>
    </row>
    <row r="30629" spans="4:11" ht="12.75">
      <c r="D30629" s="67"/>
      <c r="G30629" s="68"/>
      <c r="K30629" s="68"/>
    </row>
    <row r="30630" spans="4:11" ht="12.75">
      <c r="D30630" s="67"/>
      <c r="G30630" s="68"/>
      <c r="K30630" s="68"/>
    </row>
    <row r="30631" spans="4:11" ht="12.75">
      <c r="D30631" s="67"/>
      <c r="G30631" s="68"/>
      <c r="K30631" s="68"/>
    </row>
    <row r="30632" spans="4:11" ht="12.75">
      <c r="D30632" s="67"/>
      <c r="G30632" s="68"/>
      <c r="K30632" s="68"/>
    </row>
    <row r="30633" spans="4:11" ht="12.75">
      <c r="D30633" s="67"/>
      <c r="G30633" s="68"/>
      <c r="K30633" s="68"/>
    </row>
    <row r="30634" spans="4:11" ht="12.75">
      <c r="D30634" s="67"/>
      <c r="G30634" s="68"/>
      <c r="K30634" s="68"/>
    </row>
    <row r="30635" spans="4:11" ht="12.75">
      <c r="D30635" s="67"/>
      <c r="G30635" s="68"/>
      <c r="K30635" s="68"/>
    </row>
    <row r="30636" spans="4:11" ht="12.75">
      <c r="D30636" s="67"/>
      <c r="G30636" s="68"/>
      <c r="K30636" s="68"/>
    </row>
    <row r="30637" spans="4:11" ht="12.75">
      <c r="D30637" s="67"/>
      <c r="G30637" s="68"/>
      <c r="K30637" s="68"/>
    </row>
    <row r="30638" spans="4:11" ht="12.75">
      <c r="D30638" s="67"/>
      <c r="G30638" s="68"/>
      <c r="K30638" s="68"/>
    </row>
    <row r="30639" spans="4:11" ht="12.75">
      <c r="D30639" s="67"/>
      <c r="G30639" s="68"/>
      <c r="K30639" s="68"/>
    </row>
    <row r="30640" spans="4:11" ht="12.75">
      <c r="D30640" s="67"/>
      <c r="G30640" s="68"/>
      <c r="K30640" s="68"/>
    </row>
    <row r="30641" spans="4:11" ht="12.75">
      <c r="D30641" s="67"/>
      <c r="G30641" s="68"/>
      <c r="K30641" s="68"/>
    </row>
    <row r="30642" spans="4:11" ht="12.75">
      <c r="D30642" s="67"/>
      <c r="G30642" s="68"/>
      <c r="K30642" s="68"/>
    </row>
    <row r="30643" spans="4:11" ht="12.75">
      <c r="D30643" s="67"/>
      <c r="G30643" s="68"/>
      <c r="K30643" s="68"/>
    </row>
    <row r="30644" spans="4:11" ht="12.75">
      <c r="D30644" s="67"/>
      <c r="G30644" s="68"/>
      <c r="K30644" s="68"/>
    </row>
    <row r="30645" spans="4:11" ht="12.75">
      <c r="D30645" s="67"/>
      <c r="G30645" s="68"/>
      <c r="K30645" s="68"/>
    </row>
    <row r="30646" spans="4:11" ht="12.75">
      <c r="D30646" s="67"/>
      <c r="G30646" s="68"/>
      <c r="K30646" s="68"/>
    </row>
    <row r="30647" spans="4:11" ht="12.75">
      <c r="D30647" s="67"/>
      <c r="G30647" s="68"/>
      <c r="K30647" s="68"/>
    </row>
    <row r="30648" spans="4:11" ht="12.75">
      <c r="D30648" s="67"/>
      <c r="G30648" s="68"/>
      <c r="K30648" s="68"/>
    </row>
    <row r="30649" spans="4:11" ht="12.75">
      <c r="D30649" s="67"/>
      <c r="G30649" s="68"/>
      <c r="K30649" s="68"/>
    </row>
    <row r="30650" spans="4:11" ht="12.75">
      <c r="D30650" s="67"/>
      <c r="G30650" s="68"/>
      <c r="K30650" s="68"/>
    </row>
    <row r="30651" spans="4:11" ht="12.75">
      <c r="D30651" s="67"/>
      <c r="G30651" s="68"/>
      <c r="K30651" s="68"/>
    </row>
    <row r="30652" spans="4:11" ht="12.75">
      <c r="D30652" s="67"/>
      <c r="G30652" s="68"/>
      <c r="K30652" s="68"/>
    </row>
    <row r="30653" spans="4:11" ht="12.75">
      <c r="D30653" s="67"/>
      <c r="G30653" s="68"/>
      <c r="K30653" s="68"/>
    </row>
    <row r="30654" spans="4:11" ht="12.75">
      <c r="D30654" s="67"/>
      <c r="G30654" s="68"/>
      <c r="K30654" s="68"/>
    </row>
    <row r="30655" spans="4:11" ht="12.75">
      <c r="D30655" s="67"/>
      <c r="G30655" s="68"/>
      <c r="K30655" s="68"/>
    </row>
    <row r="30656" spans="4:11" ht="12.75">
      <c r="D30656" s="67"/>
      <c r="G30656" s="68"/>
      <c r="K30656" s="68"/>
    </row>
    <row r="30657" spans="4:11" ht="12.75">
      <c r="D30657" s="67"/>
      <c r="G30657" s="68"/>
      <c r="K30657" s="68"/>
    </row>
    <row r="30658" spans="4:11" ht="12.75">
      <c r="D30658" s="67"/>
      <c r="G30658" s="68"/>
      <c r="K30658" s="68"/>
    </row>
    <row r="30659" spans="4:11" ht="12.75">
      <c r="D30659" s="67"/>
      <c r="G30659" s="68"/>
      <c r="K30659" s="68"/>
    </row>
    <row r="30660" spans="4:11" ht="12.75">
      <c r="D30660" s="67"/>
      <c r="G30660" s="68"/>
      <c r="K30660" s="68"/>
    </row>
    <row r="30661" spans="4:11" ht="12.75">
      <c r="D30661" s="67"/>
      <c r="G30661" s="68"/>
      <c r="K30661" s="68"/>
    </row>
    <row r="30662" spans="4:11" ht="12.75">
      <c r="D30662" s="67"/>
      <c r="G30662" s="68"/>
      <c r="K30662" s="68"/>
    </row>
    <row r="30663" spans="4:11" ht="12.75">
      <c r="D30663" s="67"/>
      <c r="G30663" s="68"/>
      <c r="K30663" s="68"/>
    </row>
    <row r="30664" spans="4:11" ht="12.75">
      <c r="D30664" s="67"/>
      <c r="G30664" s="68"/>
      <c r="K30664" s="68"/>
    </row>
    <row r="30665" spans="4:11" ht="12.75">
      <c r="D30665" s="67"/>
      <c r="G30665" s="68"/>
      <c r="K30665" s="68"/>
    </row>
    <row r="30666" spans="4:11" ht="12.75">
      <c r="D30666" s="67"/>
      <c r="G30666" s="68"/>
      <c r="K30666" s="68"/>
    </row>
    <row r="30667" spans="4:11" ht="12.75">
      <c r="D30667" s="67"/>
      <c r="G30667" s="68"/>
      <c r="K30667" s="68"/>
    </row>
    <row r="30668" spans="4:11" ht="12.75">
      <c r="D30668" s="67"/>
      <c r="G30668" s="68"/>
      <c r="K30668" s="68"/>
    </row>
    <row r="30669" spans="4:11" ht="12.75">
      <c r="D30669" s="67"/>
      <c r="G30669" s="68"/>
      <c r="K30669" s="68"/>
    </row>
    <row r="30670" spans="4:11" ht="12.75">
      <c r="D30670" s="67"/>
      <c r="G30670" s="68"/>
      <c r="K30670" s="68"/>
    </row>
    <row r="30671" spans="4:11" ht="12.75">
      <c r="D30671" s="67"/>
      <c r="G30671" s="68"/>
      <c r="K30671" s="68"/>
    </row>
    <row r="30672" spans="4:11" ht="12.75">
      <c r="D30672" s="67"/>
      <c r="G30672" s="68"/>
      <c r="K30672" s="68"/>
    </row>
    <row r="30673" spans="4:11" ht="12.75">
      <c r="D30673" s="67"/>
      <c r="G30673" s="68"/>
      <c r="K30673" s="68"/>
    </row>
    <row r="30674" spans="4:11" ht="12.75">
      <c r="D30674" s="67"/>
      <c r="G30674" s="68"/>
      <c r="K30674" s="68"/>
    </row>
    <row r="30675" spans="4:11" ht="12.75">
      <c r="D30675" s="67"/>
      <c r="G30675" s="68"/>
      <c r="K30675" s="68"/>
    </row>
    <row r="30676" spans="4:11" ht="12.75">
      <c r="D30676" s="67"/>
      <c r="G30676" s="68"/>
      <c r="K30676" s="68"/>
    </row>
    <row r="30677" spans="4:11" ht="12.75">
      <c r="D30677" s="67"/>
      <c r="G30677" s="68"/>
      <c r="K30677" s="68"/>
    </row>
    <row r="30678" spans="4:11" ht="12.75">
      <c r="D30678" s="67"/>
      <c r="G30678" s="68"/>
      <c r="K30678" s="68"/>
    </row>
    <row r="30679" spans="4:11" ht="12.75">
      <c r="D30679" s="67"/>
      <c r="G30679" s="68"/>
      <c r="K30679" s="68"/>
    </row>
    <row r="30680" spans="4:11" ht="12.75">
      <c r="D30680" s="67"/>
      <c r="G30680" s="68"/>
      <c r="K30680" s="68"/>
    </row>
    <row r="30681" spans="4:11" ht="12.75">
      <c r="D30681" s="67"/>
      <c r="G30681" s="68"/>
      <c r="K30681" s="68"/>
    </row>
    <row r="30682" spans="4:11" ht="12.75">
      <c r="D30682" s="67"/>
      <c r="G30682" s="68"/>
      <c r="K30682" s="68"/>
    </row>
    <row r="30683" spans="4:11" ht="12.75">
      <c r="D30683" s="67"/>
      <c r="G30683" s="68"/>
      <c r="K30683" s="68"/>
    </row>
    <row r="30684" spans="4:11" ht="12.75">
      <c r="D30684" s="67"/>
      <c r="G30684" s="68"/>
      <c r="K30684" s="68"/>
    </row>
    <row r="30685" spans="4:11" ht="12.75">
      <c r="D30685" s="67"/>
      <c r="G30685" s="68"/>
      <c r="K30685" s="68"/>
    </row>
    <row r="30686" spans="4:11" ht="12.75">
      <c r="D30686" s="67"/>
      <c r="G30686" s="68"/>
      <c r="K30686" s="68"/>
    </row>
    <row r="30687" spans="4:11" ht="12.75">
      <c r="D30687" s="67"/>
      <c r="G30687" s="68"/>
      <c r="K30687" s="68"/>
    </row>
    <row r="30688" spans="4:11" ht="12.75">
      <c r="D30688" s="67"/>
      <c r="G30688" s="68"/>
      <c r="K30688" s="68"/>
    </row>
    <row r="30689" spans="4:11" ht="12.75">
      <c r="D30689" s="67"/>
      <c r="G30689" s="68"/>
      <c r="K30689" s="68"/>
    </row>
    <row r="30690" spans="4:11" ht="12.75">
      <c r="D30690" s="67"/>
      <c r="G30690" s="68"/>
      <c r="K30690" s="68"/>
    </row>
    <row r="30691" spans="4:11" ht="12.75">
      <c r="D30691" s="67"/>
      <c r="G30691" s="68"/>
      <c r="K30691" s="68"/>
    </row>
    <row r="30692" spans="4:11" ht="12.75">
      <c r="D30692" s="67"/>
      <c r="G30692" s="68"/>
      <c r="K30692" s="68"/>
    </row>
    <row r="30693" spans="4:11" ht="12.75">
      <c r="D30693" s="67"/>
      <c r="G30693" s="68"/>
      <c r="K30693" s="68"/>
    </row>
    <row r="30694" spans="4:11" ht="12.75">
      <c r="D30694" s="67"/>
      <c r="G30694" s="68"/>
      <c r="K30694" s="68"/>
    </row>
    <row r="30695" spans="4:11" ht="12.75">
      <c r="D30695" s="67"/>
      <c r="G30695" s="68"/>
      <c r="K30695" s="68"/>
    </row>
    <row r="30696" spans="4:11" ht="12.75">
      <c r="D30696" s="67"/>
      <c r="G30696" s="68"/>
      <c r="K30696" s="68"/>
    </row>
    <row r="30697" spans="4:11" ht="12.75">
      <c r="D30697" s="67"/>
      <c r="G30697" s="68"/>
      <c r="K30697" s="68"/>
    </row>
    <row r="30698" spans="4:11" ht="12.75">
      <c r="D30698" s="67"/>
      <c r="G30698" s="68"/>
      <c r="K30698" s="68"/>
    </row>
    <row r="30699" spans="4:11" ht="12.75">
      <c r="D30699" s="67"/>
      <c r="G30699" s="68"/>
      <c r="K30699" s="68"/>
    </row>
    <row r="30700" spans="4:11" ht="12.75">
      <c r="D30700" s="67"/>
      <c r="G30700" s="68"/>
      <c r="K30700" s="68"/>
    </row>
    <row r="30701" spans="4:11" ht="12.75">
      <c r="D30701" s="67"/>
      <c r="G30701" s="68"/>
      <c r="K30701" s="68"/>
    </row>
    <row r="30702" spans="4:11" ht="12.75">
      <c r="D30702" s="67"/>
      <c r="G30702" s="68"/>
      <c r="K30702" s="68"/>
    </row>
    <row r="30703" spans="4:11" ht="12.75">
      <c r="D30703" s="67"/>
      <c r="G30703" s="68"/>
      <c r="K30703" s="68"/>
    </row>
    <row r="30704" spans="4:11" ht="12.75">
      <c r="D30704" s="67"/>
      <c r="G30704" s="68"/>
      <c r="K30704" s="68"/>
    </row>
    <row r="30705" spans="4:11" ht="12.75">
      <c r="D30705" s="67"/>
      <c r="G30705" s="68"/>
      <c r="K30705" s="68"/>
    </row>
    <row r="30706" spans="4:11" ht="12.75">
      <c r="D30706" s="67"/>
      <c r="G30706" s="68"/>
      <c r="K30706" s="68"/>
    </row>
    <row r="30707" spans="4:11" ht="12.75">
      <c r="D30707" s="67"/>
      <c r="G30707" s="68"/>
      <c r="K30707" s="68"/>
    </row>
    <row r="30708" spans="4:11" ht="12.75">
      <c r="D30708" s="67"/>
      <c r="G30708" s="68"/>
      <c r="K30708" s="68"/>
    </row>
    <row r="30709" spans="4:11" ht="12.75">
      <c r="D30709" s="67"/>
      <c r="G30709" s="68"/>
      <c r="K30709" s="68"/>
    </row>
    <row r="30710" spans="4:11" ht="12.75">
      <c r="D30710" s="67"/>
      <c r="G30710" s="68"/>
      <c r="K30710" s="68"/>
    </row>
    <row r="30711" spans="4:11" ht="12.75">
      <c r="D30711" s="67"/>
      <c r="G30711" s="68"/>
      <c r="K30711" s="68"/>
    </row>
    <row r="30712" spans="4:11" ht="12.75">
      <c r="D30712" s="67"/>
      <c r="G30712" s="68"/>
      <c r="K30712" s="68"/>
    </row>
    <row r="30713" spans="4:11" ht="12.75">
      <c r="D30713" s="67"/>
      <c r="G30713" s="68"/>
      <c r="K30713" s="68"/>
    </row>
    <row r="30714" spans="4:11" ht="12.75">
      <c r="D30714" s="67"/>
      <c r="G30714" s="68"/>
      <c r="K30714" s="6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14"/>
  <sheetViews>
    <sheetView workbookViewId="0"/>
  </sheetViews>
  <sheetFormatPr defaultColWidth="12.5703125" defaultRowHeight="15.75" customHeight="1"/>
  <cols>
    <col min="1" max="1" width="45.5703125" customWidth="1"/>
    <col min="2" max="3" width="18" customWidth="1"/>
  </cols>
  <sheetData>
    <row r="1" spans="1:3" ht="45" customHeight="1">
      <c r="A1" s="71" t="str">
        <f ca="1">IFERROR(__xludf.DUMMYFUNCTION("IMPORTRANGE(""https://docs.google.com/spreadsheets/d/1vLINvyoXF57UZgvnO4__Q_EJahmr2ZF06sPVcW84FoI/edit#gid=407764"", ""Виды услуг!A1:E"")"),"Вид услуги")</f>
        <v>Вид услуги</v>
      </c>
      <c r="B1" s="72" t="str">
        <f ca="1">IFERROR(__xludf.DUMMYFUNCTION("""COMPUTED_VALUE"""),"Тариф на объем, руб./куб.м. в т.ч. НДС")</f>
        <v>Тариф на объем, руб./куб.м. в т.ч. НДС</v>
      </c>
      <c r="C1" s="72" t="str">
        <f ca="1">IFERROR(__xludf.DUMMYFUNCTION("""COMPUTED_VALUE"""),"Тариф на массу, 
руб./тонн. в т.ч. НДС")</f>
        <v>Тариф на массу, 
руб./тонн. в т.ч. НДС</v>
      </c>
    </row>
    <row r="2" spans="1:3" ht="12.75">
      <c r="A2" s="1" t="str">
        <f ca="1">IFERROR(__xludf.DUMMYFUNCTION("""COMPUTED_VALUE"""),"На накопление строительных отходов")</f>
        <v>На накопление строительных отходов</v>
      </c>
      <c r="B2" s="73"/>
      <c r="C2" s="74">
        <f ca="1">IFERROR(__xludf.DUMMYFUNCTION("""COMPUTED_VALUE"""),425)</f>
        <v>425</v>
      </c>
    </row>
    <row r="3" spans="1:3" ht="12.75">
      <c r="A3" s="1" t="str">
        <f ca="1">IFERROR(__xludf.DUMMYFUNCTION("""COMPUTED_VALUE"""),"Прием снега")</f>
        <v>Прием снега</v>
      </c>
      <c r="B3" s="74">
        <f ca="1">IFERROR(__xludf.DUMMYFUNCTION("""COMPUTED_VALUE"""),50)</f>
        <v>50</v>
      </c>
      <c r="C3" s="73"/>
    </row>
    <row r="4" spans="1:3" ht="12.75">
      <c r="A4" s="1" t="str">
        <f ca="1">IFERROR(__xludf.DUMMYFUNCTION("""COMPUTED_VALUE"""),"На накопление отходов СУББОТНИКА")</f>
        <v>На накопление отходов СУББОТНИКА</v>
      </c>
      <c r="B4" s="1" t="str">
        <f ca="1">IFERROR(__xludf.DUMMYFUNCTION("""COMPUTED_VALUE"""),"___________________")</f>
        <v>___________________</v>
      </c>
      <c r="C4" s="1" t="str">
        <f ca="1">IFERROR(__xludf.DUMMYFUNCTION("""COMPUTED_VALUE"""),"________________")</f>
        <v>________________</v>
      </c>
    </row>
    <row r="5" spans="1:3" ht="12.75">
      <c r="A5" s="1" t="str">
        <f ca="1">IFERROR(__xludf.DUMMYFUNCTION("""COMPUTED_VALUE"""),"Накопление строительных отходов/")</f>
        <v>Накопление строительных отходов/</v>
      </c>
      <c r="B5" s="1"/>
      <c r="C5" s="74">
        <f ca="1">IFERROR(__xludf.DUMMYFUNCTION("""COMPUTED_VALUE"""),1553)</f>
        <v>1553</v>
      </c>
    </row>
    <row r="6" spans="1:3" ht="12.75">
      <c r="A6" s="1" t="str">
        <f ca="1">IFERROR(__xludf.DUMMYFUNCTION("""COMPUTED_VALUE"""),"Транспортирование и накопление строительных отходов/")</f>
        <v>Транспортирование и накопление строительных отходов/</v>
      </c>
      <c r="B6" s="73">
        <f ca="1">IFERROR(__xludf.DUMMYFUNCTION("""COMPUTED_VALUE"""),1000)</f>
        <v>1000</v>
      </c>
      <c r="C6" s="74"/>
    </row>
    <row r="7" spans="1:3" ht="12.75">
      <c r="A7" s="1" t="str">
        <f ca="1">IFERROR(__xludf.DUMMYFUNCTION("""COMPUTED_VALUE"""),"Накопление строительных отходов*")</f>
        <v>Накопление строительных отходов*</v>
      </c>
      <c r="B7" s="1"/>
      <c r="C7" s="74">
        <f ca="1">IFERROR(__xludf.DUMMYFUNCTION("""COMPUTED_VALUE"""),960)</f>
        <v>960</v>
      </c>
    </row>
    <row r="8" spans="1:3" ht="12.75">
      <c r="A8" s="1" t="str">
        <f ca="1">IFERROR(__xludf.DUMMYFUNCTION("""COMPUTED_VALUE"""),"Накопление растительных и древесных отходов")</f>
        <v>Накопление растительных и древесных отходов</v>
      </c>
      <c r="B8" s="1"/>
      <c r="C8" s="74">
        <f ca="1">IFERROR(__xludf.DUMMYFUNCTION("""COMPUTED_VALUE"""),1553)</f>
        <v>1553</v>
      </c>
    </row>
    <row r="9" spans="1:3" ht="12.75">
      <c r="A9" s="1" t="str">
        <f ca="1">IFERROR(__xludf.DUMMYFUNCTION("""COMPUTED_VALUE"""),"Накопление строительных отходов/ГОР")</f>
        <v>Накопление строительных отходов/ГОР</v>
      </c>
      <c r="B9" s="1"/>
      <c r="C9" s="73">
        <f ca="1">IFERROR(__xludf.DUMMYFUNCTION("""COMPUTED_VALUE"""),1553)</f>
        <v>1553</v>
      </c>
    </row>
    <row r="10" spans="1:3" ht="12.75">
      <c r="A10" s="1" t="str">
        <f ca="1">IFERROR(__xludf.DUMMYFUNCTION("""COMPUTED_VALUE"""),"Накопление строительных отходов, с 14.08.2020г.")</f>
        <v>Накопление строительных отходов, с 14.08.2020г.</v>
      </c>
      <c r="B10" s="1"/>
      <c r="C10" s="73">
        <f ca="1">IFERROR(__xludf.DUMMYFUNCTION("""COMPUTED_VALUE"""),650)</f>
        <v>650</v>
      </c>
    </row>
    <row r="11" spans="1:3" ht="12.75">
      <c r="A11" s="1" t="str">
        <f ca="1">IFERROR(__xludf.DUMMYFUNCTION("""COMPUTED_VALUE"""),"Накопление растительных и древесных отходов, с 14.08.2020г.")</f>
        <v>Накопление растительных и древесных отходов, с 14.08.2020г.</v>
      </c>
      <c r="B11" s="1"/>
      <c r="C11" s="73">
        <f ca="1">IFERROR(__xludf.DUMMYFUNCTION("""COMPUTED_VALUE"""),1000)</f>
        <v>1000</v>
      </c>
    </row>
    <row r="12" spans="1:3" ht="12.75">
      <c r="A12" s="1" t="str">
        <f ca="1">IFERROR(__xludf.DUMMYFUNCTION("""COMPUTED_VALUE"""),"Накопление строительных отходов, с 23.08.2022г.")</f>
        <v>Накопление строительных отходов, с 23.08.2022г.</v>
      </c>
      <c r="B12" s="1"/>
      <c r="C12" s="73">
        <f ca="1">IFERROR(__xludf.DUMMYFUNCTION("""COMPUTED_VALUE"""),450)</f>
        <v>450</v>
      </c>
    </row>
    <row r="13" spans="1:3" ht="12.75">
      <c r="A13" s="1"/>
      <c r="B13" s="1"/>
      <c r="C13" s="1"/>
    </row>
    <row r="14" spans="1:3" ht="12.75">
      <c r="A14" s="1"/>
      <c r="B14" s="1"/>
      <c r="C1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</sheetPr>
  <dimension ref="A1:AE10"/>
  <sheetViews>
    <sheetView workbookViewId="0"/>
  </sheetViews>
  <sheetFormatPr defaultColWidth="12.5703125" defaultRowHeight="15.75" customHeight="1"/>
  <cols>
    <col min="4" max="5" width="18.5703125" customWidth="1"/>
    <col min="6" max="6" width="9.85546875" customWidth="1"/>
    <col min="7" max="8" width="18.5703125" customWidth="1"/>
  </cols>
  <sheetData>
    <row r="1" spans="1:31" ht="33.75" customHeight="1">
      <c r="A1" s="280" t="s">
        <v>135</v>
      </c>
      <c r="B1" s="271"/>
      <c r="C1" s="274"/>
      <c r="D1" s="281">
        <v>43497</v>
      </c>
      <c r="E1" s="272"/>
      <c r="F1" s="75" t="s">
        <v>30</v>
      </c>
      <c r="G1" s="282">
        <v>43524</v>
      </c>
      <c r="H1" s="274"/>
      <c r="I1" s="76"/>
      <c r="J1" s="77"/>
      <c r="K1" s="77"/>
      <c r="L1" s="1"/>
      <c r="M1" s="78"/>
      <c r="N1" s="78"/>
      <c r="O1" s="78"/>
      <c r="P1" s="1"/>
      <c r="Q1" s="1"/>
      <c r="R1" s="1"/>
      <c r="S1" s="1"/>
      <c r="T1" s="1"/>
      <c r="U1" s="1"/>
      <c r="V1" s="1"/>
      <c r="W1" s="1"/>
      <c r="X1" s="1"/>
      <c r="Y1" s="78"/>
      <c r="Z1" s="1"/>
      <c r="AA1" s="1"/>
      <c r="AB1" s="1"/>
      <c r="AC1" s="1"/>
      <c r="AD1" s="77"/>
      <c r="AE1" s="77"/>
    </row>
    <row r="2" spans="1:31" ht="33.75" customHeight="1">
      <c r="A2" s="280" t="s">
        <v>136</v>
      </c>
      <c r="B2" s="271"/>
      <c r="C2" s="274"/>
      <c r="D2" s="283" t="s">
        <v>10</v>
      </c>
      <c r="E2" s="271"/>
      <c r="F2" s="271"/>
      <c r="G2" s="271"/>
      <c r="H2" s="27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25.5">
      <c r="A3" s="79"/>
      <c r="B3" s="79"/>
      <c r="C3" s="79"/>
      <c r="D3" s="80"/>
      <c r="E3" s="80"/>
      <c r="F3" s="81" t="s">
        <v>137</v>
      </c>
      <c r="G3" s="80"/>
      <c r="H3" s="8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45" customHeight="1">
      <c r="A4" s="278" t="s">
        <v>138</v>
      </c>
      <c r="B4" s="271"/>
      <c r="C4" s="271"/>
      <c r="D4" s="271"/>
      <c r="E4" s="274"/>
      <c r="F4" s="279"/>
      <c r="G4" s="271"/>
      <c r="H4" s="274"/>
      <c r="I4" s="1"/>
      <c r="J4" s="1"/>
      <c r="K4" s="77"/>
      <c r="L4" s="1"/>
      <c r="M4" s="73"/>
      <c r="N4" s="73"/>
      <c r="O4" s="73"/>
      <c r="P4" s="73"/>
      <c r="Q4" s="73"/>
      <c r="R4" s="73"/>
      <c r="S4" s="73"/>
      <c r="T4" s="1"/>
      <c r="U4" s="1"/>
      <c r="V4" s="1"/>
      <c r="W4" s="1"/>
      <c r="X4" s="1"/>
      <c r="Y4" s="73"/>
      <c r="Z4" s="1"/>
      <c r="AA4" s="1"/>
      <c r="AB4" s="1"/>
      <c r="AC4" s="1"/>
      <c r="AD4" s="1"/>
      <c r="AE4" s="1"/>
    </row>
    <row r="5" spans="1:31" ht="45" customHeight="1">
      <c r="A5" s="82"/>
      <c r="B5" s="82"/>
      <c r="C5" s="82"/>
      <c r="D5" s="83"/>
      <c r="E5" s="83"/>
      <c r="F5" s="84" t="s">
        <v>139</v>
      </c>
      <c r="G5" s="85"/>
      <c r="H5" s="8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45" customHeight="1">
      <c r="A6" s="270" t="s">
        <v>140</v>
      </c>
      <c r="B6" s="271"/>
      <c r="C6" s="271"/>
      <c r="D6" s="271"/>
      <c r="E6" s="272"/>
      <c r="F6" s="273"/>
      <c r="G6" s="271"/>
      <c r="H6" s="274"/>
      <c r="I6" s="1"/>
      <c r="J6" s="1"/>
      <c r="K6" s="77"/>
      <c r="L6" s="1"/>
      <c r="M6" s="73"/>
      <c r="N6" s="73"/>
      <c r="O6" s="73"/>
      <c r="P6" s="73"/>
      <c r="Q6" s="73"/>
      <c r="R6" s="73"/>
      <c r="S6" s="73"/>
      <c r="T6" s="1"/>
      <c r="U6" s="1"/>
      <c r="V6" s="1"/>
      <c r="W6" s="1"/>
      <c r="X6" s="1"/>
      <c r="Y6" s="73"/>
      <c r="Z6" s="1"/>
      <c r="AA6" s="1"/>
      <c r="AB6" s="1"/>
      <c r="AC6" s="1"/>
      <c r="AD6" s="1"/>
      <c r="AE6" s="1"/>
    </row>
    <row r="7" spans="1:31" ht="45" customHeight="1">
      <c r="A7" s="82"/>
      <c r="B7" s="82"/>
      <c r="C7" s="82"/>
      <c r="D7" s="83"/>
      <c r="E7" s="83"/>
      <c r="F7" s="84" t="s">
        <v>141</v>
      </c>
      <c r="G7" s="85"/>
      <c r="H7" s="8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45" customHeight="1">
      <c r="A8" s="275" t="s">
        <v>142</v>
      </c>
      <c r="B8" s="271"/>
      <c r="C8" s="271"/>
      <c r="D8" s="271"/>
      <c r="E8" s="274"/>
      <c r="F8" s="276"/>
      <c r="G8" s="271"/>
      <c r="H8" s="274"/>
      <c r="I8" s="1"/>
      <c r="J8" s="1"/>
      <c r="K8" s="77"/>
      <c r="L8" s="1"/>
      <c r="M8" s="73"/>
      <c r="N8" s="73"/>
      <c r="O8" s="73"/>
      <c r="P8" s="73"/>
      <c r="Q8" s="73"/>
      <c r="R8" s="73"/>
      <c r="S8" s="73"/>
      <c r="T8" s="1"/>
      <c r="U8" s="1"/>
      <c r="V8" s="1"/>
      <c r="W8" s="1"/>
      <c r="X8" s="1"/>
      <c r="Y8" s="73"/>
      <c r="Z8" s="1"/>
      <c r="AA8" s="1"/>
      <c r="AB8" s="1"/>
      <c r="AC8" s="1"/>
      <c r="AD8" s="1"/>
      <c r="AE8" s="1"/>
    </row>
    <row r="9" spans="1:31" ht="45" customHeight="1">
      <c r="A9" s="82"/>
      <c r="B9" s="82"/>
      <c r="C9" s="82"/>
      <c r="D9" s="83"/>
      <c r="E9" s="83"/>
      <c r="F9" s="86" t="s">
        <v>143</v>
      </c>
      <c r="G9" s="85"/>
      <c r="H9" s="8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45" customHeight="1">
      <c r="A10" s="277" t="s">
        <v>144</v>
      </c>
      <c r="B10" s="271"/>
      <c r="C10" s="271"/>
      <c r="D10" s="271"/>
      <c r="E10" s="272"/>
      <c r="F10" s="273"/>
      <c r="G10" s="271"/>
      <c r="H10" s="274"/>
      <c r="I10" s="1"/>
      <c r="J10" s="1"/>
      <c r="K10" s="77"/>
      <c r="L10" s="1"/>
      <c r="M10" s="73"/>
      <c r="N10" s="73"/>
      <c r="O10" s="73"/>
      <c r="P10" s="73"/>
      <c r="Q10" s="73"/>
      <c r="R10" s="73"/>
      <c r="S10" s="73"/>
      <c r="T10" s="1"/>
      <c r="U10" s="1"/>
      <c r="V10" s="1"/>
      <c r="W10" s="1"/>
      <c r="X10" s="1"/>
      <c r="Y10" s="73"/>
      <c r="Z10" s="1"/>
      <c r="AA10" s="1"/>
      <c r="AB10" s="1"/>
      <c r="AC10" s="1"/>
      <c r="AD10" s="1"/>
      <c r="AE10" s="1"/>
    </row>
  </sheetData>
  <mergeCells count="13">
    <mergeCell ref="A4:E4"/>
    <mergeCell ref="F4:H4"/>
    <mergeCell ref="A1:C1"/>
    <mergeCell ref="D1:E1"/>
    <mergeCell ref="G1:H1"/>
    <mergeCell ref="A2:C2"/>
    <mergeCell ref="D2:H2"/>
    <mergeCell ref="A6:E6"/>
    <mergeCell ref="F6:H6"/>
    <mergeCell ref="A8:E8"/>
    <mergeCell ref="F8:H8"/>
    <mergeCell ref="A10:E10"/>
    <mergeCell ref="F10:H10"/>
  </mergeCells>
  <dataValidations count="1">
    <dataValidation type="list" allowBlank="1" showErrorMessage="1" sqref="D2" xr:uid="{00000000-0002-0000-0A00-000000000000}">
      <formula1>"Ленинский полигон,Кировский полигон"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55709"/>
  <sheetViews>
    <sheetView workbookViewId="0"/>
  </sheetViews>
  <sheetFormatPr defaultColWidth="12.5703125" defaultRowHeight="15.75" customHeight="1"/>
  <cols>
    <col min="1" max="2" width="29.42578125" customWidth="1"/>
  </cols>
  <sheetData>
    <row r="1" spans="1:2" ht="15.75" customHeight="1">
      <c r="A1" s="2" t="s">
        <v>145</v>
      </c>
      <c r="B1" s="2" t="s">
        <v>146</v>
      </c>
    </row>
    <row r="3" spans="1:2" ht="15.75" customHeight="1">
      <c r="A3" s="2" t="s">
        <v>147</v>
      </c>
    </row>
    <row r="4" spans="1:2" ht="15.75" customHeight="1">
      <c r="A4" s="2" t="s">
        <v>148</v>
      </c>
    </row>
    <row r="5" spans="1:2" ht="15.75" customHeight="1">
      <c r="A5" s="2" t="s">
        <v>148</v>
      </c>
    </row>
    <row r="6" spans="1:2" ht="15.75" customHeight="1">
      <c r="A6" s="2" t="s">
        <v>148</v>
      </c>
    </row>
    <row r="7" spans="1:2" ht="15.75" customHeight="1">
      <c r="A7" s="2" t="s">
        <v>148</v>
      </c>
    </row>
    <row r="8" spans="1:2" ht="15.75" customHeight="1">
      <c r="A8" s="2" t="s">
        <v>148</v>
      </c>
    </row>
    <row r="9" spans="1:2" ht="15.75" customHeight="1">
      <c r="A9" s="2" t="s">
        <v>148</v>
      </c>
    </row>
    <row r="10" spans="1:2" ht="15.75" customHeight="1">
      <c r="A10" s="2" t="s">
        <v>148</v>
      </c>
    </row>
    <row r="11" spans="1:2" ht="15.75" customHeight="1">
      <c r="A11" s="2" t="s">
        <v>148</v>
      </c>
    </row>
    <row r="12" spans="1:2" ht="15.75" customHeight="1">
      <c r="A12" s="2" t="s">
        <v>149</v>
      </c>
    </row>
    <row r="14" spans="1:2" ht="15.75" customHeight="1">
      <c r="A14" s="2" t="s">
        <v>150</v>
      </c>
    </row>
    <row r="15" spans="1:2" ht="15.75" customHeight="1">
      <c r="A15" s="2" t="s">
        <v>150</v>
      </c>
    </row>
    <row r="16" spans="1:2" ht="15.75" customHeight="1">
      <c r="A16" s="2" t="s">
        <v>150</v>
      </c>
    </row>
    <row r="20" spans="1:1" ht="15.75" customHeight="1">
      <c r="A20" s="2" t="s">
        <v>150</v>
      </c>
    </row>
    <row r="21" spans="1:1" ht="15.75" customHeight="1">
      <c r="A21" s="2" t="s">
        <v>150</v>
      </c>
    </row>
    <row r="22" spans="1:1" ht="15.75" customHeight="1">
      <c r="A22" s="2" t="s">
        <v>150</v>
      </c>
    </row>
    <row r="23" spans="1:1" ht="15.75" customHeight="1">
      <c r="A23" s="2" t="s">
        <v>150</v>
      </c>
    </row>
    <row r="24" spans="1:1" ht="15.75" customHeight="1">
      <c r="A24" s="2" t="s">
        <v>151</v>
      </c>
    </row>
    <row r="25" spans="1:1" ht="15.75" customHeight="1">
      <c r="A25" s="2" t="s">
        <v>151</v>
      </c>
    </row>
    <row r="26" spans="1:1" ht="15.75" customHeight="1">
      <c r="A26" s="2" t="s">
        <v>151</v>
      </c>
    </row>
    <row r="27" spans="1:1" ht="15.75" customHeight="1">
      <c r="A27" s="2" t="s">
        <v>151</v>
      </c>
    </row>
    <row r="28" spans="1:1" ht="15.75" customHeight="1">
      <c r="A28" s="2" t="s">
        <v>151</v>
      </c>
    </row>
    <row r="29" spans="1:1" ht="15.75" customHeight="1">
      <c r="A29" s="2" t="s">
        <v>152</v>
      </c>
    </row>
    <row r="30" spans="1:1" ht="15.75" customHeight="1">
      <c r="A30" s="2" t="s">
        <v>152</v>
      </c>
    </row>
    <row r="31" spans="1:1" ht="15.75" customHeight="1">
      <c r="A31" s="2" t="s">
        <v>152</v>
      </c>
    </row>
    <row r="32" spans="1:1" ht="15.75" customHeight="1">
      <c r="A32" s="2" t="s">
        <v>152</v>
      </c>
    </row>
    <row r="33" spans="1:1" ht="15.75" customHeight="1">
      <c r="A33" s="2" t="s">
        <v>152</v>
      </c>
    </row>
    <row r="34" spans="1:1" ht="15.75" customHeight="1">
      <c r="A34" s="2" t="s">
        <v>152</v>
      </c>
    </row>
    <row r="35" spans="1:1" ht="15.75" customHeight="1">
      <c r="A35" s="2" t="s">
        <v>152</v>
      </c>
    </row>
    <row r="36" spans="1:1" ht="15.75" customHeight="1">
      <c r="A36" s="2" t="s">
        <v>152</v>
      </c>
    </row>
    <row r="37" spans="1:1" ht="15.75" customHeight="1">
      <c r="A37" s="2" t="s">
        <v>152</v>
      </c>
    </row>
    <row r="38" spans="1:1" ht="12.75">
      <c r="A38" s="2" t="s">
        <v>152</v>
      </c>
    </row>
    <row r="39" spans="1:1" ht="12.75">
      <c r="A39" s="2" t="s">
        <v>152</v>
      </c>
    </row>
    <row r="40" spans="1:1" ht="12.75">
      <c r="A40" s="2" t="s">
        <v>152</v>
      </c>
    </row>
    <row r="41" spans="1:1" ht="12.75">
      <c r="A41" s="2" t="s">
        <v>152</v>
      </c>
    </row>
    <row r="42" spans="1:1" ht="12.75">
      <c r="A42" s="2" t="s">
        <v>152</v>
      </c>
    </row>
    <row r="43" spans="1:1" ht="12.75">
      <c r="A43" s="2" t="s">
        <v>152</v>
      </c>
    </row>
    <row r="44" spans="1:1" ht="12.75">
      <c r="A44" s="2" t="s">
        <v>152</v>
      </c>
    </row>
    <row r="45" spans="1:1" ht="12.75">
      <c r="A45" s="2" t="s">
        <v>152</v>
      </c>
    </row>
    <row r="46" spans="1:1" ht="12.75">
      <c r="A46" s="2" t="s">
        <v>152</v>
      </c>
    </row>
    <row r="47" spans="1:1" ht="12.75">
      <c r="A47" s="2" t="s">
        <v>152</v>
      </c>
    </row>
    <row r="48" spans="1:1" ht="12.75">
      <c r="A48" s="2" t="s">
        <v>152</v>
      </c>
    </row>
    <row r="49" spans="1:1" ht="12.75">
      <c r="A49" s="2" t="s">
        <v>153</v>
      </c>
    </row>
    <row r="50" spans="1:1" ht="12.75">
      <c r="A50" s="2" t="s">
        <v>153</v>
      </c>
    </row>
    <row r="51" spans="1:1" ht="12.75">
      <c r="A51" s="2" t="s">
        <v>153</v>
      </c>
    </row>
    <row r="52" spans="1:1" ht="12.75">
      <c r="A52" s="2" t="s">
        <v>153</v>
      </c>
    </row>
    <row r="53" spans="1:1" ht="12.75">
      <c r="A53" s="2" t="s">
        <v>153</v>
      </c>
    </row>
    <row r="55" spans="1:1" ht="12.75">
      <c r="A55" s="2" t="s">
        <v>153</v>
      </c>
    </row>
    <row r="57" spans="1:1" ht="12.75">
      <c r="A57" s="2" t="s">
        <v>153</v>
      </c>
    </row>
    <row r="58" spans="1:1" ht="12.75">
      <c r="A58" s="2" t="s">
        <v>153</v>
      </c>
    </row>
    <row r="59" spans="1:1" ht="12.75">
      <c r="A59" s="2" t="s">
        <v>153</v>
      </c>
    </row>
    <row r="60" spans="1:1" ht="12.75">
      <c r="A60" s="2" t="s">
        <v>153</v>
      </c>
    </row>
    <row r="61" spans="1:1" ht="12.75">
      <c r="A61" s="2" t="s">
        <v>153</v>
      </c>
    </row>
    <row r="62" spans="1:1" ht="12.75">
      <c r="A62" s="2" t="s">
        <v>153</v>
      </c>
    </row>
    <row r="68" spans="1:1" ht="12.75">
      <c r="A68" s="2" t="s">
        <v>153</v>
      </c>
    </row>
    <row r="70" spans="1:1" ht="12.75">
      <c r="A70" s="2" t="s">
        <v>154</v>
      </c>
    </row>
    <row r="71" spans="1:1" ht="12.75">
      <c r="A71" s="2" t="s">
        <v>155</v>
      </c>
    </row>
    <row r="72" spans="1:1" ht="12.75">
      <c r="A72" s="2" t="s">
        <v>155</v>
      </c>
    </row>
    <row r="73" spans="1:1" ht="12.75">
      <c r="A73" s="2" t="s">
        <v>154</v>
      </c>
    </row>
    <row r="76" spans="1:1" ht="12.75">
      <c r="A76" s="2" t="s">
        <v>155</v>
      </c>
    </row>
    <row r="81" spans="1:1" ht="12.75">
      <c r="A81" s="2" t="s">
        <v>154</v>
      </c>
    </row>
    <row r="82" spans="1:1" ht="12.75">
      <c r="A82" s="2" t="s">
        <v>154</v>
      </c>
    </row>
    <row r="83" spans="1:1" ht="12.75">
      <c r="A83" s="2" t="s">
        <v>155</v>
      </c>
    </row>
    <row r="84" spans="1:1" ht="12.75">
      <c r="A84" s="2" t="s">
        <v>155</v>
      </c>
    </row>
    <row r="85" spans="1:1" ht="12.75">
      <c r="A85" s="2" t="s">
        <v>155</v>
      </c>
    </row>
    <row r="87" spans="1:1" ht="12.75">
      <c r="A87" s="2" t="s">
        <v>156</v>
      </c>
    </row>
    <row r="88" spans="1:1" ht="12.75">
      <c r="A88" s="2" t="s">
        <v>156</v>
      </c>
    </row>
    <row r="91" spans="1:1" ht="12.75">
      <c r="A91" s="2" t="s">
        <v>157</v>
      </c>
    </row>
    <row r="92" spans="1:1" ht="12.75">
      <c r="A92" s="2" t="s">
        <v>157</v>
      </c>
    </row>
    <row r="95" spans="1:1" ht="12.75">
      <c r="A95" s="2" t="s">
        <v>157</v>
      </c>
    </row>
    <row r="96" spans="1:1" ht="12.75">
      <c r="A96" s="2" t="s">
        <v>157</v>
      </c>
    </row>
    <row r="97" spans="1:1" ht="12.75">
      <c r="A97" s="2" t="s">
        <v>156</v>
      </c>
    </row>
    <row r="98" spans="1:1" ht="12.75">
      <c r="A98" s="2" t="s">
        <v>156</v>
      </c>
    </row>
    <row r="99" spans="1:1" ht="12.75">
      <c r="A99" s="2" t="s">
        <v>158</v>
      </c>
    </row>
    <row r="100" spans="1:1" ht="12.75">
      <c r="A100" s="2" t="s">
        <v>158</v>
      </c>
    </row>
    <row r="101" spans="1:1" ht="12.75">
      <c r="A101" s="2" t="s">
        <v>156</v>
      </c>
    </row>
    <row r="102" spans="1:1" ht="12.75">
      <c r="A102" s="2" t="s">
        <v>159</v>
      </c>
    </row>
    <row r="103" spans="1:1" ht="12.75">
      <c r="A103" s="2" t="s">
        <v>159</v>
      </c>
    </row>
    <row r="104" spans="1:1" ht="12.75">
      <c r="A104" s="2" t="s">
        <v>159</v>
      </c>
    </row>
    <row r="105" spans="1:1" ht="12.75">
      <c r="A105" s="2" t="s">
        <v>159</v>
      </c>
    </row>
    <row r="106" spans="1:1" ht="12.75">
      <c r="A106" s="2" t="s">
        <v>159</v>
      </c>
    </row>
    <row r="107" spans="1:1" ht="12.75">
      <c r="A107" s="2" t="s">
        <v>159</v>
      </c>
    </row>
    <row r="108" spans="1:1" ht="12.75">
      <c r="A108" s="2" t="s">
        <v>159</v>
      </c>
    </row>
    <row r="109" spans="1:1" ht="12.75">
      <c r="A109" s="2" t="s">
        <v>159</v>
      </c>
    </row>
    <row r="110" spans="1:1" ht="12.75">
      <c r="A110" s="2" t="s">
        <v>160</v>
      </c>
    </row>
    <row r="111" spans="1:1" ht="12.75">
      <c r="A111" s="2" t="s">
        <v>161</v>
      </c>
    </row>
    <row r="112" spans="1:1" ht="12.75">
      <c r="A112" s="2" t="s">
        <v>162</v>
      </c>
    </row>
    <row r="113" spans="1:1" ht="12.75">
      <c r="A113" s="2" t="s">
        <v>163</v>
      </c>
    </row>
    <row r="114" spans="1:1" ht="12.75">
      <c r="A114" s="2" t="s">
        <v>163</v>
      </c>
    </row>
    <row r="115" spans="1:1" ht="12.75">
      <c r="A115" s="2" t="s">
        <v>163</v>
      </c>
    </row>
    <row r="116" spans="1:1" ht="12.75">
      <c r="A116" s="2" t="s">
        <v>164</v>
      </c>
    </row>
    <row r="117" spans="1:1" ht="12.75">
      <c r="A117" s="2" t="s">
        <v>165</v>
      </c>
    </row>
    <row r="118" spans="1:1" ht="12.75">
      <c r="A118" s="2" t="s">
        <v>166</v>
      </c>
    </row>
    <row r="119" spans="1:1" ht="12.75">
      <c r="A119" s="2" t="s">
        <v>167</v>
      </c>
    </row>
    <row r="120" spans="1:1" ht="12.75">
      <c r="A120" s="2" t="s">
        <v>168</v>
      </c>
    </row>
    <row r="121" spans="1:1" ht="12.75">
      <c r="A121" s="2" t="s">
        <v>167</v>
      </c>
    </row>
    <row r="122" spans="1:1" ht="12.75">
      <c r="A122" s="2" t="s">
        <v>168</v>
      </c>
    </row>
    <row r="123" spans="1:1" ht="12.75">
      <c r="A123" s="2" t="s">
        <v>164</v>
      </c>
    </row>
    <row r="124" spans="1:1" ht="12.75">
      <c r="A124" s="2" t="s">
        <v>169</v>
      </c>
    </row>
    <row r="125" spans="1:1" ht="12.75">
      <c r="A125" s="2" t="s">
        <v>160</v>
      </c>
    </row>
    <row r="126" spans="1:1" ht="12.75">
      <c r="A126" s="2" t="s">
        <v>165</v>
      </c>
    </row>
    <row r="127" spans="1:1" ht="12.75">
      <c r="A127" s="2" t="s">
        <v>170</v>
      </c>
    </row>
    <row r="128" spans="1:1" ht="12.75">
      <c r="A128" s="2" t="s">
        <v>165</v>
      </c>
    </row>
    <row r="129" spans="1:1" ht="12.75">
      <c r="A129" s="2" t="s">
        <v>169</v>
      </c>
    </row>
    <row r="130" spans="1:1" ht="12.75">
      <c r="A130" s="2" t="s">
        <v>170</v>
      </c>
    </row>
    <row r="131" spans="1:1" ht="12.75">
      <c r="A131" s="2" t="s">
        <v>171</v>
      </c>
    </row>
    <row r="132" spans="1:1" ht="12.75">
      <c r="A132" s="2" t="s">
        <v>170</v>
      </c>
    </row>
    <row r="133" spans="1:1" ht="12.75">
      <c r="A133" s="2" t="s">
        <v>172</v>
      </c>
    </row>
    <row r="134" spans="1:1" ht="12.75">
      <c r="A134" s="2" t="s">
        <v>165</v>
      </c>
    </row>
    <row r="135" spans="1:1" ht="12.75">
      <c r="A135" s="2" t="s">
        <v>173</v>
      </c>
    </row>
    <row r="136" spans="1:1" ht="12.75">
      <c r="A136" s="2" t="s">
        <v>168</v>
      </c>
    </row>
    <row r="137" spans="1:1" ht="12.75">
      <c r="A137" s="2" t="s">
        <v>174</v>
      </c>
    </row>
    <row r="138" spans="1:1" ht="12.75">
      <c r="A138" s="2" t="s">
        <v>170</v>
      </c>
    </row>
    <row r="139" spans="1:1" ht="12.75">
      <c r="A139" s="2" t="s">
        <v>175</v>
      </c>
    </row>
    <row r="140" spans="1:1" ht="12.75">
      <c r="A140" s="2" t="s">
        <v>176</v>
      </c>
    </row>
    <row r="141" spans="1:1" ht="12.75">
      <c r="A141" s="2" t="s">
        <v>175</v>
      </c>
    </row>
    <row r="142" spans="1:1" ht="12.75">
      <c r="A142" s="2" t="s">
        <v>176</v>
      </c>
    </row>
    <row r="143" spans="1:1" ht="12.75">
      <c r="A143" s="2" t="s">
        <v>177</v>
      </c>
    </row>
    <row r="144" spans="1:1" ht="12.75">
      <c r="A144" s="2" t="s">
        <v>178</v>
      </c>
    </row>
    <row r="145" spans="1:1" ht="12.75">
      <c r="A145" s="2" t="s">
        <v>173</v>
      </c>
    </row>
    <row r="146" spans="1:1" ht="12.75">
      <c r="A146" s="2" t="s">
        <v>178</v>
      </c>
    </row>
    <row r="147" spans="1:1" ht="12.75">
      <c r="A147" s="2" t="s">
        <v>173</v>
      </c>
    </row>
    <row r="148" spans="1:1" ht="12.75">
      <c r="A148" s="2" t="s">
        <v>174</v>
      </c>
    </row>
    <row r="149" spans="1:1" ht="12.75">
      <c r="A149" s="2" t="s">
        <v>176</v>
      </c>
    </row>
    <row r="150" spans="1:1" ht="12.75">
      <c r="A150" s="2" t="s">
        <v>165</v>
      </c>
    </row>
    <row r="152" spans="1:1" ht="12.75">
      <c r="A152" s="2" t="s">
        <v>175</v>
      </c>
    </row>
    <row r="153" spans="1:1" ht="12.75">
      <c r="A153" s="2" t="s">
        <v>163</v>
      </c>
    </row>
    <row r="154" spans="1:1" ht="12.75">
      <c r="A154" s="2" t="s">
        <v>163</v>
      </c>
    </row>
    <row r="155" spans="1:1" ht="12.75">
      <c r="A155" s="2" t="s">
        <v>163</v>
      </c>
    </row>
    <row r="156" spans="1:1" ht="12.75">
      <c r="A156" s="2" t="s">
        <v>169</v>
      </c>
    </row>
    <row r="157" spans="1:1" ht="12.75">
      <c r="A157" s="2" t="s">
        <v>179</v>
      </c>
    </row>
    <row r="158" spans="1:1" ht="12.75">
      <c r="A158" s="2" t="s">
        <v>180</v>
      </c>
    </row>
    <row r="159" spans="1:1" ht="12.75">
      <c r="A159" s="2" t="s">
        <v>181</v>
      </c>
    </row>
    <row r="160" spans="1:1" ht="12.75">
      <c r="A160" s="2" t="s">
        <v>162</v>
      </c>
    </row>
    <row r="161" spans="1:1" ht="12.75">
      <c r="A161" s="2" t="s">
        <v>179</v>
      </c>
    </row>
    <row r="162" spans="1:1" ht="12.75">
      <c r="A162" s="2" t="s">
        <v>162</v>
      </c>
    </row>
    <row r="163" spans="1:1" ht="12.75">
      <c r="A163" s="2" t="s">
        <v>179</v>
      </c>
    </row>
    <row r="164" spans="1:1" ht="12.75">
      <c r="A164" s="2" t="s">
        <v>181</v>
      </c>
    </row>
    <row r="165" spans="1:1" ht="12.75">
      <c r="A165" s="2" t="s">
        <v>162</v>
      </c>
    </row>
    <row r="166" spans="1:1" ht="12.75">
      <c r="A166" s="2" t="s">
        <v>181</v>
      </c>
    </row>
    <row r="167" spans="1:1" ht="12.75">
      <c r="A167" s="2" t="s">
        <v>182</v>
      </c>
    </row>
    <row r="168" spans="1:1" ht="12.75">
      <c r="A168" s="2" t="s">
        <v>179</v>
      </c>
    </row>
    <row r="169" spans="1:1" ht="12.75">
      <c r="A169" s="2" t="s">
        <v>181</v>
      </c>
    </row>
    <row r="170" spans="1:1" ht="12.75">
      <c r="A170" s="2" t="s">
        <v>172</v>
      </c>
    </row>
    <row r="171" spans="1:1" ht="12.75">
      <c r="A171" s="2" t="s">
        <v>183</v>
      </c>
    </row>
    <row r="172" spans="1:1" ht="12.75">
      <c r="A172" s="2" t="s">
        <v>172</v>
      </c>
    </row>
    <row r="173" spans="1:1" ht="12.75">
      <c r="A173" s="2" t="s">
        <v>183</v>
      </c>
    </row>
    <row r="174" spans="1:1" ht="12.75">
      <c r="A174" s="2" t="s">
        <v>183</v>
      </c>
    </row>
    <row r="175" spans="1:1" ht="12.75">
      <c r="A175" s="2" t="s">
        <v>179</v>
      </c>
    </row>
    <row r="176" spans="1:1" ht="12.75">
      <c r="A176" s="2" t="s">
        <v>181</v>
      </c>
    </row>
    <row r="177" spans="1:1" ht="12.75">
      <c r="A177" s="2" t="s">
        <v>181</v>
      </c>
    </row>
    <row r="178" spans="1:1" ht="12.75">
      <c r="A178" s="2" t="s">
        <v>182</v>
      </c>
    </row>
    <row r="179" spans="1:1" ht="12.75">
      <c r="A179" s="2" t="s">
        <v>182</v>
      </c>
    </row>
    <row r="180" spans="1:1" ht="12.75">
      <c r="A180" s="2" t="s">
        <v>182</v>
      </c>
    </row>
    <row r="181" spans="1:1" ht="12.75">
      <c r="A181" s="2" t="s">
        <v>160</v>
      </c>
    </row>
    <row r="182" spans="1:1" ht="12.75">
      <c r="A182" s="2" t="s">
        <v>168</v>
      </c>
    </row>
    <row r="183" spans="1:1" ht="12.75">
      <c r="A183" s="2" t="s">
        <v>177</v>
      </c>
    </row>
    <row r="184" spans="1:1" ht="12.75">
      <c r="A184" s="2" t="s">
        <v>167</v>
      </c>
    </row>
    <row r="185" spans="1:1" ht="12.75">
      <c r="A185" s="2" t="s">
        <v>167</v>
      </c>
    </row>
    <row r="186" spans="1:1" ht="12.75">
      <c r="A186" s="2" t="s">
        <v>167</v>
      </c>
    </row>
    <row r="187" spans="1:1" ht="12.75">
      <c r="A187" s="2" t="s">
        <v>167</v>
      </c>
    </row>
    <row r="188" spans="1:1" ht="12.75">
      <c r="A188" s="2" t="s">
        <v>167</v>
      </c>
    </row>
    <row r="189" spans="1:1" ht="12.75">
      <c r="A189" s="2" t="s">
        <v>169</v>
      </c>
    </row>
    <row r="190" spans="1:1" ht="12.75">
      <c r="A190" s="2" t="s">
        <v>169</v>
      </c>
    </row>
    <row r="191" spans="1:1" ht="12.75">
      <c r="A191" s="2" t="s">
        <v>165</v>
      </c>
    </row>
    <row r="192" spans="1:1" ht="12.75">
      <c r="A192" s="2" t="s">
        <v>165</v>
      </c>
    </row>
    <row r="193" spans="1:1" ht="12.75">
      <c r="A193" s="2" t="s">
        <v>167</v>
      </c>
    </row>
    <row r="194" spans="1:1" ht="12.75">
      <c r="A194" s="2" t="s">
        <v>161</v>
      </c>
    </row>
    <row r="195" spans="1:1" ht="12.75">
      <c r="A195" s="2" t="s">
        <v>160</v>
      </c>
    </row>
    <row r="196" spans="1:1" ht="12.75">
      <c r="A196" s="2" t="s">
        <v>160</v>
      </c>
    </row>
    <row r="197" spans="1:1" ht="12.75">
      <c r="A197" s="2" t="s">
        <v>177</v>
      </c>
    </row>
    <row r="198" spans="1:1" ht="12.75">
      <c r="A198" s="2" t="s">
        <v>183</v>
      </c>
    </row>
    <row r="199" spans="1:1" ht="12.75">
      <c r="A199" s="2" t="s">
        <v>183</v>
      </c>
    </row>
    <row r="200" spans="1:1" ht="12.75">
      <c r="A200" s="2" t="s">
        <v>183</v>
      </c>
    </row>
    <row r="201" spans="1:1" ht="12.75">
      <c r="A201" s="2" t="s">
        <v>170</v>
      </c>
    </row>
    <row r="202" spans="1:1" ht="12.75">
      <c r="A202" s="2" t="s">
        <v>184</v>
      </c>
    </row>
    <row r="203" spans="1:1" ht="12.75">
      <c r="A203" s="2" t="s">
        <v>184</v>
      </c>
    </row>
    <row r="204" spans="1:1" ht="12.75">
      <c r="A204" s="2" t="s">
        <v>162</v>
      </c>
    </row>
    <row r="205" spans="1:1" ht="12.75">
      <c r="A205" s="2" t="s">
        <v>167</v>
      </c>
    </row>
    <row r="206" spans="1:1" ht="12.75">
      <c r="A206" s="2" t="s">
        <v>163</v>
      </c>
    </row>
    <row r="207" spans="1:1" ht="12.75">
      <c r="A207" s="2" t="s">
        <v>173</v>
      </c>
    </row>
    <row r="208" spans="1:1" ht="12.75">
      <c r="A208" s="2" t="s">
        <v>173</v>
      </c>
    </row>
    <row r="209" spans="1:1" ht="12.75">
      <c r="A209" s="2" t="s">
        <v>185</v>
      </c>
    </row>
    <row r="210" spans="1:1" ht="12.75">
      <c r="A210" s="2" t="s">
        <v>186</v>
      </c>
    </row>
    <row r="211" spans="1:1" ht="12.75">
      <c r="A211" s="2" t="s">
        <v>186</v>
      </c>
    </row>
    <row r="212" spans="1:1" ht="12.75">
      <c r="A212" s="2" t="s">
        <v>186</v>
      </c>
    </row>
    <row r="213" spans="1:1" ht="12.75">
      <c r="A213" s="2" t="s">
        <v>186</v>
      </c>
    </row>
    <row r="214" spans="1:1" ht="12.75">
      <c r="A214" s="2" t="s">
        <v>186</v>
      </c>
    </row>
    <row r="215" spans="1:1" ht="12.75">
      <c r="A215" s="2" t="s">
        <v>186</v>
      </c>
    </row>
    <row r="216" spans="1:1" ht="12.75">
      <c r="A216" s="2" t="s">
        <v>187</v>
      </c>
    </row>
    <row r="217" spans="1:1" ht="12.75">
      <c r="A217" s="2" t="s">
        <v>187</v>
      </c>
    </row>
    <row r="218" spans="1:1" ht="12.75">
      <c r="A218" s="2" t="s">
        <v>187</v>
      </c>
    </row>
    <row r="219" spans="1:1" ht="12.75">
      <c r="A219" s="2" t="s">
        <v>187</v>
      </c>
    </row>
    <row r="220" spans="1:1" ht="12.75">
      <c r="A220" s="2" t="s">
        <v>187</v>
      </c>
    </row>
    <row r="221" spans="1:1" ht="12.75">
      <c r="A221" s="2" t="s">
        <v>187</v>
      </c>
    </row>
    <row r="222" spans="1:1" ht="12.75">
      <c r="A222" s="2" t="s">
        <v>187</v>
      </c>
    </row>
    <row r="223" spans="1:1" ht="12.75">
      <c r="A223" s="2" t="s">
        <v>187</v>
      </c>
    </row>
    <row r="224" spans="1:1" ht="12.75">
      <c r="A224" s="2" t="s">
        <v>187</v>
      </c>
    </row>
    <row r="225" spans="1:1" ht="12.75">
      <c r="A225" s="2" t="s">
        <v>187</v>
      </c>
    </row>
    <row r="226" spans="1:1" ht="12.75">
      <c r="A226" s="2" t="s">
        <v>187</v>
      </c>
    </row>
    <row r="227" spans="1:1" ht="12.75">
      <c r="A227" s="2" t="s">
        <v>187</v>
      </c>
    </row>
    <row r="228" spans="1:1" ht="12.75">
      <c r="A228" s="2" t="s">
        <v>187</v>
      </c>
    </row>
    <row r="229" spans="1:1" ht="12.75">
      <c r="A229" s="2" t="s">
        <v>187</v>
      </c>
    </row>
    <row r="230" spans="1:1" ht="12.75">
      <c r="A230" s="2" t="s">
        <v>187</v>
      </c>
    </row>
    <row r="231" spans="1:1" ht="12.75">
      <c r="A231" s="2" t="s">
        <v>187</v>
      </c>
    </row>
    <row r="232" spans="1:1" ht="12.75">
      <c r="A232" s="2" t="s">
        <v>187</v>
      </c>
    </row>
    <row r="233" spans="1:1" ht="12.75">
      <c r="A233" s="2" t="s">
        <v>187</v>
      </c>
    </row>
    <row r="234" spans="1:1" ht="12.75">
      <c r="A234" s="2" t="s">
        <v>187</v>
      </c>
    </row>
    <row r="235" spans="1:1" ht="12.75">
      <c r="A235" s="2" t="s">
        <v>187</v>
      </c>
    </row>
    <row r="236" spans="1:1" ht="12.75">
      <c r="A236" s="2" t="s">
        <v>187</v>
      </c>
    </row>
    <row r="237" spans="1:1" ht="12.75">
      <c r="A237" s="2" t="s">
        <v>187</v>
      </c>
    </row>
    <row r="238" spans="1:1" ht="12.75">
      <c r="A238" s="2" t="s">
        <v>187</v>
      </c>
    </row>
    <row r="240" spans="1:1" ht="12.75">
      <c r="A240" s="2" t="s">
        <v>186</v>
      </c>
    </row>
    <row r="241" spans="1:1" ht="12.75">
      <c r="A241" s="2" t="s">
        <v>186</v>
      </c>
    </row>
    <row r="242" spans="1:1" ht="12.75">
      <c r="A242" s="2" t="s">
        <v>186</v>
      </c>
    </row>
    <row r="243" spans="1:1" ht="12.75">
      <c r="A243" s="2" t="s">
        <v>186</v>
      </c>
    </row>
    <row r="244" spans="1:1" ht="12.75">
      <c r="A244" s="2" t="s">
        <v>186</v>
      </c>
    </row>
    <row r="245" spans="1:1" ht="12.75">
      <c r="A245" s="2" t="s">
        <v>186</v>
      </c>
    </row>
    <row r="246" spans="1:1" ht="12.75">
      <c r="A246" s="2" t="s">
        <v>187</v>
      </c>
    </row>
    <row r="247" spans="1:1" ht="12.75">
      <c r="A247" s="2" t="s">
        <v>187</v>
      </c>
    </row>
    <row r="248" spans="1:1" ht="12.75">
      <c r="A248" s="2" t="s">
        <v>187</v>
      </c>
    </row>
    <row r="249" spans="1:1" ht="12.75">
      <c r="A249" s="2" t="s">
        <v>187</v>
      </c>
    </row>
    <row r="250" spans="1:1" ht="12.75">
      <c r="A250" s="2" t="s">
        <v>187</v>
      </c>
    </row>
    <row r="251" spans="1:1" ht="12.75">
      <c r="A251" s="2" t="s">
        <v>187</v>
      </c>
    </row>
    <row r="252" spans="1:1" ht="12.75">
      <c r="A252" s="2" t="s">
        <v>186</v>
      </c>
    </row>
    <row r="253" spans="1:1" ht="12.75">
      <c r="A253" s="2" t="s">
        <v>186</v>
      </c>
    </row>
    <row r="254" spans="1:1" ht="12.75">
      <c r="A254" s="2" t="s">
        <v>186</v>
      </c>
    </row>
    <row r="255" spans="1:1" ht="12.75">
      <c r="A255" s="2" t="s">
        <v>186</v>
      </c>
    </row>
    <row r="256" spans="1:1" ht="12.75">
      <c r="A256" s="2" t="s">
        <v>187</v>
      </c>
    </row>
    <row r="257" spans="1:1" ht="12.75">
      <c r="A257" s="2" t="s">
        <v>187</v>
      </c>
    </row>
    <row r="258" spans="1:1" ht="12.75">
      <c r="A258" s="2" t="s">
        <v>187</v>
      </c>
    </row>
    <row r="259" spans="1:1" ht="12.75">
      <c r="A259" s="2" t="s">
        <v>187</v>
      </c>
    </row>
    <row r="260" spans="1:1" ht="12.75">
      <c r="A260" s="2" t="s">
        <v>187</v>
      </c>
    </row>
    <row r="261" spans="1:1" ht="12.75">
      <c r="A261" s="2" t="s">
        <v>187</v>
      </c>
    </row>
    <row r="262" spans="1:1" ht="12.75">
      <c r="A262" s="2" t="s">
        <v>187</v>
      </c>
    </row>
    <row r="263" spans="1:1" ht="12.75">
      <c r="A263" s="2" t="s">
        <v>187</v>
      </c>
    </row>
    <row r="264" spans="1:1" ht="12.75">
      <c r="A264" s="2" t="s">
        <v>187</v>
      </c>
    </row>
    <row r="265" spans="1:1" ht="12.75">
      <c r="A265" s="2" t="s">
        <v>187</v>
      </c>
    </row>
    <row r="266" spans="1:1" ht="12.75">
      <c r="A266" s="2" t="s">
        <v>187</v>
      </c>
    </row>
    <row r="267" spans="1:1" ht="12.75">
      <c r="A267" s="2" t="s">
        <v>187</v>
      </c>
    </row>
    <row r="268" spans="1:1" ht="12.75">
      <c r="A268" s="2" t="s">
        <v>187</v>
      </c>
    </row>
    <row r="269" spans="1:1" ht="12.75">
      <c r="A269" s="2" t="s">
        <v>187</v>
      </c>
    </row>
    <row r="270" spans="1:1" ht="12.75">
      <c r="A270" s="2" t="s">
        <v>187</v>
      </c>
    </row>
    <row r="271" spans="1:1" ht="12.75">
      <c r="A271" s="2" t="s">
        <v>186</v>
      </c>
    </row>
    <row r="272" spans="1:1" ht="12.75">
      <c r="A272" s="2" t="s">
        <v>186</v>
      </c>
    </row>
    <row r="273" spans="1:1" ht="12.75">
      <c r="A273" s="2" t="s">
        <v>186</v>
      </c>
    </row>
    <row r="274" spans="1:1" ht="12.75">
      <c r="A274" s="2" t="s">
        <v>187</v>
      </c>
    </row>
    <row r="275" spans="1:1" ht="12.75">
      <c r="A275" s="2" t="s">
        <v>187</v>
      </c>
    </row>
    <row r="276" spans="1:1" ht="12.75">
      <c r="A276" s="2" t="s">
        <v>187</v>
      </c>
    </row>
    <row r="277" spans="1:1" ht="12.75">
      <c r="A277" s="2" t="s">
        <v>187</v>
      </c>
    </row>
    <row r="278" spans="1:1" ht="12.75">
      <c r="A278" s="2" t="s">
        <v>186</v>
      </c>
    </row>
    <row r="279" spans="1:1" ht="12.75">
      <c r="A279" s="2" t="s">
        <v>186</v>
      </c>
    </row>
    <row r="280" spans="1:1" ht="12.75">
      <c r="A280" s="2" t="s">
        <v>187</v>
      </c>
    </row>
    <row r="281" spans="1:1" ht="12.75">
      <c r="A281" s="2" t="s">
        <v>187</v>
      </c>
    </row>
    <row r="282" spans="1:1" ht="12.75">
      <c r="A282" s="2" t="s">
        <v>187</v>
      </c>
    </row>
    <row r="283" spans="1:1" ht="12.75">
      <c r="A283" s="2" t="s">
        <v>187</v>
      </c>
    </row>
    <row r="284" spans="1:1" ht="12.75">
      <c r="A284" s="2" t="s">
        <v>187</v>
      </c>
    </row>
    <row r="285" spans="1:1" ht="12.75">
      <c r="A285" s="2" t="s">
        <v>187</v>
      </c>
    </row>
    <row r="286" spans="1:1" ht="12.75">
      <c r="A286" s="2" t="s">
        <v>188</v>
      </c>
    </row>
    <row r="287" spans="1:1" ht="12.75">
      <c r="A287" s="2" t="s">
        <v>188</v>
      </c>
    </row>
    <row r="288" spans="1:1" ht="12.75">
      <c r="A288" s="2" t="s">
        <v>188</v>
      </c>
    </row>
    <row r="291" spans="1:1" ht="12.75">
      <c r="A291" s="2" t="s">
        <v>188</v>
      </c>
    </row>
    <row r="292" spans="1:1" ht="12.75">
      <c r="A292" s="2" t="s">
        <v>188</v>
      </c>
    </row>
    <row r="293" spans="1:1" ht="12.75">
      <c r="A293" s="2" t="s">
        <v>188</v>
      </c>
    </row>
    <row r="294" spans="1:1" ht="12.75">
      <c r="A294" s="2" t="s">
        <v>188</v>
      </c>
    </row>
    <row r="295" spans="1:1" ht="12.75">
      <c r="A295" s="2" t="s">
        <v>188</v>
      </c>
    </row>
    <row r="296" spans="1:1" ht="12.75">
      <c r="A296" s="2" t="s">
        <v>188</v>
      </c>
    </row>
    <row r="297" spans="1:1" ht="12.75">
      <c r="A297" s="2" t="s">
        <v>188</v>
      </c>
    </row>
    <row r="298" spans="1:1" ht="12.75">
      <c r="A298" s="2" t="s">
        <v>188</v>
      </c>
    </row>
    <row r="299" spans="1:1" ht="12.75">
      <c r="A299" s="2" t="s">
        <v>188</v>
      </c>
    </row>
    <row r="300" spans="1:1" ht="12.75">
      <c r="A300" s="2" t="s">
        <v>188</v>
      </c>
    </row>
    <row r="301" spans="1:1" ht="12.75">
      <c r="A301" s="2" t="s">
        <v>188</v>
      </c>
    </row>
    <row r="302" spans="1:1" ht="12.75">
      <c r="A302" s="2" t="s">
        <v>188</v>
      </c>
    </row>
    <row r="303" spans="1:1" ht="12.75">
      <c r="A303" s="2" t="s">
        <v>188</v>
      </c>
    </row>
    <row r="305" spans="1:1" ht="12.75">
      <c r="A305" s="2" t="s">
        <v>188</v>
      </c>
    </row>
    <row r="306" spans="1:1" ht="12.75">
      <c r="A306" s="2" t="s">
        <v>188</v>
      </c>
    </row>
    <row r="307" spans="1:1" ht="12.75">
      <c r="A307" s="2" t="s">
        <v>188</v>
      </c>
    </row>
    <row r="308" spans="1:1" ht="12.75">
      <c r="A308" s="2" t="s">
        <v>188</v>
      </c>
    </row>
    <row r="309" spans="1:1" ht="12.75">
      <c r="A309" s="2" t="s">
        <v>188</v>
      </c>
    </row>
    <row r="310" spans="1:1" ht="12.75">
      <c r="A310" s="2" t="s">
        <v>188</v>
      </c>
    </row>
    <row r="311" spans="1:1" ht="12.75">
      <c r="A311" s="2" t="s">
        <v>188</v>
      </c>
    </row>
    <row r="312" spans="1:1" ht="12.75">
      <c r="A312" s="2" t="s">
        <v>188</v>
      </c>
    </row>
    <row r="313" spans="1:1" ht="12.75">
      <c r="A313" s="2" t="s">
        <v>188</v>
      </c>
    </row>
    <row r="314" spans="1:1" ht="12.75">
      <c r="A314" s="2" t="s">
        <v>188</v>
      </c>
    </row>
    <row r="315" spans="1:1" ht="12.75">
      <c r="A315" s="2" t="s">
        <v>188</v>
      </c>
    </row>
    <row r="316" spans="1:1" ht="12.75">
      <c r="A316" s="2" t="s">
        <v>161</v>
      </c>
    </row>
    <row r="317" spans="1:1" ht="12.75">
      <c r="A317" s="2" t="s">
        <v>188</v>
      </c>
    </row>
    <row r="318" spans="1:1" ht="12.75">
      <c r="A318" s="2" t="s">
        <v>189</v>
      </c>
    </row>
    <row r="319" spans="1:1" ht="12.75">
      <c r="A319" s="2" t="s">
        <v>189</v>
      </c>
    </row>
    <row r="320" spans="1:1" ht="12.75">
      <c r="A320" s="2" t="s">
        <v>185</v>
      </c>
    </row>
    <row r="321" spans="1:1" ht="12.75">
      <c r="A321" s="2" t="s">
        <v>190</v>
      </c>
    </row>
    <row r="322" spans="1:1" ht="12.75">
      <c r="A322" s="2" t="s">
        <v>176</v>
      </c>
    </row>
    <row r="323" spans="1:1" ht="12.75">
      <c r="A323" s="2" t="s">
        <v>168</v>
      </c>
    </row>
    <row r="324" spans="1:1" ht="12.75">
      <c r="A324" s="2" t="s">
        <v>168</v>
      </c>
    </row>
    <row r="325" spans="1:1" ht="12.75">
      <c r="A325" s="2" t="s">
        <v>160</v>
      </c>
    </row>
    <row r="326" spans="1:1" ht="12.75">
      <c r="A326" s="2" t="s">
        <v>160</v>
      </c>
    </row>
    <row r="327" spans="1:1" ht="12.75">
      <c r="A327" s="2" t="s">
        <v>160</v>
      </c>
    </row>
    <row r="328" spans="1:1" ht="12.75">
      <c r="A328" s="2" t="s">
        <v>169</v>
      </c>
    </row>
    <row r="329" spans="1:1" ht="12.75">
      <c r="A329" s="2" t="s">
        <v>169</v>
      </c>
    </row>
    <row r="330" spans="1:1" ht="12.75">
      <c r="A330" s="2" t="s">
        <v>169</v>
      </c>
    </row>
    <row r="331" spans="1:1" ht="12.75">
      <c r="A331" s="2" t="s">
        <v>185</v>
      </c>
    </row>
    <row r="332" spans="1:1" ht="12.75">
      <c r="A332" s="2" t="s">
        <v>160</v>
      </c>
    </row>
    <row r="333" spans="1:1" ht="12.75">
      <c r="A333" s="2" t="s">
        <v>175</v>
      </c>
    </row>
    <row r="334" spans="1:1" ht="12.75">
      <c r="A334" s="2" t="s">
        <v>175</v>
      </c>
    </row>
    <row r="335" spans="1:1" ht="12.75">
      <c r="A335" s="2" t="s">
        <v>172</v>
      </c>
    </row>
    <row r="336" spans="1:1" ht="12.75">
      <c r="A336" s="2" t="s">
        <v>172</v>
      </c>
    </row>
    <row r="337" spans="1:1" ht="12.75">
      <c r="A337" s="2" t="s">
        <v>172</v>
      </c>
    </row>
    <row r="338" spans="1:1" ht="12.75">
      <c r="A338" s="2" t="s">
        <v>163</v>
      </c>
    </row>
    <row r="339" spans="1:1" ht="12.75">
      <c r="A339" s="2" t="s">
        <v>163</v>
      </c>
    </row>
    <row r="340" spans="1:1" ht="12.75">
      <c r="A340" s="2" t="s">
        <v>163</v>
      </c>
    </row>
    <row r="341" spans="1:1" ht="12.75">
      <c r="A341" s="2" t="s">
        <v>160</v>
      </c>
    </row>
    <row r="342" spans="1:1" ht="12.75">
      <c r="A342" s="2" t="s">
        <v>162</v>
      </c>
    </row>
    <row r="343" spans="1:1" ht="12.75">
      <c r="A343" s="2" t="s">
        <v>163</v>
      </c>
    </row>
    <row r="344" spans="1:1" ht="12.75">
      <c r="A344" s="2" t="s">
        <v>184</v>
      </c>
    </row>
    <row r="345" spans="1:1" ht="12.75">
      <c r="A345" s="2" t="s">
        <v>184</v>
      </c>
    </row>
    <row r="346" spans="1:1" ht="12.75">
      <c r="A346" s="2" t="s">
        <v>189</v>
      </c>
    </row>
    <row r="347" spans="1:1" ht="12.75">
      <c r="A347" s="2" t="s">
        <v>191</v>
      </c>
    </row>
    <row r="348" spans="1:1" ht="12.75">
      <c r="A348" s="2" t="s">
        <v>191</v>
      </c>
    </row>
    <row r="349" spans="1:1" ht="12.75">
      <c r="A349" s="2" t="s">
        <v>183</v>
      </c>
    </row>
    <row r="350" spans="1:1" ht="12.75">
      <c r="A350" s="2" t="s">
        <v>183</v>
      </c>
    </row>
    <row r="351" spans="1:1" ht="12.75">
      <c r="A351" s="2" t="s">
        <v>183</v>
      </c>
    </row>
    <row r="352" spans="1:1" ht="12.75">
      <c r="A352" s="2" t="s">
        <v>182</v>
      </c>
    </row>
    <row r="353" spans="1:1" ht="12.75">
      <c r="A353" s="2" t="s">
        <v>182</v>
      </c>
    </row>
    <row r="354" spans="1:1" ht="12.75">
      <c r="A354" s="2" t="s">
        <v>182</v>
      </c>
    </row>
    <row r="355" spans="1:1" ht="12.75">
      <c r="A355" s="2" t="s">
        <v>181</v>
      </c>
    </row>
    <row r="356" spans="1:1" ht="12.75">
      <c r="A356" s="2" t="s">
        <v>181</v>
      </c>
    </row>
    <row r="357" spans="1:1" ht="12.75">
      <c r="A357" s="2" t="s">
        <v>181</v>
      </c>
    </row>
    <row r="358" spans="1:1" ht="12.75">
      <c r="A358" s="2" t="s">
        <v>179</v>
      </c>
    </row>
    <row r="359" spans="1:1" ht="12.75">
      <c r="A359" s="2" t="s">
        <v>179</v>
      </c>
    </row>
    <row r="360" spans="1:1" ht="12.75">
      <c r="A360" s="2" t="s">
        <v>179</v>
      </c>
    </row>
    <row r="361" spans="1:1" ht="12.75">
      <c r="A361" s="2" t="s">
        <v>173</v>
      </c>
    </row>
    <row r="362" spans="1:1" ht="12.75">
      <c r="A362" s="2" t="s">
        <v>173</v>
      </c>
    </row>
    <row r="363" spans="1:1" ht="12.75">
      <c r="A363" s="2" t="s">
        <v>173</v>
      </c>
    </row>
    <row r="364" spans="1:1" ht="12.75">
      <c r="A364" s="2" t="s">
        <v>167</v>
      </c>
    </row>
    <row r="365" spans="1:1" ht="12.75">
      <c r="A365" s="2" t="s">
        <v>176</v>
      </c>
    </row>
    <row r="366" spans="1:1" ht="12.75">
      <c r="A366" s="2" t="s">
        <v>171</v>
      </c>
    </row>
    <row r="367" spans="1:1" ht="12.75">
      <c r="A367" s="2" t="s">
        <v>164</v>
      </c>
    </row>
    <row r="369" spans="1:1" ht="12.75">
      <c r="A369" s="2" t="s">
        <v>192</v>
      </c>
    </row>
    <row r="370" spans="1:1" ht="12.75">
      <c r="A370" s="2" t="s">
        <v>160</v>
      </c>
    </row>
    <row r="371" spans="1:1" ht="12.75">
      <c r="A371" s="2" t="s">
        <v>164</v>
      </c>
    </row>
    <row r="372" spans="1:1" ht="12.75">
      <c r="A372" s="2" t="s">
        <v>167</v>
      </c>
    </row>
    <row r="373" spans="1:1" ht="12.75">
      <c r="A373" s="2" t="s">
        <v>168</v>
      </c>
    </row>
    <row r="374" spans="1:1" ht="12.75">
      <c r="A374" s="2" t="s">
        <v>177</v>
      </c>
    </row>
    <row r="375" spans="1:1" ht="12.75">
      <c r="A375" s="2" t="s">
        <v>168</v>
      </c>
    </row>
    <row r="376" spans="1:1" ht="12.75">
      <c r="A376" s="2" t="s">
        <v>183</v>
      </c>
    </row>
    <row r="377" spans="1:1" ht="12.75">
      <c r="A377" s="2" t="s">
        <v>182</v>
      </c>
    </row>
    <row r="378" spans="1:1" ht="12.75">
      <c r="A378" s="2" t="s">
        <v>172</v>
      </c>
    </row>
    <row r="379" spans="1:1" ht="12.75">
      <c r="A379" s="2" t="s">
        <v>182</v>
      </c>
    </row>
    <row r="380" spans="1:1" ht="12.75">
      <c r="A380" s="2" t="s">
        <v>172</v>
      </c>
    </row>
    <row r="381" spans="1:1" ht="12.75">
      <c r="A381" s="2" t="s">
        <v>181</v>
      </c>
    </row>
    <row r="382" spans="1:1" ht="12.75">
      <c r="A382" s="2" t="s">
        <v>193</v>
      </c>
    </row>
    <row r="383" spans="1:1" ht="12.75">
      <c r="A383" s="2" t="s">
        <v>182</v>
      </c>
    </row>
    <row r="384" spans="1:1" ht="12.75">
      <c r="A384" s="2" t="s">
        <v>183</v>
      </c>
    </row>
    <row r="385" spans="1:1" ht="12.75">
      <c r="A385" s="2" t="s">
        <v>181</v>
      </c>
    </row>
    <row r="386" spans="1:1" ht="12.75">
      <c r="A386" s="2" t="s">
        <v>181</v>
      </c>
    </row>
    <row r="387" spans="1:1" ht="12.75">
      <c r="A387" s="2" t="s">
        <v>162</v>
      </c>
    </row>
    <row r="388" spans="1:1" ht="12.75">
      <c r="A388" s="2" t="s">
        <v>194</v>
      </c>
    </row>
    <row r="389" spans="1:1" ht="12.75">
      <c r="A389" s="2" t="s">
        <v>189</v>
      </c>
    </row>
    <row r="390" spans="1:1" ht="12.75">
      <c r="A390" s="2" t="s">
        <v>194</v>
      </c>
    </row>
    <row r="391" spans="1:1" ht="12.75">
      <c r="A391" s="2" t="s">
        <v>162</v>
      </c>
    </row>
    <row r="392" spans="1:1" ht="12.75">
      <c r="A392" s="2" t="s">
        <v>162</v>
      </c>
    </row>
    <row r="393" spans="1:1" ht="12.75">
      <c r="A393" s="2" t="s">
        <v>163</v>
      </c>
    </row>
    <row r="394" spans="1:1" ht="12.75">
      <c r="A394" s="2" t="s">
        <v>163</v>
      </c>
    </row>
    <row r="395" spans="1:1" ht="12.75">
      <c r="A395" s="2" t="s">
        <v>185</v>
      </c>
    </row>
    <row r="396" spans="1:1" ht="12.75">
      <c r="A396" s="2" t="s">
        <v>163</v>
      </c>
    </row>
    <row r="397" spans="1:1" ht="12.75">
      <c r="A397" s="2" t="s">
        <v>162</v>
      </c>
    </row>
    <row r="398" spans="1:1" ht="12.75">
      <c r="A398" s="2" t="s">
        <v>175</v>
      </c>
    </row>
    <row r="399" spans="1:1" ht="12.75">
      <c r="A399" s="2" t="s">
        <v>173</v>
      </c>
    </row>
    <row r="400" spans="1:1" ht="12.75">
      <c r="A400" s="2" t="s">
        <v>175</v>
      </c>
    </row>
    <row r="401" spans="1:1" ht="12.75">
      <c r="A401" s="2" t="s">
        <v>173</v>
      </c>
    </row>
    <row r="402" spans="1:1" ht="12.75">
      <c r="A402" s="2" t="s">
        <v>174</v>
      </c>
    </row>
    <row r="404" spans="1:1" ht="12.75">
      <c r="A404" s="2" t="s">
        <v>170</v>
      </c>
    </row>
    <row r="405" spans="1:1" ht="12.75">
      <c r="A405" s="2" t="s">
        <v>165</v>
      </c>
    </row>
    <row r="406" spans="1:1" ht="12.75">
      <c r="A406" s="2" t="s">
        <v>174</v>
      </c>
    </row>
    <row r="407" spans="1:1" ht="12.75">
      <c r="A407" s="2" t="s">
        <v>165</v>
      </c>
    </row>
    <row r="408" spans="1:1" ht="12.75">
      <c r="A408" s="2" t="s">
        <v>191</v>
      </c>
    </row>
    <row r="409" spans="1:1" ht="12.75">
      <c r="A409" s="2" t="s">
        <v>169</v>
      </c>
    </row>
    <row r="410" spans="1:1" ht="12.75">
      <c r="A410" s="2" t="s">
        <v>191</v>
      </c>
    </row>
    <row r="411" spans="1:1" ht="12.75">
      <c r="A411" s="2" t="s">
        <v>169</v>
      </c>
    </row>
    <row r="412" spans="1:1" ht="12.75">
      <c r="A412" s="2" t="s">
        <v>171</v>
      </c>
    </row>
    <row r="413" spans="1:1" ht="12.75">
      <c r="A413" s="2" t="s">
        <v>169</v>
      </c>
    </row>
    <row r="414" spans="1:1" ht="12.75">
      <c r="A414" s="2" t="s">
        <v>170</v>
      </c>
    </row>
    <row r="415" spans="1:1" ht="12.75">
      <c r="A415" s="2" t="s">
        <v>195</v>
      </c>
    </row>
    <row r="416" spans="1:1" ht="12.75">
      <c r="A416" s="2" t="s">
        <v>170</v>
      </c>
    </row>
    <row r="417" spans="1:1" ht="12.75">
      <c r="A417" s="2" t="s">
        <v>196</v>
      </c>
    </row>
    <row r="418" spans="1:1" ht="12.75">
      <c r="A418" s="2" t="s">
        <v>152</v>
      </c>
    </row>
    <row r="419" spans="1:1" ht="12.75">
      <c r="A419" s="2" t="s">
        <v>152</v>
      </c>
    </row>
    <row r="420" spans="1:1" ht="12.75">
      <c r="A420" s="2" t="s">
        <v>152</v>
      </c>
    </row>
    <row r="421" spans="1:1" ht="12.75">
      <c r="A421" s="2" t="s">
        <v>152</v>
      </c>
    </row>
    <row r="422" spans="1:1" ht="12.75">
      <c r="A422" s="2" t="s">
        <v>152</v>
      </c>
    </row>
    <row r="423" spans="1:1" ht="12.75">
      <c r="A423" s="2" t="s">
        <v>197</v>
      </c>
    </row>
    <row r="424" spans="1:1" ht="12.75">
      <c r="A424" s="2" t="s">
        <v>152</v>
      </c>
    </row>
    <row r="425" spans="1:1" ht="12.75">
      <c r="A425" s="2" t="s">
        <v>152</v>
      </c>
    </row>
    <row r="426" spans="1:1" ht="12.75">
      <c r="A426" s="2" t="s">
        <v>152</v>
      </c>
    </row>
    <row r="427" spans="1:1" ht="12.75">
      <c r="A427" s="2" t="s">
        <v>152</v>
      </c>
    </row>
    <row r="428" spans="1:1" ht="12.75">
      <c r="A428" s="2" t="s">
        <v>198</v>
      </c>
    </row>
    <row r="429" spans="1:1" ht="12.75">
      <c r="A429" s="2" t="s">
        <v>152</v>
      </c>
    </row>
    <row r="430" spans="1:1" ht="12.75">
      <c r="A430" s="2" t="s">
        <v>197</v>
      </c>
    </row>
    <row r="431" spans="1:1" ht="12.75">
      <c r="A431" s="2" t="s">
        <v>199</v>
      </c>
    </row>
    <row r="432" spans="1:1" ht="12.75">
      <c r="A432" s="2" t="s">
        <v>200</v>
      </c>
    </row>
    <row r="433" spans="1:1" ht="12.75">
      <c r="A433" s="2" t="s">
        <v>200</v>
      </c>
    </row>
    <row r="434" spans="1:1" ht="12.75">
      <c r="A434" s="2" t="s">
        <v>200</v>
      </c>
    </row>
    <row r="435" spans="1:1" ht="12.75">
      <c r="A435" s="2" t="s">
        <v>200</v>
      </c>
    </row>
    <row r="436" spans="1:1" ht="12.75">
      <c r="A436" s="2" t="s">
        <v>201</v>
      </c>
    </row>
    <row r="437" spans="1:1" ht="12.75">
      <c r="A437" s="2" t="s">
        <v>202</v>
      </c>
    </row>
    <row r="438" spans="1:1" ht="12.75">
      <c r="A438" s="2" t="s">
        <v>203</v>
      </c>
    </row>
    <row r="439" spans="1:1" ht="12.75">
      <c r="A439" s="2" t="s">
        <v>203</v>
      </c>
    </row>
    <row r="440" spans="1:1" ht="12.75">
      <c r="A440" s="2" t="s">
        <v>203</v>
      </c>
    </row>
    <row r="441" spans="1:1" ht="12.75">
      <c r="A441" s="2" t="s">
        <v>203</v>
      </c>
    </row>
    <row r="442" spans="1:1" ht="12.75">
      <c r="A442" s="2" t="s">
        <v>203</v>
      </c>
    </row>
    <row r="443" spans="1:1" ht="12.75">
      <c r="A443" s="2" t="s">
        <v>203</v>
      </c>
    </row>
    <row r="444" spans="1:1" ht="12.75">
      <c r="A444" s="2" t="s">
        <v>200</v>
      </c>
    </row>
    <row r="445" spans="1:1" ht="12.75">
      <c r="A445" s="2" t="s">
        <v>200</v>
      </c>
    </row>
    <row r="446" spans="1:1" ht="12.75">
      <c r="A446" s="2" t="s">
        <v>200</v>
      </c>
    </row>
    <row r="447" spans="1:1" ht="12.75">
      <c r="A447" s="2" t="s">
        <v>200</v>
      </c>
    </row>
    <row r="448" spans="1:1" ht="12.75">
      <c r="A448" s="2" t="s">
        <v>204</v>
      </c>
    </row>
    <row r="449" spans="1:1" ht="12.75">
      <c r="A449" s="2" t="s">
        <v>205</v>
      </c>
    </row>
    <row r="450" spans="1:1" ht="12.75">
      <c r="A450" s="2" t="s">
        <v>204</v>
      </c>
    </row>
    <row r="451" spans="1:1" ht="12.75">
      <c r="A451" s="2" t="s">
        <v>206</v>
      </c>
    </row>
    <row r="452" spans="1:1" ht="12.75">
      <c r="A452" s="2" t="s">
        <v>202</v>
      </c>
    </row>
    <row r="453" spans="1:1" ht="12.75">
      <c r="A453" s="2" t="s">
        <v>202</v>
      </c>
    </row>
    <row r="454" spans="1:1" ht="12.75">
      <c r="A454" s="2" t="s">
        <v>202</v>
      </c>
    </row>
    <row r="455" spans="1:1" ht="12.75">
      <c r="A455" s="2" t="s">
        <v>202</v>
      </c>
    </row>
    <row r="456" spans="1:1" ht="12.75">
      <c r="A456" s="2" t="s">
        <v>203</v>
      </c>
    </row>
    <row r="457" spans="1:1" ht="12.75">
      <c r="A457" s="2" t="s">
        <v>203</v>
      </c>
    </row>
    <row r="458" spans="1:1" ht="12.75">
      <c r="A458" s="2" t="s">
        <v>206</v>
      </c>
    </row>
    <row r="459" spans="1:1" ht="12.75">
      <c r="A459" s="2" t="s">
        <v>206</v>
      </c>
    </row>
    <row r="460" spans="1:1" ht="12.75">
      <c r="A460" s="2" t="s">
        <v>206</v>
      </c>
    </row>
    <row r="461" spans="1:1" ht="12.75">
      <c r="A461" s="2" t="s">
        <v>206</v>
      </c>
    </row>
    <row r="462" spans="1:1" ht="12.75">
      <c r="A462" s="2" t="s">
        <v>200</v>
      </c>
    </row>
    <row r="463" spans="1:1" ht="12.75">
      <c r="A463" s="2" t="s">
        <v>200</v>
      </c>
    </row>
    <row r="464" spans="1:1" ht="12.75">
      <c r="A464" s="2" t="s">
        <v>200</v>
      </c>
    </row>
    <row r="465" spans="1:1" ht="12.75">
      <c r="A465" s="2" t="s">
        <v>200</v>
      </c>
    </row>
    <row r="466" spans="1:1" ht="12.75">
      <c r="A466" s="2" t="s">
        <v>200</v>
      </c>
    </row>
    <row r="467" spans="1:1" ht="12.75">
      <c r="A467" s="2" t="s">
        <v>200</v>
      </c>
    </row>
    <row r="468" spans="1:1" ht="12.75">
      <c r="A468" s="2" t="s">
        <v>200</v>
      </c>
    </row>
    <row r="469" spans="1:1" ht="12.75">
      <c r="A469" s="2" t="s">
        <v>200</v>
      </c>
    </row>
    <row r="470" spans="1:1" ht="12.75">
      <c r="A470" s="2" t="s">
        <v>203</v>
      </c>
    </row>
    <row r="471" spans="1:1" ht="12.75">
      <c r="A471" s="2" t="s">
        <v>203</v>
      </c>
    </row>
    <row r="472" spans="1:1" ht="12.75">
      <c r="A472" s="2" t="s">
        <v>203</v>
      </c>
    </row>
    <row r="473" spans="1:1" ht="12.75">
      <c r="A473" s="2" t="s">
        <v>203</v>
      </c>
    </row>
    <row r="474" spans="1:1" ht="12.75">
      <c r="A474" s="2" t="s">
        <v>203</v>
      </c>
    </row>
    <row r="475" spans="1:1" ht="12.75">
      <c r="A475" s="2" t="s">
        <v>203</v>
      </c>
    </row>
    <row r="476" spans="1:1" ht="12.75">
      <c r="A476" s="2" t="s">
        <v>205</v>
      </c>
    </row>
    <row r="477" spans="1:1" ht="12.75">
      <c r="A477" s="2" t="s">
        <v>206</v>
      </c>
    </row>
    <row r="478" spans="1:1" ht="12.75">
      <c r="A478" s="2" t="s">
        <v>207</v>
      </c>
    </row>
    <row r="479" spans="1:1" ht="12.75">
      <c r="A479" s="2" t="s">
        <v>207</v>
      </c>
    </row>
    <row r="480" spans="1:1" ht="12.75">
      <c r="A480" s="2" t="s">
        <v>208</v>
      </c>
    </row>
    <row r="481" spans="1:1" ht="12.75">
      <c r="A481" s="2" t="s">
        <v>203</v>
      </c>
    </row>
    <row r="482" spans="1:1" ht="12.75">
      <c r="A482" s="2" t="s">
        <v>148</v>
      </c>
    </row>
    <row r="483" spans="1:1" ht="12.75">
      <c r="A483" s="2" t="s">
        <v>148</v>
      </c>
    </row>
    <row r="484" spans="1:1" ht="12.75">
      <c r="A484" s="2" t="s">
        <v>209</v>
      </c>
    </row>
    <row r="485" spans="1:1" ht="12.75">
      <c r="A485" s="2" t="s">
        <v>148</v>
      </c>
    </row>
    <row r="486" spans="1:1" ht="12.75">
      <c r="A486" s="2" t="s">
        <v>209</v>
      </c>
    </row>
    <row r="487" spans="1:1" ht="12.75">
      <c r="A487" s="2" t="s">
        <v>209</v>
      </c>
    </row>
    <row r="488" spans="1:1" ht="12.75">
      <c r="A488" s="2" t="s">
        <v>210</v>
      </c>
    </row>
    <row r="489" spans="1:1" ht="12.75">
      <c r="A489" s="2" t="s">
        <v>210</v>
      </c>
    </row>
    <row r="490" spans="1:1" ht="12.75">
      <c r="A490" s="2" t="s">
        <v>211</v>
      </c>
    </row>
    <row r="491" spans="1:1" ht="12.75">
      <c r="A491" s="2" t="s">
        <v>212</v>
      </c>
    </row>
    <row r="492" spans="1:1" ht="12.75">
      <c r="A492" s="2" t="s">
        <v>210</v>
      </c>
    </row>
    <row r="493" spans="1:1" ht="12.75">
      <c r="A493" s="2" t="s">
        <v>165</v>
      </c>
    </row>
    <row r="494" spans="1:1" ht="12.75">
      <c r="A494" s="2" t="s">
        <v>212</v>
      </c>
    </row>
    <row r="495" spans="1:1" ht="12.75">
      <c r="A495" s="2" t="s">
        <v>212</v>
      </c>
    </row>
    <row r="496" spans="1:1" ht="12.75">
      <c r="A496" s="2" t="s">
        <v>212</v>
      </c>
    </row>
    <row r="497" spans="1:1" ht="12.75">
      <c r="A497" s="2" t="s">
        <v>212</v>
      </c>
    </row>
    <row r="498" spans="1:1" ht="12.75">
      <c r="A498" s="2" t="s">
        <v>212</v>
      </c>
    </row>
    <row r="499" spans="1:1" ht="12.75">
      <c r="A499" s="2" t="s">
        <v>212</v>
      </c>
    </row>
    <row r="500" spans="1:1" ht="12.75">
      <c r="A500" s="2" t="s">
        <v>213</v>
      </c>
    </row>
    <row r="501" spans="1:1" ht="12.75">
      <c r="A501" s="2" t="s">
        <v>213</v>
      </c>
    </row>
    <row r="502" spans="1:1" ht="12.75">
      <c r="A502" s="2" t="s">
        <v>213</v>
      </c>
    </row>
    <row r="503" spans="1:1" ht="12.75">
      <c r="A503" s="2" t="s">
        <v>213</v>
      </c>
    </row>
    <row r="504" spans="1:1" ht="12.75">
      <c r="A504" s="2" t="s">
        <v>213</v>
      </c>
    </row>
    <row r="506" spans="1:1" ht="12.75">
      <c r="A506" s="2" t="s">
        <v>213</v>
      </c>
    </row>
    <row r="507" spans="1:1" ht="12.75">
      <c r="A507" s="2" t="s">
        <v>213</v>
      </c>
    </row>
    <row r="508" spans="1:1" ht="12.75">
      <c r="A508" s="2" t="s">
        <v>213</v>
      </c>
    </row>
    <row r="510" spans="1:1" ht="12.75">
      <c r="A510" s="2" t="s">
        <v>214</v>
      </c>
    </row>
    <row r="511" spans="1:1" ht="12.75">
      <c r="A511" s="2" t="s">
        <v>214</v>
      </c>
    </row>
    <row r="512" spans="1:1" ht="12.75">
      <c r="A512" s="2" t="s">
        <v>214</v>
      </c>
    </row>
    <row r="513" spans="1:1" ht="12.75">
      <c r="A513" s="2" t="s">
        <v>214</v>
      </c>
    </row>
    <row r="514" spans="1:1" ht="12.75">
      <c r="A514" s="2" t="s">
        <v>214</v>
      </c>
    </row>
    <row r="515" spans="1:1" ht="12.75">
      <c r="A515" s="2" t="s">
        <v>214</v>
      </c>
    </row>
    <row r="516" spans="1:1" ht="12.75">
      <c r="A516" s="2" t="s">
        <v>215</v>
      </c>
    </row>
    <row r="517" spans="1:1" ht="12.75">
      <c r="A517" s="2" t="s">
        <v>214</v>
      </c>
    </row>
    <row r="518" spans="1:1" ht="12.75">
      <c r="A518" s="2" t="s">
        <v>216</v>
      </c>
    </row>
    <row r="519" spans="1:1" ht="12.75">
      <c r="A519" s="2" t="s">
        <v>216</v>
      </c>
    </row>
    <row r="520" spans="1:1" ht="12.75">
      <c r="A520" s="2" t="s">
        <v>216</v>
      </c>
    </row>
    <row r="521" spans="1:1" ht="12.75">
      <c r="A521" s="2" t="s">
        <v>216</v>
      </c>
    </row>
    <row r="522" spans="1:1" ht="12.75">
      <c r="A522" s="2" t="s">
        <v>216</v>
      </c>
    </row>
    <row r="523" spans="1:1" ht="12.75">
      <c r="A523" s="2" t="s">
        <v>217</v>
      </c>
    </row>
    <row r="524" spans="1:1" ht="12.75">
      <c r="A524" s="2" t="s">
        <v>218</v>
      </c>
    </row>
    <row r="525" spans="1:1" ht="12.75">
      <c r="A525" s="2" t="s">
        <v>218</v>
      </c>
    </row>
    <row r="526" spans="1:1" ht="12.75">
      <c r="A526" s="2" t="s">
        <v>218</v>
      </c>
    </row>
    <row r="527" spans="1:1" ht="12.75">
      <c r="A527" s="2" t="s">
        <v>218</v>
      </c>
    </row>
    <row r="528" spans="1:1" ht="12.75">
      <c r="A528" s="2" t="s">
        <v>219</v>
      </c>
    </row>
    <row r="529" spans="1:1" ht="12.75">
      <c r="A529" s="2" t="s">
        <v>219</v>
      </c>
    </row>
    <row r="530" spans="1:1" ht="12.75">
      <c r="A530" s="2" t="s">
        <v>216</v>
      </c>
    </row>
    <row r="531" spans="1:1" ht="12.75">
      <c r="A531" s="2" t="s">
        <v>219</v>
      </c>
    </row>
    <row r="532" spans="1:1" ht="12.75">
      <c r="A532" s="2" t="s">
        <v>219</v>
      </c>
    </row>
    <row r="533" spans="1:1" ht="12.75">
      <c r="A533" s="2" t="s">
        <v>218</v>
      </c>
    </row>
    <row r="534" spans="1:1" ht="12.75">
      <c r="A534" s="2" t="s">
        <v>219</v>
      </c>
    </row>
    <row r="535" spans="1:1" ht="12.75">
      <c r="A535" s="2" t="s">
        <v>218</v>
      </c>
    </row>
    <row r="536" spans="1:1" ht="12.75">
      <c r="A536" s="2" t="s">
        <v>219</v>
      </c>
    </row>
    <row r="537" spans="1:1" ht="12.75">
      <c r="A537" s="2" t="s">
        <v>218</v>
      </c>
    </row>
    <row r="538" spans="1:1" ht="12.75">
      <c r="A538" s="2" t="s">
        <v>218</v>
      </c>
    </row>
    <row r="539" spans="1:1" ht="12.75">
      <c r="A539" s="2" t="s">
        <v>218</v>
      </c>
    </row>
    <row r="540" spans="1:1" ht="12.75">
      <c r="A540" s="2" t="s">
        <v>220</v>
      </c>
    </row>
    <row r="541" spans="1:1" ht="12.75">
      <c r="A541" s="2" t="s">
        <v>220</v>
      </c>
    </row>
    <row r="542" spans="1:1" ht="12.75">
      <c r="A542" s="2" t="s">
        <v>220</v>
      </c>
    </row>
    <row r="543" spans="1:1" ht="12.75">
      <c r="A543" s="2" t="s">
        <v>220</v>
      </c>
    </row>
    <row r="566" spans="1:1" ht="12.75">
      <c r="A566" s="2" t="s">
        <v>220</v>
      </c>
    </row>
    <row r="567" spans="1:1" ht="12.75">
      <c r="A567" s="2" t="s">
        <v>220</v>
      </c>
    </row>
    <row r="568" spans="1:1" ht="12.75">
      <c r="A568" s="2" t="s">
        <v>220</v>
      </c>
    </row>
    <row r="569" spans="1:1" ht="12.75">
      <c r="A569" s="2" t="s">
        <v>220</v>
      </c>
    </row>
    <row r="570" spans="1:1" ht="12.75">
      <c r="A570" s="2" t="s">
        <v>161</v>
      </c>
    </row>
    <row r="571" spans="1:1" ht="12.75">
      <c r="A571" s="2" t="s">
        <v>196</v>
      </c>
    </row>
    <row r="572" spans="1:1" ht="12.75">
      <c r="A572" s="2" t="s">
        <v>161</v>
      </c>
    </row>
    <row r="573" spans="1:1" ht="12.75">
      <c r="A573" s="2" t="s">
        <v>175</v>
      </c>
    </row>
    <row r="575" spans="1:1" ht="12.75">
      <c r="A575" s="2" t="s">
        <v>175</v>
      </c>
    </row>
    <row r="576" spans="1:1" ht="12.75">
      <c r="A576" s="2" t="s">
        <v>170</v>
      </c>
    </row>
    <row r="577" spans="1:1" ht="12.75">
      <c r="A577" s="2" t="s">
        <v>179</v>
      </c>
    </row>
    <row r="578" spans="1:1" ht="12.75">
      <c r="A578" s="2" t="s">
        <v>184</v>
      </c>
    </row>
    <row r="580" spans="1:1" ht="12.75">
      <c r="A580" s="2" t="s">
        <v>184</v>
      </c>
    </row>
    <row r="581" spans="1:1" ht="12.75">
      <c r="A581" s="2" t="s">
        <v>179</v>
      </c>
    </row>
    <row r="582" spans="1:1" ht="12.75">
      <c r="A582" s="2" t="s">
        <v>174</v>
      </c>
    </row>
    <row r="583" spans="1:1" ht="12.75">
      <c r="A583" s="2" t="s">
        <v>169</v>
      </c>
    </row>
    <row r="584" spans="1:1" ht="12.75">
      <c r="A584" s="2" t="s">
        <v>174</v>
      </c>
    </row>
    <row r="585" spans="1:1" ht="12.75">
      <c r="A585" s="2" t="s">
        <v>178</v>
      </c>
    </row>
    <row r="586" spans="1:1" ht="12.75">
      <c r="A586" s="2" t="s">
        <v>169</v>
      </c>
    </row>
    <row r="587" spans="1:1" ht="12.75">
      <c r="A587" s="2" t="s">
        <v>164</v>
      </c>
    </row>
    <row r="588" spans="1:1" ht="12.75">
      <c r="A588" s="2" t="s">
        <v>179</v>
      </c>
    </row>
    <row r="589" spans="1:1" ht="12.75">
      <c r="A589" s="2" t="s">
        <v>169</v>
      </c>
    </row>
    <row r="590" spans="1:1" ht="12.75">
      <c r="A590" s="2" t="s">
        <v>178</v>
      </c>
    </row>
    <row r="591" spans="1:1" ht="12.75">
      <c r="A591" s="2" t="s">
        <v>167</v>
      </c>
    </row>
    <row r="592" spans="1:1" ht="12.75">
      <c r="A592" s="2" t="s">
        <v>164</v>
      </c>
    </row>
    <row r="593" spans="1:1" ht="12.75">
      <c r="A593" s="2" t="s">
        <v>167</v>
      </c>
    </row>
    <row r="594" spans="1:1" ht="12.75">
      <c r="A594" s="2" t="s">
        <v>162</v>
      </c>
    </row>
    <row r="595" spans="1:1" ht="12.75">
      <c r="A595" s="2" t="s">
        <v>162</v>
      </c>
    </row>
    <row r="596" spans="1:1" ht="12.75">
      <c r="A596" s="2" t="s">
        <v>167</v>
      </c>
    </row>
    <row r="597" spans="1:1" ht="12.75">
      <c r="A597" s="2" t="s">
        <v>162</v>
      </c>
    </row>
    <row r="598" spans="1:1" ht="12.75">
      <c r="A598" s="2" t="s">
        <v>167</v>
      </c>
    </row>
    <row r="599" spans="1:1" ht="12.75">
      <c r="A599" s="2" t="s">
        <v>167</v>
      </c>
    </row>
    <row r="600" spans="1:1" ht="12.75">
      <c r="A600" s="2" t="s">
        <v>167</v>
      </c>
    </row>
    <row r="601" spans="1:1" ht="12.75">
      <c r="A601" s="2" t="s">
        <v>179</v>
      </c>
    </row>
    <row r="602" spans="1:1" ht="12.75">
      <c r="A602" s="2" t="s">
        <v>179</v>
      </c>
    </row>
    <row r="603" spans="1:1" ht="12.75">
      <c r="A603" s="2" t="s">
        <v>162</v>
      </c>
    </row>
    <row r="604" spans="1:1" ht="12.75">
      <c r="A604" s="2" t="s">
        <v>179</v>
      </c>
    </row>
    <row r="605" spans="1:1" ht="12.75">
      <c r="A605" s="2" t="s">
        <v>162</v>
      </c>
    </row>
    <row r="606" spans="1:1" ht="12.75">
      <c r="A606" s="2" t="s">
        <v>162</v>
      </c>
    </row>
    <row r="607" spans="1:1" ht="12.75">
      <c r="A607" s="2" t="s">
        <v>180</v>
      </c>
    </row>
    <row r="608" spans="1:1" ht="12.75">
      <c r="A608" s="2" t="s">
        <v>194</v>
      </c>
    </row>
    <row r="609" spans="1:1" ht="12.75">
      <c r="A609" s="2" t="s">
        <v>169</v>
      </c>
    </row>
    <row r="610" spans="1:1" ht="12.75">
      <c r="A610" s="2" t="s">
        <v>169</v>
      </c>
    </row>
    <row r="611" spans="1:1" ht="12.75">
      <c r="A611" s="2" t="s">
        <v>167</v>
      </c>
    </row>
    <row r="612" spans="1:1" ht="12.75">
      <c r="A612" s="2" t="s">
        <v>167</v>
      </c>
    </row>
    <row r="613" spans="1:1" ht="12.75">
      <c r="A613" s="2" t="s">
        <v>167</v>
      </c>
    </row>
    <row r="614" spans="1:1" ht="12.75">
      <c r="A614" s="2" t="s">
        <v>162</v>
      </c>
    </row>
    <row r="615" spans="1:1" ht="12.75">
      <c r="A615" s="2" t="s">
        <v>175</v>
      </c>
    </row>
    <row r="616" spans="1:1" ht="12.75">
      <c r="A616" s="2" t="s">
        <v>162</v>
      </c>
    </row>
    <row r="617" spans="1:1" ht="12.75">
      <c r="A617" s="2" t="s">
        <v>175</v>
      </c>
    </row>
    <row r="618" spans="1:1" ht="12.75">
      <c r="A618" s="2" t="s">
        <v>162</v>
      </c>
    </row>
    <row r="619" spans="1:1" ht="12.75">
      <c r="A619" s="2" t="s">
        <v>177</v>
      </c>
    </row>
    <row r="620" spans="1:1" ht="12.75">
      <c r="A620" s="2" t="s">
        <v>177</v>
      </c>
    </row>
    <row r="621" spans="1:1" ht="12.75">
      <c r="A621" s="2" t="s">
        <v>167</v>
      </c>
    </row>
    <row r="622" spans="1:1" ht="12.75">
      <c r="A622" s="2" t="s">
        <v>174</v>
      </c>
    </row>
    <row r="623" spans="1:1" ht="12.75">
      <c r="A623" s="2" t="s">
        <v>169</v>
      </c>
    </row>
    <row r="624" spans="1:1" ht="12.75">
      <c r="A624" s="2" t="s">
        <v>169</v>
      </c>
    </row>
    <row r="625" spans="1:1" ht="12.75">
      <c r="A625" s="2" t="s">
        <v>162</v>
      </c>
    </row>
    <row r="626" spans="1:1" ht="12.75">
      <c r="A626" s="2" t="s">
        <v>169</v>
      </c>
    </row>
    <row r="627" spans="1:1" ht="12.75">
      <c r="A627" s="2" t="s">
        <v>162</v>
      </c>
    </row>
    <row r="628" spans="1:1" ht="12.75">
      <c r="A628" s="2" t="s">
        <v>162</v>
      </c>
    </row>
    <row r="629" spans="1:1" ht="12.75">
      <c r="A629" s="2" t="s">
        <v>167</v>
      </c>
    </row>
    <row r="630" spans="1:1" ht="12.75">
      <c r="A630" s="2" t="s">
        <v>167</v>
      </c>
    </row>
    <row r="631" spans="1:1" ht="12.75">
      <c r="A631" s="2" t="s">
        <v>179</v>
      </c>
    </row>
    <row r="632" spans="1:1" ht="12.75">
      <c r="A632" s="2" t="s">
        <v>167</v>
      </c>
    </row>
    <row r="633" spans="1:1" ht="12.75">
      <c r="A633" s="2" t="s">
        <v>179</v>
      </c>
    </row>
    <row r="634" spans="1:1" ht="12.75">
      <c r="A634" s="2" t="s">
        <v>179</v>
      </c>
    </row>
    <row r="635" spans="1:1" ht="12.75">
      <c r="A635" s="2" t="s">
        <v>167</v>
      </c>
    </row>
    <row r="636" spans="1:1" ht="12.75">
      <c r="A636" s="2" t="s">
        <v>175</v>
      </c>
    </row>
    <row r="637" spans="1:1" ht="12.75">
      <c r="A637" s="2" t="s">
        <v>167</v>
      </c>
    </row>
    <row r="638" spans="1:1" ht="12.75">
      <c r="A638" s="2" t="s">
        <v>175</v>
      </c>
    </row>
    <row r="639" spans="1:1" ht="12.75">
      <c r="A639" s="2" t="s">
        <v>184</v>
      </c>
    </row>
    <row r="640" spans="1:1" ht="12.75">
      <c r="A640" s="2" t="s">
        <v>177</v>
      </c>
    </row>
    <row r="641" spans="1:1" ht="12.75">
      <c r="A641" s="2" t="s">
        <v>174</v>
      </c>
    </row>
    <row r="642" spans="1:1" ht="12.75">
      <c r="A642" s="2" t="s">
        <v>184</v>
      </c>
    </row>
    <row r="643" spans="1:1" ht="12.75">
      <c r="A643" s="2" t="s">
        <v>221</v>
      </c>
    </row>
    <row r="644" spans="1:1" ht="12.75">
      <c r="A644" s="2" t="s">
        <v>179</v>
      </c>
    </row>
    <row r="645" spans="1:1" ht="12.75">
      <c r="A645" s="2" t="s">
        <v>179</v>
      </c>
    </row>
    <row r="646" spans="1:1" ht="12.75">
      <c r="A646" s="2" t="s">
        <v>179</v>
      </c>
    </row>
    <row r="647" spans="1:1" ht="12.75">
      <c r="A647" s="2" t="s">
        <v>174</v>
      </c>
    </row>
    <row r="648" spans="1:1" ht="12.75">
      <c r="A648" s="2" t="s">
        <v>184</v>
      </c>
    </row>
    <row r="649" spans="1:1" ht="12.75">
      <c r="A649" s="2" t="s">
        <v>184</v>
      </c>
    </row>
    <row r="650" spans="1:1" ht="12.75">
      <c r="A650" s="2" t="s">
        <v>184</v>
      </c>
    </row>
    <row r="651" spans="1:1" ht="12.75">
      <c r="A651" s="2" t="s">
        <v>184</v>
      </c>
    </row>
    <row r="652" spans="1:1" ht="12.75">
      <c r="A652" s="2" t="s">
        <v>184</v>
      </c>
    </row>
    <row r="653" spans="1:1" ht="12.75">
      <c r="A653" s="2" t="s">
        <v>179</v>
      </c>
    </row>
    <row r="655" spans="1:1" ht="12.75">
      <c r="A655" s="2" t="s">
        <v>170</v>
      </c>
    </row>
    <row r="657" spans="1:1" ht="12.75">
      <c r="A657" s="2" t="s">
        <v>170</v>
      </c>
    </row>
    <row r="659" spans="1:1" ht="12.75">
      <c r="A659" s="2" t="s">
        <v>174</v>
      </c>
    </row>
    <row r="660" spans="1:1" ht="12.75">
      <c r="A660" s="2" t="s">
        <v>196</v>
      </c>
    </row>
    <row r="661" spans="1:1" ht="12.75">
      <c r="A661" s="2" t="s">
        <v>167</v>
      </c>
    </row>
    <row r="662" spans="1:1" ht="12.75">
      <c r="A662" s="2" t="s">
        <v>167</v>
      </c>
    </row>
    <row r="663" spans="1:1" ht="12.75">
      <c r="A663" s="2" t="s">
        <v>162</v>
      </c>
    </row>
    <row r="664" spans="1:1" ht="12.75">
      <c r="A664" s="2" t="s">
        <v>167</v>
      </c>
    </row>
    <row r="665" spans="1:1" ht="12.75">
      <c r="A665" s="2" t="s">
        <v>162</v>
      </c>
    </row>
    <row r="666" spans="1:1" ht="12.75">
      <c r="A666" s="2" t="s">
        <v>162</v>
      </c>
    </row>
    <row r="667" spans="1:1" ht="12.75">
      <c r="A667" s="2" t="s">
        <v>185</v>
      </c>
    </row>
    <row r="668" spans="1:1" ht="12.75">
      <c r="A668" s="2" t="s">
        <v>175</v>
      </c>
    </row>
    <row r="669" spans="1:1" ht="12.75">
      <c r="A669" s="2" t="s">
        <v>160</v>
      </c>
    </row>
    <row r="670" spans="1:1" ht="12.75">
      <c r="A670" s="2" t="s">
        <v>175</v>
      </c>
    </row>
    <row r="671" spans="1:1" ht="12.75">
      <c r="A671" s="2" t="s">
        <v>160</v>
      </c>
    </row>
    <row r="672" spans="1:1" ht="12.75">
      <c r="A672" s="2" t="s">
        <v>175</v>
      </c>
    </row>
    <row r="673" spans="1:1" ht="12.75">
      <c r="A673" s="2" t="s">
        <v>167</v>
      </c>
    </row>
    <row r="674" spans="1:1" ht="12.75">
      <c r="A674" s="2" t="s">
        <v>162</v>
      </c>
    </row>
    <row r="675" spans="1:1" ht="12.75">
      <c r="A675" s="2" t="s">
        <v>179</v>
      </c>
    </row>
    <row r="676" spans="1:1" ht="12.75">
      <c r="A676" s="2" t="s">
        <v>162</v>
      </c>
    </row>
    <row r="677" spans="1:1" ht="12.75">
      <c r="A677" s="2" t="s">
        <v>179</v>
      </c>
    </row>
    <row r="678" spans="1:1" ht="12.75">
      <c r="A678" s="2" t="s">
        <v>162</v>
      </c>
    </row>
    <row r="679" spans="1:1" ht="12.75">
      <c r="A679" s="2" t="s">
        <v>179</v>
      </c>
    </row>
    <row r="680" spans="1:1" ht="12.75">
      <c r="A680" s="2" t="s">
        <v>160</v>
      </c>
    </row>
    <row r="681" spans="1:1" ht="12.75">
      <c r="A681" s="2" t="s">
        <v>160</v>
      </c>
    </row>
    <row r="682" spans="1:1" ht="12.75">
      <c r="A682" s="2" t="s">
        <v>160</v>
      </c>
    </row>
    <row r="683" spans="1:1" ht="12.75">
      <c r="A683" s="2" t="s">
        <v>162</v>
      </c>
    </row>
    <row r="684" spans="1:1" ht="12.75">
      <c r="A684" s="2" t="s">
        <v>175</v>
      </c>
    </row>
    <row r="685" spans="1:1" ht="12.75">
      <c r="A685" s="2" t="s">
        <v>162</v>
      </c>
    </row>
    <row r="686" spans="1:1" ht="12.75">
      <c r="A686" s="2" t="s">
        <v>175</v>
      </c>
    </row>
    <row r="687" spans="1:1" ht="12.75">
      <c r="A687" s="2" t="s">
        <v>170</v>
      </c>
    </row>
    <row r="688" spans="1:1" ht="12.75">
      <c r="A688" s="2" t="s">
        <v>167</v>
      </c>
    </row>
    <row r="689" spans="1:1" ht="12.75">
      <c r="A689" s="2" t="s">
        <v>177</v>
      </c>
    </row>
    <row r="690" spans="1:1" ht="12.75">
      <c r="A690" s="2" t="s">
        <v>167</v>
      </c>
    </row>
    <row r="691" spans="1:1" ht="12.75">
      <c r="A691" s="2" t="s">
        <v>185</v>
      </c>
    </row>
    <row r="692" spans="1:1" ht="12.75">
      <c r="A692" s="2" t="s">
        <v>167</v>
      </c>
    </row>
    <row r="693" spans="1:1" ht="12.75">
      <c r="A693" s="2" t="s">
        <v>185</v>
      </c>
    </row>
    <row r="694" spans="1:1" ht="12.75">
      <c r="A694" s="2" t="s">
        <v>170</v>
      </c>
    </row>
    <row r="695" spans="1:1" ht="12.75">
      <c r="A695" s="2" t="s">
        <v>196</v>
      </c>
    </row>
    <row r="696" spans="1:1" ht="12.75">
      <c r="A696" s="2" t="s">
        <v>162</v>
      </c>
    </row>
    <row r="697" spans="1:1" ht="12.75">
      <c r="A697" s="2" t="s">
        <v>170</v>
      </c>
    </row>
    <row r="698" spans="1:1" ht="12.75">
      <c r="A698" s="2" t="s">
        <v>162</v>
      </c>
    </row>
    <row r="699" spans="1:1" ht="12.75">
      <c r="A699" s="2" t="s">
        <v>170</v>
      </c>
    </row>
    <row r="700" spans="1:1" ht="12.75">
      <c r="A700" s="2" t="s">
        <v>175</v>
      </c>
    </row>
    <row r="701" spans="1:1" ht="12.75">
      <c r="A701" s="2" t="s">
        <v>162</v>
      </c>
    </row>
    <row r="702" spans="1:1" ht="12.75">
      <c r="A702" s="2" t="s">
        <v>167</v>
      </c>
    </row>
    <row r="703" spans="1:1" ht="12.75">
      <c r="A703" s="2" t="s">
        <v>175</v>
      </c>
    </row>
    <row r="704" spans="1:1" ht="12.75">
      <c r="A704" s="2" t="s">
        <v>177</v>
      </c>
    </row>
    <row r="705" spans="1:1" ht="12.75">
      <c r="A705" s="2" t="s">
        <v>185</v>
      </c>
    </row>
    <row r="706" spans="1:1" ht="12.75">
      <c r="A706" s="2" t="s">
        <v>167</v>
      </c>
    </row>
    <row r="707" spans="1:1" ht="12.75">
      <c r="A707" s="2" t="s">
        <v>184</v>
      </c>
    </row>
    <row r="708" spans="1:1" ht="12.75">
      <c r="A708" s="2" t="s">
        <v>174</v>
      </c>
    </row>
    <row r="709" spans="1:1" ht="12.75">
      <c r="A709" s="2" t="s">
        <v>184</v>
      </c>
    </row>
    <row r="710" spans="1:1" ht="12.75">
      <c r="A710" s="2" t="s">
        <v>174</v>
      </c>
    </row>
    <row r="711" spans="1:1" ht="12.75">
      <c r="A711" s="2" t="s">
        <v>160</v>
      </c>
    </row>
    <row r="712" spans="1:1" ht="12.75">
      <c r="A712" s="2" t="s">
        <v>221</v>
      </c>
    </row>
    <row r="713" spans="1:1" ht="12.75">
      <c r="A713" s="2" t="s">
        <v>160</v>
      </c>
    </row>
    <row r="714" spans="1:1" ht="12.75">
      <c r="A714" s="2" t="s">
        <v>160</v>
      </c>
    </row>
    <row r="715" spans="1:1" ht="12.75">
      <c r="A715" s="2" t="s">
        <v>184</v>
      </c>
    </row>
    <row r="716" spans="1:1" ht="12.75">
      <c r="A716" s="2" t="s">
        <v>160</v>
      </c>
    </row>
    <row r="717" spans="1:1" ht="12.75">
      <c r="A717" s="2" t="s">
        <v>167</v>
      </c>
    </row>
    <row r="718" spans="1:1" ht="12.75">
      <c r="A718" s="2" t="s">
        <v>160</v>
      </c>
    </row>
    <row r="719" spans="1:1" ht="12.75">
      <c r="A719" s="2" t="s">
        <v>167</v>
      </c>
    </row>
    <row r="720" spans="1:1" ht="12.75">
      <c r="A720" s="2" t="s">
        <v>162</v>
      </c>
    </row>
    <row r="721" spans="1:1" ht="12.75">
      <c r="A721" s="2" t="s">
        <v>162</v>
      </c>
    </row>
    <row r="722" spans="1:1" ht="12.75">
      <c r="A722" s="2" t="s">
        <v>175</v>
      </c>
    </row>
    <row r="723" spans="1:1" ht="12.75">
      <c r="A723" s="2" t="s">
        <v>162</v>
      </c>
    </row>
    <row r="724" spans="1:1" ht="12.75">
      <c r="A724" s="2" t="s">
        <v>160</v>
      </c>
    </row>
    <row r="725" spans="1:1" ht="12.75">
      <c r="A725" s="2" t="s">
        <v>175</v>
      </c>
    </row>
    <row r="726" spans="1:1" ht="12.75">
      <c r="A726" s="2" t="s">
        <v>177</v>
      </c>
    </row>
    <row r="727" spans="1:1" ht="12.75">
      <c r="A727" s="2" t="s">
        <v>191</v>
      </c>
    </row>
    <row r="728" spans="1:1" ht="12.75">
      <c r="A728" s="2" t="s">
        <v>177</v>
      </c>
    </row>
    <row r="729" spans="1:1" ht="12.75">
      <c r="A729" s="2" t="s">
        <v>191</v>
      </c>
    </row>
    <row r="730" spans="1:1" ht="12.75">
      <c r="A730" s="2" t="s">
        <v>167</v>
      </c>
    </row>
    <row r="731" spans="1:1" ht="12.75">
      <c r="A731" s="2" t="s">
        <v>174</v>
      </c>
    </row>
    <row r="732" spans="1:1" ht="12.75">
      <c r="A732" s="2" t="s">
        <v>193</v>
      </c>
    </row>
    <row r="733" spans="1:1" ht="12.75">
      <c r="A733" s="2" t="s">
        <v>174</v>
      </c>
    </row>
    <row r="734" spans="1:1" ht="12.75">
      <c r="A734" s="2" t="s">
        <v>196</v>
      </c>
    </row>
    <row r="735" spans="1:1" ht="12.75">
      <c r="A735" s="2" t="s">
        <v>193</v>
      </c>
    </row>
    <row r="736" spans="1:1" ht="12.75">
      <c r="A736" s="2" t="s">
        <v>196</v>
      </c>
    </row>
    <row r="737" spans="1:1" ht="12.75">
      <c r="A737" s="2" t="s">
        <v>170</v>
      </c>
    </row>
    <row r="738" spans="1:1" ht="12.75">
      <c r="A738" s="2" t="s">
        <v>177</v>
      </c>
    </row>
    <row r="739" spans="1:1" ht="12.75">
      <c r="A739" s="2" t="s">
        <v>160</v>
      </c>
    </row>
    <row r="740" spans="1:1" ht="12.75">
      <c r="A740" s="2" t="s">
        <v>185</v>
      </c>
    </row>
    <row r="741" spans="1:1" ht="12.75">
      <c r="A741" s="2" t="s">
        <v>160</v>
      </c>
    </row>
    <row r="742" spans="1:1" ht="12.75">
      <c r="A742" s="2" t="s">
        <v>222</v>
      </c>
    </row>
    <row r="743" spans="1:1" ht="12.75">
      <c r="A743" s="2" t="s">
        <v>222</v>
      </c>
    </row>
    <row r="744" spans="1:1" ht="12.75">
      <c r="A744" s="2" t="s">
        <v>222</v>
      </c>
    </row>
    <row r="745" spans="1:1" ht="12.75">
      <c r="A745" s="2" t="s">
        <v>222</v>
      </c>
    </row>
    <row r="746" spans="1:1" ht="12.75">
      <c r="A746" s="2" t="s">
        <v>222</v>
      </c>
    </row>
    <row r="747" spans="1:1" ht="12.75">
      <c r="A747" s="2" t="s">
        <v>222</v>
      </c>
    </row>
    <row r="748" spans="1:1" ht="12.75">
      <c r="A748" s="2" t="s">
        <v>222</v>
      </c>
    </row>
    <row r="749" spans="1:1" ht="12.75">
      <c r="A749" s="2" t="s">
        <v>222</v>
      </c>
    </row>
    <row r="750" spans="1:1" ht="12.75">
      <c r="A750" s="2" t="s">
        <v>179</v>
      </c>
    </row>
    <row r="751" spans="1:1" ht="12.75">
      <c r="A751" s="2" t="s">
        <v>222</v>
      </c>
    </row>
    <row r="752" spans="1:1" ht="12.75">
      <c r="A752" s="2" t="s">
        <v>222</v>
      </c>
    </row>
    <row r="753" spans="1:1" ht="12.75">
      <c r="A753" s="2" t="s">
        <v>222</v>
      </c>
    </row>
    <row r="754" spans="1:1" ht="12.75">
      <c r="A754" s="2" t="s">
        <v>162</v>
      </c>
    </row>
    <row r="755" spans="1:1" ht="12.75">
      <c r="A755" s="2" t="s">
        <v>160</v>
      </c>
    </row>
    <row r="756" spans="1:1" ht="12.75">
      <c r="A756" s="2" t="s">
        <v>167</v>
      </c>
    </row>
    <row r="757" spans="1:1" ht="12.75">
      <c r="A757" s="2" t="s">
        <v>162</v>
      </c>
    </row>
    <row r="758" spans="1:1" ht="12.75">
      <c r="A758" s="2" t="s">
        <v>167</v>
      </c>
    </row>
    <row r="759" spans="1:1" ht="12.75">
      <c r="A759" s="2" t="s">
        <v>175</v>
      </c>
    </row>
    <row r="760" spans="1:1" ht="12.75">
      <c r="A760" s="2" t="s">
        <v>177</v>
      </c>
    </row>
    <row r="761" spans="1:1" ht="12.75">
      <c r="A761" s="2" t="s">
        <v>175</v>
      </c>
    </row>
    <row r="762" spans="1:1" ht="12.75">
      <c r="A762" s="2" t="s">
        <v>169</v>
      </c>
    </row>
    <row r="763" spans="1:1" ht="12.75">
      <c r="A763" s="2" t="s">
        <v>177</v>
      </c>
    </row>
    <row r="764" spans="1:1" ht="12.75">
      <c r="A764" s="2" t="s">
        <v>169</v>
      </c>
    </row>
    <row r="765" spans="1:1" ht="12.75">
      <c r="A765" s="2" t="s">
        <v>177</v>
      </c>
    </row>
    <row r="766" spans="1:1" ht="12.75">
      <c r="A766" s="2" t="s">
        <v>170</v>
      </c>
    </row>
    <row r="767" spans="1:1" ht="12.75">
      <c r="A767" s="2" t="s">
        <v>169</v>
      </c>
    </row>
    <row r="768" spans="1:1" ht="12.75">
      <c r="A768" s="2" t="s">
        <v>177</v>
      </c>
    </row>
    <row r="769" spans="1:1" ht="12.75">
      <c r="A769" s="2" t="s">
        <v>196</v>
      </c>
    </row>
    <row r="770" spans="1:1" ht="12.75">
      <c r="A770" s="2" t="s">
        <v>167</v>
      </c>
    </row>
    <row r="771" spans="1:1" ht="12.75">
      <c r="A771" s="2" t="s">
        <v>160</v>
      </c>
    </row>
    <row r="772" spans="1:1" ht="12.75">
      <c r="A772" s="2" t="s">
        <v>167</v>
      </c>
    </row>
    <row r="773" spans="1:1" ht="12.75">
      <c r="A773" s="2" t="s">
        <v>178</v>
      </c>
    </row>
    <row r="774" spans="1:1" ht="12.75">
      <c r="A774" s="2" t="s">
        <v>167</v>
      </c>
    </row>
    <row r="775" spans="1:1" ht="12.75">
      <c r="A775" s="2" t="s">
        <v>178</v>
      </c>
    </row>
    <row r="776" spans="1:1" ht="12.75">
      <c r="A776" s="2" t="s">
        <v>193</v>
      </c>
    </row>
    <row r="777" spans="1:1" ht="12.75">
      <c r="A777" s="2" t="s">
        <v>184</v>
      </c>
    </row>
    <row r="778" spans="1:1" ht="12.75">
      <c r="A778" s="2" t="s">
        <v>193</v>
      </c>
    </row>
    <row r="779" spans="1:1" ht="12.75">
      <c r="A779" s="2" t="s">
        <v>184</v>
      </c>
    </row>
    <row r="780" spans="1:1" ht="12.75">
      <c r="A780" s="2" t="s">
        <v>177</v>
      </c>
    </row>
    <row r="781" spans="1:1" ht="12.75">
      <c r="A781" s="2" t="s">
        <v>184</v>
      </c>
    </row>
    <row r="782" spans="1:1" ht="12.75">
      <c r="A782" s="2" t="s">
        <v>177</v>
      </c>
    </row>
    <row r="783" spans="1:1" ht="12.75">
      <c r="A783" s="2" t="s">
        <v>179</v>
      </c>
    </row>
    <row r="784" spans="1:1" ht="12.75">
      <c r="A784" s="2" t="s">
        <v>179</v>
      </c>
    </row>
    <row r="785" spans="1:1" ht="12.75">
      <c r="A785" s="2" t="s">
        <v>170</v>
      </c>
    </row>
    <row r="786" spans="1:1" ht="12.75">
      <c r="A786" s="2" t="s">
        <v>179</v>
      </c>
    </row>
    <row r="787" spans="1:1" ht="12.75">
      <c r="A787" s="2" t="s">
        <v>170</v>
      </c>
    </row>
    <row r="788" spans="1:1" ht="12.75">
      <c r="A788" s="2" t="s">
        <v>196</v>
      </c>
    </row>
    <row r="789" spans="1:1" ht="12.75">
      <c r="A789" s="2" t="s">
        <v>162</v>
      </c>
    </row>
    <row r="790" spans="1:1" ht="12.75">
      <c r="A790" s="2" t="s">
        <v>167</v>
      </c>
    </row>
    <row r="791" spans="1:1" ht="12.75">
      <c r="A791" s="2" t="s">
        <v>163</v>
      </c>
    </row>
    <row r="792" spans="1:1" ht="12.75">
      <c r="A792" s="2" t="s">
        <v>174</v>
      </c>
    </row>
    <row r="793" spans="1:1" ht="12.75">
      <c r="A793" s="2" t="s">
        <v>162</v>
      </c>
    </row>
    <row r="794" spans="1:1" ht="12.75">
      <c r="A794" s="2" t="s">
        <v>160</v>
      </c>
    </row>
    <row r="795" spans="1:1" ht="12.75">
      <c r="A795" s="2" t="s">
        <v>184</v>
      </c>
    </row>
    <row r="796" spans="1:1" ht="12.75">
      <c r="A796" s="2" t="s">
        <v>160</v>
      </c>
    </row>
    <row r="797" spans="1:1" ht="12.75">
      <c r="A797" s="2" t="s">
        <v>167</v>
      </c>
    </row>
    <row r="798" spans="1:1" ht="12.75">
      <c r="A798" s="2" t="s">
        <v>160</v>
      </c>
    </row>
    <row r="799" spans="1:1" ht="12.75">
      <c r="A799" s="2" t="s">
        <v>167</v>
      </c>
    </row>
    <row r="800" spans="1:1" ht="12.75">
      <c r="A800" s="2" t="s">
        <v>167</v>
      </c>
    </row>
    <row r="801" spans="1:1" ht="12.75">
      <c r="A801" s="2" t="s">
        <v>179</v>
      </c>
    </row>
    <row r="802" spans="1:1" ht="12.75">
      <c r="A802" s="2" t="s">
        <v>175</v>
      </c>
    </row>
    <row r="803" spans="1:1" ht="12.75">
      <c r="A803" s="2" t="s">
        <v>179</v>
      </c>
    </row>
    <row r="804" spans="1:1" ht="12.75">
      <c r="A804" s="2" t="s">
        <v>185</v>
      </c>
    </row>
    <row r="805" spans="1:1" ht="12.75">
      <c r="A805" s="2" t="s">
        <v>179</v>
      </c>
    </row>
    <row r="806" spans="1:1" ht="12.75">
      <c r="A806" s="2" t="s">
        <v>184</v>
      </c>
    </row>
    <row r="807" spans="1:1" ht="12.75">
      <c r="A807" s="2" t="s">
        <v>175</v>
      </c>
    </row>
    <row r="808" spans="1:1" ht="12.75">
      <c r="A808" s="2" t="s">
        <v>174</v>
      </c>
    </row>
    <row r="809" spans="1:1" ht="12.75">
      <c r="A809" s="2" t="s">
        <v>177</v>
      </c>
    </row>
    <row r="810" spans="1:1" ht="12.75">
      <c r="A810" s="2" t="s">
        <v>167</v>
      </c>
    </row>
    <row r="811" spans="1:1" ht="12.75">
      <c r="A811" s="2" t="s">
        <v>177</v>
      </c>
    </row>
    <row r="812" spans="1:1" ht="12.75">
      <c r="A812" s="2" t="s">
        <v>167</v>
      </c>
    </row>
    <row r="813" spans="1:1" ht="12.75">
      <c r="A813" s="2" t="s">
        <v>160</v>
      </c>
    </row>
    <row r="814" spans="1:1" ht="12.75">
      <c r="A814" s="2" t="s">
        <v>167</v>
      </c>
    </row>
    <row r="815" spans="1:1" ht="12.75">
      <c r="A815" s="2" t="s">
        <v>196</v>
      </c>
    </row>
    <row r="816" spans="1:1" ht="12.75">
      <c r="A816" s="2" t="s">
        <v>160</v>
      </c>
    </row>
    <row r="817" spans="1:1" ht="12.75">
      <c r="A817" s="2" t="s">
        <v>193</v>
      </c>
    </row>
    <row r="818" spans="1:1" ht="12.75">
      <c r="A818" s="2" t="s">
        <v>193</v>
      </c>
    </row>
    <row r="819" spans="1:1" ht="12.75">
      <c r="A819" s="2" t="s">
        <v>160</v>
      </c>
    </row>
    <row r="820" spans="1:1" ht="12.75">
      <c r="A820" s="2" t="s">
        <v>170</v>
      </c>
    </row>
    <row r="821" spans="1:1" ht="12.75">
      <c r="A821" s="2" t="s">
        <v>184</v>
      </c>
    </row>
    <row r="822" spans="1:1" ht="12.75">
      <c r="A822" s="2" t="s">
        <v>170</v>
      </c>
    </row>
    <row r="823" spans="1:1" ht="12.75">
      <c r="A823" s="2" t="s">
        <v>184</v>
      </c>
    </row>
    <row r="824" spans="1:1" ht="12.75">
      <c r="A824" s="2" t="s">
        <v>179</v>
      </c>
    </row>
    <row r="825" spans="1:1" ht="12.75">
      <c r="A825" s="2" t="s">
        <v>162</v>
      </c>
    </row>
    <row r="826" spans="1:1" ht="12.75">
      <c r="A826" s="2" t="s">
        <v>162</v>
      </c>
    </row>
    <row r="827" spans="1:1" ht="12.75">
      <c r="A827" s="2" t="s">
        <v>175</v>
      </c>
    </row>
    <row r="828" spans="1:1" ht="12.75">
      <c r="A828" s="2" t="s">
        <v>162</v>
      </c>
    </row>
    <row r="829" spans="1:1" ht="12.75">
      <c r="A829" s="2" t="s">
        <v>175</v>
      </c>
    </row>
    <row r="830" spans="1:1" ht="12.75">
      <c r="A830" s="2" t="s">
        <v>185</v>
      </c>
    </row>
    <row r="831" spans="1:1" ht="12.75">
      <c r="A831" s="2" t="s">
        <v>167</v>
      </c>
    </row>
    <row r="832" spans="1:1" ht="12.75">
      <c r="A832" s="2" t="s">
        <v>177</v>
      </c>
    </row>
    <row r="833" spans="1:1" ht="12.75">
      <c r="A833" s="2" t="s">
        <v>184</v>
      </c>
    </row>
    <row r="835" spans="1:1" ht="12.75">
      <c r="A835" s="2" t="s">
        <v>193</v>
      </c>
    </row>
    <row r="836" spans="1:1" ht="12.75">
      <c r="A836" s="2" t="s">
        <v>193</v>
      </c>
    </row>
    <row r="837" spans="1:1" ht="12.75">
      <c r="A837" s="2" t="s">
        <v>160</v>
      </c>
    </row>
    <row r="838" spans="1:1" ht="12.75">
      <c r="A838" s="2" t="s">
        <v>170</v>
      </c>
    </row>
    <row r="839" spans="1:1" ht="12.75">
      <c r="A839" s="2" t="s">
        <v>160</v>
      </c>
    </row>
    <row r="840" spans="1:1" ht="12.75">
      <c r="A840" s="2" t="s">
        <v>170</v>
      </c>
    </row>
    <row r="841" spans="1:1" ht="12.75">
      <c r="A841" s="2" t="s">
        <v>179</v>
      </c>
    </row>
    <row r="842" spans="1:1" ht="12.75">
      <c r="A842" s="2" t="s">
        <v>196</v>
      </c>
    </row>
    <row r="843" spans="1:1" ht="12.75">
      <c r="A843" s="2" t="s">
        <v>179</v>
      </c>
    </row>
    <row r="844" spans="1:1" ht="12.75">
      <c r="A844" s="2" t="s">
        <v>160</v>
      </c>
    </row>
    <row r="845" spans="1:1" ht="12.75">
      <c r="A845" s="2" t="s">
        <v>179</v>
      </c>
    </row>
    <row r="846" spans="1:1" ht="12.75">
      <c r="A846" s="2" t="s">
        <v>167</v>
      </c>
    </row>
    <row r="847" spans="1:1" ht="12.75">
      <c r="A847" s="2" t="s">
        <v>167</v>
      </c>
    </row>
    <row r="848" spans="1:1" ht="12.75">
      <c r="A848" s="2" t="s">
        <v>167</v>
      </c>
    </row>
    <row r="849" spans="1:1" ht="12.75">
      <c r="A849" s="2" t="s">
        <v>170</v>
      </c>
    </row>
    <row r="850" spans="1:1" ht="12.75">
      <c r="A850" s="2" t="s">
        <v>162</v>
      </c>
    </row>
    <row r="852" spans="1:1" ht="12.75">
      <c r="A852" s="2" t="s">
        <v>162</v>
      </c>
    </row>
    <row r="854" spans="1:1" ht="12.75">
      <c r="A854" s="2" t="s">
        <v>175</v>
      </c>
    </row>
    <row r="855" spans="1:1" ht="12.75">
      <c r="A855" s="2" t="s">
        <v>177</v>
      </c>
    </row>
    <row r="856" spans="1:1" ht="12.75">
      <c r="A856" s="2" t="s">
        <v>184</v>
      </c>
    </row>
    <row r="857" spans="1:1" ht="12.75">
      <c r="A857" s="2" t="s">
        <v>177</v>
      </c>
    </row>
    <row r="858" spans="1:1" ht="12.75">
      <c r="A858" s="2" t="s">
        <v>221</v>
      </c>
    </row>
    <row r="859" spans="1:1" ht="12.75">
      <c r="A859" s="2" t="s">
        <v>170</v>
      </c>
    </row>
    <row r="860" spans="1:1" ht="12.75">
      <c r="A860" s="2" t="s">
        <v>175</v>
      </c>
    </row>
    <row r="861" spans="1:1" ht="12.75">
      <c r="A861" s="2" t="s">
        <v>170</v>
      </c>
    </row>
    <row r="862" spans="1:1" ht="12.75">
      <c r="A862" s="2" t="s">
        <v>170</v>
      </c>
    </row>
    <row r="863" spans="1:1" ht="12.75">
      <c r="A863" s="2" t="s">
        <v>160</v>
      </c>
    </row>
    <row r="864" spans="1:1" ht="12.75">
      <c r="A864" s="2" t="s">
        <v>167</v>
      </c>
    </row>
    <row r="865" spans="1:1" ht="12.75">
      <c r="A865" s="2" t="s">
        <v>160</v>
      </c>
    </row>
    <row r="866" spans="1:1" ht="12.75">
      <c r="A866" s="2" t="s">
        <v>178</v>
      </c>
    </row>
    <row r="867" spans="1:1" ht="12.75">
      <c r="A867" s="2" t="s">
        <v>160</v>
      </c>
    </row>
    <row r="868" spans="1:1" ht="12.75">
      <c r="A868" s="2" t="s">
        <v>167</v>
      </c>
    </row>
    <row r="869" spans="1:1" ht="12.75">
      <c r="A869" s="2" t="s">
        <v>167</v>
      </c>
    </row>
    <row r="870" spans="1:1" ht="12.75">
      <c r="A870" s="2" t="s">
        <v>167</v>
      </c>
    </row>
    <row r="872" spans="1:1" ht="12.75">
      <c r="A872" s="2" t="s">
        <v>170</v>
      </c>
    </row>
    <row r="873" spans="1:1" ht="12.75">
      <c r="A873" s="2" t="s">
        <v>167</v>
      </c>
    </row>
    <row r="874" spans="1:1" ht="12.75">
      <c r="A874" s="2" t="s">
        <v>179</v>
      </c>
    </row>
    <row r="875" spans="1:1" ht="12.75">
      <c r="A875" s="2" t="s">
        <v>167</v>
      </c>
    </row>
    <row r="876" spans="1:1" ht="12.75">
      <c r="A876" s="2" t="s">
        <v>162</v>
      </c>
    </row>
    <row r="877" spans="1:1" ht="12.75">
      <c r="A877" s="2" t="s">
        <v>179</v>
      </c>
    </row>
    <row r="878" spans="1:1" ht="12.75">
      <c r="A878" s="2" t="s">
        <v>175</v>
      </c>
    </row>
    <row r="879" spans="1:1" ht="12.75">
      <c r="A879" s="2" t="s">
        <v>162</v>
      </c>
    </row>
    <row r="880" spans="1:1" ht="12.75">
      <c r="A880" s="2" t="s">
        <v>184</v>
      </c>
    </row>
    <row r="881" spans="1:1" ht="12.75">
      <c r="A881" s="2" t="s">
        <v>162</v>
      </c>
    </row>
    <row r="882" spans="1:1" ht="12.75">
      <c r="A882" s="2" t="s">
        <v>184</v>
      </c>
    </row>
    <row r="883" spans="1:1" ht="12.75">
      <c r="A883" s="2" t="s">
        <v>175</v>
      </c>
    </row>
    <row r="884" spans="1:1" ht="12.75">
      <c r="A884" s="2" t="s">
        <v>169</v>
      </c>
    </row>
    <row r="885" spans="1:1" ht="12.75">
      <c r="A885" s="2" t="s">
        <v>169</v>
      </c>
    </row>
    <row r="886" spans="1:1" ht="12.75">
      <c r="A886" s="2" t="s">
        <v>177</v>
      </c>
    </row>
    <row r="887" spans="1:1" ht="12.75">
      <c r="A887" s="2" t="s">
        <v>169</v>
      </c>
    </row>
    <row r="888" spans="1:1" ht="12.75">
      <c r="A888" s="2" t="s">
        <v>177</v>
      </c>
    </row>
    <row r="889" spans="1:1" ht="12.75">
      <c r="A889" s="2" t="s">
        <v>170</v>
      </c>
    </row>
    <row r="890" spans="1:1" ht="12.75">
      <c r="A890" s="2" t="s">
        <v>196</v>
      </c>
    </row>
    <row r="891" spans="1:1" ht="12.75">
      <c r="A891" s="2" t="s">
        <v>170</v>
      </c>
    </row>
    <row r="892" spans="1:1" ht="12.75">
      <c r="A892" s="2" t="s">
        <v>196</v>
      </c>
    </row>
    <row r="893" spans="1:1" ht="12.75">
      <c r="A893" s="2" t="s">
        <v>193</v>
      </c>
    </row>
    <row r="894" spans="1:1" ht="12.75">
      <c r="A894" s="2" t="s">
        <v>170</v>
      </c>
    </row>
    <row r="895" spans="1:1" ht="12.75">
      <c r="A895" s="2" t="s">
        <v>193</v>
      </c>
    </row>
    <row r="896" spans="1:1" ht="12.75">
      <c r="A896" s="2" t="s">
        <v>160</v>
      </c>
    </row>
    <row r="897" spans="1:1" ht="12.75">
      <c r="A897" s="2" t="s">
        <v>170</v>
      </c>
    </row>
    <row r="898" spans="1:1" ht="12.75">
      <c r="A898" s="2" t="s">
        <v>160</v>
      </c>
    </row>
    <row r="899" spans="1:1" ht="12.75">
      <c r="A899" s="2" t="s">
        <v>160</v>
      </c>
    </row>
    <row r="900" spans="1:1" ht="12.75">
      <c r="A900" s="2" t="s">
        <v>167</v>
      </c>
    </row>
    <row r="901" spans="1:1" ht="12.75">
      <c r="A901" s="2" t="s">
        <v>160</v>
      </c>
    </row>
    <row r="902" spans="1:1" ht="12.75">
      <c r="A902" s="2" t="s">
        <v>167</v>
      </c>
    </row>
    <row r="903" spans="1:1" ht="12.75">
      <c r="A903" s="2" t="s">
        <v>167</v>
      </c>
    </row>
    <row r="904" spans="1:1" ht="12.75">
      <c r="A904" s="2" t="s">
        <v>162</v>
      </c>
    </row>
    <row r="905" spans="1:1" ht="12.75">
      <c r="A905" s="2" t="s">
        <v>179</v>
      </c>
    </row>
    <row r="906" spans="1:1" ht="12.75">
      <c r="A906" s="2" t="s">
        <v>162</v>
      </c>
    </row>
    <row r="907" spans="1:1" ht="12.75">
      <c r="A907" s="2" t="s">
        <v>179</v>
      </c>
    </row>
    <row r="908" spans="1:1" ht="12.75">
      <c r="A908" s="2" t="s">
        <v>162</v>
      </c>
    </row>
    <row r="909" spans="1:1" ht="12.75">
      <c r="A909" s="2" t="s">
        <v>179</v>
      </c>
    </row>
    <row r="910" spans="1:1" ht="12.75">
      <c r="A910" s="2" t="s">
        <v>196</v>
      </c>
    </row>
    <row r="911" spans="1:1" ht="12.75">
      <c r="A911" s="2" t="s">
        <v>175</v>
      </c>
    </row>
    <row r="912" spans="1:1" ht="12.75">
      <c r="A912" s="2" t="s">
        <v>196</v>
      </c>
    </row>
    <row r="913" spans="1:1" ht="12.75">
      <c r="A913" s="2" t="s">
        <v>175</v>
      </c>
    </row>
    <row r="914" spans="1:1" ht="12.75">
      <c r="A914" s="2" t="s">
        <v>177</v>
      </c>
    </row>
    <row r="915" spans="1:1" ht="12.75">
      <c r="A915" s="2" t="s">
        <v>185</v>
      </c>
    </row>
    <row r="916" spans="1:1" ht="12.75">
      <c r="A916" s="2" t="s">
        <v>169</v>
      </c>
    </row>
    <row r="917" spans="1:1" ht="12.75">
      <c r="A917" s="2" t="s">
        <v>177</v>
      </c>
    </row>
    <row r="918" spans="1:1" ht="12.75">
      <c r="A918" s="2" t="s">
        <v>160</v>
      </c>
    </row>
    <row r="919" spans="1:1" ht="12.75">
      <c r="A919" s="2" t="s">
        <v>169</v>
      </c>
    </row>
    <row r="920" spans="1:1" ht="12.75">
      <c r="A920" s="2" t="s">
        <v>167</v>
      </c>
    </row>
    <row r="921" spans="1:1" ht="12.75">
      <c r="A921" s="2" t="s">
        <v>160</v>
      </c>
    </row>
    <row r="922" spans="1:1" ht="12.75">
      <c r="A922" s="2" t="s">
        <v>167</v>
      </c>
    </row>
    <row r="923" spans="1:1" ht="12.75">
      <c r="A923" s="2" t="s">
        <v>167</v>
      </c>
    </row>
    <row r="924" spans="1:1" ht="12.75">
      <c r="A924" s="2" t="s">
        <v>162</v>
      </c>
    </row>
    <row r="925" spans="1:1" ht="12.75">
      <c r="A925" s="2" t="s">
        <v>179</v>
      </c>
    </row>
    <row r="926" spans="1:1" ht="12.75">
      <c r="A926" s="2" t="s">
        <v>162</v>
      </c>
    </row>
    <row r="927" spans="1:1" ht="12.75">
      <c r="A927" s="2" t="s">
        <v>179</v>
      </c>
    </row>
    <row r="928" spans="1:1" ht="12.75">
      <c r="A928" s="2" t="s">
        <v>162</v>
      </c>
    </row>
    <row r="929" spans="1:1" ht="12.75">
      <c r="A929" s="2" t="s">
        <v>179</v>
      </c>
    </row>
    <row r="930" spans="1:1" ht="12.75">
      <c r="A930" s="2" t="s">
        <v>177</v>
      </c>
    </row>
    <row r="931" spans="1:1" ht="12.75">
      <c r="A931" s="2" t="s">
        <v>169</v>
      </c>
    </row>
    <row r="932" spans="1:1" ht="12.75">
      <c r="A932" s="2" t="s">
        <v>184</v>
      </c>
    </row>
    <row r="933" spans="1:1" ht="12.75">
      <c r="A933" s="2" t="s">
        <v>175</v>
      </c>
    </row>
    <row r="934" spans="1:1" ht="12.75">
      <c r="A934" s="2" t="s">
        <v>185</v>
      </c>
    </row>
    <row r="935" spans="1:1" ht="12.75">
      <c r="A935" s="2" t="s">
        <v>175</v>
      </c>
    </row>
    <row r="936" spans="1:1" ht="12.75">
      <c r="A936" s="2" t="s">
        <v>162</v>
      </c>
    </row>
    <row r="937" spans="1:1" ht="12.75">
      <c r="A937" s="2" t="s">
        <v>177</v>
      </c>
    </row>
    <row r="938" spans="1:1" ht="12.75">
      <c r="A938" s="2" t="s">
        <v>179</v>
      </c>
    </row>
    <row r="939" spans="1:1" ht="12.75">
      <c r="A939" s="2" t="s">
        <v>179</v>
      </c>
    </row>
    <row r="940" spans="1:1" ht="12.75">
      <c r="A940" s="2" t="s">
        <v>185</v>
      </c>
    </row>
    <row r="941" spans="1:1" ht="12.75">
      <c r="A941" s="2" t="s">
        <v>162</v>
      </c>
    </row>
    <row r="942" spans="1:1" ht="12.75">
      <c r="A942" s="2" t="s">
        <v>167</v>
      </c>
    </row>
    <row r="943" spans="1:1" ht="12.75">
      <c r="A943" s="2" t="s">
        <v>185</v>
      </c>
    </row>
    <row r="944" spans="1:1" ht="12.75">
      <c r="A944" s="2" t="s">
        <v>179</v>
      </c>
    </row>
    <row r="945" spans="1:1" ht="12.75">
      <c r="A945" s="2" t="s">
        <v>167</v>
      </c>
    </row>
    <row r="946" spans="1:1" ht="12.75">
      <c r="A946" s="2" t="s">
        <v>179</v>
      </c>
    </row>
    <row r="947" spans="1:1" ht="12.75">
      <c r="A947" s="2" t="s">
        <v>167</v>
      </c>
    </row>
    <row r="948" spans="1:1" ht="12.75">
      <c r="A948" s="2" t="s">
        <v>162</v>
      </c>
    </row>
    <row r="949" spans="1:1" ht="12.75">
      <c r="A949" s="2" t="s">
        <v>179</v>
      </c>
    </row>
    <row r="950" spans="1:1" ht="12.75">
      <c r="A950" s="2" t="s">
        <v>162</v>
      </c>
    </row>
    <row r="951" spans="1:1" ht="12.75">
      <c r="A951" s="2" t="s">
        <v>162</v>
      </c>
    </row>
    <row r="952" spans="1:1" ht="12.75">
      <c r="A952" s="2" t="s">
        <v>185</v>
      </c>
    </row>
    <row r="954" spans="1:1" ht="12.75">
      <c r="A954" s="2" t="s">
        <v>174</v>
      </c>
    </row>
    <row r="956" spans="1:1" ht="12.75">
      <c r="A956" s="2" t="s">
        <v>170</v>
      </c>
    </row>
    <row r="957" spans="1:1" ht="12.75">
      <c r="A957" s="2" t="s">
        <v>169</v>
      </c>
    </row>
    <row r="958" spans="1:1" ht="12.75">
      <c r="A958" s="2" t="s">
        <v>221</v>
      </c>
    </row>
    <row r="959" spans="1:1" ht="12.75">
      <c r="A959" s="2" t="s">
        <v>169</v>
      </c>
    </row>
    <row r="961" spans="1:1" ht="12.75">
      <c r="A961" s="2" t="s">
        <v>169</v>
      </c>
    </row>
    <row r="962" spans="1:1" ht="12.75">
      <c r="A962" s="2" t="s">
        <v>162</v>
      </c>
    </row>
    <row r="963" spans="1:1" ht="12.75">
      <c r="A963" s="2" t="s">
        <v>184</v>
      </c>
    </row>
    <row r="964" spans="1:1" ht="12.75">
      <c r="A964" s="2" t="s">
        <v>162</v>
      </c>
    </row>
    <row r="965" spans="1:1" ht="12.75">
      <c r="A965" s="2" t="s">
        <v>167</v>
      </c>
    </row>
    <row r="966" spans="1:1" ht="12.75">
      <c r="A966" s="2" t="s">
        <v>162</v>
      </c>
    </row>
    <row r="967" spans="1:1" ht="12.75">
      <c r="A967" s="2" t="s">
        <v>167</v>
      </c>
    </row>
    <row r="968" spans="1:1" ht="12.75">
      <c r="A968" s="2" t="s">
        <v>167</v>
      </c>
    </row>
    <row r="969" spans="1:1" ht="12.75">
      <c r="A969" s="2" t="s">
        <v>160</v>
      </c>
    </row>
    <row r="970" spans="1:1" ht="12.75">
      <c r="A970" s="2" t="s">
        <v>167</v>
      </c>
    </row>
    <row r="971" spans="1:1" ht="12.75">
      <c r="A971" s="2" t="s">
        <v>160</v>
      </c>
    </row>
    <row r="972" spans="1:1" ht="12.75">
      <c r="A972" s="2" t="s">
        <v>167</v>
      </c>
    </row>
    <row r="973" spans="1:1" ht="12.75">
      <c r="A973" s="2" t="s">
        <v>160</v>
      </c>
    </row>
    <row r="974" spans="1:1" ht="12.75">
      <c r="A974" s="2" t="s">
        <v>179</v>
      </c>
    </row>
    <row r="975" spans="1:1" ht="12.75">
      <c r="A975" s="2" t="s">
        <v>167</v>
      </c>
    </row>
    <row r="976" spans="1:1" ht="12.75">
      <c r="A976" s="2" t="s">
        <v>162</v>
      </c>
    </row>
    <row r="977" spans="1:1" ht="12.75">
      <c r="A977" s="2" t="s">
        <v>179</v>
      </c>
    </row>
    <row r="978" spans="1:1" ht="12.75">
      <c r="A978" s="2" t="s">
        <v>162</v>
      </c>
    </row>
    <row r="979" spans="1:1" ht="12.75">
      <c r="A979" s="2" t="s">
        <v>179</v>
      </c>
    </row>
    <row r="980" spans="1:1" ht="12.75">
      <c r="A980" s="2" t="s">
        <v>175</v>
      </c>
    </row>
    <row r="981" spans="1:1" ht="12.75">
      <c r="A981" s="2" t="s">
        <v>162</v>
      </c>
    </row>
    <row r="982" spans="1:1" ht="12.75">
      <c r="A982" s="2" t="s">
        <v>169</v>
      </c>
    </row>
    <row r="983" spans="1:1" ht="12.75">
      <c r="A983" s="2" t="s">
        <v>175</v>
      </c>
    </row>
    <row r="984" spans="1:1" ht="12.75">
      <c r="A984" s="2" t="s">
        <v>196</v>
      </c>
    </row>
    <row r="985" spans="1:1" ht="12.75">
      <c r="A985" s="2" t="s">
        <v>175</v>
      </c>
    </row>
    <row r="986" spans="1:1" ht="12.75">
      <c r="A986" s="2" t="s">
        <v>184</v>
      </c>
    </row>
    <row r="987" spans="1:1" ht="12.75">
      <c r="A987" s="2" t="s">
        <v>177</v>
      </c>
    </row>
    <row r="988" spans="1:1" ht="12.75">
      <c r="A988" s="2" t="s">
        <v>169</v>
      </c>
    </row>
    <row r="989" spans="1:1" ht="12.75">
      <c r="A989" s="2" t="s">
        <v>178</v>
      </c>
    </row>
    <row r="990" spans="1:1" ht="12.75">
      <c r="A990" s="2" t="s">
        <v>169</v>
      </c>
    </row>
    <row r="991" spans="1:1" ht="12.75">
      <c r="A991" s="2" t="s">
        <v>184</v>
      </c>
    </row>
    <row r="992" spans="1:1" ht="12.75">
      <c r="A992" s="2" t="s">
        <v>193</v>
      </c>
    </row>
    <row r="993" spans="1:1" ht="12.75">
      <c r="A993" s="2" t="s">
        <v>162</v>
      </c>
    </row>
    <row r="994" spans="1:1" ht="12.75">
      <c r="A994" s="2" t="s">
        <v>193</v>
      </c>
    </row>
    <row r="995" spans="1:1" ht="12.75">
      <c r="A995" s="2" t="s">
        <v>184</v>
      </c>
    </row>
    <row r="997" spans="1:1" ht="12.75">
      <c r="A997" s="2" t="s">
        <v>184</v>
      </c>
    </row>
    <row r="998" spans="1:1" ht="12.75">
      <c r="A998" s="2" t="s">
        <v>196</v>
      </c>
    </row>
    <row r="999" spans="1:1" ht="12.75">
      <c r="A999" s="2" t="s">
        <v>169</v>
      </c>
    </row>
    <row r="1000" spans="1:1" ht="12.75">
      <c r="A1000" s="2" t="s">
        <v>185</v>
      </c>
    </row>
    <row r="1001" spans="1:1" ht="12.75">
      <c r="A1001" s="2" t="s">
        <v>169</v>
      </c>
    </row>
    <row r="1002" spans="1:1" ht="12.75">
      <c r="A1002" s="2" t="s">
        <v>169</v>
      </c>
    </row>
    <row r="1003" spans="1:1" ht="12.75">
      <c r="A1003" s="2" t="s">
        <v>185</v>
      </c>
    </row>
    <row r="1004" spans="1:1" ht="12.75">
      <c r="A1004" s="2" t="s">
        <v>167</v>
      </c>
    </row>
    <row r="1005" spans="1:1" ht="12.75">
      <c r="A1005" s="2" t="s">
        <v>169</v>
      </c>
    </row>
    <row r="1006" spans="1:1" ht="12.75">
      <c r="A1006" s="2" t="s">
        <v>167</v>
      </c>
    </row>
    <row r="1007" spans="1:1" ht="12.75">
      <c r="A1007" s="2" t="s">
        <v>196</v>
      </c>
    </row>
    <row r="1008" spans="1:1" ht="12.75">
      <c r="A1008" s="2" t="s">
        <v>160</v>
      </c>
    </row>
    <row r="1009" spans="1:1" ht="12.75">
      <c r="A1009" s="2" t="s">
        <v>167</v>
      </c>
    </row>
    <row r="1010" spans="1:1" ht="12.75">
      <c r="A1010" s="2" t="s">
        <v>162</v>
      </c>
    </row>
    <row r="1011" spans="1:1" ht="12.75">
      <c r="A1011" s="2" t="s">
        <v>179</v>
      </c>
    </row>
    <row r="1012" spans="1:1" ht="12.75">
      <c r="A1012" s="2" t="s">
        <v>162</v>
      </c>
    </row>
    <row r="1013" spans="1:1" ht="12.75">
      <c r="A1013" s="2" t="s">
        <v>179</v>
      </c>
    </row>
    <row r="1014" spans="1:1" ht="12.75">
      <c r="A1014" s="2" t="s">
        <v>185</v>
      </c>
    </row>
    <row r="1015" spans="1:1" ht="12.75">
      <c r="A1015" s="2" t="s">
        <v>162</v>
      </c>
    </row>
    <row r="1016" spans="1:1" ht="12.75">
      <c r="A1016" s="2" t="s">
        <v>167</v>
      </c>
    </row>
    <row r="1017" spans="1:1" ht="12.75">
      <c r="A1017" s="2" t="s">
        <v>175</v>
      </c>
    </row>
    <row r="1018" spans="1:1" ht="12.75">
      <c r="A1018" s="2" t="s">
        <v>177</v>
      </c>
    </row>
    <row r="1019" spans="1:1" ht="12.75">
      <c r="A1019" s="2" t="s">
        <v>175</v>
      </c>
    </row>
    <row r="1020" spans="1:1" ht="12.75">
      <c r="A1020" s="2" t="s">
        <v>184</v>
      </c>
    </row>
    <row r="1021" spans="1:1" ht="12.75">
      <c r="A1021" s="2" t="s">
        <v>177</v>
      </c>
    </row>
    <row r="1022" spans="1:1" ht="12.75">
      <c r="A1022" s="2" t="s">
        <v>167</v>
      </c>
    </row>
    <row r="1023" spans="1:1" ht="12.75">
      <c r="A1023" s="2" t="s">
        <v>177</v>
      </c>
    </row>
    <row r="1024" spans="1:1" ht="12.75">
      <c r="A1024" s="2" t="s">
        <v>167</v>
      </c>
    </row>
    <row r="1025" spans="1:1" ht="12.75">
      <c r="A1025" s="2" t="s">
        <v>184</v>
      </c>
    </row>
    <row r="1026" spans="1:1" ht="12.75">
      <c r="A1026" s="2" t="s">
        <v>169</v>
      </c>
    </row>
    <row r="1027" spans="1:1" ht="12.75">
      <c r="A1027" s="2" t="s">
        <v>184</v>
      </c>
    </row>
    <row r="1028" spans="1:1" ht="12.75">
      <c r="A1028" s="2" t="s">
        <v>162</v>
      </c>
    </row>
    <row r="1029" spans="1:1" ht="12.75">
      <c r="A1029" s="2" t="s">
        <v>169</v>
      </c>
    </row>
    <row r="1030" spans="1:1" ht="12.75">
      <c r="A1030" s="2" t="s">
        <v>162</v>
      </c>
    </row>
    <row r="1031" spans="1:1" ht="12.75">
      <c r="A1031" s="2" t="s">
        <v>184</v>
      </c>
    </row>
    <row r="1032" spans="1:1" ht="12.75">
      <c r="A1032" s="2" t="s">
        <v>175</v>
      </c>
    </row>
    <row r="1033" spans="1:1" ht="12.75">
      <c r="A1033" s="2" t="s">
        <v>162</v>
      </c>
    </row>
    <row r="1034" spans="1:1" ht="12.75">
      <c r="A1034" s="2" t="s">
        <v>177</v>
      </c>
    </row>
    <row r="1035" spans="1:1" ht="12.75">
      <c r="A1035" s="2" t="s">
        <v>175</v>
      </c>
    </row>
    <row r="1036" spans="1:1" ht="12.75">
      <c r="A1036" s="2" t="s">
        <v>196</v>
      </c>
    </row>
    <row r="1037" spans="1:1" ht="12.75">
      <c r="A1037" s="2" t="s">
        <v>184</v>
      </c>
    </row>
    <row r="1038" spans="1:1" ht="12.75">
      <c r="A1038" s="2" t="s">
        <v>196</v>
      </c>
    </row>
    <row r="1039" spans="1:1" ht="12.75">
      <c r="A1039" s="2" t="s">
        <v>184</v>
      </c>
    </row>
    <row r="1040" spans="1:1" ht="12.75">
      <c r="A1040" s="2" t="s">
        <v>160</v>
      </c>
    </row>
    <row r="1041" spans="1:1" ht="12.75">
      <c r="A1041" s="2" t="s">
        <v>178</v>
      </c>
    </row>
    <row r="1042" spans="1:1" ht="12.75">
      <c r="A1042" s="2" t="s">
        <v>167</v>
      </c>
    </row>
    <row r="1043" spans="1:1" ht="12.75">
      <c r="A1043" s="2" t="s">
        <v>160</v>
      </c>
    </row>
    <row r="1044" spans="1:1" ht="12.75">
      <c r="A1044" s="2" t="s">
        <v>167</v>
      </c>
    </row>
    <row r="1045" spans="1:1" ht="12.75">
      <c r="A1045" s="2" t="s">
        <v>160</v>
      </c>
    </row>
    <row r="1046" spans="1:1" ht="12.75">
      <c r="A1046" s="2" t="s">
        <v>178</v>
      </c>
    </row>
    <row r="1047" spans="1:1" ht="12.75">
      <c r="A1047" s="2" t="s">
        <v>167</v>
      </c>
    </row>
    <row r="1048" spans="1:1" ht="12.75">
      <c r="A1048" s="2" t="s">
        <v>174</v>
      </c>
    </row>
    <row r="1049" spans="1:1" ht="12.75">
      <c r="A1049" s="2" t="s">
        <v>178</v>
      </c>
    </row>
    <row r="1050" spans="1:1" ht="12.75">
      <c r="A1050" s="2" t="s">
        <v>175</v>
      </c>
    </row>
    <row r="1051" spans="1:1" ht="12.75">
      <c r="A1051" s="2" t="s">
        <v>162</v>
      </c>
    </row>
    <row r="1052" spans="1:1" ht="12.75">
      <c r="A1052" s="2" t="s">
        <v>175</v>
      </c>
    </row>
    <row r="1053" spans="1:1" ht="12.75">
      <c r="A1053" s="2" t="s">
        <v>162</v>
      </c>
    </row>
    <row r="1054" spans="1:1" ht="12.75">
      <c r="A1054" s="2" t="s">
        <v>160</v>
      </c>
    </row>
    <row r="1055" spans="1:1" ht="12.75">
      <c r="A1055" s="2" t="s">
        <v>162</v>
      </c>
    </row>
    <row r="1056" spans="1:1" ht="12.75">
      <c r="A1056" s="2" t="s">
        <v>169</v>
      </c>
    </row>
    <row r="1057" spans="1:1" ht="12.75">
      <c r="A1057" s="2" t="s">
        <v>185</v>
      </c>
    </row>
    <row r="1058" spans="1:1" ht="12.75">
      <c r="A1058" s="2" t="s">
        <v>169</v>
      </c>
    </row>
    <row r="1059" spans="1:1" ht="12.75">
      <c r="A1059" s="2" t="s">
        <v>174</v>
      </c>
    </row>
    <row r="1060" spans="1:1" ht="12.75">
      <c r="A1060" s="2" t="s">
        <v>169</v>
      </c>
    </row>
    <row r="1061" spans="1:1" ht="12.75">
      <c r="A1061" s="2" t="s">
        <v>174</v>
      </c>
    </row>
    <row r="1062" spans="1:1" ht="12.75">
      <c r="A1062" s="2" t="s">
        <v>221</v>
      </c>
    </row>
    <row r="1063" spans="1:1" ht="12.75">
      <c r="A1063" s="2" t="s">
        <v>196</v>
      </c>
    </row>
    <row r="1065" spans="1:1" ht="12.75">
      <c r="A1065" s="2" t="s">
        <v>196</v>
      </c>
    </row>
    <row r="1066" spans="1:1" ht="12.75">
      <c r="A1066" s="2" t="s">
        <v>160</v>
      </c>
    </row>
    <row r="1067" spans="1:1" ht="12.75">
      <c r="A1067" s="2" t="s">
        <v>170</v>
      </c>
    </row>
    <row r="1068" spans="1:1" ht="12.75">
      <c r="A1068" s="2" t="s">
        <v>160</v>
      </c>
    </row>
    <row r="1069" spans="1:1" ht="12.75">
      <c r="A1069" s="2" t="s">
        <v>170</v>
      </c>
    </row>
    <row r="1070" spans="1:1" ht="12.75">
      <c r="A1070" s="2" t="s">
        <v>184</v>
      </c>
    </row>
    <row r="1071" spans="1:1" ht="12.75">
      <c r="A1071" s="2" t="s">
        <v>172</v>
      </c>
    </row>
    <row r="1072" spans="1:1" ht="12.75">
      <c r="A1072" s="2" t="s">
        <v>223</v>
      </c>
    </row>
    <row r="1073" spans="1:1" ht="12.75">
      <c r="A1073" s="2" t="s">
        <v>183</v>
      </c>
    </row>
    <row r="1074" spans="1:1" ht="12.75">
      <c r="A1074" s="2" t="s">
        <v>165</v>
      </c>
    </row>
    <row r="1075" spans="1:1" ht="12.75">
      <c r="A1075" s="2" t="s">
        <v>183</v>
      </c>
    </row>
    <row r="1076" spans="1:1" ht="12.75">
      <c r="A1076" s="2" t="s">
        <v>177</v>
      </c>
    </row>
    <row r="1077" spans="1:1" ht="12.75">
      <c r="A1077" s="2" t="s">
        <v>194</v>
      </c>
    </row>
    <row r="1078" spans="1:1" ht="12.75">
      <c r="A1078" s="2" t="s">
        <v>168</v>
      </c>
    </row>
    <row r="1079" spans="1:1" ht="12.75">
      <c r="A1079" s="2" t="s">
        <v>165</v>
      </c>
    </row>
    <row r="1080" spans="1:1" ht="12.75">
      <c r="A1080" s="2" t="s">
        <v>165</v>
      </c>
    </row>
    <row r="1081" spans="1:1" ht="12.75">
      <c r="A1081" s="2" t="s">
        <v>165</v>
      </c>
    </row>
    <row r="1082" spans="1:1" ht="12.75">
      <c r="A1082" s="2" t="s">
        <v>177</v>
      </c>
    </row>
    <row r="1083" spans="1:1" ht="12.75">
      <c r="A1083" s="2" t="s">
        <v>172</v>
      </c>
    </row>
    <row r="1084" spans="1:1" ht="12.75">
      <c r="A1084" s="2" t="s">
        <v>177</v>
      </c>
    </row>
    <row r="1085" spans="1:1" ht="12.75">
      <c r="A1085" s="2" t="s">
        <v>164</v>
      </c>
    </row>
    <row r="1086" spans="1:1" ht="12.75">
      <c r="A1086" s="2" t="s">
        <v>177</v>
      </c>
    </row>
    <row r="1087" spans="1:1" ht="12.75">
      <c r="A1087" s="2" t="s">
        <v>172</v>
      </c>
    </row>
    <row r="1088" spans="1:1" ht="12.75">
      <c r="A1088" s="2" t="s">
        <v>224</v>
      </c>
    </row>
    <row r="1089" spans="1:1" ht="12.75">
      <c r="A1089" s="2" t="s">
        <v>223</v>
      </c>
    </row>
    <row r="1090" spans="1:1" ht="12.75">
      <c r="A1090" s="2" t="s">
        <v>182</v>
      </c>
    </row>
    <row r="1091" spans="1:1" ht="12.75">
      <c r="A1091" s="2" t="s">
        <v>161</v>
      </c>
    </row>
    <row r="1093" spans="1:1" ht="12.75">
      <c r="A1093" s="2" t="s">
        <v>161</v>
      </c>
    </row>
    <row r="1094" spans="1:1" ht="12.75">
      <c r="A1094" s="2" t="s">
        <v>182</v>
      </c>
    </row>
    <row r="1095" spans="1:1" ht="12.75">
      <c r="A1095" s="2" t="s">
        <v>168</v>
      </c>
    </row>
    <row r="1096" spans="1:1" ht="12.75">
      <c r="A1096" s="2" t="s">
        <v>181</v>
      </c>
    </row>
    <row r="1097" spans="1:1" ht="12.75">
      <c r="A1097" s="2" t="s">
        <v>168</v>
      </c>
    </row>
    <row r="1098" spans="1:1" ht="12.75">
      <c r="A1098" s="2" t="s">
        <v>181</v>
      </c>
    </row>
    <row r="1099" spans="1:1" ht="12.75">
      <c r="A1099" s="2" t="s">
        <v>177</v>
      </c>
    </row>
    <row r="1100" spans="1:1" ht="12.75">
      <c r="A1100" s="2" t="s">
        <v>181</v>
      </c>
    </row>
    <row r="1101" spans="1:1" ht="12.75">
      <c r="A1101" s="2" t="s">
        <v>171</v>
      </c>
    </row>
    <row r="1102" spans="1:1" ht="12.75">
      <c r="A1102" s="2" t="s">
        <v>163</v>
      </c>
    </row>
    <row r="1103" spans="1:1" ht="12.75">
      <c r="A1103" s="2" t="s">
        <v>164</v>
      </c>
    </row>
    <row r="1104" spans="1:1" ht="12.75">
      <c r="A1104" s="2" t="s">
        <v>163</v>
      </c>
    </row>
    <row r="1105" spans="1:1" ht="12.75">
      <c r="A1105" s="2" t="s">
        <v>164</v>
      </c>
    </row>
    <row r="1106" spans="1:1" ht="12.75">
      <c r="A1106" s="2" t="s">
        <v>163</v>
      </c>
    </row>
    <row r="1107" spans="1:1" ht="12.75">
      <c r="A1107" s="2" t="s">
        <v>183</v>
      </c>
    </row>
    <row r="1108" spans="1:1" ht="12.75">
      <c r="A1108" s="2" t="s">
        <v>173</v>
      </c>
    </row>
    <row r="1109" spans="1:1" ht="12.75">
      <c r="A1109" s="2" t="s">
        <v>174</v>
      </c>
    </row>
    <row r="1110" spans="1:1" ht="12.75">
      <c r="A1110" s="2" t="s">
        <v>173</v>
      </c>
    </row>
    <row r="1111" spans="1:1" ht="12.75">
      <c r="A1111" s="2" t="s">
        <v>164</v>
      </c>
    </row>
    <row r="1112" spans="1:1" ht="12.75">
      <c r="A1112" s="2" t="s">
        <v>163</v>
      </c>
    </row>
    <row r="1113" spans="1:1" ht="12.75">
      <c r="A1113" s="2" t="s">
        <v>164</v>
      </c>
    </row>
    <row r="1114" spans="1:1" ht="12.75">
      <c r="A1114" s="2" t="s">
        <v>173</v>
      </c>
    </row>
    <row r="1115" spans="1:1" ht="12.75">
      <c r="A1115" s="2" t="s">
        <v>164</v>
      </c>
    </row>
    <row r="1116" spans="1:1" ht="12.75">
      <c r="A1116" s="2" t="s">
        <v>173</v>
      </c>
    </row>
    <row r="1117" spans="1:1" ht="12.75">
      <c r="A1117" s="2" t="s">
        <v>163</v>
      </c>
    </row>
    <row r="1118" spans="1:1" ht="12.75">
      <c r="A1118" s="2" t="s">
        <v>165</v>
      </c>
    </row>
    <row r="1119" spans="1:1" ht="12.75">
      <c r="A1119" s="2" t="s">
        <v>165</v>
      </c>
    </row>
    <row r="1120" spans="1:1" ht="12.75">
      <c r="A1120" s="2" t="s">
        <v>225</v>
      </c>
    </row>
    <row r="1121" spans="1:1" ht="12.75">
      <c r="A1121" s="2" t="s">
        <v>224</v>
      </c>
    </row>
    <row r="1122" spans="1:1" ht="12.75">
      <c r="A1122" s="2" t="s">
        <v>225</v>
      </c>
    </row>
    <row r="1123" spans="1:1" ht="12.75">
      <c r="A1123" s="2" t="s">
        <v>224</v>
      </c>
    </row>
    <row r="1124" spans="1:1" ht="12.75">
      <c r="A1124" s="2" t="s">
        <v>173</v>
      </c>
    </row>
    <row r="1125" spans="1:1" ht="12.75">
      <c r="A1125" s="2" t="s">
        <v>223</v>
      </c>
    </row>
    <row r="1126" spans="1:1" ht="12.75">
      <c r="A1126" s="2" t="s">
        <v>165</v>
      </c>
    </row>
    <row r="1127" spans="1:1" ht="12.75">
      <c r="A1127" s="2" t="s">
        <v>223</v>
      </c>
    </row>
    <row r="1128" spans="1:1" ht="12.75">
      <c r="A1128" s="2" t="s">
        <v>189</v>
      </c>
    </row>
    <row r="1129" spans="1:1" ht="12.75">
      <c r="A1129" s="2" t="s">
        <v>172</v>
      </c>
    </row>
    <row r="1130" spans="1:1" ht="12.75">
      <c r="A1130" s="2" t="s">
        <v>194</v>
      </c>
    </row>
    <row r="1131" spans="1:1" ht="12.75">
      <c r="A1131" s="2" t="s">
        <v>181</v>
      </c>
    </row>
    <row r="1132" spans="1:1" ht="12.75">
      <c r="A1132" s="2" t="s">
        <v>183</v>
      </c>
    </row>
    <row r="1133" spans="1:1" ht="12.75">
      <c r="A1133" s="2" t="s">
        <v>189</v>
      </c>
    </row>
    <row r="1134" spans="1:1" ht="12.75">
      <c r="A1134" s="2" t="s">
        <v>183</v>
      </c>
    </row>
    <row r="1135" spans="1:1" ht="12.75">
      <c r="A1135" s="2" t="s">
        <v>183</v>
      </c>
    </row>
    <row r="1136" spans="1:1" ht="12.75">
      <c r="A1136" s="2" t="s">
        <v>183</v>
      </c>
    </row>
    <row r="1137" spans="1:1" ht="12.75">
      <c r="A1137" s="2" t="s">
        <v>167</v>
      </c>
    </row>
    <row r="1138" spans="1:1" ht="12.75">
      <c r="A1138" s="2" t="s">
        <v>194</v>
      </c>
    </row>
    <row r="1139" spans="1:1" ht="12.75">
      <c r="A1139" s="2" t="s">
        <v>161</v>
      </c>
    </row>
    <row r="1140" spans="1:1" ht="12.75">
      <c r="A1140" s="2" t="s">
        <v>194</v>
      </c>
    </row>
    <row r="1141" spans="1:1" ht="12.75">
      <c r="A1141" s="2" t="s">
        <v>161</v>
      </c>
    </row>
    <row r="1142" spans="1:1" ht="12.75">
      <c r="A1142" s="2" t="s">
        <v>163</v>
      </c>
    </row>
    <row r="1143" spans="1:1" ht="12.75">
      <c r="A1143" s="2" t="s">
        <v>163</v>
      </c>
    </row>
    <row r="1144" spans="1:1" ht="12.75">
      <c r="A1144" s="2" t="s">
        <v>173</v>
      </c>
    </row>
    <row r="1145" spans="1:1" ht="12.75">
      <c r="A1145" s="2" t="s">
        <v>163</v>
      </c>
    </row>
    <row r="1146" spans="1:1" ht="12.75">
      <c r="A1146" s="2" t="s">
        <v>189</v>
      </c>
    </row>
    <row r="1147" spans="1:1" ht="12.75">
      <c r="A1147" s="2" t="s">
        <v>173</v>
      </c>
    </row>
    <row r="1148" spans="1:1" ht="12.75">
      <c r="A1148" s="2">
        <v>819</v>
      </c>
    </row>
    <row r="1149" spans="1:1" ht="12.75">
      <c r="A1149" s="2" t="s">
        <v>173</v>
      </c>
    </row>
    <row r="1150" spans="1:1" ht="12.75">
      <c r="A1150" s="2" t="s">
        <v>165</v>
      </c>
    </row>
    <row r="1152" spans="1:1" ht="12.75">
      <c r="A1152" s="2" t="s">
        <v>165</v>
      </c>
    </row>
    <row r="1153" spans="1:1" ht="12.75">
      <c r="A1153" s="2" t="s">
        <v>191</v>
      </c>
    </row>
    <row r="1154" spans="1:1" ht="12.75">
      <c r="A1154" s="2" t="s">
        <v>165</v>
      </c>
    </row>
    <row r="1155" spans="1:1" ht="12.75">
      <c r="A1155" s="2" t="s">
        <v>191</v>
      </c>
    </row>
    <row r="1156" spans="1:1" ht="12.75">
      <c r="A1156" s="2" t="s">
        <v>181</v>
      </c>
    </row>
    <row r="1157" spans="1:1" ht="12.75">
      <c r="A1157" s="2" t="s">
        <v>224</v>
      </c>
    </row>
    <row r="1158" spans="1:1" ht="12.75">
      <c r="A1158" s="2" t="s">
        <v>181</v>
      </c>
    </row>
    <row r="1159" spans="1:1" ht="12.75">
      <c r="A1159" s="2" t="s">
        <v>183</v>
      </c>
    </row>
    <row r="1160" spans="1:1" ht="12.75">
      <c r="A1160" s="2" t="s">
        <v>183</v>
      </c>
    </row>
    <row r="1161" spans="1:1" ht="12.75">
      <c r="A1161" s="2" t="s">
        <v>183</v>
      </c>
    </row>
    <row r="1162" spans="1:1" ht="12.75">
      <c r="A1162" s="2" t="s">
        <v>183</v>
      </c>
    </row>
    <row r="1163" spans="1:1" ht="12.75">
      <c r="A1163" s="2" t="s">
        <v>166</v>
      </c>
    </row>
    <row r="1164" spans="1:1" ht="12.75">
      <c r="A1164" s="2" t="s">
        <v>169</v>
      </c>
    </row>
    <row r="1165" spans="1:1" ht="12.75">
      <c r="A1165" s="2" t="s">
        <v>223</v>
      </c>
    </row>
    <row r="1166" spans="1:1" ht="12.75">
      <c r="A1166" s="2" t="s">
        <v>172</v>
      </c>
    </row>
    <row r="1167" spans="1:1" ht="12.75">
      <c r="A1167" s="2" t="s">
        <v>223</v>
      </c>
    </row>
    <row r="1168" spans="1:1" ht="12.75">
      <c r="A1168" s="2" t="s">
        <v>165</v>
      </c>
    </row>
    <row r="1169" spans="1:1" ht="12.75">
      <c r="A1169" s="2" t="s">
        <v>166</v>
      </c>
    </row>
    <row r="1170" spans="1:1" ht="12.75">
      <c r="A1170" s="2" t="s">
        <v>165</v>
      </c>
    </row>
    <row r="1171" spans="1:1" ht="12.75">
      <c r="A1171" s="2" t="s">
        <v>164</v>
      </c>
    </row>
    <row r="1172" spans="1:1" ht="12.75">
      <c r="A1172" s="2" t="s">
        <v>166</v>
      </c>
    </row>
    <row r="1173" spans="1:1" ht="12.75">
      <c r="A1173" s="2" t="s">
        <v>164</v>
      </c>
    </row>
    <row r="1174" spans="1:1" ht="12.75">
      <c r="A1174" s="2" t="s">
        <v>176</v>
      </c>
    </row>
    <row r="1175" spans="1:1" ht="12.75">
      <c r="A1175" s="2" t="s">
        <v>164</v>
      </c>
    </row>
    <row r="1176" spans="1:1" ht="12.75">
      <c r="A1176" s="2" t="s">
        <v>176</v>
      </c>
    </row>
    <row r="1177" spans="1:1" ht="12.75">
      <c r="A1177" s="2" t="s">
        <v>163</v>
      </c>
    </row>
    <row r="1178" spans="1:1" ht="12.75">
      <c r="A1178" s="2" t="s">
        <v>176</v>
      </c>
    </row>
    <row r="1179" spans="1:1" ht="12.75">
      <c r="A1179" s="2" t="s">
        <v>163</v>
      </c>
    </row>
    <row r="1180" spans="1:1" ht="12.75">
      <c r="A1180" s="2" t="s">
        <v>161</v>
      </c>
    </row>
    <row r="1181" spans="1:1" ht="12.75">
      <c r="A1181" s="2" t="s">
        <v>163</v>
      </c>
    </row>
    <row r="1182" spans="1:1" ht="12.75">
      <c r="A1182" s="2" t="s">
        <v>161</v>
      </c>
    </row>
    <row r="1183" spans="1:1" ht="12.75">
      <c r="A1183" s="2" t="s">
        <v>163</v>
      </c>
    </row>
    <row r="1184" spans="1:1" ht="12.75">
      <c r="A1184" s="2" t="s">
        <v>191</v>
      </c>
    </row>
    <row r="1185" spans="1:1" ht="12.75">
      <c r="A1185" s="2" t="s">
        <v>173</v>
      </c>
    </row>
    <row r="1186" spans="1:1" ht="12.75">
      <c r="A1186" s="2" t="s">
        <v>191</v>
      </c>
    </row>
    <row r="1187" spans="1:1" ht="12.75">
      <c r="A1187" s="2" t="s">
        <v>173</v>
      </c>
    </row>
    <row r="1188" spans="1:1" ht="12.75">
      <c r="A1188" s="2" t="s">
        <v>224</v>
      </c>
    </row>
    <row r="1189" spans="1:1" ht="12.75">
      <c r="A1189" s="2" t="s">
        <v>173</v>
      </c>
    </row>
    <row r="1190" spans="1:1" ht="12.75">
      <c r="A1190" s="2" t="s">
        <v>183</v>
      </c>
    </row>
    <row r="1191" spans="1:1" ht="12.75">
      <c r="A1191" s="2" t="s">
        <v>194</v>
      </c>
    </row>
    <row r="1192" spans="1:1" ht="12.75">
      <c r="A1192" s="2" t="s">
        <v>176</v>
      </c>
    </row>
    <row r="1193" spans="1:1" ht="12.75">
      <c r="A1193" s="2" t="s">
        <v>194</v>
      </c>
    </row>
    <row r="1194" spans="1:1" ht="12.75">
      <c r="A1194" s="2" t="s">
        <v>176</v>
      </c>
    </row>
    <row r="1195" spans="1:1" ht="12.75">
      <c r="A1195" s="2" t="s">
        <v>185</v>
      </c>
    </row>
    <row r="1196" spans="1:1" ht="12.75">
      <c r="A1196" s="2" t="s">
        <v>176</v>
      </c>
    </row>
    <row r="1197" spans="1:1" ht="12.75">
      <c r="A1197" s="2" t="s">
        <v>164</v>
      </c>
    </row>
    <row r="1198" spans="1:1" ht="12.75">
      <c r="A1198" s="2" t="s">
        <v>223</v>
      </c>
    </row>
    <row r="1199" spans="1:1" ht="12.75">
      <c r="A1199" s="2" t="s">
        <v>164</v>
      </c>
    </row>
    <row r="1200" spans="1:1" ht="12.75">
      <c r="A1200" s="2" t="s">
        <v>223</v>
      </c>
    </row>
    <row r="1201" spans="1:1" ht="12.75">
      <c r="A1201" s="2" t="s">
        <v>164</v>
      </c>
    </row>
    <row r="1202" spans="1:1" ht="12.75">
      <c r="A1202" s="2" t="s">
        <v>166</v>
      </c>
    </row>
    <row r="1203" spans="1:1" ht="12.75">
      <c r="A1203" s="2" t="s">
        <v>166</v>
      </c>
    </row>
    <row r="1204" spans="1:1" ht="12.75">
      <c r="A1204" s="2" t="s">
        <v>173</v>
      </c>
    </row>
    <row r="1205" spans="1:1" ht="12.75">
      <c r="A1205" s="2" t="s">
        <v>172</v>
      </c>
    </row>
    <row r="1206" spans="1:1" ht="12.75">
      <c r="A1206" s="2" t="s">
        <v>173</v>
      </c>
    </row>
    <row r="1207" spans="1:1" ht="12.75">
      <c r="A1207" s="2" t="s">
        <v>172</v>
      </c>
    </row>
    <row r="1208" spans="1:1" ht="12.75">
      <c r="A1208" s="2" t="s">
        <v>171</v>
      </c>
    </row>
    <row r="1209" spans="1:1" ht="12.75">
      <c r="A1209" s="2" t="s">
        <v>165</v>
      </c>
    </row>
    <row r="1210" spans="1:1" ht="12.75">
      <c r="A1210" s="2" t="s">
        <v>166</v>
      </c>
    </row>
    <row r="1211" spans="1:1" ht="12.75">
      <c r="A1211" s="2" t="s">
        <v>165</v>
      </c>
    </row>
    <row r="1212" spans="1:1" ht="12.75">
      <c r="A1212" s="2" t="s">
        <v>171</v>
      </c>
    </row>
    <row r="1213" spans="1:1" ht="12.75">
      <c r="A1213" s="2" t="s">
        <v>165</v>
      </c>
    </row>
    <row r="1215" spans="1:1" ht="12.75">
      <c r="A1215" s="2" t="s">
        <v>182</v>
      </c>
    </row>
    <row r="1216" spans="1:1" ht="12.75">
      <c r="A1216" s="2" t="s">
        <v>165</v>
      </c>
    </row>
    <row r="1217" spans="1:1" ht="12.75">
      <c r="A1217" s="2" t="s">
        <v>182</v>
      </c>
    </row>
    <row r="1218" spans="1:1" ht="12.75">
      <c r="A1218" s="2" t="s">
        <v>166</v>
      </c>
    </row>
    <row r="1219" spans="1:1" ht="12.75">
      <c r="A1219" s="2" t="s">
        <v>194</v>
      </c>
    </row>
    <row r="1220" spans="1:1" ht="12.75">
      <c r="A1220" s="2" t="s">
        <v>194</v>
      </c>
    </row>
    <row r="1222" spans="1:1" ht="12.75">
      <c r="A1222" s="2" t="s">
        <v>194</v>
      </c>
    </row>
    <row r="1223" spans="1:1" ht="12.75">
      <c r="A1223" s="2" t="s">
        <v>176</v>
      </c>
    </row>
    <row r="1224" spans="1:1" ht="12.75">
      <c r="A1224" s="2" t="s">
        <v>161</v>
      </c>
    </row>
    <row r="1226" spans="1:1" ht="12.75">
      <c r="A1226" s="2" t="s">
        <v>161</v>
      </c>
    </row>
    <row r="1227" spans="1:1" ht="12.75">
      <c r="A1227" s="2" t="s">
        <v>163</v>
      </c>
    </row>
    <row r="1228" spans="1:1" ht="12.75">
      <c r="A1228" s="2" t="s">
        <v>183</v>
      </c>
    </row>
    <row r="1229" spans="1:1" ht="12.75">
      <c r="A1229" s="2" t="s">
        <v>163</v>
      </c>
    </row>
    <row r="1230" spans="1:1" ht="12.75">
      <c r="A1230" s="2" t="s">
        <v>183</v>
      </c>
    </row>
    <row r="1231" spans="1:1" ht="12.75">
      <c r="A1231" s="2" t="s">
        <v>163</v>
      </c>
    </row>
    <row r="1232" spans="1:1" ht="12.75">
      <c r="A1232" s="2" t="s">
        <v>183</v>
      </c>
    </row>
    <row r="1233" spans="1:1" ht="12.75">
      <c r="A1233" s="2" t="s">
        <v>172</v>
      </c>
    </row>
    <row r="1234" spans="1:1" ht="12.75">
      <c r="A1234" s="2" t="s">
        <v>172</v>
      </c>
    </row>
    <row r="1235" spans="1:1" ht="12.75">
      <c r="A1235" s="2" t="s">
        <v>160</v>
      </c>
    </row>
    <row r="1236" spans="1:1" ht="12.75">
      <c r="A1236" s="2" t="s">
        <v>173</v>
      </c>
    </row>
    <row r="1237" spans="1:1" ht="12.75">
      <c r="A1237" s="2" t="s">
        <v>160</v>
      </c>
    </row>
    <row r="1238" spans="1:1" ht="12.75">
      <c r="A1238" s="2" t="s">
        <v>173</v>
      </c>
    </row>
    <row r="1239" spans="1:1" ht="12.75">
      <c r="A1239" s="2" t="s">
        <v>160</v>
      </c>
    </row>
    <row r="1240" spans="1:1" ht="12.75">
      <c r="A1240" s="2" t="s">
        <v>224</v>
      </c>
    </row>
    <row r="1241" spans="1:1" ht="12.75">
      <c r="A1241" s="2" t="s">
        <v>165</v>
      </c>
    </row>
    <row r="1242" spans="1:1" ht="12.75">
      <c r="A1242" s="2" t="s">
        <v>171</v>
      </c>
    </row>
    <row r="1243" spans="1:1" ht="12.75">
      <c r="A1243" s="2" t="s">
        <v>165</v>
      </c>
    </row>
    <row r="1244" spans="1:1" ht="12.75">
      <c r="A1244" s="2" t="s">
        <v>182</v>
      </c>
    </row>
    <row r="1245" spans="1:1" ht="12.75">
      <c r="A1245" s="2" t="s">
        <v>169</v>
      </c>
    </row>
    <row r="1246" spans="1:1" ht="12.75">
      <c r="A1246" s="2" t="s">
        <v>182</v>
      </c>
    </row>
    <row r="1247" spans="1:1" ht="12.75">
      <c r="A1247" s="2" t="s">
        <v>164</v>
      </c>
    </row>
    <row r="1248" spans="1:1" ht="12.75">
      <c r="A1248" s="2" t="s">
        <v>182</v>
      </c>
    </row>
    <row r="1249" spans="1:1" ht="12.75">
      <c r="A1249" s="2" t="s">
        <v>194</v>
      </c>
    </row>
    <row r="1250" spans="1:1" ht="12.75">
      <c r="A1250" s="2" t="s">
        <v>189</v>
      </c>
    </row>
    <row r="1251" spans="1:1" ht="12.75">
      <c r="A1251" s="2" t="s">
        <v>164</v>
      </c>
    </row>
    <row r="1253" spans="1:1" ht="12.75">
      <c r="A1253" s="2" t="s">
        <v>225</v>
      </c>
    </row>
    <row r="1254" spans="1:1" ht="12.75">
      <c r="A1254" s="2" t="s">
        <v>172</v>
      </c>
    </row>
    <row r="1255" spans="1:1" ht="12.75">
      <c r="A1255" s="2" t="s">
        <v>176</v>
      </c>
    </row>
    <row r="1256" spans="1:1" ht="12.75">
      <c r="A1256" s="2" t="s">
        <v>172</v>
      </c>
    </row>
    <row r="1257" spans="1:1" ht="12.75">
      <c r="A1257" s="2" t="s">
        <v>176</v>
      </c>
    </row>
    <row r="1258" spans="1:1" ht="12.75">
      <c r="A1258" s="2" t="s">
        <v>172</v>
      </c>
    </row>
    <row r="1259" spans="1:1" ht="12.75">
      <c r="A1259" s="2" t="s">
        <v>176</v>
      </c>
    </row>
    <row r="1260" spans="1:1" ht="12.75">
      <c r="A1260" s="2" t="s">
        <v>169</v>
      </c>
    </row>
    <row r="1261" spans="1:1" ht="12.75">
      <c r="A1261" s="2" t="s">
        <v>225</v>
      </c>
    </row>
    <row r="1262" spans="1:1" ht="12.75">
      <c r="A1262" s="2" t="s">
        <v>194</v>
      </c>
    </row>
    <row r="1263" spans="1:1" ht="12.75">
      <c r="A1263" s="2" t="s">
        <v>171</v>
      </c>
    </row>
    <row r="1264" spans="1:1" ht="12.75">
      <c r="A1264" s="2" t="s">
        <v>172</v>
      </c>
    </row>
    <row r="1265" spans="1:1" ht="12.75">
      <c r="A1265" s="2" t="s">
        <v>223</v>
      </c>
    </row>
    <row r="1266" spans="1:1" ht="12.75">
      <c r="A1266" s="2" t="s">
        <v>225</v>
      </c>
    </row>
    <row r="1267" spans="1:1" ht="12.75">
      <c r="A1267" s="2" t="s">
        <v>224</v>
      </c>
    </row>
    <row r="1268" spans="1:1" ht="12.75">
      <c r="A1268" s="2" t="s">
        <v>166</v>
      </c>
    </row>
    <row r="1269" spans="1:1" ht="12.75">
      <c r="A1269" s="2" t="s">
        <v>191</v>
      </c>
    </row>
    <row r="1270" spans="1:1" ht="12.75">
      <c r="A1270" s="2" t="s">
        <v>166</v>
      </c>
    </row>
    <row r="1271" spans="1:1" ht="12.75">
      <c r="A1271" s="2" t="s">
        <v>194</v>
      </c>
    </row>
    <row r="1272" spans="1:1" ht="12.75">
      <c r="A1272" s="2" t="s">
        <v>165</v>
      </c>
    </row>
    <row r="1273" spans="1:1" ht="12.75">
      <c r="A1273" s="2" t="s">
        <v>194</v>
      </c>
    </row>
    <row r="1274" spans="1:1" ht="12.75">
      <c r="A1274" s="2" t="s">
        <v>165</v>
      </c>
    </row>
    <row r="1275" spans="1:1" ht="12.75">
      <c r="A1275" s="2" t="s">
        <v>163</v>
      </c>
    </row>
    <row r="1276" spans="1:1" ht="12.75">
      <c r="A1276" s="2" t="s">
        <v>164</v>
      </c>
    </row>
    <row r="1277" spans="1:1" ht="12.75">
      <c r="A1277" s="2" t="s">
        <v>163</v>
      </c>
    </row>
    <row r="1278" spans="1:1" ht="12.75">
      <c r="A1278" s="2" t="s">
        <v>164</v>
      </c>
    </row>
    <row r="1279" spans="1:1" ht="12.75">
      <c r="A1279" s="2" t="s">
        <v>163</v>
      </c>
    </row>
    <row r="1280" spans="1:1" ht="12.75">
      <c r="A1280" s="2" t="s">
        <v>164</v>
      </c>
    </row>
    <row r="1281" spans="1:1" ht="12.75">
      <c r="A1281" s="2" t="s">
        <v>173</v>
      </c>
    </row>
    <row r="1282" spans="1:1" ht="12.75">
      <c r="A1282" s="2" t="s">
        <v>194</v>
      </c>
    </row>
    <row r="1283" spans="1:1" ht="12.75">
      <c r="A1283" s="2" t="s">
        <v>173</v>
      </c>
    </row>
    <row r="1284" spans="1:1" ht="12.75">
      <c r="A1284" s="2" t="s">
        <v>194</v>
      </c>
    </row>
    <row r="1285" spans="1:1" ht="12.75">
      <c r="A1285" s="2" t="s">
        <v>166</v>
      </c>
    </row>
    <row r="1286" spans="1:1" ht="12.75">
      <c r="A1286" s="2" t="s">
        <v>189</v>
      </c>
    </row>
    <row r="1287" spans="1:1" ht="12.75">
      <c r="A1287" s="2" t="s">
        <v>166</v>
      </c>
    </row>
    <row r="1288" spans="1:1" ht="12.75">
      <c r="A1288" s="2" t="s">
        <v>163</v>
      </c>
    </row>
    <row r="1289" spans="1:1" ht="12.75">
      <c r="A1289" s="2" t="s">
        <v>166</v>
      </c>
    </row>
    <row r="1290" spans="1:1" ht="12.75">
      <c r="A1290" s="2" t="s">
        <v>173</v>
      </c>
    </row>
    <row r="1291" spans="1:1" ht="12.75">
      <c r="A1291" s="2" t="s">
        <v>165</v>
      </c>
    </row>
    <row r="1292" spans="1:1" ht="12.75">
      <c r="A1292" s="2" t="s">
        <v>225</v>
      </c>
    </row>
    <row r="1293" spans="1:1" ht="12.75">
      <c r="A1293" s="2" t="s">
        <v>165</v>
      </c>
    </row>
    <row r="1294" spans="1:1" ht="12.75">
      <c r="A1294" s="2" t="s">
        <v>173</v>
      </c>
    </row>
    <row r="1295" spans="1:1" ht="12.75">
      <c r="A1295" s="2" t="s">
        <v>191</v>
      </c>
    </row>
    <row r="1296" spans="1:1" ht="12.75">
      <c r="A1296" s="2" t="s">
        <v>189</v>
      </c>
    </row>
    <row r="1297" spans="1:1" ht="12.75">
      <c r="A1297" s="2" t="s">
        <v>176</v>
      </c>
    </row>
    <row r="1298" spans="1:1" ht="12.75">
      <c r="A1298" s="2" t="s">
        <v>191</v>
      </c>
    </row>
    <row r="1299" spans="1:1" ht="12.75">
      <c r="A1299" s="2" t="s">
        <v>176</v>
      </c>
    </row>
    <row r="1300" spans="1:1" ht="12.75">
      <c r="A1300" s="2" t="s">
        <v>191</v>
      </c>
    </row>
    <row r="1301" spans="1:1" ht="12.75">
      <c r="A1301" s="2" t="s">
        <v>176</v>
      </c>
    </row>
    <row r="1302" spans="1:1" ht="12.75">
      <c r="A1302" s="2" t="s">
        <v>166</v>
      </c>
    </row>
    <row r="1303" spans="1:1" ht="12.75">
      <c r="A1303" s="2" t="s">
        <v>161</v>
      </c>
    </row>
    <row r="1304" spans="1:1" ht="12.75">
      <c r="A1304" s="2" t="s">
        <v>172</v>
      </c>
    </row>
    <row r="1306" spans="1:1" ht="12.75">
      <c r="A1306" s="2" t="s">
        <v>223</v>
      </c>
    </row>
    <row r="1307" spans="1:1" ht="12.75">
      <c r="A1307" s="2" t="s">
        <v>164</v>
      </c>
    </row>
    <row r="1308" spans="1:1" ht="12.75">
      <c r="A1308" s="2" t="s">
        <v>223</v>
      </c>
    </row>
    <row r="1309" spans="1:1" ht="12.75">
      <c r="A1309" s="2" t="s">
        <v>164</v>
      </c>
    </row>
    <row r="1310" spans="1:1" ht="12.75">
      <c r="A1310" s="2" t="s">
        <v>224</v>
      </c>
    </row>
    <row r="1311" spans="1:1" ht="12.75">
      <c r="A1311" s="2" t="s">
        <v>163</v>
      </c>
    </row>
    <row r="1312" spans="1:1" ht="12.75">
      <c r="A1312" s="2" t="s">
        <v>194</v>
      </c>
    </row>
    <row r="1313" spans="1:1" ht="12.75">
      <c r="A1313" s="2" t="s">
        <v>163</v>
      </c>
    </row>
    <row r="1314" spans="1:1" ht="12.75">
      <c r="A1314" s="2" t="s">
        <v>161</v>
      </c>
    </row>
    <row r="1315" spans="1:1" ht="12.75">
      <c r="A1315" s="2" t="s">
        <v>160</v>
      </c>
    </row>
    <row r="1316" spans="1:1" ht="12.75">
      <c r="A1316" s="2" t="s">
        <v>168</v>
      </c>
    </row>
    <row r="1317" spans="1:1" ht="12.75">
      <c r="A1317" s="2" t="s">
        <v>178</v>
      </c>
    </row>
    <row r="1318" spans="1:1" ht="12.75">
      <c r="A1318" s="2" t="s">
        <v>172</v>
      </c>
    </row>
    <row r="1319" spans="1:1" ht="12.75">
      <c r="A1319" s="2" t="s">
        <v>171</v>
      </c>
    </row>
    <row r="1320" spans="1:1" ht="12.75">
      <c r="A1320" s="2" t="s">
        <v>172</v>
      </c>
    </row>
    <row r="1321" spans="1:1" ht="12.75">
      <c r="A1321" s="2" t="s">
        <v>176</v>
      </c>
    </row>
    <row r="1322" spans="1:1" ht="12.75">
      <c r="A1322" s="2" t="s">
        <v>172</v>
      </c>
    </row>
    <row r="1323" spans="1:1" ht="12.75">
      <c r="A1323" s="2" t="s">
        <v>176</v>
      </c>
    </row>
    <row r="1324" spans="1:1" ht="12.75">
      <c r="A1324" s="2" t="s">
        <v>168</v>
      </c>
    </row>
    <row r="1325" spans="1:1" ht="12.75">
      <c r="A1325" s="2" t="s">
        <v>176</v>
      </c>
    </row>
    <row r="1326" spans="1:1" ht="12.75">
      <c r="A1326" s="2" t="s">
        <v>168</v>
      </c>
    </row>
    <row r="1327" spans="1:1" ht="12.75">
      <c r="A1327" s="2" t="s">
        <v>178</v>
      </c>
    </row>
    <row r="1328" spans="1:1" ht="12.75">
      <c r="A1328" s="2" t="s">
        <v>172</v>
      </c>
    </row>
    <row r="1329" spans="1:1" ht="12.75">
      <c r="A1329" s="2" t="s">
        <v>223</v>
      </c>
    </row>
    <row r="1330" spans="1:1" ht="12.75">
      <c r="A1330" s="2" t="s">
        <v>173</v>
      </c>
    </row>
    <row r="1331" spans="1:1" ht="12.75">
      <c r="A1331" s="2" t="s">
        <v>189</v>
      </c>
    </row>
    <row r="1332" spans="1:1" ht="12.75">
      <c r="A1332" s="2" t="s">
        <v>165</v>
      </c>
    </row>
    <row r="1333" spans="1:1" ht="12.75">
      <c r="A1333" s="2" t="s">
        <v>161</v>
      </c>
    </row>
    <row r="1334" spans="1:1" ht="12.75">
      <c r="A1334" s="2" t="s">
        <v>176</v>
      </c>
    </row>
    <row r="1335" spans="1:1" ht="12.75">
      <c r="A1335" s="2" t="s">
        <v>168</v>
      </c>
    </row>
    <row r="1336" spans="1:1" ht="12.75">
      <c r="A1336" s="2" t="s">
        <v>178</v>
      </c>
    </row>
    <row r="1337" spans="1:1" ht="12.75">
      <c r="A1337" s="2" t="s">
        <v>194</v>
      </c>
    </row>
    <row r="1338" spans="1:1" ht="12.75">
      <c r="A1338" s="2" t="s">
        <v>164</v>
      </c>
    </row>
    <row r="1339" spans="1:1" ht="12.75">
      <c r="A1339" s="2" t="s">
        <v>194</v>
      </c>
    </row>
    <row r="1340" spans="1:1" ht="12.75">
      <c r="A1340" s="2" t="s">
        <v>164</v>
      </c>
    </row>
    <row r="1341" spans="1:1" ht="12.75">
      <c r="A1341" s="2" t="s">
        <v>194</v>
      </c>
    </row>
    <row r="1343" spans="1:1" ht="12.75">
      <c r="A1343" s="2" t="s">
        <v>182</v>
      </c>
    </row>
    <row r="1344" spans="1:1" ht="12.75">
      <c r="A1344" s="2" t="s">
        <v>163</v>
      </c>
    </row>
    <row r="1345" spans="1:1" ht="12.75">
      <c r="A1345" s="2" t="s">
        <v>182</v>
      </c>
    </row>
    <row r="1346" spans="1:1" ht="12.75">
      <c r="A1346" s="2" t="s">
        <v>163</v>
      </c>
    </row>
    <row r="1347" spans="1:1" ht="12.75">
      <c r="A1347" s="2" t="s">
        <v>182</v>
      </c>
    </row>
    <row r="1348" spans="1:1" ht="12.75">
      <c r="A1348" s="2" t="s">
        <v>163</v>
      </c>
    </row>
    <row r="1349" spans="1:1" ht="12.75">
      <c r="A1349" s="2" t="s">
        <v>164</v>
      </c>
    </row>
    <row r="1351" spans="1:1" ht="12.75">
      <c r="A1351" s="2" t="s">
        <v>169</v>
      </c>
    </row>
    <row r="1352" spans="1:1" ht="12.75">
      <c r="A1352" s="2" t="s">
        <v>171</v>
      </c>
    </row>
    <row r="1353" spans="1:1" ht="12.75">
      <c r="A1353" s="2" t="s">
        <v>165</v>
      </c>
    </row>
    <row r="1354" spans="1:1" ht="12.75">
      <c r="A1354" s="2" t="s">
        <v>166</v>
      </c>
    </row>
    <row r="1355" spans="1:1" ht="12.75">
      <c r="A1355" s="2" t="s">
        <v>168</v>
      </c>
    </row>
    <row r="1356" spans="1:1" ht="12.75">
      <c r="A1356" s="2" t="s">
        <v>161</v>
      </c>
    </row>
    <row r="1357" spans="1:1" ht="12.75">
      <c r="A1357" s="2" t="s">
        <v>168</v>
      </c>
    </row>
    <row r="1358" spans="1:1" ht="12.75">
      <c r="A1358" s="2" t="s">
        <v>173</v>
      </c>
    </row>
    <row r="1359" spans="1:1" ht="12.75">
      <c r="A1359" s="2" t="s">
        <v>172</v>
      </c>
    </row>
    <row r="1360" spans="1:1" ht="12.75">
      <c r="A1360" s="2" t="s">
        <v>173</v>
      </c>
    </row>
    <row r="1361" spans="1:1" ht="12.75">
      <c r="A1361" s="2" t="s">
        <v>172</v>
      </c>
    </row>
    <row r="1362" spans="1:1" ht="12.75">
      <c r="A1362" s="2" t="s">
        <v>163</v>
      </c>
    </row>
    <row r="1363" spans="1:1" ht="12.75">
      <c r="A1363" s="2" t="s">
        <v>224</v>
      </c>
    </row>
    <row r="1364" spans="1:1" ht="12.75">
      <c r="A1364" s="2" t="s">
        <v>163</v>
      </c>
    </row>
    <row r="1365" spans="1:1" ht="12.75">
      <c r="A1365" s="2" t="s">
        <v>224</v>
      </c>
    </row>
    <row r="1366" spans="1:1" ht="12.75">
      <c r="A1366" s="2" t="s">
        <v>163</v>
      </c>
    </row>
    <row r="1367" spans="1:1" ht="12.75">
      <c r="A1367" s="2" t="s">
        <v>194</v>
      </c>
    </row>
    <row r="1368" spans="1:1" ht="12.75">
      <c r="A1368" s="2" t="s">
        <v>164</v>
      </c>
    </row>
    <row r="1369" spans="1:1" ht="12.75">
      <c r="A1369" s="2" t="s">
        <v>171</v>
      </c>
    </row>
    <row r="1370" spans="1:1" ht="12.75">
      <c r="A1370" s="2" t="s">
        <v>166</v>
      </c>
    </row>
    <row r="1371" spans="1:1" ht="12.75">
      <c r="A1371" s="2" t="s">
        <v>164</v>
      </c>
    </row>
    <row r="1372" spans="1:1" ht="12.75">
      <c r="A1372" s="2" t="s">
        <v>176</v>
      </c>
    </row>
    <row r="1373" spans="1:1" ht="12.75">
      <c r="A1373" s="2" t="s">
        <v>171</v>
      </c>
    </row>
    <row r="1374" spans="1:1" ht="12.75">
      <c r="A1374" s="2" t="s">
        <v>176</v>
      </c>
    </row>
    <row r="1375" spans="1:1" ht="12.75">
      <c r="A1375" s="2" t="s">
        <v>164</v>
      </c>
    </row>
    <row r="1376" spans="1:1" ht="12.75">
      <c r="A1376" s="2" t="s">
        <v>176</v>
      </c>
    </row>
    <row r="1377" spans="1:1" ht="12.75">
      <c r="A1377" s="2" t="s">
        <v>182</v>
      </c>
    </row>
    <row r="1378" spans="1:1" ht="12.75">
      <c r="A1378" s="2" t="s">
        <v>165</v>
      </c>
    </row>
    <row r="1379" spans="1:1" ht="12.75">
      <c r="A1379" s="2" t="s">
        <v>182</v>
      </c>
    </row>
    <row r="1380" spans="1:1" ht="12.75">
      <c r="A1380" s="2" t="s">
        <v>165</v>
      </c>
    </row>
    <row r="1381" spans="1:1" ht="12.75">
      <c r="A1381" s="2" t="s">
        <v>182</v>
      </c>
    </row>
    <row r="1382" spans="1:1" ht="12.75">
      <c r="A1382" s="2" t="s">
        <v>165</v>
      </c>
    </row>
    <row r="1383" spans="1:1" ht="12.75">
      <c r="A1383" s="2" t="s">
        <v>183</v>
      </c>
    </row>
    <row r="1384" spans="1:1" ht="12.75">
      <c r="A1384" s="2" t="s">
        <v>166</v>
      </c>
    </row>
    <row r="1385" spans="1:1" ht="12.75">
      <c r="A1385" s="2" t="s">
        <v>183</v>
      </c>
    </row>
    <row r="1386" spans="1:1" ht="12.75">
      <c r="A1386" s="2" t="s">
        <v>166</v>
      </c>
    </row>
    <row r="1387" spans="1:1" ht="12.75">
      <c r="A1387" s="2" t="s">
        <v>183</v>
      </c>
    </row>
    <row r="1388" spans="1:1" ht="12.75">
      <c r="A1388" s="2" t="s">
        <v>169</v>
      </c>
    </row>
    <row r="1389" spans="1:1" ht="12.75">
      <c r="A1389" s="2" t="s">
        <v>176</v>
      </c>
    </row>
    <row r="1390" spans="1:1" ht="12.75">
      <c r="A1390" s="2" t="s">
        <v>194</v>
      </c>
    </row>
    <row r="1391" spans="1:1" ht="12.75">
      <c r="A1391" s="2" t="s">
        <v>224</v>
      </c>
    </row>
    <row r="1392" spans="1:1" ht="12.75">
      <c r="A1392" s="2" t="s">
        <v>173</v>
      </c>
    </row>
    <row r="1393" spans="1:1" ht="12.75">
      <c r="A1393" s="2" t="s">
        <v>189</v>
      </c>
    </row>
    <row r="1394" spans="1:1" ht="12.75">
      <c r="A1394" s="2" t="s">
        <v>173</v>
      </c>
    </row>
    <row r="1395" spans="1:1" ht="12.75">
      <c r="A1395" s="2" t="s">
        <v>171</v>
      </c>
    </row>
    <row r="1396" spans="1:1" ht="12.75">
      <c r="A1396" s="2" t="s">
        <v>173</v>
      </c>
    </row>
    <row r="1397" spans="1:1" ht="12.75">
      <c r="A1397" s="2" t="s">
        <v>191</v>
      </c>
    </row>
    <row r="1398" spans="1:1" ht="12.75">
      <c r="A1398" s="2" t="s">
        <v>176</v>
      </c>
    </row>
    <row r="1399" spans="1:1" ht="12.75">
      <c r="A1399" s="2" t="s">
        <v>191</v>
      </c>
    </row>
    <row r="1400" spans="1:1" ht="12.75">
      <c r="A1400" s="2" t="s">
        <v>176</v>
      </c>
    </row>
    <row r="1401" spans="1:1" ht="12.75">
      <c r="A1401" s="2" t="s">
        <v>194</v>
      </c>
    </row>
    <row r="1402" spans="1:1" ht="12.75">
      <c r="A1402" s="2" t="s">
        <v>176</v>
      </c>
    </row>
    <row r="1403" spans="1:1" ht="12.75">
      <c r="A1403" s="2" t="s">
        <v>164</v>
      </c>
    </row>
    <row r="1404" spans="1:1" ht="12.75">
      <c r="A1404" s="2" t="s">
        <v>194</v>
      </c>
    </row>
    <row r="1405" spans="1:1" ht="12.75">
      <c r="A1405" s="2" t="s">
        <v>182</v>
      </c>
    </row>
    <row r="1406" spans="1:1" ht="12.75">
      <c r="A1406" s="2" t="s">
        <v>172</v>
      </c>
    </row>
    <row r="1407" spans="1:1" ht="12.75">
      <c r="A1407" s="2" t="s">
        <v>182</v>
      </c>
    </row>
    <row r="1408" spans="1:1" ht="12.75">
      <c r="A1408" s="2" t="s">
        <v>172</v>
      </c>
    </row>
    <row r="1409" spans="1:1" ht="12.75">
      <c r="A1409" s="2" t="s">
        <v>182</v>
      </c>
    </row>
    <row r="1410" spans="1:1" ht="12.75">
      <c r="A1410" s="2" t="s">
        <v>168</v>
      </c>
    </row>
    <row r="1411" spans="1:1" ht="12.75">
      <c r="A1411" s="2" t="s">
        <v>163</v>
      </c>
    </row>
    <row r="1412" spans="1:1" ht="12.75">
      <c r="A1412" s="2" t="s">
        <v>168</v>
      </c>
    </row>
    <row r="1413" spans="1:1" ht="12.75">
      <c r="A1413" s="2" t="s">
        <v>194</v>
      </c>
    </row>
    <row r="1414" spans="1:1" ht="12.75">
      <c r="A1414" s="2" t="s">
        <v>176</v>
      </c>
    </row>
    <row r="1415" spans="1:1" ht="12.75">
      <c r="A1415" s="2" t="s">
        <v>172</v>
      </c>
    </row>
    <row r="1416" spans="1:1" ht="12.75">
      <c r="A1416" s="2" t="s">
        <v>163</v>
      </c>
    </row>
    <row r="1417" spans="1:1" ht="12.75">
      <c r="A1417" s="2" t="s">
        <v>168</v>
      </c>
    </row>
    <row r="1418" spans="1:1" ht="12.75">
      <c r="A1418" s="2" t="s">
        <v>189</v>
      </c>
    </row>
    <row r="1419" spans="1:1" ht="12.75">
      <c r="A1419" s="2" t="s">
        <v>168</v>
      </c>
    </row>
    <row r="1420" spans="1:1" ht="12.75">
      <c r="A1420" s="2" t="s">
        <v>173</v>
      </c>
    </row>
    <row r="1421" spans="1:1" ht="12.75">
      <c r="A1421" s="2" t="s">
        <v>223</v>
      </c>
    </row>
    <row r="1422" spans="1:1" ht="12.75">
      <c r="A1422" s="2" t="s">
        <v>173</v>
      </c>
    </row>
    <row r="1423" spans="1:1" ht="12.75">
      <c r="A1423" s="2" t="s">
        <v>161</v>
      </c>
    </row>
    <row r="1424" spans="1:1" ht="12.75">
      <c r="A1424" s="2" t="s">
        <v>171</v>
      </c>
    </row>
    <row r="1425" spans="1:1" ht="12.75">
      <c r="A1425" s="2" t="s">
        <v>161</v>
      </c>
    </row>
    <row r="1426" spans="1:1" ht="12.75">
      <c r="A1426" s="2" t="s">
        <v>164</v>
      </c>
    </row>
    <row r="1427" spans="1:1" ht="12.75">
      <c r="A1427" s="2" t="s">
        <v>165</v>
      </c>
    </row>
    <row r="1428" spans="1:1" ht="12.75">
      <c r="A1428" s="2" t="s">
        <v>164</v>
      </c>
    </row>
    <row r="1429" spans="1:1" ht="12.75">
      <c r="A1429" s="2" t="s">
        <v>176</v>
      </c>
    </row>
    <row r="1430" spans="1:1" ht="12.75">
      <c r="A1430" s="2" t="s">
        <v>182</v>
      </c>
    </row>
    <row r="1431" spans="1:1" ht="12.75">
      <c r="A1431" s="2" t="s">
        <v>176</v>
      </c>
    </row>
    <row r="1432" spans="1:1" ht="12.75">
      <c r="A1432" s="2" t="s">
        <v>182</v>
      </c>
    </row>
    <row r="1433" spans="1:1" ht="12.75">
      <c r="A1433" s="2" t="s">
        <v>182</v>
      </c>
    </row>
    <row r="1434" spans="1:1" ht="12.75">
      <c r="A1434" s="2" t="s">
        <v>168</v>
      </c>
    </row>
    <row r="1435" spans="1:1" ht="12.75">
      <c r="A1435" s="2" t="s">
        <v>174</v>
      </c>
    </row>
    <row r="1436" spans="1:1" ht="12.75">
      <c r="A1436" s="2" t="s">
        <v>168</v>
      </c>
    </row>
    <row r="1437" spans="1:1" ht="12.75">
      <c r="A1437" s="2" t="s">
        <v>174</v>
      </c>
    </row>
    <row r="1438" spans="1:1" ht="12.75">
      <c r="A1438" s="2" t="s">
        <v>183</v>
      </c>
    </row>
    <row r="1439" spans="1:1" ht="12.75">
      <c r="A1439" s="2" t="s">
        <v>164</v>
      </c>
    </row>
    <row r="1440" spans="1:1" ht="12.75">
      <c r="A1440" s="2" t="s">
        <v>165</v>
      </c>
    </row>
    <row r="1441" spans="1:1" ht="12.75">
      <c r="A1441" s="2" t="s">
        <v>164</v>
      </c>
    </row>
    <row r="1442" spans="1:1" ht="12.75">
      <c r="A1442" s="2" t="s">
        <v>176</v>
      </c>
    </row>
    <row r="1443" spans="1:1" ht="12.75">
      <c r="A1443" s="2" t="s">
        <v>176</v>
      </c>
    </row>
    <row r="1444" spans="1:1" ht="12.75">
      <c r="A1444" s="2" t="s">
        <v>165</v>
      </c>
    </row>
    <row r="1445" spans="1:1" ht="12.75">
      <c r="A1445" s="2" t="s">
        <v>165</v>
      </c>
    </row>
    <row r="1446" spans="1:1" ht="12.75">
      <c r="A1446" s="2" t="s">
        <v>166</v>
      </c>
    </row>
    <row r="1447" spans="1:1" ht="12.75">
      <c r="A1447" s="2" t="s">
        <v>165</v>
      </c>
    </row>
    <row r="1448" spans="1:1" ht="12.75">
      <c r="A1448" s="2" t="s">
        <v>166</v>
      </c>
    </row>
    <row r="1449" spans="1:1" ht="12.75">
      <c r="A1449" s="2" t="s">
        <v>176</v>
      </c>
    </row>
    <row r="1450" spans="1:1" ht="12.75">
      <c r="A1450" s="2" t="s">
        <v>165</v>
      </c>
    </row>
    <row r="1451" spans="1:1" ht="12.75">
      <c r="A1451" s="2" t="s">
        <v>176</v>
      </c>
    </row>
    <row r="1452" spans="1:1" ht="12.75">
      <c r="A1452" s="2" t="s">
        <v>168</v>
      </c>
    </row>
    <row r="1453" spans="1:1" ht="12.75">
      <c r="A1453" s="2" t="s">
        <v>172</v>
      </c>
    </row>
    <row r="1454" spans="1:1" ht="12.75">
      <c r="A1454" s="2" t="s">
        <v>168</v>
      </c>
    </row>
    <row r="1455" spans="1:1" ht="12.75">
      <c r="A1455" s="2" t="s">
        <v>176</v>
      </c>
    </row>
    <row r="1456" spans="1:1" ht="12.75">
      <c r="A1456" s="2" t="s">
        <v>194</v>
      </c>
    </row>
    <row r="1457" spans="1:1" ht="12.75">
      <c r="A1457" s="2" t="s">
        <v>176</v>
      </c>
    </row>
    <row r="1458" spans="1:1" ht="12.75">
      <c r="A1458" s="2" t="s">
        <v>194</v>
      </c>
    </row>
    <row r="1459" spans="1:1" ht="12.75">
      <c r="A1459" s="2" t="s">
        <v>166</v>
      </c>
    </row>
    <row r="1460" spans="1:1" ht="12.75">
      <c r="A1460" s="2" t="s">
        <v>194</v>
      </c>
    </row>
    <row r="1461" spans="1:1" ht="12.75">
      <c r="A1461" s="2" t="s">
        <v>165</v>
      </c>
    </row>
    <row r="1462" spans="1:1" ht="12.75">
      <c r="A1462" s="2" t="s">
        <v>164</v>
      </c>
    </row>
    <row r="1463" spans="1:1" ht="12.75">
      <c r="A1463" s="2" t="s">
        <v>183</v>
      </c>
    </row>
    <row r="1464" spans="1:1" ht="12.75">
      <c r="A1464" s="2" t="s">
        <v>194</v>
      </c>
    </row>
    <row r="1465" spans="1:1" ht="12.75">
      <c r="A1465" s="2" t="s">
        <v>183</v>
      </c>
    </row>
    <row r="1466" spans="1:1" ht="12.75">
      <c r="A1466" s="2" t="s">
        <v>165</v>
      </c>
    </row>
    <row r="1467" spans="1:1" ht="12.75">
      <c r="A1467" s="2" t="s">
        <v>171</v>
      </c>
    </row>
    <row r="1468" spans="1:1" ht="12.75">
      <c r="A1468" s="2" t="s">
        <v>165</v>
      </c>
    </row>
    <row r="1469" spans="1:1" ht="12.75">
      <c r="A1469" s="2" t="s">
        <v>168</v>
      </c>
    </row>
    <row r="1470" spans="1:1" ht="12.75">
      <c r="A1470" s="2" t="s">
        <v>161</v>
      </c>
    </row>
    <row r="1471" spans="1:1" ht="12.75">
      <c r="A1471" s="2" t="s">
        <v>168</v>
      </c>
    </row>
    <row r="1472" spans="1:1" ht="12.75">
      <c r="A1472" s="2" t="s">
        <v>193</v>
      </c>
    </row>
    <row r="1473" spans="1:1" ht="12.75">
      <c r="A1473" s="2" t="s">
        <v>172</v>
      </c>
    </row>
    <row r="1474" spans="1:1" ht="12.75">
      <c r="A1474" s="2" t="s">
        <v>193</v>
      </c>
    </row>
    <row r="1475" spans="1:1" ht="12.75">
      <c r="A1475" s="2" t="s">
        <v>172</v>
      </c>
    </row>
    <row r="1476" spans="1:1" ht="12.75">
      <c r="A1476" s="2" t="s">
        <v>161</v>
      </c>
    </row>
    <row r="1477" spans="1:1" ht="12.75">
      <c r="A1477" s="2" t="s">
        <v>172</v>
      </c>
    </row>
    <row r="1478" spans="1:1" ht="12.75">
      <c r="A1478" s="2" t="s">
        <v>161</v>
      </c>
    </row>
    <row r="1479" spans="1:1" ht="12.75">
      <c r="A1479" s="2" t="s">
        <v>163</v>
      </c>
    </row>
    <row r="1480" spans="1:1" ht="12.75">
      <c r="A1480" s="2" t="s">
        <v>181</v>
      </c>
    </row>
    <row r="1481" spans="1:1" ht="12.75">
      <c r="A1481" s="2" t="s">
        <v>163</v>
      </c>
    </row>
    <row r="1482" spans="1:1" ht="12.75">
      <c r="A1482" s="2" t="s">
        <v>177</v>
      </c>
    </row>
    <row r="1483" spans="1:1" ht="12.75">
      <c r="A1483" s="2" t="s">
        <v>163</v>
      </c>
    </row>
    <row r="1484" spans="1:1" ht="12.75">
      <c r="A1484" s="2" t="s">
        <v>177</v>
      </c>
    </row>
    <row r="1485" spans="1:1" ht="12.75">
      <c r="A1485" s="2" t="s">
        <v>181</v>
      </c>
    </row>
    <row r="1486" spans="1:1" ht="12.75">
      <c r="A1486" s="2" t="s">
        <v>182</v>
      </c>
    </row>
    <row r="1487" spans="1:1" ht="12.75">
      <c r="A1487" s="2" t="s">
        <v>181</v>
      </c>
    </row>
    <row r="1488" spans="1:1" ht="12.75">
      <c r="A1488" s="2" t="s">
        <v>183</v>
      </c>
    </row>
    <row r="1489" spans="1:1" ht="12.75">
      <c r="A1489" s="2" t="s">
        <v>172</v>
      </c>
    </row>
    <row r="1490" spans="1:1" ht="12.75">
      <c r="A1490" s="2" t="s">
        <v>169</v>
      </c>
    </row>
    <row r="1491" spans="1:1" ht="12.75">
      <c r="A1491" s="2" t="s">
        <v>172</v>
      </c>
    </row>
    <row r="1492" spans="1:1" ht="12.75">
      <c r="A1492" s="2" t="s">
        <v>165</v>
      </c>
    </row>
    <row r="1493" spans="1:1" ht="12.75">
      <c r="A1493" s="2" t="s">
        <v>168</v>
      </c>
    </row>
    <row r="1494" spans="1:1" ht="12.75">
      <c r="A1494" s="2" t="s">
        <v>165</v>
      </c>
    </row>
    <row r="1495" spans="1:1" ht="12.75">
      <c r="A1495" s="2" t="s">
        <v>168</v>
      </c>
    </row>
    <row r="1496" spans="1:1" ht="12.75">
      <c r="A1496" s="2" t="s">
        <v>194</v>
      </c>
    </row>
    <row r="1497" spans="1:1" ht="12.75">
      <c r="A1497" s="2" t="s">
        <v>164</v>
      </c>
    </row>
    <row r="1498" spans="1:1" ht="12.75">
      <c r="A1498" s="2" t="s">
        <v>178</v>
      </c>
    </row>
    <row r="1499" spans="1:1" ht="12.75">
      <c r="A1499" s="2" t="s">
        <v>164</v>
      </c>
    </row>
    <row r="1500" spans="1:1" ht="12.75">
      <c r="A1500" s="2" t="s">
        <v>178</v>
      </c>
    </row>
    <row r="1501" spans="1:1" ht="12.75">
      <c r="A1501" s="2" t="s">
        <v>176</v>
      </c>
    </row>
    <row r="1502" spans="1:1" ht="12.75">
      <c r="A1502" s="2" t="s">
        <v>189</v>
      </c>
    </row>
    <row r="1503" spans="1:1" ht="12.75">
      <c r="A1503" s="2" t="s">
        <v>176</v>
      </c>
    </row>
    <row r="1504" spans="1:1" ht="12.75">
      <c r="A1504" s="2" t="s">
        <v>161</v>
      </c>
    </row>
    <row r="1505" spans="1:1" ht="12.75">
      <c r="A1505" s="2" t="s">
        <v>169</v>
      </c>
    </row>
    <row r="1506" spans="1:1" ht="12.75">
      <c r="A1506" s="2" t="s">
        <v>176</v>
      </c>
    </row>
    <row r="1507" spans="1:1" ht="12.75">
      <c r="A1507" s="2" t="s">
        <v>176</v>
      </c>
    </row>
    <row r="1508" spans="1:1" ht="12.75">
      <c r="A1508" s="2" t="s">
        <v>163</v>
      </c>
    </row>
    <row r="1509" spans="1:1" ht="12.75">
      <c r="A1509" s="2" t="s">
        <v>165</v>
      </c>
    </row>
    <row r="1510" spans="1:1" ht="12.75">
      <c r="A1510" s="2" t="s">
        <v>181</v>
      </c>
    </row>
    <row r="1511" spans="1:1" ht="12.75">
      <c r="A1511" s="2" t="s">
        <v>161</v>
      </c>
    </row>
    <row r="1512" spans="1:1" ht="12.75">
      <c r="A1512" s="2" t="s">
        <v>181</v>
      </c>
    </row>
    <row r="1513" spans="1:1" ht="12.75">
      <c r="A1513" s="2" t="s">
        <v>165</v>
      </c>
    </row>
    <row r="1514" spans="1:1" ht="12.75">
      <c r="A1514" s="2" t="s">
        <v>181</v>
      </c>
    </row>
    <row r="1515" spans="1:1" ht="12.75">
      <c r="A1515" s="2" t="s">
        <v>171</v>
      </c>
    </row>
    <row r="1516" spans="1:1" ht="12.75">
      <c r="A1516" s="2" t="s">
        <v>182</v>
      </c>
    </row>
    <row r="1517" spans="1:1" ht="12.75">
      <c r="A1517" s="2" t="s">
        <v>164</v>
      </c>
    </row>
    <row r="1518" spans="1:1" ht="12.75">
      <c r="A1518" s="2" t="s">
        <v>182</v>
      </c>
    </row>
    <row r="1519" spans="1:1" ht="12.75">
      <c r="A1519" s="2" t="s">
        <v>176</v>
      </c>
    </row>
    <row r="1520" spans="1:1" ht="12.75">
      <c r="A1520" s="2" t="s">
        <v>182</v>
      </c>
    </row>
    <row r="1521" spans="1:1" ht="12.75">
      <c r="A1521" s="2" t="s">
        <v>176</v>
      </c>
    </row>
    <row r="1522" spans="1:1" ht="12.75">
      <c r="A1522" s="2" t="s">
        <v>183</v>
      </c>
    </row>
    <row r="1523" spans="1:1" ht="12.75">
      <c r="A1523" s="2" t="s">
        <v>163</v>
      </c>
    </row>
    <row r="1524" spans="1:1" ht="12.75">
      <c r="A1524" s="2" t="s">
        <v>183</v>
      </c>
    </row>
    <row r="1525" spans="1:1" ht="12.75">
      <c r="A1525" s="2" t="s">
        <v>163</v>
      </c>
    </row>
    <row r="1526" spans="1:1" ht="12.75">
      <c r="A1526" s="2" t="s">
        <v>183</v>
      </c>
    </row>
    <row r="1527" spans="1:1" ht="12.75">
      <c r="A1527" s="2" t="s">
        <v>172</v>
      </c>
    </row>
    <row r="1528" spans="1:1" ht="12.75">
      <c r="A1528" s="2" t="s">
        <v>183</v>
      </c>
    </row>
    <row r="1529" spans="1:1" ht="12.75">
      <c r="A1529" s="2" t="s">
        <v>161</v>
      </c>
    </row>
    <row r="1530" spans="1:1" ht="12.75">
      <c r="A1530" s="2" t="s">
        <v>183</v>
      </c>
    </row>
    <row r="1531" spans="1:1" ht="12.75">
      <c r="A1531" s="2" t="s">
        <v>181</v>
      </c>
    </row>
    <row r="1532" spans="1:1" ht="12.75">
      <c r="A1532" s="2" t="s">
        <v>172</v>
      </c>
    </row>
    <row r="1533" spans="1:1" ht="12.75">
      <c r="A1533" s="2" t="s">
        <v>181</v>
      </c>
    </row>
    <row r="1534" spans="1:1" ht="12.75">
      <c r="A1534" s="2" t="s">
        <v>172</v>
      </c>
    </row>
    <row r="1535" spans="1:1" ht="12.75">
      <c r="A1535" s="2" t="s">
        <v>194</v>
      </c>
    </row>
    <row r="1536" spans="1:1" ht="12.75">
      <c r="A1536" s="2" t="s">
        <v>168</v>
      </c>
    </row>
    <row r="1537" spans="1:1" ht="12.75">
      <c r="A1537" s="2" t="s">
        <v>163</v>
      </c>
    </row>
    <row r="1538" spans="1:1" ht="12.75">
      <c r="A1538" s="2" t="s">
        <v>168</v>
      </c>
    </row>
    <row r="1540" spans="1:1" ht="12.75">
      <c r="A1540" s="2" t="s">
        <v>176</v>
      </c>
    </row>
    <row r="1541" spans="1:1" ht="12.75">
      <c r="A1541" s="2" t="s">
        <v>183</v>
      </c>
    </row>
    <row r="1542" spans="1:1" ht="12.75">
      <c r="A1542" s="2" t="s">
        <v>176</v>
      </c>
    </row>
    <row r="1543" spans="1:1" ht="12.75">
      <c r="A1543" s="2" t="s">
        <v>172</v>
      </c>
    </row>
    <row r="1544" spans="1:1" ht="12.75">
      <c r="A1544" s="2" t="s">
        <v>163</v>
      </c>
    </row>
    <row r="1545" spans="1:1" ht="12.75">
      <c r="A1545" s="2" t="s">
        <v>165</v>
      </c>
    </row>
    <row r="1546" spans="1:1" ht="12.75">
      <c r="A1546" s="2" t="s">
        <v>168</v>
      </c>
    </row>
    <row r="1547" spans="1:1" ht="12.75">
      <c r="A1547" s="2" t="s">
        <v>191</v>
      </c>
    </row>
    <row r="1548" spans="1:1" ht="12.75">
      <c r="A1548" s="2" t="s">
        <v>168</v>
      </c>
    </row>
    <row r="1549" spans="1:1" ht="12.75">
      <c r="A1549" s="2" t="s">
        <v>191</v>
      </c>
    </row>
    <row r="1550" spans="1:1" ht="12.75">
      <c r="A1550" s="2" t="s">
        <v>171</v>
      </c>
    </row>
    <row r="1551" spans="1:1" ht="12.75">
      <c r="A1551" s="2" t="s">
        <v>172</v>
      </c>
    </row>
    <row r="1552" spans="1:1" ht="12.75">
      <c r="A1552" s="2" t="s">
        <v>164</v>
      </c>
    </row>
    <row r="1553" spans="1:1" ht="12.75">
      <c r="A1553" s="2" t="s">
        <v>172</v>
      </c>
    </row>
    <row r="1554" spans="1:1" ht="12.75">
      <c r="A1554" s="2" t="s">
        <v>191</v>
      </c>
    </row>
    <row r="1555" spans="1:1" ht="12.75">
      <c r="A1555" s="2" t="s">
        <v>171</v>
      </c>
    </row>
    <row r="1556" spans="1:1" ht="12.75">
      <c r="A1556" s="2" t="s">
        <v>191</v>
      </c>
    </row>
    <row r="1557" spans="1:1" ht="12.75">
      <c r="A1557" s="2" t="s">
        <v>163</v>
      </c>
    </row>
    <row r="1558" spans="1:1" ht="12.75">
      <c r="A1558" s="2" t="s">
        <v>164</v>
      </c>
    </row>
    <row r="1559" spans="1:1" ht="12.75">
      <c r="A1559" s="2" t="s">
        <v>163</v>
      </c>
    </row>
    <row r="1560" spans="1:1" ht="12.75">
      <c r="A1560" s="2" t="s">
        <v>172</v>
      </c>
    </row>
    <row r="1561" spans="1:1" ht="12.75">
      <c r="A1561" s="2" t="s">
        <v>183</v>
      </c>
    </row>
    <row r="1562" spans="1:1" ht="12.75">
      <c r="A1562" s="2" t="s">
        <v>181</v>
      </c>
    </row>
    <row r="1563" spans="1:1" ht="12.75">
      <c r="A1563" s="2" t="s">
        <v>168</v>
      </c>
    </row>
    <row r="1564" spans="1:1" ht="12.75">
      <c r="A1564" s="2" t="s">
        <v>164</v>
      </c>
    </row>
    <row r="1565" spans="1:1" ht="12.75">
      <c r="A1565" s="2" t="s">
        <v>161</v>
      </c>
    </row>
    <row r="1566" spans="1:1" ht="12.75">
      <c r="A1566" s="2" t="s">
        <v>164</v>
      </c>
    </row>
    <row r="1567" spans="1:1" ht="12.75">
      <c r="A1567" s="2" t="s">
        <v>172</v>
      </c>
    </row>
    <row r="1568" spans="1:1" ht="12.75">
      <c r="A1568" s="2" t="s">
        <v>164</v>
      </c>
    </row>
    <row r="1569" spans="1:1" ht="12.75">
      <c r="A1569" s="2" t="s">
        <v>224</v>
      </c>
    </row>
    <row r="1570" spans="1:1" ht="12.75">
      <c r="A1570" s="2" t="s">
        <v>171</v>
      </c>
    </row>
    <row r="1571" spans="1:1" ht="12.75">
      <c r="A1571" s="2" t="s">
        <v>172</v>
      </c>
    </row>
    <row r="1572" spans="1:1" ht="12.75">
      <c r="A1572" s="2" t="s">
        <v>183</v>
      </c>
    </row>
    <row r="1573" spans="1:1" ht="12.75">
      <c r="A1573" s="2" t="s">
        <v>181</v>
      </c>
    </row>
    <row r="1574" spans="1:1" ht="12.75">
      <c r="A1574" s="2" t="s">
        <v>183</v>
      </c>
    </row>
    <row r="1575" spans="1:1" ht="12.75">
      <c r="A1575" s="2" t="s">
        <v>181</v>
      </c>
    </row>
    <row r="1576" spans="1:1" ht="12.75">
      <c r="A1576" s="2" t="s">
        <v>168</v>
      </c>
    </row>
    <row r="1577" spans="1:1" ht="12.75">
      <c r="A1577" s="2" t="s">
        <v>189</v>
      </c>
    </row>
    <row r="1578" spans="1:1" ht="12.75">
      <c r="A1578" s="2" t="s">
        <v>194</v>
      </c>
    </row>
    <row r="1579" spans="1:1" ht="12.75">
      <c r="A1579" s="2" t="s">
        <v>161</v>
      </c>
    </row>
    <row r="1580" spans="1:1" ht="12.75">
      <c r="A1580" s="2" t="s">
        <v>176</v>
      </c>
    </row>
    <row r="1581" spans="1:1" ht="12.75">
      <c r="A1581" s="2" t="s">
        <v>161</v>
      </c>
    </row>
    <row r="1582" spans="1:1" ht="12.75">
      <c r="A1582" s="2" t="s">
        <v>181</v>
      </c>
    </row>
    <row r="1583" spans="1:1" ht="12.75">
      <c r="A1583" s="2" t="s">
        <v>165</v>
      </c>
    </row>
    <row r="1584" spans="1:1" ht="12.75">
      <c r="A1584" s="2" t="s">
        <v>171</v>
      </c>
    </row>
    <row r="1585" spans="1:1" ht="12.75">
      <c r="A1585" s="2" t="s">
        <v>191</v>
      </c>
    </row>
    <row r="1586" spans="1:1" ht="12.75">
      <c r="A1586" s="2" t="s">
        <v>189</v>
      </c>
    </row>
    <row r="1587" spans="1:1" ht="12.75">
      <c r="A1587" s="2" t="s">
        <v>172</v>
      </c>
    </row>
    <row r="1588" spans="1:1" ht="12.75">
      <c r="A1588" s="2" t="s">
        <v>194</v>
      </c>
    </row>
    <row r="1589" spans="1:1" ht="12.75">
      <c r="A1589" s="2" t="s">
        <v>224</v>
      </c>
    </row>
    <row r="1590" spans="1:1" ht="12.75">
      <c r="A1590" s="2" t="s">
        <v>194</v>
      </c>
    </row>
    <row r="1591" spans="1:1" ht="12.75">
      <c r="A1591" s="2" t="s">
        <v>164</v>
      </c>
    </row>
    <row r="1593" spans="1:1" ht="12.75">
      <c r="A1593" s="2" t="s">
        <v>164</v>
      </c>
    </row>
    <row r="1594" spans="1:1" ht="12.75">
      <c r="A1594" s="2" t="s">
        <v>176</v>
      </c>
    </row>
    <row r="1595" spans="1:1" ht="12.75">
      <c r="A1595" s="2" t="s">
        <v>191</v>
      </c>
    </row>
    <row r="1596" spans="1:1" ht="12.75">
      <c r="A1596" s="2" t="s">
        <v>183</v>
      </c>
    </row>
    <row r="1597" spans="1:1" ht="12.75">
      <c r="A1597" s="2" t="s">
        <v>191</v>
      </c>
    </row>
    <row r="1598" spans="1:1" ht="12.75">
      <c r="A1598" s="2" t="s">
        <v>165</v>
      </c>
    </row>
    <row r="1599" spans="1:1" ht="12.75">
      <c r="A1599" s="2" t="s">
        <v>176</v>
      </c>
    </row>
    <row r="1600" spans="1:1" ht="12.75">
      <c r="A1600" s="2" t="s">
        <v>163</v>
      </c>
    </row>
    <row r="1601" spans="1:1" ht="12.75">
      <c r="A1601" s="2" t="s">
        <v>161</v>
      </c>
    </row>
    <row r="1602" spans="1:1" ht="12.75">
      <c r="A1602" s="2" t="s">
        <v>183</v>
      </c>
    </row>
    <row r="1604" spans="1:1" ht="12.75">
      <c r="A1604" s="2" t="s">
        <v>183</v>
      </c>
    </row>
    <row r="1606" spans="1:1" ht="12.75">
      <c r="A1606" s="2" t="s">
        <v>183</v>
      </c>
    </row>
    <row r="1607" spans="1:1" ht="12.75">
      <c r="A1607" s="2" t="s">
        <v>164</v>
      </c>
    </row>
    <row r="1608" spans="1:1" ht="12.75">
      <c r="A1608" s="2" t="s">
        <v>168</v>
      </c>
    </row>
    <row r="1609" spans="1:1" ht="12.75">
      <c r="A1609" s="2" t="s">
        <v>164</v>
      </c>
    </row>
    <row r="1610" spans="1:1" ht="12.75">
      <c r="A1610" s="2" t="s">
        <v>168</v>
      </c>
    </row>
    <row r="1611" spans="1:1" ht="12.75">
      <c r="A1611" s="2" t="s">
        <v>164</v>
      </c>
    </row>
    <row r="1613" spans="1:1" ht="12.75">
      <c r="A1613" s="2" t="s">
        <v>181</v>
      </c>
    </row>
    <row r="1614" spans="1:1" ht="12.75">
      <c r="A1614" s="2" t="s">
        <v>194</v>
      </c>
    </row>
    <row r="1615" spans="1:1" ht="12.75">
      <c r="A1615" s="2" t="s">
        <v>181</v>
      </c>
    </row>
    <row r="1616" spans="1:1" ht="12.75">
      <c r="A1616" s="2" t="s">
        <v>163</v>
      </c>
    </row>
    <row r="1617" spans="1:1" ht="12.75">
      <c r="A1617" s="2" t="s">
        <v>181</v>
      </c>
    </row>
    <row r="1618" spans="1:1" ht="12.75">
      <c r="A1618" s="2" t="s">
        <v>163</v>
      </c>
    </row>
    <row r="1619" spans="1:1" ht="12.75">
      <c r="A1619" s="2" t="s">
        <v>191</v>
      </c>
    </row>
    <row r="1620" spans="1:1" ht="12.75">
      <c r="A1620" s="2" t="s">
        <v>176</v>
      </c>
    </row>
    <row r="1621" spans="1:1" ht="12.75">
      <c r="A1621" s="2" t="s">
        <v>165</v>
      </c>
    </row>
    <row r="1622" spans="1:1" ht="12.75">
      <c r="A1622" s="2" t="s">
        <v>164</v>
      </c>
    </row>
    <row r="1623" spans="1:1" ht="12.75">
      <c r="A1623" s="2" t="s">
        <v>174</v>
      </c>
    </row>
    <row r="1624" spans="1:1" ht="12.75">
      <c r="A1624" s="2" t="s">
        <v>163</v>
      </c>
    </row>
    <row r="1625" spans="1:1" ht="12.75">
      <c r="A1625" s="2" t="s">
        <v>173</v>
      </c>
    </row>
    <row r="1626" spans="1:1" ht="12.75">
      <c r="A1626" s="2" t="s">
        <v>163</v>
      </c>
    </row>
    <row r="1627" spans="1:1" ht="12.75">
      <c r="A1627" s="2" t="s">
        <v>173</v>
      </c>
    </row>
    <row r="1628" spans="1:1" ht="12.75">
      <c r="A1628" s="2" t="s">
        <v>163</v>
      </c>
    </row>
    <row r="1629" spans="1:1" ht="12.75">
      <c r="A1629" s="2" t="s">
        <v>183</v>
      </c>
    </row>
    <row r="1630" spans="1:1" ht="12.75">
      <c r="A1630" s="2" t="s">
        <v>194</v>
      </c>
    </row>
    <row r="1631" spans="1:1" ht="12.75">
      <c r="A1631" s="2" t="s">
        <v>183</v>
      </c>
    </row>
    <row r="1632" spans="1:1" ht="12.75">
      <c r="A1632" s="2" t="s">
        <v>173</v>
      </c>
    </row>
    <row r="1633" spans="1:1" ht="12.75">
      <c r="A1633" s="2" t="s">
        <v>183</v>
      </c>
    </row>
    <row r="1634" spans="1:1" ht="12.75">
      <c r="A1634" s="2" t="s">
        <v>176</v>
      </c>
    </row>
    <row r="1635" spans="1:1" ht="12.75">
      <c r="A1635" s="2" t="s">
        <v>189</v>
      </c>
    </row>
    <row r="1636" spans="1:1" ht="12.75">
      <c r="A1636" s="2" t="s">
        <v>176</v>
      </c>
    </row>
    <row r="1637" spans="1:1" ht="12.75">
      <c r="A1637" s="2" t="s">
        <v>172</v>
      </c>
    </row>
    <row r="1638" spans="1:1" ht="12.75">
      <c r="A1638" s="2" t="s">
        <v>168</v>
      </c>
    </row>
    <row r="1639" spans="1:1" ht="12.75">
      <c r="A1639" s="2" t="s">
        <v>173</v>
      </c>
    </row>
    <row r="1640" spans="1:1" ht="12.75">
      <c r="A1640" s="2" t="s">
        <v>168</v>
      </c>
    </row>
    <row r="1641" spans="1:1" ht="12.75">
      <c r="A1641" s="2" t="s">
        <v>164</v>
      </c>
    </row>
    <row r="1642" spans="1:1" ht="12.75">
      <c r="A1642" s="2" t="s">
        <v>183</v>
      </c>
    </row>
    <row r="1643" spans="1:1" ht="12.75">
      <c r="A1643" s="2" t="s">
        <v>164</v>
      </c>
    </row>
    <row r="1645" spans="1:1" ht="12.75">
      <c r="A1645" s="2" t="s">
        <v>172</v>
      </c>
    </row>
    <row r="1646" spans="1:1" ht="12.75">
      <c r="A1646" s="2" t="s">
        <v>224</v>
      </c>
    </row>
    <row r="1647" spans="1:1" ht="12.75">
      <c r="A1647" s="2" t="s">
        <v>171</v>
      </c>
    </row>
    <row r="1648" spans="1:1" ht="12.75">
      <c r="A1648" s="2" t="s">
        <v>164</v>
      </c>
    </row>
    <row r="1649" spans="1:1" ht="12.75">
      <c r="A1649" s="2" t="s">
        <v>165</v>
      </c>
    </row>
    <row r="1650" spans="1:1" ht="12.75">
      <c r="A1650" s="2" t="s">
        <v>164</v>
      </c>
    </row>
    <row r="1651" spans="1:1" ht="12.75">
      <c r="A1651" s="2" t="s">
        <v>165</v>
      </c>
    </row>
    <row r="1652" spans="1:1" ht="12.75">
      <c r="A1652" s="2" t="s">
        <v>189</v>
      </c>
    </row>
    <row r="1653" spans="1:1" ht="12.75">
      <c r="A1653" s="2" t="s">
        <v>172</v>
      </c>
    </row>
    <row r="1654" spans="1:1" ht="12.75">
      <c r="A1654" s="2" t="s">
        <v>194</v>
      </c>
    </row>
    <row r="1655" spans="1:1" ht="12.75">
      <c r="A1655" s="2" t="s">
        <v>176</v>
      </c>
    </row>
    <row r="1656" spans="1:1" ht="12.75">
      <c r="A1656" s="2" t="s">
        <v>172</v>
      </c>
    </row>
    <row r="1657" spans="1:1" ht="12.75">
      <c r="A1657" s="2" t="s">
        <v>168</v>
      </c>
    </row>
    <row r="1658" spans="1:1" ht="12.75">
      <c r="A1658" s="2" t="s">
        <v>165</v>
      </c>
    </row>
    <row r="1659" spans="1:1" ht="12.75">
      <c r="A1659" s="2" t="s">
        <v>168</v>
      </c>
    </row>
    <row r="1660" spans="1:1" ht="12.75">
      <c r="A1660" s="2" t="s">
        <v>161</v>
      </c>
    </row>
    <row r="1661" spans="1:1" ht="12.75">
      <c r="A1661" s="2" t="s">
        <v>173</v>
      </c>
    </row>
    <row r="1662" spans="1:1" ht="12.75">
      <c r="A1662" s="2" t="s">
        <v>226</v>
      </c>
    </row>
    <row r="1663" spans="1:1" ht="12.75">
      <c r="A1663" s="2" t="s">
        <v>189</v>
      </c>
    </row>
    <row r="1664" spans="1:1" ht="12.75">
      <c r="A1664" s="2" t="s">
        <v>172</v>
      </c>
    </row>
    <row r="1665" spans="1:1" ht="12.75">
      <c r="A1665" s="2" t="s">
        <v>183</v>
      </c>
    </row>
    <row r="1666" spans="1:1" ht="12.75">
      <c r="A1666" s="2" t="s">
        <v>172</v>
      </c>
    </row>
    <row r="1667" spans="1:1" ht="12.75">
      <c r="A1667" s="2" t="s">
        <v>183</v>
      </c>
    </row>
    <row r="1668" spans="1:1" ht="12.75">
      <c r="A1668" s="2" t="s">
        <v>172</v>
      </c>
    </row>
    <row r="1669" spans="1:1" ht="12.75">
      <c r="A1669" s="2" t="s">
        <v>196</v>
      </c>
    </row>
    <row r="1670" spans="1:1" ht="12.75">
      <c r="A1670" s="2" t="s">
        <v>227</v>
      </c>
    </row>
    <row r="1671" spans="1:1" ht="12.75">
      <c r="A1671" s="2" t="s">
        <v>228</v>
      </c>
    </row>
    <row r="1672" spans="1:1" ht="12.75">
      <c r="A1672" s="2" t="s">
        <v>228</v>
      </c>
    </row>
    <row r="1673" spans="1:1" ht="12.75">
      <c r="A1673" s="2" t="s">
        <v>228</v>
      </c>
    </row>
    <row r="1674" spans="1:1" ht="12.75">
      <c r="A1674" s="2" t="s">
        <v>228</v>
      </c>
    </row>
    <row r="1675" spans="1:1" ht="12.75">
      <c r="A1675" s="2" t="s">
        <v>228</v>
      </c>
    </row>
    <row r="1676" spans="1:1" ht="12.75">
      <c r="A1676" s="2" t="s">
        <v>228</v>
      </c>
    </row>
    <row r="1677" spans="1:1" ht="12.75">
      <c r="A1677" s="2" t="s">
        <v>227</v>
      </c>
    </row>
    <row r="1678" spans="1:1" ht="12.75">
      <c r="A1678" s="2" t="s">
        <v>227</v>
      </c>
    </row>
    <row r="1679" spans="1:1" ht="12.75">
      <c r="A1679" s="2" t="s">
        <v>227</v>
      </c>
    </row>
    <row r="1682" spans="1:1" ht="12.75">
      <c r="A1682" s="2" t="s">
        <v>229</v>
      </c>
    </row>
    <row r="1683" spans="1:1" ht="12.75">
      <c r="A1683" s="2" t="s">
        <v>229</v>
      </c>
    </row>
    <row r="1686" spans="1:1" ht="12.75">
      <c r="A1686" s="2" t="s">
        <v>230</v>
      </c>
    </row>
    <row r="1688" spans="1:1" ht="12.75">
      <c r="A1688" s="2" t="s">
        <v>229</v>
      </c>
    </row>
    <row r="1689" spans="1:1" ht="12.75">
      <c r="A1689" s="2" t="s">
        <v>229</v>
      </c>
    </row>
    <row r="1690" spans="1:1" ht="12.75">
      <c r="A1690" s="2" t="s">
        <v>231</v>
      </c>
    </row>
    <row r="1691" spans="1:1" ht="12.75">
      <c r="A1691" s="2" t="s">
        <v>229</v>
      </c>
    </row>
    <row r="1702" spans="1:1" ht="12.75">
      <c r="A1702" s="2" t="s">
        <v>232</v>
      </c>
    </row>
    <row r="1704" spans="1:1" ht="12.75">
      <c r="A1704" s="2" t="s">
        <v>232</v>
      </c>
    </row>
    <row r="1705" spans="1:1" ht="12.75">
      <c r="A1705" s="2" t="s">
        <v>232</v>
      </c>
    </row>
    <row r="1708" spans="1:1" ht="12.75">
      <c r="A1708" s="2" t="s">
        <v>232</v>
      </c>
    </row>
    <row r="1709" spans="1:1" ht="12.75">
      <c r="A1709" s="2" t="s">
        <v>232</v>
      </c>
    </row>
    <row r="1710" spans="1:1" ht="12.75">
      <c r="A1710" s="2" t="s">
        <v>233</v>
      </c>
    </row>
    <row r="1711" spans="1:1" ht="12.75">
      <c r="A1711" s="2" t="s">
        <v>233</v>
      </c>
    </row>
    <row r="1712" spans="1:1" ht="12.75">
      <c r="A1712" s="2" t="s">
        <v>233</v>
      </c>
    </row>
    <row r="1713" spans="1:1" ht="12.75">
      <c r="A1713" s="2" t="s">
        <v>233</v>
      </c>
    </row>
    <row r="1714" spans="1:1" ht="12.75">
      <c r="A1714" s="2" t="s">
        <v>234</v>
      </c>
    </row>
    <row r="1715" spans="1:1" ht="12.75">
      <c r="A1715" s="2" t="s">
        <v>234</v>
      </c>
    </row>
    <row r="1716" spans="1:1" ht="12.75">
      <c r="A1716" s="2" t="s">
        <v>234</v>
      </c>
    </row>
    <row r="1717" spans="1:1" ht="12.75">
      <c r="A1717" s="2" t="s">
        <v>234</v>
      </c>
    </row>
    <row r="1718" spans="1:1" ht="12.75">
      <c r="A1718" s="2" t="s">
        <v>235</v>
      </c>
    </row>
    <row r="1719" spans="1:1" ht="12.75">
      <c r="A1719" s="2" t="s">
        <v>234</v>
      </c>
    </row>
    <row r="1720" spans="1:1" ht="12.75">
      <c r="A1720" s="2" t="s">
        <v>234</v>
      </c>
    </row>
    <row r="1721" spans="1:1" ht="12.75">
      <c r="A1721" s="2" t="s">
        <v>234</v>
      </c>
    </row>
    <row r="1722" spans="1:1" ht="12.75">
      <c r="A1722" s="2" t="s">
        <v>235</v>
      </c>
    </row>
    <row r="1723" spans="1:1" ht="12.75">
      <c r="A1723" s="2" t="s">
        <v>235</v>
      </c>
    </row>
    <row r="1724" spans="1:1" ht="12.75">
      <c r="A1724" s="2" t="s">
        <v>199</v>
      </c>
    </row>
    <row r="1725" spans="1:1" ht="12.75">
      <c r="A1725" s="2" t="s">
        <v>235</v>
      </c>
    </row>
    <row r="1726" spans="1:1" ht="12.75">
      <c r="A1726" s="2" t="s">
        <v>199</v>
      </c>
    </row>
    <row r="1727" spans="1:1" ht="12.75">
      <c r="A1727" s="2" t="s">
        <v>235</v>
      </c>
    </row>
    <row r="1728" spans="1:1" ht="12.75">
      <c r="A1728" s="2" t="s">
        <v>235</v>
      </c>
    </row>
    <row r="1729" spans="1:1" ht="12.75">
      <c r="A1729" s="2" t="s">
        <v>199</v>
      </c>
    </row>
    <row r="1730" spans="1:1" ht="12.75">
      <c r="A1730" s="2" t="s">
        <v>199</v>
      </c>
    </row>
    <row r="1731" spans="1:1" ht="12.75">
      <c r="A1731" s="2" t="s">
        <v>234</v>
      </c>
    </row>
    <row r="1732" spans="1:1" ht="12.75">
      <c r="A1732" s="2" t="s">
        <v>234</v>
      </c>
    </row>
    <row r="1733" spans="1:1" ht="12.75">
      <c r="A1733" s="2" t="s">
        <v>234</v>
      </c>
    </row>
    <row r="1734" spans="1:1" ht="12.75">
      <c r="A1734" s="2" t="s">
        <v>234</v>
      </c>
    </row>
    <row r="1735" spans="1:1" ht="12.75">
      <c r="A1735" s="2" t="s">
        <v>233</v>
      </c>
    </row>
    <row r="1736" spans="1:1" ht="12.75">
      <c r="A1736" s="2" t="s">
        <v>234</v>
      </c>
    </row>
    <row r="1737" spans="1:1" ht="12.75">
      <c r="A1737" s="2" t="s">
        <v>233</v>
      </c>
    </row>
    <row r="1738" spans="1:1" ht="12.75">
      <c r="A1738" s="2" t="s">
        <v>234</v>
      </c>
    </row>
    <row r="1739" spans="1:1" ht="12.75">
      <c r="A1739" s="2" t="s">
        <v>234</v>
      </c>
    </row>
    <row r="1740" spans="1:1" ht="12.75">
      <c r="A1740" s="2" t="s">
        <v>234</v>
      </c>
    </row>
    <row r="1741" spans="1:1" ht="12.75">
      <c r="A1741" s="2" t="s">
        <v>234</v>
      </c>
    </row>
    <row r="1742" spans="1:1" ht="12.75">
      <c r="A1742" s="2" t="s">
        <v>234</v>
      </c>
    </row>
    <row r="1743" spans="1:1" ht="12.75">
      <c r="A1743" s="2" t="s">
        <v>234</v>
      </c>
    </row>
    <row r="1744" spans="1:1" ht="12.75">
      <c r="A1744" s="2" t="s">
        <v>199</v>
      </c>
    </row>
    <row r="1745" spans="1:1" ht="12.75">
      <c r="A1745" s="2" t="s">
        <v>199</v>
      </c>
    </row>
    <row r="1746" spans="1:1" ht="12.75">
      <c r="A1746" s="2" t="s">
        <v>235</v>
      </c>
    </row>
    <row r="1747" spans="1:1" ht="12.75">
      <c r="A1747" s="2" t="s">
        <v>233</v>
      </c>
    </row>
    <row r="1748" spans="1:1" ht="12.75">
      <c r="A1748" s="2" t="s">
        <v>235</v>
      </c>
    </row>
    <row r="1749" spans="1:1" ht="12.75">
      <c r="A1749" s="2" t="s">
        <v>235</v>
      </c>
    </row>
    <row r="1750" spans="1:1" ht="12.75">
      <c r="A1750" s="2" t="s">
        <v>235</v>
      </c>
    </row>
    <row r="1751" spans="1:1" ht="12.75">
      <c r="A1751" s="2" t="s">
        <v>235</v>
      </c>
    </row>
    <row r="1752" spans="1:1" ht="12.75">
      <c r="A1752" s="2" t="s">
        <v>235</v>
      </c>
    </row>
    <row r="1753" spans="1:1" ht="12.75">
      <c r="A1753" s="2" t="s">
        <v>199</v>
      </c>
    </row>
    <row r="1754" spans="1:1" ht="12.75">
      <c r="A1754" s="2" t="s">
        <v>199</v>
      </c>
    </row>
    <row r="1755" spans="1:1" ht="12.75">
      <c r="A1755" s="2" t="s">
        <v>236</v>
      </c>
    </row>
    <row r="1756" spans="1:1" ht="12.75">
      <c r="A1756" s="2" t="s">
        <v>236</v>
      </c>
    </row>
    <row r="1757" spans="1:1" ht="12.75">
      <c r="A1757" s="2" t="s">
        <v>236</v>
      </c>
    </row>
    <row r="1758" spans="1:1" ht="12.75">
      <c r="A1758" s="2" t="s">
        <v>233</v>
      </c>
    </row>
    <row r="1759" spans="1:1" ht="12.75">
      <c r="A1759" s="2" t="s">
        <v>233</v>
      </c>
    </row>
    <row r="1760" spans="1:1" ht="12.75">
      <c r="A1760" s="2" t="s">
        <v>236</v>
      </c>
    </row>
    <row r="1761" spans="1:1" ht="12.75">
      <c r="A1761" s="2" t="s">
        <v>236</v>
      </c>
    </row>
    <row r="1762" spans="1:1" ht="12.75">
      <c r="A1762" s="2" t="s">
        <v>235</v>
      </c>
    </row>
    <row r="1763" spans="1:1" ht="12.75">
      <c r="A1763" s="2" t="s">
        <v>235</v>
      </c>
    </row>
    <row r="1764" spans="1:1" ht="12.75">
      <c r="A1764" s="2" t="s">
        <v>199</v>
      </c>
    </row>
    <row r="1765" spans="1:1" ht="12.75">
      <c r="A1765" s="2" t="s">
        <v>199</v>
      </c>
    </row>
    <row r="1766" spans="1:1" ht="12.75">
      <c r="A1766" s="2" t="s">
        <v>234</v>
      </c>
    </row>
    <row r="1767" spans="1:1" ht="12.75">
      <c r="A1767" s="2" t="s">
        <v>234</v>
      </c>
    </row>
    <row r="1768" spans="1:1" ht="12.75">
      <c r="A1768" s="2" t="s">
        <v>199</v>
      </c>
    </row>
    <row r="1769" spans="1:1" ht="12.75">
      <c r="A1769" s="2" t="s">
        <v>199</v>
      </c>
    </row>
    <row r="1770" spans="1:1" ht="12.75">
      <c r="A1770" s="2" t="s">
        <v>234</v>
      </c>
    </row>
    <row r="1771" spans="1:1" ht="12.75">
      <c r="A1771" s="2" t="s">
        <v>234</v>
      </c>
    </row>
    <row r="1772" spans="1:1" ht="12.75">
      <c r="A1772" s="2" t="s">
        <v>233</v>
      </c>
    </row>
    <row r="1773" spans="1:1" ht="12.75">
      <c r="A1773" s="2" t="s">
        <v>233</v>
      </c>
    </row>
    <row r="1774" spans="1:1" ht="12.75">
      <c r="A1774" s="2" t="s">
        <v>234</v>
      </c>
    </row>
    <row r="1775" spans="1:1" ht="12.75">
      <c r="A1775" s="2" t="s">
        <v>234</v>
      </c>
    </row>
    <row r="1776" spans="1:1" ht="12.75">
      <c r="A1776" s="2" t="s">
        <v>199</v>
      </c>
    </row>
    <row r="1777" spans="1:1" ht="12.75">
      <c r="A1777" s="2" t="s">
        <v>199</v>
      </c>
    </row>
    <row r="1778" spans="1:1" ht="12.75">
      <c r="A1778" s="2" t="s">
        <v>234</v>
      </c>
    </row>
    <row r="1779" spans="1:1" ht="12.75">
      <c r="A1779" s="2" t="s">
        <v>234</v>
      </c>
    </row>
    <row r="1780" spans="1:1" ht="12.75">
      <c r="A1780" s="2" t="s">
        <v>234</v>
      </c>
    </row>
    <row r="1781" spans="1:1" ht="12.75">
      <c r="A1781" s="2" t="s">
        <v>234</v>
      </c>
    </row>
    <row r="1782" spans="1:1" ht="12.75">
      <c r="A1782" s="2" t="s">
        <v>237</v>
      </c>
    </row>
    <row r="1783" spans="1:1" ht="12.75">
      <c r="A1783" s="2" t="s">
        <v>234</v>
      </c>
    </row>
    <row r="1784" spans="1:1" ht="12.75">
      <c r="A1784" s="2" t="s">
        <v>236</v>
      </c>
    </row>
    <row r="1785" spans="1:1" ht="12.75">
      <c r="A1785" s="2" t="s">
        <v>236</v>
      </c>
    </row>
    <row r="1786" spans="1:1" ht="12.75">
      <c r="A1786" s="2" t="s">
        <v>236</v>
      </c>
    </row>
    <row r="1787" spans="1:1" ht="12.75">
      <c r="A1787" s="2" t="s">
        <v>235</v>
      </c>
    </row>
    <row r="1788" spans="1:1" ht="12.75">
      <c r="A1788" s="2" t="s">
        <v>199</v>
      </c>
    </row>
    <row r="1789" spans="1:1" ht="12.75">
      <c r="A1789" s="2" t="s">
        <v>199</v>
      </c>
    </row>
    <row r="1790" spans="1:1" ht="12.75">
      <c r="A1790" s="2" t="s">
        <v>235</v>
      </c>
    </row>
    <row r="1791" spans="1:1" ht="12.75">
      <c r="A1791" s="2" t="s">
        <v>235</v>
      </c>
    </row>
    <row r="1792" spans="1:1" ht="12.75">
      <c r="A1792" s="2" t="s">
        <v>238</v>
      </c>
    </row>
    <row r="1793" spans="1:1" ht="12.75">
      <c r="A1793" s="2" t="s">
        <v>238</v>
      </c>
    </row>
    <row r="1794" spans="1:1" ht="12.75">
      <c r="A1794" s="2" t="s">
        <v>238</v>
      </c>
    </row>
    <row r="1795" spans="1:1" ht="12.75">
      <c r="A1795" s="2" t="s">
        <v>238</v>
      </c>
    </row>
    <row r="1796" spans="1:1" ht="12.75">
      <c r="A1796" s="2" t="s">
        <v>238</v>
      </c>
    </row>
    <row r="1797" spans="1:1" ht="12.75">
      <c r="A1797" s="2" t="s">
        <v>238</v>
      </c>
    </row>
    <row r="1798" spans="1:1" ht="12.75">
      <c r="A1798" s="2" t="s">
        <v>238</v>
      </c>
    </row>
    <row r="1799" spans="1:1" ht="12.75">
      <c r="A1799" s="2" t="s">
        <v>238</v>
      </c>
    </row>
    <row r="1800" spans="1:1" ht="12.75">
      <c r="A1800" s="2" t="s">
        <v>238</v>
      </c>
    </row>
    <row r="1801" spans="1:1" ht="12.75">
      <c r="A1801" s="2" t="s">
        <v>238</v>
      </c>
    </row>
    <row r="1802" spans="1:1" ht="12.75">
      <c r="A1802" s="2" t="s">
        <v>238</v>
      </c>
    </row>
    <row r="1803" spans="1:1" ht="12.75">
      <c r="A1803" s="2" t="s">
        <v>238</v>
      </c>
    </row>
    <row r="1804" spans="1:1" ht="12.75">
      <c r="A1804" s="2" t="s">
        <v>239</v>
      </c>
    </row>
    <row r="1805" spans="1:1" ht="12.75">
      <c r="A1805" s="2" t="s">
        <v>238</v>
      </c>
    </row>
    <row r="1806" spans="1:1" ht="12.75">
      <c r="A1806" s="2" t="s">
        <v>238</v>
      </c>
    </row>
    <row r="1807" spans="1:1" ht="12.75">
      <c r="A1807" s="2" t="s">
        <v>238</v>
      </c>
    </row>
    <row r="1808" spans="1:1" ht="12.75">
      <c r="A1808" s="2" t="s">
        <v>238</v>
      </c>
    </row>
    <row r="1809" spans="1:1" ht="12.75">
      <c r="A1809" s="2" t="s">
        <v>238</v>
      </c>
    </row>
    <row r="1810" spans="1:1" ht="12.75">
      <c r="A1810" s="2" t="s">
        <v>238</v>
      </c>
    </row>
    <row r="1811" spans="1:1" ht="12.75">
      <c r="A1811" s="2" t="s">
        <v>238</v>
      </c>
    </row>
    <row r="1812" spans="1:1" ht="12.75">
      <c r="A1812" s="2" t="s">
        <v>238</v>
      </c>
    </row>
    <row r="1813" spans="1:1" ht="12.75">
      <c r="A1813" s="2" t="s">
        <v>238</v>
      </c>
    </row>
    <row r="1814" spans="1:1" ht="12.75">
      <c r="A1814" s="2" t="s">
        <v>238</v>
      </c>
    </row>
    <row r="1815" spans="1:1" ht="12.75">
      <c r="A1815" s="2" t="s">
        <v>238</v>
      </c>
    </row>
    <row r="1816" spans="1:1" ht="12.75">
      <c r="A1816" s="2" t="s">
        <v>238</v>
      </c>
    </row>
    <row r="1817" spans="1:1" ht="12.75">
      <c r="A1817" s="2" t="s">
        <v>238</v>
      </c>
    </row>
    <row r="1818" spans="1:1" ht="12.75">
      <c r="A1818" s="2" t="s">
        <v>238</v>
      </c>
    </row>
    <row r="1819" spans="1:1" ht="12.75">
      <c r="A1819" s="2" t="s">
        <v>239</v>
      </c>
    </row>
    <row r="1820" spans="1:1" ht="12.75">
      <c r="A1820" s="2" t="s">
        <v>238</v>
      </c>
    </row>
    <row r="1821" spans="1:1" ht="12.75">
      <c r="A1821" s="2" t="s">
        <v>238</v>
      </c>
    </row>
    <row r="1822" spans="1:1" ht="12.75">
      <c r="A1822" s="2" t="s">
        <v>238</v>
      </c>
    </row>
    <row r="1823" spans="1:1" ht="12.75">
      <c r="A1823" s="2" t="s">
        <v>238</v>
      </c>
    </row>
    <row r="1824" spans="1:1" ht="12.75">
      <c r="A1824" s="2" t="s">
        <v>240</v>
      </c>
    </row>
    <row r="1825" spans="1:1" ht="12.75">
      <c r="A1825" s="2" t="s">
        <v>241</v>
      </c>
    </row>
    <row r="1826" spans="1:1" ht="12.75">
      <c r="A1826" s="2" t="s">
        <v>242</v>
      </c>
    </row>
    <row r="1827" spans="1:1" ht="12.75">
      <c r="A1827" s="2" t="s">
        <v>243</v>
      </c>
    </row>
    <row r="1828" spans="1:1" ht="12.75">
      <c r="A1828" s="2" t="s">
        <v>238</v>
      </c>
    </row>
    <row r="1829" spans="1:1" ht="12.75">
      <c r="A1829" s="2" t="s">
        <v>238</v>
      </c>
    </row>
    <row r="1830" spans="1:1" ht="12.75">
      <c r="A1830" s="2" t="s">
        <v>238</v>
      </c>
    </row>
    <row r="1831" spans="1:1" ht="12.75">
      <c r="A1831" s="2" t="s">
        <v>238</v>
      </c>
    </row>
    <row r="1832" spans="1:1" ht="12.75">
      <c r="A1832" s="2" t="s">
        <v>238</v>
      </c>
    </row>
    <row r="1833" spans="1:1" ht="12.75">
      <c r="A1833" s="2" t="s">
        <v>238</v>
      </c>
    </row>
    <row r="1834" spans="1:1" ht="12.75">
      <c r="A1834" s="2" t="s">
        <v>238</v>
      </c>
    </row>
    <row r="1835" spans="1:1" ht="12.75">
      <c r="A1835" s="2" t="s">
        <v>238</v>
      </c>
    </row>
    <row r="1836" spans="1:1" ht="12.75">
      <c r="A1836" s="2" t="s">
        <v>238</v>
      </c>
    </row>
    <row r="1837" spans="1:1" ht="12.75">
      <c r="A1837" s="2" t="s">
        <v>238</v>
      </c>
    </row>
    <row r="1838" spans="1:1" ht="12.75">
      <c r="A1838" s="2" t="s">
        <v>238</v>
      </c>
    </row>
    <row r="1839" spans="1:1" ht="12.75">
      <c r="A1839" s="2" t="s">
        <v>238</v>
      </c>
    </row>
    <row r="1840" spans="1:1" ht="12.75">
      <c r="A1840" s="2" t="s">
        <v>238</v>
      </c>
    </row>
    <row r="1841" spans="1:1" ht="12.75">
      <c r="A1841" s="2" t="s">
        <v>238</v>
      </c>
    </row>
    <row r="1842" spans="1:1" ht="12.75">
      <c r="A1842" s="2" t="s">
        <v>244</v>
      </c>
    </row>
    <row r="1843" spans="1:1" ht="12.75">
      <c r="A1843" s="2" t="s">
        <v>244</v>
      </c>
    </row>
    <row r="1844" spans="1:1" ht="12.75">
      <c r="A1844" s="2" t="s">
        <v>245</v>
      </c>
    </row>
    <row r="1845" spans="1:1" ht="12.75">
      <c r="A1845" s="2" t="s">
        <v>246</v>
      </c>
    </row>
    <row r="1846" spans="1:1" ht="12.75">
      <c r="A1846" s="2">
        <v>415</v>
      </c>
    </row>
    <row r="1847" spans="1:1" ht="12.75">
      <c r="A1847" s="2" t="s">
        <v>244</v>
      </c>
    </row>
    <row r="1848" spans="1:1" ht="12.75">
      <c r="A1848" s="2" t="s">
        <v>244</v>
      </c>
    </row>
    <row r="1849" spans="1:1" ht="12.75">
      <c r="A1849" s="2" t="s">
        <v>245</v>
      </c>
    </row>
    <row r="1850" spans="1:1" ht="12.75">
      <c r="A1850" s="2" t="s">
        <v>246</v>
      </c>
    </row>
    <row r="1851" spans="1:1" ht="12.75">
      <c r="A1851" s="2" t="s">
        <v>245</v>
      </c>
    </row>
    <row r="1852" spans="1:1" ht="12.75">
      <c r="A1852" s="2" t="s">
        <v>247</v>
      </c>
    </row>
    <row r="1853" spans="1:1" ht="12.75">
      <c r="A1853" s="2" t="s">
        <v>247</v>
      </c>
    </row>
    <row r="1854" spans="1:1" ht="12.75">
      <c r="A1854" s="2" t="s">
        <v>248</v>
      </c>
    </row>
    <row r="1855" spans="1:1" ht="12.75">
      <c r="A1855" s="2" t="s">
        <v>247</v>
      </c>
    </row>
    <row r="1856" spans="1:1" ht="12.75">
      <c r="A1856" s="2" t="s">
        <v>249</v>
      </c>
    </row>
    <row r="1857" spans="1:1" ht="12.75">
      <c r="A1857" s="2" t="s">
        <v>249</v>
      </c>
    </row>
    <row r="1858" spans="1:1" ht="12.75">
      <c r="A1858" s="2" t="s">
        <v>247</v>
      </c>
    </row>
    <row r="1859" spans="1:1" ht="12.75">
      <c r="A1859" s="2" t="s">
        <v>247</v>
      </c>
    </row>
    <row r="1860" spans="1:1" ht="12.75">
      <c r="A1860" s="2" t="s">
        <v>247</v>
      </c>
    </row>
    <row r="1861" spans="1:1" ht="12.75">
      <c r="A1861" s="2" t="s">
        <v>247</v>
      </c>
    </row>
    <row r="1862" spans="1:1" ht="12.75">
      <c r="A1862" s="2" t="s">
        <v>249</v>
      </c>
    </row>
    <row r="1863" spans="1:1" ht="12.75">
      <c r="A1863" s="2" t="s">
        <v>248</v>
      </c>
    </row>
    <row r="1864" spans="1:1" ht="12.75">
      <c r="A1864" s="2" t="s">
        <v>249</v>
      </c>
    </row>
    <row r="1865" spans="1:1" ht="12.75">
      <c r="A1865" s="2" t="s">
        <v>249</v>
      </c>
    </row>
    <row r="1866" spans="1:1" ht="12.75">
      <c r="A1866" s="2" t="s">
        <v>249</v>
      </c>
    </row>
    <row r="1867" spans="1:1" ht="12.75">
      <c r="A1867" s="2" t="s">
        <v>249</v>
      </c>
    </row>
    <row r="1868" spans="1:1" ht="12.75">
      <c r="A1868" s="2" t="s">
        <v>247</v>
      </c>
    </row>
    <row r="1869" spans="1:1" ht="12.75">
      <c r="A1869" s="2" t="s">
        <v>247</v>
      </c>
    </row>
    <row r="1870" spans="1:1" ht="12.75">
      <c r="A1870" s="2" t="s">
        <v>247</v>
      </c>
    </row>
    <row r="1871" spans="1:1" ht="12.75">
      <c r="A1871" s="2" t="s">
        <v>247</v>
      </c>
    </row>
    <row r="1872" spans="1:1" ht="12.75">
      <c r="A1872" s="2" t="s">
        <v>249</v>
      </c>
    </row>
    <row r="1873" spans="1:1" ht="12.75">
      <c r="A1873" s="2" t="s">
        <v>249</v>
      </c>
    </row>
    <row r="1874" spans="1:1" ht="12.75">
      <c r="A1874" s="2" t="s">
        <v>249</v>
      </c>
    </row>
    <row r="1875" spans="1:1" ht="12.75">
      <c r="A1875" s="2" t="s">
        <v>249</v>
      </c>
    </row>
    <row r="1876" spans="1:1" ht="12.75">
      <c r="A1876" s="2" t="s">
        <v>247</v>
      </c>
    </row>
    <row r="1877" spans="1:1" ht="12.75">
      <c r="A1877" s="2" t="s">
        <v>247</v>
      </c>
    </row>
    <row r="1878" spans="1:1" ht="12.75">
      <c r="A1878" s="2" t="s">
        <v>249</v>
      </c>
    </row>
    <row r="1879" spans="1:1" ht="12.75">
      <c r="A1879" s="2" t="s">
        <v>249</v>
      </c>
    </row>
    <row r="1880" spans="1:1" ht="12.75">
      <c r="A1880" s="2" t="s">
        <v>247</v>
      </c>
    </row>
    <row r="1881" spans="1:1" ht="12.75">
      <c r="A1881" s="2" t="s">
        <v>159</v>
      </c>
    </row>
    <row r="1882" spans="1:1" ht="12.75">
      <c r="A1882" s="2" t="s">
        <v>249</v>
      </c>
    </row>
    <row r="1884" spans="1:1" ht="12.75">
      <c r="A1884" s="2" t="s">
        <v>247</v>
      </c>
    </row>
    <row r="1885" spans="1:1" ht="12.75">
      <c r="A1885" s="2" t="s">
        <v>247</v>
      </c>
    </row>
    <row r="1886" spans="1:1" ht="12.75">
      <c r="A1886" s="2" t="s">
        <v>248</v>
      </c>
    </row>
    <row r="1887" spans="1:1" ht="12.75">
      <c r="A1887" s="2" t="s">
        <v>248</v>
      </c>
    </row>
    <row r="1888" spans="1:1" ht="12.75">
      <c r="A1888" s="2" t="s">
        <v>249</v>
      </c>
    </row>
    <row r="1889" spans="1:1" ht="12.75">
      <c r="A1889" s="2" t="s">
        <v>249</v>
      </c>
    </row>
    <row r="1890" spans="1:1" ht="12.75">
      <c r="A1890" s="2" t="s">
        <v>248</v>
      </c>
    </row>
    <row r="1891" spans="1:1" ht="12.75">
      <c r="A1891" s="2" t="s">
        <v>249</v>
      </c>
    </row>
    <row r="1892" spans="1:1" ht="12.75">
      <c r="A1892" s="2" t="s">
        <v>248</v>
      </c>
    </row>
    <row r="1893" spans="1:1" ht="12.75">
      <c r="A1893" s="2" t="s">
        <v>248</v>
      </c>
    </row>
    <row r="1894" spans="1:1" ht="12.75">
      <c r="A1894" s="2" t="s">
        <v>249</v>
      </c>
    </row>
    <row r="1895" spans="1:1" ht="12.75">
      <c r="A1895" s="2" t="s">
        <v>249</v>
      </c>
    </row>
    <row r="1896" spans="1:1" ht="12.75">
      <c r="A1896" s="2" t="s">
        <v>249</v>
      </c>
    </row>
    <row r="1897" spans="1:1" ht="12.75">
      <c r="A1897" s="2" t="s">
        <v>249</v>
      </c>
    </row>
    <row r="1898" spans="1:1" ht="12.75">
      <c r="A1898" s="2" t="s">
        <v>249</v>
      </c>
    </row>
    <row r="1899" spans="1:1" ht="12.75">
      <c r="A1899" s="2" t="s">
        <v>249</v>
      </c>
    </row>
    <row r="1900" spans="1:1" ht="12.75">
      <c r="A1900" s="2" t="s">
        <v>249</v>
      </c>
    </row>
    <row r="1901" spans="1:1" ht="12.75">
      <c r="A1901" s="2" t="s">
        <v>249</v>
      </c>
    </row>
    <row r="1902" spans="1:1" ht="12.75">
      <c r="A1902" s="2" t="s">
        <v>249</v>
      </c>
    </row>
    <row r="1903" spans="1:1" ht="12.75">
      <c r="A1903" s="2" t="s">
        <v>249</v>
      </c>
    </row>
    <row r="1904" spans="1:1" ht="12.75">
      <c r="A1904" s="2" t="s">
        <v>249</v>
      </c>
    </row>
    <row r="1905" spans="1:1" ht="12.75">
      <c r="A1905" s="2" t="s">
        <v>249</v>
      </c>
    </row>
    <row r="1906" spans="1:1" ht="12.75">
      <c r="A1906" s="2" t="s">
        <v>247</v>
      </c>
    </row>
    <row r="1910" spans="1:1" ht="12.75">
      <c r="A1910" s="2" t="s">
        <v>249</v>
      </c>
    </row>
    <row r="1911" spans="1:1" ht="12.75">
      <c r="A1911" s="2" t="s">
        <v>249</v>
      </c>
    </row>
    <row r="1912" spans="1:1" ht="12.75">
      <c r="A1912" s="2" t="s">
        <v>249</v>
      </c>
    </row>
    <row r="1913" spans="1:1" ht="12.75">
      <c r="A1913" s="2" t="s">
        <v>249</v>
      </c>
    </row>
    <row r="1914" spans="1:1" ht="12.75">
      <c r="A1914" s="2" t="s">
        <v>248</v>
      </c>
    </row>
    <row r="1915" spans="1:1" ht="12.75">
      <c r="A1915" s="2" t="s">
        <v>249</v>
      </c>
    </row>
    <row r="1916" spans="1:1" ht="12.75">
      <c r="A1916" s="2" t="s">
        <v>247</v>
      </c>
    </row>
    <row r="1917" spans="1:1" ht="12.75">
      <c r="A1917" s="2" t="s">
        <v>247</v>
      </c>
    </row>
    <row r="1918" spans="1:1" ht="12.75">
      <c r="A1918" s="2" t="s">
        <v>250</v>
      </c>
    </row>
    <row r="1919" spans="1:1" ht="12.75">
      <c r="A1919" s="2" t="s">
        <v>247</v>
      </c>
    </row>
    <row r="1920" spans="1:1" ht="12.75">
      <c r="A1920" s="2" t="s">
        <v>247</v>
      </c>
    </row>
    <row r="1921" spans="1:1" ht="12.75">
      <c r="A1921" s="2" t="s">
        <v>247</v>
      </c>
    </row>
    <row r="1922" spans="1:1" ht="12.75">
      <c r="A1922" s="2" t="s">
        <v>249</v>
      </c>
    </row>
    <row r="1923" spans="1:1" ht="12.75">
      <c r="A1923" s="2" t="s">
        <v>249</v>
      </c>
    </row>
    <row r="1925" spans="1:1" ht="12.75">
      <c r="A1925" s="2" t="s">
        <v>249</v>
      </c>
    </row>
    <row r="1926" spans="1:1" ht="12.75">
      <c r="A1926" s="2" t="s">
        <v>249</v>
      </c>
    </row>
    <row r="1927" spans="1:1" ht="12.75">
      <c r="A1927" s="2" t="s">
        <v>249</v>
      </c>
    </row>
    <row r="1928" spans="1:1" ht="12.75">
      <c r="A1928" s="2" t="s">
        <v>249</v>
      </c>
    </row>
    <row r="1929" spans="1:1" ht="12.75">
      <c r="A1929" s="2" t="s">
        <v>249</v>
      </c>
    </row>
    <row r="1930" spans="1:1" ht="12.75">
      <c r="A1930" s="2" t="s">
        <v>247</v>
      </c>
    </row>
    <row r="1931" spans="1:1" ht="12.75">
      <c r="A1931" s="2" t="s">
        <v>247</v>
      </c>
    </row>
    <row r="1933" spans="1:1" ht="12.75">
      <c r="A1933" s="2" t="s">
        <v>249</v>
      </c>
    </row>
    <row r="1934" spans="1:1" ht="12.75">
      <c r="A1934" s="2" t="s">
        <v>249</v>
      </c>
    </row>
    <row r="1935" spans="1:1" ht="12.75">
      <c r="A1935" s="2" t="s">
        <v>247</v>
      </c>
    </row>
    <row r="1936" spans="1:1" ht="12.75">
      <c r="A1936" s="2" t="s">
        <v>249</v>
      </c>
    </row>
    <row r="1937" spans="1:1" ht="12.75">
      <c r="A1937" s="2" t="s">
        <v>248</v>
      </c>
    </row>
    <row r="1938" spans="1:1" ht="12.75">
      <c r="A1938" s="2" t="s">
        <v>248</v>
      </c>
    </row>
    <row r="1939" spans="1:1" ht="12.75">
      <c r="A1939" s="2" t="s">
        <v>249</v>
      </c>
    </row>
    <row r="1940" spans="1:1" ht="12.75">
      <c r="A1940" s="2" t="s">
        <v>247</v>
      </c>
    </row>
    <row r="1942" spans="1:1" ht="12.75">
      <c r="A1942" s="2" t="s">
        <v>248</v>
      </c>
    </row>
    <row r="1943" spans="1:1" ht="12.75">
      <c r="A1943" s="2" t="s">
        <v>249</v>
      </c>
    </row>
    <row r="1944" spans="1:1" ht="12.75">
      <c r="A1944" s="2" t="s">
        <v>249</v>
      </c>
    </row>
    <row r="1945" spans="1:1" ht="12.75">
      <c r="A1945" s="2" t="s">
        <v>249</v>
      </c>
    </row>
    <row r="1946" spans="1:1" ht="12.75">
      <c r="A1946" s="2" t="s">
        <v>249</v>
      </c>
    </row>
    <row r="1947" spans="1:1" ht="12.75">
      <c r="A1947" s="2" t="s">
        <v>249</v>
      </c>
    </row>
    <row r="1948" spans="1:1" ht="12.75">
      <c r="A1948" s="2" t="s">
        <v>248</v>
      </c>
    </row>
    <row r="1949" spans="1:1" ht="12.75">
      <c r="A1949" s="2" t="s">
        <v>248</v>
      </c>
    </row>
    <row r="1950" spans="1:1" ht="12.75">
      <c r="A1950" s="2" t="s">
        <v>249</v>
      </c>
    </row>
    <row r="1951" spans="1:1" ht="12.75">
      <c r="A1951" s="2" t="s">
        <v>249</v>
      </c>
    </row>
    <row r="1952" spans="1:1" ht="12.75">
      <c r="A1952" s="2" t="s">
        <v>251</v>
      </c>
    </row>
    <row r="1953" spans="1:1" ht="12.75">
      <c r="A1953" s="2" t="s">
        <v>251</v>
      </c>
    </row>
    <row r="1954" spans="1:1" ht="12.75">
      <c r="A1954" s="2" t="s">
        <v>251</v>
      </c>
    </row>
    <row r="1955" spans="1:1" ht="12.75">
      <c r="A1955" s="2" t="s">
        <v>251</v>
      </c>
    </row>
    <row r="1956" spans="1:1" ht="12.75">
      <c r="A1956" s="2" t="s">
        <v>251</v>
      </c>
    </row>
    <row r="1957" spans="1:1" ht="12.75">
      <c r="A1957" s="2" t="s">
        <v>251</v>
      </c>
    </row>
    <row r="1958" spans="1:1" ht="12.75">
      <c r="A1958" s="2" t="s">
        <v>251</v>
      </c>
    </row>
    <row r="1959" spans="1:1" ht="12.75">
      <c r="A1959" s="2" t="s">
        <v>251</v>
      </c>
    </row>
    <row r="1960" spans="1:1" ht="12.75">
      <c r="A1960" s="2" t="s">
        <v>251</v>
      </c>
    </row>
    <row r="1961" spans="1:1" ht="12.75">
      <c r="A1961" s="2" t="s">
        <v>251</v>
      </c>
    </row>
    <row r="1962" spans="1:1" ht="12.75">
      <c r="A1962" s="2" t="s">
        <v>251</v>
      </c>
    </row>
    <row r="1963" spans="1:1" ht="12.75">
      <c r="A1963" s="2" t="s">
        <v>251</v>
      </c>
    </row>
    <row r="1964" spans="1:1" ht="12.75">
      <c r="A1964" s="2" t="s">
        <v>251</v>
      </c>
    </row>
    <row r="1965" spans="1:1" ht="12.75">
      <c r="A1965" s="2" t="s">
        <v>251</v>
      </c>
    </row>
    <row r="1966" spans="1:1" ht="12.75">
      <c r="A1966" s="2" t="s">
        <v>251</v>
      </c>
    </row>
    <row r="1967" spans="1:1" ht="12.75">
      <c r="A1967" s="2" t="s">
        <v>251</v>
      </c>
    </row>
    <row r="1968" spans="1:1" ht="12.75">
      <c r="A1968" s="2" t="s">
        <v>251</v>
      </c>
    </row>
    <row r="1969" spans="1:1" ht="12.75">
      <c r="A1969" s="2" t="s">
        <v>251</v>
      </c>
    </row>
    <row r="1970" spans="1:1" ht="12.75">
      <c r="A1970" s="2" t="s">
        <v>251</v>
      </c>
    </row>
    <row r="1971" spans="1:1" ht="12.75">
      <c r="A1971" s="2" t="s">
        <v>251</v>
      </c>
    </row>
    <row r="1972" spans="1:1" ht="12.75">
      <c r="A1972" s="2" t="s">
        <v>251</v>
      </c>
    </row>
    <row r="1973" spans="1:1" ht="12.75">
      <c r="A1973" s="2" t="s">
        <v>251</v>
      </c>
    </row>
    <row r="1974" spans="1:1" ht="12.75">
      <c r="A1974" s="2" t="s">
        <v>251</v>
      </c>
    </row>
    <row r="1975" spans="1:1" ht="12.75">
      <c r="A1975" s="2" t="s">
        <v>251</v>
      </c>
    </row>
    <row r="1976" spans="1:1" ht="12.75">
      <c r="A1976" s="2" t="s">
        <v>251</v>
      </c>
    </row>
    <row r="1977" spans="1:1" ht="12.75">
      <c r="A1977" s="2" t="s">
        <v>251</v>
      </c>
    </row>
    <row r="1978" spans="1:1" ht="12.75">
      <c r="A1978" s="2" t="s">
        <v>251</v>
      </c>
    </row>
    <row r="1979" spans="1:1" ht="12.75">
      <c r="A1979" s="2" t="s">
        <v>251</v>
      </c>
    </row>
    <row r="1980" spans="1:1" ht="12.75">
      <c r="A1980" s="2" t="s">
        <v>251</v>
      </c>
    </row>
    <row r="1981" spans="1:1" ht="12.75">
      <c r="A1981" s="2" t="s">
        <v>251</v>
      </c>
    </row>
    <row r="1982" spans="1:1" ht="12.75">
      <c r="A1982" s="2" t="s">
        <v>252</v>
      </c>
    </row>
    <row r="1983" spans="1:1" ht="12.75">
      <c r="A1983" s="2" t="s">
        <v>252</v>
      </c>
    </row>
    <row r="1984" spans="1:1" ht="12.75">
      <c r="A1984" s="2" t="s">
        <v>252</v>
      </c>
    </row>
    <row r="1985" spans="1:1" ht="12.75">
      <c r="A1985" s="2" t="s">
        <v>252</v>
      </c>
    </row>
    <row r="1986" spans="1:1" ht="12.75">
      <c r="A1986" s="2" t="s">
        <v>253</v>
      </c>
    </row>
    <row r="1987" spans="1:1" ht="12.75">
      <c r="A1987" s="2" t="s">
        <v>254</v>
      </c>
    </row>
    <row r="1988" spans="1:1" ht="12.75">
      <c r="A1988" s="2" t="s">
        <v>252</v>
      </c>
    </row>
    <row r="1989" spans="1:1" ht="12.75">
      <c r="A1989" s="2" t="s">
        <v>252</v>
      </c>
    </row>
    <row r="1990" spans="1:1" ht="12.75">
      <c r="A1990" s="2" t="s">
        <v>253</v>
      </c>
    </row>
    <row r="1991" spans="1:1" ht="12.75">
      <c r="A1991" s="2" t="s">
        <v>253</v>
      </c>
    </row>
    <row r="1992" spans="1:1" ht="12.75">
      <c r="A1992" s="2" t="s">
        <v>253</v>
      </c>
    </row>
    <row r="1993" spans="1:1" ht="12.75">
      <c r="A1993" s="2" t="s">
        <v>253</v>
      </c>
    </row>
    <row r="1994" spans="1:1" ht="12.75">
      <c r="A1994" s="2" t="s">
        <v>253</v>
      </c>
    </row>
    <row r="1995" spans="1:1" ht="12.75">
      <c r="A1995" s="2" t="s">
        <v>254</v>
      </c>
    </row>
    <row r="1996" spans="1:1" ht="12.75">
      <c r="A1996" s="2" t="s">
        <v>254</v>
      </c>
    </row>
    <row r="1997" spans="1:1" ht="12.75">
      <c r="A1997" s="2" t="s">
        <v>254</v>
      </c>
    </row>
    <row r="1998" spans="1:1" ht="12.75">
      <c r="A1998" s="2" t="s">
        <v>252</v>
      </c>
    </row>
    <row r="1999" spans="1:1" ht="12.75">
      <c r="A1999" s="2" t="s">
        <v>252</v>
      </c>
    </row>
    <row r="2000" spans="1:1" ht="12.75">
      <c r="A2000" s="2" t="s">
        <v>253</v>
      </c>
    </row>
    <row r="2001" spans="1:1" ht="12.75">
      <c r="A2001" s="2" t="s">
        <v>253</v>
      </c>
    </row>
    <row r="2002" spans="1:1" ht="12.75">
      <c r="A2002" s="2" t="s">
        <v>252</v>
      </c>
    </row>
    <row r="2003" spans="1:1" ht="12.75">
      <c r="A2003" s="2" t="s">
        <v>252</v>
      </c>
    </row>
    <row r="2004" spans="1:1" ht="12.75">
      <c r="A2004" s="2" t="s">
        <v>253</v>
      </c>
    </row>
    <row r="2005" spans="1:1" ht="12.75">
      <c r="A2005" s="2" t="s">
        <v>253</v>
      </c>
    </row>
    <row r="2006" spans="1:1" ht="12.75">
      <c r="A2006" s="2" t="s">
        <v>254</v>
      </c>
    </row>
    <row r="2007" spans="1:1" ht="12.75">
      <c r="A2007" s="2" t="s">
        <v>255</v>
      </c>
    </row>
    <row r="2008" spans="1:1" ht="12.75">
      <c r="A2008" s="2" t="s">
        <v>252</v>
      </c>
    </row>
    <row r="2009" spans="1:1" ht="12.75">
      <c r="A2009" s="2" t="s">
        <v>252</v>
      </c>
    </row>
    <row r="2010" spans="1:1" ht="12.75">
      <c r="A2010" s="2" t="s">
        <v>256</v>
      </c>
    </row>
    <row r="2011" spans="1:1" ht="12.75">
      <c r="A2011" s="2" t="s">
        <v>256</v>
      </c>
    </row>
    <row r="2012" spans="1:1" ht="12.75">
      <c r="A2012" s="2" t="s">
        <v>254</v>
      </c>
    </row>
    <row r="2013" spans="1:1" ht="12.75">
      <c r="A2013" s="2" t="s">
        <v>254</v>
      </c>
    </row>
    <row r="2014" spans="1:1" ht="12.75">
      <c r="A2014" s="2" t="s">
        <v>254</v>
      </c>
    </row>
    <row r="2015" spans="1:1" ht="12.75">
      <c r="A2015" s="2" t="s">
        <v>256</v>
      </c>
    </row>
    <row r="2016" spans="1:1" ht="12.75">
      <c r="A2016" s="2" t="s">
        <v>256</v>
      </c>
    </row>
    <row r="2017" spans="1:1" ht="12.75">
      <c r="A2017" s="2" t="s">
        <v>256</v>
      </c>
    </row>
    <row r="2018" spans="1:1" ht="12.75">
      <c r="A2018" s="2" t="s">
        <v>252</v>
      </c>
    </row>
    <row r="2019" spans="1:1" ht="12.75">
      <c r="A2019" s="2" t="s">
        <v>252</v>
      </c>
    </row>
    <row r="2020" spans="1:1" ht="12.75">
      <c r="A2020" s="2" t="s">
        <v>254</v>
      </c>
    </row>
    <row r="2021" spans="1:1" ht="12.75">
      <c r="A2021" s="2" t="s">
        <v>254</v>
      </c>
    </row>
    <row r="2022" spans="1:1" ht="12.75">
      <c r="A2022" s="2" t="s">
        <v>256</v>
      </c>
    </row>
    <row r="2023" spans="1:1" ht="12.75">
      <c r="A2023" s="2" t="s">
        <v>256</v>
      </c>
    </row>
    <row r="2024" spans="1:1" ht="12.75">
      <c r="A2024" s="2" t="s">
        <v>257</v>
      </c>
    </row>
    <row r="2025" spans="1:1" ht="12.75">
      <c r="A2025" s="2" t="s">
        <v>257</v>
      </c>
    </row>
    <row r="2026" spans="1:1" ht="12.75">
      <c r="A2026" s="2" t="s">
        <v>258</v>
      </c>
    </row>
    <row r="2027" spans="1:1" ht="12.75">
      <c r="A2027" s="2" t="s">
        <v>258</v>
      </c>
    </row>
    <row r="2028" spans="1:1" ht="12.75">
      <c r="A2028" s="2" t="s">
        <v>257</v>
      </c>
    </row>
    <row r="2029" spans="1:1" ht="12.75">
      <c r="A2029" s="2" t="s">
        <v>257</v>
      </c>
    </row>
    <row r="2030" spans="1:1" ht="12.75">
      <c r="A2030" s="2" t="s">
        <v>259</v>
      </c>
    </row>
    <row r="2031" spans="1:1" ht="12.75">
      <c r="A2031" s="2" t="s">
        <v>259</v>
      </c>
    </row>
    <row r="2032" spans="1:1" ht="12.75">
      <c r="A2032" s="2" t="s">
        <v>260</v>
      </c>
    </row>
    <row r="2033" spans="1:1" ht="12.75">
      <c r="A2033" s="2" t="s">
        <v>260</v>
      </c>
    </row>
    <row r="2034" spans="1:1" ht="12.75">
      <c r="A2034" s="2" t="s">
        <v>151</v>
      </c>
    </row>
    <row r="2035" spans="1:1" ht="12.75">
      <c r="A2035" s="2" t="s">
        <v>151</v>
      </c>
    </row>
    <row r="2036" spans="1:1" ht="12.75">
      <c r="A2036" s="2" t="s">
        <v>151</v>
      </c>
    </row>
    <row r="2037" spans="1:1" ht="12.75">
      <c r="A2037" s="2" t="s">
        <v>151</v>
      </c>
    </row>
    <row r="2038" spans="1:1" ht="12.75">
      <c r="A2038" s="2" t="s">
        <v>151</v>
      </c>
    </row>
    <row r="2039" spans="1:1" ht="12.75">
      <c r="A2039" s="2" t="s">
        <v>151</v>
      </c>
    </row>
    <row r="2040" spans="1:1" ht="12.75">
      <c r="A2040" s="2" t="s">
        <v>261</v>
      </c>
    </row>
    <row r="2041" spans="1:1" ht="12.75">
      <c r="A2041" s="2" t="s">
        <v>261</v>
      </c>
    </row>
    <row r="2042" spans="1:1" ht="12.75">
      <c r="A2042" s="2" t="s">
        <v>261</v>
      </c>
    </row>
    <row r="2043" spans="1:1" ht="12.75">
      <c r="A2043" s="2" t="s">
        <v>261</v>
      </c>
    </row>
    <row r="2044" spans="1:1" ht="12.75">
      <c r="A2044" s="2" t="s">
        <v>262</v>
      </c>
    </row>
    <row r="2045" spans="1:1" ht="12.75">
      <c r="A2045" s="2" t="s">
        <v>261</v>
      </c>
    </row>
    <row r="2046" spans="1:1" ht="12.75">
      <c r="A2046" s="2" t="s">
        <v>261</v>
      </c>
    </row>
    <row r="2047" spans="1:1" ht="12.75">
      <c r="A2047" s="2" t="s">
        <v>261</v>
      </c>
    </row>
    <row r="2048" spans="1:1" ht="12.75">
      <c r="A2048" s="2" t="s">
        <v>263</v>
      </c>
    </row>
    <row r="2049" spans="1:1" ht="12.75">
      <c r="A2049" s="2" t="s">
        <v>264</v>
      </c>
    </row>
    <row r="2050" spans="1:1" ht="12.75">
      <c r="A2050" s="2" t="s">
        <v>261</v>
      </c>
    </row>
    <row r="2051" spans="1:1" ht="12.75">
      <c r="A2051" s="2" t="s">
        <v>261</v>
      </c>
    </row>
    <row r="2052" spans="1:1" ht="12.75">
      <c r="A2052" s="2" t="s">
        <v>261</v>
      </c>
    </row>
    <row r="2053" spans="1:1" ht="12.75">
      <c r="A2053" s="2" t="s">
        <v>261</v>
      </c>
    </row>
    <row r="2054" spans="1:1" ht="12.75">
      <c r="A2054" s="2" t="s">
        <v>261</v>
      </c>
    </row>
    <row r="2055" spans="1:1" ht="12.75">
      <c r="A2055" s="2" t="s">
        <v>261</v>
      </c>
    </row>
    <row r="2056" spans="1:1" ht="12.75">
      <c r="A2056" s="2" t="s">
        <v>261</v>
      </c>
    </row>
    <row r="2057" spans="1:1" ht="12.75">
      <c r="A2057" s="2" t="s">
        <v>261</v>
      </c>
    </row>
    <row r="2058" spans="1:1" ht="12.75">
      <c r="A2058" s="2" t="s">
        <v>261</v>
      </c>
    </row>
    <row r="2059" spans="1:1" ht="12.75">
      <c r="A2059" s="2" t="s">
        <v>261</v>
      </c>
    </row>
    <row r="2060" spans="1:1" ht="12.75">
      <c r="A2060" s="2" t="s">
        <v>265</v>
      </c>
    </row>
    <row r="2061" spans="1:1" ht="12.75">
      <c r="A2061" s="2" t="s">
        <v>266</v>
      </c>
    </row>
    <row r="2062" spans="1:1" ht="12.75">
      <c r="A2062" s="2" t="s">
        <v>266</v>
      </c>
    </row>
    <row r="2063" spans="1:1" ht="12.75">
      <c r="A2063" s="2" t="s">
        <v>266</v>
      </c>
    </row>
    <row r="2064" spans="1:1" ht="12.75">
      <c r="A2064" s="2" t="s">
        <v>266</v>
      </c>
    </row>
    <row r="2065" spans="1:1" ht="12.75">
      <c r="A2065" s="2" t="s">
        <v>266</v>
      </c>
    </row>
    <row r="2066" spans="1:1" ht="12.75">
      <c r="A2066" s="2" t="s">
        <v>267</v>
      </c>
    </row>
    <row r="2067" spans="1:1" ht="12.75">
      <c r="A2067" s="2" t="s">
        <v>267</v>
      </c>
    </row>
    <row r="2068" spans="1:1" ht="12.75">
      <c r="A2068" s="2" t="s">
        <v>266</v>
      </c>
    </row>
    <row r="2069" spans="1:1" ht="12.75">
      <c r="A2069" s="2" t="s">
        <v>266</v>
      </c>
    </row>
    <row r="2070" spans="1:1" ht="12.75">
      <c r="A2070" s="2" t="s">
        <v>266</v>
      </c>
    </row>
    <row r="2071" spans="1:1" ht="12.75">
      <c r="A2071" s="2" t="s">
        <v>268</v>
      </c>
    </row>
    <row r="2072" spans="1:1" ht="12.75">
      <c r="A2072" s="2" t="s">
        <v>269</v>
      </c>
    </row>
    <row r="2073" spans="1:1" ht="12.75">
      <c r="A2073" s="2" t="s">
        <v>270</v>
      </c>
    </row>
    <row r="2074" spans="1:1" ht="12.75">
      <c r="A2074" s="2" t="s">
        <v>271</v>
      </c>
    </row>
    <row r="2075" spans="1:1" ht="12.75">
      <c r="A2075" s="2" t="s">
        <v>272</v>
      </c>
    </row>
    <row r="2076" spans="1:1" ht="12.75">
      <c r="A2076" s="2" t="s">
        <v>270</v>
      </c>
    </row>
    <row r="2077" spans="1:1" ht="12.75">
      <c r="A2077" s="2" t="s">
        <v>273</v>
      </c>
    </row>
    <row r="2078" spans="1:1" ht="12.75">
      <c r="A2078" s="2" t="s">
        <v>268</v>
      </c>
    </row>
    <row r="2079" spans="1:1" ht="12.75">
      <c r="A2079" s="2" t="s">
        <v>271</v>
      </c>
    </row>
    <row r="2080" spans="1:1" ht="12.75">
      <c r="A2080" s="2" t="s">
        <v>269</v>
      </c>
    </row>
    <row r="2081" spans="1:1" ht="12.75">
      <c r="A2081" s="2" t="s">
        <v>269</v>
      </c>
    </row>
    <row r="2082" spans="1:1" ht="12.75">
      <c r="A2082" s="2" t="s">
        <v>270</v>
      </c>
    </row>
    <row r="2083" spans="1:1" ht="12.75">
      <c r="A2083" s="2" t="s">
        <v>270</v>
      </c>
    </row>
    <row r="2084" spans="1:1" ht="12.75">
      <c r="A2084" s="2" t="s">
        <v>272</v>
      </c>
    </row>
    <row r="2085" spans="1:1" ht="12.75">
      <c r="A2085" s="2" t="s">
        <v>272</v>
      </c>
    </row>
    <row r="2086" spans="1:1" ht="12.75">
      <c r="A2086" s="2" t="s">
        <v>268</v>
      </c>
    </row>
    <row r="2087" spans="1:1" ht="12.75">
      <c r="A2087" s="2" t="s">
        <v>273</v>
      </c>
    </row>
    <row r="2088" spans="1:1" ht="12.75">
      <c r="A2088" s="2" t="s">
        <v>269</v>
      </c>
    </row>
    <row r="2089" spans="1:1" ht="12.75">
      <c r="A2089" s="2" t="s">
        <v>271</v>
      </c>
    </row>
    <row r="2090" spans="1:1" ht="12.75">
      <c r="A2090" s="2" t="s">
        <v>270</v>
      </c>
    </row>
    <row r="2091" spans="1:1" ht="12.75">
      <c r="A2091" s="2" t="s">
        <v>273</v>
      </c>
    </row>
    <row r="2092" spans="1:1" ht="12.75">
      <c r="A2092" s="2" t="s">
        <v>272</v>
      </c>
    </row>
    <row r="2093" spans="1:1" ht="12.75">
      <c r="A2093" s="2" t="s">
        <v>268</v>
      </c>
    </row>
    <row r="2094" spans="1:1" ht="12.75">
      <c r="A2094" s="2" t="s">
        <v>270</v>
      </c>
    </row>
    <row r="2096" spans="1:1" ht="12.75">
      <c r="A2096" s="2" t="s">
        <v>271</v>
      </c>
    </row>
    <row r="2097" spans="1:1" ht="12.75">
      <c r="A2097" s="2" t="s">
        <v>271</v>
      </c>
    </row>
    <row r="2098" spans="1:1" ht="12.75">
      <c r="A2098" s="2" t="s">
        <v>270</v>
      </c>
    </row>
    <row r="2099" spans="1:1" ht="12.75">
      <c r="A2099" s="2" t="s">
        <v>270</v>
      </c>
    </row>
    <row r="2100" spans="1:1" ht="12.75">
      <c r="A2100" s="2" t="s">
        <v>268</v>
      </c>
    </row>
    <row r="2101" spans="1:1" ht="12.75">
      <c r="A2101" s="2" t="s">
        <v>268</v>
      </c>
    </row>
    <row r="2102" spans="1:1" ht="12.75">
      <c r="A2102" s="2" t="s">
        <v>273</v>
      </c>
    </row>
    <row r="2103" spans="1:1" ht="12.75">
      <c r="A2103" s="2" t="s">
        <v>273</v>
      </c>
    </row>
    <row r="2104" spans="1:1" ht="12.75">
      <c r="A2104" s="2" t="s">
        <v>269</v>
      </c>
    </row>
    <row r="2105" spans="1:1" ht="12.75">
      <c r="A2105" s="2" t="s">
        <v>269</v>
      </c>
    </row>
    <row r="2106" spans="1:1" ht="12.75">
      <c r="A2106" s="2" t="s">
        <v>272</v>
      </c>
    </row>
    <row r="2107" spans="1:1" ht="12.75">
      <c r="A2107" s="2" t="s">
        <v>272</v>
      </c>
    </row>
    <row r="2108" spans="1:1" ht="12.75">
      <c r="A2108" s="2" t="s">
        <v>273</v>
      </c>
    </row>
    <row r="2109" spans="1:1" ht="12.75">
      <c r="A2109" s="2" t="s">
        <v>270</v>
      </c>
    </row>
    <row r="2110" spans="1:1" ht="12.75">
      <c r="A2110" s="2" t="s">
        <v>268</v>
      </c>
    </row>
    <row r="2111" spans="1:1" ht="12.75">
      <c r="A2111" s="2" t="s">
        <v>273</v>
      </c>
    </row>
    <row r="2112" spans="1:1" ht="12.75">
      <c r="A2112" s="2" t="s">
        <v>270</v>
      </c>
    </row>
    <row r="2113" spans="1:1" ht="12.75">
      <c r="A2113" s="2" t="s">
        <v>269</v>
      </c>
    </row>
    <row r="2114" spans="1:1" ht="12.75">
      <c r="A2114" s="2" t="s">
        <v>268</v>
      </c>
    </row>
    <row r="2115" spans="1:1" ht="12.75">
      <c r="A2115" s="2" t="s">
        <v>271</v>
      </c>
    </row>
    <row r="2116" spans="1:1" ht="12.75">
      <c r="A2116" s="2" t="s">
        <v>269</v>
      </c>
    </row>
    <row r="2117" spans="1:1" ht="12.75">
      <c r="A2117" s="2" t="s">
        <v>272</v>
      </c>
    </row>
    <row r="2118" spans="1:1" ht="12.75">
      <c r="A2118" s="2" t="s">
        <v>271</v>
      </c>
    </row>
    <row r="2119" spans="1:1" ht="12.75">
      <c r="A2119" s="2" t="s">
        <v>272</v>
      </c>
    </row>
    <row r="2120" spans="1:1" ht="12.75">
      <c r="A2120" s="2" t="s">
        <v>272</v>
      </c>
    </row>
    <row r="2121" spans="1:1" ht="12.75">
      <c r="A2121" s="2" t="s">
        <v>274</v>
      </c>
    </row>
    <row r="2122" spans="1:1" ht="12.75">
      <c r="A2122" s="2" t="s">
        <v>274</v>
      </c>
    </row>
    <row r="2123" spans="1:1" ht="12.75">
      <c r="A2123" s="2" t="s">
        <v>275</v>
      </c>
    </row>
    <row r="2124" spans="1:1" ht="12.75">
      <c r="A2124" s="2" t="s">
        <v>274</v>
      </c>
    </row>
    <row r="2125" spans="1:1" ht="12.75">
      <c r="A2125" s="2" t="s">
        <v>275</v>
      </c>
    </row>
    <row r="2126" spans="1:1" ht="12.75">
      <c r="A2126" s="2" t="s">
        <v>274</v>
      </c>
    </row>
    <row r="2127" spans="1:1" ht="12.75">
      <c r="A2127" s="2" t="s">
        <v>274</v>
      </c>
    </row>
    <row r="2128" spans="1:1" ht="12.75">
      <c r="A2128" s="2" t="s">
        <v>274</v>
      </c>
    </row>
    <row r="2129" spans="1:1" ht="12.75">
      <c r="A2129" s="2" t="s">
        <v>274</v>
      </c>
    </row>
    <row r="2130" spans="1:1" ht="12.75">
      <c r="A2130" s="2" t="s">
        <v>274</v>
      </c>
    </row>
    <row r="2131" spans="1:1" ht="12.75">
      <c r="A2131" s="2" t="s">
        <v>274</v>
      </c>
    </row>
    <row r="2132" spans="1:1" ht="12.75">
      <c r="A2132" s="2" t="s">
        <v>274</v>
      </c>
    </row>
    <row r="2133" spans="1:1" ht="12.75">
      <c r="A2133" s="2" t="s">
        <v>274</v>
      </c>
    </row>
    <row r="2134" spans="1:1" ht="12.75">
      <c r="A2134" s="2" t="s">
        <v>275</v>
      </c>
    </row>
    <row r="2135" spans="1:1" ht="12.75">
      <c r="A2135" s="2" t="s">
        <v>274</v>
      </c>
    </row>
    <row r="2136" spans="1:1" ht="12.75">
      <c r="A2136" s="2" t="s">
        <v>274</v>
      </c>
    </row>
    <row r="2137" spans="1:1" ht="12.75">
      <c r="A2137" s="2" t="s">
        <v>274</v>
      </c>
    </row>
    <row r="2138" spans="1:1" ht="12.75">
      <c r="A2138" s="2" t="s">
        <v>274</v>
      </c>
    </row>
    <row r="2139" spans="1:1" ht="12.75">
      <c r="A2139" s="2" t="s">
        <v>275</v>
      </c>
    </row>
    <row r="2140" spans="1:1" ht="12.75">
      <c r="A2140" s="2" t="s">
        <v>274</v>
      </c>
    </row>
    <row r="2141" spans="1:1" ht="12.75">
      <c r="A2141" s="2" t="s">
        <v>222</v>
      </c>
    </row>
    <row r="2143" spans="1:1" ht="12.75">
      <c r="A2143" s="2" t="s">
        <v>222</v>
      </c>
    </row>
    <row r="2144" spans="1:1" ht="12.75">
      <c r="A2144" s="2" t="s">
        <v>222</v>
      </c>
    </row>
    <row r="2145" spans="1:1" ht="12.75">
      <c r="A2145" s="2" t="s">
        <v>222</v>
      </c>
    </row>
    <row r="2146" spans="1:1" ht="12.75">
      <c r="A2146" s="2" t="s">
        <v>222</v>
      </c>
    </row>
    <row r="2147" spans="1:1" ht="12.75">
      <c r="A2147" s="2" t="s">
        <v>222</v>
      </c>
    </row>
    <row r="2148" spans="1:1" ht="12.75">
      <c r="A2148" s="2">
        <v>8304</v>
      </c>
    </row>
    <row r="2149" spans="1:1" ht="12.75">
      <c r="A2149" s="2" t="s">
        <v>222</v>
      </c>
    </row>
    <row r="2150" spans="1:1" ht="12.75">
      <c r="A2150" s="2" t="s">
        <v>222</v>
      </c>
    </row>
    <row r="2151" spans="1:1" ht="12.75">
      <c r="A2151" s="2" t="s">
        <v>222</v>
      </c>
    </row>
    <row r="2152" spans="1:1" ht="12.75">
      <c r="A2152" s="2" t="s">
        <v>276</v>
      </c>
    </row>
    <row r="2153" spans="1:1" ht="12.75">
      <c r="A2153" s="2" t="s">
        <v>222</v>
      </c>
    </row>
    <row r="2154" spans="1:1" ht="12.75">
      <c r="A2154" s="2" t="s">
        <v>222</v>
      </c>
    </row>
    <row r="2155" spans="1:1" ht="12.75">
      <c r="A2155" s="2" t="s">
        <v>222</v>
      </c>
    </row>
    <row r="2156" spans="1:1" ht="12.75">
      <c r="A2156" s="2" t="s">
        <v>222</v>
      </c>
    </row>
    <row r="2157" spans="1:1" ht="12.75">
      <c r="A2157" s="2" t="s">
        <v>222</v>
      </c>
    </row>
    <row r="2158" spans="1:1" ht="12.75">
      <c r="A2158" s="2" t="s">
        <v>222</v>
      </c>
    </row>
    <row r="2159" spans="1:1" ht="12.75">
      <c r="A2159" s="2" t="s">
        <v>222</v>
      </c>
    </row>
    <row r="2160" spans="1:1" ht="12.75">
      <c r="A2160" s="2" t="s">
        <v>222</v>
      </c>
    </row>
    <row r="2161" spans="1:1" ht="12.75">
      <c r="A2161" s="2" t="s">
        <v>222</v>
      </c>
    </row>
    <row r="2162" spans="1:1" ht="12.75">
      <c r="A2162" s="2" t="s">
        <v>222</v>
      </c>
    </row>
    <row r="2163" spans="1:1" ht="12.75">
      <c r="A2163" s="2" t="s">
        <v>222</v>
      </c>
    </row>
    <row r="2164" spans="1:1" ht="12.75">
      <c r="A2164" s="2" t="s">
        <v>222</v>
      </c>
    </row>
    <row r="2165" spans="1:1" ht="12.75">
      <c r="A2165" s="2" t="s">
        <v>222</v>
      </c>
    </row>
    <row r="2166" spans="1:1" ht="12.75">
      <c r="A2166" s="2" t="s">
        <v>222</v>
      </c>
    </row>
    <row r="2167" spans="1:1" ht="12.75">
      <c r="A2167" s="2" t="s">
        <v>222</v>
      </c>
    </row>
    <row r="2168" spans="1:1" ht="12.75">
      <c r="A2168" s="2" t="s">
        <v>222</v>
      </c>
    </row>
    <row r="2169" spans="1:1" ht="12.75">
      <c r="A2169" s="2" t="s">
        <v>222</v>
      </c>
    </row>
    <row r="2170" spans="1:1" ht="12.75">
      <c r="A2170" s="2" t="s">
        <v>222</v>
      </c>
    </row>
    <row r="2171" spans="1:1" ht="12.75">
      <c r="A2171" s="2" t="s">
        <v>222</v>
      </c>
    </row>
    <row r="2172" spans="1:1" ht="12.75">
      <c r="A2172" s="2" t="s">
        <v>222</v>
      </c>
    </row>
    <row r="2173" spans="1:1" ht="12.75">
      <c r="A2173" s="2" t="s">
        <v>222</v>
      </c>
    </row>
    <row r="2174" spans="1:1" ht="12.75">
      <c r="A2174" s="2" t="s">
        <v>222</v>
      </c>
    </row>
    <row r="2175" spans="1:1" ht="12.75">
      <c r="A2175" s="2" t="s">
        <v>222</v>
      </c>
    </row>
    <row r="2176" spans="1:1" ht="12.75">
      <c r="A2176" s="2" t="s">
        <v>222</v>
      </c>
    </row>
    <row r="2177" spans="1:1" ht="12.75">
      <c r="A2177" s="2" t="s">
        <v>222</v>
      </c>
    </row>
    <row r="2178" spans="1:1" ht="12.75">
      <c r="A2178" s="2" t="s">
        <v>222</v>
      </c>
    </row>
    <row r="2179" spans="1:1" ht="12.75">
      <c r="A2179" s="2" t="s">
        <v>222</v>
      </c>
    </row>
    <row r="2180" spans="1:1" ht="12.75">
      <c r="A2180" s="2" t="s">
        <v>222</v>
      </c>
    </row>
    <row r="2181" spans="1:1" ht="12.75">
      <c r="A2181" s="2" t="s">
        <v>222</v>
      </c>
    </row>
    <row r="2182" spans="1:1" ht="12.75">
      <c r="A2182" s="2" t="s">
        <v>222</v>
      </c>
    </row>
    <row r="2183" spans="1:1" ht="12.75">
      <c r="A2183" s="2" t="s">
        <v>222</v>
      </c>
    </row>
    <row r="2184" spans="1:1" ht="12.75">
      <c r="A2184" s="2" t="s">
        <v>222</v>
      </c>
    </row>
    <row r="2185" spans="1:1" ht="12.75">
      <c r="A2185" s="2" t="s">
        <v>222</v>
      </c>
    </row>
    <row r="2186" spans="1:1" ht="12.75">
      <c r="A2186" s="2" t="s">
        <v>222</v>
      </c>
    </row>
    <row r="2187" spans="1:1" ht="12.75">
      <c r="A2187" s="2" t="s">
        <v>222</v>
      </c>
    </row>
    <row r="2188" spans="1:1" ht="12.75">
      <c r="A2188" s="2" t="s">
        <v>222</v>
      </c>
    </row>
    <row r="2189" spans="1:1" ht="12.75">
      <c r="A2189" s="2" t="s">
        <v>222</v>
      </c>
    </row>
    <row r="2190" spans="1:1" ht="12.75">
      <c r="A2190" s="2" t="s">
        <v>222</v>
      </c>
    </row>
    <row r="2191" spans="1:1" ht="12.75">
      <c r="A2191" s="2" t="s">
        <v>222</v>
      </c>
    </row>
    <row r="2192" spans="1:1" ht="12.75">
      <c r="A2192" s="2" t="s">
        <v>222</v>
      </c>
    </row>
    <row r="2193" spans="1:1" ht="12.75">
      <c r="A2193" s="2" t="s">
        <v>222</v>
      </c>
    </row>
    <row r="2194" spans="1:1" ht="12.75">
      <c r="A2194" s="2" t="s">
        <v>222</v>
      </c>
    </row>
    <row r="2195" spans="1:1" ht="12.75">
      <c r="A2195" s="2" t="s">
        <v>222</v>
      </c>
    </row>
    <row r="2196" spans="1:1" ht="12.75">
      <c r="A2196" s="2" t="s">
        <v>222</v>
      </c>
    </row>
    <row r="2197" spans="1:1" ht="12.75">
      <c r="A2197" s="2" t="s">
        <v>222</v>
      </c>
    </row>
    <row r="2198" spans="1:1" ht="12.75">
      <c r="A2198" s="2" t="s">
        <v>222</v>
      </c>
    </row>
    <row r="2199" spans="1:1" ht="12.75">
      <c r="A2199" s="2" t="s">
        <v>222</v>
      </c>
    </row>
    <row r="2200" spans="1:1" ht="12.75">
      <c r="A2200" s="2" t="s">
        <v>222</v>
      </c>
    </row>
    <row r="2201" spans="1:1" ht="12.75">
      <c r="A2201" s="2" t="s">
        <v>222</v>
      </c>
    </row>
    <row r="2202" spans="1:1" ht="12.75">
      <c r="A2202" s="2" t="s">
        <v>222</v>
      </c>
    </row>
    <row r="2203" spans="1:1" ht="12.75">
      <c r="A2203" s="2" t="s">
        <v>222</v>
      </c>
    </row>
    <row r="2204" spans="1:1" ht="12.75">
      <c r="A2204" s="2" t="s">
        <v>222</v>
      </c>
    </row>
    <row r="2205" spans="1:1" ht="12.75">
      <c r="A2205" s="2" t="s">
        <v>222</v>
      </c>
    </row>
    <row r="2206" spans="1:1" ht="12.75">
      <c r="A2206" s="2" t="s">
        <v>222</v>
      </c>
    </row>
    <row r="2207" spans="1:1" ht="12.75">
      <c r="A2207" s="2" t="s">
        <v>222</v>
      </c>
    </row>
    <row r="2208" spans="1:1" ht="12.75">
      <c r="A2208" s="2" t="s">
        <v>222</v>
      </c>
    </row>
    <row r="2209" spans="1:1" ht="12.75">
      <c r="A2209" s="2" t="s">
        <v>222</v>
      </c>
    </row>
    <row r="2210" spans="1:1" ht="12.75">
      <c r="A2210" s="2" t="s">
        <v>222</v>
      </c>
    </row>
    <row r="2211" spans="1:1" ht="12.75">
      <c r="A2211" s="2" t="s">
        <v>222</v>
      </c>
    </row>
    <row r="2212" spans="1:1" ht="12.75">
      <c r="A2212" s="2" t="s">
        <v>222</v>
      </c>
    </row>
    <row r="2213" spans="1:1" ht="12.75">
      <c r="A2213" s="2" t="s">
        <v>222</v>
      </c>
    </row>
    <row r="2214" spans="1:1" ht="12.75">
      <c r="A2214" s="2" t="s">
        <v>222</v>
      </c>
    </row>
    <row r="2215" spans="1:1" ht="12.75">
      <c r="A2215" s="2" t="s">
        <v>222</v>
      </c>
    </row>
    <row r="2216" spans="1:1" ht="12.75">
      <c r="A2216" s="2" t="s">
        <v>222</v>
      </c>
    </row>
    <row r="2217" spans="1:1" ht="12.75">
      <c r="A2217" s="2" t="s">
        <v>222</v>
      </c>
    </row>
    <row r="2218" spans="1:1" ht="12.75">
      <c r="A2218" s="2" t="s">
        <v>222</v>
      </c>
    </row>
    <row r="2219" spans="1:1" ht="12.75">
      <c r="A2219" s="2" t="s">
        <v>222</v>
      </c>
    </row>
    <row r="2220" spans="1:1" ht="12.75">
      <c r="A2220" s="2" t="s">
        <v>222</v>
      </c>
    </row>
    <row r="2221" spans="1:1" ht="12.75">
      <c r="A2221" s="2" t="s">
        <v>277</v>
      </c>
    </row>
    <row r="2222" spans="1:1" ht="12.75">
      <c r="A2222" s="2" t="s">
        <v>277</v>
      </c>
    </row>
    <row r="2223" spans="1:1" ht="12.75">
      <c r="A2223" s="2" t="s">
        <v>278</v>
      </c>
    </row>
    <row r="2224" spans="1:1" ht="12.75">
      <c r="A2224" s="2" t="s">
        <v>278</v>
      </c>
    </row>
    <row r="2225" spans="1:1" ht="12.75">
      <c r="A2225" s="2" t="s">
        <v>278</v>
      </c>
    </row>
    <row r="2226" spans="1:1" ht="12.75">
      <c r="A2226" s="2" t="s">
        <v>278</v>
      </c>
    </row>
    <row r="2227" spans="1:1" ht="12.75">
      <c r="A2227" s="2" t="s">
        <v>277</v>
      </c>
    </row>
    <row r="2228" spans="1:1" ht="12.75">
      <c r="A2228" s="2" t="s">
        <v>277</v>
      </c>
    </row>
    <row r="2229" spans="1:1" ht="12.75">
      <c r="A2229" s="2" t="s">
        <v>270</v>
      </c>
    </row>
    <row r="2230" spans="1:1" ht="12.75">
      <c r="A2230" s="2" t="s">
        <v>270</v>
      </c>
    </row>
    <row r="2231" spans="1:1" ht="12.75">
      <c r="A2231" s="2" t="s">
        <v>268</v>
      </c>
    </row>
    <row r="2232" spans="1:1" ht="12.75">
      <c r="A2232" s="2" t="s">
        <v>268</v>
      </c>
    </row>
    <row r="2233" spans="1:1" ht="12.75">
      <c r="A2233" s="2" t="s">
        <v>268</v>
      </c>
    </row>
    <row r="2234" spans="1:1" ht="12.75">
      <c r="A2234" s="2" t="s">
        <v>271</v>
      </c>
    </row>
    <row r="2235" spans="1:1" ht="12.75">
      <c r="A2235" s="2" t="s">
        <v>270</v>
      </c>
    </row>
    <row r="2236" spans="1:1" ht="12.75">
      <c r="A2236" s="2" t="s">
        <v>270</v>
      </c>
    </row>
    <row r="2237" spans="1:1" ht="12.75">
      <c r="A2237" s="2" t="s">
        <v>271</v>
      </c>
    </row>
    <row r="2238" spans="1:1" ht="12.75">
      <c r="A2238" s="2" t="s">
        <v>272</v>
      </c>
    </row>
    <row r="2239" spans="1:1" ht="12.75">
      <c r="A2239" s="2" t="s">
        <v>268</v>
      </c>
    </row>
    <row r="2240" spans="1:1" ht="12.75">
      <c r="A2240" s="2" t="s">
        <v>273</v>
      </c>
    </row>
    <row r="2241" spans="1:1" ht="12.75">
      <c r="A2241" s="2" t="s">
        <v>270</v>
      </c>
    </row>
    <row r="2242" spans="1:1" ht="12.75">
      <c r="A2242" s="2" t="s">
        <v>272</v>
      </c>
    </row>
    <row r="2243" spans="1:1" ht="12.75">
      <c r="A2243" s="2" t="s">
        <v>271</v>
      </c>
    </row>
    <row r="2244" spans="1:1" ht="12.75">
      <c r="A2244" s="2" t="s">
        <v>271</v>
      </c>
    </row>
    <row r="2245" spans="1:1" ht="12.75">
      <c r="A2245" s="2" t="s">
        <v>269</v>
      </c>
    </row>
    <row r="2246" spans="1:1" ht="12.75">
      <c r="A2246" s="2" t="s">
        <v>268</v>
      </c>
    </row>
    <row r="2247" spans="1:1" ht="12.75">
      <c r="A2247" s="2" t="s">
        <v>268</v>
      </c>
    </row>
    <row r="2248" spans="1:1" ht="12.75">
      <c r="A2248" s="2" t="s">
        <v>270</v>
      </c>
    </row>
    <row r="2249" spans="1:1" ht="12.75">
      <c r="A2249" s="2" t="s">
        <v>273</v>
      </c>
    </row>
    <row r="2250" spans="1:1" ht="12.75">
      <c r="A2250" s="2" t="s">
        <v>269</v>
      </c>
    </row>
    <row r="2251" spans="1:1" ht="12.75">
      <c r="A2251" s="2" t="s">
        <v>273</v>
      </c>
    </row>
    <row r="2252" spans="1:1" ht="12.75">
      <c r="A2252" s="2" t="s">
        <v>270</v>
      </c>
    </row>
    <row r="2253" spans="1:1" ht="12.75">
      <c r="A2253" s="2" t="s">
        <v>268</v>
      </c>
    </row>
    <row r="2254" spans="1:1" ht="12.75">
      <c r="A2254" s="2" t="s">
        <v>268</v>
      </c>
    </row>
    <row r="2255" spans="1:1" ht="12.75">
      <c r="A2255" s="2" t="s">
        <v>272</v>
      </c>
    </row>
    <row r="2256" spans="1:1" ht="12.75">
      <c r="A2256" s="2" t="s">
        <v>272</v>
      </c>
    </row>
    <row r="2257" spans="1:1" ht="12.75">
      <c r="A2257" s="2" t="s">
        <v>269</v>
      </c>
    </row>
    <row r="2258" spans="1:1" ht="12.75">
      <c r="A2258" s="2" t="s">
        <v>269</v>
      </c>
    </row>
    <row r="2259" spans="1:1" ht="12.75">
      <c r="A2259" s="2" t="s">
        <v>271</v>
      </c>
    </row>
    <row r="2260" spans="1:1" ht="12.75">
      <c r="A2260" s="2" t="s">
        <v>271</v>
      </c>
    </row>
    <row r="2261" spans="1:1" ht="12.75">
      <c r="A2261" s="2" t="s">
        <v>272</v>
      </c>
    </row>
    <row r="2262" spans="1:1" ht="12.75">
      <c r="A2262" s="2" t="s">
        <v>272</v>
      </c>
    </row>
    <row r="2263" spans="1:1" ht="12.75">
      <c r="A2263" s="2" t="s">
        <v>273</v>
      </c>
    </row>
    <row r="2264" spans="1:1" ht="12.75">
      <c r="A2264" s="2" t="s">
        <v>273</v>
      </c>
    </row>
    <row r="2265" spans="1:1" ht="12.75">
      <c r="A2265" s="2" t="s">
        <v>269</v>
      </c>
    </row>
    <row r="2266" spans="1:1" ht="12.75">
      <c r="A2266" s="2" t="s">
        <v>269</v>
      </c>
    </row>
    <row r="2268" spans="1:1" ht="12.75">
      <c r="A2268" s="2" t="s">
        <v>272</v>
      </c>
    </row>
    <row r="2269" spans="1:1" ht="12.75">
      <c r="A2269" s="2" t="s">
        <v>270</v>
      </c>
    </row>
    <row r="2270" spans="1:1" ht="12.75">
      <c r="A2270" s="2" t="s">
        <v>272</v>
      </c>
    </row>
    <row r="2271" spans="1:1" ht="12.75">
      <c r="A2271" s="2" t="s">
        <v>271</v>
      </c>
    </row>
    <row r="2272" spans="1:1" ht="12.75">
      <c r="A2272" s="2" t="s">
        <v>269</v>
      </c>
    </row>
    <row r="2273" spans="1:1" ht="12.75">
      <c r="A2273" s="2" t="s">
        <v>269</v>
      </c>
    </row>
    <row r="2274" spans="1:1" ht="12.75">
      <c r="A2274" s="2" t="s">
        <v>268</v>
      </c>
    </row>
    <row r="2275" spans="1:1" ht="12.75">
      <c r="A2275" s="2" t="s">
        <v>268</v>
      </c>
    </row>
    <row r="2276" spans="1:1" ht="12.75">
      <c r="A2276" s="2" t="s">
        <v>273</v>
      </c>
    </row>
    <row r="2277" spans="1:1" ht="12.75">
      <c r="A2277" s="2" t="s">
        <v>271</v>
      </c>
    </row>
    <row r="2278" spans="1:1" ht="12.75">
      <c r="A2278" s="2" t="s">
        <v>271</v>
      </c>
    </row>
    <row r="2279" spans="1:1" ht="12.75">
      <c r="A2279" s="2" t="s">
        <v>272</v>
      </c>
    </row>
    <row r="2280" spans="1:1" ht="12.75">
      <c r="A2280" s="2" t="s">
        <v>268</v>
      </c>
    </row>
    <row r="2281" spans="1:1" ht="12.75">
      <c r="A2281" s="2" t="s">
        <v>273</v>
      </c>
    </row>
    <row r="2282" spans="1:1" ht="12.75">
      <c r="A2282" s="2" t="s">
        <v>272</v>
      </c>
    </row>
    <row r="2283" spans="1:1" ht="12.75">
      <c r="A2283" s="2" t="s">
        <v>272</v>
      </c>
    </row>
    <row r="2284" spans="1:1" ht="12.75">
      <c r="A2284" s="2" t="s">
        <v>273</v>
      </c>
    </row>
    <row r="2285" spans="1:1" ht="12.75">
      <c r="A2285" s="2" t="s">
        <v>269</v>
      </c>
    </row>
    <row r="2286" spans="1:1" ht="12.75">
      <c r="A2286" s="2" t="s">
        <v>271</v>
      </c>
    </row>
    <row r="2287" spans="1:1" ht="12.75">
      <c r="A2287" s="2" t="s">
        <v>268</v>
      </c>
    </row>
    <row r="2288" spans="1:1" ht="12.75">
      <c r="A2288" s="2" t="s">
        <v>268</v>
      </c>
    </row>
    <row r="2289" spans="1:1" ht="12.75">
      <c r="A2289" s="2" t="s">
        <v>273</v>
      </c>
    </row>
    <row r="2290" spans="1:1" ht="12.75">
      <c r="A2290" s="2" t="s">
        <v>270</v>
      </c>
    </row>
    <row r="2291" spans="1:1" ht="12.75">
      <c r="A2291" s="2" t="s">
        <v>269</v>
      </c>
    </row>
    <row r="2292" spans="1:1" ht="12.75">
      <c r="A2292" s="2" t="s">
        <v>269</v>
      </c>
    </row>
    <row r="2293" spans="1:1" ht="12.75">
      <c r="A2293" s="2" t="s">
        <v>269</v>
      </c>
    </row>
    <row r="2294" spans="1:1" ht="12.75">
      <c r="A2294" s="2" t="s">
        <v>269</v>
      </c>
    </row>
    <row r="2295" spans="1:1" ht="12.75">
      <c r="A2295" s="2" t="s">
        <v>273</v>
      </c>
    </row>
    <row r="2296" spans="1:1" ht="12.75">
      <c r="A2296" s="2" t="s">
        <v>273</v>
      </c>
    </row>
    <row r="2297" spans="1:1" ht="12.75">
      <c r="A2297" s="2" t="s">
        <v>268</v>
      </c>
    </row>
    <row r="2298" spans="1:1" ht="12.75">
      <c r="A2298" s="2" t="s">
        <v>268</v>
      </c>
    </row>
    <row r="2299" spans="1:1" ht="12.75">
      <c r="A2299" s="2" t="s">
        <v>272</v>
      </c>
    </row>
    <row r="2300" spans="1:1" ht="12.75">
      <c r="A2300" s="2" t="s">
        <v>272</v>
      </c>
    </row>
    <row r="2301" spans="1:1" ht="12.75">
      <c r="A2301" s="2" t="s">
        <v>270</v>
      </c>
    </row>
    <row r="2302" spans="1:1" ht="12.75">
      <c r="A2302" s="2" t="s">
        <v>270</v>
      </c>
    </row>
    <row r="2303" spans="1:1" ht="12.75">
      <c r="A2303" s="2" t="s">
        <v>271</v>
      </c>
    </row>
    <row r="2304" spans="1:1" ht="12.75">
      <c r="A2304" s="2" t="s">
        <v>273</v>
      </c>
    </row>
    <row r="2305" spans="1:1" ht="12.75">
      <c r="A2305" s="2" t="s">
        <v>273</v>
      </c>
    </row>
    <row r="2306" spans="1:1" ht="12.75">
      <c r="A2306" s="2" t="s">
        <v>269</v>
      </c>
    </row>
    <row r="2307" spans="1:1" ht="12.75">
      <c r="A2307" s="2" t="s">
        <v>271</v>
      </c>
    </row>
    <row r="2308" spans="1:1" ht="12.75">
      <c r="A2308" s="2" t="s">
        <v>269</v>
      </c>
    </row>
    <row r="2309" spans="1:1" ht="12.75">
      <c r="A2309" s="2" t="s">
        <v>271</v>
      </c>
    </row>
    <row r="2310" spans="1:1" ht="12.75">
      <c r="A2310" s="2" t="s">
        <v>273</v>
      </c>
    </row>
    <row r="2311" spans="1:1" ht="12.75">
      <c r="A2311" s="2" t="s">
        <v>268</v>
      </c>
    </row>
    <row r="2312" spans="1:1" ht="12.75">
      <c r="A2312" s="2" t="s">
        <v>272</v>
      </c>
    </row>
    <row r="2313" spans="1:1" ht="12.75">
      <c r="A2313" s="2" t="s">
        <v>271</v>
      </c>
    </row>
    <row r="2314" spans="1:1" ht="12.75">
      <c r="A2314" s="2" t="s">
        <v>270</v>
      </c>
    </row>
    <row r="2315" spans="1:1" ht="12.75">
      <c r="A2315" s="2" t="s">
        <v>270</v>
      </c>
    </row>
    <row r="2316" spans="1:1" ht="12.75">
      <c r="A2316" s="2" t="s">
        <v>269</v>
      </c>
    </row>
    <row r="2317" spans="1:1" ht="12.75">
      <c r="A2317" s="2" t="s">
        <v>272</v>
      </c>
    </row>
    <row r="2318" spans="1:1" ht="12.75">
      <c r="A2318" s="2" t="s">
        <v>270</v>
      </c>
    </row>
    <row r="2319" spans="1:1" ht="12.75">
      <c r="A2319" s="2" t="s">
        <v>269</v>
      </c>
    </row>
    <row r="2320" spans="1:1" ht="12.75">
      <c r="A2320" s="2" t="s">
        <v>268</v>
      </c>
    </row>
    <row r="2321" spans="1:1" ht="12.75">
      <c r="A2321" s="2" t="s">
        <v>269</v>
      </c>
    </row>
    <row r="2322" spans="1:1" ht="12.75">
      <c r="A2322" s="2" t="s">
        <v>269</v>
      </c>
    </row>
    <row r="2323" spans="1:1" ht="12.75">
      <c r="A2323" s="2" t="s">
        <v>269</v>
      </c>
    </row>
    <row r="2324" spans="1:1" ht="12.75">
      <c r="A2324" s="2" t="s">
        <v>269</v>
      </c>
    </row>
    <row r="2325" spans="1:1" ht="12.75">
      <c r="A2325" s="2" t="s">
        <v>273</v>
      </c>
    </row>
    <row r="2326" spans="1:1" ht="12.75">
      <c r="A2326" s="2" t="s">
        <v>272</v>
      </c>
    </row>
    <row r="2327" spans="1:1" ht="12.75">
      <c r="A2327" s="2" t="s">
        <v>272</v>
      </c>
    </row>
    <row r="2328" spans="1:1" ht="12.75">
      <c r="A2328" s="2" t="s">
        <v>268</v>
      </c>
    </row>
    <row r="2329" spans="1:1" ht="12.75">
      <c r="A2329" s="2" t="s">
        <v>268</v>
      </c>
    </row>
    <row r="2330" spans="1:1" ht="12.75">
      <c r="A2330" s="2" t="s">
        <v>269</v>
      </c>
    </row>
    <row r="2331" spans="1:1" ht="12.75">
      <c r="A2331" s="2" t="s">
        <v>269</v>
      </c>
    </row>
    <row r="2332" spans="1:1" ht="12.75">
      <c r="A2332" s="2" t="s">
        <v>268</v>
      </c>
    </row>
    <row r="2333" spans="1:1" ht="12.75">
      <c r="A2333" s="2" t="s">
        <v>268</v>
      </c>
    </row>
    <row r="2334" spans="1:1" ht="12.75">
      <c r="A2334" s="2" t="s">
        <v>273</v>
      </c>
    </row>
    <row r="2335" spans="1:1" ht="12.75">
      <c r="A2335" s="2" t="s">
        <v>270</v>
      </c>
    </row>
    <row r="2336" spans="1:1" ht="12.75">
      <c r="A2336" s="2" t="s">
        <v>271</v>
      </c>
    </row>
    <row r="2337" spans="1:1" ht="12.75">
      <c r="A2337" s="2" t="s">
        <v>272</v>
      </c>
    </row>
    <row r="2338" spans="1:1" ht="12.75">
      <c r="A2338" s="2" t="s">
        <v>272</v>
      </c>
    </row>
    <row r="2339" spans="1:1" ht="12.75">
      <c r="A2339" s="2" t="s">
        <v>268</v>
      </c>
    </row>
    <row r="2340" spans="1:1" ht="12.75">
      <c r="A2340" s="2" t="s">
        <v>271</v>
      </c>
    </row>
    <row r="2341" spans="1:1" ht="12.75">
      <c r="A2341" s="2" t="s">
        <v>270</v>
      </c>
    </row>
    <row r="2342" spans="1:1" ht="12.75">
      <c r="A2342" s="2" t="s">
        <v>271</v>
      </c>
    </row>
    <row r="2343" spans="1:1" ht="12.75">
      <c r="A2343" s="2" t="s">
        <v>268</v>
      </c>
    </row>
    <row r="2344" spans="1:1" ht="12.75">
      <c r="A2344" s="2" t="s">
        <v>270</v>
      </c>
    </row>
    <row r="2345" spans="1:1" ht="12.75">
      <c r="A2345" s="2" t="s">
        <v>271</v>
      </c>
    </row>
    <row r="2346" spans="1:1" ht="12.75">
      <c r="A2346" s="2" t="s">
        <v>273</v>
      </c>
    </row>
    <row r="2347" spans="1:1" ht="12.75">
      <c r="A2347" s="2" t="s">
        <v>269</v>
      </c>
    </row>
    <row r="2348" spans="1:1" ht="12.75">
      <c r="A2348" s="2" t="s">
        <v>269</v>
      </c>
    </row>
    <row r="2349" spans="1:1" ht="12.75">
      <c r="A2349" s="2" t="s">
        <v>273</v>
      </c>
    </row>
    <row r="2350" spans="1:1" ht="12.75">
      <c r="A2350" s="2" t="s">
        <v>273</v>
      </c>
    </row>
    <row r="2351" spans="1:1" ht="12.75">
      <c r="A2351" s="2" t="s">
        <v>272</v>
      </c>
    </row>
    <row r="2352" spans="1:1" ht="12.75">
      <c r="A2352" s="2" t="s">
        <v>270</v>
      </c>
    </row>
    <row r="2353" spans="1:1" ht="12.75">
      <c r="A2353" s="2" t="s">
        <v>273</v>
      </c>
    </row>
    <row r="2354" spans="1:1" ht="12.75">
      <c r="A2354" s="2" t="s">
        <v>273</v>
      </c>
    </row>
    <row r="2355" spans="1:1" ht="12.75">
      <c r="A2355" s="2" t="s">
        <v>269</v>
      </c>
    </row>
    <row r="2356" spans="1:1" ht="12.75">
      <c r="A2356" s="2" t="s">
        <v>269</v>
      </c>
    </row>
    <row r="2357" spans="1:1" ht="12.75">
      <c r="A2357" s="2" t="s">
        <v>268</v>
      </c>
    </row>
    <row r="2358" spans="1:1" ht="12.75">
      <c r="A2358" s="2" t="s">
        <v>268</v>
      </c>
    </row>
    <row r="2359" spans="1:1" ht="12.75">
      <c r="A2359" s="2" t="s">
        <v>268</v>
      </c>
    </row>
    <row r="2361" spans="1:1" ht="12.75">
      <c r="A2361" s="2" t="s">
        <v>272</v>
      </c>
    </row>
    <row r="2362" spans="1:1" ht="12.75">
      <c r="A2362" s="2" t="s">
        <v>272</v>
      </c>
    </row>
    <row r="2363" spans="1:1" ht="12.75">
      <c r="A2363" s="2" t="s">
        <v>272</v>
      </c>
    </row>
    <row r="2364" spans="1:1" ht="12.75">
      <c r="A2364" s="2" t="s">
        <v>272</v>
      </c>
    </row>
    <row r="2365" spans="1:1" ht="12.75">
      <c r="A2365" s="2" t="s">
        <v>273</v>
      </c>
    </row>
    <row r="2366" spans="1:1" ht="12.75">
      <c r="A2366" s="2" t="s">
        <v>273</v>
      </c>
    </row>
    <row r="2367" spans="1:1" ht="12.75">
      <c r="A2367" s="2" t="s">
        <v>271</v>
      </c>
    </row>
    <row r="2368" spans="1:1" ht="12.75">
      <c r="A2368" s="2" t="s">
        <v>269</v>
      </c>
    </row>
    <row r="2369" spans="1:1" ht="12.75">
      <c r="A2369" s="2" t="s">
        <v>269</v>
      </c>
    </row>
    <row r="2370" spans="1:1" ht="12.75">
      <c r="A2370" s="2" t="s">
        <v>268</v>
      </c>
    </row>
    <row r="2371" spans="1:1" ht="12.75">
      <c r="A2371" s="2" t="s">
        <v>272</v>
      </c>
    </row>
    <row r="2372" spans="1:1" ht="12.75">
      <c r="A2372" s="2" t="s">
        <v>271</v>
      </c>
    </row>
    <row r="2373" spans="1:1" ht="12.75">
      <c r="A2373" s="2" t="s">
        <v>268</v>
      </c>
    </row>
    <row r="2374" spans="1:1" ht="12.75">
      <c r="A2374" s="2" t="s">
        <v>269</v>
      </c>
    </row>
    <row r="2375" spans="1:1" ht="12.75">
      <c r="A2375" s="2" t="s">
        <v>268</v>
      </c>
    </row>
    <row r="2376" spans="1:1" ht="12.75">
      <c r="A2376" s="2" t="s">
        <v>272</v>
      </c>
    </row>
    <row r="2377" spans="1:1" ht="12.75">
      <c r="A2377" s="2" t="s">
        <v>273</v>
      </c>
    </row>
    <row r="2378" spans="1:1" ht="12.75">
      <c r="A2378" s="2" t="s">
        <v>270</v>
      </c>
    </row>
    <row r="2379" spans="1:1" ht="12.75">
      <c r="A2379" s="2" t="s">
        <v>273</v>
      </c>
    </row>
    <row r="2380" spans="1:1" ht="12.75">
      <c r="A2380" s="2" t="s">
        <v>273</v>
      </c>
    </row>
    <row r="2381" spans="1:1" ht="12.75">
      <c r="A2381" s="2" t="s">
        <v>270</v>
      </c>
    </row>
    <row r="2382" spans="1:1" ht="12.75">
      <c r="A2382" s="2" t="s">
        <v>270</v>
      </c>
    </row>
    <row r="2383" spans="1:1" ht="12.75">
      <c r="A2383" s="2" t="s">
        <v>270</v>
      </c>
    </row>
    <row r="2384" spans="1:1" ht="12.75">
      <c r="A2384" s="2" t="s">
        <v>270</v>
      </c>
    </row>
    <row r="2385" spans="1:1" ht="12.75">
      <c r="A2385" s="2" t="s">
        <v>268</v>
      </c>
    </row>
    <row r="2386" spans="1:1" ht="12.75">
      <c r="A2386" s="2" t="s">
        <v>268</v>
      </c>
    </row>
    <row r="2387" spans="1:1" ht="12.75">
      <c r="A2387" s="2" t="s">
        <v>272</v>
      </c>
    </row>
    <row r="2388" spans="1:1" ht="12.75">
      <c r="A2388" s="2" t="s">
        <v>272</v>
      </c>
    </row>
    <row r="2389" spans="1:1" ht="12.75">
      <c r="A2389" s="2" t="s">
        <v>269</v>
      </c>
    </row>
    <row r="2390" spans="1:1" ht="12.75">
      <c r="A2390" s="2" t="s">
        <v>269</v>
      </c>
    </row>
    <row r="2391" spans="1:1" ht="12.75">
      <c r="A2391" s="2" t="s">
        <v>270</v>
      </c>
    </row>
    <row r="2392" spans="1:1" ht="12.75">
      <c r="A2392" s="2" t="s">
        <v>271</v>
      </c>
    </row>
    <row r="2393" spans="1:1" ht="12.75">
      <c r="A2393" s="2" t="s">
        <v>271</v>
      </c>
    </row>
    <row r="2394" spans="1:1" ht="12.75">
      <c r="A2394" s="2" t="s">
        <v>271</v>
      </c>
    </row>
    <row r="2395" spans="1:1" ht="12.75">
      <c r="A2395" s="2" t="s">
        <v>273</v>
      </c>
    </row>
    <row r="2396" spans="1:1" ht="12.75">
      <c r="A2396" s="2" t="s">
        <v>270</v>
      </c>
    </row>
    <row r="2397" spans="1:1" ht="12.75">
      <c r="A2397" s="2" t="s">
        <v>268</v>
      </c>
    </row>
    <row r="2398" spans="1:1" ht="12.75">
      <c r="A2398" s="2" t="s">
        <v>268</v>
      </c>
    </row>
    <row r="2399" spans="1:1" ht="12.75">
      <c r="A2399" s="2" t="s">
        <v>269</v>
      </c>
    </row>
    <row r="2400" spans="1:1" ht="12.75">
      <c r="A2400" s="2" t="s">
        <v>272</v>
      </c>
    </row>
    <row r="2401" spans="1:1" ht="12.75">
      <c r="A2401" s="2" t="s">
        <v>269</v>
      </c>
    </row>
    <row r="2402" spans="1:1" ht="12.75">
      <c r="A2402" s="2" t="s">
        <v>269</v>
      </c>
    </row>
    <row r="2403" spans="1:1" ht="12.75">
      <c r="A2403" s="2" t="s">
        <v>272</v>
      </c>
    </row>
    <row r="2404" spans="1:1" ht="12.75">
      <c r="A2404" s="2" t="s">
        <v>269</v>
      </c>
    </row>
    <row r="2405" spans="1:1" ht="12.75">
      <c r="A2405" s="2" t="s">
        <v>270</v>
      </c>
    </row>
    <row r="2406" spans="1:1" ht="12.75">
      <c r="A2406" s="2" t="s">
        <v>270</v>
      </c>
    </row>
    <row r="2407" spans="1:1" ht="12.75">
      <c r="A2407" s="2" t="s">
        <v>268</v>
      </c>
    </row>
    <row r="2408" spans="1:1" ht="12.75">
      <c r="A2408" s="2" t="s">
        <v>270</v>
      </c>
    </row>
    <row r="2409" spans="1:1" ht="12.75">
      <c r="A2409" s="2" t="s">
        <v>268</v>
      </c>
    </row>
    <row r="2410" spans="1:1" ht="12.75">
      <c r="A2410" s="2" t="s">
        <v>269</v>
      </c>
    </row>
    <row r="2411" spans="1:1" ht="12.75">
      <c r="A2411" s="2" t="s">
        <v>271</v>
      </c>
    </row>
    <row r="2412" spans="1:1" ht="12.75">
      <c r="A2412" s="2" t="s">
        <v>269</v>
      </c>
    </row>
    <row r="2413" spans="1:1" ht="12.75">
      <c r="A2413" s="2" t="s">
        <v>273</v>
      </c>
    </row>
    <row r="2414" spans="1:1" ht="12.75">
      <c r="A2414" s="2" t="s">
        <v>268</v>
      </c>
    </row>
    <row r="2415" spans="1:1" ht="12.75">
      <c r="A2415" s="2" t="s">
        <v>272</v>
      </c>
    </row>
    <row r="2416" spans="1:1" ht="12.75">
      <c r="A2416" s="2" t="s">
        <v>271</v>
      </c>
    </row>
    <row r="2417" spans="1:1" ht="12.75">
      <c r="A2417" s="2" t="s">
        <v>272</v>
      </c>
    </row>
    <row r="2418" spans="1:1" ht="12.75">
      <c r="A2418" s="2" t="s">
        <v>273</v>
      </c>
    </row>
    <row r="2419" spans="1:1" ht="12.75">
      <c r="A2419" s="2" t="s">
        <v>271</v>
      </c>
    </row>
    <row r="2420" spans="1:1" ht="12.75">
      <c r="A2420" s="2" t="s">
        <v>273</v>
      </c>
    </row>
    <row r="2421" spans="1:1" ht="12.75">
      <c r="A2421" s="2" t="s">
        <v>270</v>
      </c>
    </row>
    <row r="2422" spans="1:1" ht="12.75">
      <c r="A2422" s="2" t="s">
        <v>271</v>
      </c>
    </row>
    <row r="2423" spans="1:1" ht="12.75">
      <c r="A2423" s="2" t="s">
        <v>273</v>
      </c>
    </row>
    <row r="2424" spans="1:1" ht="12.75">
      <c r="A2424" s="2" t="s">
        <v>268</v>
      </c>
    </row>
    <row r="2425" spans="1:1" ht="12.75">
      <c r="A2425" s="2" t="s">
        <v>273</v>
      </c>
    </row>
    <row r="2426" spans="1:1" ht="12.75">
      <c r="A2426" s="2" t="s">
        <v>268</v>
      </c>
    </row>
    <row r="2427" spans="1:1" ht="12.75">
      <c r="A2427" s="2" t="s">
        <v>269</v>
      </c>
    </row>
    <row r="2428" spans="1:1" ht="12.75">
      <c r="A2428" s="2" t="s">
        <v>268</v>
      </c>
    </row>
    <row r="2429" spans="1:1" ht="12.75">
      <c r="A2429" s="2" t="s">
        <v>269</v>
      </c>
    </row>
    <row r="2430" spans="1:1" ht="12.75">
      <c r="A2430" s="2" t="s">
        <v>270</v>
      </c>
    </row>
    <row r="2431" spans="1:1" ht="12.75">
      <c r="A2431" s="2" t="s">
        <v>269</v>
      </c>
    </row>
    <row r="2432" spans="1:1" ht="12.75">
      <c r="A2432" s="2" t="s">
        <v>270</v>
      </c>
    </row>
    <row r="2433" spans="1:1" ht="12.75">
      <c r="A2433" s="2" t="s">
        <v>270</v>
      </c>
    </row>
    <row r="2434" spans="1:1" ht="12.75">
      <c r="A2434" s="2" t="s">
        <v>273</v>
      </c>
    </row>
    <row r="2435" spans="1:1" ht="12.75">
      <c r="A2435" s="2" t="s">
        <v>271</v>
      </c>
    </row>
    <row r="2436" spans="1:1" ht="12.75">
      <c r="A2436" s="2" t="s">
        <v>269</v>
      </c>
    </row>
    <row r="2437" spans="1:1" ht="12.75">
      <c r="A2437" s="2" t="s">
        <v>268</v>
      </c>
    </row>
    <row r="2438" spans="1:1" ht="12.75">
      <c r="A2438" s="2" t="s">
        <v>272</v>
      </c>
    </row>
    <row r="2439" spans="1:1" ht="12.75">
      <c r="A2439" s="2" t="s">
        <v>268</v>
      </c>
    </row>
    <row r="2440" spans="1:1" ht="12.75">
      <c r="A2440" s="2" t="s">
        <v>268</v>
      </c>
    </row>
    <row r="2441" spans="1:1" ht="12.75">
      <c r="A2441" s="2" t="s">
        <v>272</v>
      </c>
    </row>
    <row r="2442" spans="1:1" ht="12.75">
      <c r="A2442" s="2" t="s">
        <v>272</v>
      </c>
    </row>
    <row r="2443" spans="1:1" ht="12.75">
      <c r="A2443" s="2" t="s">
        <v>273</v>
      </c>
    </row>
    <row r="2444" spans="1:1" ht="12.75">
      <c r="A2444" s="2" t="s">
        <v>273</v>
      </c>
    </row>
    <row r="2445" spans="1:1" ht="12.75">
      <c r="A2445" s="2" t="s">
        <v>269</v>
      </c>
    </row>
    <row r="2446" spans="1:1" ht="12.75">
      <c r="A2446" s="2" t="s">
        <v>268</v>
      </c>
    </row>
    <row r="2447" spans="1:1" ht="12.75">
      <c r="A2447" s="2" t="s">
        <v>268</v>
      </c>
    </row>
    <row r="2448" spans="1:1" ht="12.75">
      <c r="A2448" s="2" t="s">
        <v>273</v>
      </c>
    </row>
    <row r="2449" spans="1:1" ht="12.75">
      <c r="A2449" s="2" t="s">
        <v>272</v>
      </c>
    </row>
    <row r="2450" spans="1:1" ht="12.75">
      <c r="A2450" s="2" t="s">
        <v>270</v>
      </c>
    </row>
    <row r="2451" spans="1:1" ht="12.75">
      <c r="A2451" s="2" t="s">
        <v>270</v>
      </c>
    </row>
    <row r="2452" spans="1:1" ht="12.75">
      <c r="A2452" s="2" t="s">
        <v>271</v>
      </c>
    </row>
    <row r="2453" spans="1:1" ht="12.75">
      <c r="A2453" s="2" t="s">
        <v>273</v>
      </c>
    </row>
    <row r="2454" spans="1:1" ht="12.75">
      <c r="A2454" s="2" t="s">
        <v>269</v>
      </c>
    </row>
    <row r="2455" spans="1:1" ht="12.75">
      <c r="A2455" s="2" t="s">
        <v>271</v>
      </c>
    </row>
    <row r="2456" spans="1:1" ht="12.75">
      <c r="A2456" s="2" t="s">
        <v>269</v>
      </c>
    </row>
    <row r="2457" spans="1:1" ht="12.75">
      <c r="A2457" s="2" t="s">
        <v>270</v>
      </c>
    </row>
    <row r="2458" spans="1:1" ht="12.75">
      <c r="A2458" s="2" t="s">
        <v>270</v>
      </c>
    </row>
    <row r="2459" spans="1:1" ht="12.75">
      <c r="A2459" s="2" t="s">
        <v>269</v>
      </c>
    </row>
    <row r="2460" spans="1:1" ht="12.75">
      <c r="A2460" s="2" t="s">
        <v>270</v>
      </c>
    </row>
    <row r="2461" spans="1:1" ht="12.75">
      <c r="A2461" s="2" t="s">
        <v>270</v>
      </c>
    </row>
    <row r="2462" spans="1:1" ht="12.75">
      <c r="A2462" s="2" t="s">
        <v>268</v>
      </c>
    </row>
    <row r="2463" spans="1:1" ht="12.75">
      <c r="A2463" s="2" t="s">
        <v>269</v>
      </c>
    </row>
    <row r="2464" spans="1:1" ht="12.75">
      <c r="A2464" s="2" t="s">
        <v>269</v>
      </c>
    </row>
    <row r="2465" spans="1:1" ht="12.75">
      <c r="A2465" s="2" t="s">
        <v>268</v>
      </c>
    </row>
    <row r="2466" spans="1:1" ht="12.75">
      <c r="A2466" s="2" t="s">
        <v>272</v>
      </c>
    </row>
    <row r="2467" spans="1:1" ht="12.75">
      <c r="A2467" s="2" t="s">
        <v>272</v>
      </c>
    </row>
    <row r="2468" spans="1:1" ht="12.75">
      <c r="A2468" s="2" t="s">
        <v>272</v>
      </c>
    </row>
    <row r="2469" spans="1:1" ht="12.75">
      <c r="A2469" s="2" t="s">
        <v>272</v>
      </c>
    </row>
    <row r="2470" spans="1:1" ht="12.75">
      <c r="A2470" s="2" t="s">
        <v>271</v>
      </c>
    </row>
    <row r="2471" spans="1:1" ht="12.75">
      <c r="A2471" s="2" t="s">
        <v>273</v>
      </c>
    </row>
    <row r="2472" spans="1:1" ht="12.75">
      <c r="A2472" s="2" t="s">
        <v>273</v>
      </c>
    </row>
    <row r="2473" spans="1:1" ht="12.75">
      <c r="A2473" s="2" t="s">
        <v>273</v>
      </c>
    </row>
    <row r="2474" spans="1:1" ht="12.75">
      <c r="A2474" s="2" t="s">
        <v>272</v>
      </c>
    </row>
    <row r="2475" spans="1:1" ht="12.75">
      <c r="A2475" s="2" t="s">
        <v>272</v>
      </c>
    </row>
    <row r="2476" spans="1:1" ht="12.75">
      <c r="A2476" s="2" t="s">
        <v>270</v>
      </c>
    </row>
    <row r="2477" spans="1:1" ht="12.75">
      <c r="A2477" s="2" t="s">
        <v>268</v>
      </c>
    </row>
    <row r="2478" spans="1:1" ht="12.75">
      <c r="A2478" s="2" t="s">
        <v>268</v>
      </c>
    </row>
    <row r="2479" spans="1:1" ht="12.75">
      <c r="A2479" s="2" t="s">
        <v>271</v>
      </c>
    </row>
    <row r="2480" spans="1:1" ht="12.75">
      <c r="A2480" s="2" t="s">
        <v>268</v>
      </c>
    </row>
    <row r="2481" spans="1:1" ht="12.75">
      <c r="A2481" s="2" t="s">
        <v>269</v>
      </c>
    </row>
    <row r="2482" spans="1:1" ht="12.75">
      <c r="A2482" s="2" t="s">
        <v>273</v>
      </c>
    </row>
    <row r="2483" spans="1:1" ht="12.75">
      <c r="A2483" s="2" t="s">
        <v>271</v>
      </c>
    </row>
    <row r="2484" spans="1:1" ht="12.75">
      <c r="A2484" s="2" t="s">
        <v>273</v>
      </c>
    </row>
    <row r="2485" spans="1:1" ht="12.75">
      <c r="A2485" s="2" t="s">
        <v>279</v>
      </c>
    </row>
    <row r="2487" spans="1:1" ht="12.75">
      <c r="A2487" s="2" t="s">
        <v>279</v>
      </c>
    </row>
    <row r="2488" spans="1:1" ht="12.75">
      <c r="A2488" s="2" t="s">
        <v>279</v>
      </c>
    </row>
    <row r="2489" spans="1:1" ht="12.75">
      <c r="A2489" s="2" t="s">
        <v>280</v>
      </c>
    </row>
    <row r="2490" spans="1:1" ht="12.75">
      <c r="A2490" s="2" t="s">
        <v>280</v>
      </c>
    </row>
    <row r="2491" spans="1:1" ht="12.75">
      <c r="A2491" s="2" t="s">
        <v>280</v>
      </c>
    </row>
    <row r="2492" spans="1:1" ht="12.75">
      <c r="A2492" s="2" t="s">
        <v>280</v>
      </c>
    </row>
    <row r="2493" spans="1:1" ht="12.75">
      <c r="A2493" s="2" t="s">
        <v>280</v>
      </c>
    </row>
    <row r="2494" spans="1:1" ht="12.75">
      <c r="A2494" s="2" t="s">
        <v>280</v>
      </c>
    </row>
    <row r="2495" spans="1:1" ht="12.75">
      <c r="A2495" s="2" t="s">
        <v>280</v>
      </c>
    </row>
    <row r="2496" spans="1:1" ht="12.75">
      <c r="A2496" s="2" t="s">
        <v>280</v>
      </c>
    </row>
    <row r="2497" spans="1:1" ht="12.75">
      <c r="A2497" s="2" t="s">
        <v>280</v>
      </c>
    </row>
    <row r="2498" spans="1:1" ht="12.75">
      <c r="A2498" s="2" t="s">
        <v>280</v>
      </c>
    </row>
    <row r="2499" spans="1:1" ht="12.75">
      <c r="A2499" s="2" t="s">
        <v>281</v>
      </c>
    </row>
    <row r="2500" spans="1:1" ht="12.75">
      <c r="A2500" s="2" t="s">
        <v>282</v>
      </c>
    </row>
    <row r="2503" spans="1:1" ht="12.75">
      <c r="A2503" s="2" t="s">
        <v>283</v>
      </c>
    </row>
    <row r="2504" spans="1:1" ht="12.75">
      <c r="A2504" s="2" t="s">
        <v>283</v>
      </c>
    </row>
    <row r="2505" spans="1:1" ht="12.75">
      <c r="A2505" s="2" t="s">
        <v>226</v>
      </c>
    </row>
    <row r="2506" spans="1:1" ht="12.75">
      <c r="A2506" s="2" t="s">
        <v>284</v>
      </c>
    </row>
    <row r="2507" spans="1:1" ht="12.75">
      <c r="A2507" s="2" t="s">
        <v>284</v>
      </c>
    </row>
    <row r="2508" spans="1:1" ht="12.75">
      <c r="A2508" s="2" t="s">
        <v>284</v>
      </c>
    </row>
    <row r="2509" spans="1:1" ht="12.75">
      <c r="A2509" s="2" t="s">
        <v>284</v>
      </c>
    </row>
    <row r="2510" spans="1:1" ht="12.75">
      <c r="A2510" s="2" t="s">
        <v>284</v>
      </c>
    </row>
    <row r="2511" spans="1:1" ht="12.75">
      <c r="A2511" s="2" t="s">
        <v>284</v>
      </c>
    </row>
    <row r="2512" spans="1:1" ht="12.75">
      <c r="A2512" s="2" t="s">
        <v>284</v>
      </c>
    </row>
    <row r="2513" spans="1:1" ht="12.75">
      <c r="A2513" s="2" t="s">
        <v>284</v>
      </c>
    </row>
    <row r="2514" spans="1:1" ht="12.75">
      <c r="A2514" s="2" t="s">
        <v>285</v>
      </c>
    </row>
    <row r="2515" spans="1:1" ht="12.75">
      <c r="A2515" s="2" t="s">
        <v>286</v>
      </c>
    </row>
    <row r="2516" spans="1:1" ht="12.75">
      <c r="A2516" s="2" t="s">
        <v>284</v>
      </c>
    </row>
    <row r="2517" spans="1:1" ht="12.75">
      <c r="A2517" s="2" t="s">
        <v>287</v>
      </c>
    </row>
    <row r="2518" spans="1:1" ht="12.75">
      <c r="A2518" s="2" t="s">
        <v>284</v>
      </c>
    </row>
    <row r="2519" spans="1:1" ht="12.75">
      <c r="A2519" s="2" t="s">
        <v>284</v>
      </c>
    </row>
    <row r="2520" spans="1:1" ht="12.75">
      <c r="A2520" s="2" t="s">
        <v>284</v>
      </c>
    </row>
    <row r="2521" spans="1:1" ht="12.75">
      <c r="A2521" s="2" t="s">
        <v>284</v>
      </c>
    </row>
    <row r="2522" spans="1:1" ht="12.75">
      <c r="A2522" s="2" t="s">
        <v>284</v>
      </c>
    </row>
    <row r="2523" spans="1:1" ht="12.75">
      <c r="A2523" s="2" t="s">
        <v>284</v>
      </c>
    </row>
    <row r="2524" spans="1:1" ht="12.75">
      <c r="A2524" s="2" t="s">
        <v>284</v>
      </c>
    </row>
    <row r="2525" spans="1:1" ht="12.75">
      <c r="A2525" s="2" t="s">
        <v>284</v>
      </c>
    </row>
    <row r="2526" spans="1:1" ht="12.75">
      <c r="A2526" s="2" t="s">
        <v>284</v>
      </c>
    </row>
    <row r="2527" spans="1:1" ht="12.75">
      <c r="A2527" s="2" t="s">
        <v>284</v>
      </c>
    </row>
    <row r="2529" spans="1:1" ht="12.75">
      <c r="A2529" s="2" t="s">
        <v>284</v>
      </c>
    </row>
    <row r="2530" spans="1:1" ht="12.75">
      <c r="A2530" s="2" t="s">
        <v>284</v>
      </c>
    </row>
    <row r="2532" spans="1:1" ht="12.75">
      <c r="A2532" s="2" t="s">
        <v>284</v>
      </c>
    </row>
    <row r="2533" spans="1:1" ht="12.75">
      <c r="A2533" s="2" t="s">
        <v>284</v>
      </c>
    </row>
    <row r="2534" spans="1:1" ht="12.75">
      <c r="A2534" s="2" t="s">
        <v>284</v>
      </c>
    </row>
    <row r="2535" spans="1:1" ht="12.75">
      <c r="A2535" s="2" t="s">
        <v>284</v>
      </c>
    </row>
    <row r="2536" spans="1:1" ht="12.75">
      <c r="A2536" s="2" t="s">
        <v>284</v>
      </c>
    </row>
    <row r="2537" spans="1:1" ht="12.75">
      <c r="A2537" s="2" t="s">
        <v>284</v>
      </c>
    </row>
    <row r="2538" spans="1:1" ht="12.75">
      <c r="A2538" s="2" t="s">
        <v>284</v>
      </c>
    </row>
    <row r="2539" spans="1:1" ht="12.75">
      <c r="A2539" s="2" t="s">
        <v>284</v>
      </c>
    </row>
    <row r="2540" spans="1:1" ht="12.75">
      <c r="A2540" s="2" t="s">
        <v>284</v>
      </c>
    </row>
    <row r="2541" spans="1:1" ht="12.75">
      <c r="A2541" s="2" t="s">
        <v>284</v>
      </c>
    </row>
    <row r="2542" spans="1:1" ht="12.75">
      <c r="A2542" s="2" t="s">
        <v>284</v>
      </c>
    </row>
    <row r="2543" spans="1:1" ht="12.75">
      <c r="A2543" s="2" t="s">
        <v>284</v>
      </c>
    </row>
    <row r="2544" spans="1:1" ht="12.75">
      <c r="A2544" s="2" t="s">
        <v>284</v>
      </c>
    </row>
    <row r="2545" spans="1:1" ht="12.75">
      <c r="A2545" s="2" t="s">
        <v>284</v>
      </c>
    </row>
    <row r="2546" spans="1:1" ht="12.75">
      <c r="A2546" s="2" t="s">
        <v>288</v>
      </c>
    </row>
    <row r="2547" spans="1:1" ht="12.75">
      <c r="A2547" s="2" t="s">
        <v>289</v>
      </c>
    </row>
    <row r="2548" spans="1:1" ht="12.75">
      <c r="A2548" s="2" t="s">
        <v>290</v>
      </c>
    </row>
    <row r="2549" spans="1:1" ht="12.75">
      <c r="A2549" s="2" t="s">
        <v>290</v>
      </c>
    </row>
    <row r="2550" spans="1:1" ht="12.75">
      <c r="A2550" s="2" t="s">
        <v>289</v>
      </c>
    </row>
    <row r="2551" spans="1:1" ht="12.75">
      <c r="A2551" s="2" t="s">
        <v>289</v>
      </c>
    </row>
    <row r="2552" spans="1:1" ht="12.75">
      <c r="A2552" s="2" t="s">
        <v>291</v>
      </c>
    </row>
    <row r="2553" spans="1:1" ht="12.75">
      <c r="A2553" s="2" t="s">
        <v>291</v>
      </c>
    </row>
    <row r="2554" spans="1:1" ht="12.75">
      <c r="A2554" s="2" t="s">
        <v>289</v>
      </c>
    </row>
    <row r="2556" spans="1:1" ht="12.75">
      <c r="A2556" s="2" t="s">
        <v>292</v>
      </c>
    </row>
    <row r="2557" spans="1:1" ht="12.75">
      <c r="A2557" s="2" t="s">
        <v>293</v>
      </c>
    </row>
    <row r="2558" spans="1:1" ht="12.75">
      <c r="A2558" s="2" t="s">
        <v>293</v>
      </c>
    </row>
    <row r="2559" spans="1:1" ht="12.75">
      <c r="A2559" s="2" t="s">
        <v>293</v>
      </c>
    </row>
    <row r="2560" spans="1:1" ht="12.75">
      <c r="A2560" s="2" t="s">
        <v>288</v>
      </c>
    </row>
    <row r="2561" spans="1:1" ht="12.75">
      <c r="A2561" s="2" t="s">
        <v>292</v>
      </c>
    </row>
    <row r="2562" spans="1:1" ht="12.75">
      <c r="A2562" s="2" t="s">
        <v>288</v>
      </c>
    </row>
    <row r="2563" spans="1:1" ht="12.75">
      <c r="A2563" s="2" t="s">
        <v>294</v>
      </c>
    </row>
    <row r="2564" spans="1:1" ht="12.75">
      <c r="A2564" s="2" t="s">
        <v>295</v>
      </c>
    </row>
    <row r="2565" spans="1:1" ht="12.75">
      <c r="A2565" s="2" t="s">
        <v>295</v>
      </c>
    </row>
    <row r="2566" spans="1:1" ht="12.75">
      <c r="A2566" s="2" t="s">
        <v>295</v>
      </c>
    </row>
    <row r="2567" spans="1:1" ht="12.75">
      <c r="A2567" s="2" t="s">
        <v>296</v>
      </c>
    </row>
    <row r="2568" spans="1:1" ht="12.75">
      <c r="A2568" s="2" t="s">
        <v>296</v>
      </c>
    </row>
    <row r="2569" spans="1:1" ht="12.75">
      <c r="A2569" s="2" t="s">
        <v>296</v>
      </c>
    </row>
    <row r="2570" spans="1:1" ht="12.75">
      <c r="A2570" s="2" t="s">
        <v>296</v>
      </c>
    </row>
    <row r="2571" spans="1:1" ht="12.75">
      <c r="A2571" s="2" t="s">
        <v>296</v>
      </c>
    </row>
    <row r="2572" spans="1:1" ht="12.75">
      <c r="A2572" s="2" t="s">
        <v>296</v>
      </c>
    </row>
    <row r="2573" spans="1:1" ht="12.75">
      <c r="A2573" s="2" t="s">
        <v>289</v>
      </c>
    </row>
    <row r="2574" spans="1:1" ht="12.75">
      <c r="A2574" s="2" t="s">
        <v>289</v>
      </c>
    </row>
    <row r="2575" spans="1:1" ht="12.75">
      <c r="A2575" s="2" t="s">
        <v>289</v>
      </c>
    </row>
    <row r="2576" spans="1:1" ht="12.75">
      <c r="A2576" s="2" t="s">
        <v>290</v>
      </c>
    </row>
    <row r="2578" spans="1:1" ht="12.75">
      <c r="A2578" s="2" t="s">
        <v>290</v>
      </c>
    </row>
    <row r="2579" spans="1:1" ht="12.75">
      <c r="A2579" s="2" t="s">
        <v>291</v>
      </c>
    </row>
    <row r="2580" spans="1:1" ht="12.75">
      <c r="A2580" s="2" t="s">
        <v>291</v>
      </c>
    </row>
    <row r="2581" spans="1:1" ht="12.75">
      <c r="A2581" s="2" t="s">
        <v>291</v>
      </c>
    </row>
    <row r="2582" spans="1:1" ht="12.75">
      <c r="A2582" s="2" t="s">
        <v>297</v>
      </c>
    </row>
    <row r="2583" spans="1:1" ht="12.75">
      <c r="A2583" s="2" t="s">
        <v>288</v>
      </c>
    </row>
    <row r="2584" spans="1:1" ht="12.75">
      <c r="A2584" s="2" t="s">
        <v>289</v>
      </c>
    </row>
    <row r="2585" spans="1:1" ht="12.75">
      <c r="A2585" s="2" t="s">
        <v>297</v>
      </c>
    </row>
    <row r="2586" spans="1:1" ht="12.75">
      <c r="A2586" s="2" t="s">
        <v>289</v>
      </c>
    </row>
    <row r="2587" spans="1:1" ht="12.75">
      <c r="A2587" s="2" t="s">
        <v>289</v>
      </c>
    </row>
    <row r="2588" spans="1:1" ht="12.75">
      <c r="A2588" s="2" t="s">
        <v>289</v>
      </c>
    </row>
    <row r="2589" spans="1:1" ht="12.75">
      <c r="A2589" s="2" t="s">
        <v>289</v>
      </c>
    </row>
    <row r="2590" spans="1:1" ht="12.75">
      <c r="A2590" s="2" t="s">
        <v>289</v>
      </c>
    </row>
    <row r="2591" spans="1:1" ht="12.75">
      <c r="A2591" s="2" t="s">
        <v>291</v>
      </c>
    </row>
    <row r="2592" spans="1:1" ht="12.75">
      <c r="A2592" s="2" t="s">
        <v>291</v>
      </c>
    </row>
    <row r="2593" spans="1:1" ht="12.75">
      <c r="A2593" s="2" t="s">
        <v>291</v>
      </c>
    </row>
    <row r="2594" spans="1:1" ht="12.75">
      <c r="A2594" s="2" t="s">
        <v>290</v>
      </c>
    </row>
    <row r="2595" spans="1:1" ht="12.75">
      <c r="A2595" s="2" t="s">
        <v>291</v>
      </c>
    </row>
    <row r="2596" spans="1:1" ht="12.75">
      <c r="A2596" s="2" t="s">
        <v>290</v>
      </c>
    </row>
    <row r="2597" spans="1:1" ht="12.75">
      <c r="A2597" s="2" t="s">
        <v>291</v>
      </c>
    </row>
    <row r="2598" spans="1:1" ht="12.75">
      <c r="A2598" s="2" t="s">
        <v>291</v>
      </c>
    </row>
    <row r="2599" spans="1:1" ht="12.75">
      <c r="A2599" s="2" t="s">
        <v>290</v>
      </c>
    </row>
    <row r="2600" spans="1:1" ht="12.75">
      <c r="A2600" s="2" t="s">
        <v>290</v>
      </c>
    </row>
    <row r="2601" spans="1:1" ht="12.75">
      <c r="A2601" s="2" t="s">
        <v>290</v>
      </c>
    </row>
    <row r="2602" spans="1:1" ht="12.75">
      <c r="A2602" s="2" t="s">
        <v>290</v>
      </c>
    </row>
    <row r="2603" spans="1:1" ht="12.75">
      <c r="A2603" s="2" t="s">
        <v>290</v>
      </c>
    </row>
    <row r="2604" spans="1:1" ht="12.75">
      <c r="A2604" s="2" t="s">
        <v>296</v>
      </c>
    </row>
    <row r="2605" spans="1:1" ht="12.75">
      <c r="A2605" s="2" t="s">
        <v>290</v>
      </c>
    </row>
    <row r="2608" spans="1:1" ht="12.75">
      <c r="A2608" s="2" t="s">
        <v>288</v>
      </c>
    </row>
    <row r="2609" spans="1:1" ht="12.75">
      <c r="A2609" s="2" t="s">
        <v>288</v>
      </c>
    </row>
    <row r="2610" spans="1:1" ht="12.75">
      <c r="A2610" s="2" t="s">
        <v>288</v>
      </c>
    </row>
    <row r="2611" spans="1:1" ht="12.75">
      <c r="A2611" s="2" t="s">
        <v>296</v>
      </c>
    </row>
    <row r="2612" spans="1:1" ht="12.75">
      <c r="A2612" s="2" t="s">
        <v>288</v>
      </c>
    </row>
    <row r="2613" spans="1:1" ht="12.75">
      <c r="A2613" s="2" t="s">
        <v>288</v>
      </c>
    </row>
    <row r="2614" spans="1:1" ht="12.75">
      <c r="A2614" s="2" t="s">
        <v>288</v>
      </c>
    </row>
    <row r="2615" spans="1:1" ht="12.75">
      <c r="A2615" s="2" t="s">
        <v>290</v>
      </c>
    </row>
    <row r="2616" spans="1:1" ht="12.75">
      <c r="A2616" s="2" t="s">
        <v>288</v>
      </c>
    </row>
    <row r="2617" spans="1:1" ht="12.75">
      <c r="A2617" s="2" t="s">
        <v>298</v>
      </c>
    </row>
    <row r="2618" spans="1:1" ht="12.75">
      <c r="A2618" s="2" t="s">
        <v>289</v>
      </c>
    </row>
    <row r="2619" spans="1:1" ht="12.75">
      <c r="A2619" s="2" t="s">
        <v>297</v>
      </c>
    </row>
    <row r="2620" spans="1:1" ht="12.75">
      <c r="A2620" s="2" t="s">
        <v>289</v>
      </c>
    </row>
    <row r="2621" spans="1:1" ht="12.75">
      <c r="A2621" s="2" t="s">
        <v>297</v>
      </c>
    </row>
    <row r="2622" spans="1:1" ht="12.75">
      <c r="A2622" s="2" t="s">
        <v>289</v>
      </c>
    </row>
    <row r="2623" spans="1:1" ht="12.75">
      <c r="A2623" s="2" t="s">
        <v>293</v>
      </c>
    </row>
    <row r="2624" spans="1:1" ht="12.75">
      <c r="A2624" s="2" t="s">
        <v>292</v>
      </c>
    </row>
    <row r="2625" spans="1:1" ht="12.75">
      <c r="A2625" s="2" t="s">
        <v>292</v>
      </c>
    </row>
    <row r="2626" spans="1:1" ht="12.75">
      <c r="A2626" s="2" t="s">
        <v>299</v>
      </c>
    </row>
    <row r="2627" spans="1:1" ht="12.75">
      <c r="A2627" s="2" t="s">
        <v>291</v>
      </c>
    </row>
    <row r="2628" spans="1:1" ht="12.75">
      <c r="A2628" s="2" t="s">
        <v>297</v>
      </c>
    </row>
    <row r="2629" spans="1:1" ht="12.75">
      <c r="A2629" s="2" t="s">
        <v>289</v>
      </c>
    </row>
    <row r="2630" spans="1:1" ht="12.75">
      <c r="A2630" s="2" t="s">
        <v>291</v>
      </c>
    </row>
    <row r="2631" spans="1:1" ht="12.75">
      <c r="A2631" s="2" t="s">
        <v>290</v>
      </c>
    </row>
    <row r="2632" spans="1:1" ht="12.75">
      <c r="A2632" s="2" t="s">
        <v>293</v>
      </c>
    </row>
    <row r="2633" spans="1:1" ht="12.75">
      <c r="A2633" s="2" t="s">
        <v>289</v>
      </c>
    </row>
    <row r="2634" spans="1:1" ht="12.75">
      <c r="A2634" s="2" t="s">
        <v>290</v>
      </c>
    </row>
    <row r="2635" spans="1:1" ht="12.75">
      <c r="A2635" s="2" t="s">
        <v>299</v>
      </c>
    </row>
    <row r="2636" spans="1:1" ht="12.75">
      <c r="A2636" s="2" t="s">
        <v>299</v>
      </c>
    </row>
    <row r="2637" spans="1:1" ht="12.75">
      <c r="A2637" s="2" t="s">
        <v>291</v>
      </c>
    </row>
    <row r="2638" spans="1:1" ht="12.75">
      <c r="A2638" s="2" t="s">
        <v>291</v>
      </c>
    </row>
    <row r="2639" spans="1:1" ht="12.75">
      <c r="A2639" s="2" t="s">
        <v>299</v>
      </c>
    </row>
    <row r="2640" spans="1:1" ht="12.75">
      <c r="A2640" s="2" t="s">
        <v>292</v>
      </c>
    </row>
    <row r="2641" spans="1:1" ht="12.75">
      <c r="A2641" s="2" t="s">
        <v>299</v>
      </c>
    </row>
    <row r="2642" spans="1:1" ht="12.75">
      <c r="A2642" s="2" t="s">
        <v>290</v>
      </c>
    </row>
    <row r="2643" spans="1:1" ht="12.75">
      <c r="A2643" s="2" t="s">
        <v>290</v>
      </c>
    </row>
    <row r="2644" spans="1:1" ht="12.75">
      <c r="A2644" s="2" t="s">
        <v>290</v>
      </c>
    </row>
    <row r="2645" spans="1:1" ht="12.75">
      <c r="A2645" s="2" t="s">
        <v>289</v>
      </c>
    </row>
    <row r="2646" spans="1:1" ht="12.75">
      <c r="A2646" s="2" t="s">
        <v>289</v>
      </c>
    </row>
    <row r="2647" spans="1:1" ht="12.75">
      <c r="A2647" s="2" t="s">
        <v>299</v>
      </c>
    </row>
    <row r="2648" spans="1:1" ht="12.75">
      <c r="A2648" s="2" t="s">
        <v>299</v>
      </c>
    </row>
    <row r="2649" spans="1:1" ht="12.75">
      <c r="A2649" s="2" t="s">
        <v>290</v>
      </c>
    </row>
    <row r="2650" spans="1:1" ht="12.75">
      <c r="A2650" s="2" t="s">
        <v>291</v>
      </c>
    </row>
    <row r="2651" spans="1:1" ht="12.75">
      <c r="A2651" s="2" t="s">
        <v>290</v>
      </c>
    </row>
    <row r="2652" spans="1:1" ht="12.75">
      <c r="A2652" s="2" t="s">
        <v>291</v>
      </c>
    </row>
    <row r="2654" spans="1:1" ht="12.75">
      <c r="A2654" s="2" t="s">
        <v>289</v>
      </c>
    </row>
    <row r="2655" spans="1:1" ht="12.75">
      <c r="A2655" s="2" t="s">
        <v>292</v>
      </c>
    </row>
    <row r="2656" spans="1:1" ht="12.75">
      <c r="A2656" s="2" t="s">
        <v>289</v>
      </c>
    </row>
    <row r="2657" spans="1:1" ht="12.75">
      <c r="A2657" s="2" t="s">
        <v>291</v>
      </c>
    </row>
    <row r="2658" spans="1:1" ht="12.75">
      <c r="A2658" s="2" t="s">
        <v>288</v>
      </c>
    </row>
    <row r="2659" spans="1:1" ht="12.75">
      <c r="A2659" s="2" t="s">
        <v>288</v>
      </c>
    </row>
    <row r="2660" spans="1:1" ht="12.75">
      <c r="A2660" s="2" t="s">
        <v>292</v>
      </c>
    </row>
    <row r="2661" spans="1:1" ht="12.75">
      <c r="A2661" s="2" t="s">
        <v>288</v>
      </c>
    </row>
    <row r="2662" spans="1:1" ht="12.75">
      <c r="A2662" s="2" t="s">
        <v>288</v>
      </c>
    </row>
    <row r="2663" spans="1:1" ht="12.75">
      <c r="A2663" s="2" t="s">
        <v>288</v>
      </c>
    </row>
    <row r="2664" spans="1:1" ht="12.75">
      <c r="A2664" s="2" t="s">
        <v>288</v>
      </c>
    </row>
    <row r="2665" spans="1:1" ht="12.75">
      <c r="A2665" s="2" t="s">
        <v>288</v>
      </c>
    </row>
    <row r="2666" spans="1:1" ht="12.75">
      <c r="A2666" s="2" t="s">
        <v>291</v>
      </c>
    </row>
    <row r="2667" spans="1:1" ht="12.75">
      <c r="A2667" s="2" t="s">
        <v>259</v>
      </c>
    </row>
    <row r="2668" spans="1:1" ht="12.75">
      <c r="A2668" s="2" t="s">
        <v>259</v>
      </c>
    </row>
    <row r="2669" spans="1:1" ht="12.75">
      <c r="A2669" s="2" t="s">
        <v>259</v>
      </c>
    </row>
    <row r="2670" spans="1:1" ht="12.75">
      <c r="A2670" s="2" t="s">
        <v>300</v>
      </c>
    </row>
    <row r="2671" spans="1:1" ht="12.75">
      <c r="A2671" s="2" t="s">
        <v>258</v>
      </c>
    </row>
    <row r="2672" spans="1:1" ht="12.75">
      <c r="A2672" s="2" t="s">
        <v>258</v>
      </c>
    </row>
    <row r="2673" spans="1:1" ht="12.75">
      <c r="A2673" s="2" t="s">
        <v>258</v>
      </c>
    </row>
    <row r="2674" spans="1:1" ht="12.75">
      <c r="A2674" s="2" t="s">
        <v>258</v>
      </c>
    </row>
    <row r="2675" spans="1:1" ht="12.75">
      <c r="A2675" s="2" t="s">
        <v>301</v>
      </c>
    </row>
    <row r="2676" spans="1:1" ht="12.75">
      <c r="A2676" s="2" t="s">
        <v>301</v>
      </c>
    </row>
    <row r="2677" spans="1:1" ht="12.75">
      <c r="A2677" s="2" t="s">
        <v>260</v>
      </c>
    </row>
    <row r="2678" spans="1:1" ht="12.75">
      <c r="A2678" s="2" t="s">
        <v>260</v>
      </c>
    </row>
    <row r="2679" spans="1:1" ht="12.75">
      <c r="A2679" s="2" t="s">
        <v>257</v>
      </c>
    </row>
    <row r="2680" spans="1:1" ht="12.75">
      <c r="A2680" s="2" t="s">
        <v>257</v>
      </c>
    </row>
    <row r="2681" spans="1:1" ht="12.75">
      <c r="A2681" s="2" t="s">
        <v>258</v>
      </c>
    </row>
    <row r="2682" spans="1:1" ht="12.75">
      <c r="A2682" s="2" t="s">
        <v>258</v>
      </c>
    </row>
    <row r="2683" spans="1:1" ht="12.75">
      <c r="A2683" s="2" t="s">
        <v>258</v>
      </c>
    </row>
    <row r="2684" spans="1:1" ht="12.75">
      <c r="A2684" s="2" t="s">
        <v>258</v>
      </c>
    </row>
    <row r="2685" spans="1:1" ht="12.75">
      <c r="A2685" s="2" t="s">
        <v>257</v>
      </c>
    </row>
    <row r="2686" spans="1:1" ht="12.75">
      <c r="A2686" s="2" t="s">
        <v>257</v>
      </c>
    </row>
    <row r="2687" spans="1:1" ht="12.75">
      <c r="A2687" s="2" t="s">
        <v>302</v>
      </c>
    </row>
    <row r="2688" spans="1:1" ht="12.75">
      <c r="A2688" s="2" t="s">
        <v>302</v>
      </c>
    </row>
    <row r="2689" spans="1:1" ht="12.75">
      <c r="A2689" s="2" t="s">
        <v>302</v>
      </c>
    </row>
    <row r="2690" spans="1:1" ht="12.75">
      <c r="A2690" s="2" t="s">
        <v>302</v>
      </c>
    </row>
    <row r="2691" spans="1:1" ht="12.75">
      <c r="A2691" s="2" t="s">
        <v>302</v>
      </c>
    </row>
    <row r="2692" spans="1:1" ht="12.75">
      <c r="A2692" s="2" t="s">
        <v>302</v>
      </c>
    </row>
    <row r="2693" spans="1:1" ht="12.75">
      <c r="A2693" s="2" t="s">
        <v>302</v>
      </c>
    </row>
    <row r="2694" spans="1:1" ht="12.75">
      <c r="A2694" s="2" t="s">
        <v>302</v>
      </c>
    </row>
    <row r="2695" spans="1:1" ht="12.75">
      <c r="A2695" s="2" t="s">
        <v>302</v>
      </c>
    </row>
    <row r="2696" spans="1:1" ht="12.75">
      <c r="A2696" s="2" t="s">
        <v>302</v>
      </c>
    </row>
    <row r="2697" spans="1:1" ht="12.75">
      <c r="A2697" s="2" t="s">
        <v>302</v>
      </c>
    </row>
    <row r="2698" spans="1:1" ht="12.75">
      <c r="A2698" s="2" t="s">
        <v>302</v>
      </c>
    </row>
    <row r="2699" spans="1:1" ht="12.75">
      <c r="A2699" s="2" t="s">
        <v>302</v>
      </c>
    </row>
    <row r="2700" spans="1:1" ht="12.75">
      <c r="A2700" s="2" t="s">
        <v>302</v>
      </c>
    </row>
    <row r="2701" spans="1:1" ht="12.75">
      <c r="A2701" s="2" t="s">
        <v>302</v>
      </c>
    </row>
    <row r="2702" spans="1:1" ht="12.75">
      <c r="A2702" s="2" t="s">
        <v>302</v>
      </c>
    </row>
    <row r="2703" spans="1:1" ht="12.75">
      <c r="A2703" s="2" t="s">
        <v>302</v>
      </c>
    </row>
    <row r="2704" spans="1:1" ht="12.75">
      <c r="A2704" s="2" t="s">
        <v>302</v>
      </c>
    </row>
    <row r="2705" spans="1:1" ht="12.75">
      <c r="A2705" s="2" t="s">
        <v>302</v>
      </c>
    </row>
    <row r="2706" spans="1:1" ht="12.75">
      <c r="A2706" s="2" t="s">
        <v>302</v>
      </c>
    </row>
    <row r="2707" spans="1:1" ht="12.75">
      <c r="A2707" s="2" t="s">
        <v>294</v>
      </c>
    </row>
    <row r="2708" spans="1:1" ht="12.75">
      <c r="A2708" s="2" t="s">
        <v>294</v>
      </c>
    </row>
    <row r="2709" spans="1:1" ht="12.75">
      <c r="A2709" s="2" t="s">
        <v>294</v>
      </c>
    </row>
    <row r="2711" spans="1:1" ht="12.75">
      <c r="A2711" s="2" t="s">
        <v>294</v>
      </c>
    </row>
    <row r="2712" spans="1:1" ht="12.75">
      <c r="A2712" s="2" t="s">
        <v>294</v>
      </c>
    </row>
    <row r="2713" spans="1:1" ht="12.75">
      <c r="A2713" s="2" t="s">
        <v>294</v>
      </c>
    </row>
    <row r="2714" spans="1:1" ht="12.75">
      <c r="A2714" s="2" t="s">
        <v>294</v>
      </c>
    </row>
    <row r="2715" spans="1:1" ht="12.75">
      <c r="A2715" s="2" t="s">
        <v>294</v>
      </c>
    </row>
    <row r="2716" spans="1:1" ht="12.75">
      <c r="A2716" s="2" t="s">
        <v>303</v>
      </c>
    </row>
    <row r="2717" spans="1:1" ht="12.75">
      <c r="A2717" s="2" t="s">
        <v>304</v>
      </c>
    </row>
    <row r="2718" spans="1:1" ht="12.75">
      <c r="A2718" s="2" t="s">
        <v>304</v>
      </c>
    </row>
    <row r="2719" spans="1:1" ht="12.75">
      <c r="A2719" s="2" t="s">
        <v>304</v>
      </c>
    </row>
    <row r="2720" spans="1:1" ht="12.75">
      <c r="A2720" s="2" t="s">
        <v>303</v>
      </c>
    </row>
    <row r="2721" spans="1:1" ht="12.75">
      <c r="A2721" s="2" t="s">
        <v>303</v>
      </c>
    </row>
    <row r="2722" spans="1:1" ht="12.75">
      <c r="A2722" s="2" t="s">
        <v>303</v>
      </c>
    </row>
    <row r="2723" spans="1:1" ht="12.75">
      <c r="A2723" s="2" t="s">
        <v>303</v>
      </c>
    </row>
    <row r="2724" spans="1:1" ht="12.75">
      <c r="A2724" s="2" t="s">
        <v>304</v>
      </c>
    </row>
    <row r="2725" spans="1:1" ht="12.75">
      <c r="A2725" s="2" t="s">
        <v>303</v>
      </c>
    </row>
    <row r="2726" spans="1:1" ht="12.75">
      <c r="A2726" s="2" t="s">
        <v>304</v>
      </c>
    </row>
    <row r="2727" spans="1:1" ht="12.75">
      <c r="A2727" s="2" t="s">
        <v>303</v>
      </c>
    </row>
    <row r="2728" spans="1:1" ht="12.75">
      <c r="A2728" s="2" t="s">
        <v>304</v>
      </c>
    </row>
    <row r="2729" spans="1:1" ht="12.75">
      <c r="A2729" s="2" t="s">
        <v>303</v>
      </c>
    </row>
    <row r="2730" spans="1:1" ht="12.75">
      <c r="A2730" s="2" t="s">
        <v>304</v>
      </c>
    </row>
    <row r="2731" spans="1:1" ht="12.75">
      <c r="A2731" s="2" t="s">
        <v>304</v>
      </c>
    </row>
    <row r="2733" spans="1:1" ht="12.75">
      <c r="A2733" s="2" t="s">
        <v>303</v>
      </c>
    </row>
    <row r="2734" spans="1:1" ht="12.75">
      <c r="A2734" s="2" t="s">
        <v>303</v>
      </c>
    </row>
    <row r="2735" spans="1:1" ht="12.75">
      <c r="A2735" s="2" t="s">
        <v>304</v>
      </c>
    </row>
    <row r="2736" spans="1:1" ht="12.75">
      <c r="A2736" s="2" t="s">
        <v>303</v>
      </c>
    </row>
    <row r="2737" spans="1:1" ht="12.75">
      <c r="A2737" s="2" t="s">
        <v>303</v>
      </c>
    </row>
    <row r="2738" spans="1:1" ht="12.75">
      <c r="A2738" s="2" t="s">
        <v>303</v>
      </c>
    </row>
    <row r="2739" spans="1:1" ht="12.75">
      <c r="A2739" s="2" t="s">
        <v>303</v>
      </c>
    </row>
    <row r="2740" spans="1:1" ht="12.75">
      <c r="A2740" s="2" t="s">
        <v>305</v>
      </c>
    </row>
    <row r="2741" spans="1:1" ht="12.75">
      <c r="A2741" s="2" t="s">
        <v>305</v>
      </c>
    </row>
    <row r="2742" spans="1:1" ht="12.75">
      <c r="A2742" s="2" t="s">
        <v>305</v>
      </c>
    </row>
    <row r="2743" spans="1:1" ht="12.75">
      <c r="A2743" s="2" t="s">
        <v>305</v>
      </c>
    </row>
    <row r="2744" spans="1:1" ht="12.75">
      <c r="A2744" s="2" t="s">
        <v>306</v>
      </c>
    </row>
    <row r="2745" spans="1:1" ht="12.75">
      <c r="A2745" s="2" t="s">
        <v>306</v>
      </c>
    </row>
    <row r="2746" spans="1:1" ht="12.75">
      <c r="A2746" s="2" t="s">
        <v>305</v>
      </c>
    </row>
    <row r="2747" spans="1:1" ht="12.75">
      <c r="A2747" s="2" t="s">
        <v>305</v>
      </c>
    </row>
    <row r="2748" spans="1:1" ht="12.75">
      <c r="A2748" s="2" t="s">
        <v>306</v>
      </c>
    </row>
    <row r="2749" spans="1:1" ht="12.75">
      <c r="A2749" s="2" t="s">
        <v>305</v>
      </c>
    </row>
    <row r="2750" spans="1:1" ht="12.75">
      <c r="A2750" s="2" t="s">
        <v>305</v>
      </c>
    </row>
    <row r="2751" spans="1:1" ht="12.75">
      <c r="A2751" s="2" t="s">
        <v>305</v>
      </c>
    </row>
    <row r="2752" spans="1:1" ht="12.75">
      <c r="A2752" s="2" t="s">
        <v>305</v>
      </c>
    </row>
    <row r="2760" spans="1:1" ht="12.75">
      <c r="A2760" s="2" t="s">
        <v>307</v>
      </c>
    </row>
    <row r="2761" spans="1:1" ht="12.75">
      <c r="A2761" s="2" t="s">
        <v>307</v>
      </c>
    </row>
    <row r="2762" spans="1:1" ht="12.75">
      <c r="A2762" s="2" t="s">
        <v>307</v>
      </c>
    </row>
    <row r="2763" spans="1:1" ht="12.75">
      <c r="A2763" s="2" t="s">
        <v>307</v>
      </c>
    </row>
    <row r="2764" spans="1:1" ht="12.75">
      <c r="A2764" s="2" t="s">
        <v>307</v>
      </c>
    </row>
    <row r="2765" spans="1:1" ht="12.75">
      <c r="A2765" s="2" t="s">
        <v>307</v>
      </c>
    </row>
    <row r="2766" spans="1:1" ht="12.75">
      <c r="A2766" s="2" t="s">
        <v>307</v>
      </c>
    </row>
    <row r="2767" spans="1:1" ht="12.75">
      <c r="A2767" s="2" t="s">
        <v>307</v>
      </c>
    </row>
    <row r="2768" spans="1:1" ht="12.75">
      <c r="A2768" s="2" t="s">
        <v>307</v>
      </c>
    </row>
    <row r="2769" spans="1:1" ht="12.75">
      <c r="A2769" s="2" t="s">
        <v>307</v>
      </c>
    </row>
    <row r="2770" spans="1:1" ht="12.75">
      <c r="A2770" s="2" t="s">
        <v>307</v>
      </c>
    </row>
    <row r="2773" spans="1:1" ht="12.75">
      <c r="A2773" s="2" t="s">
        <v>307</v>
      </c>
    </row>
    <row r="2775" spans="1:1" ht="12.75">
      <c r="A2775" s="2" t="s">
        <v>307</v>
      </c>
    </row>
    <row r="2777" spans="1:1" ht="12.75">
      <c r="A2777" s="2" t="s">
        <v>307</v>
      </c>
    </row>
    <row r="2778" spans="1:1" ht="12.75">
      <c r="A2778" s="2" t="s">
        <v>307</v>
      </c>
    </row>
    <row r="2780" spans="1:1" ht="12.75">
      <c r="A2780" s="2" t="s">
        <v>307</v>
      </c>
    </row>
    <row r="2781" spans="1:1" ht="12.75">
      <c r="A2781" s="2" t="s">
        <v>307</v>
      </c>
    </row>
    <row r="2782" spans="1:1" ht="12.75">
      <c r="A2782" s="2" t="s">
        <v>307</v>
      </c>
    </row>
    <row r="2783" spans="1:1" ht="12.75">
      <c r="A2783" s="2" t="s">
        <v>307</v>
      </c>
    </row>
    <row r="2784" spans="1:1" ht="12.75">
      <c r="A2784" s="2" t="s">
        <v>308</v>
      </c>
    </row>
    <row r="2785" spans="1:1" ht="12.75">
      <c r="A2785" s="2" t="s">
        <v>308</v>
      </c>
    </row>
    <row r="2786" spans="1:1" ht="12.75">
      <c r="A2786" s="2" t="s">
        <v>308</v>
      </c>
    </row>
    <row r="2787" spans="1:1" ht="12.75">
      <c r="A2787" s="2" t="s">
        <v>308</v>
      </c>
    </row>
    <row r="2788" spans="1:1" ht="12.75">
      <c r="A2788" s="2" t="s">
        <v>308</v>
      </c>
    </row>
    <row r="2789" spans="1:1" ht="12.75">
      <c r="A2789" s="2" t="s">
        <v>308</v>
      </c>
    </row>
    <row r="2790" spans="1:1" ht="12.75">
      <c r="A2790" s="2" t="s">
        <v>308</v>
      </c>
    </row>
    <row r="2791" spans="1:1" ht="12.75">
      <c r="A2791" s="2" t="s">
        <v>308</v>
      </c>
    </row>
    <row r="2792" spans="1:1" ht="12.75">
      <c r="A2792" s="2" t="s">
        <v>308</v>
      </c>
    </row>
    <row r="2793" spans="1:1" ht="12.75">
      <c r="A2793" s="2" t="s">
        <v>308</v>
      </c>
    </row>
    <row r="2794" spans="1:1" ht="12.75">
      <c r="A2794" s="2" t="s">
        <v>308</v>
      </c>
    </row>
    <row r="2795" spans="1:1" ht="12.75">
      <c r="A2795" s="2" t="s">
        <v>308</v>
      </c>
    </row>
    <row r="2796" spans="1:1" ht="12.75">
      <c r="A2796" s="2" t="s">
        <v>308</v>
      </c>
    </row>
    <row r="2797" spans="1:1" ht="12.75">
      <c r="A2797" s="2" t="s">
        <v>308</v>
      </c>
    </row>
    <row r="2798" spans="1:1" ht="12.75">
      <c r="A2798" s="2" t="s">
        <v>309</v>
      </c>
    </row>
    <row r="2799" spans="1:1" ht="12.75">
      <c r="A2799" s="2" t="s">
        <v>309</v>
      </c>
    </row>
    <row r="2800" spans="1:1" ht="12.75">
      <c r="A2800" s="2" t="s">
        <v>310</v>
      </c>
    </row>
    <row r="2801" spans="1:1" ht="12.75">
      <c r="A2801" s="2" t="s">
        <v>310</v>
      </c>
    </row>
    <row r="2802" spans="1:1" ht="12.75">
      <c r="A2802" s="2" t="s">
        <v>311</v>
      </c>
    </row>
    <row r="2803" spans="1:1" ht="12.75">
      <c r="A2803" s="2" t="s">
        <v>312</v>
      </c>
    </row>
    <row r="2805" spans="1:1" ht="12.75">
      <c r="A2805" s="2" t="s">
        <v>311</v>
      </c>
    </row>
    <row r="2807" spans="1:1" ht="12.75">
      <c r="A2807" s="2" t="s">
        <v>310</v>
      </c>
    </row>
    <row r="2808" spans="1:1" ht="12.75">
      <c r="A2808" s="2" t="s">
        <v>313</v>
      </c>
    </row>
    <row r="2809" spans="1:1" ht="12.75">
      <c r="A2809" s="2" t="s">
        <v>310</v>
      </c>
    </row>
    <row r="2810" spans="1:1" ht="12.75">
      <c r="A2810" s="2" t="s">
        <v>310</v>
      </c>
    </row>
    <row r="2811" spans="1:1" ht="12.75">
      <c r="A2811" s="2" t="s">
        <v>309</v>
      </c>
    </row>
    <row r="2812" spans="1:1" ht="12.75">
      <c r="A2812" s="2" t="s">
        <v>310</v>
      </c>
    </row>
    <row r="2813" spans="1:1" ht="12.75">
      <c r="A2813" s="2" t="s">
        <v>309</v>
      </c>
    </row>
    <row r="2815" spans="1:1" ht="12.75">
      <c r="A2815" s="2" t="s">
        <v>309</v>
      </c>
    </row>
    <row r="2817" spans="1:1" ht="12.75">
      <c r="A2817" s="2" t="s">
        <v>310</v>
      </c>
    </row>
    <row r="2818" spans="1:1" ht="12.75">
      <c r="A2818" s="2" t="s">
        <v>309</v>
      </c>
    </row>
    <row r="2819" spans="1:1" ht="12.75">
      <c r="A2819" s="2" t="s">
        <v>310</v>
      </c>
    </row>
    <row r="2820" spans="1:1" ht="12.75">
      <c r="A2820" s="2" t="s">
        <v>310</v>
      </c>
    </row>
    <row r="2821" spans="1:1" ht="12.75">
      <c r="A2821" s="2" t="s">
        <v>311</v>
      </c>
    </row>
    <row r="2822" spans="1:1" ht="12.75">
      <c r="A2822" s="2" t="s">
        <v>309</v>
      </c>
    </row>
    <row r="2823" spans="1:1" ht="12.75">
      <c r="A2823" s="2" t="s">
        <v>309</v>
      </c>
    </row>
    <row r="2824" spans="1:1" ht="12.75">
      <c r="A2824" s="2" t="s">
        <v>309</v>
      </c>
    </row>
    <row r="2825" spans="1:1" ht="12.75">
      <c r="A2825" s="2" t="s">
        <v>309</v>
      </c>
    </row>
    <row r="2826" spans="1:1" ht="12.75">
      <c r="A2826" s="2" t="s">
        <v>311</v>
      </c>
    </row>
    <row r="2827" spans="1:1" ht="12.75">
      <c r="A2827" s="2" t="s">
        <v>309</v>
      </c>
    </row>
    <row r="2828" spans="1:1" ht="12.75">
      <c r="A2828" s="2" t="s">
        <v>309</v>
      </c>
    </row>
    <row r="2829" spans="1:1" ht="12.75">
      <c r="A2829" s="2" t="s">
        <v>309</v>
      </c>
    </row>
    <row r="2830" spans="1:1" ht="12.75">
      <c r="A2830" s="2" t="s">
        <v>313</v>
      </c>
    </row>
    <row r="2831" spans="1:1" ht="12.75">
      <c r="A2831" s="2" t="s">
        <v>311</v>
      </c>
    </row>
    <row r="2832" spans="1:1" ht="12.75">
      <c r="A2832" s="2" t="s">
        <v>311</v>
      </c>
    </row>
    <row r="2833" spans="1:1" ht="12.75">
      <c r="A2833" s="2" t="s">
        <v>309</v>
      </c>
    </row>
    <row r="2834" spans="1:1" ht="12.75">
      <c r="A2834" s="2" t="s">
        <v>309</v>
      </c>
    </row>
    <row r="2835" spans="1:1" ht="12.75">
      <c r="A2835" s="2" t="s">
        <v>310</v>
      </c>
    </row>
    <row r="2836" spans="1:1" ht="12.75">
      <c r="A2836" s="2" t="s">
        <v>310</v>
      </c>
    </row>
    <row r="2837" spans="1:1" ht="12.75">
      <c r="A2837" s="2" t="s">
        <v>309</v>
      </c>
    </row>
    <row r="2838" spans="1:1" ht="12.75">
      <c r="A2838" s="2" t="s">
        <v>310</v>
      </c>
    </row>
    <row r="2839" spans="1:1" ht="12.75">
      <c r="A2839" s="2" t="s">
        <v>309</v>
      </c>
    </row>
    <row r="2840" spans="1:1" ht="12.75">
      <c r="A2840" s="2" t="s">
        <v>311</v>
      </c>
    </row>
    <row r="2841" spans="1:1" ht="12.75">
      <c r="A2841" s="2" t="s">
        <v>311</v>
      </c>
    </row>
    <row r="2842" spans="1:1" ht="12.75">
      <c r="A2842" s="2" t="s">
        <v>309</v>
      </c>
    </row>
    <row r="2843" spans="1:1" ht="12.75">
      <c r="A2843" s="2" t="s">
        <v>310</v>
      </c>
    </row>
    <row r="2844" spans="1:1" ht="12.75">
      <c r="A2844" s="2" t="s">
        <v>312</v>
      </c>
    </row>
    <row r="2845" spans="1:1" ht="12.75">
      <c r="A2845" s="2" t="s">
        <v>312</v>
      </c>
    </row>
    <row r="2846" spans="1:1" ht="12.75">
      <c r="A2846" s="2" t="s">
        <v>309</v>
      </c>
    </row>
    <row r="2847" spans="1:1" ht="12.75">
      <c r="A2847" s="2" t="s">
        <v>312</v>
      </c>
    </row>
    <row r="2848" spans="1:1" ht="12.75">
      <c r="A2848" s="2" t="s">
        <v>314</v>
      </c>
    </row>
    <row r="2849" spans="1:1" ht="12.75">
      <c r="A2849" s="2" t="s">
        <v>314</v>
      </c>
    </row>
    <row r="2850" spans="1:1" ht="12.75">
      <c r="A2850" s="2" t="s">
        <v>315</v>
      </c>
    </row>
    <row r="2851" spans="1:1" ht="12.75">
      <c r="A2851" s="2" t="s">
        <v>314</v>
      </c>
    </row>
    <row r="2852" spans="1:1" ht="12.75">
      <c r="A2852" s="2" t="s">
        <v>315</v>
      </c>
    </row>
    <row r="2853" spans="1:1" ht="12.75">
      <c r="A2853" s="2" t="s">
        <v>315</v>
      </c>
    </row>
    <row r="2854" spans="1:1" ht="12.75">
      <c r="A2854" s="2" t="s">
        <v>315</v>
      </c>
    </row>
    <row r="2855" spans="1:1" ht="12.75">
      <c r="A2855" s="2" t="s">
        <v>316</v>
      </c>
    </row>
    <row r="2856" spans="1:1" ht="12.75">
      <c r="A2856" s="2" t="s">
        <v>315</v>
      </c>
    </row>
    <row r="2857" spans="1:1" ht="12.75">
      <c r="A2857" s="2" t="s">
        <v>315</v>
      </c>
    </row>
    <row r="2858" spans="1:1" ht="12.75">
      <c r="A2858" s="2" t="s">
        <v>317</v>
      </c>
    </row>
    <row r="2860" spans="1:1" ht="12.75">
      <c r="A2860" s="2" t="s">
        <v>265</v>
      </c>
    </row>
    <row r="2861" spans="1:1" ht="12.75">
      <c r="A2861" s="2" t="s">
        <v>265</v>
      </c>
    </row>
    <row r="2862" spans="1:1" ht="12.75">
      <c r="A2862" s="2" t="s">
        <v>318</v>
      </c>
    </row>
    <row r="2863" spans="1:1" ht="12.75">
      <c r="A2863" s="2" t="s">
        <v>265</v>
      </c>
    </row>
    <row r="2864" spans="1:1" ht="12.75">
      <c r="A2864" s="2" t="s">
        <v>265</v>
      </c>
    </row>
    <row r="2865" spans="1:1" ht="12.75">
      <c r="A2865" s="2" t="s">
        <v>265</v>
      </c>
    </row>
    <row r="2866" spans="1:1" ht="12.75">
      <c r="A2866" s="2" t="s">
        <v>318</v>
      </c>
    </row>
    <row r="2867" spans="1:1" ht="12.75">
      <c r="A2867" s="2" t="s">
        <v>318</v>
      </c>
    </row>
    <row r="2868" spans="1:1" ht="12.75">
      <c r="A2868" s="2" t="s">
        <v>318</v>
      </c>
    </row>
    <row r="2869" spans="1:1" ht="12.75">
      <c r="A2869" s="2" t="s">
        <v>318</v>
      </c>
    </row>
    <row r="2870" spans="1:1" ht="12.75">
      <c r="A2870" s="2" t="s">
        <v>319</v>
      </c>
    </row>
    <row r="2871" spans="1:1" ht="12.75">
      <c r="A2871" s="2" t="s">
        <v>265</v>
      </c>
    </row>
    <row r="2872" spans="1:1" ht="12.75">
      <c r="A2872" s="2" t="s">
        <v>319</v>
      </c>
    </row>
    <row r="2874" spans="1:1" ht="12.75">
      <c r="A2874" s="2" t="s">
        <v>265</v>
      </c>
    </row>
    <row r="2875" spans="1:1" ht="12.75">
      <c r="A2875" s="2" t="s">
        <v>319</v>
      </c>
    </row>
    <row r="2876" spans="1:1" ht="12.75">
      <c r="A2876" s="2" t="s">
        <v>265</v>
      </c>
    </row>
    <row r="2877" spans="1:1" ht="12.75">
      <c r="A2877" s="2" t="s">
        <v>320</v>
      </c>
    </row>
    <row r="2878" spans="1:1" ht="12.75">
      <c r="A2878" s="2" t="s">
        <v>320</v>
      </c>
    </row>
    <row r="2879" spans="1:1" ht="12.75">
      <c r="A2879" s="2" t="s">
        <v>320</v>
      </c>
    </row>
    <row r="2880" spans="1:1" ht="12.75">
      <c r="A2880" s="2" t="s">
        <v>320</v>
      </c>
    </row>
    <row r="2881" spans="1:1" ht="12.75">
      <c r="A2881" s="2">
        <v>8283</v>
      </c>
    </row>
    <row r="2882" spans="1:1" ht="12.75">
      <c r="A2882" s="2" t="s">
        <v>320</v>
      </c>
    </row>
    <row r="2883" spans="1:1" ht="12.75">
      <c r="A2883" s="2" t="s">
        <v>320</v>
      </c>
    </row>
    <row r="2884" spans="1:1" ht="12.75">
      <c r="A2884" s="2" t="s">
        <v>320</v>
      </c>
    </row>
    <row r="2885" spans="1:1" ht="12.75">
      <c r="A2885" s="2" t="s">
        <v>320</v>
      </c>
    </row>
    <row r="2886" spans="1:1" ht="12.75">
      <c r="A2886" s="2" t="s">
        <v>320</v>
      </c>
    </row>
    <row r="2887" spans="1:1" ht="12.75">
      <c r="A2887" s="2" t="s">
        <v>320</v>
      </c>
    </row>
    <row r="2888" spans="1:1" ht="12.75">
      <c r="A2888" s="2" t="s">
        <v>320</v>
      </c>
    </row>
    <row r="2915" spans="1:1" ht="12.75">
      <c r="A2915" s="2">
        <v>8283</v>
      </c>
    </row>
    <row r="2918" spans="1:1" ht="12.75">
      <c r="A2918" s="2" t="s">
        <v>321</v>
      </c>
    </row>
    <row r="2919" spans="1:1" ht="12.75">
      <c r="A2919" s="2" t="s">
        <v>321</v>
      </c>
    </row>
    <row r="2920" spans="1:1" ht="12.75">
      <c r="A2920" s="2" t="s">
        <v>321</v>
      </c>
    </row>
    <row r="2921" spans="1:1" ht="12.75">
      <c r="A2921" s="2" t="s">
        <v>321</v>
      </c>
    </row>
    <row r="2922" spans="1:1" ht="12.75">
      <c r="A2922" s="2" t="s">
        <v>321</v>
      </c>
    </row>
    <row r="2923" spans="1:1" ht="12.75">
      <c r="A2923" s="2" t="s">
        <v>321</v>
      </c>
    </row>
    <row r="2924" spans="1:1" ht="12.75">
      <c r="A2924" s="2" t="s">
        <v>321</v>
      </c>
    </row>
    <row r="2925" spans="1:1" ht="12.75">
      <c r="A2925" s="2" t="s">
        <v>321</v>
      </c>
    </row>
    <row r="2926" spans="1:1" ht="12.75">
      <c r="A2926" s="2" t="s">
        <v>321</v>
      </c>
    </row>
    <row r="2927" spans="1:1" ht="12.75">
      <c r="A2927" s="2" t="s">
        <v>321</v>
      </c>
    </row>
    <row r="2928" spans="1:1" ht="12.75">
      <c r="A2928" s="2" t="s">
        <v>321</v>
      </c>
    </row>
    <row r="2929" spans="1:1" ht="12.75">
      <c r="A2929" s="2" t="s">
        <v>321</v>
      </c>
    </row>
    <row r="2930" spans="1:1" ht="12.75">
      <c r="A2930" s="2" t="s">
        <v>321</v>
      </c>
    </row>
    <row r="2931" spans="1:1" ht="12.75">
      <c r="A2931" s="2" t="s">
        <v>321</v>
      </c>
    </row>
    <row r="2932" spans="1:1" ht="12.75">
      <c r="A2932" s="2">
        <v>536</v>
      </c>
    </row>
    <row r="2933" spans="1:1" ht="12.75">
      <c r="A2933" s="2" t="s">
        <v>322</v>
      </c>
    </row>
    <row r="2934" spans="1:1" ht="12.75">
      <c r="A2934" s="2" t="s">
        <v>321</v>
      </c>
    </row>
    <row r="2935" spans="1:1" ht="12.75">
      <c r="A2935" s="2" t="s">
        <v>321</v>
      </c>
    </row>
    <row r="2936" spans="1:1" ht="12.75">
      <c r="A2936" s="2" t="s">
        <v>321</v>
      </c>
    </row>
    <row r="2937" spans="1:1" ht="12.75">
      <c r="A2937" s="2" t="s">
        <v>321</v>
      </c>
    </row>
    <row r="2938" spans="1:1" ht="12.75">
      <c r="A2938" s="2" t="s">
        <v>321</v>
      </c>
    </row>
    <row r="2939" spans="1:1" ht="12.75">
      <c r="A2939" s="2" t="s">
        <v>321</v>
      </c>
    </row>
    <row r="2940" spans="1:1" ht="12.75">
      <c r="A2940" s="2" t="s">
        <v>321</v>
      </c>
    </row>
    <row r="2941" spans="1:1" ht="12.75">
      <c r="A2941" s="2" t="s">
        <v>321</v>
      </c>
    </row>
    <row r="2942" spans="1:1" ht="12.75">
      <c r="A2942" s="2" t="s">
        <v>321</v>
      </c>
    </row>
    <row r="2944" spans="1:1" ht="12.75">
      <c r="A2944" s="2" t="s">
        <v>323</v>
      </c>
    </row>
    <row r="2948" spans="1:1" ht="12.75">
      <c r="A2948" s="2" t="s">
        <v>324</v>
      </c>
    </row>
    <row r="2949" spans="1:1" ht="12.75">
      <c r="A2949" s="2" t="s">
        <v>324</v>
      </c>
    </row>
    <row r="2950" spans="1:1" ht="12.75">
      <c r="A2950" s="2" t="s">
        <v>325</v>
      </c>
    </row>
    <row r="2951" spans="1:1" ht="12.75">
      <c r="A2951" s="2">
        <v>3377</v>
      </c>
    </row>
    <row r="2953" spans="1:1" ht="12.75">
      <c r="A2953" s="2" t="s">
        <v>326</v>
      </c>
    </row>
    <row r="2954" spans="1:1" ht="12.75">
      <c r="A2954" s="2" t="s">
        <v>267</v>
      </c>
    </row>
    <row r="2955" spans="1:1" ht="12.75">
      <c r="A2955" s="2" t="s">
        <v>267</v>
      </c>
    </row>
    <row r="2957" spans="1:1" ht="12.75">
      <c r="A2957" s="2" t="s">
        <v>230</v>
      </c>
    </row>
    <row r="2958" spans="1:1" ht="12.75">
      <c r="A2958" s="2">
        <v>5487</v>
      </c>
    </row>
    <row r="2959" spans="1:1" ht="12.75">
      <c r="A2959" s="2" t="s">
        <v>230</v>
      </c>
    </row>
    <row r="2960" spans="1:1" ht="12.75">
      <c r="A2960" s="2">
        <v>5487</v>
      </c>
    </row>
    <row r="3032" spans="1:1" ht="12.75">
      <c r="A3032" s="2" t="s">
        <v>327</v>
      </c>
    </row>
    <row r="3034" spans="1:1" ht="12.75">
      <c r="A3034" s="2" t="s">
        <v>230</v>
      </c>
    </row>
    <row r="3035" spans="1:1" ht="12.75">
      <c r="A3035" s="2" t="s">
        <v>230</v>
      </c>
    </row>
    <row r="3036" spans="1:1" ht="12.75">
      <c r="A3036" s="2" t="s">
        <v>230</v>
      </c>
    </row>
    <row r="3037" spans="1:1" ht="12.75">
      <c r="A3037" s="2" t="s">
        <v>230</v>
      </c>
    </row>
    <row r="3038" spans="1:1" ht="12.75">
      <c r="A3038" s="2" t="s">
        <v>230</v>
      </c>
    </row>
    <row r="3040" spans="1:1" ht="12.75">
      <c r="A3040" s="2" t="s">
        <v>230</v>
      </c>
    </row>
    <row r="3041" spans="1:1" ht="12.75">
      <c r="A3041" s="2" t="s">
        <v>230</v>
      </c>
    </row>
    <row r="3042" spans="1:1" ht="12.75">
      <c r="A3042" s="2" t="s">
        <v>230</v>
      </c>
    </row>
    <row r="3043" spans="1:1" ht="12.75">
      <c r="A3043" s="2" t="s">
        <v>230</v>
      </c>
    </row>
    <row r="3044" spans="1:1" ht="12.75">
      <c r="A3044" s="2" t="s">
        <v>230</v>
      </c>
    </row>
    <row r="3045" spans="1:1" ht="12.75">
      <c r="A3045" s="2" t="s">
        <v>230</v>
      </c>
    </row>
    <row r="3046" spans="1:1" ht="12.75">
      <c r="A3046" s="2" t="s">
        <v>230</v>
      </c>
    </row>
    <row r="3047" spans="1:1" ht="12.75">
      <c r="A3047" s="2" t="s">
        <v>230</v>
      </c>
    </row>
    <row r="3050" spans="1:1" ht="12.75">
      <c r="A3050" s="2" t="s">
        <v>230</v>
      </c>
    </row>
    <row r="3051" spans="1:1" ht="12.75">
      <c r="A3051" s="2" t="s">
        <v>230</v>
      </c>
    </row>
    <row r="3052" spans="1:1" ht="12.75">
      <c r="A3052" s="2" t="s">
        <v>230</v>
      </c>
    </row>
    <row r="3053" spans="1:1" ht="12.75">
      <c r="A3053" s="2" t="s">
        <v>230</v>
      </c>
    </row>
    <row r="3054" spans="1:1" ht="12.75">
      <c r="A3054" s="2" t="s">
        <v>324</v>
      </c>
    </row>
    <row r="3055" spans="1:1" ht="12.75">
      <c r="A3055" s="2" t="s">
        <v>324</v>
      </c>
    </row>
    <row r="3060" spans="1:1" ht="12.75">
      <c r="A3060" s="2" t="s">
        <v>328</v>
      </c>
    </row>
    <row r="3061" spans="1:1" ht="12.75">
      <c r="A3061" s="2" t="s">
        <v>328</v>
      </c>
    </row>
    <row r="3064" spans="1:1" ht="12.75">
      <c r="A3064" s="2" t="s">
        <v>329</v>
      </c>
    </row>
    <row r="3065" spans="1:1" ht="12.75">
      <c r="A3065" s="2" t="s">
        <v>266</v>
      </c>
    </row>
    <row r="3072" spans="1:1" ht="12.75">
      <c r="A3072" s="2">
        <v>5487</v>
      </c>
    </row>
    <row r="3074" spans="1:1" ht="12.75">
      <c r="A3074" s="2" t="s">
        <v>230</v>
      </c>
    </row>
    <row r="3076" spans="1:1" ht="12.75">
      <c r="A3076" s="2" t="s">
        <v>229</v>
      </c>
    </row>
    <row r="3077" spans="1:1" ht="12.75">
      <c r="A3077" s="2" t="s">
        <v>229</v>
      </c>
    </row>
    <row r="3078" spans="1:1" ht="12.75">
      <c r="A3078" s="2" t="s">
        <v>230</v>
      </c>
    </row>
    <row r="3110" spans="1:1" ht="12.75">
      <c r="A3110" s="2" t="s">
        <v>324</v>
      </c>
    </row>
    <row r="3111" spans="1:1" ht="12.75">
      <c r="A3111" s="2" t="s">
        <v>324</v>
      </c>
    </row>
    <row r="3141" spans="1:1" ht="12.75">
      <c r="A3141" s="2" t="s">
        <v>230</v>
      </c>
    </row>
    <row r="3142" spans="1:1" ht="12.75">
      <c r="A3142" s="2" t="s">
        <v>230</v>
      </c>
    </row>
    <row r="3143" spans="1:1" ht="12.75">
      <c r="A3143" s="2" t="s">
        <v>230</v>
      </c>
    </row>
    <row r="3144" spans="1:1" ht="12.75">
      <c r="A3144" s="2" t="s">
        <v>230</v>
      </c>
    </row>
    <row r="3145" spans="1:1" ht="12.75">
      <c r="A3145" s="2" t="s">
        <v>230</v>
      </c>
    </row>
    <row r="3146" spans="1:1" ht="12.75">
      <c r="A3146" s="2" t="s">
        <v>230</v>
      </c>
    </row>
    <row r="3147" spans="1:1" ht="12.75">
      <c r="A3147" s="2" t="s">
        <v>230</v>
      </c>
    </row>
    <row r="3149" spans="1:1" ht="12.75">
      <c r="A3149" s="2" t="s">
        <v>230</v>
      </c>
    </row>
    <row r="3150" spans="1:1" ht="12.75">
      <c r="A3150" s="2" t="s">
        <v>230</v>
      </c>
    </row>
    <row r="3151" spans="1:1" ht="12.75">
      <c r="A3151" s="2" t="s">
        <v>230</v>
      </c>
    </row>
    <row r="3153" spans="1:1" ht="12.75">
      <c r="A3153" s="2" t="s">
        <v>230</v>
      </c>
    </row>
    <row r="3155" spans="1:1" ht="12.75">
      <c r="A3155" s="2" t="s">
        <v>230</v>
      </c>
    </row>
    <row r="3156" spans="1:1" ht="12.75">
      <c r="A3156" s="2" t="s">
        <v>230</v>
      </c>
    </row>
    <row r="3157" spans="1:1" ht="12.75">
      <c r="A3157" s="2" t="s">
        <v>230</v>
      </c>
    </row>
    <row r="3158" spans="1:1" ht="12.75">
      <c r="A3158" s="2" t="s">
        <v>230</v>
      </c>
    </row>
    <row r="3159" spans="1:1" ht="12.75">
      <c r="A3159" s="2" t="s">
        <v>230</v>
      </c>
    </row>
    <row r="3163" spans="1:1" ht="12.75">
      <c r="A3163" s="2" t="s">
        <v>324</v>
      </c>
    </row>
    <row r="3166" spans="1:1" ht="12.75">
      <c r="A3166" s="2" t="s">
        <v>324</v>
      </c>
    </row>
    <row r="3167" spans="1:1" ht="12.75">
      <c r="A3167" s="2" t="s">
        <v>324</v>
      </c>
    </row>
    <row r="3168" spans="1:1" ht="12.75">
      <c r="A3168" s="2" t="s">
        <v>330</v>
      </c>
    </row>
    <row r="3169" spans="1:1" ht="12.75">
      <c r="A3169" s="2" t="s">
        <v>324</v>
      </c>
    </row>
    <row r="3170" spans="1:1" ht="12.75">
      <c r="A3170" s="2" t="s">
        <v>324</v>
      </c>
    </row>
    <row r="3171" spans="1:1" ht="12.75">
      <c r="A3171" s="2" t="s">
        <v>230</v>
      </c>
    </row>
    <row r="3172" spans="1:1" ht="12.75">
      <c r="A3172" s="2" t="s">
        <v>230</v>
      </c>
    </row>
    <row r="3173" spans="1:1" ht="12.75">
      <c r="A3173" s="2" t="s">
        <v>230</v>
      </c>
    </row>
    <row r="3174" spans="1:1" ht="12.75">
      <c r="A3174" s="2" t="s">
        <v>230</v>
      </c>
    </row>
    <row r="3176" spans="1:1" ht="12.75">
      <c r="A3176" s="2" t="s">
        <v>230</v>
      </c>
    </row>
    <row r="3177" spans="1:1" ht="12.75">
      <c r="A3177" s="2" t="s">
        <v>230</v>
      </c>
    </row>
    <row r="3185" spans="1:1" ht="12.75">
      <c r="A3185" s="2" t="s">
        <v>230</v>
      </c>
    </row>
    <row r="3187" spans="1:1" ht="12.75">
      <c r="A3187" s="2" t="s">
        <v>267</v>
      </c>
    </row>
    <row r="3188" spans="1:1" ht="12.75">
      <c r="A3188" s="2" t="s">
        <v>267</v>
      </c>
    </row>
    <row r="3190" spans="1:1" ht="12.75">
      <c r="A3190" s="2" t="s">
        <v>229</v>
      </c>
    </row>
    <row r="3196" spans="1:1" ht="12.75">
      <c r="A3196" s="2" t="s">
        <v>267</v>
      </c>
    </row>
    <row r="3217" spans="1:1" ht="12.75">
      <c r="A3217" s="2" t="s">
        <v>324</v>
      </c>
    </row>
    <row r="3219" spans="1:1" ht="12.75">
      <c r="A3219" s="2" t="s">
        <v>324</v>
      </c>
    </row>
    <row r="3220" spans="1:1" ht="12.75">
      <c r="A3220" s="2" t="s">
        <v>324</v>
      </c>
    </row>
    <row r="3270" spans="1:1" ht="12.75">
      <c r="A3270" s="2" t="s">
        <v>331</v>
      </c>
    </row>
    <row r="3271" spans="1:1" ht="12.75">
      <c r="A3271" s="2" t="s">
        <v>331</v>
      </c>
    </row>
    <row r="3272" spans="1:1" ht="12.75">
      <c r="A3272" s="2" t="s">
        <v>331</v>
      </c>
    </row>
    <row r="3273" spans="1:1" ht="12.75">
      <c r="A3273" s="2" t="s">
        <v>331</v>
      </c>
    </row>
    <row r="3274" spans="1:1" ht="12.75">
      <c r="A3274" s="2" t="s">
        <v>331</v>
      </c>
    </row>
    <row r="3275" spans="1:1" ht="12.75">
      <c r="A3275" s="2" t="s">
        <v>331</v>
      </c>
    </row>
    <row r="3276" spans="1:1" ht="12.75">
      <c r="A3276" s="2" t="s">
        <v>331</v>
      </c>
    </row>
    <row r="3277" spans="1:1" ht="12.75">
      <c r="A3277" s="2" t="s">
        <v>331</v>
      </c>
    </row>
    <row r="3278" spans="1:1" ht="12.75">
      <c r="A3278" s="2" t="s">
        <v>331</v>
      </c>
    </row>
    <row r="3279" spans="1:1" ht="12.75">
      <c r="A3279" s="2" t="s">
        <v>331</v>
      </c>
    </row>
    <row r="3280" spans="1:1" ht="12.75">
      <c r="A3280" s="2" t="s">
        <v>332</v>
      </c>
    </row>
    <row r="3281" spans="1:1" ht="12.75">
      <c r="A3281" s="2" t="s">
        <v>331</v>
      </c>
    </row>
    <row r="3282" spans="1:1" ht="12.75">
      <c r="A3282" s="2" t="s">
        <v>331</v>
      </c>
    </row>
    <row r="3283" spans="1:1" ht="12.75">
      <c r="A3283" s="2" t="s">
        <v>331</v>
      </c>
    </row>
    <row r="3284" spans="1:1" ht="12.75">
      <c r="A3284" s="2" t="s">
        <v>331</v>
      </c>
    </row>
    <row r="3285" spans="1:1" ht="12.75">
      <c r="A3285" s="2" t="s">
        <v>333</v>
      </c>
    </row>
    <row r="3286" spans="1:1" ht="12.75">
      <c r="A3286" s="2" t="s">
        <v>333</v>
      </c>
    </row>
    <row r="3293" spans="1:1" ht="12.75">
      <c r="A3293" s="2" t="s">
        <v>333</v>
      </c>
    </row>
    <row r="3294" spans="1:1" ht="12.75">
      <c r="A3294" s="2" t="s">
        <v>333</v>
      </c>
    </row>
    <row r="3295" spans="1:1" ht="12.75">
      <c r="A3295" s="2" t="s">
        <v>324</v>
      </c>
    </row>
    <row r="3296" spans="1:1" ht="12.75">
      <c r="A3296" s="2" t="s">
        <v>324</v>
      </c>
    </row>
    <row r="3297" spans="1:1" ht="12.75">
      <c r="A3297" s="2" t="s">
        <v>324</v>
      </c>
    </row>
    <row r="3298" spans="1:1" ht="12.75">
      <c r="A3298" s="2" t="s">
        <v>334</v>
      </c>
    </row>
    <row r="3299" spans="1:1" ht="12.75">
      <c r="A3299" s="2" t="s">
        <v>334</v>
      </c>
    </row>
    <row r="3300" spans="1:1" ht="12.75">
      <c r="A3300" s="2" t="s">
        <v>335</v>
      </c>
    </row>
    <row r="3301" spans="1:1" ht="12.75">
      <c r="A3301" s="2" t="s">
        <v>335</v>
      </c>
    </row>
    <row r="3302" spans="1:1" ht="12.75">
      <c r="A3302" s="2" t="s">
        <v>335</v>
      </c>
    </row>
    <row r="3303" spans="1:1" ht="12.75">
      <c r="A3303" s="2" t="s">
        <v>335</v>
      </c>
    </row>
    <row r="3304" spans="1:1" ht="12.75">
      <c r="A3304" s="2" t="s">
        <v>336</v>
      </c>
    </row>
    <row r="3305" spans="1:1" ht="12.75">
      <c r="A3305" s="2" t="s">
        <v>335</v>
      </c>
    </row>
    <row r="3306" spans="1:1" ht="12.75">
      <c r="A3306" s="2" t="s">
        <v>335</v>
      </c>
    </row>
    <row r="3307" spans="1:1" ht="12.75">
      <c r="A3307" s="2" t="s">
        <v>335</v>
      </c>
    </row>
    <row r="3308" spans="1:1" ht="12.75">
      <c r="A3308" s="2" t="s">
        <v>335</v>
      </c>
    </row>
    <row r="3309" spans="1:1" ht="12.75">
      <c r="A3309" s="2" t="s">
        <v>335</v>
      </c>
    </row>
    <row r="3310" spans="1:1" ht="12.75">
      <c r="A3310" s="2" t="s">
        <v>335</v>
      </c>
    </row>
    <row r="3311" spans="1:1" ht="12.75">
      <c r="A3311" s="2" t="s">
        <v>335</v>
      </c>
    </row>
    <row r="3312" spans="1:1" ht="12.75">
      <c r="A3312" s="2" t="s">
        <v>335</v>
      </c>
    </row>
    <row r="3313" spans="1:1" ht="12.75">
      <c r="A3313" s="2" t="s">
        <v>335</v>
      </c>
    </row>
    <row r="3314" spans="1:1" ht="12.75">
      <c r="A3314" s="2" t="s">
        <v>335</v>
      </c>
    </row>
    <row r="3315" spans="1:1" ht="12.75">
      <c r="A3315" s="2" t="s">
        <v>337</v>
      </c>
    </row>
    <row r="3316" spans="1:1" ht="12.75">
      <c r="A3316" s="2">
        <v>8729</v>
      </c>
    </row>
    <row r="3317" spans="1:1" ht="12.75">
      <c r="A3317" s="2">
        <v>8729</v>
      </c>
    </row>
    <row r="3318" spans="1:1" ht="12.75">
      <c r="A3318" s="2">
        <v>8729</v>
      </c>
    </row>
    <row r="3319" spans="1:1" ht="12.75">
      <c r="A3319" s="2" t="s">
        <v>338</v>
      </c>
    </row>
    <row r="3323" spans="1:1" ht="12.75">
      <c r="A3323" s="2" t="s">
        <v>339</v>
      </c>
    </row>
    <row r="3324" spans="1:1" ht="12.75">
      <c r="A3324" s="2" t="s">
        <v>243</v>
      </c>
    </row>
    <row r="3325" spans="1:1" ht="12.75">
      <c r="A3325" s="2" t="s">
        <v>340</v>
      </c>
    </row>
    <row r="3326" spans="1:1" ht="12.75">
      <c r="A3326" s="2" t="s">
        <v>340</v>
      </c>
    </row>
    <row r="3327" spans="1:1" ht="12.75">
      <c r="A3327" s="2" t="s">
        <v>340</v>
      </c>
    </row>
    <row r="3331" spans="1:1" ht="12.75">
      <c r="A3331" s="2" t="s">
        <v>341</v>
      </c>
    </row>
    <row r="3332" spans="1:1" ht="12.75">
      <c r="A3332" s="2" t="s">
        <v>342</v>
      </c>
    </row>
    <row r="3333" spans="1:1" ht="12.75">
      <c r="A3333" s="2" t="s">
        <v>342</v>
      </c>
    </row>
    <row r="3334" spans="1:1" ht="12.75">
      <c r="A3334" s="2" t="s">
        <v>343</v>
      </c>
    </row>
    <row r="3335" spans="1:1" ht="12.75">
      <c r="A3335" s="2" t="s">
        <v>343</v>
      </c>
    </row>
    <row r="3336" spans="1:1" ht="12.75">
      <c r="A3336" s="2" t="s">
        <v>343</v>
      </c>
    </row>
    <row r="3337" spans="1:1" ht="12.75">
      <c r="A3337" s="2" t="s">
        <v>343</v>
      </c>
    </row>
    <row r="3338" spans="1:1" ht="12.75">
      <c r="A3338" s="2" t="s">
        <v>343</v>
      </c>
    </row>
    <row r="3339" spans="1:1" ht="12.75">
      <c r="A3339" s="2" t="s">
        <v>343</v>
      </c>
    </row>
    <row r="3340" spans="1:1" ht="12.75">
      <c r="A3340" s="2" t="s">
        <v>343</v>
      </c>
    </row>
    <row r="3341" spans="1:1" ht="12.75">
      <c r="A3341" s="2" t="s">
        <v>343</v>
      </c>
    </row>
    <row r="3342" spans="1:1" ht="12.75">
      <c r="A3342" s="2" t="s">
        <v>343</v>
      </c>
    </row>
    <row r="3343" spans="1:1" ht="12.75">
      <c r="A3343" s="2" t="s">
        <v>343</v>
      </c>
    </row>
    <row r="3344" spans="1:1" ht="12.75">
      <c r="A3344" s="2" t="s">
        <v>152</v>
      </c>
    </row>
    <row r="3345" spans="1:1" ht="12.75">
      <c r="A3345" s="2" t="s">
        <v>152</v>
      </c>
    </row>
    <row r="3347" spans="1:1" ht="12.75">
      <c r="A3347" s="2" t="s">
        <v>152</v>
      </c>
    </row>
    <row r="3348" spans="1:1" ht="12.75">
      <c r="A3348" s="2" t="s">
        <v>152</v>
      </c>
    </row>
    <row r="3349" spans="1:1" ht="12.75">
      <c r="A3349" s="2" t="s">
        <v>152</v>
      </c>
    </row>
    <row r="3350" spans="1:1" ht="12.75">
      <c r="A3350" s="2" t="s">
        <v>152</v>
      </c>
    </row>
    <row r="3351" spans="1:1" ht="12.75">
      <c r="A3351" s="2" t="s">
        <v>152</v>
      </c>
    </row>
    <row r="3352" spans="1:1" ht="12.75">
      <c r="A3352" s="2" t="s">
        <v>152</v>
      </c>
    </row>
    <row r="3353" spans="1:1" ht="12.75">
      <c r="A3353" s="2" t="s">
        <v>152</v>
      </c>
    </row>
    <row r="3354" spans="1:1" ht="12.75">
      <c r="A3354" s="2" t="s">
        <v>344</v>
      </c>
    </row>
    <row r="3355" spans="1:1" ht="12.75">
      <c r="A3355" s="2" t="s">
        <v>344</v>
      </c>
    </row>
    <row r="3356" spans="1:1" ht="12.75">
      <c r="A3356" s="2" t="s">
        <v>344</v>
      </c>
    </row>
    <row r="3364" spans="1:1" ht="12.75">
      <c r="A3364" s="2" t="s">
        <v>159</v>
      </c>
    </row>
    <row r="3365" spans="1:1" ht="12.75">
      <c r="A3365" s="2" t="s">
        <v>159</v>
      </c>
    </row>
    <row r="3366" spans="1:1" ht="12.75">
      <c r="A3366" s="2" t="s">
        <v>159</v>
      </c>
    </row>
    <row r="3367" spans="1:1" ht="12.75">
      <c r="A3367" s="2" t="s">
        <v>159</v>
      </c>
    </row>
    <row r="3368" spans="1:1" ht="12.75">
      <c r="A3368" s="2" t="s">
        <v>159</v>
      </c>
    </row>
    <row r="3369" spans="1:1" ht="12.75">
      <c r="A3369" s="2" t="s">
        <v>159</v>
      </c>
    </row>
    <row r="3370" spans="1:1" ht="12.75">
      <c r="A3370" s="2" t="s">
        <v>345</v>
      </c>
    </row>
    <row r="3371" spans="1:1" ht="12.75">
      <c r="A3371" s="2" t="s">
        <v>345</v>
      </c>
    </row>
    <row r="3372" spans="1:1" ht="12.75">
      <c r="A3372" s="2" t="s">
        <v>345</v>
      </c>
    </row>
    <row r="3373" spans="1:1" ht="12.75">
      <c r="A3373" s="2" t="s">
        <v>345</v>
      </c>
    </row>
    <row r="3374" spans="1:1" ht="12.75">
      <c r="A3374" s="2" t="s">
        <v>159</v>
      </c>
    </row>
    <row r="3375" spans="1:1" ht="12.75">
      <c r="A3375" s="2" t="s">
        <v>159</v>
      </c>
    </row>
    <row r="3376" spans="1:1" ht="12.75">
      <c r="A3376" s="2" t="s">
        <v>159</v>
      </c>
    </row>
    <row r="3377" spans="1:1" ht="12.75">
      <c r="A3377" s="2" t="s">
        <v>345</v>
      </c>
    </row>
    <row r="3378" spans="1:1" ht="12.75">
      <c r="A3378" s="2" t="s">
        <v>159</v>
      </c>
    </row>
    <row r="3379" spans="1:1" ht="12.75">
      <c r="A3379" s="2" t="s">
        <v>159</v>
      </c>
    </row>
    <row r="3380" spans="1:1" ht="12.75">
      <c r="A3380" s="2" t="s">
        <v>159</v>
      </c>
    </row>
    <row r="3381" spans="1:1" ht="12.75">
      <c r="A3381" s="2" t="s">
        <v>345</v>
      </c>
    </row>
    <row r="3382" spans="1:1" ht="12.75">
      <c r="A3382" s="2" t="s">
        <v>345</v>
      </c>
    </row>
    <row r="3383" spans="1:1" ht="12.75">
      <c r="A3383" s="2" t="s">
        <v>345</v>
      </c>
    </row>
    <row r="3384" spans="1:1" ht="12.75">
      <c r="A3384" s="2" t="s">
        <v>345</v>
      </c>
    </row>
    <row r="3385" spans="1:1" ht="12.75">
      <c r="A3385" s="2" t="s">
        <v>247</v>
      </c>
    </row>
    <row r="3386" spans="1:1" ht="12.75">
      <c r="A3386" s="2" t="s">
        <v>159</v>
      </c>
    </row>
    <row r="3387" spans="1:1" ht="12.75">
      <c r="A3387" s="2" t="s">
        <v>247</v>
      </c>
    </row>
    <row r="3388" spans="1:1" ht="12.75">
      <c r="A3388" s="2" t="s">
        <v>247</v>
      </c>
    </row>
    <row r="3389" spans="1:1" ht="12.75">
      <c r="A3389" s="2" t="s">
        <v>247</v>
      </c>
    </row>
    <row r="3390" spans="1:1" ht="12.75">
      <c r="A3390" s="2" t="s">
        <v>345</v>
      </c>
    </row>
    <row r="3391" spans="1:1" ht="12.75">
      <c r="A3391" s="2" t="s">
        <v>159</v>
      </c>
    </row>
    <row r="3392" spans="1:1" ht="12.75">
      <c r="A3392" s="2" t="s">
        <v>247</v>
      </c>
    </row>
    <row r="3393" spans="1:1" ht="12.75">
      <c r="A3393" s="2" t="s">
        <v>159</v>
      </c>
    </row>
    <row r="3394" spans="1:1" ht="12.75">
      <c r="A3394" s="2" t="s">
        <v>159</v>
      </c>
    </row>
    <row r="3395" spans="1:1" ht="12.75">
      <c r="A3395" s="2" t="s">
        <v>159</v>
      </c>
    </row>
    <row r="3396" spans="1:1" ht="12.75">
      <c r="A3396" s="2" t="s">
        <v>345</v>
      </c>
    </row>
    <row r="3397" spans="1:1" ht="12.75">
      <c r="A3397" s="2" t="s">
        <v>345</v>
      </c>
    </row>
    <row r="3398" spans="1:1" ht="12.75">
      <c r="A3398" s="2" t="s">
        <v>345</v>
      </c>
    </row>
    <row r="3399" spans="1:1" ht="12.75">
      <c r="A3399" s="2" t="s">
        <v>159</v>
      </c>
    </row>
    <row r="3400" spans="1:1" ht="12.75">
      <c r="A3400" s="2" t="s">
        <v>345</v>
      </c>
    </row>
    <row r="3401" spans="1:1" ht="12.75">
      <c r="A3401" s="2" t="s">
        <v>345</v>
      </c>
    </row>
    <row r="3402" spans="1:1" ht="12.75">
      <c r="A3402" s="2" t="s">
        <v>159</v>
      </c>
    </row>
    <row r="3403" spans="1:1" ht="12.75">
      <c r="A3403" s="2" t="s">
        <v>159</v>
      </c>
    </row>
    <row r="3404" spans="1:1" ht="12.75">
      <c r="A3404" s="2" t="s">
        <v>159</v>
      </c>
    </row>
    <row r="3405" spans="1:1" ht="12.75">
      <c r="A3405" s="2" t="s">
        <v>345</v>
      </c>
    </row>
    <row r="3406" spans="1:1" ht="12.75">
      <c r="A3406" s="2" t="s">
        <v>188</v>
      </c>
    </row>
    <row r="3407" spans="1:1" ht="12.75">
      <c r="A3407" s="2" t="s">
        <v>188</v>
      </c>
    </row>
    <row r="3408" spans="1:1" ht="12.75">
      <c r="A3408" s="2" t="s">
        <v>188</v>
      </c>
    </row>
    <row r="3409" spans="1:1" ht="12.75">
      <c r="A3409" s="2" t="s">
        <v>188</v>
      </c>
    </row>
    <row r="3410" spans="1:1" ht="12.75">
      <c r="A3410" s="2" t="s">
        <v>188</v>
      </c>
    </row>
    <row r="3411" spans="1:1" ht="12.75">
      <c r="A3411" s="2" t="s">
        <v>188</v>
      </c>
    </row>
    <row r="3412" spans="1:1" ht="12.75">
      <c r="A3412" s="2" t="s">
        <v>188</v>
      </c>
    </row>
    <row r="3414" spans="1:1" ht="12.75">
      <c r="A3414" s="2" t="s">
        <v>188</v>
      </c>
    </row>
    <row r="3418" spans="1:1" ht="12.75">
      <c r="A3418" s="2" t="s">
        <v>188</v>
      </c>
    </row>
    <row r="3419" spans="1:1" ht="12.75">
      <c r="A3419" s="2" t="s">
        <v>188</v>
      </c>
    </row>
    <row r="3420" spans="1:1" ht="12.75">
      <c r="A3420" s="2" t="s">
        <v>188</v>
      </c>
    </row>
    <row r="3421" spans="1:1" ht="12.75">
      <c r="A3421" s="2" t="s">
        <v>188</v>
      </c>
    </row>
    <row r="3422" spans="1:1" ht="12.75">
      <c r="A3422" s="2" t="s">
        <v>188</v>
      </c>
    </row>
    <row r="3423" spans="1:1" ht="12.75">
      <c r="A3423" s="2" t="s">
        <v>188</v>
      </c>
    </row>
    <row r="3424" spans="1:1" ht="12.75">
      <c r="A3424" s="2" t="s">
        <v>188</v>
      </c>
    </row>
    <row r="3425" spans="1:1" ht="12.75">
      <c r="A3425" s="2" t="s">
        <v>188</v>
      </c>
    </row>
    <row r="3426" spans="1:1" ht="12.75">
      <c r="A3426" s="2" t="s">
        <v>188</v>
      </c>
    </row>
    <row r="3427" spans="1:1" ht="12.75">
      <c r="A3427" s="2" t="s">
        <v>188</v>
      </c>
    </row>
    <row r="3428" spans="1:1" ht="12.75">
      <c r="A3428" s="2" t="s">
        <v>188</v>
      </c>
    </row>
    <row r="3429" spans="1:1" ht="12.75">
      <c r="A3429" s="2" t="s">
        <v>188</v>
      </c>
    </row>
    <row r="3430" spans="1:1" ht="12.75">
      <c r="A3430" s="2" t="s">
        <v>188</v>
      </c>
    </row>
    <row r="3431" spans="1:1" ht="12.75">
      <c r="A3431" s="2" t="s">
        <v>188</v>
      </c>
    </row>
    <row r="3432" spans="1:1" ht="12.75">
      <c r="A3432" s="2" t="s">
        <v>188</v>
      </c>
    </row>
    <row r="3433" spans="1:1" ht="12.75">
      <c r="A3433" s="2" t="s">
        <v>188</v>
      </c>
    </row>
    <row r="3434" spans="1:1" ht="12.75">
      <c r="A3434" s="2" t="s">
        <v>188</v>
      </c>
    </row>
    <row r="3435" spans="1:1" ht="12.75">
      <c r="A3435" s="2" t="s">
        <v>188</v>
      </c>
    </row>
    <row r="3436" spans="1:1" ht="12.75">
      <c r="A3436" s="2" t="s">
        <v>215</v>
      </c>
    </row>
    <row r="3437" spans="1:1" ht="12.75">
      <c r="A3437" s="2" t="s">
        <v>215</v>
      </c>
    </row>
    <row r="3438" spans="1:1" ht="12.75">
      <c r="A3438" s="2" t="s">
        <v>153</v>
      </c>
    </row>
    <row r="3439" spans="1:1" ht="12.75">
      <c r="A3439" s="2" t="s">
        <v>153</v>
      </c>
    </row>
    <row r="3443" spans="1:1" ht="12.75">
      <c r="A3443" s="2" t="s">
        <v>153</v>
      </c>
    </row>
    <row r="3444" spans="1:1" ht="12.75">
      <c r="A3444" s="2" t="s">
        <v>153</v>
      </c>
    </row>
    <row r="3449" spans="1:1" ht="12.75">
      <c r="A3449" s="2" t="s">
        <v>153</v>
      </c>
    </row>
    <row r="3451" spans="1:1" ht="12.75">
      <c r="A3451" s="2" t="s">
        <v>346</v>
      </c>
    </row>
    <row r="3452" spans="1:1" ht="12.75">
      <c r="A3452" s="2" t="s">
        <v>346</v>
      </c>
    </row>
    <row r="3453" spans="1:1" ht="12.75">
      <c r="A3453" s="2" t="s">
        <v>346</v>
      </c>
    </row>
    <row r="3456" spans="1:1" ht="12.75">
      <c r="A3456" s="2" t="s">
        <v>347</v>
      </c>
    </row>
    <row r="3457" spans="1:1" ht="12.75">
      <c r="A3457" s="2" t="s">
        <v>347</v>
      </c>
    </row>
    <row r="3458" spans="1:1" ht="12.75">
      <c r="A3458" s="2" t="s">
        <v>347</v>
      </c>
    </row>
    <row r="3462" spans="1:1" ht="12.75">
      <c r="A3462" s="2" t="s">
        <v>348</v>
      </c>
    </row>
    <row r="3463" spans="1:1" ht="12.75">
      <c r="A3463" s="2" t="s">
        <v>348</v>
      </c>
    </row>
    <row r="3471" spans="1:1" ht="12.75">
      <c r="A3471" s="2" t="s">
        <v>348</v>
      </c>
    </row>
    <row r="3472" spans="1:1" ht="12.75">
      <c r="A3472" s="2" t="s">
        <v>348</v>
      </c>
    </row>
    <row r="3473" spans="1:1" ht="12.75">
      <c r="A3473" s="2" t="s">
        <v>348</v>
      </c>
    </row>
    <row r="3474" spans="1:1" ht="12.75">
      <c r="A3474" s="2" t="s">
        <v>348</v>
      </c>
    </row>
    <row r="3475" spans="1:1" ht="12.75">
      <c r="A3475" s="2" t="s">
        <v>348</v>
      </c>
    </row>
    <row r="3476" spans="1:1" ht="12.75">
      <c r="A3476" s="2" t="s">
        <v>348</v>
      </c>
    </row>
    <row r="3477" spans="1:1" ht="12.75">
      <c r="A3477" s="2" t="s">
        <v>348</v>
      </c>
    </row>
    <row r="3478" spans="1:1" ht="12.75">
      <c r="A3478" s="2" t="s">
        <v>348</v>
      </c>
    </row>
    <row r="3479" spans="1:1" ht="12.75">
      <c r="A3479" s="2" t="s">
        <v>348</v>
      </c>
    </row>
    <row r="3480" spans="1:1" ht="12.75">
      <c r="A3480" s="2" t="s">
        <v>348</v>
      </c>
    </row>
    <row r="3481" spans="1:1" ht="12.75">
      <c r="A3481" s="2" t="s">
        <v>348</v>
      </c>
    </row>
    <row r="3482" spans="1:1" ht="12.75">
      <c r="A3482" s="2" t="s">
        <v>348</v>
      </c>
    </row>
    <row r="3483" spans="1:1" ht="12.75">
      <c r="A3483" s="2" t="s">
        <v>348</v>
      </c>
    </row>
    <row r="3486" spans="1:1" ht="12.75">
      <c r="A3486" s="2" t="s">
        <v>349</v>
      </c>
    </row>
    <row r="3487" spans="1:1" ht="12.75">
      <c r="A3487" s="2" t="s">
        <v>148</v>
      </c>
    </row>
    <row r="3488" spans="1:1" ht="12.75">
      <c r="A3488" s="2" t="s">
        <v>209</v>
      </c>
    </row>
    <row r="3489" spans="1:1" ht="12.75">
      <c r="A3489" s="2" t="s">
        <v>148</v>
      </c>
    </row>
    <row r="3490" spans="1:1" ht="12.75">
      <c r="A3490" s="2" t="s">
        <v>148</v>
      </c>
    </row>
    <row r="3491" spans="1:1" ht="12.75">
      <c r="A3491" s="2" t="s">
        <v>209</v>
      </c>
    </row>
    <row r="3492" spans="1:1" ht="12.75">
      <c r="A3492" s="2" t="s">
        <v>209</v>
      </c>
    </row>
    <row r="3493" spans="1:1" ht="12.75">
      <c r="A3493" s="2" t="s">
        <v>210</v>
      </c>
    </row>
    <row r="3494" spans="1:1" ht="12.75">
      <c r="A3494" s="2" t="s">
        <v>210</v>
      </c>
    </row>
    <row r="3495" spans="1:1" ht="12.75">
      <c r="A3495" s="2" t="s">
        <v>210</v>
      </c>
    </row>
    <row r="3496" spans="1:1" ht="12.75">
      <c r="A3496" s="2" t="s">
        <v>350</v>
      </c>
    </row>
    <row r="3497" spans="1:1" ht="12.75">
      <c r="A3497" s="2" t="s">
        <v>211</v>
      </c>
    </row>
    <row r="3498" spans="1:1" ht="12.75">
      <c r="A3498" s="2" t="s">
        <v>211</v>
      </c>
    </row>
    <row r="3499" spans="1:1" ht="12.75">
      <c r="A3499" s="2" t="s">
        <v>211</v>
      </c>
    </row>
    <row r="3500" spans="1:1" ht="12.75">
      <c r="A3500" s="2" t="s">
        <v>211</v>
      </c>
    </row>
    <row r="3501" spans="1:1" ht="12.75">
      <c r="A3501" s="2" t="s">
        <v>212</v>
      </c>
    </row>
    <row r="3502" spans="1:1" ht="12.75">
      <c r="A3502" s="2" t="s">
        <v>212</v>
      </c>
    </row>
    <row r="3503" spans="1:1" ht="12.75">
      <c r="A3503" s="2" t="s">
        <v>212</v>
      </c>
    </row>
    <row r="3504" spans="1:1" ht="12.75">
      <c r="A3504" s="2" t="s">
        <v>212</v>
      </c>
    </row>
    <row r="3505" spans="1:1" ht="12.75">
      <c r="A3505" s="2" t="s">
        <v>212</v>
      </c>
    </row>
    <row r="3506" spans="1:1" ht="12.75">
      <c r="A3506" s="2" t="s">
        <v>212</v>
      </c>
    </row>
    <row r="3508" spans="1:1" ht="12.75">
      <c r="A3508" s="2" t="s">
        <v>202</v>
      </c>
    </row>
    <row r="3509" spans="1:1" ht="12.75">
      <c r="A3509" s="2" t="s">
        <v>202</v>
      </c>
    </row>
    <row r="3510" spans="1:1" ht="12.75">
      <c r="A3510" s="2" t="s">
        <v>202</v>
      </c>
    </row>
    <row r="3511" spans="1:1" ht="12.75">
      <c r="A3511" s="2" t="s">
        <v>202</v>
      </c>
    </row>
    <row r="3512" spans="1:1" ht="12.75">
      <c r="A3512" s="2" t="s">
        <v>202</v>
      </c>
    </row>
    <row r="3513" spans="1:1" ht="12.75">
      <c r="A3513" s="2" t="s">
        <v>202</v>
      </c>
    </row>
    <row r="3514" spans="1:1" ht="12.75">
      <c r="A3514" s="2" t="s">
        <v>202</v>
      </c>
    </row>
    <row r="3515" spans="1:1" ht="12.75">
      <c r="A3515" s="2" t="s">
        <v>202</v>
      </c>
    </row>
    <row r="3516" spans="1:1" ht="12.75">
      <c r="A3516" s="2" t="s">
        <v>202</v>
      </c>
    </row>
    <row r="3517" spans="1:1" ht="12.75">
      <c r="A3517" s="2" t="s">
        <v>202</v>
      </c>
    </row>
    <row r="3518" spans="1:1" ht="12.75">
      <c r="A3518" s="2" t="s">
        <v>201</v>
      </c>
    </row>
    <row r="3519" spans="1:1" ht="12.75">
      <c r="A3519" s="2" t="s">
        <v>201</v>
      </c>
    </row>
    <row r="3520" spans="1:1" ht="12.75">
      <c r="A3520" s="2" t="s">
        <v>201</v>
      </c>
    </row>
    <row r="3521" spans="1:1" ht="12.75">
      <c r="A3521" s="2" t="s">
        <v>201</v>
      </c>
    </row>
    <row r="3522" spans="1:1" ht="12.75">
      <c r="A3522" s="2" t="s">
        <v>206</v>
      </c>
    </row>
    <row r="3523" spans="1:1" ht="12.75">
      <c r="A3523" s="2" t="s">
        <v>206</v>
      </c>
    </row>
    <row r="3524" spans="1:1" ht="12.75">
      <c r="A3524" s="2" t="s">
        <v>206</v>
      </c>
    </row>
    <row r="3525" spans="1:1" ht="12.75">
      <c r="A3525" s="2" t="s">
        <v>206</v>
      </c>
    </row>
    <row r="3526" spans="1:1" ht="12.75">
      <c r="A3526" s="2" t="s">
        <v>206</v>
      </c>
    </row>
    <row r="3527" spans="1:1" ht="12.75">
      <c r="A3527" s="2" t="s">
        <v>206</v>
      </c>
    </row>
    <row r="3528" spans="1:1" ht="12.75">
      <c r="A3528" s="2" t="s">
        <v>206</v>
      </c>
    </row>
    <row r="3529" spans="1:1" ht="12.75">
      <c r="A3529" s="2" t="s">
        <v>206</v>
      </c>
    </row>
    <row r="3530" spans="1:1" ht="12.75">
      <c r="A3530" s="2" t="s">
        <v>203</v>
      </c>
    </row>
    <row r="3531" spans="1:1" ht="12.75">
      <c r="A3531" s="2" t="s">
        <v>203</v>
      </c>
    </row>
    <row r="3532" spans="1:1" ht="12.75">
      <c r="A3532" s="2" t="s">
        <v>203</v>
      </c>
    </row>
    <row r="3533" spans="1:1" ht="12.75">
      <c r="A3533" s="2" t="s">
        <v>203</v>
      </c>
    </row>
    <row r="3534" spans="1:1" ht="12.75">
      <c r="A3534" s="2" t="s">
        <v>203</v>
      </c>
    </row>
    <row r="3535" spans="1:1" ht="12.75">
      <c r="A3535" s="2" t="s">
        <v>203</v>
      </c>
    </row>
    <row r="3536" spans="1:1" ht="12.75">
      <c r="A3536" s="2" t="s">
        <v>203</v>
      </c>
    </row>
    <row r="3537" spans="1:1" ht="12.75">
      <c r="A3537" s="2" t="s">
        <v>203</v>
      </c>
    </row>
    <row r="3539" spans="1:1" ht="12.75">
      <c r="A3539" s="2" t="s">
        <v>203</v>
      </c>
    </row>
    <row r="3540" spans="1:1" ht="12.75">
      <c r="A3540" s="2" t="s">
        <v>203</v>
      </c>
    </row>
    <row r="3541" spans="1:1" ht="12.75">
      <c r="A3541" s="2" t="s">
        <v>203</v>
      </c>
    </row>
    <row r="3542" spans="1:1" ht="12.75">
      <c r="A3542" s="2" t="s">
        <v>203</v>
      </c>
    </row>
    <row r="3543" spans="1:1" ht="12.75">
      <c r="A3543" s="2" t="s">
        <v>203</v>
      </c>
    </row>
    <row r="3544" spans="1:1" ht="12.75">
      <c r="A3544" s="2" t="s">
        <v>203</v>
      </c>
    </row>
    <row r="3545" spans="1:1" ht="12.75">
      <c r="A3545" s="2" t="s">
        <v>203</v>
      </c>
    </row>
    <row r="3547" spans="1:1" ht="12.75">
      <c r="A3547" s="2" t="s">
        <v>200</v>
      </c>
    </row>
    <row r="3548" spans="1:1" ht="12.75">
      <c r="A3548" s="2" t="s">
        <v>200</v>
      </c>
    </row>
    <row r="3549" spans="1:1" ht="12.75">
      <c r="A3549" s="2" t="s">
        <v>200</v>
      </c>
    </row>
    <row r="3550" spans="1:1" ht="12.75">
      <c r="A3550" s="2" t="s">
        <v>200</v>
      </c>
    </row>
    <row r="3551" spans="1:1" ht="12.75">
      <c r="A3551" s="2" t="s">
        <v>200</v>
      </c>
    </row>
    <row r="3552" spans="1:1" ht="12.75">
      <c r="A3552" s="2" t="s">
        <v>200</v>
      </c>
    </row>
    <row r="3553" spans="1:1" ht="12.75">
      <c r="A3553" s="2" t="s">
        <v>200</v>
      </c>
    </row>
    <row r="3554" spans="1:1" ht="12.75">
      <c r="A3554" s="2" t="s">
        <v>200</v>
      </c>
    </row>
    <row r="3555" spans="1:1" ht="12.75">
      <c r="A3555" s="2" t="s">
        <v>200</v>
      </c>
    </row>
    <row r="3556" spans="1:1" ht="12.75">
      <c r="A3556" s="2" t="s">
        <v>200</v>
      </c>
    </row>
    <row r="3557" spans="1:1" ht="12.75">
      <c r="A3557" s="2" t="s">
        <v>200</v>
      </c>
    </row>
    <row r="3558" spans="1:1" ht="12.75">
      <c r="A3558" s="2" t="s">
        <v>200</v>
      </c>
    </row>
    <row r="3559" spans="1:1" ht="12.75">
      <c r="A3559" s="2" t="s">
        <v>200</v>
      </c>
    </row>
    <row r="3560" spans="1:1" ht="12.75">
      <c r="A3560" s="2" t="s">
        <v>351</v>
      </c>
    </row>
    <row r="3561" spans="1:1" ht="12.75">
      <c r="A3561" s="2" t="s">
        <v>351</v>
      </c>
    </row>
    <row r="3562" spans="1:1" ht="12.75">
      <c r="A3562" s="2" t="s">
        <v>206</v>
      </c>
    </row>
    <row r="3563" spans="1:1" ht="12.75">
      <c r="A3563" s="2" t="s">
        <v>206</v>
      </c>
    </row>
    <row r="3564" spans="1:1" ht="12.75">
      <c r="A3564" s="2" t="s">
        <v>200</v>
      </c>
    </row>
    <row r="3565" spans="1:1" ht="12.75">
      <c r="A3565" s="2" t="s">
        <v>200</v>
      </c>
    </row>
    <row r="3566" spans="1:1" ht="12.75">
      <c r="A3566" s="2" t="s">
        <v>200</v>
      </c>
    </row>
    <row r="3567" spans="1:1" ht="12.75">
      <c r="A3567" s="2" t="s">
        <v>200</v>
      </c>
    </row>
    <row r="3568" spans="1:1" ht="12.75">
      <c r="A3568" s="2" t="s">
        <v>200</v>
      </c>
    </row>
    <row r="3569" spans="1:1" ht="12.75">
      <c r="A3569" s="2" t="s">
        <v>200</v>
      </c>
    </row>
    <row r="3570" spans="1:1" ht="12.75">
      <c r="A3570" s="2" t="s">
        <v>200</v>
      </c>
    </row>
    <row r="3571" spans="1:1" ht="12.75">
      <c r="A3571" s="2" t="s">
        <v>200</v>
      </c>
    </row>
    <row r="3572" spans="1:1" ht="12.75">
      <c r="A3572" s="2" t="s">
        <v>200</v>
      </c>
    </row>
    <row r="3573" spans="1:1" ht="12.75">
      <c r="A3573" s="2" t="s">
        <v>200</v>
      </c>
    </row>
    <row r="3574" spans="1:1" ht="12.75">
      <c r="A3574" s="2" t="s">
        <v>200</v>
      </c>
    </row>
    <row r="3575" spans="1:1" ht="12.75">
      <c r="A3575" s="2" t="s">
        <v>200</v>
      </c>
    </row>
    <row r="3576" spans="1:1" ht="12.75">
      <c r="A3576" s="2" t="s">
        <v>200</v>
      </c>
    </row>
    <row r="3577" spans="1:1" ht="12.75">
      <c r="A3577" s="2" t="s">
        <v>200</v>
      </c>
    </row>
    <row r="3578" spans="1:1" ht="12.75">
      <c r="A3578" s="2" t="s">
        <v>215</v>
      </c>
    </row>
    <row r="3579" spans="1:1" ht="12.75">
      <c r="A3579" s="2" t="s">
        <v>215</v>
      </c>
    </row>
    <row r="3580" spans="1:1" ht="12.75">
      <c r="A3580" s="2" t="s">
        <v>215</v>
      </c>
    </row>
    <row r="3581" spans="1:1" ht="12.75">
      <c r="A3581" s="2" t="s">
        <v>215</v>
      </c>
    </row>
    <row r="3582" spans="1:1" ht="12.75">
      <c r="A3582" s="2" t="s">
        <v>215</v>
      </c>
    </row>
    <row r="3583" spans="1:1" ht="12.75">
      <c r="A3583" s="2" t="s">
        <v>215</v>
      </c>
    </row>
    <row r="3584" spans="1:1" ht="12.75">
      <c r="A3584" s="2" t="s">
        <v>153</v>
      </c>
    </row>
    <row r="3585" spans="1:1" ht="12.75">
      <c r="A3585" s="2" t="s">
        <v>153</v>
      </c>
    </row>
    <row r="3586" spans="1:1" ht="12.75">
      <c r="A3586" s="2" t="s">
        <v>153</v>
      </c>
    </row>
    <row r="3587" spans="1:1" ht="12.75">
      <c r="A3587" s="2" t="s">
        <v>153</v>
      </c>
    </row>
    <row r="3588" spans="1:1" ht="12.75">
      <c r="A3588" s="2" t="s">
        <v>352</v>
      </c>
    </row>
    <row r="3589" spans="1:1" ht="12.75">
      <c r="A3589" s="2" t="s">
        <v>353</v>
      </c>
    </row>
    <row r="3590" spans="1:1" ht="12.75">
      <c r="A3590" s="2" t="s">
        <v>354</v>
      </c>
    </row>
    <row r="3592" spans="1:1" ht="12.75">
      <c r="A3592" s="2" t="s">
        <v>355</v>
      </c>
    </row>
    <row r="3593" spans="1:1" ht="12.75">
      <c r="A3593" s="2" t="s">
        <v>356</v>
      </c>
    </row>
    <row r="3594" spans="1:1" ht="12.75">
      <c r="A3594" s="2" t="s">
        <v>355</v>
      </c>
    </row>
    <row r="3636" spans="1:1" ht="12.75">
      <c r="A3636" s="2" t="s">
        <v>357</v>
      </c>
    </row>
    <row r="3637" spans="1:1" ht="12.75">
      <c r="A3637" s="2" t="s">
        <v>357</v>
      </c>
    </row>
    <row r="3638" spans="1:1" ht="12.75">
      <c r="A3638" s="2" t="s">
        <v>331</v>
      </c>
    </row>
    <row r="3639" spans="1:1" ht="12.75">
      <c r="A3639" s="2" t="s">
        <v>331</v>
      </c>
    </row>
    <row r="3640" spans="1:1" ht="12.75">
      <c r="A3640" s="2" t="s">
        <v>331</v>
      </c>
    </row>
    <row r="3641" spans="1:1" ht="12.75">
      <c r="A3641" s="2" t="s">
        <v>331</v>
      </c>
    </row>
    <row r="3642" spans="1:1" ht="12.75">
      <c r="A3642" s="2" t="s">
        <v>331</v>
      </c>
    </row>
    <row r="3643" spans="1:1" ht="12.75">
      <c r="A3643" s="2" t="s">
        <v>331</v>
      </c>
    </row>
    <row r="3644" spans="1:1" ht="12.75">
      <c r="A3644" s="2" t="s">
        <v>331</v>
      </c>
    </row>
    <row r="3645" spans="1:1" ht="12.75">
      <c r="A3645" s="2" t="s">
        <v>331</v>
      </c>
    </row>
    <row r="3646" spans="1:1" ht="12.75">
      <c r="A3646" s="2" t="s">
        <v>331</v>
      </c>
    </row>
    <row r="3647" spans="1:1" ht="12.75">
      <c r="A3647" s="2" t="s">
        <v>358</v>
      </c>
    </row>
    <row r="3648" spans="1:1" ht="12.75">
      <c r="A3648" s="2" t="s">
        <v>358</v>
      </c>
    </row>
    <row r="3649" spans="1:1" ht="12.75">
      <c r="A3649" s="2" t="s">
        <v>358</v>
      </c>
    </row>
    <row r="3650" spans="1:1" ht="12.75">
      <c r="A3650" s="2" t="s">
        <v>358</v>
      </c>
    </row>
    <row r="3651" spans="1:1" ht="12.75">
      <c r="A3651" s="2" t="s">
        <v>358</v>
      </c>
    </row>
    <row r="3652" spans="1:1" ht="12.75">
      <c r="A3652" s="2" t="s">
        <v>358</v>
      </c>
    </row>
    <row r="3653" spans="1:1" ht="12.75">
      <c r="A3653" s="2" t="s">
        <v>358</v>
      </c>
    </row>
    <row r="3654" spans="1:1" ht="12.75">
      <c r="A3654" s="2" t="s">
        <v>358</v>
      </c>
    </row>
    <row r="3655" spans="1:1" ht="12.75">
      <c r="A3655" s="2" t="s">
        <v>358</v>
      </c>
    </row>
    <row r="3656" spans="1:1" ht="12.75">
      <c r="A3656" s="2" t="s">
        <v>359</v>
      </c>
    </row>
    <row r="3657" spans="1:1" ht="12.75">
      <c r="A3657" s="2" t="s">
        <v>359</v>
      </c>
    </row>
    <row r="3658" spans="1:1" ht="12.75">
      <c r="A3658" s="2" t="s">
        <v>359</v>
      </c>
    </row>
    <row r="3659" spans="1:1" ht="12.75">
      <c r="A3659" s="2" t="s">
        <v>359</v>
      </c>
    </row>
    <row r="3660" spans="1:1" ht="12.75">
      <c r="A3660" s="2" t="s">
        <v>359</v>
      </c>
    </row>
    <row r="3661" spans="1:1" ht="12.75">
      <c r="A3661" s="2" t="s">
        <v>359</v>
      </c>
    </row>
    <row r="3662" spans="1:1" ht="12.75">
      <c r="A3662" s="2" t="s">
        <v>359</v>
      </c>
    </row>
    <row r="3663" spans="1:1" ht="12.75">
      <c r="A3663" s="2" t="s">
        <v>359</v>
      </c>
    </row>
    <row r="3664" spans="1:1" ht="12.75">
      <c r="A3664" s="2" t="s">
        <v>359</v>
      </c>
    </row>
    <row r="3665" spans="1:1" ht="12.75">
      <c r="A3665" s="2" t="s">
        <v>359</v>
      </c>
    </row>
    <row r="3666" spans="1:1" ht="12.75">
      <c r="A3666" s="2" t="s">
        <v>358</v>
      </c>
    </row>
    <row r="3667" spans="1:1" ht="12.75">
      <c r="A3667" s="2" t="s">
        <v>359</v>
      </c>
    </row>
    <row r="3668" spans="1:1" ht="12.75">
      <c r="A3668" s="2" t="s">
        <v>359</v>
      </c>
    </row>
    <row r="3669" spans="1:1" ht="12.75">
      <c r="A3669" s="2" t="s">
        <v>358</v>
      </c>
    </row>
    <row r="3670" spans="1:1" ht="12.75">
      <c r="A3670" s="2" t="s">
        <v>359</v>
      </c>
    </row>
    <row r="3671" spans="1:1" ht="12.75">
      <c r="A3671" s="2" t="s">
        <v>358</v>
      </c>
    </row>
    <row r="3672" spans="1:1" ht="12.75">
      <c r="A3672" s="2" t="s">
        <v>358</v>
      </c>
    </row>
    <row r="3673" spans="1:1" ht="12.75">
      <c r="A3673" s="2" t="s">
        <v>358</v>
      </c>
    </row>
    <row r="3674" spans="1:1" ht="12.75">
      <c r="A3674" s="2" t="s">
        <v>358</v>
      </c>
    </row>
    <row r="3675" spans="1:1" ht="12.75">
      <c r="A3675" s="2" t="s">
        <v>359</v>
      </c>
    </row>
    <row r="3676" spans="1:1" ht="12.75">
      <c r="A3676" s="2" t="s">
        <v>359</v>
      </c>
    </row>
    <row r="3677" spans="1:1" ht="12.75">
      <c r="A3677" s="2" t="s">
        <v>358</v>
      </c>
    </row>
    <row r="3678" spans="1:1" ht="12.75">
      <c r="A3678" s="2" t="s">
        <v>358</v>
      </c>
    </row>
    <row r="3679" spans="1:1" ht="12.75">
      <c r="A3679" s="2" t="s">
        <v>359</v>
      </c>
    </row>
    <row r="3680" spans="1:1" ht="12.75">
      <c r="A3680" s="2" t="s">
        <v>358</v>
      </c>
    </row>
    <row r="3681" spans="1:1" ht="12.75">
      <c r="A3681" s="2" t="s">
        <v>358</v>
      </c>
    </row>
    <row r="3682" spans="1:1" ht="12.75">
      <c r="A3682" s="2" t="s">
        <v>359</v>
      </c>
    </row>
    <row r="3683" spans="1:1" ht="12.75">
      <c r="A3683" s="2" t="s">
        <v>359</v>
      </c>
    </row>
    <row r="3684" spans="1:1" ht="12.75">
      <c r="A3684" s="2" t="s">
        <v>358</v>
      </c>
    </row>
    <row r="3685" spans="1:1" ht="12.75">
      <c r="A3685" s="2" t="s">
        <v>359</v>
      </c>
    </row>
    <row r="3686" spans="1:1" ht="12.75">
      <c r="A3686" s="2" t="s">
        <v>359</v>
      </c>
    </row>
    <row r="3687" spans="1:1" ht="12.75">
      <c r="A3687" s="2" t="s">
        <v>358</v>
      </c>
    </row>
    <row r="3688" spans="1:1" ht="12.75">
      <c r="A3688" s="2" t="s">
        <v>358</v>
      </c>
    </row>
    <row r="3689" spans="1:1" ht="12.75">
      <c r="A3689" s="2" t="s">
        <v>358</v>
      </c>
    </row>
    <row r="3690" spans="1:1" ht="12.75">
      <c r="A3690" s="2" t="s">
        <v>358</v>
      </c>
    </row>
    <row r="3691" spans="1:1" ht="12.75">
      <c r="A3691" s="2" t="s">
        <v>359</v>
      </c>
    </row>
    <row r="3692" spans="1:1" ht="12.75">
      <c r="A3692" s="2" t="s">
        <v>359</v>
      </c>
    </row>
    <row r="3693" spans="1:1" ht="12.75">
      <c r="A3693" s="2" t="s">
        <v>359</v>
      </c>
    </row>
    <row r="3694" spans="1:1" ht="12.75">
      <c r="A3694" s="2" t="s">
        <v>359</v>
      </c>
    </row>
    <row r="3695" spans="1:1" ht="12.75">
      <c r="A3695" s="2" t="s">
        <v>359</v>
      </c>
    </row>
    <row r="3696" spans="1:1" ht="12.75">
      <c r="A3696" s="2" t="s">
        <v>359</v>
      </c>
    </row>
    <row r="3697" spans="1:1" ht="12.75">
      <c r="A3697" s="2" t="s">
        <v>360</v>
      </c>
    </row>
    <row r="3704" spans="1:1" ht="12.75">
      <c r="A3704" s="2" t="s">
        <v>361</v>
      </c>
    </row>
    <row r="3705" spans="1:1" ht="12.75">
      <c r="A3705" s="2" t="s">
        <v>361</v>
      </c>
    </row>
    <row r="3706" spans="1:1" ht="12.75">
      <c r="A3706" s="2" t="s">
        <v>361</v>
      </c>
    </row>
    <row r="3707" spans="1:1" ht="12.75">
      <c r="A3707" s="2" t="s">
        <v>361</v>
      </c>
    </row>
    <row r="3718" spans="1:1" ht="12.75">
      <c r="A3718" s="2" t="s">
        <v>362</v>
      </c>
    </row>
    <row r="3719" spans="1:1" ht="12.75">
      <c r="A3719" s="2" t="s">
        <v>362</v>
      </c>
    </row>
    <row r="3720" spans="1:1" ht="12.75">
      <c r="A3720" s="2" t="s">
        <v>362</v>
      </c>
    </row>
    <row r="3721" spans="1:1" ht="12.75">
      <c r="A3721" s="2" t="s">
        <v>362</v>
      </c>
    </row>
    <row r="3722" spans="1:1" ht="12.75">
      <c r="A3722" s="2" t="s">
        <v>362</v>
      </c>
    </row>
    <row r="3723" spans="1:1" ht="12.75">
      <c r="A3723" s="2" t="s">
        <v>363</v>
      </c>
    </row>
    <row r="3724" spans="1:1" ht="12.75">
      <c r="A3724" s="2" t="s">
        <v>363</v>
      </c>
    </row>
    <row r="3725" spans="1:1" ht="12.75">
      <c r="A3725" s="2" t="s">
        <v>363</v>
      </c>
    </row>
    <row r="3726" spans="1:1" ht="12.75">
      <c r="A3726" s="2" t="s">
        <v>363</v>
      </c>
    </row>
    <row r="3727" spans="1:1" ht="12.75">
      <c r="A3727" s="2" t="s">
        <v>363</v>
      </c>
    </row>
    <row r="3728" spans="1:1" ht="12.75">
      <c r="A3728" s="2" t="s">
        <v>363</v>
      </c>
    </row>
    <row r="3729" spans="1:1" ht="12.75">
      <c r="A3729" s="2" t="s">
        <v>363</v>
      </c>
    </row>
    <row r="3730" spans="1:1" ht="12.75">
      <c r="A3730" s="2" t="s">
        <v>363</v>
      </c>
    </row>
    <row r="3731" spans="1:1" ht="12.75">
      <c r="A3731" s="2" t="s">
        <v>363</v>
      </c>
    </row>
    <row r="3732" spans="1:1" ht="12.75">
      <c r="A3732" s="2" t="s">
        <v>363</v>
      </c>
    </row>
    <row r="3733" spans="1:1" ht="12.75">
      <c r="A3733" s="2" t="s">
        <v>363</v>
      </c>
    </row>
    <row r="3734" spans="1:1" ht="12.75">
      <c r="A3734" s="2" t="s">
        <v>363</v>
      </c>
    </row>
    <row r="3736" spans="1:1" ht="12.75">
      <c r="A3736" s="2" t="s">
        <v>363</v>
      </c>
    </row>
    <row r="3737" spans="1:1" ht="12.75">
      <c r="A3737" s="2" t="s">
        <v>148</v>
      </c>
    </row>
    <row r="3738" spans="1:1" ht="12.75">
      <c r="A3738" s="2" t="s">
        <v>364</v>
      </c>
    </row>
    <row r="3739" spans="1:1" ht="12.75">
      <c r="A3739" s="2" t="s">
        <v>212</v>
      </c>
    </row>
    <row r="3740" spans="1:1" ht="12.75">
      <c r="A3740" s="2" t="s">
        <v>212</v>
      </c>
    </row>
    <row r="3741" spans="1:1" ht="12.75">
      <c r="A3741" s="2" t="s">
        <v>365</v>
      </c>
    </row>
    <row r="3742" spans="1:1" ht="12.75">
      <c r="A3742" s="2" t="s">
        <v>365</v>
      </c>
    </row>
    <row r="3743" spans="1:1" ht="12.75">
      <c r="A3743" s="2" t="s">
        <v>366</v>
      </c>
    </row>
    <row r="3744" spans="1:1" ht="12.75">
      <c r="A3744" s="2" t="s">
        <v>148</v>
      </c>
    </row>
    <row r="3745" spans="1:1" ht="12.75">
      <c r="A3745" s="2" t="s">
        <v>209</v>
      </c>
    </row>
    <row r="3746" spans="1:1" ht="12.75">
      <c r="A3746" s="2" t="s">
        <v>209</v>
      </c>
    </row>
    <row r="3747" spans="1:1" ht="12.75">
      <c r="A3747" s="2" t="s">
        <v>209</v>
      </c>
    </row>
    <row r="3748" spans="1:1" ht="12.75">
      <c r="A3748" s="2" t="s">
        <v>209</v>
      </c>
    </row>
    <row r="3749" spans="1:1" ht="12.75">
      <c r="A3749" s="2" t="s">
        <v>210</v>
      </c>
    </row>
    <row r="3750" spans="1:1" ht="12.75">
      <c r="A3750" s="2" t="s">
        <v>210</v>
      </c>
    </row>
    <row r="3751" spans="1:1" ht="12.75">
      <c r="A3751" s="2" t="s">
        <v>211</v>
      </c>
    </row>
    <row r="3752" spans="1:1" ht="12.75">
      <c r="A3752" s="2" t="s">
        <v>148</v>
      </c>
    </row>
    <row r="3753" spans="1:1" ht="12.75">
      <c r="A3753" s="2" t="s">
        <v>209</v>
      </c>
    </row>
    <row r="3754" spans="1:1" ht="12.75">
      <c r="A3754" s="2" t="s">
        <v>210</v>
      </c>
    </row>
    <row r="3756" spans="1:1" ht="12.75">
      <c r="A3756" s="2" t="s">
        <v>367</v>
      </c>
    </row>
    <row r="3758" spans="1:1" ht="12.75">
      <c r="A3758" s="2" t="s">
        <v>367</v>
      </c>
    </row>
    <row r="3761" spans="1:1" ht="12.75">
      <c r="A3761" s="2" t="s">
        <v>367</v>
      </c>
    </row>
    <row r="3763" spans="1:1" ht="12.75">
      <c r="A3763" s="2" t="s">
        <v>368</v>
      </c>
    </row>
    <row r="3764" spans="1:1" ht="12.75">
      <c r="A3764" s="2" t="s">
        <v>369</v>
      </c>
    </row>
    <row r="3765" spans="1:1" ht="12.75">
      <c r="A3765" s="2" t="s">
        <v>370</v>
      </c>
    </row>
    <row r="3766" spans="1:1" ht="12.75">
      <c r="A3766" s="2" t="s">
        <v>370</v>
      </c>
    </row>
    <row r="3767" spans="1:1" ht="12.75">
      <c r="A3767" s="2" t="s">
        <v>369</v>
      </c>
    </row>
    <row r="3768" spans="1:1" ht="12.75">
      <c r="A3768" s="2" t="s">
        <v>369</v>
      </c>
    </row>
    <row r="3769" spans="1:1" ht="12.75">
      <c r="A3769" s="2" t="s">
        <v>152</v>
      </c>
    </row>
    <row r="3770" spans="1:1" ht="12.75">
      <c r="A3770" s="2" t="s">
        <v>152</v>
      </c>
    </row>
    <row r="3771" spans="1:1" ht="12.75">
      <c r="A3771" s="2" t="s">
        <v>152</v>
      </c>
    </row>
    <row r="3772" spans="1:1" ht="12.75">
      <c r="A3772" s="2" t="s">
        <v>152</v>
      </c>
    </row>
    <row r="3773" spans="1:1" ht="12.75">
      <c r="A3773" s="2" t="s">
        <v>152</v>
      </c>
    </row>
    <row r="3774" spans="1:1" ht="12.75">
      <c r="A3774" s="2" t="s">
        <v>152</v>
      </c>
    </row>
    <row r="3775" spans="1:1" ht="12.75">
      <c r="A3775" s="2" t="s">
        <v>152</v>
      </c>
    </row>
    <row r="3796" spans="1:1" ht="12.75">
      <c r="A3796" s="2" t="s">
        <v>228</v>
      </c>
    </row>
    <row r="3797" spans="1:1" ht="12.75">
      <c r="A3797" s="2" t="s">
        <v>228</v>
      </c>
    </row>
    <row r="3798" spans="1:1" ht="12.75">
      <c r="A3798" s="2" t="s">
        <v>228</v>
      </c>
    </row>
    <row r="3799" spans="1:1" ht="12.75">
      <c r="A3799" s="2" t="s">
        <v>228</v>
      </c>
    </row>
    <row r="3800" spans="1:1" ht="12.75">
      <c r="A3800" s="2" t="s">
        <v>228</v>
      </c>
    </row>
    <row r="3801" spans="1:1" ht="12.75">
      <c r="A3801" s="2" t="s">
        <v>228</v>
      </c>
    </row>
    <row r="3802" spans="1:1" ht="12.75">
      <c r="A3802" s="2" t="s">
        <v>228</v>
      </c>
    </row>
    <row r="3803" spans="1:1" ht="12.75">
      <c r="A3803" s="2" t="s">
        <v>228</v>
      </c>
    </row>
    <row r="3804" spans="1:1" ht="12.75">
      <c r="A3804" s="2" t="s">
        <v>228</v>
      </c>
    </row>
    <row r="3805" spans="1:1" ht="12.75">
      <c r="A3805" s="2" t="s">
        <v>228</v>
      </c>
    </row>
    <row r="3806" spans="1:1" ht="12.75">
      <c r="A3806" s="2" t="s">
        <v>228</v>
      </c>
    </row>
    <row r="3807" spans="1:1" ht="12.75">
      <c r="A3807" s="2" t="s">
        <v>228</v>
      </c>
    </row>
    <row r="3808" spans="1:1" ht="12.75">
      <c r="A3808" s="2" t="s">
        <v>228</v>
      </c>
    </row>
    <row r="3809" spans="1:1" ht="12.75">
      <c r="A3809" s="2" t="s">
        <v>228</v>
      </c>
    </row>
    <row r="3810" spans="1:1" ht="12.75">
      <c r="A3810" s="2" t="s">
        <v>228</v>
      </c>
    </row>
    <row r="3811" spans="1:1" ht="12.75">
      <c r="A3811" s="2" t="s">
        <v>228</v>
      </c>
    </row>
    <row r="3812" spans="1:1" ht="12.75">
      <c r="A3812" s="2" t="s">
        <v>228</v>
      </c>
    </row>
    <row r="3813" spans="1:1" ht="12.75">
      <c r="A3813" s="2" t="s">
        <v>228</v>
      </c>
    </row>
    <row r="3814" spans="1:1" ht="12.75">
      <c r="A3814" s="2" t="s">
        <v>228</v>
      </c>
    </row>
    <row r="3815" spans="1:1" ht="12.75">
      <c r="A3815" s="2" t="s">
        <v>371</v>
      </c>
    </row>
    <row r="3816" spans="1:1" ht="12.75">
      <c r="A3816" s="2" t="s">
        <v>371</v>
      </c>
    </row>
    <row r="3817" spans="1:1" ht="12.75">
      <c r="A3817" s="2" t="s">
        <v>371</v>
      </c>
    </row>
    <row r="3818" spans="1:1" ht="12.75">
      <c r="A3818" s="2" t="s">
        <v>371</v>
      </c>
    </row>
    <row r="3819" spans="1:1" ht="12.75">
      <c r="A3819" s="2" t="s">
        <v>273</v>
      </c>
    </row>
    <row r="3820" spans="1:1" ht="12.75">
      <c r="A3820" s="2" t="s">
        <v>273</v>
      </c>
    </row>
    <row r="3821" spans="1:1" ht="12.75">
      <c r="A3821" s="2" t="s">
        <v>272</v>
      </c>
    </row>
    <row r="3822" spans="1:1" ht="12.75">
      <c r="A3822" s="2" t="s">
        <v>272</v>
      </c>
    </row>
    <row r="3823" spans="1:1" ht="12.75">
      <c r="A3823" s="2" t="s">
        <v>269</v>
      </c>
    </row>
    <row r="3824" spans="1:1" ht="12.75">
      <c r="A3824" s="2" t="s">
        <v>270</v>
      </c>
    </row>
    <row r="3825" spans="1:1" ht="12.75">
      <c r="A3825" s="2" t="s">
        <v>269</v>
      </c>
    </row>
    <row r="3826" spans="1:1" ht="12.75">
      <c r="A3826" s="2" t="s">
        <v>271</v>
      </c>
    </row>
    <row r="3827" spans="1:1" ht="12.75">
      <c r="A3827" s="2" t="s">
        <v>270</v>
      </c>
    </row>
    <row r="3828" spans="1:1" ht="12.75">
      <c r="A3828" s="2" t="s">
        <v>268</v>
      </c>
    </row>
    <row r="3829" spans="1:1" ht="12.75">
      <c r="A3829" s="2" t="s">
        <v>270</v>
      </c>
    </row>
    <row r="3830" spans="1:1" ht="12.75">
      <c r="A3830" s="2" t="s">
        <v>269</v>
      </c>
    </row>
    <row r="3831" spans="1:1" ht="12.75">
      <c r="A3831" s="2" t="s">
        <v>268</v>
      </c>
    </row>
    <row r="3832" spans="1:1" ht="12.75">
      <c r="A3832" s="2" t="s">
        <v>269</v>
      </c>
    </row>
    <row r="3833" spans="1:1" ht="12.75">
      <c r="A3833" s="2" t="s">
        <v>271</v>
      </c>
    </row>
    <row r="3834" spans="1:1" ht="12.75">
      <c r="A3834" s="2" t="s">
        <v>268</v>
      </c>
    </row>
    <row r="3835" spans="1:1" ht="12.75">
      <c r="A3835" s="2" t="s">
        <v>271</v>
      </c>
    </row>
    <row r="3836" spans="1:1" ht="12.75">
      <c r="A3836" s="2" t="s">
        <v>273</v>
      </c>
    </row>
    <row r="3837" spans="1:1" ht="12.75">
      <c r="A3837" s="2" t="s">
        <v>268</v>
      </c>
    </row>
    <row r="3838" spans="1:1" ht="12.75">
      <c r="A3838" s="2" t="s">
        <v>273</v>
      </c>
    </row>
    <row r="3839" spans="1:1" ht="12.75">
      <c r="A3839" s="2" t="s">
        <v>270</v>
      </c>
    </row>
    <row r="3840" spans="1:1" ht="12.75">
      <c r="A3840" s="2" t="s">
        <v>268</v>
      </c>
    </row>
    <row r="3841" spans="1:1" ht="12.75">
      <c r="A3841" s="2" t="s">
        <v>268</v>
      </c>
    </row>
    <row r="3842" spans="1:1" ht="12.75">
      <c r="A3842" s="2" t="s">
        <v>269</v>
      </c>
    </row>
    <row r="3843" spans="1:1" ht="12.75">
      <c r="A3843" s="2" t="s">
        <v>269</v>
      </c>
    </row>
    <row r="3844" spans="1:1" ht="12.75">
      <c r="A3844" s="2" t="s">
        <v>272</v>
      </c>
    </row>
    <row r="3845" spans="1:1" ht="12.75">
      <c r="A3845" s="2" t="s">
        <v>271</v>
      </c>
    </row>
    <row r="3846" spans="1:1" ht="12.75">
      <c r="A3846" s="2" t="s">
        <v>269</v>
      </c>
    </row>
    <row r="3847" spans="1:1" ht="12.75">
      <c r="A3847" s="2" t="s">
        <v>269</v>
      </c>
    </row>
    <row r="3848" spans="1:1" ht="12.75">
      <c r="A3848" s="2" t="s">
        <v>271</v>
      </c>
    </row>
    <row r="3849" spans="1:1" ht="12.75">
      <c r="A3849" s="2" t="s">
        <v>268</v>
      </c>
    </row>
    <row r="3850" spans="1:1" ht="12.75">
      <c r="A3850" s="2" t="s">
        <v>268</v>
      </c>
    </row>
    <row r="3851" spans="1:1" ht="12.75">
      <c r="A3851" s="2" t="s">
        <v>273</v>
      </c>
    </row>
    <row r="3852" spans="1:1" ht="12.75">
      <c r="A3852" s="2" t="s">
        <v>273</v>
      </c>
    </row>
    <row r="3853" spans="1:1" ht="12.75">
      <c r="A3853" s="2" t="s">
        <v>270</v>
      </c>
    </row>
    <row r="3854" spans="1:1" ht="12.75">
      <c r="A3854" s="2" t="s">
        <v>270</v>
      </c>
    </row>
    <row r="3855" spans="1:1" ht="12.75">
      <c r="A3855" s="2" t="s">
        <v>268</v>
      </c>
    </row>
    <row r="3856" spans="1:1" ht="12.75">
      <c r="A3856" s="2" t="s">
        <v>270</v>
      </c>
    </row>
    <row r="3857" spans="1:1" ht="12.75">
      <c r="A3857" s="2" t="s">
        <v>270</v>
      </c>
    </row>
    <row r="3858" spans="1:1" ht="12.75">
      <c r="A3858" s="2" t="s">
        <v>273</v>
      </c>
    </row>
    <row r="3859" spans="1:1" ht="12.75">
      <c r="A3859" s="2" t="s">
        <v>268</v>
      </c>
    </row>
    <row r="3860" spans="1:1" ht="12.75">
      <c r="A3860" s="2" t="s">
        <v>271</v>
      </c>
    </row>
    <row r="3861" spans="1:1" ht="12.75">
      <c r="A3861" s="2" t="s">
        <v>272</v>
      </c>
    </row>
    <row r="3862" spans="1:1" ht="12.75">
      <c r="A3862" s="2" t="s">
        <v>273</v>
      </c>
    </row>
    <row r="3863" spans="1:1" ht="12.75">
      <c r="A3863" s="2" t="s">
        <v>269</v>
      </c>
    </row>
    <row r="3864" spans="1:1" ht="12.75">
      <c r="A3864" s="2" t="s">
        <v>270</v>
      </c>
    </row>
    <row r="3865" spans="1:1" ht="12.75">
      <c r="A3865" s="2" t="s">
        <v>269</v>
      </c>
    </row>
    <row r="3866" spans="1:1" ht="12.75">
      <c r="A3866" s="2" t="s">
        <v>271</v>
      </c>
    </row>
    <row r="3867" spans="1:1" ht="12.75">
      <c r="A3867" s="2" t="s">
        <v>273</v>
      </c>
    </row>
    <row r="3868" spans="1:1" ht="12.75">
      <c r="A3868" s="2" t="s">
        <v>270</v>
      </c>
    </row>
    <row r="3869" spans="1:1" ht="12.75">
      <c r="A3869" s="2" t="s">
        <v>271</v>
      </c>
    </row>
    <row r="3870" spans="1:1" ht="12.75">
      <c r="A3870" s="2" t="s">
        <v>270</v>
      </c>
    </row>
    <row r="3871" spans="1:1" ht="12.75">
      <c r="A3871" s="2" t="s">
        <v>271</v>
      </c>
    </row>
    <row r="3872" spans="1:1" ht="12.75">
      <c r="A3872" s="2" t="s">
        <v>273</v>
      </c>
    </row>
    <row r="3873" spans="1:1" ht="12.75">
      <c r="A3873" s="2" t="s">
        <v>268</v>
      </c>
    </row>
    <row r="3874" spans="1:1" ht="12.75">
      <c r="A3874" s="2" t="s">
        <v>269</v>
      </c>
    </row>
    <row r="3875" spans="1:1" ht="12.75">
      <c r="A3875" s="2" t="s">
        <v>268</v>
      </c>
    </row>
    <row r="3876" spans="1:1" ht="12.75">
      <c r="A3876" s="2" t="s">
        <v>269</v>
      </c>
    </row>
    <row r="3877" spans="1:1" ht="12.75">
      <c r="A3877" s="2" t="s">
        <v>269</v>
      </c>
    </row>
    <row r="3878" spans="1:1" ht="12.75">
      <c r="A3878" s="2" t="s">
        <v>272</v>
      </c>
    </row>
    <row r="3879" spans="1:1" ht="12.75">
      <c r="A3879" s="2" t="s">
        <v>272</v>
      </c>
    </row>
    <row r="3880" spans="1:1" ht="12.75">
      <c r="A3880" s="2" t="s">
        <v>270</v>
      </c>
    </row>
    <row r="3881" spans="1:1" ht="12.75">
      <c r="A3881" s="2" t="s">
        <v>272</v>
      </c>
    </row>
    <row r="3882" spans="1:1" ht="12.75">
      <c r="A3882" s="2" t="s">
        <v>268</v>
      </c>
    </row>
    <row r="3883" spans="1:1" ht="12.75">
      <c r="A3883" s="2" t="s">
        <v>273</v>
      </c>
    </row>
    <row r="3884" spans="1:1" ht="12.75">
      <c r="A3884" s="2" t="s">
        <v>269</v>
      </c>
    </row>
    <row r="3885" spans="1:1" ht="12.75">
      <c r="A3885" s="2" t="s">
        <v>270</v>
      </c>
    </row>
    <row r="3886" spans="1:1" ht="12.75">
      <c r="A3886" s="2" t="s">
        <v>273</v>
      </c>
    </row>
    <row r="3887" spans="1:1" ht="12.75">
      <c r="A3887" s="2" t="s">
        <v>271</v>
      </c>
    </row>
    <row r="3888" spans="1:1" ht="12.75">
      <c r="A3888" s="2" t="s">
        <v>273</v>
      </c>
    </row>
    <row r="3889" spans="1:1" ht="12.75">
      <c r="A3889" s="2" t="s">
        <v>268</v>
      </c>
    </row>
    <row r="3890" spans="1:1" ht="12.75">
      <c r="A3890" s="2" t="s">
        <v>272</v>
      </c>
    </row>
    <row r="3891" spans="1:1" ht="12.75">
      <c r="A3891" s="2" t="s">
        <v>268</v>
      </c>
    </row>
    <row r="3892" spans="1:1" ht="12.75">
      <c r="A3892" s="2" t="s">
        <v>272</v>
      </c>
    </row>
    <row r="3893" spans="1:1" ht="12.75">
      <c r="A3893" s="2" t="s">
        <v>271</v>
      </c>
    </row>
    <row r="3894" spans="1:1" ht="12.75">
      <c r="A3894" s="2" t="s">
        <v>272</v>
      </c>
    </row>
    <row r="3895" spans="1:1" ht="12.75">
      <c r="A3895" s="2" t="s">
        <v>268</v>
      </c>
    </row>
    <row r="3896" spans="1:1" ht="12.75">
      <c r="A3896" s="2" t="s">
        <v>268</v>
      </c>
    </row>
    <row r="3897" spans="1:1" ht="12.75">
      <c r="A3897" s="2" t="s">
        <v>268</v>
      </c>
    </row>
    <row r="3898" spans="1:1" ht="12.75">
      <c r="A3898" s="2" t="s">
        <v>268</v>
      </c>
    </row>
    <row r="3899" spans="1:1" ht="12.75">
      <c r="A3899" s="2" t="s">
        <v>270</v>
      </c>
    </row>
    <row r="3900" spans="1:1" ht="12.75">
      <c r="A3900" s="2" t="s">
        <v>269</v>
      </c>
    </row>
    <row r="3901" spans="1:1" ht="12.75">
      <c r="A3901" s="2" t="s">
        <v>272</v>
      </c>
    </row>
    <row r="3902" spans="1:1" ht="12.75">
      <c r="A3902" s="2" t="s">
        <v>268</v>
      </c>
    </row>
    <row r="3903" spans="1:1" ht="12.75">
      <c r="A3903" s="2" t="s">
        <v>269</v>
      </c>
    </row>
    <row r="3904" spans="1:1" ht="12.75">
      <c r="A3904" s="2" t="s">
        <v>268</v>
      </c>
    </row>
    <row r="3905" spans="1:1" ht="12.75">
      <c r="A3905" s="2" t="s">
        <v>273</v>
      </c>
    </row>
    <row r="3906" spans="1:1" ht="12.75">
      <c r="A3906" s="2" t="s">
        <v>269</v>
      </c>
    </row>
    <row r="3907" spans="1:1" ht="12.75">
      <c r="A3907" s="2" t="s">
        <v>273</v>
      </c>
    </row>
    <row r="3908" spans="1:1" ht="12.75">
      <c r="A3908" s="2" t="s">
        <v>271</v>
      </c>
    </row>
    <row r="3909" spans="1:1" ht="12.75">
      <c r="A3909" s="2" t="s">
        <v>271</v>
      </c>
    </row>
    <row r="3910" spans="1:1" ht="12.75">
      <c r="A3910" s="2" t="s">
        <v>270</v>
      </c>
    </row>
    <row r="3911" spans="1:1" ht="12.75">
      <c r="A3911" s="2" t="s">
        <v>272</v>
      </c>
    </row>
    <row r="3912" spans="1:1" ht="12.75">
      <c r="A3912" s="2" t="s">
        <v>271</v>
      </c>
    </row>
    <row r="3913" spans="1:1" ht="12.75">
      <c r="A3913" s="2" t="s">
        <v>269</v>
      </c>
    </row>
    <row r="3914" spans="1:1" ht="12.75">
      <c r="A3914" s="2" t="s">
        <v>273</v>
      </c>
    </row>
    <row r="3915" spans="1:1" ht="12.75">
      <c r="A3915" s="2" t="s">
        <v>268</v>
      </c>
    </row>
    <row r="3916" spans="1:1" ht="12.75">
      <c r="A3916" s="2" t="s">
        <v>271</v>
      </c>
    </row>
    <row r="3917" spans="1:1" ht="12.75">
      <c r="A3917" s="2" t="s">
        <v>272</v>
      </c>
    </row>
    <row r="3918" spans="1:1" ht="12.75">
      <c r="A3918" s="2" t="s">
        <v>268</v>
      </c>
    </row>
    <row r="3919" spans="1:1" ht="12.75">
      <c r="A3919" s="2" t="s">
        <v>190</v>
      </c>
    </row>
    <row r="3920" spans="1:1" ht="12.75">
      <c r="A3920" s="2" t="s">
        <v>372</v>
      </c>
    </row>
    <row r="3921" spans="1:1" ht="12.75">
      <c r="A3921" s="2" t="s">
        <v>311</v>
      </c>
    </row>
    <row r="3922" spans="1:1" ht="12.75">
      <c r="A3922" s="2" t="s">
        <v>309</v>
      </c>
    </row>
    <row r="3923" spans="1:1" ht="12.75">
      <c r="A3923" s="2" t="s">
        <v>312</v>
      </c>
    </row>
    <row r="3924" spans="1:1" ht="12.75">
      <c r="A3924" s="2" t="s">
        <v>311</v>
      </c>
    </row>
    <row r="3925" spans="1:1" ht="12.75">
      <c r="A3925" s="2" t="s">
        <v>312</v>
      </c>
    </row>
    <row r="3926" spans="1:1" ht="12.75">
      <c r="A3926" s="2" t="s">
        <v>311</v>
      </c>
    </row>
    <row r="3927" spans="1:1" ht="12.75">
      <c r="A3927" s="2" t="s">
        <v>190</v>
      </c>
    </row>
    <row r="3928" spans="1:1" ht="12.75">
      <c r="A3928" s="2" t="s">
        <v>190</v>
      </c>
    </row>
    <row r="3929" spans="1:1" ht="12.75">
      <c r="A3929" s="2" t="s">
        <v>311</v>
      </c>
    </row>
    <row r="3930" spans="1:1" ht="12.75">
      <c r="A3930" s="2" t="s">
        <v>372</v>
      </c>
    </row>
    <row r="3931" spans="1:1" ht="12.75">
      <c r="A3931" s="2" t="s">
        <v>312</v>
      </c>
    </row>
    <row r="3932" spans="1:1" ht="12.75">
      <c r="A3932" s="2" t="s">
        <v>310</v>
      </c>
    </row>
    <row r="3933" spans="1:1" ht="12.75">
      <c r="A3933" s="2" t="s">
        <v>312</v>
      </c>
    </row>
    <row r="3934" spans="1:1" ht="12.75">
      <c r="A3934" s="2" t="s">
        <v>312</v>
      </c>
    </row>
    <row r="3935" spans="1:1" ht="12.75">
      <c r="A3935" s="2" t="s">
        <v>373</v>
      </c>
    </row>
    <row r="3937" spans="1:1" ht="12.75">
      <c r="A3937" s="2" t="s">
        <v>374</v>
      </c>
    </row>
    <row r="3938" spans="1:1" ht="12.75">
      <c r="A3938" s="2" t="s">
        <v>375</v>
      </c>
    </row>
    <row r="3939" spans="1:1" ht="12.75">
      <c r="A3939" s="2" t="s">
        <v>150</v>
      </c>
    </row>
    <row r="3940" spans="1:1" ht="12.75">
      <c r="A3940" s="2" t="s">
        <v>150</v>
      </c>
    </row>
    <row r="3941" spans="1:1" ht="12.75">
      <c r="A3941" s="2" t="s">
        <v>150</v>
      </c>
    </row>
    <row r="3942" spans="1:1" ht="12.75">
      <c r="A3942" s="2" t="s">
        <v>150</v>
      </c>
    </row>
    <row r="3943" spans="1:1" ht="12.75">
      <c r="A3943" s="2" t="s">
        <v>150</v>
      </c>
    </row>
    <row r="3944" spans="1:1" ht="12.75">
      <c r="A3944" s="2" t="s">
        <v>150</v>
      </c>
    </row>
    <row r="3945" spans="1:1" ht="12.75">
      <c r="A3945" s="2" t="s">
        <v>150</v>
      </c>
    </row>
    <row r="3946" spans="1:1" ht="12.75">
      <c r="A3946" s="2" t="s">
        <v>150</v>
      </c>
    </row>
    <row r="3947" spans="1:1" ht="12.75">
      <c r="A3947" s="2" t="s">
        <v>150</v>
      </c>
    </row>
    <row r="3948" spans="1:1" ht="12.75">
      <c r="A3948" s="2" t="s">
        <v>150</v>
      </c>
    </row>
    <row r="3949" spans="1:1" ht="12.75">
      <c r="A3949" s="2" t="s">
        <v>150</v>
      </c>
    </row>
    <row r="3950" spans="1:1" ht="12.75">
      <c r="A3950" s="2" t="s">
        <v>150</v>
      </c>
    </row>
    <row r="3951" spans="1:1" ht="12.75">
      <c r="A3951" s="2" t="s">
        <v>150</v>
      </c>
    </row>
    <row r="3952" spans="1:1" ht="12.75">
      <c r="A3952" s="2" t="s">
        <v>150</v>
      </c>
    </row>
    <row r="3953" spans="1:1" ht="12.75">
      <c r="A3953" s="2" t="s">
        <v>150</v>
      </c>
    </row>
    <row r="3954" spans="1:1" ht="12.75">
      <c r="A3954" s="2" t="s">
        <v>150</v>
      </c>
    </row>
    <row r="3955" spans="1:1" ht="12.75">
      <c r="A3955" s="2" t="s">
        <v>150</v>
      </c>
    </row>
    <row r="3956" spans="1:1" ht="12.75">
      <c r="A3956" s="2" t="s">
        <v>150</v>
      </c>
    </row>
    <row r="3957" spans="1:1" ht="12.75">
      <c r="A3957" s="2" t="s">
        <v>150</v>
      </c>
    </row>
    <row r="3958" spans="1:1" ht="12.75">
      <c r="A3958" s="2" t="s">
        <v>150</v>
      </c>
    </row>
    <row r="3959" spans="1:1" ht="12.75">
      <c r="A3959" s="2" t="s">
        <v>376</v>
      </c>
    </row>
    <row r="3960" spans="1:1" ht="12.75">
      <c r="A3960" s="2" t="s">
        <v>376</v>
      </c>
    </row>
    <row r="3961" spans="1:1" ht="12.75">
      <c r="A3961" s="2" t="s">
        <v>377</v>
      </c>
    </row>
    <row r="3962" spans="1:1" ht="12.75">
      <c r="A3962" s="2" t="s">
        <v>377</v>
      </c>
    </row>
    <row r="3963" spans="1:1" ht="12.75">
      <c r="A3963" s="2" t="s">
        <v>377</v>
      </c>
    </row>
    <row r="3964" spans="1:1" ht="12.75">
      <c r="A3964" s="2" t="s">
        <v>376</v>
      </c>
    </row>
    <row r="3965" spans="1:1" ht="12.75">
      <c r="A3965" s="2" t="s">
        <v>377</v>
      </c>
    </row>
    <row r="3966" spans="1:1" ht="12.75">
      <c r="A3966" s="2" t="s">
        <v>377</v>
      </c>
    </row>
    <row r="3969" spans="1:1" ht="12.75">
      <c r="A3969" s="2" t="s">
        <v>378</v>
      </c>
    </row>
    <row r="3970" spans="1:1" ht="12.75">
      <c r="A3970" s="2" t="s">
        <v>378</v>
      </c>
    </row>
    <row r="3971" spans="1:1" ht="12.75">
      <c r="A3971" s="2" t="s">
        <v>378</v>
      </c>
    </row>
    <row r="3972" spans="1:1" ht="12.75">
      <c r="A3972" s="2" t="s">
        <v>264</v>
      </c>
    </row>
    <row r="3973" spans="1:1" ht="12.75">
      <c r="A3973" s="2" t="s">
        <v>264</v>
      </c>
    </row>
    <row r="3974" spans="1:1" ht="12.75">
      <c r="A3974" s="2" t="s">
        <v>379</v>
      </c>
    </row>
    <row r="3975" spans="1:1" ht="12.75">
      <c r="A3975" s="2" t="s">
        <v>379</v>
      </c>
    </row>
    <row r="3976" spans="1:1" ht="12.75">
      <c r="A3976" s="2" t="s">
        <v>380</v>
      </c>
    </row>
    <row r="3977" spans="1:1" ht="12.75">
      <c r="A3977" s="2" t="s">
        <v>381</v>
      </c>
    </row>
    <row r="3978" spans="1:1" ht="12.75">
      <c r="A3978" s="2" t="s">
        <v>381</v>
      </c>
    </row>
    <row r="3979" spans="1:1" ht="12.75">
      <c r="A3979" s="2" t="s">
        <v>380</v>
      </c>
    </row>
    <row r="3980" spans="1:1" ht="12.75">
      <c r="A3980" s="2" t="s">
        <v>380</v>
      </c>
    </row>
    <row r="3987" spans="1:1" ht="12.75">
      <c r="A3987" s="2" t="s">
        <v>188</v>
      </c>
    </row>
    <row r="3988" spans="1:1" ht="12.75">
      <c r="A3988" s="2" t="s">
        <v>188</v>
      </c>
    </row>
    <row r="3989" spans="1:1" ht="12.75">
      <c r="A3989" s="2" t="s">
        <v>188</v>
      </c>
    </row>
    <row r="3990" spans="1:1" ht="12.75">
      <c r="A3990" s="2" t="s">
        <v>188</v>
      </c>
    </row>
    <row r="3993" spans="1:1" ht="12.75">
      <c r="A3993" s="2" t="s">
        <v>188</v>
      </c>
    </row>
    <row r="3994" spans="1:1" ht="12.75">
      <c r="A3994" s="2" t="s">
        <v>188</v>
      </c>
    </row>
    <row r="3995" spans="1:1" ht="12.75">
      <c r="A3995" s="2" t="s">
        <v>188</v>
      </c>
    </row>
    <row r="3996" spans="1:1" ht="12.75">
      <c r="A3996" s="2" t="s">
        <v>188</v>
      </c>
    </row>
    <row r="3997" spans="1:1" ht="12.75">
      <c r="A3997" s="2" t="s">
        <v>188</v>
      </c>
    </row>
    <row r="3998" spans="1:1" ht="12.75">
      <c r="A3998" s="2" t="s">
        <v>188</v>
      </c>
    </row>
    <row r="4001" spans="1:1" ht="12.75">
      <c r="A4001" s="2" t="s">
        <v>382</v>
      </c>
    </row>
    <row r="4002" spans="1:1" ht="12.75">
      <c r="A4002" s="2" t="s">
        <v>382</v>
      </c>
    </row>
    <row r="4003" spans="1:1" ht="12.75">
      <c r="A4003" s="2" t="s">
        <v>383</v>
      </c>
    </row>
    <row r="4004" spans="1:1" ht="12.75">
      <c r="A4004" s="2" t="s">
        <v>384</v>
      </c>
    </row>
    <row r="4005" spans="1:1" ht="12.75">
      <c r="A4005" s="2" t="s">
        <v>384</v>
      </c>
    </row>
    <row r="4006" spans="1:1" ht="12.75">
      <c r="A4006" s="2" t="s">
        <v>382</v>
      </c>
    </row>
    <row r="4007" spans="1:1" ht="12.75">
      <c r="A4007" s="2" t="s">
        <v>384</v>
      </c>
    </row>
    <row r="4008" spans="1:1" ht="12.75">
      <c r="A4008" s="2" t="s">
        <v>384</v>
      </c>
    </row>
    <row r="4009" spans="1:1" ht="12.75">
      <c r="A4009" s="2" t="s">
        <v>385</v>
      </c>
    </row>
    <row r="4010" spans="1:1" ht="12.75">
      <c r="A4010" s="2" t="s">
        <v>386</v>
      </c>
    </row>
    <row r="4011" spans="1:1" ht="12.75">
      <c r="A4011" s="2" t="s">
        <v>387</v>
      </c>
    </row>
    <row r="4012" spans="1:1" ht="12.75">
      <c r="A4012" s="2" t="s">
        <v>383</v>
      </c>
    </row>
    <row r="4014" spans="1:1" ht="12.75">
      <c r="A4014" s="2" t="s">
        <v>388</v>
      </c>
    </row>
    <row r="4015" spans="1:1" ht="12.75">
      <c r="A4015" s="2" t="s">
        <v>388</v>
      </c>
    </row>
    <row r="4016" spans="1:1" ht="12.75">
      <c r="A4016" s="2" t="s">
        <v>389</v>
      </c>
    </row>
    <row r="4017" spans="1:1" ht="12.75">
      <c r="A4017" s="2" t="s">
        <v>388</v>
      </c>
    </row>
    <row r="4018" spans="1:1" ht="12.75">
      <c r="A4018" s="2" t="s">
        <v>388</v>
      </c>
    </row>
    <row r="4019" spans="1:1" ht="12.75">
      <c r="A4019" s="2" t="s">
        <v>388</v>
      </c>
    </row>
    <row r="4020" spans="1:1" ht="12.75">
      <c r="A4020" s="2" t="s">
        <v>388</v>
      </c>
    </row>
    <row r="4021" spans="1:1" ht="12.75">
      <c r="A4021" s="2" t="s">
        <v>388</v>
      </c>
    </row>
    <row r="4022" spans="1:1" ht="12.75">
      <c r="A4022" s="2" t="s">
        <v>388</v>
      </c>
    </row>
    <row r="4023" spans="1:1" ht="12.75">
      <c r="A4023" s="2" t="s">
        <v>390</v>
      </c>
    </row>
    <row r="4025" spans="1:1" ht="12.75">
      <c r="A4025" s="2" t="s">
        <v>390</v>
      </c>
    </row>
    <row r="4027" spans="1:1" ht="12.75">
      <c r="A4027" s="2" t="s">
        <v>390</v>
      </c>
    </row>
    <row r="4029" spans="1:1" ht="12.75">
      <c r="A4029" s="2" t="s">
        <v>390</v>
      </c>
    </row>
    <row r="4030" spans="1:1" ht="12.75">
      <c r="A4030" s="2" t="s">
        <v>390</v>
      </c>
    </row>
    <row r="4031" spans="1:1" ht="12.75">
      <c r="A4031" s="2" t="s">
        <v>390</v>
      </c>
    </row>
    <row r="4032" spans="1:1" ht="12.75">
      <c r="A4032" s="2" t="s">
        <v>390</v>
      </c>
    </row>
    <row r="4033" spans="1:1" ht="12.75">
      <c r="A4033" s="2" t="s">
        <v>390</v>
      </c>
    </row>
    <row r="4034" spans="1:1" ht="12.75">
      <c r="A4034" s="2" t="s">
        <v>390</v>
      </c>
    </row>
    <row r="4035" spans="1:1" ht="12.75">
      <c r="A4035" s="2" t="s">
        <v>390</v>
      </c>
    </row>
    <row r="4036" spans="1:1" ht="12.75">
      <c r="A4036" s="2" t="s">
        <v>390</v>
      </c>
    </row>
    <row r="4037" spans="1:1" ht="12.75">
      <c r="A4037" s="2" t="s">
        <v>390</v>
      </c>
    </row>
    <row r="4038" spans="1:1" ht="12.75">
      <c r="A4038" s="2" t="s">
        <v>390</v>
      </c>
    </row>
    <row r="4039" spans="1:1" ht="12.75">
      <c r="A4039" s="2" t="s">
        <v>390</v>
      </c>
    </row>
    <row r="4040" spans="1:1" ht="12.75">
      <c r="A4040" s="2" t="s">
        <v>390</v>
      </c>
    </row>
    <row r="4041" spans="1:1" ht="12.75">
      <c r="A4041" s="2" t="s">
        <v>390</v>
      </c>
    </row>
    <row r="4042" spans="1:1" ht="12.75">
      <c r="A4042" s="2" t="s">
        <v>390</v>
      </c>
    </row>
    <row r="4043" spans="1:1" ht="12.75">
      <c r="A4043" s="2" t="s">
        <v>391</v>
      </c>
    </row>
    <row r="4046" spans="1:1" ht="12.75">
      <c r="A4046" s="2" t="s">
        <v>391</v>
      </c>
    </row>
    <row r="4047" spans="1:1" ht="12.75">
      <c r="A4047" s="2" t="s">
        <v>391</v>
      </c>
    </row>
    <row r="4048" spans="1:1" ht="12.75">
      <c r="A4048" s="2" t="s">
        <v>229</v>
      </c>
    </row>
    <row r="4049" spans="1:1" ht="12.75">
      <c r="A4049" s="2" t="s">
        <v>229</v>
      </c>
    </row>
    <row r="4050" spans="1:1" ht="12.75">
      <c r="A4050" s="2" t="s">
        <v>229</v>
      </c>
    </row>
    <row r="4051" spans="1:1" ht="12.75">
      <c r="A4051" s="2" t="s">
        <v>229</v>
      </c>
    </row>
    <row r="4054" spans="1:1" ht="12.75">
      <c r="A4054" s="2" t="s">
        <v>392</v>
      </c>
    </row>
    <row r="4057" spans="1:1" ht="12.75">
      <c r="A4057" s="2" t="s">
        <v>393</v>
      </c>
    </row>
    <row r="4058" spans="1:1" ht="12.75">
      <c r="A4058" s="2" t="s">
        <v>393</v>
      </c>
    </row>
    <row r="4059" spans="1:1" ht="12.75">
      <c r="A4059" s="2" t="s">
        <v>393</v>
      </c>
    </row>
    <row r="4060" spans="1:1" ht="12.75">
      <c r="A4060" s="2" t="s">
        <v>393</v>
      </c>
    </row>
    <row r="4061" spans="1:1" ht="12.75">
      <c r="A4061" s="2" t="s">
        <v>393</v>
      </c>
    </row>
    <row r="4062" spans="1:1" ht="12.75">
      <c r="A4062" s="2" t="s">
        <v>258</v>
      </c>
    </row>
    <row r="4063" spans="1:1" ht="12.75">
      <c r="A4063" s="2" t="s">
        <v>257</v>
      </c>
    </row>
    <row r="4064" spans="1:1" ht="12.75">
      <c r="A4064" s="2" t="s">
        <v>257</v>
      </c>
    </row>
    <row r="4065" spans="1:1" ht="12.75">
      <c r="A4065" s="2" t="s">
        <v>301</v>
      </c>
    </row>
    <row r="4066" spans="1:1" ht="12.75">
      <c r="A4066" s="2" t="s">
        <v>301</v>
      </c>
    </row>
    <row r="4067" spans="1:1" ht="12.75">
      <c r="A4067" s="2" t="s">
        <v>301</v>
      </c>
    </row>
    <row r="4068" spans="1:1" ht="12.75">
      <c r="A4068" s="2" t="s">
        <v>301</v>
      </c>
    </row>
    <row r="4069" spans="1:1" ht="12.75">
      <c r="A4069" s="2" t="s">
        <v>300</v>
      </c>
    </row>
    <row r="4070" spans="1:1" ht="12.75">
      <c r="A4070" s="2" t="s">
        <v>300</v>
      </c>
    </row>
    <row r="4071" spans="1:1" ht="12.75">
      <c r="A4071" s="2" t="s">
        <v>259</v>
      </c>
    </row>
    <row r="4072" spans="1:1" ht="12.75">
      <c r="A4072" s="2" t="s">
        <v>260</v>
      </c>
    </row>
    <row r="4073" spans="1:1" ht="12.75">
      <c r="A4073" s="2" t="s">
        <v>151</v>
      </c>
    </row>
    <row r="4074" spans="1:1" ht="12.75">
      <c r="A4074" s="2" t="s">
        <v>151</v>
      </c>
    </row>
    <row r="4075" spans="1:1" ht="12.75">
      <c r="A4075" s="2" t="s">
        <v>151</v>
      </c>
    </row>
    <row r="4076" spans="1:1" ht="12.75">
      <c r="A4076" s="2" t="s">
        <v>151</v>
      </c>
    </row>
    <row r="4077" spans="1:1" ht="12.75">
      <c r="A4077" s="2" t="s">
        <v>151</v>
      </c>
    </row>
    <row r="4078" spans="1:1" ht="12.75">
      <c r="A4078" s="2" t="s">
        <v>151</v>
      </c>
    </row>
    <row r="4079" spans="1:1" ht="12.75">
      <c r="A4079" s="2" t="s">
        <v>151</v>
      </c>
    </row>
    <row r="4080" spans="1:1" ht="12.75">
      <c r="A4080" s="2" t="s">
        <v>151</v>
      </c>
    </row>
    <row r="4081" spans="1:1" ht="12.75">
      <c r="A4081" s="2" t="s">
        <v>151</v>
      </c>
    </row>
    <row r="4082" spans="1:1" ht="12.75">
      <c r="A4082" s="2" t="s">
        <v>151</v>
      </c>
    </row>
    <row r="4083" spans="1:1" ht="12.75">
      <c r="A4083" s="2" t="s">
        <v>151</v>
      </c>
    </row>
    <row r="4084" spans="1:1" ht="12.75">
      <c r="A4084" s="2" t="s">
        <v>151</v>
      </c>
    </row>
    <row r="4085" spans="1:1" ht="12.75">
      <c r="A4085" s="2" t="s">
        <v>151</v>
      </c>
    </row>
    <row r="4086" spans="1:1" ht="12.75">
      <c r="A4086" s="2" t="s">
        <v>151</v>
      </c>
    </row>
    <row r="4087" spans="1:1" ht="12.75">
      <c r="A4087" s="2" t="s">
        <v>151</v>
      </c>
    </row>
    <row r="4088" spans="1:1" ht="12.75">
      <c r="A4088" s="2" t="s">
        <v>151</v>
      </c>
    </row>
    <row r="4089" spans="1:1" ht="12.75">
      <c r="A4089" s="2" t="s">
        <v>394</v>
      </c>
    </row>
    <row r="4090" spans="1:1" ht="12.75">
      <c r="A4090" s="2" t="s">
        <v>151</v>
      </c>
    </row>
    <row r="4091" spans="1:1" ht="12.75">
      <c r="A4091" s="2" t="s">
        <v>151</v>
      </c>
    </row>
    <row r="4092" spans="1:1" ht="12.75">
      <c r="A4092" s="2" t="s">
        <v>151</v>
      </c>
    </row>
    <row r="4093" spans="1:1" ht="12.75">
      <c r="A4093" s="2" t="s">
        <v>151</v>
      </c>
    </row>
    <row r="4094" spans="1:1" ht="12.75">
      <c r="A4094" s="2" t="s">
        <v>151</v>
      </c>
    </row>
    <row r="4095" spans="1:1" ht="12.75">
      <c r="A4095" s="2" t="s">
        <v>151</v>
      </c>
    </row>
    <row r="4096" spans="1:1" ht="12.75">
      <c r="A4096" s="2" t="s">
        <v>151</v>
      </c>
    </row>
    <row r="4097" spans="1:1" ht="12.75">
      <c r="A4097" s="2" t="s">
        <v>151</v>
      </c>
    </row>
    <row r="4098" spans="1:1" ht="12.75">
      <c r="A4098" s="2" t="s">
        <v>151</v>
      </c>
    </row>
    <row r="4099" spans="1:1" ht="12.75">
      <c r="A4099" s="2" t="s">
        <v>151</v>
      </c>
    </row>
    <row r="4100" spans="1:1" ht="12.75">
      <c r="A4100" s="2" t="s">
        <v>395</v>
      </c>
    </row>
    <row r="4102" spans="1:1" ht="12.75">
      <c r="A4102" s="2" t="s">
        <v>282</v>
      </c>
    </row>
    <row r="4106" spans="1:1" ht="12.75">
      <c r="A4106" s="2" t="s">
        <v>282</v>
      </c>
    </row>
    <row r="4112" spans="1:1" ht="12.75">
      <c r="A4112" s="2" t="s">
        <v>282</v>
      </c>
    </row>
    <row r="4121" spans="1:1" ht="12.75">
      <c r="A4121" s="2" t="s">
        <v>156</v>
      </c>
    </row>
    <row r="4122" spans="1:1" ht="12.75">
      <c r="A4122" s="2" t="s">
        <v>156</v>
      </c>
    </row>
    <row r="4123" spans="1:1" ht="12.75">
      <c r="A4123" s="2" t="s">
        <v>156</v>
      </c>
    </row>
    <row r="4124" spans="1:1" ht="12.75">
      <c r="A4124" s="2" t="s">
        <v>156</v>
      </c>
    </row>
    <row r="4126" spans="1:1" ht="12.75">
      <c r="A4126" s="2" t="s">
        <v>281</v>
      </c>
    </row>
    <row r="4131" spans="1:1" ht="12.75">
      <c r="A4131" s="2" t="s">
        <v>396</v>
      </c>
    </row>
    <row r="4132" spans="1:1" ht="12.75">
      <c r="A4132" s="2" t="s">
        <v>397</v>
      </c>
    </row>
    <row r="4133" spans="1:1" ht="12.75">
      <c r="A4133" s="2" t="s">
        <v>397</v>
      </c>
    </row>
    <row r="4134" spans="1:1" ht="12.75">
      <c r="A4134" s="2" t="s">
        <v>397</v>
      </c>
    </row>
    <row r="4135" spans="1:1" ht="12.75">
      <c r="A4135" s="2" t="s">
        <v>397</v>
      </c>
    </row>
    <row r="4136" spans="1:1" ht="12.75">
      <c r="A4136" s="2" t="s">
        <v>397</v>
      </c>
    </row>
    <row r="4137" spans="1:1" ht="12.75">
      <c r="A4137" s="2" t="s">
        <v>396</v>
      </c>
    </row>
    <row r="4138" spans="1:1" ht="12.75">
      <c r="A4138" s="2" t="s">
        <v>397</v>
      </c>
    </row>
    <row r="4139" spans="1:1" ht="12.75">
      <c r="A4139" s="2" t="s">
        <v>397</v>
      </c>
    </row>
    <row r="4140" spans="1:1" ht="12.75">
      <c r="A4140" s="2" t="s">
        <v>396</v>
      </c>
    </row>
    <row r="4141" spans="1:1" ht="12.75">
      <c r="A4141" s="2" t="s">
        <v>396</v>
      </c>
    </row>
    <row r="4142" spans="1:1" ht="12.75">
      <c r="A4142" s="2" t="s">
        <v>397</v>
      </c>
    </row>
    <row r="4143" spans="1:1" ht="12.75">
      <c r="A4143" s="2" t="s">
        <v>396</v>
      </c>
    </row>
    <row r="4144" spans="1:1" ht="12.75">
      <c r="A4144" s="2" t="s">
        <v>396</v>
      </c>
    </row>
    <row r="4145" spans="1:1" ht="12.75">
      <c r="A4145" s="2" t="s">
        <v>396</v>
      </c>
    </row>
    <row r="4146" spans="1:1" ht="12.75">
      <c r="A4146" s="2" t="s">
        <v>397</v>
      </c>
    </row>
    <row r="4147" spans="1:1" ht="12.75">
      <c r="A4147" s="2" t="s">
        <v>396</v>
      </c>
    </row>
    <row r="4150" spans="1:1" ht="12.75">
      <c r="A4150" s="2" t="s">
        <v>396</v>
      </c>
    </row>
    <row r="4151" spans="1:1" ht="12.75">
      <c r="A4151" s="2" t="s">
        <v>398</v>
      </c>
    </row>
    <row r="4152" spans="1:1" ht="12.75">
      <c r="A4152" s="2" t="s">
        <v>398</v>
      </c>
    </row>
    <row r="4153" spans="1:1" ht="12.75">
      <c r="A4153" s="2" t="s">
        <v>399</v>
      </c>
    </row>
    <row r="4154" spans="1:1" ht="12.75">
      <c r="A4154" s="2" t="s">
        <v>398</v>
      </c>
    </row>
    <row r="4155" spans="1:1" ht="12.75">
      <c r="A4155" s="2" t="s">
        <v>400</v>
      </c>
    </row>
    <row r="4156" spans="1:1" ht="12.75">
      <c r="A4156" s="2" t="s">
        <v>400</v>
      </c>
    </row>
    <row r="4157" spans="1:1" ht="12.75">
      <c r="A4157" s="2" t="s">
        <v>400</v>
      </c>
    </row>
    <row r="4158" spans="1:1" ht="12.75">
      <c r="A4158" s="2" t="s">
        <v>401</v>
      </c>
    </row>
    <row r="4166" spans="1:1" ht="12.75">
      <c r="A4166" s="2" t="s">
        <v>393</v>
      </c>
    </row>
    <row r="4167" spans="1:1" ht="12.75">
      <c r="A4167" s="2" t="s">
        <v>393</v>
      </c>
    </row>
    <row r="4168" spans="1:1" ht="12.75">
      <c r="A4168" s="2" t="s">
        <v>400</v>
      </c>
    </row>
    <row r="4169" spans="1:1" ht="12.75">
      <c r="A4169" s="2" t="s">
        <v>400</v>
      </c>
    </row>
    <row r="4170" spans="1:1" ht="12.75">
      <c r="A4170" s="2" t="s">
        <v>402</v>
      </c>
    </row>
    <row r="4171" spans="1:1" ht="12.75">
      <c r="A4171" s="2" t="s">
        <v>402</v>
      </c>
    </row>
    <row r="4172" spans="1:1" ht="12.75">
      <c r="A4172" s="2" t="s">
        <v>402</v>
      </c>
    </row>
    <row r="4173" spans="1:1" ht="12.75">
      <c r="A4173" s="2" t="s">
        <v>402</v>
      </c>
    </row>
    <row r="4174" spans="1:1" ht="12.75">
      <c r="A4174" s="2" t="s">
        <v>402</v>
      </c>
    </row>
    <row r="4175" spans="1:1" ht="12.75">
      <c r="A4175" s="2" t="s">
        <v>402</v>
      </c>
    </row>
    <row r="4176" spans="1:1" ht="12.75">
      <c r="A4176" s="2" t="s">
        <v>402</v>
      </c>
    </row>
    <row r="4177" spans="1:1" ht="12.75">
      <c r="A4177" s="2" t="s">
        <v>402</v>
      </c>
    </row>
    <row r="4179" spans="1:1" ht="12.75">
      <c r="A4179" s="2" t="s">
        <v>402</v>
      </c>
    </row>
    <row r="4190" spans="1:1" ht="12.75">
      <c r="A4190" s="2" t="s">
        <v>309</v>
      </c>
    </row>
    <row r="4191" spans="1:1" ht="12.75">
      <c r="A4191" s="2" t="s">
        <v>309</v>
      </c>
    </row>
    <row r="4192" spans="1:1" ht="12.75">
      <c r="A4192" s="2" t="s">
        <v>309</v>
      </c>
    </row>
    <row r="4193" spans="1:1" ht="12.75">
      <c r="A4193" s="2" t="s">
        <v>309</v>
      </c>
    </row>
    <row r="4194" spans="1:1" ht="12.75">
      <c r="A4194" s="2" t="s">
        <v>309</v>
      </c>
    </row>
    <row r="4195" spans="1:1" ht="12.75">
      <c r="A4195" s="2" t="s">
        <v>309</v>
      </c>
    </row>
    <row r="4196" spans="1:1" ht="12.75">
      <c r="A4196" s="2" t="s">
        <v>309</v>
      </c>
    </row>
    <row r="4197" spans="1:1" ht="12.75">
      <c r="A4197" s="2" t="s">
        <v>309</v>
      </c>
    </row>
    <row r="4198" spans="1:1" ht="12.75">
      <c r="A4198" s="2" t="s">
        <v>309</v>
      </c>
    </row>
    <row r="4199" spans="1:1" ht="12.75">
      <c r="A4199" s="2" t="s">
        <v>309</v>
      </c>
    </row>
    <row r="4200" spans="1:1" ht="12.75">
      <c r="A4200" s="2" t="s">
        <v>309</v>
      </c>
    </row>
    <row r="4201" spans="1:1" ht="12.75">
      <c r="A4201" s="2" t="s">
        <v>309</v>
      </c>
    </row>
    <row r="4202" spans="1:1" ht="12.75">
      <c r="A4202" s="2" t="s">
        <v>309</v>
      </c>
    </row>
    <row r="4203" spans="1:1" ht="12.75">
      <c r="A4203" s="2" t="s">
        <v>309</v>
      </c>
    </row>
    <row r="4204" spans="1:1" ht="12.75">
      <c r="A4204" s="2" t="s">
        <v>309</v>
      </c>
    </row>
    <row r="4205" spans="1:1" ht="12.75">
      <c r="A4205" s="2" t="s">
        <v>309</v>
      </c>
    </row>
    <row r="4206" spans="1:1" ht="12.75">
      <c r="A4206" s="2" t="s">
        <v>309</v>
      </c>
    </row>
    <row r="4207" spans="1:1" ht="12.75">
      <c r="A4207" s="2" t="s">
        <v>309</v>
      </c>
    </row>
    <row r="4208" spans="1:1" ht="12.75">
      <c r="A4208" s="2" t="s">
        <v>309</v>
      </c>
    </row>
    <row r="4209" spans="1:1" ht="12.75">
      <c r="A4209" s="2" t="s">
        <v>309</v>
      </c>
    </row>
    <row r="4210" spans="1:1" ht="12.75">
      <c r="A4210" s="2" t="s">
        <v>309</v>
      </c>
    </row>
    <row r="4211" spans="1:1" ht="12.75">
      <c r="A4211" s="2" t="s">
        <v>309</v>
      </c>
    </row>
    <row r="4212" spans="1:1" ht="12.75">
      <c r="A4212" s="2" t="s">
        <v>309</v>
      </c>
    </row>
    <row r="4213" spans="1:1" ht="12.75">
      <c r="A4213" s="2" t="s">
        <v>309</v>
      </c>
    </row>
    <row r="4214" spans="1:1" ht="12.75">
      <c r="A4214" s="2" t="s">
        <v>309</v>
      </c>
    </row>
    <row r="4215" spans="1:1" ht="12.75">
      <c r="A4215" s="2" t="s">
        <v>309</v>
      </c>
    </row>
    <row r="4216" spans="1:1" ht="12.75">
      <c r="A4216" s="2" t="s">
        <v>309</v>
      </c>
    </row>
    <row r="4217" spans="1:1" ht="12.75">
      <c r="A4217" s="2" t="s">
        <v>309</v>
      </c>
    </row>
    <row r="4218" spans="1:1" ht="12.75">
      <c r="A4218" s="2" t="s">
        <v>309</v>
      </c>
    </row>
    <row r="4219" spans="1:1" ht="12.75">
      <c r="A4219" s="2" t="s">
        <v>309</v>
      </c>
    </row>
    <row r="4220" spans="1:1" ht="12.75">
      <c r="A4220" s="2" t="s">
        <v>309</v>
      </c>
    </row>
    <row r="4221" spans="1:1" ht="12.75">
      <c r="A4221" s="2" t="s">
        <v>309</v>
      </c>
    </row>
    <row r="4222" spans="1:1" ht="12.75">
      <c r="A4222" s="2" t="s">
        <v>309</v>
      </c>
    </row>
    <row r="4223" spans="1:1" ht="12.75">
      <c r="A4223" s="2" t="s">
        <v>309</v>
      </c>
    </row>
    <row r="4224" spans="1:1" ht="12.75">
      <c r="A4224" s="2" t="s">
        <v>309</v>
      </c>
    </row>
    <row r="4225" spans="1:1" ht="12.75">
      <c r="A4225" s="2" t="s">
        <v>309</v>
      </c>
    </row>
    <row r="4226" spans="1:1" ht="12.75">
      <c r="A4226" s="2" t="s">
        <v>309</v>
      </c>
    </row>
    <row r="4227" spans="1:1" ht="12.75">
      <c r="A4227" s="2" t="s">
        <v>309</v>
      </c>
    </row>
    <row r="4228" spans="1:1" ht="12.75">
      <c r="A4228" s="2" t="s">
        <v>309</v>
      </c>
    </row>
    <row r="4229" spans="1:1" ht="12.75">
      <c r="A4229" s="2" t="s">
        <v>309</v>
      </c>
    </row>
    <row r="4230" spans="1:1" ht="12.75">
      <c r="A4230" s="2" t="s">
        <v>309</v>
      </c>
    </row>
    <row r="4231" spans="1:1" ht="12.75">
      <c r="A4231" s="2" t="s">
        <v>309</v>
      </c>
    </row>
    <row r="4232" spans="1:1" ht="12.75">
      <c r="A4232" s="2" t="s">
        <v>309</v>
      </c>
    </row>
    <row r="4233" spans="1:1" ht="12.75">
      <c r="A4233" s="2" t="s">
        <v>309</v>
      </c>
    </row>
    <row r="4234" spans="1:1" ht="12.75">
      <c r="A4234" s="2" t="s">
        <v>309</v>
      </c>
    </row>
    <row r="4235" spans="1:1" ht="12.75">
      <c r="A4235" s="2" t="s">
        <v>309</v>
      </c>
    </row>
    <row r="4236" spans="1:1" ht="12.75">
      <c r="A4236" s="2" t="s">
        <v>309</v>
      </c>
    </row>
    <row r="4237" spans="1:1" ht="12.75">
      <c r="A4237" s="2" t="s">
        <v>309</v>
      </c>
    </row>
    <row r="4238" spans="1:1" ht="12.75">
      <c r="A4238" s="2" t="s">
        <v>309</v>
      </c>
    </row>
    <row r="4239" spans="1:1" ht="12.75">
      <c r="A4239" s="2" t="s">
        <v>309</v>
      </c>
    </row>
    <row r="4240" spans="1:1" ht="12.75">
      <c r="A4240" s="2" t="s">
        <v>379</v>
      </c>
    </row>
    <row r="4241" spans="1:1" ht="12.75">
      <c r="A4241" s="2" t="s">
        <v>379</v>
      </c>
    </row>
    <row r="4242" spans="1:1" ht="12.75">
      <c r="A4242" s="2" t="s">
        <v>379</v>
      </c>
    </row>
    <row r="4243" spans="1:1" ht="12.75">
      <c r="A4243" s="2" t="s">
        <v>379</v>
      </c>
    </row>
    <row r="4244" spans="1:1" ht="12.75">
      <c r="A4244" s="2" t="s">
        <v>379</v>
      </c>
    </row>
    <row r="4245" spans="1:1" ht="12.75">
      <c r="A4245" s="2" t="s">
        <v>403</v>
      </c>
    </row>
    <row r="4246" spans="1:1" ht="12.75">
      <c r="A4246" s="2" t="s">
        <v>403</v>
      </c>
    </row>
    <row r="4247" spans="1:1" ht="12.75">
      <c r="A4247" s="2" t="s">
        <v>403</v>
      </c>
    </row>
    <row r="4248" spans="1:1" ht="12.75">
      <c r="A4248" s="2" t="s">
        <v>403</v>
      </c>
    </row>
    <row r="4249" spans="1:1" ht="12.75">
      <c r="A4249" s="2" t="s">
        <v>403</v>
      </c>
    </row>
    <row r="4250" spans="1:1" ht="12.75">
      <c r="A4250" s="2" t="s">
        <v>403</v>
      </c>
    </row>
    <row r="4251" spans="1:1" ht="12.75">
      <c r="A4251" s="2" t="s">
        <v>403</v>
      </c>
    </row>
    <row r="4252" spans="1:1" ht="12.75">
      <c r="A4252" s="2" t="s">
        <v>403</v>
      </c>
    </row>
    <row r="4253" spans="1:1" ht="12.75">
      <c r="A4253" s="2" t="s">
        <v>403</v>
      </c>
    </row>
    <row r="4254" spans="1:1" ht="12.75">
      <c r="A4254" s="2" t="s">
        <v>403</v>
      </c>
    </row>
    <row r="4255" spans="1:1" ht="12.75">
      <c r="A4255" s="2" t="s">
        <v>403</v>
      </c>
    </row>
    <row r="4256" spans="1:1" ht="12.75">
      <c r="A4256" s="2" t="s">
        <v>403</v>
      </c>
    </row>
    <row r="4257" spans="1:1" ht="12.75">
      <c r="A4257" s="2" t="s">
        <v>403</v>
      </c>
    </row>
    <row r="4258" spans="1:1" ht="12.75">
      <c r="A4258" s="2" t="s">
        <v>403</v>
      </c>
    </row>
    <row r="4259" spans="1:1" ht="12.75">
      <c r="A4259" s="2" t="s">
        <v>403</v>
      </c>
    </row>
    <row r="4261" spans="1:1" ht="12.75">
      <c r="A4261" s="2" t="s">
        <v>403</v>
      </c>
    </row>
    <row r="4262" spans="1:1" ht="12.75">
      <c r="A4262" s="2" t="s">
        <v>403</v>
      </c>
    </row>
    <row r="4265" spans="1:1" ht="12.75">
      <c r="A4265" s="2" t="s">
        <v>264</v>
      </c>
    </row>
    <row r="4266" spans="1:1" ht="12.75">
      <c r="A4266" s="2" t="s">
        <v>378</v>
      </c>
    </row>
    <row r="4267" spans="1:1" ht="12.75">
      <c r="A4267" s="2" t="s">
        <v>378</v>
      </c>
    </row>
    <row r="4268" spans="1:1" ht="12.75">
      <c r="A4268" s="2" t="s">
        <v>278</v>
      </c>
    </row>
    <row r="4269" spans="1:1" ht="12.75">
      <c r="A4269" s="2" t="s">
        <v>278</v>
      </c>
    </row>
    <row r="4270" spans="1:1" ht="12.75">
      <c r="A4270" s="2" t="s">
        <v>278</v>
      </c>
    </row>
    <row r="4271" spans="1:1" ht="12.75">
      <c r="A4271" s="2" t="s">
        <v>278</v>
      </c>
    </row>
    <row r="4272" spans="1:1" ht="12.75">
      <c r="A4272" s="2" t="s">
        <v>278</v>
      </c>
    </row>
    <row r="4273" spans="1:1" ht="12.75">
      <c r="A4273" s="2" t="s">
        <v>278</v>
      </c>
    </row>
    <row r="4274" spans="1:1" ht="12.75">
      <c r="A4274" s="2" t="s">
        <v>404</v>
      </c>
    </row>
    <row r="4275" spans="1:1" ht="12.75">
      <c r="A4275" s="2" t="s">
        <v>277</v>
      </c>
    </row>
    <row r="4276" spans="1:1" ht="12.75">
      <c r="A4276" s="2" t="s">
        <v>277</v>
      </c>
    </row>
    <row r="4277" spans="1:1" ht="12.75">
      <c r="A4277" s="2" t="s">
        <v>277</v>
      </c>
    </row>
    <row r="4278" spans="1:1" ht="12.75">
      <c r="A4278" s="2" t="s">
        <v>277</v>
      </c>
    </row>
    <row r="4279" spans="1:1" ht="12.75">
      <c r="A4279" s="2" t="s">
        <v>277</v>
      </c>
    </row>
    <row r="4280" spans="1:1" ht="12.75">
      <c r="A4280" s="2" t="s">
        <v>278</v>
      </c>
    </row>
    <row r="4281" spans="1:1" ht="12.75">
      <c r="A4281" s="2" t="s">
        <v>278</v>
      </c>
    </row>
    <row r="4282" spans="1:1" ht="12.75">
      <c r="A4282" s="2" t="s">
        <v>277</v>
      </c>
    </row>
    <row r="4283" spans="1:1" ht="12.75">
      <c r="A4283" s="2" t="s">
        <v>277</v>
      </c>
    </row>
    <row r="4284" spans="1:1" ht="12.75">
      <c r="A4284" s="2" t="s">
        <v>278</v>
      </c>
    </row>
    <row r="4285" spans="1:1" ht="12.75">
      <c r="A4285" s="2" t="s">
        <v>278</v>
      </c>
    </row>
    <row r="4286" spans="1:1" ht="12.75">
      <c r="A4286" s="2" t="s">
        <v>405</v>
      </c>
    </row>
    <row r="4287" spans="1:1" ht="12.75">
      <c r="A4287" s="2" t="s">
        <v>278</v>
      </c>
    </row>
    <row r="4288" spans="1:1" ht="12.75">
      <c r="A4288" s="2" t="s">
        <v>406</v>
      </c>
    </row>
    <row r="4289" spans="1:1" ht="12.75">
      <c r="A4289" s="2" t="s">
        <v>406</v>
      </c>
    </row>
    <row r="4290" spans="1:1" ht="12.75">
      <c r="A4290" s="2" t="s">
        <v>406</v>
      </c>
    </row>
    <row r="4291" spans="1:1" ht="12.75">
      <c r="A4291" s="2" t="s">
        <v>406</v>
      </c>
    </row>
    <row r="4292" spans="1:1" ht="12.75">
      <c r="A4292" s="2" t="s">
        <v>406</v>
      </c>
    </row>
    <row r="4293" spans="1:1" ht="12.75">
      <c r="A4293" s="2" t="s">
        <v>407</v>
      </c>
    </row>
    <row r="4294" spans="1:1" ht="12.75">
      <c r="A4294" s="2" t="s">
        <v>406</v>
      </c>
    </row>
    <row r="4295" spans="1:1" ht="12.75">
      <c r="A4295" s="2" t="s">
        <v>406</v>
      </c>
    </row>
    <row r="4296" spans="1:1" ht="12.75">
      <c r="A4296" s="2" t="s">
        <v>408</v>
      </c>
    </row>
    <row r="4297" spans="1:1" ht="12.75">
      <c r="A4297" s="2" t="s">
        <v>408</v>
      </c>
    </row>
    <row r="4301" spans="1:1" ht="12.75">
      <c r="A4301" s="2" t="s">
        <v>406</v>
      </c>
    </row>
    <row r="4302" spans="1:1" ht="12.75">
      <c r="A4302" s="2" t="s">
        <v>409</v>
      </c>
    </row>
    <row r="4303" spans="1:1" ht="12.75">
      <c r="A4303" s="2" t="s">
        <v>406</v>
      </c>
    </row>
    <row r="4304" spans="1:1" ht="12.75">
      <c r="A4304" s="2" t="s">
        <v>408</v>
      </c>
    </row>
    <row r="4305" spans="1:1" ht="12.75">
      <c r="A4305" s="2" t="s">
        <v>410</v>
      </c>
    </row>
    <row r="4306" spans="1:1" ht="12.75">
      <c r="A4306" s="2" t="s">
        <v>410</v>
      </c>
    </row>
    <row r="4307" spans="1:1" ht="12.75">
      <c r="A4307" s="2" t="s">
        <v>406</v>
      </c>
    </row>
    <row r="4312" spans="1:1" ht="12.75">
      <c r="A4312" s="2" t="s">
        <v>411</v>
      </c>
    </row>
    <row r="4313" spans="1:1" ht="12.75">
      <c r="A4313" s="2" t="s">
        <v>411</v>
      </c>
    </row>
    <row r="4315" spans="1:1" ht="12.75">
      <c r="A4315" s="2" t="s">
        <v>412</v>
      </c>
    </row>
    <row r="4323" spans="1:1" ht="12.75">
      <c r="A4323" s="2" t="s">
        <v>411</v>
      </c>
    </row>
    <row r="4324" spans="1:1" ht="12.75">
      <c r="A4324" s="2" t="s">
        <v>411</v>
      </c>
    </row>
    <row r="4325" spans="1:1" ht="12.75">
      <c r="A4325" s="2" t="s">
        <v>411</v>
      </c>
    </row>
    <row r="4343" spans="1:1" ht="12.75">
      <c r="A4343" s="2" t="s">
        <v>252</v>
      </c>
    </row>
    <row r="4344" spans="1:1" ht="12.75">
      <c r="A4344" s="2" t="s">
        <v>252</v>
      </c>
    </row>
    <row r="4345" spans="1:1" ht="12.75">
      <c r="A4345" s="2" t="s">
        <v>254</v>
      </c>
    </row>
    <row r="4346" spans="1:1" ht="12.75">
      <c r="A4346" s="2" t="s">
        <v>256</v>
      </c>
    </row>
    <row r="4347" spans="1:1" ht="12.75">
      <c r="A4347" s="2" t="s">
        <v>252</v>
      </c>
    </row>
    <row r="4348" spans="1:1" ht="12.75">
      <c r="A4348" s="2" t="s">
        <v>252</v>
      </c>
    </row>
    <row r="4349" spans="1:1" ht="12.75">
      <c r="A4349" s="2" t="s">
        <v>254</v>
      </c>
    </row>
    <row r="4350" spans="1:1" ht="12.75">
      <c r="A4350" s="2" t="s">
        <v>256</v>
      </c>
    </row>
    <row r="4351" spans="1:1" ht="12.75">
      <c r="A4351" s="2" t="s">
        <v>256</v>
      </c>
    </row>
    <row r="4352" spans="1:1" ht="12.75">
      <c r="A4352" s="2" t="s">
        <v>254</v>
      </c>
    </row>
    <row r="4353" spans="1:1" ht="12.75">
      <c r="A4353" s="2" t="s">
        <v>254</v>
      </c>
    </row>
    <row r="4354" spans="1:1" ht="12.75">
      <c r="A4354" s="2" t="s">
        <v>256</v>
      </c>
    </row>
    <row r="4355" spans="1:1" ht="12.75">
      <c r="A4355" s="2" t="s">
        <v>252</v>
      </c>
    </row>
    <row r="4356" spans="1:1" ht="12.75">
      <c r="A4356" s="2" t="s">
        <v>252</v>
      </c>
    </row>
    <row r="4357" spans="1:1" ht="12.75">
      <c r="A4357" s="2" t="s">
        <v>254</v>
      </c>
    </row>
    <row r="4358" spans="1:1" ht="12.75">
      <c r="A4358" s="2" t="s">
        <v>256</v>
      </c>
    </row>
    <row r="4359" spans="1:1" ht="12.75">
      <c r="A4359" s="2" t="s">
        <v>256</v>
      </c>
    </row>
    <row r="4360" spans="1:1" ht="12.75">
      <c r="A4360" s="2" t="s">
        <v>254</v>
      </c>
    </row>
    <row r="4361" spans="1:1" ht="12.75">
      <c r="A4361" s="2" t="s">
        <v>252</v>
      </c>
    </row>
    <row r="4362" spans="1:1" ht="12.75">
      <c r="A4362" s="2" t="s">
        <v>252</v>
      </c>
    </row>
    <row r="4363" spans="1:1" ht="12.75">
      <c r="A4363" s="2" t="s">
        <v>254</v>
      </c>
    </row>
    <row r="4364" spans="1:1" ht="12.75">
      <c r="A4364" s="2" t="s">
        <v>256</v>
      </c>
    </row>
    <row r="4365" spans="1:1" ht="12.75">
      <c r="A4365" s="2" t="s">
        <v>252</v>
      </c>
    </row>
    <row r="4366" spans="1:1" ht="12.75">
      <c r="A4366" s="2" t="s">
        <v>252</v>
      </c>
    </row>
    <row r="4367" spans="1:1" ht="12.75">
      <c r="A4367" s="2" t="s">
        <v>256</v>
      </c>
    </row>
    <row r="4368" spans="1:1" ht="12.75">
      <c r="A4368" s="2" t="s">
        <v>256</v>
      </c>
    </row>
    <row r="4369" spans="1:1" ht="12.75">
      <c r="A4369" s="2" t="s">
        <v>252</v>
      </c>
    </row>
    <row r="4370" spans="1:1" ht="12.75">
      <c r="A4370" s="2" t="s">
        <v>252</v>
      </c>
    </row>
    <row r="4371" spans="1:1" ht="12.75">
      <c r="A4371" s="2" t="s">
        <v>256</v>
      </c>
    </row>
    <row r="4372" spans="1:1" ht="12.75">
      <c r="A4372" s="2" t="s">
        <v>253</v>
      </c>
    </row>
    <row r="4373" spans="1:1" ht="12.75">
      <c r="A4373" s="2" t="s">
        <v>254</v>
      </c>
    </row>
    <row r="4374" spans="1:1" ht="12.75">
      <c r="A4374" s="2" t="s">
        <v>254</v>
      </c>
    </row>
    <row r="4375" spans="1:1" ht="12.75">
      <c r="A4375" s="2" t="s">
        <v>256</v>
      </c>
    </row>
    <row r="4376" spans="1:1" ht="12.75">
      <c r="A4376" s="2" t="s">
        <v>254</v>
      </c>
    </row>
    <row r="4377" spans="1:1" ht="12.75">
      <c r="A4377" s="2" t="s">
        <v>252</v>
      </c>
    </row>
    <row r="4378" spans="1:1" ht="12.75">
      <c r="A4378" s="2" t="s">
        <v>252</v>
      </c>
    </row>
    <row r="4379" spans="1:1" ht="12.75">
      <c r="A4379" s="2" t="s">
        <v>256</v>
      </c>
    </row>
    <row r="4380" spans="1:1" ht="12.75">
      <c r="A4380" s="2" t="s">
        <v>256</v>
      </c>
    </row>
    <row r="4381" spans="1:1" ht="12.75">
      <c r="A4381" s="2" t="s">
        <v>254</v>
      </c>
    </row>
    <row r="4382" spans="1:1" ht="12.75">
      <c r="A4382" s="2" t="s">
        <v>254</v>
      </c>
    </row>
    <row r="4383" spans="1:1" ht="12.75">
      <c r="A4383" s="2" t="s">
        <v>252</v>
      </c>
    </row>
    <row r="4384" spans="1:1" ht="12.75">
      <c r="A4384" s="2" t="s">
        <v>252</v>
      </c>
    </row>
    <row r="4385" spans="1:1" ht="12.75">
      <c r="A4385" s="2" t="s">
        <v>254</v>
      </c>
    </row>
    <row r="4386" spans="1:1" ht="12.75">
      <c r="A4386" s="2" t="s">
        <v>256</v>
      </c>
    </row>
    <row r="4387" spans="1:1" ht="12.75">
      <c r="A4387" s="2" t="s">
        <v>252</v>
      </c>
    </row>
    <row r="4388" spans="1:1" ht="12.75">
      <c r="A4388" s="2" t="s">
        <v>252</v>
      </c>
    </row>
    <row r="4389" spans="1:1" ht="12.75">
      <c r="A4389" s="2" t="s">
        <v>256</v>
      </c>
    </row>
    <row r="4390" spans="1:1" ht="12.75">
      <c r="A4390" s="2" t="s">
        <v>256</v>
      </c>
    </row>
    <row r="4391" spans="1:1" ht="12.75">
      <c r="A4391" s="2" t="s">
        <v>252</v>
      </c>
    </row>
    <row r="4392" spans="1:1" ht="12.75">
      <c r="A4392" s="2" t="s">
        <v>252</v>
      </c>
    </row>
    <row r="4393" spans="1:1" ht="12.75">
      <c r="A4393" s="2" t="s">
        <v>413</v>
      </c>
    </row>
    <row r="4394" spans="1:1" ht="12.75">
      <c r="A4394" s="2" t="s">
        <v>413</v>
      </c>
    </row>
    <row r="4396" spans="1:1" ht="12.75">
      <c r="A4396" s="2" t="s">
        <v>413</v>
      </c>
    </row>
    <row r="4397" spans="1:1" ht="12.75">
      <c r="A4397" s="2" t="s">
        <v>413</v>
      </c>
    </row>
    <row r="4398" spans="1:1" ht="12.75">
      <c r="A4398" s="2" t="s">
        <v>413</v>
      </c>
    </row>
    <row r="4399" spans="1:1" ht="12.75">
      <c r="A4399" s="2" t="s">
        <v>414</v>
      </c>
    </row>
    <row r="4400" spans="1:1" ht="12.75">
      <c r="A4400" s="2" t="s">
        <v>414</v>
      </c>
    </row>
    <row r="4401" spans="1:1" ht="12.75">
      <c r="A4401" s="2" t="s">
        <v>415</v>
      </c>
    </row>
    <row r="4402" spans="1:1" ht="12.75">
      <c r="A4402" s="2" t="s">
        <v>416</v>
      </c>
    </row>
    <row r="4403" spans="1:1" ht="12.75">
      <c r="A4403" s="2" t="s">
        <v>415</v>
      </c>
    </row>
    <row r="4404" spans="1:1" ht="12.75">
      <c r="A4404" s="2" t="s">
        <v>414</v>
      </c>
    </row>
    <row r="4405" spans="1:1" ht="12.75">
      <c r="A4405" s="2" t="s">
        <v>415</v>
      </c>
    </row>
    <row r="4406" spans="1:1" ht="12.75">
      <c r="A4406" s="2" t="s">
        <v>391</v>
      </c>
    </row>
    <row r="4407" spans="1:1" ht="12.75">
      <c r="A4407" s="2" t="s">
        <v>416</v>
      </c>
    </row>
    <row r="4408" spans="1:1" ht="12.75">
      <c r="A4408" s="2" t="s">
        <v>417</v>
      </c>
    </row>
    <row r="4409" spans="1:1" ht="12.75">
      <c r="A4409" s="2" t="s">
        <v>418</v>
      </c>
    </row>
    <row r="4410" spans="1:1" ht="12.75">
      <c r="A4410" s="2" t="s">
        <v>416</v>
      </c>
    </row>
    <row r="4411" spans="1:1" ht="12.75">
      <c r="A4411" s="2" t="s">
        <v>391</v>
      </c>
    </row>
    <row r="4413" spans="1:1" ht="12.75">
      <c r="A4413" s="2" t="s">
        <v>415</v>
      </c>
    </row>
    <row r="4414" spans="1:1" ht="12.75">
      <c r="A4414" s="2" t="s">
        <v>419</v>
      </c>
    </row>
    <row r="4415" spans="1:1" ht="12.75">
      <c r="A4415" s="2" t="s">
        <v>415</v>
      </c>
    </row>
    <row r="4416" spans="1:1" ht="12.75">
      <c r="A4416" s="2" t="s">
        <v>416</v>
      </c>
    </row>
    <row r="4417" spans="1:1" ht="12.75">
      <c r="A4417" s="2" t="s">
        <v>415</v>
      </c>
    </row>
    <row r="4419" spans="1:1" ht="12.75">
      <c r="A4419" s="2" t="s">
        <v>332</v>
      </c>
    </row>
    <row r="4420" spans="1:1" ht="12.75">
      <c r="A4420" s="2" t="s">
        <v>331</v>
      </c>
    </row>
    <row r="4421" spans="1:1" ht="12.75">
      <c r="A4421" s="2" t="s">
        <v>332</v>
      </c>
    </row>
    <row r="4422" spans="1:1" ht="12.75">
      <c r="A4422" s="2" t="s">
        <v>332</v>
      </c>
    </row>
    <row r="4423" spans="1:1" ht="12.75">
      <c r="A4423" s="2" t="s">
        <v>331</v>
      </c>
    </row>
    <row r="4424" spans="1:1" ht="12.75">
      <c r="A4424" s="2" t="s">
        <v>331</v>
      </c>
    </row>
    <row r="4425" spans="1:1" ht="12.75">
      <c r="A4425" s="2" t="s">
        <v>331</v>
      </c>
    </row>
    <row r="4426" spans="1:1" ht="12.75">
      <c r="A4426" s="2" t="s">
        <v>332</v>
      </c>
    </row>
    <row r="4428" spans="1:1" ht="12.75">
      <c r="A4428" s="2" t="s">
        <v>332</v>
      </c>
    </row>
    <row r="4429" spans="1:1" ht="12.75">
      <c r="A4429" s="2" t="s">
        <v>332</v>
      </c>
    </row>
    <row r="4430" spans="1:1" ht="12.75">
      <c r="A4430" s="2" t="s">
        <v>331</v>
      </c>
    </row>
    <row r="4431" spans="1:1" ht="12.75">
      <c r="A4431" s="2" t="s">
        <v>331</v>
      </c>
    </row>
    <row r="4432" spans="1:1" ht="12.75">
      <c r="A4432" s="2" t="s">
        <v>331</v>
      </c>
    </row>
    <row r="4433" spans="1:1" ht="12.75">
      <c r="A4433" s="2" t="s">
        <v>331</v>
      </c>
    </row>
    <row r="4434" spans="1:1" ht="12.75">
      <c r="A4434" s="2" t="s">
        <v>332</v>
      </c>
    </row>
    <row r="4435" spans="1:1" ht="12.75">
      <c r="A4435" s="2" t="s">
        <v>331</v>
      </c>
    </row>
    <row r="4436" spans="1:1" ht="12.75">
      <c r="A4436" s="2" t="s">
        <v>331</v>
      </c>
    </row>
    <row r="4437" spans="1:1" ht="12.75">
      <c r="A4437" s="2" t="s">
        <v>331</v>
      </c>
    </row>
    <row r="4438" spans="1:1" ht="12.75">
      <c r="A4438" s="2" t="s">
        <v>331</v>
      </c>
    </row>
    <row r="4439" spans="1:1" ht="12.75">
      <c r="A4439" s="2" t="s">
        <v>334</v>
      </c>
    </row>
    <row r="4440" spans="1:1" ht="12.75">
      <c r="A4440" s="2" t="s">
        <v>334</v>
      </c>
    </row>
    <row r="4441" spans="1:1" ht="12.75">
      <c r="A4441" s="2" t="s">
        <v>334</v>
      </c>
    </row>
    <row r="4442" spans="1:1" ht="12.75">
      <c r="A4442" s="2" t="s">
        <v>334</v>
      </c>
    </row>
    <row r="4443" spans="1:1" ht="12.75">
      <c r="A4443" s="2" t="s">
        <v>334</v>
      </c>
    </row>
    <row r="4444" spans="1:1" ht="12.75">
      <c r="A4444" s="2" t="s">
        <v>420</v>
      </c>
    </row>
    <row r="4445" spans="1:1" ht="12.75">
      <c r="A4445" s="2" t="s">
        <v>420</v>
      </c>
    </row>
    <row r="4446" spans="1:1" ht="12.75">
      <c r="A4446" s="2" t="s">
        <v>420</v>
      </c>
    </row>
    <row r="4447" spans="1:1" ht="12.75">
      <c r="A4447" s="2" t="s">
        <v>420</v>
      </c>
    </row>
    <row r="4448" spans="1:1" ht="12.75">
      <c r="A4448" s="2" t="s">
        <v>421</v>
      </c>
    </row>
    <row r="4452" spans="1:1" ht="12.75">
      <c r="A4452" s="2" t="s">
        <v>420</v>
      </c>
    </row>
    <row r="4453" spans="1:1" ht="12.75">
      <c r="A4453" s="2" t="s">
        <v>422</v>
      </c>
    </row>
    <row r="4454" spans="1:1" ht="12.75">
      <c r="A4454" s="2" t="s">
        <v>423</v>
      </c>
    </row>
    <row r="4456" spans="1:1" ht="12.75">
      <c r="A4456" s="2" t="s">
        <v>423</v>
      </c>
    </row>
    <row r="4457" spans="1:1" ht="12.75">
      <c r="A4457" s="2" t="s">
        <v>423</v>
      </c>
    </row>
    <row r="4458" spans="1:1" ht="12.75">
      <c r="A4458" s="2" t="s">
        <v>423</v>
      </c>
    </row>
    <row r="4459" spans="1:1" ht="12.75">
      <c r="A4459" s="2" t="s">
        <v>423</v>
      </c>
    </row>
    <row r="4460" spans="1:1" ht="12.75">
      <c r="A4460" s="2" t="s">
        <v>423</v>
      </c>
    </row>
    <row r="4461" spans="1:1" ht="12.75">
      <c r="A4461" s="2" t="s">
        <v>423</v>
      </c>
    </row>
    <row r="4462" spans="1:1" ht="12.75">
      <c r="A4462" s="2" t="s">
        <v>423</v>
      </c>
    </row>
    <row r="4463" spans="1:1" ht="12.75">
      <c r="A4463" s="2" t="s">
        <v>423</v>
      </c>
    </row>
    <row r="4464" spans="1:1" ht="12.75">
      <c r="A4464" s="2" t="s">
        <v>424</v>
      </c>
    </row>
    <row r="4466" spans="1:1" ht="12.75">
      <c r="A4466" s="2" t="s">
        <v>425</v>
      </c>
    </row>
    <row r="4467" spans="1:1" ht="12.75">
      <c r="A4467" s="2" t="s">
        <v>426</v>
      </c>
    </row>
    <row r="4469" spans="1:1" ht="12.75">
      <c r="A4469" s="2" t="s">
        <v>427</v>
      </c>
    </row>
    <row r="4470" spans="1:1" ht="12.75">
      <c r="A4470" s="2" t="s">
        <v>226</v>
      </c>
    </row>
    <row r="4471" spans="1:1" ht="12.75">
      <c r="A4471" s="2" t="s">
        <v>152</v>
      </c>
    </row>
    <row r="4472" spans="1:1" ht="12.75">
      <c r="A4472" s="2" t="s">
        <v>152</v>
      </c>
    </row>
    <row r="4473" spans="1:1" ht="12.75">
      <c r="A4473" s="2" t="s">
        <v>152</v>
      </c>
    </row>
    <row r="4474" spans="1:1" ht="12.75">
      <c r="A4474" s="2" t="s">
        <v>152</v>
      </c>
    </row>
    <row r="4475" spans="1:1" ht="12.75">
      <c r="A4475" s="2" t="s">
        <v>152</v>
      </c>
    </row>
    <row r="4476" spans="1:1" ht="12.75">
      <c r="A4476" s="2" t="s">
        <v>152</v>
      </c>
    </row>
    <row r="4477" spans="1:1" ht="12.75">
      <c r="A4477" s="2" t="s">
        <v>152</v>
      </c>
    </row>
    <row r="4478" spans="1:1" ht="12.75">
      <c r="A4478" s="2" t="s">
        <v>152</v>
      </c>
    </row>
    <row r="4479" spans="1:1" ht="12.75">
      <c r="A4479" s="2" t="s">
        <v>152</v>
      </c>
    </row>
    <row r="4480" spans="1:1" ht="12.75">
      <c r="A4480" s="2" t="s">
        <v>152</v>
      </c>
    </row>
    <row r="4481" spans="1:1" ht="12.75">
      <c r="A4481" s="2" t="s">
        <v>152</v>
      </c>
    </row>
    <row r="4482" spans="1:1" ht="12.75">
      <c r="A4482" s="2" t="s">
        <v>152</v>
      </c>
    </row>
    <row r="4483" spans="1:1" ht="12.75">
      <c r="A4483" s="2" t="s">
        <v>152</v>
      </c>
    </row>
    <row r="4484" spans="1:1" ht="12.75">
      <c r="A4484" s="2" t="s">
        <v>152</v>
      </c>
    </row>
    <row r="4485" spans="1:1" ht="12.75">
      <c r="A4485" s="2" t="s">
        <v>152</v>
      </c>
    </row>
    <row r="4486" spans="1:1" ht="12.75">
      <c r="A4486" s="2" t="s">
        <v>152</v>
      </c>
    </row>
    <row r="4487" spans="1:1" ht="12.75">
      <c r="A4487" s="2" t="s">
        <v>152</v>
      </c>
    </row>
    <row r="4488" spans="1:1" ht="12.75">
      <c r="A4488" s="2" t="s">
        <v>152</v>
      </c>
    </row>
    <row r="4489" spans="1:1" ht="12.75">
      <c r="A4489" s="2" t="s">
        <v>152</v>
      </c>
    </row>
    <row r="4490" spans="1:1" ht="12.75">
      <c r="A4490" s="2" t="s">
        <v>152</v>
      </c>
    </row>
    <row r="4491" spans="1:1" ht="12.75">
      <c r="A4491" s="2" t="s">
        <v>428</v>
      </c>
    </row>
    <row r="4492" spans="1:1" ht="12.75">
      <c r="A4492" s="2" t="s">
        <v>429</v>
      </c>
    </row>
    <row r="4493" spans="1:1" ht="12.75">
      <c r="A4493" s="2" t="s">
        <v>428</v>
      </c>
    </row>
    <row r="4494" spans="1:1" ht="12.75">
      <c r="A4494" s="2" t="s">
        <v>428</v>
      </c>
    </row>
    <row r="4495" spans="1:1" ht="12.75">
      <c r="A4495" s="2" t="s">
        <v>428</v>
      </c>
    </row>
    <row r="4496" spans="1:1" ht="12.75">
      <c r="A4496" s="2" t="s">
        <v>429</v>
      </c>
    </row>
    <row r="4502" spans="1:1" ht="12.75">
      <c r="A4502" s="2" t="s">
        <v>318</v>
      </c>
    </row>
    <row r="4503" spans="1:1" ht="12.75">
      <c r="A4503" s="2" t="s">
        <v>318</v>
      </c>
    </row>
    <row r="4504" spans="1:1" ht="12.75">
      <c r="A4504" s="2" t="s">
        <v>265</v>
      </c>
    </row>
    <row r="4507" spans="1:1" ht="12.75">
      <c r="A4507" s="2" t="s">
        <v>265</v>
      </c>
    </row>
    <row r="4508" spans="1:1" ht="12.75">
      <c r="A4508" s="2" t="s">
        <v>319</v>
      </c>
    </row>
    <row r="4513" spans="1:1" ht="12.75">
      <c r="A4513" s="2" t="s">
        <v>318</v>
      </c>
    </row>
    <row r="4515" spans="1:1" ht="12.75">
      <c r="A4515" s="2" t="s">
        <v>319</v>
      </c>
    </row>
    <row r="4516" spans="1:1" ht="12.75">
      <c r="A4516" s="2" t="s">
        <v>430</v>
      </c>
    </row>
    <row r="4517" spans="1:1" ht="12.75">
      <c r="A4517" s="2" t="s">
        <v>318</v>
      </c>
    </row>
    <row r="4519" spans="1:1" ht="12.75">
      <c r="A4519" s="2" t="s">
        <v>318</v>
      </c>
    </row>
    <row r="4520" spans="1:1" ht="12.75">
      <c r="A4520" s="2" t="s">
        <v>318</v>
      </c>
    </row>
    <row r="4521" spans="1:1" ht="12.75">
      <c r="A4521" s="2" t="s">
        <v>265</v>
      </c>
    </row>
    <row r="4522" spans="1:1" ht="12.75">
      <c r="A4522" s="2" t="s">
        <v>319</v>
      </c>
    </row>
    <row r="4523" spans="1:1" ht="12.75">
      <c r="A4523" s="2" t="s">
        <v>318</v>
      </c>
    </row>
    <row r="4524" spans="1:1" ht="12.75">
      <c r="A4524" s="2" t="s">
        <v>265</v>
      </c>
    </row>
    <row r="4525" spans="1:1" ht="12.75">
      <c r="A4525" s="2" t="s">
        <v>318</v>
      </c>
    </row>
    <row r="4526" spans="1:1" ht="12.75">
      <c r="A4526" s="2" t="s">
        <v>318</v>
      </c>
    </row>
    <row r="4527" spans="1:1" ht="12.75">
      <c r="A4527" s="2" t="s">
        <v>319</v>
      </c>
    </row>
    <row r="4528" spans="1:1" ht="12.75">
      <c r="A4528" s="2" t="s">
        <v>319</v>
      </c>
    </row>
    <row r="4531" spans="1:1" ht="12.75">
      <c r="A4531" s="2" t="s">
        <v>319</v>
      </c>
    </row>
    <row r="4532" spans="1:1" ht="12.75">
      <c r="A4532" s="2" t="s">
        <v>319</v>
      </c>
    </row>
    <row r="4533" spans="1:1" ht="12.75">
      <c r="A4533" s="2" t="s">
        <v>319</v>
      </c>
    </row>
    <row r="4534" spans="1:1" ht="12.75">
      <c r="A4534" s="2" t="s">
        <v>319</v>
      </c>
    </row>
    <row r="4535" spans="1:1" ht="12.75">
      <c r="A4535" s="2" t="s">
        <v>213</v>
      </c>
    </row>
    <row r="4536" spans="1:1" ht="12.75">
      <c r="A4536" s="2" t="s">
        <v>213</v>
      </c>
    </row>
    <row r="4537" spans="1:1" ht="12.75">
      <c r="A4537" s="2" t="s">
        <v>213</v>
      </c>
    </row>
    <row r="4538" spans="1:1" ht="12.75">
      <c r="A4538" s="2" t="s">
        <v>213</v>
      </c>
    </row>
    <row r="4539" spans="1:1" ht="12.75">
      <c r="A4539" s="2" t="s">
        <v>213</v>
      </c>
    </row>
    <row r="4540" spans="1:1" ht="12.75">
      <c r="A4540" s="2" t="s">
        <v>213</v>
      </c>
    </row>
    <row r="4541" spans="1:1" ht="12.75">
      <c r="A4541" s="2" t="s">
        <v>213</v>
      </c>
    </row>
    <row r="4542" spans="1:1" ht="12.75">
      <c r="A4542" s="2" t="s">
        <v>213</v>
      </c>
    </row>
    <row r="4543" spans="1:1" ht="12.75">
      <c r="A4543" s="2" t="s">
        <v>213</v>
      </c>
    </row>
    <row r="4544" spans="1:1" ht="12.75">
      <c r="A4544" s="2" t="s">
        <v>213</v>
      </c>
    </row>
    <row r="4545" spans="1:1" ht="12.75">
      <c r="A4545" s="2" t="s">
        <v>213</v>
      </c>
    </row>
    <row r="4546" spans="1:1" ht="12.75">
      <c r="A4546" s="2" t="s">
        <v>213</v>
      </c>
    </row>
    <row r="4547" spans="1:1" ht="12.75">
      <c r="A4547" s="2" t="s">
        <v>213</v>
      </c>
    </row>
    <row r="4548" spans="1:1" ht="12.75">
      <c r="A4548" s="2" t="s">
        <v>213</v>
      </c>
    </row>
    <row r="4549" spans="1:1" ht="12.75">
      <c r="A4549" s="2" t="s">
        <v>213</v>
      </c>
    </row>
    <row r="4550" spans="1:1" ht="12.75">
      <c r="A4550" s="2" t="s">
        <v>213</v>
      </c>
    </row>
    <row r="4551" spans="1:1" ht="12.75">
      <c r="A4551" s="2" t="s">
        <v>213</v>
      </c>
    </row>
    <row r="4552" spans="1:1" ht="12.75">
      <c r="A4552" s="2" t="s">
        <v>213</v>
      </c>
    </row>
    <row r="4553" spans="1:1" ht="12.75">
      <c r="A4553" s="2" t="s">
        <v>213</v>
      </c>
    </row>
    <row r="4554" spans="1:1" ht="12.75">
      <c r="A4554" s="2" t="s">
        <v>213</v>
      </c>
    </row>
    <row r="4555" spans="1:1" ht="12.75">
      <c r="A4555" s="2" t="s">
        <v>431</v>
      </c>
    </row>
    <row r="4556" spans="1:1" ht="12.75">
      <c r="A4556" s="2" t="s">
        <v>431</v>
      </c>
    </row>
    <row r="4557" spans="1:1" ht="12.75">
      <c r="A4557" s="2" t="s">
        <v>431</v>
      </c>
    </row>
    <row r="4558" spans="1:1" ht="12.75">
      <c r="A4558" s="2" t="s">
        <v>431</v>
      </c>
    </row>
    <row r="4565" spans="1:1" ht="12.75">
      <c r="A4565" s="2" t="s">
        <v>431</v>
      </c>
    </row>
    <row r="4566" spans="1:1" ht="12.75">
      <c r="A4566" s="2" t="s">
        <v>431</v>
      </c>
    </row>
    <row r="4567" spans="1:1" ht="12.75">
      <c r="A4567" s="2" t="s">
        <v>431</v>
      </c>
    </row>
    <row r="4568" spans="1:1" ht="12.75">
      <c r="A4568" s="2" t="s">
        <v>431</v>
      </c>
    </row>
    <row r="4569" spans="1:1" ht="12.75">
      <c r="A4569" s="2" t="s">
        <v>431</v>
      </c>
    </row>
    <row r="4570" spans="1:1" ht="12.75">
      <c r="A4570" s="2" t="s">
        <v>431</v>
      </c>
    </row>
    <row r="4571" spans="1:1" ht="12.75">
      <c r="A4571" s="2" t="s">
        <v>431</v>
      </c>
    </row>
    <row r="4572" spans="1:1" ht="12.75">
      <c r="A4572" s="2" t="s">
        <v>431</v>
      </c>
    </row>
    <row r="4573" spans="1:1" ht="12.75">
      <c r="A4573" s="2" t="s">
        <v>431</v>
      </c>
    </row>
    <row r="4574" spans="1:1" ht="12.75">
      <c r="A4574" s="2" t="s">
        <v>431</v>
      </c>
    </row>
    <row r="4575" spans="1:1" ht="12.75">
      <c r="A4575" s="2" t="s">
        <v>432</v>
      </c>
    </row>
    <row r="4576" spans="1:1" ht="12.75">
      <c r="A4576" s="2" t="s">
        <v>432</v>
      </c>
    </row>
    <row r="4577" spans="1:1" ht="12.75">
      <c r="A4577" s="2" t="s">
        <v>404</v>
      </c>
    </row>
    <row r="4578" spans="1:1" ht="12.75">
      <c r="A4578" s="2" t="s">
        <v>404</v>
      </c>
    </row>
    <row r="4579" spans="1:1" ht="12.75">
      <c r="A4579" s="2" t="s">
        <v>404</v>
      </c>
    </row>
    <row r="4580" spans="1:1" ht="12.75">
      <c r="A4580" s="2" t="s">
        <v>404</v>
      </c>
    </row>
    <row r="4581" spans="1:1" ht="12.75">
      <c r="A4581" s="2" t="s">
        <v>432</v>
      </c>
    </row>
    <row r="4582" spans="1:1" ht="12.75">
      <c r="A4582" s="2" t="s">
        <v>432</v>
      </c>
    </row>
    <row r="4583" spans="1:1" ht="12.75">
      <c r="A4583" s="2" t="s">
        <v>404</v>
      </c>
    </row>
    <row r="4584" spans="1:1" ht="12.75">
      <c r="A4584" s="2" t="s">
        <v>404</v>
      </c>
    </row>
    <row r="4585" spans="1:1" ht="12.75">
      <c r="A4585" s="2" t="s">
        <v>433</v>
      </c>
    </row>
    <row r="4586" spans="1:1" ht="12.75">
      <c r="A4586" s="2" t="s">
        <v>434</v>
      </c>
    </row>
    <row r="4587" spans="1:1" ht="12.75">
      <c r="A4587" s="2" t="s">
        <v>434</v>
      </c>
    </row>
    <row r="4588" spans="1:1" ht="12.75">
      <c r="A4588" s="2" t="s">
        <v>435</v>
      </c>
    </row>
    <row r="4589" spans="1:1" ht="12.75">
      <c r="A4589" s="2" t="s">
        <v>435</v>
      </c>
    </row>
    <row r="4590" spans="1:1" ht="12.75">
      <c r="A4590" s="2" t="s">
        <v>436</v>
      </c>
    </row>
    <row r="4591" spans="1:1" ht="12.75">
      <c r="A4591" s="2" t="s">
        <v>437</v>
      </c>
    </row>
    <row r="4592" spans="1:1" ht="12.75">
      <c r="A4592" s="2" t="s">
        <v>437</v>
      </c>
    </row>
    <row r="4593" spans="1:1" ht="12.75">
      <c r="A4593" s="2" t="s">
        <v>438</v>
      </c>
    </row>
    <row r="4594" spans="1:1" ht="12.75">
      <c r="A4594" s="2" t="s">
        <v>439</v>
      </c>
    </row>
    <row r="4595" spans="1:1" ht="12.75">
      <c r="A4595" s="2" t="s">
        <v>438</v>
      </c>
    </row>
    <row r="4596" spans="1:1" ht="12.75">
      <c r="A4596" s="2" t="s">
        <v>439</v>
      </c>
    </row>
    <row r="4597" spans="1:1" ht="12.75">
      <c r="A4597" s="2" t="s">
        <v>439</v>
      </c>
    </row>
    <row r="4598" spans="1:1" ht="12.75">
      <c r="A4598" s="2" t="s">
        <v>439</v>
      </c>
    </row>
    <row r="4599" spans="1:1" ht="12.75">
      <c r="A4599" s="2" t="s">
        <v>439</v>
      </c>
    </row>
    <row r="4600" spans="1:1" ht="12.75">
      <c r="A4600" s="2" t="s">
        <v>439</v>
      </c>
    </row>
    <row r="4601" spans="1:1" ht="12.75">
      <c r="A4601" s="2" t="s">
        <v>439</v>
      </c>
    </row>
    <row r="4602" spans="1:1" ht="12.75">
      <c r="A4602" s="2" t="s">
        <v>439</v>
      </c>
    </row>
    <row r="4603" spans="1:1" ht="12.75">
      <c r="A4603" s="2" t="s">
        <v>439</v>
      </c>
    </row>
    <row r="4604" spans="1:1" ht="12.75">
      <c r="A4604" s="2" t="s">
        <v>439</v>
      </c>
    </row>
    <row r="4605" spans="1:1" ht="12.75">
      <c r="A4605" s="2" t="s">
        <v>440</v>
      </c>
    </row>
    <row r="4606" spans="1:1" ht="12.75">
      <c r="A4606" s="2" t="s">
        <v>440</v>
      </c>
    </row>
    <row r="4607" spans="1:1" ht="12.75">
      <c r="A4607" s="2" t="s">
        <v>439</v>
      </c>
    </row>
    <row r="4608" spans="1:1" ht="12.75">
      <c r="A4608" s="2" t="s">
        <v>439</v>
      </c>
    </row>
    <row r="4609" spans="1:1" ht="12.75">
      <c r="A4609" s="2" t="s">
        <v>441</v>
      </c>
    </row>
    <row r="4610" spans="1:1" ht="12.75">
      <c r="A4610" s="2" t="s">
        <v>438</v>
      </c>
    </row>
    <row r="4611" spans="1:1" ht="12.75">
      <c r="A4611" s="2" t="s">
        <v>439</v>
      </c>
    </row>
    <row r="4612" spans="1:1" ht="12.75">
      <c r="A4612" s="2" t="s">
        <v>439</v>
      </c>
    </row>
    <row r="4613" spans="1:1" ht="12.75">
      <c r="A4613" s="2" t="s">
        <v>439</v>
      </c>
    </row>
    <row r="4614" spans="1:1" ht="12.75">
      <c r="A4614" s="2" t="s">
        <v>439</v>
      </c>
    </row>
    <row r="4615" spans="1:1" ht="12.75">
      <c r="A4615" s="2" t="s">
        <v>438</v>
      </c>
    </row>
    <row r="4616" spans="1:1" ht="12.75">
      <c r="A4616" s="2" t="s">
        <v>438</v>
      </c>
    </row>
    <row r="4618" spans="1:1" ht="12.75">
      <c r="A4618" s="2" t="s">
        <v>438</v>
      </c>
    </row>
    <row r="4619" spans="1:1" ht="12.75">
      <c r="A4619" s="2" t="s">
        <v>439</v>
      </c>
    </row>
    <row r="4620" spans="1:1" ht="12.75">
      <c r="A4620" s="2" t="s">
        <v>439</v>
      </c>
    </row>
    <row r="4621" spans="1:1" ht="12.75">
      <c r="A4621" s="2" t="s">
        <v>439</v>
      </c>
    </row>
    <row r="4622" spans="1:1" ht="12.75">
      <c r="A4622" s="2" t="s">
        <v>439</v>
      </c>
    </row>
    <row r="4623" spans="1:1" ht="12.75">
      <c r="A4623" s="2" t="s">
        <v>439</v>
      </c>
    </row>
    <row r="4624" spans="1:1" ht="12.75">
      <c r="A4624" s="2" t="s">
        <v>439</v>
      </c>
    </row>
    <row r="4625" spans="1:1" ht="12.75">
      <c r="A4625" s="2" t="s">
        <v>439</v>
      </c>
    </row>
    <row r="4626" spans="1:1" ht="12.75">
      <c r="A4626" s="2" t="s">
        <v>439</v>
      </c>
    </row>
    <row r="4627" spans="1:1" ht="12.75">
      <c r="A4627" s="2" t="s">
        <v>440</v>
      </c>
    </row>
    <row r="4628" spans="1:1" ht="12.75">
      <c r="A4628" s="2" t="s">
        <v>440</v>
      </c>
    </row>
    <row r="4629" spans="1:1" ht="12.75">
      <c r="A4629" s="2" t="s">
        <v>439</v>
      </c>
    </row>
    <row r="4630" spans="1:1" ht="12.75">
      <c r="A4630" s="2" t="s">
        <v>442</v>
      </c>
    </row>
    <row r="4631" spans="1:1" ht="12.75">
      <c r="A4631" s="2" t="s">
        <v>322</v>
      </c>
    </row>
    <row r="4632" spans="1:1" ht="12.75">
      <c r="A4632" s="2" t="s">
        <v>443</v>
      </c>
    </row>
    <row r="4633" spans="1:1" ht="12.75">
      <c r="A4633" s="2" t="s">
        <v>444</v>
      </c>
    </row>
    <row r="4634" spans="1:1" ht="12.75">
      <c r="A4634" s="2" t="s">
        <v>445</v>
      </c>
    </row>
    <row r="4635" spans="1:1" ht="12.75">
      <c r="A4635" s="2" t="s">
        <v>445</v>
      </c>
    </row>
    <row r="4636" spans="1:1" ht="12.75">
      <c r="A4636" s="2" t="s">
        <v>444</v>
      </c>
    </row>
    <row r="4637" spans="1:1" ht="12.75">
      <c r="A4637" s="2" t="s">
        <v>444</v>
      </c>
    </row>
    <row r="4638" spans="1:1" ht="12.75">
      <c r="A4638" s="2" t="s">
        <v>444</v>
      </c>
    </row>
    <row r="4639" spans="1:1" ht="12.75">
      <c r="A4639" s="2" t="s">
        <v>446</v>
      </c>
    </row>
    <row r="4640" spans="1:1" ht="12.75">
      <c r="A4640" s="2" t="s">
        <v>446</v>
      </c>
    </row>
    <row r="4641" spans="1:1" ht="12.75">
      <c r="A4641" s="2" t="s">
        <v>446</v>
      </c>
    </row>
    <row r="4642" spans="1:1" ht="12.75">
      <c r="A4642" s="2" t="s">
        <v>446</v>
      </c>
    </row>
    <row r="4643" spans="1:1" ht="12.75">
      <c r="A4643" s="2" t="s">
        <v>446</v>
      </c>
    </row>
    <row r="4644" spans="1:1" ht="12.75">
      <c r="A4644" s="2" t="s">
        <v>446</v>
      </c>
    </row>
    <row r="4645" spans="1:1" ht="12.75">
      <c r="A4645" s="2" t="s">
        <v>447</v>
      </c>
    </row>
    <row r="4646" spans="1:1" ht="12.75">
      <c r="A4646" s="2" t="s">
        <v>447</v>
      </c>
    </row>
    <row r="4647" spans="1:1" ht="12.75">
      <c r="A4647" s="2" t="s">
        <v>447</v>
      </c>
    </row>
    <row r="4648" spans="1:1" ht="12.75">
      <c r="A4648" s="2" t="s">
        <v>447</v>
      </c>
    </row>
    <row r="4649" spans="1:1" ht="12.75">
      <c r="A4649" s="2" t="s">
        <v>447</v>
      </c>
    </row>
    <row r="4650" spans="1:1" ht="12.75">
      <c r="A4650" s="2" t="s">
        <v>448</v>
      </c>
    </row>
    <row r="4651" spans="1:1" ht="12.75">
      <c r="A4651" s="2" t="s">
        <v>446</v>
      </c>
    </row>
    <row r="4652" spans="1:1" ht="12.75">
      <c r="A4652" s="2" t="s">
        <v>446</v>
      </c>
    </row>
    <row r="4653" spans="1:1" ht="12.75">
      <c r="A4653" s="2" t="s">
        <v>446</v>
      </c>
    </row>
    <row r="4654" spans="1:1" ht="12.75">
      <c r="A4654" s="2" t="s">
        <v>446</v>
      </c>
    </row>
    <row r="4655" spans="1:1" ht="12.75">
      <c r="A4655" s="2" t="s">
        <v>446</v>
      </c>
    </row>
    <row r="4656" spans="1:1" ht="12.75">
      <c r="A4656" s="2" t="s">
        <v>447</v>
      </c>
    </row>
    <row r="4657" spans="1:1" ht="12.75">
      <c r="A4657" s="2" t="s">
        <v>447</v>
      </c>
    </row>
    <row r="4658" spans="1:1" ht="12.75">
      <c r="A4658" s="2" t="s">
        <v>447</v>
      </c>
    </row>
    <row r="4659" spans="1:1" ht="12.75">
      <c r="A4659" s="2" t="s">
        <v>449</v>
      </c>
    </row>
    <row r="4660" spans="1:1" ht="12.75">
      <c r="A4660" s="2" t="s">
        <v>449</v>
      </c>
    </row>
    <row r="4661" spans="1:1" ht="12.75">
      <c r="A4661" s="2" t="s">
        <v>449</v>
      </c>
    </row>
    <row r="4662" spans="1:1" ht="12.75">
      <c r="A4662" s="2" t="s">
        <v>449</v>
      </c>
    </row>
    <row r="4663" spans="1:1" ht="12.75">
      <c r="A4663" s="2" t="s">
        <v>434</v>
      </c>
    </row>
    <row r="4664" spans="1:1" ht="12.75">
      <c r="A4664" s="2" t="s">
        <v>434</v>
      </c>
    </row>
    <row r="4665" spans="1:1" ht="12.75">
      <c r="A4665" s="2" t="s">
        <v>432</v>
      </c>
    </row>
    <row r="4666" spans="1:1" ht="12.75">
      <c r="A4666" s="2" t="s">
        <v>432</v>
      </c>
    </row>
    <row r="4667" spans="1:1" ht="12.75">
      <c r="A4667" s="2" t="s">
        <v>432</v>
      </c>
    </row>
    <row r="4668" spans="1:1" ht="12.75">
      <c r="A4668" s="2" t="s">
        <v>432</v>
      </c>
    </row>
    <row r="4669" spans="1:1" ht="12.75">
      <c r="A4669" s="2" t="s">
        <v>404</v>
      </c>
    </row>
    <row r="4670" spans="1:1" ht="12.75">
      <c r="A4670" s="2" t="s">
        <v>404</v>
      </c>
    </row>
    <row r="4671" spans="1:1" ht="12.75">
      <c r="A4671" s="2" t="s">
        <v>404</v>
      </c>
    </row>
    <row r="4672" spans="1:1" ht="12.75">
      <c r="A4672" s="2" t="s">
        <v>404</v>
      </c>
    </row>
    <row r="4673" spans="1:1" ht="12.75">
      <c r="A4673" s="2" t="s">
        <v>432</v>
      </c>
    </row>
    <row r="4674" spans="1:1" ht="12.75">
      <c r="A4674" s="2" t="s">
        <v>432</v>
      </c>
    </row>
    <row r="4675" spans="1:1" ht="12.75">
      <c r="A4675" s="2" t="s">
        <v>447</v>
      </c>
    </row>
    <row r="4676" spans="1:1" ht="12.75">
      <c r="A4676" s="2" t="s">
        <v>447</v>
      </c>
    </row>
    <row r="4677" spans="1:1" ht="12.75">
      <c r="A4677" s="2" t="s">
        <v>448</v>
      </c>
    </row>
    <row r="4678" spans="1:1" ht="12.75">
      <c r="A4678" s="2" t="s">
        <v>447</v>
      </c>
    </row>
    <row r="4679" spans="1:1" ht="12.75">
      <c r="A4679" s="2" t="s">
        <v>450</v>
      </c>
    </row>
    <row r="4680" spans="1:1" ht="12.75">
      <c r="A4680" s="2" t="s">
        <v>450</v>
      </c>
    </row>
    <row r="4681" spans="1:1" ht="12.75">
      <c r="A4681" s="2" t="s">
        <v>450</v>
      </c>
    </row>
    <row r="4682" spans="1:1" ht="12.75">
      <c r="A4682" s="2" t="s">
        <v>450</v>
      </c>
    </row>
    <row r="4683" spans="1:1" ht="12.75">
      <c r="A4683" s="2" t="s">
        <v>451</v>
      </c>
    </row>
    <row r="4684" spans="1:1" ht="12.75">
      <c r="A4684" s="2" t="s">
        <v>451</v>
      </c>
    </row>
    <row r="4685" spans="1:1" ht="12.75">
      <c r="A4685" s="2" t="s">
        <v>446</v>
      </c>
    </row>
    <row r="4686" spans="1:1" ht="12.75">
      <c r="A4686" s="2" t="s">
        <v>450</v>
      </c>
    </row>
    <row r="4687" spans="1:1" ht="12.75">
      <c r="A4687" s="2" t="s">
        <v>451</v>
      </c>
    </row>
    <row r="4688" spans="1:1" ht="12.75">
      <c r="A4688" s="2" t="s">
        <v>446</v>
      </c>
    </row>
    <row r="4689" spans="1:1" ht="12.75">
      <c r="A4689" s="2" t="s">
        <v>446</v>
      </c>
    </row>
    <row r="4690" spans="1:1" ht="12.75">
      <c r="A4690" s="2" t="s">
        <v>446</v>
      </c>
    </row>
    <row r="4691" spans="1:1" ht="12.75">
      <c r="A4691" s="2" t="s">
        <v>446</v>
      </c>
    </row>
    <row r="4692" spans="1:1" ht="12.75">
      <c r="A4692" s="2" t="s">
        <v>446</v>
      </c>
    </row>
    <row r="4693" spans="1:1" ht="12.75">
      <c r="A4693" s="2" t="s">
        <v>446</v>
      </c>
    </row>
    <row r="4694" spans="1:1" ht="12.75">
      <c r="A4694" s="2" t="s">
        <v>447</v>
      </c>
    </row>
    <row r="4695" spans="1:1" ht="12.75">
      <c r="A4695" s="2" t="s">
        <v>447</v>
      </c>
    </row>
    <row r="4696" spans="1:1" ht="12.75">
      <c r="A4696" s="2" t="s">
        <v>447</v>
      </c>
    </row>
    <row r="4697" spans="1:1" ht="12.75">
      <c r="A4697" s="2" t="s">
        <v>447</v>
      </c>
    </row>
    <row r="4698" spans="1:1" ht="12.75">
      <c r="A4698" s="2" t="s">
        <v>447</v>
      </c>
    </row>
    <row r="4699" spans="1:1" ht="12.75">
      <c r="A4699" s="2" t="s">
        <v>447</v>
      </c>
    </row>
    <row r="4700" spans="1:1" ht="12.75">
      <c r="A4700" s="2" t="s">
        <v>447</v>
      </c>
    </row>
    <row r="4701" spans="1:1" ht="12.75">
      <c r="A4701" s="2" t="s">
        <v>448</v>
      </c>
    </row>
    <row r="4702" spans="1:1" ht="12.75">
      <c r="A4702" s="2" t="s">
        <v>446</v>
      </c>
    </row>
    <row r="4703" spans="1:1" ht="12.75">
      <c r="A4703" s="2" t="s">
        <v>446</v>
      </c>
    </row>
    <row r="4704" spans="1:1" ht="12.75">
      <c r="A4704" s="2" t="s">
        <v>446</v>
      </c>
    </row>
    <row r="4705" spans="1:1" ht="12.75">
      <c r="A4705" s="2" t="s">
        <v>446</v>
      </c>
    </row>
    <row r="4706" spans="1:1" ht="12.75">
      <c r="A4706" s="2" t="s">
        <v>446</v>
      </c>
    </row>
    <row r="4707" spans="1:1" ht="12.75">
      <c r="A4707" s="2" t="s">
        <v>450</v>
      </c>
    </row>
    <row r="4708" spans="1:1" ht="12.75">
      <c r="A4708" s="2" t="s">
        <v>450</v>
      </c>
    </row>
    <row r="4709" spans="1:1" ht="12.75">
      <c r="A4709" s="2" t="s">
        <v>451</v>
      </c>
    </row>
    <row r="4710" spans="1:1" ht="12.75">
      <c r="A4710" s="2" t="s">
        <v>451</v>
      </c>
    </row>
    <row r="4711" spans="1:1" ht="12.75">
      <c r="A4711" s="2" t="s">
        <v>432</v>
      </c>
    </row>
    <row r="4712" spans="1:1" ht="12.75">
      <c r="A4712" s="2" t="s">
        <v>432</v>
      </c>
    </row>
    <row r="4713" spans="1:1" ht="12.75">
      <c r="A4713" s="2" t="s">
        <v>432</v>
      </c>
    </row>
    <row r="4714" spans="1:1" ht="12.75">
      <c r="A4714" s="2" t="s">
        <v>437</v>
      </c>
    </row>
    <row r="4715" spans="1:1" ht="12.75">
      <c r="A4715" s="2" t="s">
        <v>451</v>
      </c>
    </row>
    <row r="4716" spans="1:1" ht="12.75">
      <c r="A4716" s="2" t="s">
        <v>451</v>
      </c>
    </row>
    <row r="4717" spans="1:1" ht="12.75">
      <c r="A4717" s="2" t="s">
        <v>437</v>
      </c>
    </row>
    <row r="4718" spans="1:1" ht="12.75">
      <c r="A4718" s="2" t="s">
        <v>437</v>
      </c>
    </row>
    <row r="4719" spans="1:1" ht="12.75">
      <c r="A4719" s="2" t="s">
        <v>432</v>
      </c>
    </row>
    <row r="4720" spans="1:1" ht="12.75">
      <c r="A4720" s="2" t="s">
        <v>432</v>
      </c>
    </row>
    <row r="4721" spans="1:1" ht="12.75">
      <c r="A4721" s="2" t="s">
        <v>432</v>
      </c>
    </row>
    <row r="4722" spans="1:1" ht="12.75">
      <c r="A4722" s="2" t="s">
        <v>432</v>
      </c>
    </row>
    <row r="4723" spans="1:1" ht="12.75">
      <c r="A4723" s="2" t="s">
        <v>404</v>
      </c>
    </row>
    <row r="4725" spans="1:1" ht="12.75">
      <c r="A4725" s="2" t="s">
        <v>452</v>
      </c>
    </row>
    <row r="4726" spans="1:1" ht="12.75">
      <c r="A4726" s="2" t="s">
        <v>452</v>
      </c>
    </row>
    <row r="4727" spans="1:1" ht="12.75">
      <c r="A4727" s="2" t="s">
        <v>452</v>
      </c>
    </row>
    <row r="4728" spans="1:1" ht="12.75">
      <c r="A4728" s="2" t="s">
        <v>452</v>
      </c>
    </row>
    <row r="4729" spans="1:1" ht="12.75">
      <c r="A4729" s="2" t="s">
        <v>449</v>
      </c>
    </row>
    <row r="4730" spans="1:1" ht="12.75">
      <c r="A4730" s="2" t="s">
        <v>449</v>
      </c>
    </row>
    <row r="4731" spans="1:1" ht="12.75">
      <c r="A4731" s="2" t="s">
        <v>449</v>
      </c>
    </row>
    <row r="4733" spans="1:1" ht="12.75">
      <c r="A4733" s="2" t="s">
        <v>404</v>
      </c>
    </row>
    <row r="4734" spans="1:1" ht="12.75">
      <c r="A4734" s="2" t="s">
        <v>449</v>
      </c>
    </row>
    <row r="4735" spans="1:1" ht="12.75">
      <c r="A4735" s="2" t="s">
        <v>449</v>
      </c>
    </row>
    <row r="4736" spans="1:1" ht="12.75">
      <c r="A4736" s="2" t="s">
        <v>449</v>
      </c>
    </row>
    <row r="4737" spans="1:1" ht="12.75">
      <c r="A4737" s="2" t="s">
        <v>449</v>
      </c>
    </row>
    <row r="4738" spans="1:1" ht="12.75">
      <c r="A4738" s="2" t="s">
        <v>449</v>
      </c>
    </row>
    <row r="4739" spans="1:1" ht="12.75">
      <c r="A4739" s="2" t="s">
        <v>449</v>
      </c>
    </row>
    <row r="4740" spans="1:1" ht="12.75">
      <c r="A4740" s="2" t="s">
        <v>449</v>
      </c>
    </row>
    <row r="4741" spans="1:1" ht="12.75">
      <c r="A4741" s="2" t="s">
        <v>452</v>
      </c>
    </row>
    <row r="4742" spans="1:1" ht="12.75">
      <c r="A4742" s="2" t="s">
        <v>452</v>
      </c>
    </row>
    <row r="4743" spans="1:1" ht="12.75">
      <c r="A4743" s="2" t="s">
        <v>452</v>
      </c>
    </row>
    <row r="4744" spans="1:1" ht="12.75">
      <c r="A4744" s="2" t="s">
        <v>452</v>
      </c>
    </row>
    <row r="4745" spans="1:1" ht="12.75">
      <c r="A4745" s="2" t="s">
        <v>452</v>
      </c>
    </row>
    <row r="4746" spans="1:1" ht="12.75">
      <c r="A4746" s="2" t="s">
        <v>452</v>
      </c>
    </row>
    <row r="4747" spans="1:1" ht="12.75">
      <c r="A4747" s="2" t="s">
        <v>404</v>
      </c>
    </row>
    <row r="4748" spans="1:1" ht="12.75">
      <c r="A4748" s="2" t="s">
        <v>452</v>
      </c>
    </row>
    <row r="4749" spans="1:1" ht="12.75">
      <c r="A4749" s="2" t="s">
        <v>432</v>
      </c>
    </row>
    <row r="4750" spans="1:1" ht="12.75">
      <c r="A4750" s="2" t="s">
        <v>432</v>
      </c>
    </row>
    <row r="4751" spans="1:1" ht="12.75">
      <c r="A4751" s="2" t="s">
        <v>432</v>
      </c>
    </row>
    <row r="4752" spans="1:1" ht="12.75">
      <c r="A4752" s="2" t="s">
        <v>432</v>
      </c>
    </row>
    <row r="4753" spans="1:1" ht="12.75">
      <c r="A4753" s="2" t="s">
        <v>448</v>
      </c>
    </row>
    <row r="4754" spans="1:1" ht="12.75">
      <c r="A4754" s="2" t="s">
        <v>448</v>
      </c>
    </row>
    <row r="4755" spans="1:1" ht="12.75">
      <c r="A4755" s="2" t="s">
        <v>453</v>
      </c>
    </row>
    <row r="4757" spans="1:1" ht="12.75">
      <c r="A4757" s="2" t="s">
        <v>450</v>
      </c>
    </row>
    <row r="4758" spans="1:1" ht="12.75">
      <c r="A4758" s="2" t="s">
        <v>453</v>
      </c>
    </row>
    <row r="4759" spans="1:1" ht="12.75">
      <c r="A4759" s="2" t="s">
        <v>448</v>
      </c>
    </row>
    <row r="4760" spans="1:1" ht="12.75">
      <c r="A4760" s="2" t="s">
        <v>448</v>
      </c>
    </row>
    <row r="4761" spans="1:1" ht="12.75">
      <c r="A4761" s="2" t="s">
        <v>448</v>
      </c>
    </row>
    <row r="4762" spans="1:1" ht="12.75">
      <c r="A4762" s="2" t="s">
        <v>453</v>
      </c>
    </row>
    <row r="4763" spans="1:1" ht="12.75">
      <c r="A4763" s="2" t="s">
        <v>453</v>
      </c>
    </row>
    <row r="4764" spans="1:1" ht="12.75">
      <c r="A4764" s="2" t="s">
        <v>453</v>
      </c>
    </row>
    <row r="4765" spans="1:1" ht="12.75">
      <c r="A4765" s="2" t="s">
        <v>453</v>
      </c>
    </row>
    <row r="4766" spans="1:1" ht="12.75">
      <c r="A4766" s="2" t="s">
        <v>450</v>
      </c>
    </row>
    <row r="4767" spans="1:1" ht="12.75">
      <c r="A4767" s="2" t="s">
        <v>446</v>
      </c>
    </row>
    <row r="4768" spans="1:1" ht="12.75">
      <c r="A4768" s="2" t="s">
        <v>446</v>
      </c>
    </row>
    <row r="4769" spans="1:1" ht="12.75">
      <c r="A4769" s="2" t="s">
        <v>446</v>
      </c>
    </row>
    <row r="4770" spans="1:1" ht="12.75">
      <c r="A4770" s="2" t="s">
        <v>446</v>
      </c>
    </row>
    <row r="4771" spans="1:1" ht="12.75">
      <c r="A4771" s="2" t="s">
        <v>446</v>
      </c>
    </row>
    <row r="4772" spans="1:1" ht="12.75">
      <c r="A4772" s="2" t="s">
        <v>446</v>
      </c>
    </row>
    <row r="4773" spans="1:1" ht="12.75">
      <c r="A4773" s="2" t="s">
        <v>447</v>
      </c>
    </row>
    <row r="4774" spans="1:1" ht="12.75">
      <c r="A4774" s="2" t="s">
        <v>447</v>
      </c>
    </row>
    <row r="4775" spans="1:1" ht="12.75">
      <c r="A4775" s="2" t="s">
        <v>454</v>
      </c>
    </row>
    <row r="4776" spans="1:1" ht="12.75">
      <c r="A4776" s="2" t="s">
        <v>454</v>
      </c>
    </row>
    <row r="4780" spans="1:1" ht="12.75">
      <c r="A4780" s="2" t="s">
        <v>280</v>
      </c>
    </row>
    <row r="4784" spans="1:1" ht="12.75">
      <c r="A4784" s="2" t="s">
        <v>280</v>
      </c>
    </row>
    <row r="4785" spans="1:1" ht="12.75">
      <c r="A4785" s="2" t="s">
        <v>280</v>
      </c>
    </row>
    <row r="4786" spans="1:1" ht="12.75">
      <c r="A4786" s="2" t="s">
        <v>280</v>
      </c>
    </row>
    <row r="4787" spans="1:1" ht="12.75">
      <c r="A4787" s="2" t="s">
        <v>280</v>
      </c>
    </row>
    <row r="4788" spans="1:1" ht="12.75">
      <c r="A4788" s="2" t="s">
        <v>280</v>
      </c>
    </row>
    <row r="4789" spans="1:1" ht="12.75">
      <c r="A4789" s="2" t="s">
        <v>257</v>
      </c>
    </row>
    <row r="4790" spans="1:1" ht="12.75">
      <c r="A4790" s="2" t="s">
        <v>257</v>
      </c>
    </row>
    <row r="4791" spans="1:1" ht="12.75">
      <c r="A4791" s="2" t="s">
        <v>257</v>
      </c>
    </row>
    <row r="4792" spans="1:1" ht="12.75">
      <c r="A4792" s="2" t="s">
        <v>257</v>
      </c>
    </row>
    <row r="4793" spans="1:1" ht="12.75">
      <c r="A4793" s="2" t="s">
        <v>258</v>
      </c>
    </row>
    <row r="4794" spans="1:1" ht="12.75">
      <c r="A4794" s="2" t="s">
        <v>258</v>
      </c>
    </row>
    <row r="4795" spans="1:1" ht="12.75">
      <c r="A4795" s="2" t="s">
        <v>258</v>
      </c>
    </row>
    <row r="4797" spans="1:1" ht="12.75">
      <c r="A4797" s="2" t="s">
        <v>257</v>
      </c>
    </row>
    <row r="4798" spans="1:1" ht="12.75">
      <c r="A4798" s="2" t="s">
        <v>257</v>
      </c>
    </row>
    <row r="4801" spans="1:1" ht="12.75">
      <c r="A4801" s="2" t="s">
        <v>258</v>
      </c>
    </row>
    <row r="4802" spans="1:1" ht="12.75">
      <c r="A4802" s="2" t="s">
        <v>258</v>
      </c>
    </row>
    <row r="4803" spans="1:1" ht="12.75">
      <c r="A4803" s="2" t="s">
        <v>258</v>
      </c>
    </row>
    <row r="4909" spans="1:1" ht="12.75">
      <c r="A4909" s="2" t="s">
        <v>400</v>
      </c>
    </row>
    <row r="4910" spans="1:1" ht="12.75">
      <c r="A4910" s="2" t="s">
        <v>203</v>
      </c>
    </row>
    <row r="4911" spans="1:1" ht="12.75">
      <c r="A4911" s="2" t="s">
        <v>203</v>
      </c>
    </row>
    <row r="4912" spans="1:1" ht="12.75">
      <c r="A4912" s="2" t="s">
        <v>203</v>
      </c>
    </row>
    <row r="4913" spans="1:1" ht="12.75">
      <c r="A4913" s="2" t="s">
        <v>203</v>
      </c>
    </row>
    <row r="4914" spans="1:1" ht="12.75">
      <c r="A4914" s="2" t="s">
        <v>203</v>
      </c>
    </row>
    <row r="4915" spans="1:1" ht="12.75">
      <c r="A4915" s="2" t="s">
        <v>203</v>
      </c>
    </row>
    <row r="4916" spans="1:1" ht="12.75">
      <c r="A4916" s="2" t="s">
        <v>203</v>
      </c>
    </row>
    <row r="4917" spans="1:1" ht="12.75">
      <c r="A4917" s="2" t="s">
        <v>203</v>
      </c>
    </row>
    <row r="4918" spans="1:1" ht="12.75">
      <c r="A4918" s="2" t="s">
        <v>200</v>
      </c>
    </row>
    <row r="4919" spans="1:1" ht="12.75">
      <c r="A4919" s="2" t="s">
        <v>200</v>
      </c>
    </row>
    <row r="4920" spans="1:1" ht="12.75">
      <c r="A4920" s="2" t="s">
        <v>206</v>
      </c>
    </row>
    <row r="4921" spans="1:1" ht="12.75">
      <c r="A4921" s="2" t="s">
        <v>206</v>
      </c>
    </row>
    <row r="4922" spans="1:1" ht="12.75">
      <c r="A4922" s="2" t="s">
        <v>206</v>
      </c>
    </row>
    <row r="4923" spans="1:1" ht="12.75">
      <c r="A4923" s="2" t="s">
        <v>206</v>
      </c>
    </row>
    <row r="4924" spans="1:1" ht="12.75">
      <c r="A4924" s="2" t="s">
        <v>206</v>
      </c>
    </row>
    <row r="4925" spans="1:1" ht="12.75">
      <c r="A4925" s="2" t="s">
        <v>206</v>
      </c>
    </row>
    <row r="4926" spans="1:1" ht="12.75">
      <c r="A4926" s="2" t="s">
        <v>206</v>
      </c>
    </row>
    <row r="4927" spans="1:1" ht="12.75">
      <c r="A4927" s="2" t="s">
        <v>206</v>
      </c>
    </row>
    <row r="4928" spans="1:1" ht="12.75">
      <c r="A4928" s="2" t="s">
        <v>206</v>
      </c>
    </row>
    <row r="4929" spans="1:1" ht="12.75">
      <c r="A4929" s="2" t="s">
        <v>206</v>
      </c>
    </row>
    <row r="4930" spans="1:1" ht="12.75">
      <c r="A4930" s="2" t="s">
        <v>351</v>
      </c>
    </row>
    <row r="4931" spans="1:1" ht="12.75">
      <c r="A4931" s="2" t="s">
        <v>351</v>
      </c>
    </row>
    <row r="4932" spans="1:1" ht="12.75">
      <c r="A4932" s="2" t="s">
        <v>202</v>
      </c>
    </row>
    <row r="4933" spans="1:1" ht="12.75">
      <c r="A4933" s="2" t="s">
        <v>201</v>
      </c>
    </row>
    <row r="4934" spans="1:1" ht="12.75">
      <c r="A4934" s="2" t="s">
        <v>202</v>
      </c>
    </row>
    <row r="4935" spans="1:1" ht="12.75">
      <c r="A4935" s="2" t="s">
        <v>202</v>
      </c>
    </row>
    <row r="4936" spans="1:1" ht="12.75">
      <c r="A4936" s="2" t="s">
        <v>201</v>
      </c>
    </row>
    <row r="4937" spans="1:1" ht="12.75">
      <c r="A4937" s="2" t="s">
        <v>201</v>
      </c>
    </row>
    <row r="4938" spans="1:1" ht="12.75">
      <c r="A4938" s="2" t="s">
        <v>201</v>
      </c>
    </row>
    <row r="4939" spans="1:1" ht="12.75">
      <c r="A4939" s="2" t="s">
        <v>201</v>
      </c>
    </row>
    <row r="4940" spans="1:1" ht="12.75">
      <c r="A4940" s="2" t="s">
        <v>455</v>
      </c>
    </row>
    <row r="4941" spans="1:1" ht="12.75">
      <c r="A4941" s="2" t="s">
        <v>455</v>
      </c>
    </row>
    <row r="4942" spans="1:1" ht="12.75">
      <c r="A4942" s="2" t="s">
        <v>203</v>
      </c>
    </row>
    <row r="4943" spans="1:1" ht="12.75">
      <c r="A4943" s="2" t="s">
        <v>203</v>
      </c>
    </row>
    <row r="4944" spans="1:1" ht="12.75">
      <c r="A4944" s="2" t="s">
        <v>203</v>
      </c>
    </row>
    <row r="4945" spans="1:1" ht="12.75">
      <c r="A4945" s="2" t="s">
        <v>203</v>
      </c>
    </row>
    <row r="4946" spans="1:1" ht="12.75">
      <c r="A4946" s="2" t="s">
        <v>203</v>
      </c>
    </row>
    <row r="4947" spans="1:1" ht="12.75">
      <c r="A4947" s="2" t="s">
        <v>203</v>
      </c>
    </row>
    <row r="4948" spans="1:1" ht="12.75">
      <c r="A4948" s="2" t="s">
        <v>203</v>
      </c>
    </row>
    <row r="4949" spans="1:1" ht="12.75">
      <c r="A4949" s="2" t="s">
        <v>203</v>
      </c>
    </row>
    <row r="4950" spans="1:1" ht="12.75">
      <c r="A4950" s="2" t="s">
        <v>203</v>
      </c>
    </row>
    <row r="4951" spans="1:1" ht="12.75">
      <c r="A4951" s="2" t="s">
        <v>203</v>
      </c>
    </row>
    <row r="4952" spans="1:1" ht="12.75">
      <c r="A4952" s="2" t="s">
        <v>203</v>
      </c>
    </row>
    <row r="4953" spans="1:1" ht="12.75">
      <c r="A4953" s="2" t="s">
        <v>203</v>
      </c>
    </row>
    <row r="4954" spans="1:1" ht="12.75">
      <c r="A4954" s="2" t="s">
        <v>203</v>
      </c>
    </row>
    <row r="4955" spans="1:1" ht="12.75">
      <c r="A4955" s="2" t="s">
        <v>202</v>
      </c>
    </row>
    <row r="4956" spans="1:1" ht="12.75">
      <c r="A4956" s="2" t="s">
        <v>203</v>
      </c>
    </row>
    <row r="4957" spans="1:1" ht="12.75">
      <c r="A4957" s="2" t="s">
        <v>202</v>
      </c>
    </row>
    <row r="4958" spans="1:1" ht="12.75">
      <c r="A4958" s="2" t="s">
        <v>203</v>
      </c>
    </row>
    <row r="4959" spans="1:1" ht="12.75">
      <c r="A4959" s="2" t="s">
        <v>203</v>
      </c>
    </row>
    <row r="4963" spans="1:1" ht="12.75">
      <c r="A4963" s="2" t="s">
        <v>456</v>
      </c>
    </row>
    <row r="4980" spans="1:1" ht="12.75">
      <c r="A4980" s="2" t="s">
        <v>457</v>
      </c>
    </row>
    <row r="4981" spans="1:1" ht="12.75">
      <c r="A4981" s="2" t="s">
        <v>457</v>
      </c>
    </row>
    <row r="4982" spans="1:1" ht="12.75">
      <c r="A4982" s="2" t="s">
        <v>457</v>
      </c>
    </row>
    <row r="4983" spans="1:1" ht="12.75">
      <c r="A4983" s="2" t="s">
        <v>457</v>
      </c>
    </row>
    <row r="4984" spans="1:1" ht="12.75">
      <c r="A4984" s="2" t="s">
        <v>458</v>
      </c>
    </row>
    <row r="4985" spans="1:1" ht="12.75">
      <c r="A4985" s="2" t="s">
        <v>459</v>
      </c>
    </row>
    <row r="4986" spans="1:1" ht="12.75">
      <c r="A4986" s="2" t="s">
        <v>458</v>
      </c>
    </row>
    <row r="4987" spans="1:1" ht="12.75">
      <c r="A4987" s="2" t="s">
        <v>459</v>
      </c>
    </row>
    <row r="4988" spans="1:1" ht="12.75">
      <c r="A4988" s="2" t="s">
        <v>458</v>
      </c>
    </row>
    <row r="4989" spans="1:1" ht="12.75">
      <c r="A4989" s="2" t="s">
        <v>459</v>
      </c>
    </row>
    <row r="4990" spans="1:1" ht="12.75">
      <c r="A4990" s="2" t="s">
        <v>459</v>
      </c>
    </row>
    <row r="4991" spans="1:1" ht="12.75">
      <c r="A4991" s="2" t="s">
        <v>458</v>
      </c>
    </row>
    <row r="4992" spans="1:1" ht="12.75">
      <c r="A4992" s="2" t="s">
        <v>459</v>
      </c>
    </row>
    <row r="4993" spans="1:1" ht="12.75">
      <c r="A4993" s="2" t="s">
        <v>458</v>
      </c>
    </row>
    <row r="4994" spans="1:1" ht="12.75">
      <c r="A4994" s="2" t="s">
        <v>458</v>
      </c>
    </row>
    <row r="4995" spans="1:1" ht="12.75">
      <c r="A4995" s="2" t="s">
        <v>458</v>
      </c>
    </row>
    <row r="4996" spans="1:1" ht="12.75">
      <c r="A4996" s="2" t="s">
        <v>303</v>
      </c>
    </row>
    <row r="4997" spans="1:1" ht="12.75">
      <c r="A4997" s="2" t="s">
        <v>303</v>
      </c>
    </row>
    <row r="4998" spans="1:1" ht="12.75">
      <c r="A4998" s="2" t="s">
        <v>304</v>
      </c>
    </row>
    <row r="4999" spans="1:1" ht="12.75">
      <c r="A4999" s="2" t="s">
        <v>304</v>
      </c>
    </row>
    <row r="5000" spans="1:1" ht="12.75">
      <c r="A5000" s="2" t="s">
        <v>303</v>
      </c>
    </row>
    <row r="5001" spans="1:1" ht="12.75">
      <c r="A5001" s="2" t="s">
        <v>304</v>
      </c>
    </row>
    <row r="5002" spans="1:1" ht="12.75">
      <c r="A5002" s="2" t="s">
        <v>304</v>
      </c>
    </row>
    <row r="5003" spans="1:1" ht="12.75">
      <c r="A5003" s="2" t="s">
        <v>304</v>
      </c>
    </row>
    <row r="5004" spans="1:1" ht="12.75">
      <c r="A5004" s="2" t="s">
        <v>304</v>
      </c>
    </row>
    <row r="5005" spans="1:1" ht="12.75">
      <c r="A5005" s="2" t="s">
        <v>304</v>
      </c>
    </row>
    <row r="5006" spans="1:1" ht="12.75">
      <c r="A5006" s="2" t="s">
        <v>304</v>
      </c>
    </row>
    <row r="5007" spans="1:1" ht="12.75">
      <c r="A5007" s="2" t="s">
        <v>304</v>
      </c>
    </row>
    <row r="5009" spans="1:1" ht="12.75">
      <c r="A5009" s="2" t="s">
        <v>395</v>
      </c>
    </row>
    <row r="5017" spans="1:1" ht="12.75">
      <c r="A5017" s="2" t="s">
        <v>460</v>
      </c>
    </row>
    <row r="5023" spans="1:1" ht="12.75">
      <c r="A5023" s="2" t="s">
        <v>461</v>
      </c>
    </row>
    <row r="5024" spans="1:1" ht="12.75">
      <c r="A5024" s="2" t="s">
        <v>461</v>
      </c>
    </row>
    <row r="5025" spans="1:1" ht="12.75">
      <c r="A5025" s="2" t="s">
        <v>461</v>
      </c>
    </row>
    <row r="5026" spans="1:1" ht="12.75">
      <c r="A5026" s="2" t="s">
        <v>461</v>
      </c>
    </row>
    <row r="5027" spans="1:1" ht="12.75">
      <c r="A5027" s="2" t="s">
        <v>461</v>
      </c>
    </row>
    <row r="5028" spans="1:1" ht="12.75">
      <c r="A5028" s="2" t="s">
        <v>461</v>
      </c>
    </row>
    <row r="5029" spans="1:1" ht="12.75">
      <c r="A5029" s="2" t="s">
        <v>302</v>
      </c>
    </row>
    <row r="5030" spans="1:1" ht="12.75">
      <c r="A5030" s="2" t="s">
        <v>302</v>
      </c>
    </row>
    <row r="5031" spans="1:1" ht="12.75">
      <c r="A5031" s="2" t="s">
        <v>302</v>
      </c>
    </row>
    <row r="5032" spans="1:1" ht="12.75">
      <c r="A5032" s="2" t="s">
        <v>302</v>
      </c>
    </row>
    <row r="5033" spans="1:1" ht="12.75">
      <c r="A5033" s="2" t="s">
        <v>302</v>
      </c>
    </row>
    <row r="5034" spans="1:1" ht="12.75">
      <c r="A5034" s="2" t="s">
        <v>302</v>
      </c>
    </row>
    <row r="5035" spans="1:1" ht="12.75">
      <c r="A5035" s="2" t="s">
        <v>302</v>
      </c>
    </row>
    <row r="5036" spans="1:1" ht="12.75">
      <c r="A5036" s="2" t="s">
        <v>302</v>
      </c>
    </row>
    <row r="5037" spans="1:1" ht="12.75">
      <c r="A5037" s="2" t="s">
        <v>302</v>
      </c>
    </row>
    <row r="5038" spans="1:1" ht="12.75">
      <c r="A5038" s="2" t="s">
        <v>302</v>
      </c>
    </row>
    <row r="5089" spans="1:1" ht="12.75">
      <c r="A5089" s="2" t="s">
        <v>289</v>
      </c>
    </row>
    <row r="5090" spans="1:1" ht="12.75">
      <c r="A5090" s="2" t="s">
        <v>297</v>
      </c>
    </row>
    <row r="5091" spans="1:1" ht="12.75">
      <c r="A5091" s="2" t="s">
        <v>297</v>
      </c>
    </row>
    <row r="5092" spans="1:1" ht="12.75">
      <c r="A5092" s="2" t="s">
        <v>291</v>
      </c>
    </row>
    <row r="5093" spans="1:1" ht="12.75">
      <c r="A5093" s="2" t="s">
        <v>290</v>
      </c>
    </row>
    <row r="5094" spans="1:1" ht="12.75">
      <c r="A5094" s="2" t="s">
        <v>299</v>
      </c>
    </row>
    <row r="5095" spans="1:1" ht="12.75">
      <c r="A5095" s="2" t="s">
        <v>289</v>
      </c>
    </row>
    <row r="5096" spans="1:1" ht="12.75">
      <c r="A5096" s="2" t="s">
        <v>290</v>
      </c>
    </row>
    <row r="5097" spans="1:1" ht="12.75">
      <c r="A5097" s="2" t="s">
        <v>291</v>
      </c>
    </row>
    <row r="5098" spans="1:1" ht="12.75">
      <c r="A5098" s="2" t="s">
        <v>291</v>
      </c>
    </row>
    <row r="5099" spans="1:1" ht="12.75">
      <c r="A5099" s="2" t="s">
        <v>299</v>
      </c>
    </row>
    <row r="5100" spans="1:1" ht="12.75">
      <c r="A5100" s="2" t="s">
        <v>299</v>
      </c>
    </row>
    <row r="5101" spans="1:1" ht="12.75">
      <c r="A5101" s="2" t="s">
        <v>292</v>
      </c>
    </row>
    <row r="5102" spans="1:1" ht="12.75">
      <c r="A5102" s="2" t="s">
        <v>289</v>
      </c>
    </row>
    <row r="5103" spans="1:1" ht="12.75">
      <c r="A5103" s="2" t="s">
        <v>290</v>
      </c>
    </row>
    <row r="5104" spans="1:1" ht="12.75">
      <c r="A5104" s="2" t="s">
        <v>290</v>
      </c>
    </row>
    <row r="5105" spans="1:1" ht="12.75">
      <c r="A5105" s="2" t="s">
        <v>289</v>
      </c>
    </row>
    <row r="5106" spans="1:1" ht="12.75">
      <c r="A5106" s="2" t="s">
        <v>291</v>
      </c>
    </row>
    <row r="5107" spans="1:1" ht="12.75">
      <c r="A5107" s="2" t="s">
        <v>291</v>
      </c>
    </row>
    <row r="5108" spans="1:1" ht="12.75">
      <c r="A5108" s="2" t="s">
        <v>291</v>
      </c>
    </row>
    <row r="5109" spans="1:1" ht="12.75">
      <c r="A5109" s="2" t="s">
        <v>289</v>
      </c>
    </row>
    <row r="5110" spans="1:1" ht="12.75">
      <c r="A5110" s="2" t="s">
        <v>291</v>
      </c>
    </row>
    <row r="5111" spans="1:1" ht="12.75">
      <c r="A5111" s="2" t="s">
        <v>291</v>
      </c>
    </row>
    <row r="5112" spans="1:1" ht="12.75">
      <c r="A5112" s="2" t="s">
        <v>290</v>
      </c>
    </row>
    <row r="5113" spans="1:1" ht="12.75">
      <c r="A5113" s="2" t="s">
        <v>291</v>
      </c>
    </row>
    <row r="5114" spans="1:1" ht="12.75">
      <c r="A5114" s="2" t="s">
        <v>291</v>
      </c>
    </row>
    <row r="5115" spans="1:1" ht="12.75">
      <c r="A5115" s="2" t="s">
        <v>290</v>
      </c>
    </row>
    <row r="5116" spans="1:1" ht="12.75">
      <c r="A5116" s="2" t="s">
        <v>291</v>
      </c>
    </row>
    <row r="5117" spans="1:1" ht="12.75">
      <c r="A5117" s="2" t="s">
        <v>290</v>
      </c>
    </row>
    <row r="5118" spans="1:1" ht="12.75">
      <c r="A5118" s="2" t="s">
        <v>289</v>
      </c>
    </row>
    <row r="5119" spans="1:1" ht="12.75">
      <c r="A5119" s="2" t="s">
        <v>299</v>
      </c>
    </row>
    <row r="5120" spans="1:1" ht="12.75">
      <c r="A5120" s="2" t="s">
        <v>289</v>
      </c>
    </row>
    <row r="5121" spans="1:1" ht="12.75">
      <c r="A5121" s="2" t="s">
        <v>290</v>
      </c>
    </row>
    <row r="5122" spans="1:1" ht="12.75">
      <c r="A5122" s="2" t="s">
        <v>289</v>
      </c>
    </row>
    <row r="5123" spans="1:1" ht="12.75">
      <c r="A5123" s="2" t="s">
        <v>292</v>
      </c>
    </row>
    <row r="5124" spans="1:1" ht="12.75">
      <c r="A5124" s="2" t="s">
        <v>289</v>
      </c>
    </row>
    <row r="5125" spans="1:1" ht="12.75">
      <c r="A5125" s="2" t="s">
        <v>299</v>
      </c>
    </row>
    <row r="5126" spans="1:1" ht="12.75">
      <c r="A5126" s="2" t="s">
        <v>290</v>
      </c>
    </row>
    <row r="5127" spans="1:1" ht="12.75">
      <c r="A5127" s="2" t="s">
        <v>299</v>
      </c>
    </row>
    <row r="5128" spans="1:1" ht="12.75">
      <c r="A5128" s="2" t="s">
        <v>289</v>
      </c>
    </row>
    <row r="5129" spans="1:1" ht="12.75">
      <c r="A5129" s="2" t="s">
        <v>291</v>
      </c>
    </row>
    <row r="5130" spans="1:1" ht="12.75">
      <c r="A5130" s="2" t="s">
        <v>289</v>
      </c>
    </row>
    <row r="5131" spans="1:1" ht="12.75">
      <c r="A5131" s="2" t="s">
        <v>299</v>
      </c>
    </row>
    <row r="5132" spans="1:1" ht="12.75">
      <c r="A5132" s="2" t="s">
        <v>291</v>
      </c>
    </row>
    <row r="5133" spans="1:1" ht="12.75">
      <c r="A5133" s="2" t="s">
        <v>299</v>
      </c>
    </row>
    <row r="5134" spans="1:1" ht="12.75">
      <c r="A5134" s="2" t="s">
        <v>291</v>
      </c>
    </row>
    <row r="5135" spans="1:1" ht="12.75">
      <c r="A5135" s="2" t="s">
        <v>290</v>
      </c>
    </row>
    <row r="5136" spans="1:1" ht="12.75">
      <c r="A5136" s="2" t="s">
        <v>289</v>
      </c>
    </row>
    <row r="5137" spans="1:1" ht="12.75">
      <c r="A5137" s="2" t="s">
        <v>292</v>
      </c>
    </row>
    <row r="5138" spans="1:1" ht="12.75">
      <c r="A5138" s="2" t="s">
        <v>290</v>
      </c>
    </row>
    <row r="5139" spans="1:1" ht="12.75">
      <c r="A5139" s="2" t="s">
        <v>289</v>
      </c>
    </row>
    <row r="5140" spans="1:1" ht="12.75">
      <c r="A5140" s="2" t="s">
        <v>291</v>
      </c>
    </row>
    <row r="5141" spans="1:1" ht="12.75">
      <c r="A5141" s="2" t="s">
        <v>289</v>
      </c>
    </row>
    <row r="5142" spans="1:1" ht="12.75">
      <c r="A5142" s="2" t="s">
        <v>291</v>
      </c>
    </row>
    <row r="5143" spans="1:1" ht="12.75">
      <c r="A5143" s="2" t="s">
        <v>299</v>
      </c>
    </row>
    <row r="5144" spans="1:1" ht="12.75">
      <c r="A5144" s="2" t="s">
        <v>290</v>
      </c>
    </row>
    <row r="5145" spans="1:1" ht="12.75">
      <c r="A5145" s="2" t="s">
        <v>290</v>
      </c>
    </row>
    <row r="5146" spans="1:1" ht="12.75">
      <c r="A5146" s="2" t="s">
        <v>289</v>
      </c>
    </row>
    <row r="5147" spans="1:1" ht="12.75">
      <c r="A5147" s="2" t="s">
        <v>289</v>
      </c>
    </row>
    <row r="5148" spans="1:1" ht="12.75">
      <c r="A5148" s="2" t="s">
        <v>289</v>
      </c>
    </row>
    <row r="5149" spans="1:1" ht="12.75">
      <c r="A5149" s="2" t="s">
        <v>299</v>
      </c>
    </row>
    <row r="5150" spans="1:1" ht="12.75">
      <c r="A5150" s="2" t="s">
        <v>299</v>
      </c>
    </row>
    <row r="5151" spans="1:1" ht="12.75">
      <c r="A5151" s="2" t="s">
        <v>292</v>
      </c>
    </row>
    <row r="5152" spans="1:1" ht="12.75">
      <c r="A5152" s="2" t="s">
        <v>298</v>
      </c>
    </row>
    <row r="5153" spans="1:1" ht="12.75">
      <c r="A5153" s="2" t="s">
        <v>289</v>
      </c>
    </row>
    <row r="5154" spans="1:1" ht="12.75">
      <c r="A5154" s="2" t="s">
        <v>292</v>
      </c>
    </row>
    <row r="5155" spans="1:1" ht="12.75">
      <c r="A5155" s="2" t="s">
        <v>289</v>
      </c>
    </row>
    <row r="5156" spans="1:1" ht="12.75">
      <c r="A5156" s="2" t="s">
        <v>289</v>
      </c>
    </row>
    <row r="5157" spans="1:1" ht="12.75">
      <c r="A5157" s="2" t="s">
        <v>290</v>
      </c>
    </row>
    <row r="5158" spans="1:1" ht="12.75">
      <c r="A5158" s="2" t="s">
        <v>290</v>
      </c>
    </row>
    <row r="5159" spans="1:1" ht="12.75">
      <c r="A5159" s="2" t="s">
        <v>290</v>
      </c>
    </row>
    <row r="5160" spans="1:1" ht="12.75">
      <c r="A5160" s="2" t="s">
        <v>299</v>
      </c>
    </row>
    <row r="5161" spans="1:1" ht="12.75">
      <c r="A5161" s="2" t="s">
        <v>290</v>
      </c>
    </row>
    <row r="5162" spans="1:1" ht="12.75">
      <c r="A5162" s="2" t="s">
        <v>292</v>
      </c>
    </row>
    <row r="5163" spans="1:1" ht="12.75">
      <c r="A5163" s="2" t="s">
        <v>290</v>
      </c>
    </row>
    <row r="5164" spans="1:1" ht="12.75">
      <c r="A5164" s="2" t="s">
        <v>299</v>
      </c>
    </row>
    <row r="5165" spans="1:1" ht="12.75">
      <c r="A5165" s="2" t="s">
        <v>290</v>
      </c>
    </row>
    <row r="5166" spans="1:1" ht="12.75">
      <c r="A5166" s="2" t="s">
        <v>291</v>
      </c>
    </row>
    <row r="5167" spans="1:1" ht="12.75">
      <c r="A5167" s="2" t="s">
        <v>290</v>
      </c>
    </row>
    <row r="5168" spans="1:1" ht="12.75">
      <c r="A5168" s="2" t="s">
        <v>292</v>
      </c>
    </row>
    <row r="5189" spans="1:1" ht="12.75">
      <c r="A5189" s="2" t="s">
        <v>302</v>
      </c>
    </row>
    <row r="5190" spans="1:1" ht="12.75">
      <c r="A5190" s="2" t="s">
        <v>302</v>
      </c>
    </row>
    <row r="5191" spans="1:1" ht="12.75">
      <c r="A5191" s="2" t="s">
        <v>302</v>
      </c>
    </row>
    <row r="5192" spans="1:1" ht="12.75">
      <c r="A5192" s="2" t="s">
        <v>302</v>
      </c>
    </row>
    <row r="5193" spans="1:1" ht="12.75">
      <c r="A5193" s="2" t="s">
        <v>302</v>
      </c>
    </row>
    <row r="5195" spans="1:1" ht="12.75">
      <c r="A5195" s="2" t="s">
        <v>302</v>
      </c>
    </row>
    <row r="5197" spans="1:1" ht="12.75">
      <c r="A5197" s="2" t="s">
        <v>302</v>
      </c>
    </row>
    <row r="5198" spans="1:1" ht="12.75">
      <c r="A5198" s="2" t="s">
        <v>302</v>
      </c>
    </row>
    <row r="5199" spans="1:1" ht="12.75">
      <c r="A5199" s="2" t="s">
        <v>462</v>
      </c>
    </row>
    <row r="5200" spans="1:1" ht="12.75">
      <c r="A5200" s="2" t="s">
        <v>461</v>
      </c>
    </row>
    <row r="5201" spans="1:1" ht="12.75">
      <c r="A5201" s="2" t="s">
        <v>462</v>
      </c>
    </row>
    <row r="5202" spans="1:1" ht="12.75">
      <c r="A5202" s="2" t="s">
        <v>461</v>
      </c>
    </row>
    <row r="5203" spans="1:1" ht="12.75">
      <c r="A5203" s="2" t="s">
        <v>461</v>
      </c>
    </row>
    <row r="5204" spans="1:1" ht="12.75">
      <c r="A5204" s="2" t="s">
        <v>462</v>
      </c>
    </row>
    <row r="5205" spans="1:1" ht="12.75">
      <c r="A5205" s="2" t="s">
        <v>461</v>
      </c>
    </row>
    <row r="5206" spans="1:1" ht="12.75">
      <c r="A5206" s="2" t="s">
        <v>461</v>
      </c>
    </row>
    <row r="5207" spans="1:1" ht="12.75">
      <c r="A5207" s="2" t="s">
        <v>461</v>
      </c>
    </row>
    <row r="5208" spans="1:1" ht="12.75">
      <c r="A5208" s="2" t="s">
        <v>461</v>
      </c>
    </row>
    <row r="5219" spans="1:1" ht="12.75">
      <c r="A5219" s="2" t="s">
        <v>446</v>
      </c>
    </row>
    <row r="5220" spans="1:1" ht="12.75">
      <c r="A5220" s="2" t="s">
        <v>446</v>
      </c>
    </row>
    <row r="5221" spans="1:1" ht="12.75">
      <c r="A5221" s="2" t="s">
        <v>446</v>
      </c>
    </row>
    <row r="5222" spans="1:1" ht="12.75">
      <c r="A5222" s="2" t="s">
        <v>447</v>
      </c>
    </row>
    <row r="5223" spans="1:1" ht="12.75">
      <c r="A5223" s="2" t="s">
        <v>447</v>
      </c>
    </row>
    <row r="5224" spans="1:1" ht="12.75">
      <c r="A5224" s="2" t="s">
        <v>447</v>
      </c>
    </row>
    <row r="5225" spans="1:1" ht="12.75">
      <c r="A5225" s="2" t="s">
        <v>447</v>
      </c>
    </row>
    <row r="5226" spans="1:1" ht="12.75">
      <c r="A5226" s="2" t="s">
        <v>447</v>
      </c>
    </row>
    <row r="5227" spans="1:1" ht="12.75">
      <c r="A5227" s="2" t="s">
        <v>448</v>
      </c>
    </row>
    <row r="5229" spans="1:1" ht="12.75">
      <c r="A5229" s="2" t="s">
        <v>453</v>
      </c>
    </row>
    <row r="5230" spans="1:1" ht="12.75">
      <c r="A5230" s="2" t="s">
        <v>453</v>
      </c>
    </row>
    <row r="5231" spans="1:1" ht="12.75">
      <c r="A5231" s="2" t="s">
        <v>453</v>
      </c>
    </row>
    <row r="5232" spans="1:1" ht="12.75">
      <c r="A5232" s="2" t="s">
        <v>451</v>
      </c>
    </row>
    <row r="5233" spans="1:1" ht="12.75">
      <c r="A5233" s="2" t="s">
        <v>451</v>
      </c>
    </row>
    <row r="5234" spans="1:1" ht="12.75">
      <c r="A5234" s="2" t="s">
        <v>451</v>
      </c>
    </row>
    <row r="5235" spans="1:1" ht="12.75">
      <c r="A5235" s="2" t="s">
        <v>446</v>
      </c>
    </row>
    <row r="5236" spans="1:1" ht="12.75">
      <c r="A5236" s="2" t="s">
        <v>446</v>
      </c>
    </row>
    <row r="5237" spans="1:1" ht="12.75">
      <c r="A5237" s="2" t="s">
        <v>446</v>
      </c>
    </row>
    <row r="5238" spans="1:1" ht="12.75">
      <c r="A5238" s="2" t="s">
        <v>446</v>
      </c>
    </row>
    <row r="5239" spans="1:1" ht="12.75">
      <c r="A5239" s="2" t="s">
        <v>446</v>
      </c>
    </row>
    <row r="5240" spans="1:1" ht="12.75">
      <c r="A5240" s="2" t="s">
        <v>446</v>
      </c>
    </row>
    <row r="5241" spans="1:1" ht="12.75">
      <c r="A5241" s="2" t="s">
        <v>446</v>
      </c>
    </row>
    <row r="5242" spans="1:1" ht="12.75">
      <c r="A5242" s="2" t="s">
        <v>447</v>
      </c>
    </row>
    <row r="5243" spans="1:1" ht="12.75">
      <c r="A5243" s="2" t="s">
        <v>447</v>
      </c>
    </row>
    <row r="5244" spans="1:1" ht="12.75">
      <c r="A5244" s="2" t="s">
        <v>447</v>
      </c>
    </row>
    <row r="5245" spans="1:1" ht="12.75">
      <c r="A5245" s="2" t="s">
        <v>447</v>
      </c>
    </row>
    <row r="5246" spans="1:1" ht="12.75">
      <c r="A5246" s="2" t="s">
        <v>447</v>
      </c>
    </row>
    <row r="5247" spans="1:1" ht="12.75">
      <c r="A5247" s="2" t="s">
        <v>453</v>
      </c>
    </row>
    <row r="5248" spans="1:1" ht="12.75">
      <c r="A5248" s="2" t="s">
        <v>453</v>
      </c>
    </row>
    <row r="5249" spans="1:1" ht="12.75">
      <c r="A5249" s="2" t="s">
        <v>446</v>
      </c>
    </row>
    <row r="5250" spans="1:1" ht="12.75">
      <c r="A5250" s="2" t="s">
        <v>447</v>
      </c>
    </row>
    <row r="5251" spans="1:1" ht="12.75">
      <c r="A5251" s="2" t="s">
        <v>447</v>
      </c>
    </row>
    <row r="5252" spans="1:1" ht="12.75">
      <c r="A5252" s="2" t="s">
        <v>447</v>
      </c>
    </row>
    <row r="5253" spans="1:1" ht="12.75">
      <c r="A5253" s="2" t="s">
        <v>447</v>
      </c>
    </row>
    <row r="5254" spans="1:1" ht="12.75">
      <c r="A5254" s="2" t="s">
        <v>447</v>
      </c>
    </row>
    <row r="5255" spans="1:1" ht="12.75">
      <c r="A5255" s="2" t="s">
        <v>448</v>
      </c>
    </row>
    <row r="5256" spans="1:1" ht="12.75">
      <c r="A5256" s="2" t="s">
        <v>453</v>
      </c>
    </row>
    <row r="5257" spans="1:1" ht="12.75">
      <c r="A5257" s="2" t="s">
        <v>451</v>
      </c>
    </row>
    <row r="5258" spans="1:1" ht="12.75">
      <c r="A5258" s="2" t="s">
        <v>451</v>
      </c>
    </row>
    <row r="5259" spans="1:1" ht="12.75">
      <c r="A5259" s="2" t="s">
        <v>451</v>
      </c>
    </row>
    <row r="5260" spans="1:1" ht="12.75">
      <c r="A5260" s="2" t="s">
        <v>446</v>
      </c>
    </row>
    <row r="5261" spans="1:1" ht="12.75">
      <c r="A5261" s="2" t="s">
        <v>435</v>
      </c>
    </row>
    <row r="5262" spans="1:1" ht="12.75">
      <c r="A5262" s="2" t="s">
        <v>463</v>
      </c>
    </row>
    <row r="5263" spans="1:1" ht="12.75">
      <c r="A5263" s="2" t="s">
        <v>437</v>
      </c>
    </row>
    <row r="5264" spans="1:1" ht="12.75">
      <c r="A5264" s="2" t="s">
        <v>404</v>
      </c>
    </row>
    <row r="5265" spans="1:1" ht="12.75">
      <c r="A5265" s="2" t="s">
        <v>433</v>
      </c>
    </row>
    <row r="5266" spans="1:1" ht="12.75">
      <c r="A5266" s="2" t="s">
        <v>433</v>
      </c>
    </row>
    <row r="5267" spans="1:1" ht="12.75">
      <c r="A5267" s="2" t="s">
        <v>433</v>
      </c>
    </row>
    <row r="5268" spans="1:1" ht="12.75">
      <c r="A5268" s="2" t="s">
        <v>433</v>
      </c>
    </row>
    <row r="5269" spans="1:1" ht="12.75">
      <c r="A5269" s="2" t="s">
        <v>437</v>
      </c>
    </row>
    <row r="5270" spans="1:1" ht="12.75">
      <c r="A5270" s="2" t="s">
        <v>437</v>
      </c>
    </row>
    <row r="5271" spans="1:1" ht="12.75">
      <c r="A5271" s="2" t="s">
        <v>437</v>
      </c>
    </row>
    <row r="5272" spans="1:1" ht="12.75">
      <c r="A5272" s="2" t="s">
        <v>437</v>
      </c>
    </row>
    <row r="5273" spans="1:1" ht="12.75">
      <c r="A5273" s="2" t="s">
        <v>432</v>
      </c>
    </row>
    <row r="5274" spans="1:1" ht="12.75">
      <c r="A5274" s="2" t="s">
        <v>432</v>
      </c>
    </row>
    <row r="5275" spans="1:1" ht="12.75">
      <c r="A5275" s="2" t="s">
        <v>432</v>
      </c>
    </row>
    <row r="5276" spans="1:1" ht="12.75">
      <c r="A5276" s="2" t="s">
        <v>432</v>
      </c>
    </row>
    <row r="5277" spans="1:1" ht="12.75">
      <c r="A5277" s="2" t="s">
        <v>432</v>
      </c>
    </row>
    <row r="5278" spans="1:1" ht="12.75">
      <c r="A5278" s="2" t="s">
        <v>432</v>
      </c>
    </row>
    <row r="5279" spans="1:1" ht="12.75">
      <c r="A5279" s="2" t="s">
        <v>452</v>
      </c>
    </row>
    <row r="5280" spans="1:1" ht="12.75">
      <c r="A5280" s="2" t="s">
        <v>452</v>
      </c>
    </row>
    <row r="5281" spans="1:1" ht="12.75">
      <c r="A5281" s="2" t="s">
        <v>452</v>
      </c>
    </row>
    <row r="5282" spans="1:1" ht="12.75">
      <c r="A5282" s="2" t="s">
        <v>452</v>
      </c>
    </row>
    <row r="5283" spans="1:1" ht="12.75">
      <c r="A5283" s="2" t="s">
        <v>452</v>
      </c>
    </row>
    <row r="5284" spans="1:1" ht="12.75">
      <c r="A5284" s="2" t="s">
        <v>452</v>
      </c>
    </row>
    <row r="5285" spans="1:1" ht="12.75">
      <c r="A5285" s="2" t="s">
        <v>432</v>
      </c>
    </row>
    <row r="5286" spans="1:1" ht="12.75">
      <c r="A5286" s="2" t="s">
        <v>432</v>
      </c>
    </row>
    <row r="5287" spans="1:1" ht="12.75">
      <c r="A5287" s="2" t="s">
        <v>433</v>
      </c>
    </row>
    <row r="5288" spans="1:1" ht="12.75">
      <c r="A5288" s="2" t="s">
        <v>433</v>
      </c>
    </row>
    <row r="5289" spans="1:1" ht="12.75">
      <c r="A5289" s="2" t="s">
        <v>449</v>
      </c>
    </row>
    <row r="5290" spans="1:1" ht="12.75">
      <c r="A5290" s="2" t="s">
        <v>449</v>
      </c>
    </row>
    <row r="5291" spans="1:1" ht="12.75">
      <c r="A5291" s="2" t="s">
        <v>449</v>
      </c>
    </row>
    <row r="5292" spans="1:1" ht="12.75">
      <c r="A5292" s="2" t="s">
        <v>449</v>
      </c>
    </row>
    <row r="5293" spans="1:1" ht="12.75">
      <c r="A5293" s="2" t="s">
        <v>434</v>
      </c>
    </row>
    <row r="5294" spans="1:1" ht="12.75">
      <c r="A5294" s="2" t="s">
        <v>437</v>
      </c>
    </row>
    <row r="5295" spans="1:1" ht="12.75">
      <c r="A5295" s="2" t="s">
        <v>437</v>
      </c>
    </row>
    <row r="5296" spans="1:1" ht="12.75">
      <c r="A5296" s="2" t="s">
        <v>434</v>
      </c>
    </row>
    <row r="5297" spans="1:1" ht="12.75">
      <c r="A5297" s="2" t="s">
        <v>433</v>
      </c>
    </row>
    <row r="5298" spans="1:1" ht="12.75">
      <c r="A5298" s="2" t="s">
        <v>433</v>
      </c>
    </row>
    <row r="5299" spans="1:1" ht="12.75">
      <c r="A5299" s="2" t="s">
        <v>432</v>
      </c>
    </row>
    <row r="5300" spans="1:1" ht="12.75">
      <c r="A5300" s="2" t="s">
        <v>432</v>
      </c>
    </row>
    <row r="5301" spans="1:1" ht="12.75">
      <c r="A5301" s="2" t="s">
        <v>432</v>
      </c>
    </row>
    <row r="5302" spans="1:1" ht="12.75">
      <c r="A5302" s="2" t="s">
        <v>432</v>
      </c>
    </row>
    <row r="5303" spans="1:1" ht="12.75">
      <c r="A5303" s="2" t="s">
        <v>432</v>
      </c>
    </row>
    <row r="5304" spans="1:1" ht="12.75">
      <c r="A5304" s="2" t="s">
        <v>464</v>
      </c>
    </row>
    <row r="5305" spans="1:1" ht="12.75">
      <c r="A5305" s="2" t="s">
        <v>432</v>
      </c>
    </row>
    <row r="5306" spans="1:1" ht="12.75">
      <c r="A5306" s="2" t="s">
        <v>432</v>
      </c>
    </row>
    <row r="5307" spans="1:1" ht="12.75">
      <c r="A5307" s="2" t="s">
        <v>452</v>
      </c>
    </row>
    <row r="5308" spans="1:1" ht="12.75">
      <c r="A5308" s="2" t="s">
        <v>452</v>
      </c>
    </row>
    <row r="5309" spans="1:1" ht="12.75">
      <c r="A5309" s="2" t="s">
        <v>453</v>
      </c>
    </row>
    <row r="5310" spans="1:1" ht="12.75">
      <c r="A5310" s="2" t="s">
        <v>451</v>
      </c>
    </row>
    <row r="5311" spans="1:1" ht="12.75">
      <c r="A5311" s="2" t="s">
        <v>449</v>
      </c>
    </row>
    <row r="5312" spans="1:1" ht="12.75">
      <c r="A5312" s="2" t="s">
        <v>449</v>
      </c>
    </row>
    <row r="5313" spans="1:1" ht="12.75">
      <c r="A5313" s="2" t="s">
        <v>451</v>
      </c>
    </row>
    <row r="5314" spans="1:1" ht="12.75">
      <c r="A5314" s="2" t="s">
        <v>451</v>
      </c>
    </row>
    <row r="5315" spans="1:1" ht="12.75">
      <c r="A5315" s="2" t="s">
        <v>447</v>
      </c>
    </row>
    <row r="5316" spans="1:1" ht="12.75">
      <c r="A5316" s="2" t="s">
        <v>447</v>
      </c>
    </row>
    <row r="5317" spans="1:1" ht="12.75">
      <c r="A5317" s="2" t="s">
        <v>447</v>
      </c>
    </row>
    <row r="5318" spans="1:1" ht="12.75">
      <c r="A5318" s="2" t="s">
        <v>447</v>
      </c>
    </row>
    <row r="5319" spans="1:1" ht="12.75">
      <c r="A5319" s="2" t="s">
        <v>433</v>
      </c>
    </row>
    <row r="5320" spans="1:1" ht="12.75">
      <c r="A5320" s="2" t="s">
        <v>433</v>
      </c>
    </row>
    <row r="5321" spans="1:1" ht="12.75">
      <c r="A5321" s="2" t="s">
        <v>465</v>
      </c>
    </row>
    <row r="5322" spans="1:1" ht="12.75">
      <c r="A5322" s="2" t="s">
        <v>465</v>
      </c>
    </row>
    <row r="5323" spans="1:1" ht="12.75">
      <c r="A5323" s="2" t="s">
        <v>433</v>
      </c>
    </row>
    <row r="5324" spans="1:1" ht="12.75">
      <c r="A5324" s="2" t="s">
        <v>433</v>
      </c>
    </row>
    <row r="5325" spans="1:1" ht="12.75">
      <c r="A5325" s="2" t="s">
        <v>465</v>
      </c>
    </row>
    <row r="5326" spans="1:1" ht="12.75">
      <c r="A5326" s="2" t="s">
        <v>466</v>
      </c>
    </row>
    <row r="5327" spans="1:1" ht="12.75">
      <c r="A5327" s="2" t="s">
        <v>465</v>
      </c>
    </row>
    <row r="5328" spans="1:1" ht="12.75">
      <c r="A5328" s="2" t="s">
        <v>435</v>
      </c>
    </row>
    <row r="5329" spans="1:1" ht="12.75">
      <c r="A5329" s="2" t="s">
        <v>466</v>
      </c>
    </row>
    <row r="5330" spans="1:1" ht="12.75">
      <c r="A5330" s="2" t="s">
        <v>433</v>
      </c>
    </row>
    <row r="5331" spans="1:1" ht="12.75">
      <c r="A5331" s="2" t="s">
        <v>434</v>
      </c>
    </row>
    <row r="5332" spans="1:1" ht="12.75">
      <c r="A5332" s="2" t="s">
        <v>434</v>
      </c>
    </row>
    <row r="5333" spans="1:1" ht="12.75">
      <c r="A5333" s="2" t="s">
        <v>437</v>
      </c>
    </row>
    <row r="5334" spans="1:1" ht="12.75">
      <c r="A5334" s="2" t="s">
        <v>437</v>
      </c>
    </row>
    <row r="5335" spans="1:1" ht="12.75">
      <c r="A5335" s="2" t="s">
        <v>437</v>
      </c>
    </row>
    <row r="5336" spans="1:1" ht="12.75">
      <c r="A5336" s="2" t="s">
        <v>437</v>
      </c>
    </row>
    <row r="5337" spans="1:1" ht="12.75">
      <c r="A5337" s="2" t="s">
        <v>437</v>
      </c>
    </row>
    <row r="5338" spans="1:1" ht="12.75">
      <c r="A5338" s="2" t="s">
        <v>437</v>
      </c>
    </row>
    <row r="5339" spans="1:1" ht="12.75">
      <c r="A5339" s="2" t="s">
        <v>437</v>
      </c>
    </row>
    <row r="5340" spans="1:1" ht="12.75">
      <c r="A5340" s="2" t="s">
        <v>404</v>
      </c>
    </row>
    <row r="5341" spans="1:1" ht="12.75">
      <c r="A5341" s="2" t="s">
        <v>404</v>
      </c>
    </row>
    <row r="5342" spans="1:1" ht="12.75">
      <c r="A5342" s="2" t="s">
        <v>404</v>
      </c>
    </row>
    <row r="5343" spans="1:1" ht="12.75">
      <c r="A5343" s="2" t="s">
        <v>452</v>
      </c>
    </row>
    <row r="5344" spans="1:1" ht="12.75">
      <c r="A5344" s="2" t="s">
        <v>452</v>
      </c>
    </row>
    <row r="5345" spans="1:1" ht="12.75">
      <c r="A5345" s="2" t="s">
        <v>404</v>
      </c>
    </row>
    <row r="5346" spans="1:1" ht="12.75">
      <c r="A5346" s="2" t="s">
        <v>437</v>
      </c>
    </row>
    <row r="5347" spans="1:1" ht="12.75">
      <c r="A5347" s="2" t="s">
        <v>437</v>
      </c>
    </row>
    <row r="5348" spans="1:1" ht="12.75">
      <c r="A5348" s="2" t="s">
        <v>437</v>
      </c>
    </row>
    <row r="5349" spans="1:1" ht="12.75">
      <c r="A5349" s="2" t="s">
        <v>452</v>
      </c>
    </row>
    <row r="5350" spans="1:1" ht="12.75">
      <c r="A5350" s="2" t="s">
        <v>452</v>
      </c>
    </row>
    <row r="5351" spans="1:1" ht="12.75">
      <c r="A5351" s="2" t="s">
        <v>452</v>
      </c>
    </row>
    <row r="5352" spans="1:1" ht="12.75">
      <c r="A5352" s="2" t="s">
        <v>452</v>
      </c>
    </row>
    <row r="5353" spans="1:1" ht="12.75">
      <c r="A5353" s="2" t="s">
        <v>452</v>
      </c>
    </row>
    <row r="5354" spans="1:1" ht="12.75">
      <c r="A5354" s="2" t="s">
        <v>452</v>
      </c>
    </row>
    <row r="5355" spans="1:1" ht="12.75">
      <c r="A5355" s="2" t="s">
        <v>404</v>
      </c>
    </row>
    <row r="5356" spans="1:1" ht="12.75">
      <c r="A5356" s="2" t="s">
        <v>404</v>
      </c>
    </row>
    <row r="5357" spans="1:1" ht="12.75">
      <c r="A5357" s="2" t="s">
        <v>404</v>
      </c>
    </row>
    <row r="5358" spans="1:1" ht="12.75">
      <c r="A5358" s="2" t="s">
        <v>404</v>
      </c>
    </row>
    <row r="5359" spans="1:1" ht="12.75">
      <c r="A5359" s="2" t="s">
        <v>404</v>
      </c>
    </row>
    <row r="5360" spans="1:1" ht="12.75">
      <c r="A5360" s="2" t="s">
        <v>404</v>
      </c>
    </row>
    <row r="5361" spans="1:1" ht="12.75">
      <c r="A5361" s="2" t="s">
        <v>404</v>
      </c>
    </row>
    <row r="5362" spans="1:1" ht="12.75">
      <c r="A5362" s="2" t="s">
        <v>404</v>
      </c>
    </row>
    <row r="5363" spans="1:1" ht="12.75">
      <c r="A5363" s="2" t="s">
        <v>437</v>
      </c>
    </row>
    <row r="5364" spans="1:1" ht="12.75">
      <c r="A5364" s="2" t="s">
        <v>437</v>
      </c>
    </row>
    <row r="5365" spans="1:1" ht="12.75">
      <c r="A5365" s="2" t="s">
        <v>404</v>
      </c>
    </row>
    <row r="5366" spans="1:1" ht="12.75">
      <c r="A5366" s="2" t="s">
        <v>404</v>
      </c>
    </row>
    <row r="5367" spans="1:1" ht="12.75">
      <c r="A5367" s="2" t="s">
        <v>404</v>
      </c>
    </row>
    <row r="5368" spans="1:1" ht="12.75">
      <c r="A5368" s="2" t="s">
        <v>404</v>
      </c>
    </row>
    <row r="5371" spans="1:1" ht="12.75">
      <c r="A5371" s="2" t="s">
        <v>465</v>
      </c>
    </row>
    <row r="5384" spans="1:1" ht="12.75">
      <c r="A5384" s="2" t="s">
        <v>404</v>
      </c>
    </row>
    <row r="5427" spans="1:1" ht="12.75">
      <c r="A5427" s="2" t="s">
        <v>467</v>
      </c>
    </row>
    <row r="5428" spans="1:1" ht="12.75">
      <c r="A5428" s="2" t="s">
        <v>467</v>
      </c>
    </row>
    <row r="5429" spans="1:1" ht="12.75">
      <c r="A5429" s="2" t="s">
        <v>467</v>
      </c>
    </row>
    <row r="5431" spans="1:1" ht="12.75">
      <c r="A5431" s="2" t="s">
        <v>467</v>
      </c>
    </row>
    <row r="5433" spans="1:1" ht="12.75">
      <c r="A5433" s="2" t="s">
        <v>467</v>
      </c>
    </row>
    <row r="5435" spans="1:1" ht="12.75">
      <c r="A5435" s="2" t="s">
        <v>467</v>
      </c>
    </row>
    <row r="5437" spans="1:1" ht="12.75">
      <c r="A5437" s="2" t="s">
        <v>467</v>
      </c>
    </row>
    <row r="5439" spans="1:1" ht="12.75">
      <c r="A5439" s="2" t="s">
        <v>468</v>
      </c>
    </row>
    <row r="5440" spans="1:1" ht="12.75">
      <c r="A5440" s="2" t="s">
        <v>237</v>
      </c>
    </row>
    <row r="5441" spans="1:1" ht="12.75">
      <c r="A5441" s="2" t="s">
        <v>237</v>
      </c>
    </row>
    <row r="5443" spans="1:1" ht="12.75">
      <c r="A5443" s="2" t="s">
        <v>294</v>
      </c>
    </row>
    <row r="5444" spans="1:1" ht="12.75">
      <c r="A5444" s="2" t="s">
        <v>294</v>
      </c>
    </row>
    <row r="5445" spans="1:1" ht="12.75">
      <c r="A5445" s="2" t="s">
        <v>294</v>
      </c>
    </row>
    <row r="5446" spans="1:1" ht="12.75">
      <c r="A5446" s="2" t="s">
        <v>294</v>
      </c>
    </row>
    <row r="5447" spans="1:1" ht="12.75">
      <c r="A5447" s="2" t="s">
        <v>294</v>
      </c>
    </row>
    <row r="5448" spans="1:1" ht="12.75">
      <c r="A5448" s="2" t="s">
        <v>294</v>
      </c>
    </row>
    <row r="5449" spans="1:1" ht="12.75">
      <c r="A5449" s="2" t="s">
        <v>294</v>
      </c>
    </row>
    <row r="5450" spans="1:1" ht="12.75">
      <c r="A5450" s="2" t="s">
        <v>294</v>
      </c>
    </row>
    <row r="5451" spans="1:1" ht="12.75">
      <c r="A5451" s="2" t="s">
        <v>294</v>
      </c>
    </row>
    <row r="5454" spans="1:1" ht="12.75">
      <c r="A5454" s="2" t="s">
        <v>186</v>
      </c>
    </row>
    <row r="5455" spans="1:1" ht="12.75">
      <c r="A5455" s="2" t="s">
        <v>186</v>
      </c>
    </row>
    <row r="5456" spans="1:1" ht="12.75">
      <c r="A5456" s="2" t="s">
        <v>186</v>
      </c>
    </row>
    <row r="5457" spans="1:1" ht="12.75">
      <c r="A5457" s="2" t="s">
        <v>186</v>
      </c>
    </row>
    <row r="5458" spans="1:1" ht="12.75">
      <c r="A5458" s="2" t="s">
        <v>186</v>
      </c>
    </row>
    <row r="5459" spans="1:1" ht="12.75">
      <c r="A5459" s="2" t="s">
        <v>186</v>
      </c>
    </row>
    <row r="5460" spans="1:1" ht="12.75">
      <c r="A5460" s="2" t="s">
        <v>186</v>
      </c>
    </row>
    <row r="5461" spans="1:1" ht="12.75">
      <c r="A5461" s="2" t="s">
        <v>186</v>
      </c>
    </row>
    <row r="5462" spans="1:1" ht="12.75">
      <c r="A5462" s="2" t="s">
        <v>186</v>
      </c>
    </row>
    <row r="5463" spans="1:1" ht="12.75">
      <c r="A5463" s="2" t="s">
        <v>186</v>
      </c>
    </row>
    <row r="5464" spans="1:1" ht="12.75">
      <c r="A5464" s="2" t="s">
        <v>186</v>
      </c>
    </row>
    <row r="5465" spans="1:1" ht="12.75">
      <c r="A5465" s="2" t="s">
        <v>186</v>
      </c>
    </row>
    <row r="5466" spans="1:1" ht="12.75">
      <c r="A5466" s="2" t="s">
        <v>187</v>
      </c>
    </row>
    <row r="5467" spans="1:1" ht="12.75">
      <c r="A5467" s="2" t="s">
        <v>187</v>
      </c>
    </row>
    <row r="5468" spans="1:1" ht="12.75">
      <c r="A5468" s="2" t="s">
        <v>186</v>
      </c>
    </row>
    <row r="5469" spans="1:1" ht="12.75">
      <c r="A5469" s="2" t="s">
        <v>186</v>
      </c>
    </row>
    <row r="5470" spans="1:1" ht="12.75">
      <c r="A5470" s="2" t="s">
        <v>186</v>
      </c>
    </row>
    <row r="5471" spans="1:1" ht="12.75">
      <c r="A5471" s="2" t="s">
        <v>186</v>
      </c>
    </row>
    <row r="5472" spans="1:1" ht="12.75">
      <c r="A5472" s="2" t="s">
        <v>186</v>
      </c>
    </row>
    <row r="5473" spans="1:1" ht="12.75">
      <c r="A5473" s="2" t="s">
        <v>186</v>
      </c>
    </row>
    <row r="5475" spans="1:1" ht="12.75">
      <c r="A5475" s="2" t="s">
        <v>186</v>
      </c>
    </row>
    <row r="5476" spans="1:1" ht="12.75">
      <c r="A5476" s="2" t="s">
        <v>186</v>
      </c>
    </row>
    <row r="5477" spans="1:1" ht="12.75">
      <c r="A5477" s="2" t="s">
        <v>187</v>
      </c>
    </row>
    <row r="5478" spans="1:1" ht="12.75">
      <c r="A5478" s="2" t="s">
        <v>187</v>
      </c>
    </row>
    <row r="5479" spans="1:1" ht="12.75">
      <c r="A5479" s="2" t="s">
        <v>187</v>
      </c>
    </row>
    <row r="5480" spans="1:1" ht="12.75">
      <c r="A5480" s="2" t="s">
        <v>186</v>
      </c>
    </row>
    <row r="5481" spans="1:1" ht="12.75">
      <c r="A5481" s="2" t="s">
        <v>186</v>
      </c>
    </row>
    <row r="5482" spans="1:1" ht="12.75">
      <c r="A5482" s="2" t="s">
        <v>186</v>
      </c>
    </row>
    <row r="5483" spans="1:1" ht="12.75">
      <c r="A5483" s="2" t="s">
        <v>186</v>
      </c>
    </row>
    <row r="5484" spans="1:1" ht="12.75">
      <c r="A5484" s="2" t="s">
        <v>186</v>
      </c>
    </row>
    <row r="5485" spans="1:1" ht="12.75">
      <c r="A5485" s="2" t="s">
        <v>186</v>
      </c>
    </row>
    <row r="5486" spans="1:1" ht="12.75">
      <c r="A5486" s="2" t="s">
        <v>186</v>
      </c>
    </row>
    <row r="5487" spans="1:1" ht="12.75">
      <c r="A5487" s="2" t="s">
        <v>186</v>
      </c>
    </row>
    <row r="5488" spans="1:1" ht="12.75">
      <c r="A5488" s="2" t="s">
        <v>186</v>
      </c>
    </row>
    <row r="5489" spans="1:1" ht="12.75">
      <c r="A5489" s="2" t="s">
        <v>186</v>
      </c>
    </row>
    <row r="5490" spans="1:1" ht="12.75">
      <c r="A5490" s="2" t="s">
        <v>186</v>
      </c>
    </row>
    <row r="5491" spans="1:1" ht="12.75">
      <c r="A5491" s="2" t="s">
        <v>186</v>
      </c>
    </row>
    <row r="5492" spans="1:1" ht="12.75">
      <c r="A5492" s="2" t="s">
        <v>469</v>
      </c>
    </row>
    <row r="5493" spans="1:1" ht="12.75">
      <c r="A5493" s="2" t="s">
        <v>187</v>
      </c>
    </row>
    <row r="5495" spans="1:1" ht="12.75">
      <c r="A5495" s="2" t="s">
        <v>470</v>
      </c>
    </row>
    <row r="5496" spans="1:1" ht="12.75">
      <c r="A5496" s="2" t="s">
        <v>470</v>
      </c>
    </row>
    <row r="5497" spans="1:1" ht="12.75">
      <c r="A5497" s="2" t="s">
        <v>470</v>
      </c>
    </row>
    <row r="5499" spans="1:1" ht="12.75">
      <c r="A5499" s="2" t="s">
        <v>376</v>
      </c>
    </row>
    <row r="5500" spans="1:1" ht="12.75">
      <c r="A5500" s="2" t="s">
        <v>376</v>
      </c>
    </row>
    <row r="5501" spans="1:1" ht="12.75">
      <c r="A5501" s="2" t="s">
        <v>471</v>
      </c>
    </row>
    <row r="5502" spans="1:1" ht="12.75">
      <c r="A5502" s="2" t="s">
        <v>472</v>
      </c>
    </row>
    <row r="5503" spans="1:1" ht="12.75">
      <c r="A5503" s="2" t="s">
        <v>472</v>
      </c>
    </row>
    <row r="5504" spans="1:1" ht="12.75">
      <c r="A5504" s="2" t="s">
        <v>448</v>
      </c>
    </row>
    <row r="5505" spans="1:1" ht="12.75">
      <c r="A5505" s="2" t="s">
        <v>473</v>
      </c>
    </row>
    <row r="5506" spans="1:1" ht="12.75">
      <c r="A5506" s="2" t="s">
        <v>448</v>
      </c>
    </row>
    <row r="5507" spans="1:1" ht="12.75">
      <c r="A5507" s="2" t="s">
        <v>446</v>
      </c>
    </row>
    <row r="5508" spans="1:1" ht="12.75">
      <c r="A5508" s="2" t="s">
        <v>446</v>
      </c>
    </row>
    <row r="5509" spans="1:1" ht="12.75">
      <c r="A5509" s="2" t="s">
        <v>446</v>
      </c>
    </row>
    <row r="5510" spans="1:1" ht="12.75">
      <c r="A5510" s="2" t="s">
        <v>446</v>
      </c>
    </row>
    <row r="5511" spans="1:1" ht="12.75">
      <c r="A5511" s="2" t="s">
        <v>446</v>
      </c>
    </row>
    <row r="5512" spans="1:1" ht="12.75">
      <c r="A5512" s="2" t="s">
        <v>447</v>
      </c>
    </row>
    <row r="5513" spans="1:1" ht="12.75">
      <c r="A5513" s="2" t="s">
        <v>447</v>
      </c>
    </row>
    <row r="5514" spans="1:1" ht="12.75">
      <c r="A5514" s="2" t="s">
        <v>447</v>
      </c>
    </row>
    <row r="5515" spans="1:1" ht="12.75">
      <c r="A5515" s="2" t="s">
        <v>447</v>
      </c>
    </row>
    <row r="5516" spans="1:1" ht="12.75">
      <c r="A5516" s="2" t="s">
        <v>448</v>
      </c>
    </row>
    <row r="5517" spans="1:1" ht="12.75">
      <c r="A5517" s="2" t="s">
        <v>448</v>
      </c>
    </row>
    <row r="5518" spans="1:1" ht="12.75">
      <c r="A5518" s="2" t="s">
        <v>451</v>
      </c>
    </row>
    <row r="5519" spans="1:1" ht="12.75">
      <c r="A5519" s="2" t="s">
        <v>451</v>
      </c>
    </row>
    <row r="5520" spans="1:1" ht="12.75">
      <c r="A5520" s="2" t="s">
        <v>446</v>
      </c>
    </row>
    <row r="5521" spans="1:1" ht="12.75">
      <c r="A5521" s="2" t="s">
        <v>447</v>
      </c>
    </row>
    <row r="5522" spans="1:1" ht="12.75">
      <c r="A5522" s="2" t="s">
        <v>448</v>
      </c>
    </row>
    <row r="5523" spans="1:1" ht="12.75">
      <c r="A5523" s="2" t="s">
        <v>446</v>
      </c>
    </row>
    <row r="5524" spans="1:1" ht="12.75">
      <c r="A5524" s="2" t="s">
        <v>446</v>
      </c>
    </row>
    <row r="5525" spans="1:1" ht="12.75">
      <c r="A5525" s="2" t="s">
        <v>446</v>
      </c>
    </row>
    <row r="5526" spans="1:1" ht="12.75">
      <c r="A5526" s="2" t="s">
        <v>446</v>
      </c>
    </row>
    <row r="5527" spans="1:1" ht="12.75">
      <c r="A5527" s="2" t="s">
        <v>446</v>
      </c>
    </row>
    <row r="5528" spans="1:1" ht="12.75">
      <c r="A5528" s="2" t="s">
        <v>447</v>
      </c>
    </row>
    <row r="5529" spans="1:1" ht="12.75">
      <c r="A5529" s="2" t="s">
        <v>447</v>
      </c>
    </row>
    <row r="5530" spans="1:1" ht="12.75">
      <c r="A5530" s="2" t="s">
        <v>447</v>
      </c>
    </row>
    <row r="5531" spans="1:1" ht="12.75">
      <c r="A5531" s="2" t="s">
        <v>448</v>
      </c>
    </row>
    <row r="5532" spans="1:1" ht="12.75">
      <c r="A5532" s="2" t="s">
        <v>448</v>
      </c>
    </row>
    <row r="5533" spans="1:1" ht="12.75">
      <c r="A5533" s="2" t="s">
        <v>453</v>
      </c>
    </row>
    <row r="5534" spans="1:1" ht="12.75">
      <c r="A5534" s="2" t="s">
        <v>453</v>
      </c>
    </row>
    <row r="5535" spans="1:1" ht="12.75">
      <c r="A5535" s="2" t="s">
        <v>453</v>
      </c>
    </row>
    <row r="5536" spans="1:1" ht="12.75">
      <c r="A5536" s="2" t="s">
        <v>451</v>
      </c>
    </row>
    <row r="5537" spans="1:1" ht="12.75">
      <c r="A5537" s="2" t="s">
        <v>453</v>
      </c>
    </row>
    <row r="5538" spans="1:1" ht="12.75">
      <c r="A5538" s="2" t="s">
        <v>451</v>
      </c>
    </row>
    <row r="5539" spans="1:1" ht="12.75">
      <c r="A5539" s="2" t="s">
        <v>446</v>
      </c>
    </row>
    <row r="5540" spans="1:1" ht="12.75">
      <c r="A5540" s="2" t="s">
        <v>446</v>
      </c>
    </row>
    <row r="5541" spans="1:1" ht="12.75">
      <c r="A5541" s="2" t="s">
        <v>446</v>
      </c>
    </row>
    <row r="5542" spans="1:1" ht="12.75">
      <c r="A5542" s="2" t="s">
        <v>446</v>
      </c>
    </row>
    <row r="5543" spans="1:1" ht="12.75">
      <c r="A5543" s="2" t="s">
        <v>446</v>
      </c>
    </row>
    <row r="5544" spans="1:1" ht="12.75">
      <c r="A5544" s="2" t="s">
        <v>474</v>
      </c>
    </row>
    <row r="5549" spans="1:1" ht="12.75">
      <c r="A5549" s="2" t="s">
        <v>475</v>
      </c>
    </row>
    <row r="5550" spans="1:1" ht="12.75">
      <c r="A5550" s="2">
        <v>221</v>
      </c>
    </row>
    <row r="5552" spans="1:1" ht="12.75">
      <c r="A5552" s="2" t="s">
        <v>153</v>
      </c>
    </row>
    <row r="5555" spans="1:1" ht="12.75">
      <c r="A5555" s="2" t="s">
        <v>476</v>
      </c>
    </row>
    <row r="5557" spans="1:1" ht="12.75">
      <c r="A5557" s="2" t="s">
        <v>476</v>
      </c>
    </row>
    <row r="5558" spans="1:1" ht="12.75">
      <c r="A5558" s="2" t="s">
        <v>476</v>
      </c>
    </row>
    <row r="5559" spans="1:1" ht="12.75">
      <c r="A5559" s="2" t="s">
        <v>446</v>
      </c>
    </row>
    <row r="5560" spans="1:1" ht="12.75">
      <c r="A5560" s="2" t="s">
        <v>446</v>
      </c>
    </row>
    <row r="5561" spans="1:1" ht="12.75">
      <c r="A5561" s="2" t="s">
        <v>446</v>
      </c>
    </row>
    <row r="5562" spans="1:1" ht="12.75">
      <c r="A5562" s="2" t="s">
        <v>446</v>
      </c>
    </row>
    <row r="5563" spans="1:1" ht="12.75">
      <c r="A5563" s="2" t="s">
        <v>448</v>
      </c>
    </row>
    <row r="5564" spans="1:1" ht="12.75">
      <c r="A5564" s="2" t="s">
        <v>447</v>
      </c>
    </row>
    <row r="5565" spans="1:1" ht="12.75">
      <c r="A5565" s="2" t="s">
        <v>446</v>
      </c>
    </row>
    <row r="5566" spans="1:1" ht="12.75">
      <c r="A5566" s="2" t="s">
        <v>446</v>
      </c>
    </row>
    <row r="5567" spans="1:1" ht="12.75">
      <c r="A5567" s="2" t="s">
        <v>446</v>
      </c>
    </row>
    <row r="5568" spans="1:1" ht="12.75">
      <c r="A5568" s="2" t="s">
        <v>446</v>
      </c>
    </row>
    <row r="5569" spans="1:1" ht="12.75">
      <c r="A5569" s="2" t="s">
        <v>446</v>
      </c>
    </row>
    <row r="5570" spans="1:1" ht="12.75">
      <c r="A5570" s="2" t="s">
        <v>446</v>
      </c>
    </row>
    <row r="5571" spans="1:1" ht="12.75">
      <c r="A5571" s="2" t="s">
        <v>446</v>
      </c>
    </row>
    <row r="5572" spans="1:1" ht="12.75">
      <c r="A5572" s="2" t="s">
        <v>448</v>
      </c>
    </row>
    <row r="5573" spans="1:1" ht="12.75">
      <c r="A5573" s="2" t="s">
        <v>453</v>
      </c>
    </row>
    <row r="5574" spans="1:1" ht="12.75">
      <c r="A5574" s="2" t="s">
        <v>451</v>
      </c>
    </row>
    <row r="5575" spans="1:1" ht="12.75">
      <c r="A5575" s="2" t="s">
        <v>446</v>
      </c>
    </row>
    <row r="5576" spans="1:1" ht="12.75">
      <c r="A5576" s="2" t="s">
        <v>446</v>
      </c>
    </row>
    <row r="5577" spans="1:1" ht="12.75">
      <c r="A5577" s="2" t="s">
        <v>446</v>
      </c>
    </row>
    <row r="5578" spans="1:1" ht="12.75">
      <c r="A5578" s="2" t="s">
        <v>446</v>
      </c>
    </row>
    <row r="5579" spans="1:1" ht="12.75">
      <c r="A5579" s="2" t="s">
        <v>447</v>
      </c>
    </row>
    <row r="5580" spans="1:1" ht="12.75">
      <c r="A5580" s="2" t="s">
        <v>447</v>
      </c>
    </row>
    <row r="5581" spans="1:1" ht="12.75">
      <c r="A5581" s="2" t="s">
        <v>447</v>
      </c>
    </row>
    <row r="5582" spans="1:1" ht="12.75">
      <c r="A5582" s="2" t="s">
        <v>447</v>
      </c>
    </row>
    <row r="5583" spans="1:1" ht="12.75">
      <c r="A5583" s="2" t="s">
        <v>447</v>
      </c>
    </row>
    <row r="5584" spans="1:1" ht="12.75">
      <c r="A5584" s="2" t="s">
        <v>448</v>
      </c>
    </row>
    <row r="5585" spans="1:1" ht="12.75">
      <c r="A5585" s="2" t="s">
        <v>448</v>
      </c>
    </row>
    <row r="5586" spans="1:1" ht="12.75">
      <c r="A5586" s="2" t="s">
        <v>473</v>
      </c>
    </row>
    <row r="5587" spans="1:1" ht="12.75">
      <c r="A5587" s="2" t="s">
        <v>447</v>
      </c>
    </row>
    <row r="5588" spans="1:1" ht="12.75">
      <c r="A5588" s="2" t="s">
        <v>446</v>
      </c>
    </row>
    <row r="5589" spans="1:1" ht="12.75">
      <c r="A5589" s="2" t="s">
        <v>446</v>
      </c>
    </row>
    <row r="5590" spans="1:1" ht="12.75">
      <c r="A5590" s="2" t="s">
        <v>446</v>
      </c>
    </row>
    <row r="5591" spans="1:1" ht="12.75">
      <c r="A5591" s="2" t="s">
        <v>453</v>
      </c>
    </row>
    <row r="5592" spans="1:1" ht="12.75">
      <c r="A5592" s="2" t="s">
        <v>447</v>
      </c>
    </row>
    <row r="5593" spans="1:1" ht="12.75">
      <c r="A5593" s="2" t="s">
        <v>447</v>
      </c>
    </row>
    <row r="5594" spans="1:1" ht="12.75">
      <c r="A5594" s="2" t="s">
        <v>451</v>
      </c>
    </row>
    <row r="5595" spans="1:1" ht="12.75">
      <c r="A5595" s="2" t="s">
        <v>447</v>
      </c>
    </row>
    <row r="5596" spans="1:1" ht="12.75">
      <c r="A5596" s="2" t="s">
        <v>448</v>
      </c>
    </row>
    <row r="5597" spans="1:1" ht="12.75">
      <c r="A5597" s="2" t="s">
        <v>448</v>
      </c>
    </row>
    <row r="5598" spans="1:1" ht="12.75">
      <c r="A5598" s="2" t="s">
        <v>446</v>
      </c>
    </row>
    <row r="5599" spans="1:1" ht="12.75">
      <c r="A5599" s="2" t="s">
        <v>449</v>
      </c>
    </row>
    <row r="5600" spans="1:1" ht="12.75">
      <c r="A5600" s="2" t="s">
        <v>446</v>
      </c>
    </row>
    <row r="5601" spans="1:1" ht="12.75">
      <c r="A5601" s="2" t="s">
        <v>446</v>
      </c>
    </row>
    <row r="5602" spans="1:1" ht="12.75">
      <c r="A5602" s="2" t="s">
        <v>446</v>
      </c>
    </row>
    <row r="5603" spans="1:1" ht="12.75">
      <c r="A5603" s="2" t="s">
        <v>446</v>
      </c>
    </row>
    <row r="5604" spans="1:1" ht="12.75">
      <c r="A5604" s="2" t="s">
        <v>447</v>
      </c>
    </row>
    <row r="5605" spans="1:1" ht="12.75">
      <c r="A5605" s="2" t="s">
        <v>447</v>
      </c>
    </row>
    <row r="5606" spans="1:1" ht="12.75">
      <c r="A5606" s="2" t="s">
        <v>447</v>
      </c>
    </row>
    <row r="5607" spans="1:1" ht="12.75">
      <c r="A5607" s="2" t="s">
        <v>448</v>
      </c>
    </row>
    <row r="5608" spans="1:1" ht="12.75">
      <c r="A5608" s="2" t="s">
        <v>453</v>
      </c>
    </row>
    <row r="5609" spans="1:1" ht="12.75">
      <c r="A5609" s="2" t="s">
        <v>453</v>
      </c>
    </row>
    <row r="5610" spans="1:1" ht="12.75">
      <c r="A5610" s="2" t="s">
        <v>453</v>
      </c>
    </row>
    <row r="5611" spans="1:1" ht="12.75">
      <c r="A5611" s="2" t="s">
        <v>451</v>
      </c>
    </row>
    <row r="5612" spans="1:1" ht="12.75">
      <c r="A5612" s="2" t="s">
        <v>451</v>
      </c>
    </row>
    <row r="5613" spans="1:1" ht="12.75">
      <c r="A5613" s="2" t="s">
        <v>451</v>
      </c>
    </row>
    <row r="5614" spans="1:1" ht="12.75">
      <c r="A5614" s="2" t="s">
        <v>473</v>
      </c>
    </row>
    <row r="5615" spans="1:1" ht="12.75">
      <c r="A5615" s="2" t="s">
        <v>448</v>
      </c>
    </row>
    <row r="5616" spans="1:1" ht="12.75">
      <c r="A5616" s="2" t="s">
        <v>446</v>
      </c>
    </row>
    <row r="5617" spans="1:1" ht="12.75">
      <c r="A5617" s="2" t="s">
        <v>446</v>
      </c>
    </row>
    <row r="5618" spans="1:1" ht="12.75">
      <c r="A5618" s="2" t="s">
        <v>446</v>
      </c>
    </row>
    <row r="5619" spans="1:1" ht="12.75">
      <c r="A5619" s="2" t="s">
        <v>446</v>
      </c>
    </row>
    <row r="5620" spans="1:1" ht="12.75">
      <c r="A5620" s="2" t="s">
        <v>446</v>
      </c>
    </row>
    <row r="5621" spans="1:1" ht="12.75">
      <c r="A5621" s="2" t="s">
        <v>447</v>
      </c>
    </row>
    <row r="5622" spans="1:1" ht="12.75">
      <c r="A5622" s="2" t="s">
        <v>447</v>
      </c>
    </row>
    <row r="5623" spans="1:1" ht="12.75">
      <c r="A5623" s="2" t="s">
        <v>447</v>
      </c>
    </row>
    <row r="5624" spans="1:1" ht="12.75">
      <c r="A5624" s="2" t="s">
        <v>447</v>
      </c>
    </row>
    <row r="5625" spans="1:1" ht="12.75">
      <c r="A5625" s="2" t="s">
        <v>451</v>
      </c>
    </row>
    <row r="5626" spans="1:1" ht="12.75">
      <c r="A5626" s="2" t="s">
        <v>451</v>
      </c>
    </row>
    <row r="5627" spans="1:1" ht="12.75">
      <c r="A5627" s="2" t="s">
        <v>451</v>
      </c>
    </row>
    <row r="5628" spans="1:1" ht="12.75">
      <c r="A5628" s="2" t="s">
        <v>448</v>
      </c>
    </row>
    <row r="5629" spans="1:1" ht="12.75">
      <c r="A5629" s="2" t="s">
        <v>446</v>
      </c>
    </row>
    <row r="5630" spans="1:1" ht="12.75">
      <c r="A5630" s="2" t="s">
        <v>446</v>
      </c>
    </row>
    <row r="5631" spans="1:1" ht="12.75">
      <c r="A5631" s="2" t="s">
        <v>446</v>
      </c>
    </row>
    <row r="5632" spans="1:1" ht="12.75">
      <c r="A5632" s="2" t="s">
        <v>446</v>
      </c>
    </row>
    <row r="5633" spans="1:1" ht="12.75">
      <c r="A5633" s="2" t="s">
        <v>446</v>
      </c>
    </row>
    <row r="5634" spans="1:1" ht="12.75">
      <c r="A5634" s="2" t="s">
        <v>447</v>
      </c>
    </row>
    <row r="5635" spans="1:1" ht="12.75">
      <c r="A5635" s="2" t="s">
        <v>447</v>
      </c>
    </row>
    <row r="5636" spans="1:1" ht="12.75">
      <c r="A5636" s="2" t="s">
        <v>447</v>
      </c>
    </row>
    <row r="5637" spans="1:1" ht="12.75">
      <c r="A5637" s="2" t="s">
        <v>447</v>
      </c>
    </row>
    <row r="5638" spans="1:1" ht="12.75">
      <c r="A5638" s="2" t="s">
        <v>451</v>
      </c>
    </row>
    <row r="5639" spans="1:1" ht="12.75">
      <c r="A5639" s="2" t="s">
        <v>452</v>
      </c>
    </row>
    <row r="5640" spans="1:1" ht="12.75">
      <c r="A5640" s="2" t="s">
        <v>452</v>
      </c>
    </row>
    <row r="5641" spans="1:1" ht="12.75">
      <c r="A5641" s="2" t="s">
        <v>452</v>
      </c>
    </row>
    <row r="5642" spans="1:1" ht="12.75">
      <c r="A5642" s="2" t="s">
        <v>452</v>
      </c>
    </row>
    <row r="5643" spans="1:1" ht="12.75">
      <c r="A5643" s="2" t="s">
        <v>452</v>
      </c>
    </row>
    <row r="5644" spans="1:1" ht="12.75">
      <c r="A5644" s="2" t="s">
        <v>452</v>
      </c>
    </row>
    <row r="5645" spans="1:1" ht="12.75">
      <c r="A5645" s="2" t="s">
        <v>477</v>
      </c>
    </row>
    <row r="5646" spans="1:1" ht="12.75">
      <c r="A5646" s="2" t="s">
        <v>477</v>
      </c>
    </row>
    <row r="5647" spans="1:1" ht="12.75">
      <c r="A5647" s="2" t="s">
        <v>449</v>
      </c>
    </row>
    <row r="5648" spans="1:1" ht="12.75">
      <c r="A5648" s="2" t="s">
        <v>477</v>
      </c>
    </row>
    <row r="5649" spans="1:1" ht="12.75">
      <c r="A5649" s="2" t="s">
        <v>437</v>
      </c>
    </row>
    <row r="5650" spans="1:1" ht="12.75">
      <c r="A5650" s="2" t="s">
        <v>437</v>
      </c>
    </row>
    <row r="5651" spans="1:1" ht="12.75">
      <c r="A5651" s="2" t="s">
        <v>437</v>
      </c>
    </row>
    <row r="5652" spans="1:1" ht="12.75">
      <c r="A5652" s="2" t="s">
        <v>437</v>
      </c>
    </row>
    <row r="5653" spans="1:1" ht="12.75">
      <c r="A5653" s="2" t="s">
        <v>437</v>
      </c>
    </row>
    <row r="5655" spans="1:1" ht="12.75">
      <c r="A5655" s="2" t="s">
        <v>451</v>
      </c>
    </row>
    <row r="5656" spans="1:1" ht="12.75">
      <c r="A5656" s="2" t="s">
        <v>451</v>
      </c>
    </row>
    <row r="5657" spans="1:1" ht="12.75">
      <c r="A5657" s="2" t="s">
        <v>453</v>
      </c>
    </row>
    <row r="5658" spans="1:1" ht="12.75">
      <c r="A5658" s="2" t="s">
        <v>453</v>
      </c>
    </row>
    <row r="5659" spans="1:1" ht="12.75">
      <c r="A5659" s="2" t="s">
        <v>404</v>
      </c>
    </row>
    <row r="5660" spans="1:1" ht="12.75">
      <c r="A5660" s="2" t="s">
        <v>404</v>
      </c>
    </row>
    <row r="5661" spans="1:1" ht="12.75">
      <c r="A5661" s="2" t="s">
        <v>435</v>
      </c>
    </row>
    <row r="5662" spans="1:1" ht="12.75">
      <c r="A5662" s="2" t="s">
        <v>434</v>
      </c>
    </row>
    <row r="5663" spans="1:1" ht="12.75">
      <c r="A5663" s="2" t="s">
        <v>433</v>
      </c>
    </row>
    <row r="5664" spans="1:1" ht="12.75">
      <c r="A5664" s="2" t="s">
        <v>433</v>
      </c>
    </row>
    <row r="5665" spans="1:1" ht="12.75">
      <c r="A5665" s="2" t="s">
        <v>433</v>
      </c>
    </row>
    <row r="5666" spans="1:1" ht="12.75">
      <c r="A5666" s="2" t="s">
        <v>433</v>
      </c>
    </row>
    <row r="5667" spans="1:1" ht="12.75">
      <c r="A5667" s="2" t="s">
        <v>435</v>
      </c>
    </row>
    <row r="5668" spans="1:1" ht="12.75">
      <c r="A5668" s="2" t="s">
        <v>435</v>
      </c>
    </row>
    <row r="5669" spans="1:1" ht="12.75">
      <c r="A5669" s="2" t="s">
        <v>478</v>
      </c>
    </row>
    <row r="5670" spans="1:1" ht="12.75">
      <c r="A5670" s="2" t="s">
        <v>434</v>
      </c>
    </row>
    <row r="5671" spans="1:1" ht="12.75">
      <c r="A5671" s="2" t="s">
        <v>437</v>
      </c>
    </row>
    <row r="5672" spans="1:1" ht="12.75">
      <c r="A5672" s="2" t="s">
        <v>437</v>
      </c>
    </row>
    <row r="5673" spans="1:1" ht="12.75">
      <c r="A5673" s="2" t="s">
        <v>452</v>
      </c>
    </row>
    <row r="5674" spans="1:1" ht="12.75">
      <c r="A5674" s="2" t="s">
        <v>452</v>
      </c>
    </row>
    <row r="5675" spans="1:1" ht="12.75">
      <c r="A5675" s="2" t="s">
        <v>449</v>
      </c>
    </row>
    <row r="5676" spans="1:1" ht="12.75">
      <c r="A5676" s="2" t="s">
        <v>449</v>
      </c>
    </row>
    <row r="5677" spans="1:1" ht="12.75">
      <c r="A5677" s="2" t="s">
        <v>452</v>
      </c>
    </row>
    <row r="5678" spans="1:1" ht="12.75">
      <c r="A5678" s="2" t="s">
        <v>452</v>
      </c>
    </row>
    <row r="5679" spans="1:1" ht="12.75">
      <c r="A5679" s="2" t="s">
        <v>432</v>
      </c>
    </row>
    <row r="5680" spans="1:1" ht="12.75">
      <c r="A5680" s="2" t="s">
        <v>432</v>
      </c>
    </row>
    <row r="5681" spans="1:1" ht="12.75">
      <c r="A5681" s="2" t="s">
        <v>432</v>
      </c>
    </row>
    <row r="5682" spans="1:1" ht="12.75">
      <c r="A5682" s="2" t="s">
        <v>432</v>
      </c>
    </row>
    <row r="5683" spans="1:1" ht="12.75">
      <c r="A5683" s="2" t="s">
        <v>432</v>
      </c>
    </row>
    <row r="5684" spans="1:1" ht="12.75">
      <c r="A5684" s="2" t="s">
        <v>432</v>
      </c>
    </row>
    <row r="5685" spans="1:1" ht="12.75">
      <c r="A5685" s="2" t="s">
        <v>432</v>
      </c>
    </row>
    <row r="5686" spans="1:1" ht="12.75">
      <c r="A5686" s="2" t="s">
        <v>432</v>
      </c>
    </row>
    <row r="5687" spans="1:1" ht="12.75">
      <c r="A5687" s="2" t="s">
        <v>432</v>
      </c>
    </row>
    <row r="5688" spans="1:1" ht="12.75">
      <c r="A5688" s="2" t="s">
        <v>432</v>
      </c>
    </row>
    <row r="5689" spans="1:1" ht="12.75">
      <c r="A5689" s="2" t="s">
        <v>479</v>
      </c>
    </row>
    <row r="5690" spans="1:1" ht="12.75">
      <c r="A5690" s="2" t="s">
        <v>449</v>
      </c>
    </row>
    <row r="5691" spans="1:1" ht="12.75">
      <c r="A5691" s="2" t="s">
        <v>479</v>
      </c>
    </row>
    <row r="5692" spans="1:1" ht="12.75">
      <c r="A5692" s="2" t="s">
        <v>449</v>
      </c>
    </row>
    <row r="5693" spans="1:1" ht="12.75">
      <c r="A5693" s="2" t="s">
        <v>449</v>
      </c>
    </row>
    <row r="5694" spans="1:1" ht="12.75">
      <c r="A5694" s="2" t="s">
        <v>449</v>
      </c>
    </row>
    <row r="5695" spans="1:1" ht="12.75">
      <c r="A5695" s="2" t="s">
        <v>449</v>
      </c>
    </row>
    <row r="5696" spans="1:1" ht="12.75">
      <c r="A5696" s="2" t="s">
        <v>449</v>
      </c>
    </row>
    <row r="5697" spans="1:1" ht="12.75">
      <c r="A5697" s="2" t="s">
        <v>449</v>
      </c>
    </row>
    <row r="5698" spans="1:1" ht="12.75">
      <c r="A5698" s="2" t="s">
        <v>449</v>
      </c>
    </row>
    <row r="5699" spans="1:1" ht="12.75">
      <c r="A5699" s="2" t="s">
        <v>404</v>
      </c>
    </row>
    <row r="5700" spans="1:1" ht="12.75">
      <c r="A5700" s="2" t="s">
        <v>404</v>
      </c>
    </row>
    <row r="5701" spans="1:1" ht="12.75">
      <c r="A5701" s="2" t="s">
        <v>404</v>
      </c>
    </row>
    <row r="5702" spans="1:1" ht="12.75">
      <c r="A5702" s="2" t="s">
        <v>404</v>
      </c>
    </row>
    <row r="5703" spans="1:1" ht="12.75">
      <c r="A5703" s="2" t="s">
        <v>404</v>
      </c>
    </row>
    <row r="5704" spans="1:1" ht="12.75">
      <c r="A5704" s="2" t="s">
        <v>404</v>
      </c>
    </row>
    <row r="5705" spans="1:1" ht="12.75">
      <c r="A5705" s="2" t="s">
        <v>404</v>
      </c>
    </row>
    <row r="5706" spans="1:1" ht="12.75">
      <c r="A5706" s="2" t="s">
        <v>404</v>
      </c>
    </row>
    <row r="5707" spans="1:1" ht="12.75">
      <c r="A5707" s="2" t="s">
        <v>449</v>
      </c>
    </row>
    <row r="5708" spans="1:1" ht="12.75">
      <c r="A5708" s="2" t="s">
        <v>449</v>
      </c>
    </row>
    <row r="5709" spans="1:1" ht="12.75">
      <c r="A5709" s="2" t="s">
        <v>449</v>
      </c>
    </row>
    <row r="5710" spans="1:1" ht="12.75">
      <c r="A5710" s="2" t="s">
        <v>449</v>
      </c>
    </row>
    <row r="5711" spans="1:1" ht="12.75">
      <c r="A5711" s="2" t="s">
        <v>449</v>
      </c>
    </row>
    <row r="5712" spans="1:1" ht="12.75">
      <c r="A5712" s="2" t="s">
        <v>449</v>
      </c>
    </row>
    <row r="5713" spans="1:1" ht="12.75">
      <c r="A5713" s="2" t="s">
        <v>449</v>
      </c>
    </row>
    <row r="5714" spans="1:1" ht="12.75">
      <c r="A5714" s="2" t="s">
        <v>449</v>
      </c>
    </row>
    <row r="5715" spans="1:1" ht="12.75">
      <c r="A5715" s="2" t="s">
        <v>437</v>
      </c>
    </row>
    <row r="5716" spans="1:1" ht="12.75">
      <c r="A5716" s="2" t="s">
        <v>437</v>
      </c>
    </row>
    <row r="5717" spans="1:1" ht="12.75">
      <c r="A5717" s="2" t="s">
        <v>437</v>
      </c>
    </row>
    <row r="5718" spans="1:1" ht="12.75">
      <c r="A5718" s="2" t="s">
        <v>437</v>
      </c>
    </row>
    <row r="5719" spans="1:1" ht="12.75">
      <c r="A5719" s="2" t="s">
        <v>452</v>
      </c>
    </row>
    <row r="5720" spans="1:1" ht="12.75">
      <c r="A5720" s="2" t="s">
        <v>452</v>
      </c>
    </row>
    <row r="5721" spans="1:1" ht="12.75">
      <c r="A5721" s="2" t="s">
        <v>452</v>
      </c>
    </row>
    <row r="5722" spans="1:1" ht="12.75">
      <c r="A5722" s="2" t="s">
        <v>452</v>
      </c>
    </row>
    <row r="5723" spans="1:1" ht="12.75">
      <c r="A5723" s="2" t="s">
        <v>452</v>
      </c>
    </row>
    <row r="5724" spans="1:1" ht="12.75">
      <c r="A5724" s="2" t="s">
        <v>452</v>
      </c>
    </row>
    <row r="5725" spans="1:1" ht="12.75">
      <c r="A5725" s="2" t="s">
        <v>433</v>
      </c>
    </row>
    <row r="5726" spans="1:1" ht="12.75">
      <c r="A5726" s="2" t="s">
        <v>433</v>
      </c>
    </row>
    <row r="5727" spans="1:1" ht="12.75">
      <c r="A5727" s="2" t="s">
        <v>452</v>
      </c>
    </row>
    <row r="5728" spans="1:1" ht="12.75">
      <c r="A5728" s="2" t="s">
        <v>452</v>
      </c>
    </row>
    <row r="5729" spans="1:1" ht="12.75">
      <c r="A5729" s="2" t="s">
        <v>432</v>
      </c>
    </row>
    <row r="5730" spans="1:1" ht="12.75">
      <c r="A5730" s="2" t="s">
        <v>432</v>
      </c>
    </row>
    <row r="5731" spans="1:1" ht="12.75">
      <c r="A5731" s="2" t="s">
        <v>437</v>
      </c>
    </row>
    <row r="5732" spans="1:1" ht="12.75">
      <c r="A5732" s="2" t="s">
        <v>437</v>
      </c>
    </row>
    <row r="5733" spans="1:1" ht="12.75">
      <c r="A5733" s="2" t="s">
        <v>433</v>
      </c>
    </row>
    <row r="5734" spans="1:1" ht="12.75">
      <c r="A5734" s="2" t="s">
        <v>437</v>
      </c>
    </row>
    <row r="5735" spans="1:1" ht="12.75">
      <c r="A5735" s="2" t="s">
        <v>437</v>
      </c>
    </row>
    <row r="5736" spans="1:1" ht="12.75">
      <c r="A5736" s="2" t="s">
        <v>437</v>
      </c>
    </row>
    <row r="5737" spans="1:1" ht="12.75">
      <c r="A5737" s="2" t="s">
        <v>432</v>
      </c>
    </row>
    <row r="5738" spans="1:1" ht="12.75">
      <c r="A5738" s="2" t="s">
        <v>432</v>
      </c>
    </row>
    <row r="5739" spans="1:1" ht="12.75">
      <c r="A5739" s="2" t="s">
        <v>480</v>
      </c>
    </row>
    <row r="5740" spans="1:1" ht="12.75">
      <c r="A5740" s="2" t="s">
        <v>480</v>
      </c>
    </row>
    <row r="5741" spans="1:1" ht="12.75">
      <c r="A5741" s="2" t="s">
        <v>481</v>
      </c>
    </row>
    <row r="5742" spans="1:1" ht="12.75">
      <c r="A5742" s="2" t="s">
        <v>480</v>
      </c>
    </row>
    <row r="5743" spans="1:1" ht="12.75">
      <c r="A5743" s="2" t="s">
        <v>482</v>
      </c>
    </row>
    <row r="5744" spans="1:1" ht="12.75">
      <c r="A5744" s="2" t="s">
        <v>482</v>
      </c>
    </row>
    <row r="5745" spans="1:1" ht="12.75">
      <c r="A5745" s="2" t="s">
        <v>483</v>
      </c>
    </row>
    <row r="5746" spans="1:1" ht="12.75">
      <c r="A5746" s="2" t="s">
        <v>484</v>
      </c>
    </row>
    <row r="5747" spans="1:1" ht="12.75">
      <c r="A5747" s="2" t="s">
        <v>480</v>
      </c>
    </row>
    <row r="5748" spans="1:1" ht="12.75">
      <c r="A5748" s="2" t="s">
        <v>485</v>
      </c>
    </row>
    <row r="5749" spans="1:1" ht="12.75">
      <c r="A5749" s="2" t="s">
        <v>453</v>
      </c>
    </row>
    <row r="5750" spans="1:1" ht="12.75">
      <c r="A5750" s="2" t="s">
        <v>453</v>
      </c>
    </row>
    <row r="5751" spans="1:1" ht="12.75">
      <c r="A5751" s="2" t="s">
        <v>453</v>
      </c>
    </row>
    <row r="5752" spans="1:1" ht="12.75">
      <c r="A5752" s="2" t="s">
        <v>451</v>
      </c>
    </row>
    <row r="5753" spans="1:1" ht="12.75">
      <c r="A5753" s="2" t="s">
        <v>451</v>
      </c>
    </row>
    <row r="5754" spans="1:1" ht="12.75">
      <c r="A5754" s="2" t="s">
        <v>451</v>
      </c>
    </row>
    <row r="5755" spans="1:1" ht="12.75">
      <c r="A5755" s="2" t="s">
        <v>446</v>
      </c>
    </row>
    <row r="5756" spans="1:1" ht="12.75">
      <c r="A5756" s="2" t="s">
        <v>446</v>
      </c>
    </row>
    <row r="5757" spans="1:1" ht="12.75">
      <c r="A5757" s="2" t="s">
        <v>446</v>
      </c>
    </row>
    <row r="5758" spans="1:1" ht="12.75">
      <c r="A5758" s="2" t="s">
        <v>446</v>
      </c>
    </row>
    <row r="5759" spans="1:1" ht="12.75">
      <c r="A5759" s="2" t="s">
        <v>447</v>
      </c>
    </row>
    <row r="5760" spans="1:1" ht="12.75">
      <c r="A5760" s="2" t="s">
        <v>447</v>
      </c>
    </row>
    <row r="5761" spans="1:1" ht="12.75">
      <c r="A5761" s="2" t="s">
        <v>447</v>
      </c>
    </row>
    <row r="5762" spans="1:1" ht="12.75">
      <c r="A5762" s="2" t="s">
        <v>451</v>
      </c>
    </row>
    <row r="5763" spans="1:1" ht="12.75">
      <c r="A5763" s="2" t="s">
        <v>451</v>
      </c>
    </row>
    <row r="5764" spans="1:1" ht="12.75">
      <c r="A5764" s="2" t="s">
        <v>451</v>
      </c>
    </row>
    <row r="5765" spans="1:1" ht="12.75">
      <c r="A5765" s="2" t="s">
        <v>451</v>
      </c>
    </row>
    <row r="5766" spans="1:1" ht="12.75">
      <c r="A5766" s="2" t="s">
        <v>453</v>
      </c>
    </row>
    <row r="5767" spans="1:1" ht="12.75">
      <c r="A5767" s="2" t="s">
        <v>453</v>
      </c>
    </row>
    <row r="5768" spans="1:1" ht="12.75">
      <c r="A5768" s="2" t="s">
        <v>453</v>
      </c>
    </row>
    <row r="5769" spans="1:1" ht="12.75">
      <c r="A5769" s="2" t="s">
        <v>453</v>
      </c>
    </row>
    <row r="5770" spans="1:1" ht="12.75">
      <c r="A5770" s="2" t="s">
        <v>448</v>
      </c>
    </row>
    <row r="5771" spans="1:1" ht="12.75">
      <c r="A5771" s="2" t="s">
        <v>450</v>
      </c>
    </row>
    <row r="5772" spans="1:1" ht="12.75">
      <c r="A5772" s="2" t="s">
        <v>446</v>
      </c>
    </row>
    <row r="5773" spans="1:1" ht="12.75">
      <c r="A5773" s="2" t="s">
        <v>446</v>
      </c>
    </row>
    <row r="5774" spans="1:1" ht="12.75">
      <c r="A5774" s="2" t="s">
        <v>446</v>
      </c>
    </row>
    <row r="5775" spans="1:1" ht="12.75">
      <c r="A5775" s="2" t="s">
        <v>446</v>
      </c>
    </row>
    <row r="5776" spans="1:1" ht="12.75">
      <c r="A5776" s="2" t="s">
        <v>446</v>
      </c>
    </row>
    <row r="5777" spans="1:1" ht="12.75">
      <c r="A5777" s="2" t="s">
        <v>438</v>
      </c>
    </row>
    <row r="5778" spans="1:1" ht="12.75">
      <c r="A5778" s="2" t="s">
        <v>448</v>
      </c>
    </row>
    <row r="5779" spans="1:1" ht="12.75">
      <c r="A5779" s="2" t="s">
        <v>448</v>
      </c>
    </row>
    <row r="5780" spans="1:1" ht="12.75">
      <c r="A5780" s="2" t="s">
        <v>446</v>
      </c>
    </row>
    <row r="5781" spans="1:1" ht="12.75">
      <c r="A5781" s="2" t="s">
        <v>446</v>
      </c>
    </row>
    <row r="5782" spans="1:1" ht="12.75">
      <c r="A5782" s="2" t="s">
        <v>446</v>
      </c>
    </row>
    <row r="5783" spans="1:1" ht="12.75">
      <c r="A5783" s="2" t="s">
        <v>446</v>
      </c>
    </row>
    <row r="5784" spans="1:1" ht="12.75">
      <c r="A5784" s="2" t="s">
        <v>446</v>
      </c>
    </row>
    <row r="5785" spans="1:1" ht="12.75">
      <c r="A5785" s="2" t="s">
        <v>446</v>
      </c>
    </row>
    <row r="5786" spans="1:1" ht="12.75">
      <c r="A5786" s="2" t="s">
        <v>447</v>
      </c>
    </row>
    <row r="5787" spans="1:1" ht="12.75">
      <c r="A5787" s="2" t="s">
        <v>447</v>
      </c>
    </row>
    <row r="5788" spans="1:1" ht="12.75">
      <c r="A5788" s="2" t="s">
        <v>447</v>
      </c>
    </row>
    <row r="5789" spans="1:1" ht="12.75">
      <c r="A5789" s="2" t="s">
        <v>447</v>
      </c>
    </row>
    <row r="5790" spans="1:1" ht="12.75">
      <c r="A5790" s="2" t="s">
        <v>447</v>
      </c>
    </row>
    <row r="5791" spans="1:1" ht="12.75">
      <c r="A5791" s="2" t="s">
        <v>451</v>
      </c>
    </row>
    <row r="5792" spans="1:1" ht="12.75">
      <c r="A5792" s="2" t="s">
        <v>451</v>
      </c>
    </row>
    <row r="5793" spans="1:1" ht="12.75">
      <c r="A5793" s="2" t="s">
        <v>451</v>
      </c>
    </row>
    <row r="5794" spans="1:1" ht="12.75">
      <c r="A5794" s="2" t="s">
        <v>451</v>
      </c>
    </row>
    <row r="5795" spans="1:1" ht="12.75">
      <c r="A5795" s="2" t="s">
        <v>438</v>
      </c>
    </row>
    <row r="5796" spans="1:1" ht="12.75">
      <c r="A5796" s="2" t="s">
        <v>446</v>
      </c>
    </row>
    <row r="5797" spans="1:1" ht="12.75">
      <c r="A5797" s="2" t="s">
        <v>446</v>
      </c>
    </row>
    <row r="5798" spans="1:1" ht="12.75">
      <c r="A5798" s="2" t="s">
        <v>446</v>
      </c>
    </row>
    <row r="5799" spans="1:1" ht="12.75">
      <c r="A5799" s="2" t="s">
        <v>446</v>
      </c>
    </row>
    <row r="5800" spans="1:1" ht="12.75">
      <c r="A5800" s="2" t="s">
        <v>446</v>
      </c>
    </row>
    <row r="5801" spans="1:1" ht="12.75">
      <c r="A5801" s="2" t="s">
        <v>446</v>
      </c>
    </row>
    <row r="5802" spans="1:1" ht="12.75">
      <c r="A5802" s="2" t="s">
        <v>447</v>
      </c>
    </row>
    <row r="5803" spans="1:1" ht="12.75">
      <c r="A5803" s="2" t="s">
        <v>447</v>
      </c>
    </row>
    <row r="5804" spans="1:1" ht="12.75">
      <c r="A5804" s="2" t="s">
        <v>447</v>
      </c>
    </row>
    <row r="5805" spans="1:1" ht="12.75">
      <c r="A5805" s="2" t="s">
        <v>447</v>
      </c>
    </row>
    <row r="5806" spans="1:1" ht="12.75">
      <c r="A5806" s="2" t="s">
        <v>447</v>
      </c>
    </row>
    <row r="5807" spans="1:1" ht="12.75">
      <c r="A5807" s="2" t="s">
        <v>448</v>
      </c>
    </row>
    <row r="5808" spans="1:1" ht="12.75">
      <c r="A5808" s="2" t="s">
        <v>446</v>
      </c>
    </row>
    <row r="5809" spans="1:1" ht="12.75">
      <c r="A5809" s="2" t="s">
        <v>446</v>
      </c>
    </row>
    <row r="5810" spans="1:1" ht="12.75">
      <c r="A5810" s="2" t="s">
        <v>447</v>
      </c>
    </row>
    <row r="5811" spans="1:1" ht="12.75">
      <c r="A5811" s="2" t="s">
        <v>447</v>
      </c>
    </row>
    <row r="5812" spans="1:1" ht="12.75">
      <c r="A5812" s="2" t="s">
        <v>447</v>
      </c>
    </row>
    <row r="5813" spans="1:1" ht="12.75">
      <c r="A5813" s="2" t="s">
        <v>447</v>
      </c>
    </row>
    <row r="5814" spans="1:1" ht="12.75">
      <c r="A5814" s="2" t="s">
        <v>448</v>
      </c>
    </row>
    <row r="5815" spans="1:1" ht="12.75">
      <c r="A5815" s="2" t="s">
        <v>446</v>
      </c>
    </row>
    <row r="5816" spans="1:1" ht="12.75">
      <c r="A5816" s="2" t="s">
        <v>446</v>
      </c>
    </row>
    <row r="5817" spans="1:1" ht="12.75">
      <c r="A5817" s="2" t="s">
        <v>446</v>
      </c>
    </row>
    <row r="5818" spans="1:1" ht="12.75">
      <c r="A5818" s="2" t="s">
        <v>446</v>
      </c>
    </row>
    <row r="5819" spans="1:1" ht="12.75">
      <c r="A5819" s="2" t="s">
        <v>446</v>
      </c>
    </row>
    <row r="5820" spans="1:1" ht="12.75">
      <c r="A5820" s="2" t="s">
        <v>446</v>
      </c>
    </row>
    <row r="5821" spans="1:1" ht="12.75">
      <c r="A5821" s="2" t="s">
        <v>447</v>
      </c>
    </row>
    <row r="5822" spans="1:1" ht="12.75">
      <c r="A5822" s="2" t="s">
        <v>447</v>
      </c>
    </row>
    <row r="5823" spans="1:1" ht="12.75">
      <c r="A5823" s="2" t="s">
        <v>447</v>
      </c>
    </row>
    <row r="5824" spans="1:1" ht="12.75">
      <c r="A5824" s="2" t="s">
        <v>447</v>
      </c>
    </row>
    <row r="5827" spans="1:1" ht="12.75">
      <c r="A5827" s="2" t="s">
        <v>447</v>
      </c>
    </row>
    <row r="5828" spans="1:1" ht="12.75">
      <c r="A5828" s="2" t="s">
        <v>447</v>
      </c>
    </row>
    <row r="5829" spans="1:1" ht="12.75">
      <c r="A5829" s="2" t="s">
        <v>448</v>
      </c>
    </row>
    <row r="5830" spans="1:1" ht="12.75">
      <c r="A5830" s="2" t="s">
        <v>438</v>
      </c>
    </row>
    <row r="5831" spans="1:1" ht="12.75">
      <c r="A5831" s="2" t="s">
        <v>447</v>
      </c>
    </row>
    <row r="5832" spans="1:1" ht="12.75">
      <c r="A5832" s="2" t="s">
        <v>446</v>
      </c>
    </row>
    <row r="5833" spans="1:1" ht="12.75">
      <c r="A5833" s="2" t="s">
        <v>446</v>
      </c>
    </row>
    <row r="5834" spans="1:1" ht="12.75">
      <c r="A5834" s="2" t="s">
        <v>446</v>
      </c>
    </row>
    <row r="5835" spans="1:1" ht="12.75">
      <c r="A5835" s="2" t="s">
        <v>446</v>
      </c>
    </row>
    <row r="5836" spans="1:1" ht="12.75">
      <c r="A5836" s="2" t="s">
        <v>446</v>
      </c>
    </row>
    <row r="5837" spans="1:1" ht="12.75">
      <c r="A5837" s="2" t="s">
        <v>446</v>
      </c>
    </row>
    <row r="5838" spans="1:1" ht="12.75">
      <c r="A5838" s="2" t="s">
        <v>447</v>
      </c>
    </row>
    <row r="5839" spans="1:1" ht="12.75">
      <c r="A5839" s="2" t="s">
        <v>447</v>
      </c>
    </row>
    <row r="5840" spans="1:1" ht="12.75">
      <c r="A5840" s="2" t="s">
        <v>447</v>
      </c>
    </row>
    <row r="5841" spans="1:1" ht="12.75">
      <c r="A5841" s="2" t="s">
        <v>447</v>
      </c>
    </row>
    <row r="5842" spans="1:1" ht="12.75">
      <c r="A5842" s="2" t="s">
        <v>447</v>
      </c>
    </row>
    <row r="5843" spans="1:1" ht="12.75">
      <c r="A5843" s="2" t="s">
        <v>448</v>
      </c>
    </row>
    <row r="5844" spans="1:1" ht="12.75">
      <c r="A5844" s="2" t="s">
        <v>448</v>
      </c>
    </row>
    <row r="5845" spans="1:1" ht="12.75">
      <c r="A5845" s="2" t="s">
        <v>446</v>
      </c>
    </row>
    <row r="5846" spans="1:1" ht="12.75">
      <c r="A5846" s="2" t="s">
        <v>446</v>
      </c>
    </row>
    <row r="5847" spans="1:1" ht="12.75">
      <c r="A5847" s="2" t="s">
        <v>446</v>
      </c>
    </row>
    <row r="5848" spans="1:1" ht="12.75">
      <c r="A5848" s="2" t="s">
        <v>446</v>
      </c>
    </row>
    <row r="5849" spans="1:1" ht="12.75">
      <c r="A5849" s="2" t="s">
        <v>439</v>
      </c>
    </row>
    <row r="5850" spans="1:1" ht="12.75">
      <c r="A5850" s="2" t="s">
        <v>439</v>
      </c>
    </row>
    <row r="5851" spans="1:1" ht="12.75">
      <c r="A5851" s="2" t="s">
        <v>438</v>
      </c>
    </row>
    <row r="5852" spans="1:1" ht="12.75">
      <c r="A5852" s="2" t="s">
        <v>438</v>
      </c>
    </row>
    <row r="5853" spans="1:1" ht="12.75">
      <c r="A5853" s="2" t="s">
        <v>439</v>
      </c>
    </row>
    <row r="5854" spans="1:1" ht="12.75">
      <c r="A5854" s="2" t="s">
        <v>439</v>
      </c>
    </row>
    <row r="5855" spans="1:1" ht="12.75">
      <c r="A5855" s="2" t="s">
        <v>446</v>
      </c>
    </row>
    <row r="5856" spans="1:1" ht="12.75">
      <c r="A5856" s="2" t="s">
        <v>446</v>
      </c>
    </row>
    <row r="5857" spans="1:1" ht="12.75">
      <c r="A5857" s="2" t="s">
        <v>447</v>
      </c>
    </row>
    <row r="5858" spans="1:1" ht="12.75">
      <c r="A5858" s="2" t="s">
        <v>447</v>
      </c>
    </row>
    <row r="5859" spans="1:1" ht="12.75">
      <c r="A5859" s="2" t="s">
        <v>486</v>
      </c>
    </row>
    <row r="5860" spans="1:1" ht="12.75">
      <c r="A5860" s="2" t="s">
        <v>365</v>
      </c>
    </row>
    <row r="5861" spans="1:1" ht="12.75">
      <c r="A5861" s="2" t="s">
        <v>209</v>
      </c>
    </row>
    <row r="5862" spans="1:1" ht="12.75">
      <c r="A5862" s="2" t="s">
        <v>209</v>
      </c>
    </row>
    <row r="5863" spans="1:1" ht="12.75">
      <c r="A5863" s="2" t="s">
        <v>212</v>
      </c>
    </row>
    <row r="5864" spans="1:1" ht="12.75">
      <c r="A5864" s="2" t="s">
        <v>212</v>
      </c>
    </row>
    <row r="5865" spans="1:1" ht="12.75">
      <c r="A5865" s="2" t="s">
        <v>211</v>
      </c>
    </row>
    <row r="5866" spans="1:1" ht="12.75">
      <c r="A5866" s="2" t="s">
        <v>211</v>
      </c>
    </row>
    <row r="5867" spans="1:1" ht="12.75">
      <c r="A5867" s="2" t="s">
        <v>212</v>
      </c>
    </row>
    <row r="5868" spans="1:1" ht="12.75">
      <c r="A5868" s="2" t="s">
        <v>212</v>
      </c>
    </row>
    <row r="5869" spans="1:1" ht="12.75">
      <c r="A5869" s="2" t="s">
        <v>365</v>
      </c>
    </row>
    <row r="5870" spans="1:1" ht="12.75">
      <c r="A5870" s="2" t="s">
        <v>365</v>
      </c>
    </row>
    <row r="5871" spans="1:1" ht="12.75">
      <c r="A5871" s="2" t="s">
        <v>148</v>
      </c>
    </row>
    <row r="5872" spans="1:1" ht="12.75">
      <c r="A5872" s="2" t="s">
        <v>148</v>
      </c>
    </row>
    <row r="5873" spans="1:1" ht="12.75">
      <c r="A5873" s="2" t="s">
        <v>365</v>
      </c>
    </row>
    <row r="5874" spans="1:1" ht="12.75">
      <c r="A5874" s="2" t="s">
        <v>365</v>
      </c>
    </row>
    <row r="5875" spans="1:1" ht="12.75">
      <c r="A5875" s="2" t="s">
        <v>210</v>
      </c>
    </row>
    <row r="5876" spans="1:1" ht="12.75">
      <c r="A5876" s="2" t="s">
        <v>210</v>
      </c>
    </row>
    <row r="5877" spans="1:1" ht="12.75">
      <c r="A5877" s="2" t="s">
        <v>212</v>
      </c>
    </row>
    <row r="5878" spans="1:1" ht="12.75">
      <c r="A5878" s="2" t="s">
        <v>212</v>
      </c>
    </row>
    <row r="5879" spans="1:1" ht="12.75">
      <c r="A5879" s="2" t="s">
        <v>258</v>
      </c>
    </row>
    <row r="5880" spans="1:1" ht="12.75">
      <c r="A5880" s="2" t="s">
        <v>257</v>
      </c>
    </row>
    <row r="5881" spans="1:1" ht="12.75">
      <c r="A5881" s="2" t="s">
        <v>259</v>
      </c>
    </row>
    <row r="5882" spans="1:1" ht="12.75">
      <c r="A5882" s="2" t="s">
        <v>259</v>
      </c>
    </row>
    <row r="5883" spans="1:1" ht="12.75">
      <c r="A5883" s="2" t="s">
        <v>257</v>
      </c>
    </row>
    <row r="5884" spans="1:1" ht="12.75">
      <c r="A5884" s="2" t="s">
        <v>257</v>
      </c>
    </row>
    <row r="5885" spans="1:1" ht="12.75">
      <c r="A5885" s="2" t="s">
        <v>257</v>
      </c>
    </row>
    <row r="5886" spans="1:1" ht="12.75">
      <c r="A5886" s="2" t="s">
        <v>257</v>
      </c>
    </row>
    <row r="5887" spans="1:1" ht="12.75">
      <c r="A5887" s="2" t="s">
        <v>258</v>
      </c>
    </row>
    <row r="5888" spans="1:1" ht="12.75">
      <c r="A5888" s="2" t="s">
        <v>258</v>
      </c>
    </row>
    <row r="5889" spans="1:1" ht="12.75">
      <c r="A5889" s="2" t="s">
        <v>258</v>
      </c>
    </row>
    <row r="5890" spans="1:1" ht="12.75">
      <c r="A5890" s="2" t="s">
        <v>258</v>
      </c>
    </row>
    <row r="5891" spans="1:1" ht="12.75">
      <c r="A5891" s="2" t="s">
        <v>259</v>
      </c>
    </row>
    <row r="5892" spans="1:1" ht="12.75">
      <c r="A5892" s="2" t="s">
        <v>259</v>
      </c>
    </row>
    <row r="5893" spans="1:1" ht="12.75">
      <c r="A5893" s="2" t="s">
        <v>301</v>
      </c>
    </row>
    <row r="5894" spans="1:1" ht="12.75">
      <c r="A5894" s="2" t="s">
        <v>301</v>
      </c>
    </row>
    <row r="5895" spans="1:1" ht="12.75">
      <c r="A5895" s="2" t="s">
        <v>258</v>
      </c>
    </row>
    <row r="5896" spans="1:1" ht="12.75">
      <c r="A5896" s="2" t="s">
        <v>258</v>
      </c>
    </row>
    <row r="5897" spans="1:1" ht="12.75">
      <c r="A5897" s="2" t="s">
        <v>257</v>
      </c>
    </row>
    <row r="5898" spans="1:1" ht="12.75">
      <c r="A5898" s="2" t="s">
        <v>257</v>
      </c>
    </row>
    <row r="5899" spans="1:1" ht="12.75">
      <c r="A5899" s="2" t="s">
        <v>259</v>
      </c>
    </row>
    <row r="5900" spans="1:1" ht="12.75">
      <c r="A5900" s="2" t="s">
        <v>259</v>
      </c>
    </row>
    <row r="5901" spans="1:1" ht="12.75">
      <c r="A5901" s="2" t="s">
        <v>301</v>
      </c>
    </row>
    <row r="5902" spans="1:1" ht="12.75">
      <c r="A5902" s="2" t="s">
        <v>301</v>
      </c>
    </row>
    <row r="5910" spans="1:1" ht="12.75">
      <c r="A5910" s="2" t="s">
        <v>257</v>
      </c>
    </row>
    <row r="5911" spans="1:1" ht="12.75">
      <c r="A5911" s="2" t="s">
        <v>257</v>
      </c>
    </row>
    <row r="5912" spans="1:1" ht="12.75">
      <c r="A5912" s="2" t="s">
        <v>258</v>
      </c>
    </row>
    <row r="5913" spans="1:1" ht="12.75">
      <c r="A5913" s="2" t="s">
        <v>258</v>
      </c>
    </row>
    <row r="5914" spans="1:1" ht="12.75">
      <c r="A5914" s="2" t="s">
        <v>446</v>
      </c>
    </row>
    <row r="5915" spans="1:1" ht="12.75">
      <c r="A5915" s="2" t="s">
        <v>447</v>
      </c>
    </row>
    <row r="5916" spans="1:1" ht="12.75">
      <c r="A5916" s="2" t="s">
        <v>447</v>
      </c>
    </row>
    <row r="5917" spans="1:1" ht="12.75">
      <c r="A5917" s="2" t="s">
        <v>448</v>
      </c>
    </row>
    <row r="5918" spans="1:1" ht="12.75">
      <c r="A5918" s="2" t="s">
        <v>448</v>
      </c>
    </row>
    <row r="5919" spans="1:1" ht="12.75">
      <c r="A5919" s="2" t="s">
        <v>448</v>
      </c>
    </row>
    <row r="5920" spans="1:1" ht="12.75">
      <c r="A5920" s="2" t="s">
        <v>450</v>
      </c>
    </row>
    <row r="5921" spans="1:1" ht="12.75">
      <c r="A5921" s="2" t="s">
        <v>487</v>
      </c>
    </row>
    <row r="5922" spans="1:1" ht="12.75">
      <c r="A5922" s="2" t="s">
        <v>448</v>
      </c>
    </row>
    <row r="5923" spans="1:1" ht="12.75">
      <c r="A5923" s="2" t="s">
        <v>453</v>
      </c>
    </row>
    <row r="5924" spans="1:1" ht="12.75">
      <c r="A5924" s="2" t="s">
        <v>451</v>
      </c>
    </row>
    <row r="5925" spans="1:1" ht="12.75">
      <c r="A5925" s="2" t="s">
        <v>487</v>
      </c>
    </row>
    <row r="5926" spans="1:1" ht="12.75">
      <c r="A5926" s="2" t="s">
        <v>453</v>
      </c>
    </row>
    <row r="5927" spans="1:1" ht="12.75">
      <c r="A5927" s="2" t="s">
        <v>451</v>
      </c>
    </row>
    <row r="5928" spans="1:1" ht="12.75">
      <c r="A5928" s="2" t="s">
        <v>448</v>
      </c>
    </row>
    <row r="5929" spans="1:1" ht="12.75">
      <c r="A5929" s="2" t="s">
        <v>448</v>
      </c>
    </row>
    <row r="5930" spans="1:1" ht="12.75">
      <c r="A5930" s="2" t="s">
        <v>453</v>
      </c>
    </row>
    <row r="5931" spans="1:1" ht="12.75">
      <c r="A5931" s="2" t="s">
        <v>453</v>
      </c>
    </row>
    <row r="5934" spans="1:1" ht="12.75">
      <c r="A5934" s="2" t="s">
        <v>453</v>
      </c>
    </row>
    <row r="5935" spans="1:1" ht="12.75">
      <c r="A5935" s="2" t="s">
        <v>453</v>
      </c>
    </row>
    <row r="5936" spans="1:1" ht="12.75">
      <c r="A5936" s="2" t="s">
        <v>451</v>
      </c>
    </row>
    <row r="5937" spans="1:1" ht="12.75">
      <c r="A5937" s="2" t="s">
        <v>451</v>
      </c>
    </row>
    <row r="5938" spans="1:1" ht="12.75">
      <c r="A5938" s="2" t="s">
        <v>451</v>
      </c>
    </row>
    <row r="5939" spans="1:1" ht="12.75">
      <c r="A5939" s="2" t="s">
        <v>451</v>
      </c>
    </row>
    <row r="5940" spans="1:1" ht="12.75">
      <c r="A5940" s="2" t="s">
        <v>448</v>
      </c>
    </row>
    <row r="5941" spans="1:1" ht="12.75">
      <c r="A5941" s="2" t="s">
        <v>448</v>
      </c>
    </row>
    <row r="5942" spans="1:1" ht="12.75">
      <c r="A5942" s="2" t="s">
        <v>448</v>
      </c>
    </row>
    <row r="5943" spans="1:1" ht="12.75">
      <c r="A5943" s="2" t="s">
        <v>447</v>
      </c>
    </row>
    <row r="5944" spans="1:1" ht="12.75">
      <c r="A5944" s="2" t="s">
        <v>447</v>
      </c>
    </row>
    <row r="5945" spans="1:1" ht="12.75">
      <c r="A5945" s="2" t="s">
        <v>447</v>
      </c>
    </row>
    <row r="5946" spans="1:1" ht="12.75">
      <c r="A5946" s="2" t="s">
        <v>447</v>
      </c>
    </row>
    <row r="5947" spans="1:1" ht="12.75">
      <c r="A5947" s="2" t="s">
        <v>451</v>
      </c>
    </row>
    <row r="5948" spans="1:1" ht="12.75">
      <c r="A5948" s="2" t="s">
        <v>451</v>
      </c>
    </row>
    <row r="5949" spans="1:1" ht="12.75">
      <c r="A5949" s="2" t="s">
        <v>451</v>
      </c>
    </row>
    <row r="5950" spans="1:1" ht="12.75">
      <c r="A5950" s="2" t="s">
        <v>451</v>
      </c>
    </row>
    <row r="5951" spans="1:1" ht="12.75">
      <c r="A5951" s="2" t="s">
        <v>446</v>
      </c>
    </row>
    <row r="5952" spans="1:1" ht="12.75">
      <c r="A5952" s="2" t="s">
        <v>446</v>
      </c>
    </row>
    <row r="5953" spans="1:1" ht="12.75">
      <c r="A5953" s="2" t="s">
        <v>446</v>
      </c>
    </row>
    <row r="5954" spans="1:1" ht="12.75">
      <c r="A5954" s="2" t="s">
        <v>446</v>
      </c>
    </row>
    <row r="5955" spans="1:1" ht="12.75">
      <c r="A5955" s="2" t="s">
        <v>446</v>
      </c>
    </row>
    <row r="5956" spans="1:1" ht="12.75">
      <c r="A5956" s="2" t="s">
        <v>446</v>
      </c>
    </row>
    <row r="5957" spans="1:1" ht="12.75">
      <c r="A5957" s="2" t="s">
        <v>488</v>
      </c>
    </row>
    <row r="5958" spans="1:1" ht="12.75">
      <c r="A5958" s="2" t="s">
        <v>488</v>
      </c>
    </row>
    <row r="5959" spans="1:1" ht="12.75">
      <c r="A5959" s="2" t="s">
        <v>446</v>
      </c>
    </row>
    <row r="5960" spans="1:1" ht="12.75">
      <c r="A5960" s="2" t="s">
        <v>446</v>
      </c>
    </row>
    <row r="5961" spans="1:1" ht="12.75">
      <c r="A5961" s="2" t="s">
        <v>446</v>
      </c>
    </row>
    <row r="5962" spans="1:1" ht="12.75">
      <c r="A5962" s="2" t="s">
        <v>446</v>
      </c>
    </row>
    <row r="5963" spans="1:1" ht="12.75">
      <c r="A5963" s="2" t="s">
        <v>446</v>
      </c>
    </row>
    <row r="5964" spans="1:1" ht="12.75">
      <c r="A5964" s="2" t="s">
        <v>446</v>
      </c>
    </row>
    <row r="5965" spans="1:1" ht="12.75">
      <c r="A5965" s="2" t="s">
        <v>447</v>
      </c>
    </row>
    <row r="5966" spans="1:1" ht="12.75">
      <c r="A5966" s="2" t="s">
        <v>489</v>
      </c>
    </row>
    <row r="5967" spans="1:1" ht="12.75">
      <c r="A5967" s="2" t="s">
        <v>447</v>
      </c>
    </row>
    <row r="5968" spans="1:1" ht="12.75">
      <c r="A5968" s="2" t="s">
        <v>447</v>
      </c>
    </row>
    <row r="5969" spans="1:1" ht="12.75">
      <c r="A5969" s="2" t="s">
        <v>448</v>
      </c>
    </row>
    <row r="5971" spans="1:1" ht="12.75">
      <c r="A5971" s="2" t="s">
        <v>446</v>
      </c>
    </row>
    <row r="5972" spans="1:1" ht="12.75">
      <c r="A5972" s="2" t="s">
        <v>446</v>
      </c>
    </row>
    <row r="5973" spans="1:1" ht="12.75">
      <c r="A5973" s="2" t="s">
        <v>446</v>
      </c>
    </row>
    <row r="5974" spans="1:1" ht="12.75">
      <c r="A5974" s="2" t="s">
        <v>439</v>
      </c>
    </row>
    <row r="5975" spans="1:1" ht="12.75">
      <c r="A5975" s="2" t="s">
        <v>439</v>
      </c>
    </row>
    <row r="5976" spans="1:1" ht="12.75">
      <c r="A5976" s="2" t="s">
        <v>438</v>
      </c>
    </row>
    <row r="5977" spans="1:1" ht="12.75">
      <c r="A5977" s="2" t="s">
        <v>439</v>
      </c>
    </row>
    <row r="5978" spans="1:1" ht="12.75">
      <c r="A5978" s="2" t="s">
        <v>461</v>
      </c>
    </row>
    <row r="5979" spans="1:1" ht="12.75">
      <c r="A5979" s="2" t="s">
        <v>439</v>
      </c>
    </row>
    <row r="5980" spans="1:1" ht="12.75">
      <c r="A5980" s="2" t="s">
        <v>438</v>
      </c>
    </row>
    <row r="5981" spans="1:1" ht="12.75">
      <c r="A5981" s="2" t="s">
        <v>439</v>
      </c>
    </row>
    <row r="5982" spans="1:1" ht="12.75">
      <c r="A5982" s="2" t="s">
        <v>461</v>
      </c>
    </row>
    <row r="5983" spans="1:1" ht="12.75">
      <c r="A5983" s="2" t="s">
        <v>438</v>
      </c>
    </row>
    <row r="5984" spans="1:1" ht="12.75">
      <c r="A5984" s="2" t="s">
        <v>490</v>
      </c>
    </row>
    <row r="5985" spans="1:1" ht="12.75">
      <c r="A5985" s="2" t="s">
        <v>439</v>
      </c>
    </row>
    <row r="5986" spans="1:1" ht="12.75">
      <c r="A5986" s="2" t="s">
        <v>438</v>
      </c>
    </row>
    <row r="5987" spans="1:1" ht="12.75">
      <c r="A5987" s="2" t="s">
        <v>438</v>
      </c>
    </row>
    <row r="5988" spans="1:1" ht="12.75">
      <c r="A5988" s="2" t="s">
        <v>439</v>
      </c>
    </row>
    <row r="5989" spans="1:1" ht="12.75">
      <c r="A5989" s="2" t="s">
        <v>439</v>
      </c>
    </row>
    <row r="5990" spans="1:1" ht="12.75">
      <c r="A5990" s="2" t="s">
        <v>439</v>
      </c>
    </row>
    <row r="5991" spans="1:1" ht="12.75">
      <c r="A5991" s="2" t="s">
        <v>439</v>
      </c>
    </row>
    <row r="5992" spans="1:1" ht="12.75">
      <c r="A5992" s="2" t="s">
        <v>439</v>
      </c>
    </row>
    <row r="5993" spans="1:1" ht="12.75">
      <c r="A5993" s="2" t="s">
        <v>449</v>
      </c>
    </row>
    <row r="5994" spans="1:1" ht="12.75">
      <c r="A5994" s="2" t="s">
        <v>439</v>
      </c>
    </row>
    <row r="5995" spans="1:1" ht="12.75">
      <c r="A5995" s="2" t="s">
        <v>439</v>
      </c>
    </row>
    <row r="5996" spans="1:1" ht="12.75">
      <c r="A5996" s="2" t="s">
        <v>442</v>
      </c>
    </row>
    <row r="5997" spans="1:1" ht="12.75">
      <c r="A5997" s="2" t="s">
        <v>439</v>
      </c>
    </row>
    <row r="5998" spans="1:1" ht="12.75">
      <c r="A5998" s="2" t="s">
        <v>439</v>
      </c>
    </row>
    <row r="5999" spans="1:1" ht="12.75">
      <c r="A5999" s="2" t="s">
        <v>259</v>
      </c>
    </row>
    <row r="6000" spans="1:1" ht="12.75">
      <c r="A6000" s="2" t="s">
        <v>442</v>
      </c>
    </row>
    <row r="6001" spans="1:1" ht="12.75">
      <c r="A6001" s="2" t="s">
        <v>442</v>
      </c>
    </row>
    <row r="6002" spans="1:1" ht="12.75">
      <c r="A6002" s="2" t="s">
        <v>439</v>
      </c>
    </row>
    <row r="6003" spans="1:1" ht="12.75">
      <c r="A6003" s="2" t="s">
        <v>439</v>
      </c>
    </row>
    <row r="6004" spans="1:1" ht="12.75">
      <c r="A6004" s="2" t="s">
        <v>439</v>
      </c>
    </row>
    <row r="6005" spans="1:1" ht="12.75">
      <c r="A6005" s="2" t="s">
        <v>442</v>
      </c>
    </row>
    <row r="6006" spans="1:1" ht="12.75">
      <c r="A6006" s="2" t="s">
        <v>442</v>
      </c>
    </row>
    <row r="6007" spans="1:1" ht="12.75">
      <c r="A6007" s="2" t="s">
        <v>442</v>
      </c>
    </row>
    <row r="6008" spans="1:1" ht="12.75">
      <c r="A6008" s="2" t="s">
        <v>491</v>
      </c>
    </row>
    <row r="6009" spans="1:1" ht="12.75">
      <c r="A6009" s="2" t="s">
        <v>491</v>
      </c>
    </row>
    <row r="6010" spans="1:1" ht="12.75">
      <c r="A6010" s="2" t="s">
        <v>442</v>
      </c>
    </row>
    <row r="6011" spans="1:1" ht="12.75">
      <c r="A6011" s="2" t="s">
        <v>439</v>
      </c>
    </row>
    <row r="6012" spans="1:1" ht="12.75">
      <c r="A6012" s="2" t="s">
        <v>439</v>
      </c>
    </row>
    <row r="6013" spans="1:1" ht="12.75">
      <c r="A6013" s="2" t="s">
        <v>439</v>
      </c>
    </row>
    <row r="6014" spans="1:1" ht="12.75">
      <c r="A6014" s="2" t="s">
        <v>439</v>
      </c>
    </row>
    <row r="6015" spans="1:1" ht="12.75">
      <c r="A6015" s="2" t="s">
        <v>438</v>
      </c>
    </row>
    <row r="6016" spans="1:1" ht="12.75">
      <c r="A6016" s="2" t="s">
        <v>439</v>
      </c>
    </row>
    <row r="6017" spans="1:1" ht="12.75">
      <c r="A6017" s="2" t="s">
        <v>439</v>
      </c>
    </row>
    <row r="6018" spans="1:1" ht="12.75">
      <c r="A6018" s="2" t="s">
        <v>439</v>
      </c>
    </row>
    <row r="6019" spans="1:1" ht="12.75">
      <c r="A6019" s="2" t="s">
        <v>438</v>
      </c>
    </row>
    <row r="6020" spans="1:1" ht="12.75">
      <c r="A6020" s="2" t="s">
        <v>439</v>
      </c>
    </row>
    <row r="6021" spans="1:1" ht="12.75">
      <c r="A6021" s="2" t="s">
        <v>439</v>
      </c>
    </row>
    <row r="6022" spans="1:1" ht="12.75">
      <c r="A6022" s="2" t="s">
        <v>439</v>
      </c>
    </row>
    <row r="6023" spans="1:1" ht="12.75">
      <c r="A6023" s="2" t="s">
        <v>439</v>
      </c>
    </row>
    <row r="6024" spans="1:1" ht="12.75">
      <c r="A6024" s="2" t="s">
        <v>438</v>
      </c>
    </row>
    <row r="6025" spans="1:1" ht="12.75">
      <c r="A6025" s="2" t="s">
        <v>439</v>
      </c>
    </row>
    <row r="6026" spans="1:1" ht="12.75">
      <c r="A6026" s="2" t="s">
        <v>439</v>
      </c>
    </row>
    <row r="6027" spans="1:1" ht="12.75">
      <c r="A6027" s="2" t="s">
        <v>438</v>
      </c>
    </row>
    <row r="6028" spans="1:1" ht="12.75">
      <c r="A6028" s="2" t="s">
        <v>439</v>
      </c>
    </row>
    <row r="6029" spans="1:1" ht="12.75">
      <c r="A6029" s="2" t="s">
        <v>439</v>
      </c>
    </row>
    <row r="6030" spans="1:1" ht="12.75">
      <c r="A6030" s="2" t="s">
        <v>438</v>
      </c>
    </row>
    <row r="6031" spans="1:1" ht="12.75">
      <c r="A6031" s="2" t="s">
        <v>442</v>
      </c>
    </row>
    <row r="6032" spans="1:1" ht="12.75">
      <c r="A6032" s="2" t="s">
        <v>439</v>
      </c>
    </row>
    <row r="6033" spans="1:1" ht="12.75">
      <c r="A6033" s="2" t="s">
        <v>439</v>
      </c>
    </row>
    <row r="6034" spans="1:1" ht="12.75">
      <c r="A6034" s="2" t="s">
        <v>439</v>
      </c>
    </row>
    <row r="6035" spans="1:1" ht="12.75">
      <c r="A6035" s="2" t="s">
        <v>439</v>
      </c>
    </row>
    <row r="6036" spans="1:1" ht="12.75">
      <c r="A6036" s="2" t="s">
        <v>438</v>
      </c>
    </row>
    <row r="6037" spans="1:1" ht="12.75">
      <c r="A6037" s="2" t="s">
        <v>439</v>
      </c>
    </row>
    <row r="6038" spans="1:1" ht="12.75">
      <c r="A6038" s="2" t="s">
        <v>438</v>
      </c>
    </row>
    <row r="6039" spans="1:1" ht="12.75">
      <c r="A6039" s="2" t="s">
        <v>440</v>
      </c>
    </row>
    <row r="6040" spans="1:1" ht="12.75">
      <c r="A6040" s="2" t="s">
        <v>438</v>
      </c>
    </row>
    <row r="6041" spans="1:1" ht="12.75">
      <c r="A6041" s="2" t="s">
        <v>439</v>
      </c>
    </row>
    <row r="6042" spans="1:1" ht="12.75">
      <c r="A6042" s="2" t="s">
        <v>439</v>
      </c>
    </row>
    <row r="6043" spans="1:1" ht="12.75">
      <c r="A6043" s="2" t="s">
        <v>492</v>
      </c>
    </row>
    <row r="6044" spans="1:1" ht="12.75">
      <c r="A6044" s="2" t="s">
        <v>492</v>
      </c>
    </row>
    <row r="6045" spans="1:1" ht="12.75">
      <c r="A6045" s="2" t="s">
        <v>438</v>
      </c>
    </row>
    <row r="6046" spans="1:1" ht="12.75">
      <c r="A6046" s="2" t="s">
        <v>439</v>
      </c>
    </row>
    <row r="6047" spans="1:1" ht="12.75">
      <c r="A6047" s="2" t="s">
        <v>439</v>
      </c>
    </row>
    <row r="6048" spans="1:1" ht="12.75">
      <c r="A6048" s="2" t="s">
        <v>439</v>
      </c>
    </row>
    <row r="6049" spans="1:1" ht="12.75">
      <c r="A6049" s="2">
        <v>352</v>
      </c>
    </row>
    <row r="6050" spans="1:1" ht="12.75">
      <c r="A6050" s="2" t="s">
        <v>438</v>
      </c>
    </row>
    <row r="6051" spans="1:1" ht="12.75">
      <c r="A6051" s="2" t="s">
        <v>440</v>
      </c>
    </row>
    <row r="6052" spans="1:1" ht="12.75">
      <c r="A6052" s="2" t="s">
        <v>440</v>
      </c>
    </row>
    <row r="6053" spans="1:1" ht="12.75">
      <c r="A6053" s="2" t="s">
        <v>438</v>
      </c>
    </row>
    <row r="6054" spans="1:1" ht="12.75">
      <c r="A6054" s="2" t="s">
        <v>452</v>
      </c>
    </row>
    <row r="6055" spans="1:1" ht="12.75">
      <c r="A6055" s="2" t="s">
        <v>452</v>
      </c>
    </row>
    <row r="6056" spans="1:1" ht="12.75">
      <c r="A6056" s="2" t="s">
        <v>452</v>
      </c>
    </row>
    <row r="6057" spans="1:1" ht="12.75">
      <c r="A6057" s="2" t="s">
        <v>452</v>
      </c>
    </row>
    <row r="6058" spans="1:1" ht="12.75">
      <c r="A6058" s="2" t="s">
        <v>404</v>
      </c>
    </row>
    <row r="6059" spans="1:1" ht="12.75">
      <c r="A6059" s="2" t="s">
        <v>404</v>
      </c>
    </row>
    <row r="6060" spans="1:1" ht="12.75">
      <c r="A6060" s="2" t="s">
        <v>442</v>
      </c>
    </row>
    <row r="6061" spans="1:1" ht="12.75">
      <c r="A6061" s="2" t="s">
        <v>439</v>
      </c>
    </row>
    <row r="6062" spans="1:1" ht="12.75">
      <c r="A6062" s="2" t="s">
        <v>438</v>
      </c>
    </row>
    <row r="6063" spans="1:1" ht="12.75">
      <c r="A6063" s="2" t="s">
        <v>442</v>
      </c>
    </row>
    <row r="6064" spans="1:1" ht="12.75">
      <c r="A6064" s="2" t="s">
        <v>438</v>
      </c>
    </row>
    <row r="6065" spans="1:1" ht="12.75">
      <c r="A6065" s="2" t="s">
        <v>439</v>
      </c>
    </row>
    <row r="6066" spans="1:1" ht="12.75">
      <c r="A6066" s="2" t="s">
        <v>439</v>
      </c>
    </row>
    <row r="6067" spans="1:1" ht="12.75">
      <c r="A6067" s="2" t="s">
        <v>438</v>
      </c>
    </row>
    <row r="6068" spans="1:1" ht="12.75">
      <c r="A6068" s="2" t="s">
        <v>442</v>
      </c>
    </row>
    <row r="6069" spans="1:1" ht="12.75">
      <c r="A6069" s="2" t="s">
        <v>439</v>
      </c>
    </row>
    <row r="6070" spans="1:1" ht="12.75">
      <c r="A6070" s="2" t="s">
        <v>439</v>
      </c>
    </row>
    <row r="6071" spans="1:1" ht="12.75">
      <c r="A6071" s="2" t="s">
        <v>439</v>
      </c>
    </row>
    <row r="6072" spans="1:1" ht="12.75">
      <c r="A6072" s="2" t="s">
        <v>439</v>
      </c>
    </row>
    <row r="6073" spans="1:1" ht="12.75">
      <c r="A6073" s="2" t="s">
        <v>438</v>
      </c>
    </row>
    <row r="6074" spans="1:1" ht="12.75">
      <c r="A6074" s="2" t="s">
        <v>404</v>
      </c>
    </row>
    <row r="6075" spans="1:1" ht="12.75">
      <c r="A6075" s="2" t="s">
        <v>449</v>
      </c>
    </row>
    <row r="6076" spans="1:1" ht="12.75">
      <c r="A6076" s="2" t="s">
        <v>404</v>
      </c>
    </row>
    <row r="6077" spans="1:1" ht="12.75">
      <c r="A6077" s="2" t="s">
        <v>449</v>
      </c>
    </row>
    <row r="6078" spans="1:1" ht="12.75">
      <c r="A6078" s="2" t="s">
        <v>432</v>
      </c>
    </row>
    <row r="6079" spans="1:1" ht="12.75">
      <c r="A6079" s="2" t="s">
        <v>432</v>
      </c>
    </row>
    <row r="6080" spans="1:1" ht="12.75">
      <c r="A6080" s="2" t="s">
        <v>432</v>
      </c>
    </row>
    <row r="6081" spans="1:1" ht="12.75">
      <c r="A6081" s="2" t="s">
        <v>432</v>
      </c>
    </row>
    <row r="6082" spans="1:1" ht="12.75">
      <c r="A6082" s="2" t="s">
        <v>432</v>
      </c>
    </row>
    <row r="6083" spans="1:1" ht="12.75">
      <c r="A6083" s="2" t="s">
        <v>432</v>
      </c>
    </row>
    <row r="6084" spans="1:1" ht="12.75">
      <c r="A6084" s="2" t="s">
        <v>432</v>
      </c>
    </row>
    <row r="6085" spans="1:1" ht="12.75">
      <c r="A6085" s="2" t="s">
        <v>432</v>
      </c>
    </row>
    <row r="6086" spans="1:1" ht="12.75">
      <c r="A6086" s="2" t="s">
        <v>437</v>
      </c>
    </row>
    <row r="6087" spans="1:1" ht="12.75">
      <c r="A6087" s="2" t="s">
        <v>437</v>
      </c>
    </row>
    <row r="6088" spans="1:1" ht="12.75">
      <c r="A6088" s="2" t="s">
        <v>432</v>
      </c>
    </row>
    <row r="6089" spans="1:1" ht="12.75">
      <c r="A6089" s="2" t="s">
        <v>437</v>
      </c>
    </row>
    <row r="6090" spans="1:1" ht="12.75">
      <c r="A6090" s="2" t="s">
        <v>437</v>
      </c>
    </row>
    <row r="6091" spans="1:1" ht="12.75">
      <c r="A6091" s="2" t="s">
        <v>437</v>
      </c>
    </row>
    <row r="6092" spans="1:1" ht="12.75">
      <c r="A6092" s="2" t="s">
        <v>452</v>
      </c>
    </row>
    <row r="6093" spans="1:1" ht="12.75">
      <c r="A6093" s="2" t="s">
        <v>452</v>
      </c>
    </row>
    <row r="6095" spans="1:1" ht="12.75">
      <c r="A6095" s="2" t="s">
        <v>449</v>
      </c>
    </row>
    <row r="6096" spans="1:1" ht="12.75">
      <c r="A6096" s="2" t="s">
        <v>449</v>
      </c>
    </row>
    <row r="6097" spans="1:1" ht="12.75">
      <c r="A6097" s="2" t="s">
        <v>449</v>
      </c>
    </row>
    <row r="6098" spans="1:1" ht="12.75">
      <c r="A6098" s="2" t="s">
        <v>452</v>
      </c>
    </row>
    <row r="6099" spans="1:1" ht="12.75">
      <c r="A6099" s="2" t="s">
        <v>452</v>
      </c>
    </row>
    <row r="6100" spans="1:1" ht="12.75">
      <c r="A6100" s="2" t="s">
        <v>452</v>
      </c>
    </row>
    <row r="6101" spans="1:1" ht="12.75">
      <c r="A6101" s="2" t="s">
        <v>452</v>
      </c>
    </row>
    <row r="6102" spans="1:1" ht="12.75">
      <c r="A6102" s="2" t="s">
        <v>452</v>
      </c>
    </row>
    <row r="6103" spans="1:1" ht="12.75">
      <c r="A6103" s="2" t="s">
        <v>452</v>
      </c>
    </row>
    <row r="6104" spans="1:1" ht="12.75">
      <c r="A6104" s="2" t="s">
        <v>404</v>
      </c>
    </row>
    <row r="6105" spans="1:1" ht="12.75">
      <c r="A6105" s="2" t="s">
        <v>404</v>
      </c>
    </row>
    <row r="6106" spans="1:1" ht="12.75">
      <c r="A6106" s="2" t="s">
        <v>404</v>
      </c>
    </row>
    <row r="6107" spans="1:1" ht="12.75">
      <c r="A6107" s="2" t="s">
        <v>404</v>
      </c>
    </row>
    <row r="6108" spans="1:1" ht="12.75">
      <c r="A6108" s="2" t="s">
        <v>449</v>
      </c>
    </row>
    <row r="6109" spans="1:1" ht="12.75">
      <c r="A6109" s="2" t="s">
        <v>449</v>
      </c>
    </row>
    <row r="6110" spans="1:1" ht="12.75">
      <c r="A6110" s="2" t="s">
        <v>449</v>
      </c>
    </row>
    <row r="6111" spans="1:1" ht="12.75">
      <c r="A6111" s="2" t="s">
        <v>254</v>
      </c>
    </row>
    <row r="6112" spans="1:1" ht="12.75">
      <c r="A6112" s="2" t="s">
        <v>479</v>
      </c>
    </row>
    <row r="6113" spans="1:1" ht="12.75">
      <c r="A6113" s="2" t="s">
        <v>479</v>
      </c>
    </row>
    <row r="6114" spans="1:1" ht="12.75">
      <c r="A6114" s="2" t="s">
        <v>404</v>
      </c>
    </row>
    <row r="6115" spans="1:1" ht="12.75">
      <c r="A6115" s="2" t="s">
        <v>493</v>
      </c>
    </row>
    <row r="6116" spans="1:1" ht="12.75">
      <c r="A6116" s="2" t="s">
        <v>404</v>
      </c>
    </row>
    <row r="6117" spans="1:1" ht="12.75">
      <c r="A6117" s="2" t="s">
        <v>404</v>
      </c>
    </row>
    <row r="6118" spans="1:1" ht="12.75">
      <c r="A6118" s="2" t="s">
        <v>404</v>
      </c>
    </row>
    <row r="6119" spans="1:1" ht="12.75">
      <c r="A6119" s="2" t="s">
        <v>404</v>
      </c>
    </row>
    <row r="6120" spans="1:1" ht="12.75">
      <c r="A6120" s="2" t="s">
        <v>437</v>
      </c>
    </row>
    <row r="6121" spans="1:1" ht="12.75">
      <c r="A6121" s="2" t="s">
        <v>437</v>
      </c>
    </row>
    <row r="6122" spans="1:1" ht="12.75">
      <c r="A6122" s="2" t="s">
        <v>437</v>
      </c>
    </row>
    <row r="6123" spans="1:1" ht="12.75">
      <c r="A6123" s="2" t="s">
        <v>437</v>
      </c>
    </row>
    <row r="6124" spans="1:1" ht="12.75">
      <c r="A6124" s="2" t="s">
        <v>452</v>
      </c>
    </row>
    <row r="6125" spans="1:1" ht="12.75">
      <c r="A6125" s="2" t="s">
        <v>452</v>
      </c>
    </row>
    <row r="6126" spans="1:1" ht="12.75">
      <c r="A6126" s="2" t="s">
        <v>452</v>
      </c>
    </row>
    <row r="6127" spans="1:1" ht="12.75">
      <c r="A6127" s="2" t="s">
        <v>452</v>
      </c>
    </row>
    <row r="6128" spans="1:1" ht="12.75">
      <c r="A6128" s="2" t="s">
        <v>452</v>
      </c>
    </row>
    <row r="6129" spans="1:1" ht="12.75">
      <c r="A6129" s="2" t="s">
        <v>452</v>
      </c>
    </row>
    <row r="6131" spans="1:1" ht="12.75">
      <c r="A6131" s="2" t="s">
        <v>452</v>
      </c>
    </row>
    <row r="6133" spans="1:1" ht="12.75">
      <c r="A6133" s="2" t="s">
        <v>449</v>
      </c>
    </row>
    <row r="6134" spans="1:1" ht="12.75">
      <c r="A6134" s="2" t="s">
        <v>434</v>
      </c>
    </row>
    <row r="6135" spans="1:1" ht="12.75">
      <c r="A6135" s="2" t="s">
        <v>434</v>
      </c>
    </row>
    <row r="6136" spans="1:1" ht="12.75">
      <c r="A6136" s="2" t="s">
        <v>435</v>
      </c>
    </row>
    <row r="6137" spans="1:1" ht="12.75">
      <c r="A6137" s="2" t="s">
        <v>435</v>
      </c>
    </row>
    <row r="6138" spans="1:1" ht="12.75">
      <c r="A6138" s="2" t="s">
        <v>433</v>
      </c>
    </row>
    <row r="6139" spans="1:1" ht="12.75">
      <c r="A6139" s="2" t="s">
        <v>433</v>
      </c>
    </row>
    <row r="6140" spans="1:1" ht="12.75">
      <c r="A6140" s="2" t="s">
        <v>434</v>
      </c>
    </row>
    <row r="6141" spans="1:1" ht="12.75">
      <c r="A6141" s="2" t="s">
        <v>435</v>
      </c>
    </row>
    <row r="6142" spans="1:1" ht="12.75">
      <c r="A6142" s="2" t="s">
        <v>449</v>
      </c>
    </row>
    <row r="6143" spans="1:1" ht="12.75">
      <c r="A6143" s="2" t="s">
        <v>435</v>
      </c>
    </row>
    <row r="6144" spans="1:1" ht="12.75">
      <c r="A6144" s="2" t="s">
        <v>404</v>
      </c>
    </row>
    <row r="6145" spans="1:1" ht="12.75">
      <c r="A6145" s="2" t="s">
        <v>404</v>
      </c>
    </row>
    <row r="6146" spans="1:1" ht="12.75">
      <c r="A6146" s="2" t="s">
        <v>404</v>
      </c>
    </row>
    <row r="6147" spans="1:1" ht="12.75">
      <c r="A6147" s="2" t="s">
        <v>404</v>
      </c>
    </row>
    <row r="6148" spans="1:1" ht="12.75">
      <c r="A6148" s="2" t="s">
        <v>437</v>
      </c>
    </row>
    <row r="6149" spans="1:1" ht="12.75">
      <c r="A6149" s="2" t="s">
        <v>437</v>
      </c>
    </row>
    <row r="6150" spans="1:1" ht="12.75">
      <c r="A6150" s="2" t="s">
        <v>437</v>
      </c>
    </row>
    <row r="6151" spans="1:1" ht="12.75">
      <c r="A6151" s="2" t="s">
        <v>437</v>
      </c>
    </row>
    <row r="6152" spans="1:1" ht="12.75">
      <c r="A6152" s="2" t="s">
        <v>437</v>
      </c>
    </row>
    <row r="6153" spans="1:1" ht="12.75">
      <c r="A6153" s="2" t="s">
        <v>437</v>
      </c>
    </row>
    <row r="6154" spans="1:1" ht="12.75">
      <c r="A6154" s="2" t="s">
        <v>446</v>
      </c>
    </row>
    <row r="6155" spans="1:1" ht="12.75">
      <c r="A6155" s="2" t="s">
        <v>446</v>
      </c>
    </row>
    <row r="6156" spans="1:1" ht="12.75">
      <c r="A6156" s="2" t="s">
        <v>446</v>
      </c>
    </row>
    <row r="6157" spans="1:1" ht="12.75">
      <c r="A6157" s="2" t="s">
        <v>447</v>
      </c>
    </row>
    <row r="6158" spans="1:1" ht="12.75">
      <c r="A6158" s="2" t="s">
        <v>447</v>
      </c>
    </row>
    <row r="6159" spans="1:1" ht="12.75">
      <c r="A6159" s="2" t="s">
        <v>447</v>
      </c>
    </row>
    <row r="6160" spans="1:1" ht="12.75">
      <c r="A6160" s="2" t="s">
        <v>432</v>
      </c>
    </row>
    <row r="6161" spans="1:1" ht="12.75">
      <c r="A6161" s="2" t="s">
        <v>432</v>
      </c>
    </row>
    <row r="6162" spans="1:1" ht="12.75">
      <c r="A6162" s="2" t="s">
        <v>432</v>
      </c>
    </row>
    <row r="6163" spans="1:1" ht="12.75">
      <c r="A6163" s="2" t="s">
        <v>432</v>
      </c>
    </row>
    <row r="6164" spans="1:1" ht="12.75">
      <c r="A6164" s="2" t="s">
        <v>433</v>
      </c>
    </row>
    <row r="6165" spans="1:1" ht="12.75">
      <c r="A6165" s="2" t="s">
        <v>433</v>
      </c>
    </row>
    <row r="6166" spans="1:1" ht="12.75">
      <c r="A6166" s="2" t="s">
        <v>433</v>
      </c>
    </row>
    <row r="6167" spans="1:1" ht="12.75">
      <c r="A6167" s="2" t="s">
        <v>433</v>
      </c>
    </row>
    <row r="6168" spans="1:1" ht="12.75">
      <c r="A6168" s="2" t="s">
        <v>435</v>
      </c>
    </row>
    <row r="6169" spans="1:1" ht="12.75">
      <c r="A6169" s="2" t="s">
        <v>435</v>
      </c>
    </row>
    <row r="6170" spans="1:1" ht="12.75">
      <c r="A6170" s="2" t="s">
        <v>434</v>
      </c>
    </row>
    <row r="6171" spans="1:1" ht="12.75">
      <c r="A6171" s="2" t="s">
        <v>434</v>
      </c>
    </row>
    <row r="6172" spans="1:1" ht="12.75">
      <c r="A6172" s="2" t="s">
        <v>434</v>
      </c>
    </row>
    <row r="6173" spans="1:1" ht="12.75">
      <c r="A6173" s="2" t="s">
        <v>404</v>
      </c>
    </row>
    <row r="6175" spans="1:1" ht="12.75">
      <c r="A6175" s="2" t="s">
        <v>404</v>
      </c>
    </row>
    <row r="6176" spans="1:1" ht="12.75">
      <c r="A6176" s="2" t="s">
        <v>404</v>
      </c>
    </row>
    <row r="6177" spans="1:1" ht="12.75">
      <c r="A6177" s="2" t="s">
        <v>404</v>
      </c>
    </row>
    <row r="6178" spans="1:1" ht="12.75">
      <c r="A6178" s="2" t="s">
        <v>404</v>
      </c>
    </row>
    <row r="6179" spans="1:1" ht="12.75">
      <c r="A6179" s="2" t="s">
        <v>494</v>
      </c>
    </row>
    <row r="6180" spans="1:1" ht="12.75">
      <c r="A6180" s="2" t="s">
        <v>357</v>
      </c>
    </row>
    <row r="6181" spans="1:1" ht="12.75">
      <c r="A6181" s="2" t="s">
        <v>495</v>
      </c>
    </row>
    <row r="6182" spans="1:1" ht="12.75">
      <c r="A6182" s="2" t="s">
        <v>496</v>
      </c>
    </row>
    <row r="6183" spans="1:1" ht="12.75">
      <c r="A6183" s="2" t="s">
        <v>496</v>
      </c>
    </row>
    <row r="6185" spans="1:1" ht="12.75">
      <c r="A6185" s="2" t="s">
        <v>496</v>
      </c>
    </row>
    <row r="6186" spans="1:1" ht="12.75">
      <c r="A6186" s="2" t="s">
        <v>496</v>
      </c>
    </row>
    <row r="6187" spans="1:1" ht="12.75">
      <c r="A6187" s="2" t="s">
        <v>496</v>
      </c>
    </row>
    <row r="6188" spans="1:1" ht="12.75">
      <c r="A6188" s="2" t="s">
        <v>496</v>
      </c>
    </row>
    <row r="6189" spans="1:1" ht="12.75">
      <c r="A6189" s="2" t="s">
        <v>496</v>
      </c>
    </row>
    <row r="6190" spans="1:1" ht="12.75">
      <c r="A6190" s="2" t="s">
        <v>496</v>
      </c>
    </row>
    <row r="6191" spans="1:1" ht="12.75">
      <c r="A6191" s="2" t="s">
        <v>496</v>
      </c>
    </row>
    <row r="6192" spans="1:1" ht="12.75">
      <c r="A6192" s="2" t="s">
        <v>496</v>
      </c>
    </row>
    <row r="6193" spans="1:1" ht="12.75">
      <c r="A6193" s="2" t="s">
        <v>496</v>
      </c>
    </row>
    <row r="6194" spans="1:1" ht="12.75">
      <c r="A6194" s="2" t="s">
        <v>496</v>
      </c>
    </row>
    <row r="6195" spans="1:1" ht="12.75">
      <c r="A6195" s="2" t="s">
        <v>497</v>
      </c>
    </row>
    <row r="6196" spans="1:1" ht="12.75">
      <c r="A6196" s="2" t="s">
        <v>497</v>
      </c>
    </row>
    <row r="6197" spans="1:1" ht="12.75">
      <c r="A6197" s="2" t="s">
        <v>497</v>
      </c>
    </row>
    <row r="6198" spans="1:1" ht="12.75">
      <c r="A6198" s="2" t="s">
        <v>496</v>
      </c>
    </row>
    <row r="6199" spans="1:1" ht="12.75">
      <c r="A6199" s="2" t="s">
        <v>496</v>
      </c>
    </row>
    <row r="6200" spans="1:1" ht="12.75">
      <c r="A6200" s="2" t="s">
        <v>496</v>
      </c>
    </row>
    <row r="6201" spans="1:1" ht="12.75">
      <c r="A6201" s="2" t="s">
        <v>497</v>
      </c>
    </row>
    <row r="6202" spans="1:1" ht="12.75">
      <c r="A6202" s="2" t="s">
        <v>497</v>
      </c>
    </row>
    <row r="6203" spans="1:1" ht="12.75">
      <c r="A6203" s="2" t="s">
        <v>496</v>
      </c>
    </row>
    <row r="6204" spans="1:1" ht="12.75">
      <c r="A6204" s="2" t="s">
        <v>496</v>
      </c>
    </row>
    <row r="6205" spans="1:1" ht="12.75">
      <c r="A6205" s="2" t="s">
        <v>498</v>
      </c>
    </row>
    <row r="6206" spans="1:1" ht="12.75">
      <c r="A6206" s="2" t="s">
        <v>498</v>
      </c>
    </row>
    <row r="6207" spans="1:1" ht="12.75">
      <c r="A6207" s="2" t="s">
        <v>499</v>
      </c>
    </row>
    <row r="6208" spans="1:1" ht="12.75">
      <c r="A6208" s="2" t="s">
        <v>500</v>
      </c>
    </row>
    <row r="6209" spans="1:1" ht="12.75">
      <c r="A6209" s="2" t="s">
        <v>501</v>
      </c>
    </row>
    <row r="6210" spans="1:1" ht="12.75">
      <c r="A6210" s="2" t="s">
        <v>502</v>
      </c>
    </row>
    <row r="6211" spans="1:1" ht="12.75">
      <c r="A6211" s="2" t="s">
        <v>503</v>
      </c>
    </row>
    <row r="6213" spans="1:1" ht="12.75">
      <c r="A6213" s="2" t="s">
        <v>504</v>
      </c>
    </row>
    <row r="6214" spans="1:1" ht="12.75">
      <c r="A6214" s="2" t="s">
        <v>505</v>
      </c>
    </row>
    <row r="6215" spans="1:1" ht="12.75">
      <c r="A6215" s="2" t="s">
        <v>505</v>
      </c>
    </row>
    <row r="6217" spans="1:1" ht="12.75">
      <c r="A6217" s="2" t="s">
        <v>504</v>
      </c>
    </row>
    <row r="6219" spans="1:1" ht="12.75">
      <c r="A6219" s="2" t="s">
        <v>505</v>
      </c>
    </row>
    <row r="6220" spans="1:1" ht="12.75">
      <c r="A6220" s="2" t="s">
        <v>505</v>
      </c>
    </row>
    <row r="6221" spans="1:1" ht="12.75">
      <c r="A6221" s="2" t="s">
        <v>504</v>
      </c>
    </row>
    <row r="6224" spans="1:1" ht="12.75">
      <c r="A6224" s="2" t="s">
        <v>506</v>
      </c>
    </row>
    <row r="6226" spans="1:1" ht="12.75">
      <c r="A6226" s="2" t="s">
        <v>507</v>
      </c>
    </row>
    <row r="6230" spans="1:1" ht="12.75">
      <c r="A6230" s="2" t="s">
        <v>381</v>
      </c>
    </row>
    <row r="6231" spans="1:1" ht="12.75">
      <c r="A6231" s="2" t="s">
        <v>381</v>
      </c>
    </row>
    <row r="6233" spans="1:1" ht="12.75">
      <c r="A6233" s="2" t="s">
        <v>506</v>
      </c>
    </row>
    <row r="6234" spans="1:1" ht="12.75">
      <c r="A6234" s="2" t="s">
        <v>506</v>
      </c>
    </row>
    <row r="6235" spans="1:1" ht="12.75">
      <c r="A6235" s="2" t="s">
        <v>506</v>
      </c>
    </row>
    <row r="6236" spans="1:1" ht="12.75">
      <c r="A6236" s="2" t="s">
        <v>506</v>
      </c>
    </row>
    <row r="6237" spans="1:1" ht="12.75">
      <c r="A6237" s="2" t="s">
        <v>226</v>
      </c>
    </row>
    <row r="6238" spans="1:1" ht="12.75">
      <c r="A6238" s="2" t="s">
        <v>508</v>
      </c>
    </row>
    <row r="6240" spans="1:1" ht="12.75">
      <c r="A6240" s="2" t="s">
        <v>509</v>
      </c>
    </row>
    <row r="6242" spans="1:1" ht="12.75">
      <c r="A6242" s="2" t="s">
        <v>510</v>
      </c>
    </row>
    <row r="6243" spans="1:1" ht="12.75">
      <c r="A6243" s="2" t="s">
        <v>153</v>
      </c>
    </row>
    <row r="6244" spans="1:1" ht="12.75">
      <c r="A6244" s="2" t="s">
        <v>511</v>
      </c>
    </row>
    <row r="6245" spans="1:1" ht="12.75">
      <c r="A6245" s="2" t="s">
        <v>364</v>
      </c>
    </row>
    <row r="6246" spans="1:1" ht="12.75">
      <c r="A6246" s="2" t="s">
        <v>148</v>
      </c>
    </row>
    <row r="6247" spans="1:1" ht="12.75">
      <c r="A6247" s="2" t="s">
        <v>210</v>
      </c>
    </row>
    <row r="6248" spans="1:1" ht="12.75">
      <c r="A6248" s="2" t="s">
        <v>210</v>
      </c>
    </row>
    <row r="6249" spans="1:1" ht="12.75">
      <c r="A6249" s="2" t="s">
        <v>210</v>
      </c>
    </row>
    <row r="6250" spans="1:1" ht="12.75">
      <c r="A6250" s="2" t="s">
        <v>210</v>
      </c>
    </row>
    <row r="6251" spans="1:1" ht="12.75">
      <c r="A6251" s="2" t="s">
        <v>211</v>
      </c>
    </row>
    <row r="6252" spans="1:1" ht="12.75">
      <c r="A6252" s="2" t="s">
        <v>211</v>
      </c>
    </row>
    <row r="6253" spans="1:1" ht="12.75">
      <c r="A6253" s="2" t="s">
        <v>210</v>
      </c>
    </row>
    <row r="6254" spans="1:1" ht="12.75">
      <c r="A6254" s="2" t="s">
        <v>210</v>
      </c>
    </row>
    <row r="6255" spans="1:1" ht="12.75">
      <c r="A6255" s="2" t="s">
        <v>486</v>
      </c>
    </row>
    <row r="6256" spans="1:1" ht="12.75">
      <c r="A6256" s="2" t="s">
        <v>486</v>
      </c>
    </row>
    <row r="6257" spans="1:1" ht="12.75">
      <c r="A6257" s="2" t="s">
        <v>212</v>
      </c>
    </row>
    <row r="6258" spans="1:1" ht="12.75">
      <c r="A6258" s="2" t="s">
        <v>169</v>
      </c>
    </row>
    <row r="6259" spans="1:1" ht="12.75">
      <c r="A6259" s="2" t="s">
        <v>365</v>
      </c>
    </row>
    <row r="6260" spans="1:1" ht="12.75">
      <c r="A6260" s="2" t="s">
        <v>365</v>
      </c>
    </row>
    <row r="6261" spans="1:1" ht="12.75">
      <c r="A6261" s="2" t="s">
        <v>365</v>
      </c>
    </row>
    <row r="6262" spans="1:1" ht="12.75">
      <c r="A6262" s="2" t="s">
        <v>365</v>
      </c>
    </row>
    <row r="6263" spans="1:1" ht="12.75">
      <c r="A6263" s="2" t="s">
        <v>212</v>
      </c>
    </row>
    <row r="6264" spans="1:1" ht="12.75">
      <c r="A6264" s="2" t="s">
        <v>212</v>
      </c>
    </row>
    <row r="6265" spans="1:1" ht="12.75">
      <c r="A6265" s="2" t="s">
        <v>172</v>
      </c>
    </row>
    <row r="6266" spans="1:1" ht="12.75">
      <c r="A6266" s="2" t="s">
        <v>191</v>
      </c>
    </row>
    <row r="6267" spans="1:1" ht="12.75">
      <c r="A6267" s="2" t="s">
        <v>176</v>
      </c>
    </row>
    <row r="6268" spans="1:1" ht="12.75">
      <c r="A6268" s="2" t="s">
        <v>164</v>
      </c>
    </row>
    <row r="6269" spans="1:1" ht="12.75">
      <c r="A6269" s="2" t="s">
        <v>164</v>
      </c>
    </row>
    <row r="6270" spans="1:1" ht="12.75">
      <c r="A6270" s="2" t="s">
        <v>163</v>
      </c>
    </row>
    <row r="6272" spans="1:1" ht="12.75">
      <c r="A6272" s="2" t="s">
        <v>163</v>
      </c>
    </row>
    <row r="6273" spans="1:1" ht="12.75">
      <c r="A6273" s="2" t="s">
        <v>161</v>
      </c>
    </row>
    <row r="6274" spans="1:1" ht="12.75">
      <c r="A6274" s="2" t="s">
        <v>163</v>
      </c>
    </row>
    <row r="6275" spans="1:1" ht="12.75">
      <c r="A6275" s="2" t="s">
        <v>161</v>
      </c>
    </row>
    <row r="6277" spans="1:1" ht="12.75">
      <c r="A6277" s="2" t="s">
        <v>161</v>
      </c>
    </row>
    <row r="6278" spans="1:1" ht="12.75">
      <c r="A6278" s="2" t="s">
        <v>172</v>
      </c>
    </row>
    <row r="6280" spans="1:1" ht="12.75">
      <c r="A6280" s="2" t="s">
        <v>171</v>
      </c>
    </row>
    <row r="6281" spans="1:1" ht="12.75">
      <c r="A6281" s="2" t="s">
        <v>166</v>
      </c>
    </row>
    <row r="6282" spans="1:1" ht="12.75">
      <c r="A6282" s="2" t="s">
        <v>223</v>
      </c>
    </row>
    <row r="6283" spans="1:1" ht="12.75">
      <c r="A6283" s="2" t="s">
        <v>166</v>
      </c>
    </row>
    <row r="6284" spans="1:1" ht="12.75">
      <c r="A6284" s="2" t="s">
        <v>191</v>
      </c>
    </row>
    <row r="6285" spans="1:1" ht="12.75">
      <c r="A6285" s="2" t="s">
        <v>152</v>
      </c>
    </row>
    <row r="6286" spans="1:1" ht="12.75">
      <c r="A6286" s="2" t="s">
        <v>512</v>
      </c>
    </row>
    <row r="6287" spans="1:1" ht="12.75">
      <c r="A6287" s="2" t="s">
        <v>152</v>
      </c>
    </row>
    <row r="6288" spans="1:1" ht="12.75">
      <c r="A6288" s="2" t="s">
        <v>152</v>
      </c>
    </row>
    <row r="6289" spans="1:1" ht="12.75">
      <c r="A6289" s="2" t="s">
        <v>152</v>
      </c>
    </row>
    <row r="6290" spans="1:1" ht="12.75">
      <c r="A6290" s="2" t="s">
        <v>513</v>
      </c>
    </row>
    <row r="6291" spans="1:1" ht="12.75">
      <c r="A6291" s="2" t="s">
        <v>152</v>
      </c>
    </row>
    <row r="6292" spans="1:1" ht="12.75">
      <c r="A6292" s="2" t="s">
        <v>197</v>
      </c>
    </row>
    <row r="6293" spans="1:1" ht="12.75">
      <c r="A6293" s="2" t="s">
        <v>152</v>
      </c>
    </row>
    <row r="6294" spans="1:1" ht="12.75">
      <c r="A6294" s="2" t="s">
        <v>513</v>
      </c>
    </row>
    <row r="6295" spans="1:1" ht="12.75">
      <c r="A6295" s="2" t="s">
        <v>152</v>
      </c>
    </row>
    <row r="6296" spans="1:1" ht="12.75">
      <c r="A6296" s="2" t="s">
        <v>152</v>
      </c>
    </row>
    <row r="6297" spans="1:1" ht="12.75">
      <c r="A6297" s="2" t="s">
        <v>152</v>
      </c>
    </row>
    <row r="6298" spans="1:1" ht="12.75">
      <c r="A6298" s="2" t="s">
        <v>152</v>
      </c>
    </row>
    <row r="6299" spans="1:1" ht="12.75">
      <c r="A6299" s="2" t="s">
        <v>152</v>
      </c>
    </row>
    <row r="6300" spans="1:1" ht="12.75">
      <c r="A6300" s="2" t="s">
        <v>152</v>
      </c>
    </row>
    <row r="6301" spans="1:1" ht="12.75">
      <c r="A6301" s="2" t="s">
        <v>152</v>
      </c>
    </row>
    <row r="6302" spans="1:1" ht="12.75">
      <c r="A6302" s="2" t="s">
        <v>152</v>
      </c>
    </row>
    <row r="6303" spans="1:1" ht="12.75">
      <c r="A6303" s="2" t="s">
        <v>152</v>
      </c>
    </row>
    <row r="6304" spans="1:1" ht="12.75">
      <c r="A6304" s="2" t="s">
        <v>152</v>
      </c>
    </row>
    <row r="6305" spans="1:1" ht="12.75">
      <c r="A6305" s="2" t="s">
        <v>152</v>
      </c>
    </row>
    <row r="6306" spans="1:1" ht="12.75">
      <c r="A6306" s="2" t="s">
        <v>152</v>
      </c>
    </row>
    <row r="6307" spans="1:1" ht="12.75">
      <c r="A6307" s="2" t="s">
        <v>152</v>
      </c>
    </row>
    <row r="6308" spans="1:1" ht="12.75">
      <c r="A6308" s="2" t="s">
        <v>152</v>
      </c>
    </row>
    <row r="6309" spans="1:1" ht="12.75">
      <c r="A6309" s="2" t="s">
        <v>152</v>
      </c>
    </row>
    <row r="6310" spans="1:1" ht="12.75">
      <c r="A6310" s="2" t="s">
        <v>152</v>
      </c>
    </row>
    <row r="6311" spans="1:1" ht="12.75">
      <c r="A6311" s="2" t="s">
        <v>152</v>
      </c>
    </row>
    <row r="6312" spans="1:1" ht="12.75">
      <c r="A6312" s="2" t="s">
        <v>152</v>
      </c>
    </row>
    <row r="6313" spans="1:1" ht="12.75">
      <c r="A6313" s="2" t="s">
        <v>152</v>
      </c>
    </row>
    <row r="6314" spans="1:1" ht="12.75">
      <c r="A6314" s="2" t="s">
        <v>152</v>
      </c>
    </row>
    <row r="6315" spans="1:1" ht="12.75">
      <c r="A6315" s="2" t="s">
        <v>512</v>
      </c>
    </row>
    <row r="6316" spans="1:1" ht="12.75">
      <c r="A6316" s="2" t="s">
        <v>512</v>
      </c>
    </row>
    <row r="6317" spans="1:1" ht="12.75">
      <c r="A6317" s="2" t="s">
        <v>345</v>
      </c>
    </row>
    <row r="6318" spans="1:1" ht="12.75">
      <c r="A6318" s="2" t="s">
        <v>514</v>
      </c>
    </row>
    <row r="6319" spans="1:1" ht="12.75">
      <c r="A6319" s="2" t="s">
        <v>345</v>
      </c>
    </row>
    <row r="6320" spans="1:1" ht="12.75">
      <c r="A6320" s="2" t="s">
        <v>159</v>
      </c>
    </row>
    <row r="6321" spans="1:1" ht="12.75">
      <c r="A6321" s="2" t="s">
        <v>159</v>
      </c>
    </row>
    <row r="6322" spans="1:1" ht="12.75">
      <c r="A6322" s="2" t="s">
        <v>345</v>
      </c>
    </row>
    <row r="6323" spans="1:1" ht="12.75">
      <c r="A6323" s="2" t="s">
        <v>345</v>
      </c>
    </row>
    <row r="6324" spans="1:1" ht="12.75">
      <c r="A6324" s="2" t="s">
        <v>345</v>
      </c>
    </row>
    <row r="6325" spans="1:1" ht="12.75">
      <c r="A6325" s="2" t="s">
        <v>159</v>
      </c>
    </row>
    <row r="6326" spans="1:1" ht="12.75">
      <c r="A6326" s="2" t="s">
        <v>159</v>
      </c>
    </row>
    <row r="6328" spans="1:1" ht="12.75">
      <c r="A6328" s="2" t="s">
        <v>171</v>
      </c>
    </row>
    <row r="6329" spans="1:1" ht="12.75">
      <c r="A6329" s="2" t="s">
        <v>166</v>
      </c>
    </row>
    <row r="6330" spans="1:1" ht="12.75">
      <c r="A6330" s="2" t="s">
        <v>183</v>
      </c>
    </row>
    <row r="6331" spans="1:1" ht="12.75">
      <c r="A6331" s="2" t="s">
        <v>181</v>
      </c>
    </row>
    <row r="6332" spans="1:1" ht="12.75">
      <c r="A6332" s="2" t="s">
        <v>189</v>
      </c>
    </row>
    <row r="6333" spans="1:1" ht="12.75">
      <c r="A6333" s="2" t="s">
        <v>181</v>
      </c>
    </row>
    <row r="6334" spans="1:1" ht="12.75">
      <c r="A6334" s="2" t="s">
        <v>166</v>
      </c>
    </row>
    <row r="6335" spans="1:1" ht="12.75">
      <c r="A6335" s="2" t="s">
        <v>181</v>
      </c>
    </row>
    <row r="6336" spans="1:1" ht="12.75">
      <c r="A6336" s="2" t="s">
        <v>182</v>
      </c>
    </row>
    <row r="6337" spans="1:1" ht="12.75">
      <c r="A6337" s="2" t="s">
        <v>173</v>
      </c>
    </row>
    <row r="6338" spans="1:1" ht="12.75">
      <c r="A6338" s="2" t="s">
        <v>182</v>
      </c>
    </row>
    <row r="6339" spans="1:1" ht="12.75">
      <c r="A6339" s="2" t="s">
        <v>173</v>
      </c>
    </row>
    <row r="6340" spans="1:1" ht="12.75">
      <c r="A6340" s="2" t="s">
        <v>172</v>
      </c>
    </row>
    <row r="6341" spans="1:1" ht="12.75">
      <c r="A6341" s="2" t="s">
        <v>168</v>
      </c>
    </row>
    <row r="6342" spans="1:1" ht="12.75">
      <c r="A6342" s="2" t="s">
        <v>166</v>
      </c>
    </row>
    <row r="6343" spans="1:1" ht="12.75">
      <c r="A6343" s="2" t="s">
        <v>164</v>
      </c>
    </row>
    <row r="6344" spans="1:1" ht="12.75">
      <c r="A6344" s="2" t="s">
        <v>161</v>
      </c>
    </row>
    <row r="6345" spans="1:1" ht="12.75">
      <c r="A6345" s="2" t="s">
        <v>164</v>
      </c>
    </row>
    <row r="6346" spans="1:1" ht="12.75">
      <c r="A6346" s="2" t="s">
        <v>168</v>
      </c>
    </row>
    <row r="6347" spans="1:1" ht="12.75">
      <c r="A6347" s="2" t="s">
        <v>183</v>
      </c>
    </row>
    <row r="6348" spans="1:1" ht="12.75">
      <c r="A6348" s="2" t="s">
        <v>183</v>
      </c>
    </row>
    <row r="6349" spans="1:1" ht="12.75">
      <c r="A6349" s="2" t="s">
        <v>169</v>
      </c>
    </row>
    <row r="6350" spans="1:1" ht="12.75">
      <c r="A6350" s="2" t="s">
        <v>183</v>
      </c>
    </row>
    <row r="6351" spans="1:1" ht="12.75">
      <c r="A6351" s="2" t="s">
        <v>169</v>
      </c>
    </row>
    <row r="6352" spans="1:1" ht="12.75">
      <c r="A6352" s="2" t="s">
        <v>189</v>
      </c>
    </row>
    <row r="6353" spans="1:1" ht="12.75">
      <c r="A6353" s="2" t="s">
        <v>172</v>
      </c>
    </row>
    <row r="6354" spans="1:1" ht="12.75">
      <c r="A6354" s="2" t="s">
        <v>169</v>
      </c>
    </row>
    <row r="6355" spans="1:1" ht="12.75">
      <c r="A6355" s="2" t="s">
        <v>172</v>
      </c>
    </row>
    <row r="6356" spans="1:1" ht="12.75">
      <c r="A6356" s="2" t="s">
        <v>171</v>
      </c>
    </row>
    <row r="6357" spans="1:1" ht="12.75">
      <c r="A6357" s="2" t="s">
        <v>163</v>
      </c>
    </row>
    <row r="6358" spans="1:1" ht="12.75">
      <c r="A6358" s="2" t="s">
        <v>173</v>
      </c>
    </row>
    <row r="6359" spans="1:1" ht="12.75">
      <c r="A6359" s="2" t="s">
        <v>181</v>
      </c>
    </row>
    <row r="6360" spans="1:1" ht="12.75">
      <c r="A6360" s="2" t="s">
        <v>173</v>
      </c>
    </row>
    <row r="6361" spans="1:1" ht="12.75">
      <c r="A6361" s="2" t="s">
        <v>181</v>
      </c>
    </row>
    <row r="6362" spans="1:1" ht="12.75">
      <c r="A6362" s="2" t="s">
        <v>173</v>
      </c>
    </row>
    <row r="6363" spans="1:1" ht="12.75">
      <c r="A6363" s="2" t="s">
        <v>181</v>
      </c>
    </row>
    <row r="6364" spans="1:1" ht="12.75">
      <c r="A6364" s="2" t="s">
        <v>163</v>
      </c>
    </row>
    <row r="6366" spans="1:1" ht="12.75">
      <c r="A6366" s="2" t="s">
        <v>163</v>
      </c>
    </row>
    <row r="6367" spans="1:1" ht="12.75">
      <c r="A6367" s="2" t="s">
        <v>182</v>
      </c>
    </row>
    <row r="6368" spans="1:1" ht="12.75">
      <c r="A6368" s="2" t="s">
        <v>168</v>
      </c>
    </row>
    <row r="6369" spans="1:1" ht="12.75">
      <c r="A6369" s="2" t="s">
        <v>183</v>
      </c>
    </row>
    <row r="6370" spans="1:1" ht="12.75">
      <c r="A6370" s="2" t="s">
        <v>225</v>
      </c>
    </row>
    <row r="6371" spans="1:1" ht="12.75">
      <c r="A6371" s="2" t="s">
        <v>183</v>
      </c>
    </row>
    <row r="6372" spans="1:1" ht="12.75">
      <c r="A6372" s="2" t="s">
        <v>172</v>
      </c>
    </row>
    <row r="6373" spans="1:1" ht="12.75">
      <c r="A6373" s="2" t="s">
        <v>164</v>
      </c>
    </row>
    <row r="6374" spans="1:1" ht="12.75">
      <c r="A6374" s="2" t="s">
        <v>176</v>
      </c>
    </row>
    <row r="6375" spans="1:1" ht="12.75">
      <c r="A6375" s="2" t="s">
        <v>165</v>
      </c>
    </row>
    <row r="6376" spans="1:1" ht="12.75">
      <c r="A6376" s="2" t="s">
        <v>166</v>
      </c>
    </row>
    <row r="6377" spans="1:1" ht="12.75">
      <c r="A6377" s="2" t="s">
        <v>176</v>
      </c>
    </row>
    <row r="6378" spans="1:1" ht="12.75">
      <c r="A6378" s="2" t="s">
        <v>165</v>
      </c>
    </row>
    <row r="6379" spans="1:1" ht="12.75">
      <c r="A6379" s="2" t="s">
        <v>176</v>
      </c>
    </row>
    <row r="6380" spans="1:1" ht="12.75">
      <c r="A6380" s="2" t="s">
        <v>165</v>
      </c>
    </row>
    <row r="6381" spans="1:1" ht="12.75">
      <c r="A6381" s="2" t="s">
        <v>176</v>
      </c>
    </row>
    <row r="6382" spans="1:1" ht="12.75">
      <c r="A6382" s="2" t="s">
        <v>173</v>
      </c>
    </row>
    <row r="6383" spans="1:1" ht="12.75">
      <c r="A6383" s="2" t="s">
        <v>165</v>
      </c>
    </row>
    <row r="6384" spans="1:1" ht="12.75">
      <c r="A6384" s="2" t="s">
        <v>191</v>
      </c>
    </row>
    <row r="6385" spans="1:1" ht="12.75">
      <c r="A6385" s="2" t="s">
        <v>165</v>
      </c>
    </row>
    <row r="6386" spans="1:1" ht="12.75">
      <c r="A6386" s="2" t="s">
        <v>191</v>
      </c>
    </row>
    <row r="6388" spans="1:1" ht="12.75">
      <c r="A6388" s="2" t="s">
        <v>181</v>
      </c>
    </row>
    <row r="6389" spans="1:1" ht="12.75">
      <c r="A6389" s="2" t="s">
        <v>165</v>
      </c>
    </row>
    <row r="6390" spans="1:1" ht="12.75">
      <c r="A6390" s="2" t="s">
        <v>161</v>
      </c>
    </row>
    <row r="6391" spans="1:1" ht="12.75">
      <c r="A6391" s="2" t="s">
        <v>181</v>
      </c>
    </row>
    <row r="6392" spans="1:1" ht="12.75">
      <c r="A6392" s="2" t="s">
        <v>191</v>
      </c>
    </row>
    <row r="6393" spans="1:1" ht="12.75">
      <c r="A6393" s="2" t="s">
        <v>163</v>
      </c>
    </row>
    <row r="6394" spans="1:1" ht="12.75">
      <c r="A6394" s="2" t="s">
        <v>191</v>
      </c>
    </row>
    <row r="6395" spans="1:1" ht="12.75">
      <c r="A6395" s="2" t="s">
        <v>163</v>
      </c>
    </row>
    <row r="6396" spans="1:1" ht="12.75">
      <c r="A6396" s="2" t="s">
        <v>165</v>
      </c>
    </row>
    <row r="6398" spans="1:1" ht="12.75">
      <c r="A6398" s="2" t="s">
        <v>164</v>
      </c>
    </row>
    <row r="6399" spans="1:1" ht="12.75">
      <c r="A6399" s="2" t="s">
        <v>183</v>
      </c>
    </row>
    <row r="6400" spans="1:1" ht="12.75">
      <c r="A6400" s="2" t="s">
        <v>164</v>
      </c>
    </row>
    <row r="6401" spans="1:1" ht="12.75">
      <c r="A6401" s="2" t="s">
        <v>515</v>
      </c>
    </row>
    <row r="6402" spans="1:1" ht="12.75">
      <c r="A6402" s="2" t="s">
        <v>164</v>
      </c>
    </row>
    <row r="6403" spans="1:1" ht="12.75">
      <c r="A6403" s="2" t="s">
        <v>183</v>
      </c>
    </row>
    <row r="6404" spans="1:1" ht="12.75">
      <c r="A6404" s="2" t="s">
        <v>176</v>
      </c>
    </row>
    <row r="6405" spans="1:1" ht="12.75">
      <c r="A6405" s="2" t="s">
        <v>191</v>
      </c>
    </row>
    <row r="6406" spans="1:1" ht="12.75">
      <c r="A6406" s="2" t="s">
        <v>176</v>
      </c>
    </row>
    <row r="6407" spans="1:1" ht="12.75">
      <c r="A6407" s="2" t="s">
        <v>165</v>
      </c>
    </row>
    <row r="6408" spans="1:1" ht="12.75">
      <c r="A6408" s="2" t="s">
        <v>176</v>
      </c>
    </row>
    <row r="6409" spans="1:1" ht="12.75">
      <c r="A6409" s="2" t="s">
        <v>165</v>
      </c>
    </row>
    <row r="6410" spans="1:1" ht="12.75">
      <c r="A6410" s="2" t="s">
        <v>172</v>
      </c>
    </row>
    <row r="6411" spans="1:1" ht="12.75">
      <c r="A6411" s="2" t="s">
        <v>189</v>
      </c>
    </row>
    <row r="6412" spans="1:1" ht="12.75">
      <c r="A6412" s="2" t="s">
        <v>172</v>
      </c>
    </row>
    <row r="6413" spans="1:1" ht="12.75">
      <c r="A6413" s="2" t="s">
        <v>516</v>
      </c>
    </row>
    <row r="6414" spans="1:1" ht="12.75">
      <c r="A6414" s="2" t="s">
        <v>172</v>
      </c>
    </row>
    <row r="6415" spans="1:1" ht="12.75">
      <c r="A6415" s="2" t="s">
        <v>168</v>
      </c>
    </row>
    <row r="6416" spans="1:1" ht="12.75">
      <c r="A6416" s="2" t="s">
        <v>181</v>
      </c>
    </row>
    <row r="6417" spans="1:1" ht="12.75">
      <c r="A6417" s="2" t="s">
        <v>172</v>
      </c>
    </row>
    <row r="6418" spans="1:1" ht="12.75">
      <c r="A6418" s="2" t="s">
        <v>189</v>
      </c>
    </row>
    <row r="6419" spans="1:1" ht="12.75">
      <c r="A6419" s="2" t="s">
        <v>181</v>
      </c>
    </row>
    <row r="6420" spans="1:1" ht="12.75">
      <c r="A6420" s="2" t="s">
        <v>224</v>
      </c>
    </row>
    <row r="6421" spans="1:1" ht="12.75">
      <c r="A6421" s="2" t="s">
        <v>181</v>
      </c>
    </row>
    <row r="6422" spans="1:1" ht="12.75">
      <c r="A6422" s="2" t="s">
        <v>168</v>
      </c>
    </row>
    <row r="6423" spans="1:1" ht="12.75">
      <c r="A6423" s="2" t="s">
        <v>176</v>
      </c>
    </row>
    <row r="6424" spans="1:1" ht="12.75">
      <c r="A6424" s="2" t="s">
        <v>168</v>
      </c>
    </row>
    <row r="6425" spans="1:1" ht="12.75">
      <c r="A6425" s="2" t="s">
        <v>176</v>
      </c>
    </row>
    <row r="6426" spans="1:1" ht="12.75">
      <c r="A6426" s="2" t="s">
        <v>172</v>
      </c>
    </row>
    <row r="6427" spans="1:1" ht="12.75">
      <c r="A6427" s="2" t="s">
        <v>176</v>
      </c>
    </row>
    <row r="6428" spans="1:1" ht="12.75">
      <c r="A6428" s="2" t="s">
        <v>183</v>
      </c>
    </row>
    <row r="6429" spans="1:1" ht="12.75">
      <c r="A6429" s="2" t="s">
        <v>164</v>
      </c>
    </row>
    <row r="6430" spans="1:1" ht="12.75">
      <c r="A6430" s="2" t="s">
        <v>183</v>
      </c>
    </row>
    <row r="6431" spans="1:1" ht="12.75">
      <c r="A6431" s="2" t="s">
        <v>164</v>
      </c>
    </row>
    <row r="6432" spans="1:1" ht="12.75">
      <c r="A6432" s="2" t="s">
        <v>183</v>
      </c>
    </row>
    <row r="6433" spans="1:1" ht="12.75">
      <c r="A6433" s="2" t="s">
        <v>164</v>
      </c>
    </row>
    <row r="6434" spans="1:1" ht="12.75">
      <c r="A6434" s="2" t="s">
        <v>225</v>
      </c>
    </row>
    <row r="6435" spans="1:1" ht="12.75">
      <c r="A6435" s="2" t="s">
        <v>161</v>
      </c>
    </row>
    <row r="6436" spans="1:1" ht="12.75">
      <c r="A6436" s="2" t="s">
        <v>225</v>
      </c>
    </row>
    <row r="6437" spans="1:1" ht="12.75">
      <c r="A6437" s="2" t="s">
        <v>161</v>
      </c>
    </row>
    <row r="6438" spans="1:1" ht="12.75">
      <c r="A6438" s="2" t="s">
        <v>163</v>
      </c>
    </row>
    <row r="6439" spans="1:1" ht="12.75">
      <c r="A6439" s="2" t="s">
        <v>161</v>
      </c>
    </row>
    <row r="6440" spans="1:1" ht="12.75">
      <c r="A6440" s="2" t="s">
        <v>163</v>
      </c>
    </row>
    <row r="6441" spans="1:1" ht="12.75">
      <c r="A6441" s="2" t="s">
        <v>176</v>
      </c>
    </row>
    <row r="6442" spans="1:1" ht="12.75">
      <c r="A6442" s="2" t="s">
        <v>163</v>
      </c>
    </row>
    <row r="6443" spans="1:1" ht="12.75">
      <c r="A6443" s="2" t="s">
        <v>224</v>
      </c>
    </row>
    <row r="6444" spans="1:1" ht="12.75">
      <c r="A6444" s="2" t="s">
        <v>163</v>
      </c>
    </row>
    <row r="6445" spans="1:1" ht="12.75">
      <c r="A6445" s="2" t="s">
        <v>173</v>
      </c>
    </row>
    <row r="6446" spans="1:1" ht="12.75">
      <c r="A6446" s="2" t="s">
        <v>191</v>
      </c>
    </row>
    <row r="6447" spans="1:1" ht="12.75">
      <c r="A6447" s="2" t="s">
        <v>171</v>
      </c>
    </row>
    <row r="6448" spans="1:1" ht="12.75">
      <c r="A6448" s="2" t="s">
        <v>194</v>
      </c>
    </row>
    <row r="6449" spans="1:1" ht="12.75">
      <c r="A6449" s="2" t="s">
        <v>181</v>
      </c>
    </row>
    <row r="6450" spans="1:1" ht="12.75">
      <c r="A6450" s="2" t="s">
        <v>189</v>
      </c>
    </row>
    <row r="6451" spans="1:1" ht="12.75">
      <c r="A6451" s="2" t="s">
        <v>181</v>
      </c>
    </row>
    <row r="6452" spans="1:1" ht="12.75">
      <c r="A6452" s="2" t="s">
        <v>163</v>
      </c>
    </row>
    <row r="6453" spans="1:1" ht="12.75">
      <c r="A6453" s="2" t="s">
        <v>163</v>
      </c>
    </row>
    <row r="6454" spans="1:1" ht="12.75">
      <c r="A6454" s="2" t="s">
        <v>173</v>
      </c>
    </row>
    <row r="6455" spans="1:1" ht="12.75">
      <c r="A6455" s="2" t="s">
        <v>163</v>
      </c>
    </row>
    <row r="6456" spans="1:1" ht="12.75">
      <c r="A6456" s="2" t="s">
        <v>183</v>
      </c>
    </row>
    <row r="6457" spans="1:1" ht="12.75">
      <c r="A6457" s="2" t="s">
        <v>172</v>
      </c>
    </row>
    <row r="6458" spans="1:1" ht="12.75">
      <c r="A6458" s="2" t="s">
        <v>164</v>
      </c>
    </row>
    <row r="6459" spans="1:1" ht="12.75">
      <c r="A6459" s="2" t="s">
        <v>172</v>
      </c>
    </row>
    <row r="6460" spans="1:1" ht="12.75">
      <c r="A6460" s="2" t="s">
        <v>164</v>
      </c>
    </row>
    <row r="6461" spans="1:1" ht="12.75">
      <c r="A6461" s="2" t="s">
        <v>183</v>
      </c>
    </row>
    <row r="6464" spans="1:1" ht="12.75">
      <c r="A6464" s="2" t="s">
        <v>164</v>
      </c>
    </row>
    <row r="6465" spans="1:1" ht="12.75">
      <c r="A6465" s="2" t="s">
        <v>183</v>
      </c>
    </row>
    <row r="6466" spans="1:1" ht="12.75">
      <c r="A6466" s="2" t="s">
        <v>165</v>
      </c>
    </row>
    <row r="6467" spans="1:1" ht="12.75">
      <c r="A6467" s="2" t="s">
        <v>174</v>
      </c>
    </row>
    <row r="6468" spans="1:1" ht="12.75">
      <c r="A6468" s="2" t="s">
        <v>176</v>
      </c>
    </row>
    <row r="6469" spans="1:1" ht="12.75">
      <c r="A6469" s="2" t="s">
        <v>225</v>
      </c>
    </row>
    <row r="6470" spans="1:1" ht="12.75">
      <c r="A6470" s="2" t="s">
        <v>176</v>
      </c>
    </row>
    <row r="6471" spans="1:1" ht="12.75">
      <c r="A6471" s="2" t="s">
        <v>189</v>
      </c>
    </row>
    <row r="6472" spans="1:1" ht="12.75">
      <c r="A6472" s="2" t="s">
        <v>176</v>
      </c>
    </row>
    <row r="6473" spans="1:1" ht="12.75">
      <c r="A6473" s="2" t="s">
        <v>165</v>
      </c>
    </row>
    <row r="6474" spans="1:1" ht="12.75">
      <c r="A6474" s="2" t="s">
        <v>171</v>
      </c>
    </row>
    <row r="6475" spans="1:1" ht="12.75">
      <c r="A6475" s="2" t="s">
        <v>173</v>
      </c>
    </row>
    <row r="6476" spans="1:1" ht="12.75">
      <c r="A6476" s="2" t="s">
        <v>165</v>
      </c>
    </row>
    <row r="6477" spans="1:1" ht="12.75">
      <c r="A6477" s="2" t="s">
        <v>225</v>
      </c>
    </row>
    <row r="6478" spans="1:1" ht="12.75">
      <c r="A6478" s="2" t="s">
        <v>165</v>
      </c>
    </row>
    <row r="6479" spans="1:1" ht="12.75">
      <c r="A6479" s="2" t="s">
        <v>191</v>
      </c>
    </row>
    <row r="6480" spans="1:1" ht="12.75">
      <c r="A6480" s="2" t="s">
        <v>166</v>
      </c>
    </row>
    <row r="6481" spans="1:1" ht="12.75">
      <c r="A6481" s="2" t="s">
        <v>191</v>
      </c>
    </row>
    <row r="6482" spans="1:1" ht="12.75">
      <c r="A6482" s="2" t="s">
        <v>163</v>
      </c>
    </row>
    <row r="6483" spans="1:1" ht="12.75">
      <c r="A6483" s="2" t="s">
        <v>182</v>
      </c>
    </row>
    <row r="6484" spans="1:1" ht="12.75">
      <c r="A6484" s="2" t="s">
        <v>173</v>
      </c>
    </row>
    <row r="6485" spans="1:1" ht="12.75">
      <c r="A6485" s="2" t="s">
        <v>163</v>
      </c>
    </row>
    <row r="6486" spans="1:1" ht="12.75">
      <c r="A6486" s="2" t="s">
        <v>182</v>
      </c>
    </row>
    <row r="6487" spans="1:1" ht="12.75">
      <c r="A6487" s="2" t="s">
        <v>168</v>
      </c>
    </row>
    <row r="6488" spans="1:1" ht="12.75">
      <c r="A6488" s="2" t="s">
        <v>182</v>
      </c>
    </row>
    <row r="6489" spans="1:1" ht="12.75">
      <c r="A6489" s="2" t="s">
        <v>168</v>
      </c>
    </row>
    <row r="6490" spans="1:1" ht="12.75">
      <c r="A6490" s="2" t="s">
        <v>164</v>
      </c>
    </row>
    <row r="6491" spans="1:1" ht="12.75">
      <c r="A6491" s="2" t="s">
        <v>172</v>
      </c>
    </row>
    <row r="6492" spans="1:1" ht="12.75">
      <c r="A6492" s="2" t="s">
        <v>164</v>
      </c>
    </row>
    <row r="6493" spans="1:1" ht="12.75">
      <c r="A6493" s="2" t="s">
        <v>172</v>
      </c>
    </row>
    <row r="6494" spans="1:1" ht="12.75">
      <c r="A6494" s="2" t="s">
        <v>164</v>
      </c>
    </row>
    <row r="6495" spans="1:1" ht="12.75">
      <c r="A6495" s="2" t="s">
        <v>182</v>
      </c>
    </row>
    <row r="6496" spans="1:1" ht="12.75">
      <c r="A6496" s="2" t="s">
        <v>176</v>
      </c>
    </row>
    <row r="6497" spans="1:1" ht="12.75">
      <c r="A6497" s="2" t="s">
        <v>167</v>
      </c>
    </row>
    <row r="6498" spans="1:1" ht="12.75">
      <c r="A6498" s="2" t="s">
        <v>176</v>
      </c>
    </row>
    <row r="6499" spans="1:1" ht="12.75">
      <c r="A6499" s="2" t="s">
        <v>167</v>
      </c>
    </row>
    <row r="6500" spans="1:1" ht="12.75">
      <c r="A6500" s="2" t="s">
        <v>176</v>
      </c>
    </row>
    <row r="6501" spans="1:1" ht="12.75">
      <c r="A6501" s="2" t="s">
        <v>167</v>
      </c>
    </row>
    <row r="6502" spans="1:1" ht="12.75">
      <c r="A6502" s="2" t="s">
        <v>168</v>
      </c>
    </row>
    <row r="6503" spans="1:1" ht="12.75">
      <c r="A6503" s="2" t="s">
        <v>165</v>
      </c>
    </row>
    <row r="6504" spans="1:1" ht="12.75">
      <c r="A6504" s="2" t="s">
        <v>168</v>
      </c>
    </row>
    <row r="6505" spans="1:1" ht="12.75">
      <c r="A6505" s="2" t="s">
        <v>165</v>
      </c>
    </row>
    <row r="6506" spans="1:1" ht="12.75">
      <c r="A6506" s="2" t="s">
        <v>168</v>
      </c>
    </row>
    <row r="6507" spans="1:1" ht="12.75">
      <c r="A6507" s="2" t="s">
        <v>172</v>
      </c>
    </row>
    <row r="6508" spans="1:1" ht="12.75">
      <c r="A6508" s="2" t="s">
        <v>172</v>
      </c>
    </row>
    <row r="6509" spans="1:1" ht="12.75">
      <c r="A6509" s="2" t="s">
        <v>176</v>
      </c>
    </row>
    <row r="6510" spans="1:1" ht="12.75">
      <c r="A6510" s="2" t="s">
        <v>165</v>
      </c>
    </row>
    <row r="6511" spans="1:1" ht="12.75">
      <c r="A6511" s="2" t="s">
        <v>176</v>
      </c>
    </row>
    <row r="6512" spans="1:1" ht="12.75">
      <c r="A6512" s="2" t="s">
        <v>165</v>
      </c>
    </row>
    <row r="6513" spans="1:1" ht="12.75">
      <c r="A6513" s="2" t="s">
        <v>176</v>
      </c>
    </row>
    <row r="6514" spans="1:1" ht="12.75">
      <c r="A6514" s="2" t="s">
        <v>174</v>
      </c>
    </row>
    <row r="6515" spans="1:1" ht="12.75">
      <c r="A6515" s="2" t="s">
        <v>176</v>
      </c>
    </row>
    <row r="6516" spans="1:1" ht="12.75">
      <c r="A6516" s="2" t="s">
        <v>163</v>
      </c>
    </row>
    <row r="6517" spans="1:1" ht="12.75">
      <c r="A6517" s="2" t="s">
        <v>224</v>
      </c>
    </row>
    <row r="6518" spans="1:1" ht="12.75">
      <c r="A6518" s="2" t="s">
        <v>168</v>
      </c>
    </row>
    <row r="6519" spans="1:1" ht="12.75">
      <c r="A6519" s="2" t="s">
        <v>169</v>
      </c>
    </row>
    <row r="6520" spans="1:1" ht="12.75">
      <c r="A6520" s="2" t="s">
        <v>225</v>
      </c>
    </row>
    <row r="6522" spans="1:1" ht="12.75">
      <c r="A6522" s="2" t="s">
        <v>164</v>
      </c>
    </row>
    <row r="6524" spans="1:1" ht="12.75">
      <c r="A6524" s="2" t="s">
        <v>185</v>
      </c>
    </row>
    <row r="6525" spans="1:1" ht="12.75">
      <c r="A6525" s="2" t="s">
        <v>168</v>
      </c>
    </row>
    <row r="6526" spans="1:1" ht="12.75">
      <c r="A6526" s="2" t="s">
        <v>169</v>
      </c>
    </row>
    <row r="6527" spans="1:1" ht="12.75">
      <c r="A6527" s="2" t="s">
        <v>161</v>
      </c>
    </row>
    <row r="6528" spans="1:1" ht="12.75">
      <c r="A6528" s="2" t="s">
        <v>169</v>
      </c>
    </row>
    <row r="6529" spans="1:1" ht="12.75">
      <c r="A6529" s="2" t="s">
        <v>189</v>
      </c>
    </row>
    <row r="6530" spans="1:1" ht="12.75">
      <c r="A6530" s="2" t="s">
        <v>161</v>
      </c>
    </row>
    <row r="6531" spans="1:1" ht="12.75">
      <c r="A6531" s="2" t="s">
        <v>169</v>
      </c>
    </row>
    <row r="6532" spans="1:1" ht="12.75">
      <c r="A6532" s="2" t="s">
        <v>161</v>
      </c>
    </row>
    <row r="6533" spans="1:1" ht="12.75">
      <c r="A6533" s="2" t="s">
        <v>169</v>
      </c>
    </row>
    <row r="6534" spans="1:1" ht="12.75">
      <c r="A6534" s="2" t="s">
        <v>168</v>
      </c>
    </row>
    <row r="6535" spans="1:1" ht="12.75">
      <c r="A6535" s="2" t="s">
        <v>165</v>
      </c>
    </row>
    <row r="6536" spans="1:1" ht="12.75">
      <c r="A6536" s="2" t="s">
        <v>168</v>
      </c>
    </row>
    <row r="6537" spans="1:1" ht="12.75">
      <c r="A6537" s="2" t="s">
        <v>172</v>
      </c>
    </row>
    <row r="6538" spans="1:1" ht="12.75">
      <c r="A6538" s="2" t="s">
        <v>169</v>
      </c>
    </row>
    <row r="6539" spans="1:1" ht="12.75">
      <c r="A6539" s="2" t="s">
        <v>172</v>
      </c>
    </row>
    <row r="6540" spans="1:1" ht="12.75">
      <c r="A6540" s="2" t="s">
        <v>224</v>
      </c>
    </row>
    <row r="6541" spans="1:1" ht="12.75">
      <c r="A6541" s="2" t="s">
        <v>163</v>
      </c>
    </row>
    <row r="6542" spans="1:1" ht="12.75">
      <c r="A6542" s="2" t="s">
        <v>164</v>
      </c>
    </row>
    <row r="6543" spans="1:1" ht="12.75">
      <c r="A6543" s="2" t="s">
        <v>163</v>
      </c>
    </row>
    <row r="6544" spans="1:1" ht="12.75">
      <c r="A6544" s="2" t="s">
        <v>164</v>
      </c>
    </row>
    <row r="6545" spans="1:1" ht="12.75">
      <c r="A6545" s="2" t="s">
        <v>183</v>
      </c>
    </row>
    <row r="6546" spans="1:1" ht="12.75">
      <c r="A6546" s="2" t="s">
        <v>165</v>
      </c>
    </row>
    <row r="6547" spans="1:1" ht="12.75">
      <c r="A6547" s="2" t="s">
        <v>183</v>
      </c>
    </row>
    <row r="6548" spans="1:1" ht="12.75">
      <c r="A6548" s="2" t="s">
        <v>165</v>
      </c>
    </row>
    <row r="6549" spans="1:1" ht="12.75">
      <c r="A6549" s="2" t="s">
        <v>183</v>
      </c>
    </row>
    <row r="6551" spans="1:1" ht="12.75">
      <c r="A6551" s="2" t="s">
        <v>161</v>
      </c>
    </row>
    <row r="6552" spans="1:1" ht="12.75">
      <c r="A6552" s="2" t="s">
        <v>225</v>
      </c>
    </row>
    <row r="6553" spans="1:1" ht="12.75">
      <c r="A6553" s="2" t="s">
        <v>161</v>
      </c>
    </row>
    <row r="6554" spans="1:1" ht="12.75">
      <c r="A6554" s="2" t="s">
        <v>163</v>
      </c>
    </row>
    <row r="6555" spans="1:1" ht="12.75">
      <c r="A6555" s="2" t="s">
        <v>189</v>
      </c>
    </row>
    <row r="6556" spans="1:1" ht="12.75">
      <c r="A6556" s="2" t="s">
        <v>181</v>
      </c>
    </row>
    <row r="6557" spans="1:1" ht="12.75">
      <c r="A6557" s="2" t="s">
        <v>165</v>
      </c>
    </row>
    <row r="6558" spans="1:1" ht="12.75">
      <c r="A6558" s="2" t="s">
        <v>164</v>
      </c>
    </row>
    <row r="6559" spans="1:1" ht="12.75">
      <c r="A6559" s="2" t="s">
        <v>182</v>
      </c>
    </row>
    <row r="6560" spans="1:1" ht="12.75">
      <c r="A6560" s="2" t="s">
        <v>172</v>
      </c>
    </row>
    <row r="6561" spans="1:1" ht="12.75">
      <c r="A6561" s="2" t="s">
        <v>182</v>
      </c>
    </row>
    <row r="6562" spans="1:1" ht="12.75">
      <c r="A6562" s="2" t="s">
        <v>172</v>
      </c>
    </row>
    <row r="6563" spans="1:1" ht="12.75">
      <c r="A6563" s="2" t="s">
        <v>176</v>
      </c>
    </row>
    <row r="6564" spans="1:1" ht="12.75">
      <c r="A6564" s="2" t="s">
        <v>176</v>
      </c>
    </row>
    <row r="6565" spans="1:1" ht="12.75">
      <c r="A6565" s="2" t="s">
        <v>164</v>
      </c>
    </row>
    <row r="6566" spans="1:1" ht="12.75">
      <c r="A6566" s="2" t="s">
        <v>163</v>
      </c>
    </row>
    <row r="6567" spans="1:1" ht="12.75">
      <c r="A6567" s="2" t="s">
        <v>225</v>
      </c>
    </row>
    <row r="6568" spans="1:1" ht="12.75">
      <c r="A6568" s="2" t="s">
        <v>163</v>
      </c>
    </row>
    <row r="6569" spans="1:1" ht="12.75">
      <c r="A6569" s="2" t="s">
        <v>161</v>
      </c>
    </row>
    <row r="6570" spans="1:1" ht="12.75">
      <c r="A6570" s="2" t="s">
        <v>181</v>
      </c>
    </row>
    <row r="6571" spans="1:1" ht="12.75">
      <c r="A6571" s="2" t="s">
        <v>161</v>
      </c>
    </row>
    <row r="6572" spans="1:1" ht="12.75">
      <c r="A6572" s="2" t="s">
        <v>181</v>
      </c>
    </row>
    <row r="6573" spans="1:1" ht="12.75">
      <c r="A6573" s="2" t="s">
        <v>161</v>
      </c>
    </row>
    <row r="6574" spans="1:1" ht="12.75">
      <c r="A6574" s="2" t="s">
        <v>181</v>
      </c>
    </row>
    <row r="6575" spans="1:1" ht="12.75">
      <c r="A6575" s="2" t="s">
        <v>176</v>
      </c>
    </row>
    <row r="6576" spans="1:1" ht="12.75">
      <c r="A6576" s="2" t="s">
        <v>182</v>
      </c>
    </row>
    <row r="6577" spans="1:1" ht="12.75">
      <c r="A6577" s="2" t="s">
        <v>163</v>
      </c>
    </row>
    <row r="6578" spans="1:1" ht="12.75">
      <c r="A6578" s="2" t="s">
        <v>171</v>
      </c>
    </row>
    <row r="6579" spans="1:1" ht="12.75">
      <c r="A6579" s="2" t="s">
        <v>225</v>
      </c>
    </row>
    <row r="6580" spans="1:1" ht="12.75">
      <c r="A6580" s="2" t="s">
        <v>176</v>
      </c>
    </row>
    <row r="6581" spans="1:1" ht="12.75">
      <c r="A6581" s="2" t="s">
        <v>225</v>
      </c>
    </row>
    <row r="6582" spans="1:1" ht="12.75">
      <c r="A6582" s="2" t="s">
        <v>191</v>
      </c>
    </row>
    <row r="6583" spans="1:1" ht="12.75">
      <c r="A6583" s="2" t="s">
        <v>171</v>
      </c>
    </row>
    <row r="6584" spans="1:1" ht="12.75">
      <c r="A6584" s="2" t="s">
        <v>166</v>
      </c>
    </row>
    <row r="6585" spans="1:1" ht="12.75">
      <c r="A6585" s="2" t="s">
        <v>183</v>
      </c>
    </row>
    <row r="6586" spans="1:1" ht="12.75">
      <c r="A6586" s="2" t="s">
        <v>161</v>
      </c>
    </row>
    <row r="6587" spans="1:1" ht="12.75">
      <c r="A6587" s="2" t="s">
        <v>183</v>
      </c>
    </row>
    <row r="6588" spans="1:1" ht="12.75">
      <c r="A6588" s="2" t="s">
        <v>166</v>
      </c>
    </row>
    <row r="6590" spans="1:1" ht="12.75">
      <c r="A6590" s="2" t="s">
        <v>172</v>
      </c>
    </row>
    <row r="6591" spans="1:1" ht="12.75">
      <c r="A6591" s="2" t="s">
        <v>163</v>
      </c>
    </row>
    <row r="6592" spans="1:1" ht="12.75">
      <c r="A6592" s="2" t="s">
        <v>172</v>
      </c>
    </row>
    <row r="6593" spans="1:1" ht="12.75">
      <c r="A6593" s="2" t="s">
        <v>176</v>
      </c>
    </row>
    <row r="6594" spans="1:1" ht="12.75">
      <c r="A6594" s="2" t="s">
        <v>176</v>
      </c>
    </row>
    <row r="6595" spans="1:1" ht="12.75">
      <c r="A6595" s="2" t="s">
        <v>176</v>
      </c>
    </row>
    <row r="6596" spans="1:1" ht="12.75">
      <c r="A6596" s="2" t="s">
        <v>152</v>
      </c>
    </row>
    <row r="6597" spans="1:1" ht="12.75">
      <c r="A6597" s="2" t="s">
        <v>176</v>
      </c>
    </row>
    <row r="6598" spans="1:1" ht="12.75">
      <c r="A6598" s="2" t="s">
        <v>163</v>
      </c>
    </row>
    <row r="6600" spans="1:1" ht="12.75">
      <c r="A6600" s="2" t="s">
        <v>183</v>
      </c>
    </row>
    <row r="6601" spans="1:1" ht="12.75">
      <c r="A6601" s="2" t="s">
        <v>163</v>
      </c>
    </row>
    <row r="6602" spans="1:1" ht="12.75">
      <c r="A6602" s="2" t="s">
        <v>181</v>
      </c>
    </row>
    <row r="6603" spans="1:1" ht="12.75">
      <c r="A6603" s="2" t="s">
        <v>163</v>
      </c>
    </row>
    <row r="6604" spans="1:1" ht="12.75">
      <c r="A6604" s="2" t="s">
        <v>181</v>
      </c>
    </row>
    <row r="6605" spans="1:1" ht="12.75">
      <c r="A6605" s="2" t="s">
        <v>163</v>
      </c>
    </row>
    <row r="6606" spans="1:1" ht="12.75">
      <c r="A6606" s="2" t="s">
        <v>181</v>
      </c>
    </row>
    <row r="6607" spans="1:1" ht="12.75">
      <c r="A6607" s="2" t="s">
        <v>163</v>
      </c>
    </row>
    <row r="6608" spans="1:1" ht="12.75">
      <c r="A6608" s="2" t="s">
        <v>172</v>
      </c>
    </row>
    <row r="6609" spans="1:1" ht="12.75">
      <c r="A6609" s="2" t="s">
        <v>182</v>
      </c>
    </row>
    <row r="6610" spans="1:1" ht="12.75">
      <c r="A6610" s="2" t="s">
        <v>163</v>
      </c>
    </row>
    <row r="6611" spans="1:1" ht="12.75">
      <c r="A6611" s="2" t="s">
        <v>163</v>
      </c>
    </row>
    <row r="6612" spans="1:1" ht="12.75">
      <c r="A6612" s="2" t="s">
        <v>164</v>
      </c>
    </row>
    <row r="6613" spans="1:1" ht="12.75">
      <c r="A6613" s="2" t="s">
        <v>163</v>
      </c>
    </row>
    <row r="6614" spans="1:1" ht="12.75">
      <c r="A6614" s="2" t="s">
        <v>225</v>
      </c>
    </row>
    <row r="6615" spans="1:1" ht="12.75">
      <c r="A6615" s="2" t="s">
        <v>165</v>
      </c>
    </row>
    <row r="6616" spans="1:1" ht="12.75">
      <c r="A6616" s="2" t="s">
        <v>225</v>
      </c>
    </row>
    <row r="6617" spans="1:1" ht="12.75">
      <c r="A6617" s="2" t="s">
        <v>189</v>
      </c>
    </row>
    <row r="6618" spans="1:1" ht="12.75">
      <c r="A6618" s="2" t="s">
        <v>173</v>
      </c>
    </row>
    <row r="6619" spans="1:1" ht="12.75">
      <c r="A6619" s="2" t="s">
        <v>224</v>
      </c>
    </row>
    <row r="6620" spans="1:1" ht="12.75">
      <c r="A6620" s="2" t="s">
        <v>173</v>
      </c>
    </row>
    <row r="6621" spans="1:1" ht="12.75">
      <c r="A6621" s="2" t="s">
        <v>178</v>
      </c>
    </row>
    <row r="6622" spans="1:1" ht="12.75">
      <c r="A6622" s="2" t="s">
        <v>173</v>
      </c>
    </row>
    <row r="6623" spans="1:1" ht="12.75">
      <c r="A6623" s="2" t="s">
        <v>174</v>
      </c>
    </row>
    <row r="6624" spans="1:1" ht="12.75">
      <c r="A6624" s="2" t="s">
        <v>176</v>
      </c>
    </row>
    <row r="6625" spans="1:1" ht="12.75">
      <c r="A6625" s="2" t="s">
        <v>161</v>
      </c>
    </row>
    <row r="6626" spans="1:1" ht="12.75">
      <c r="A6626" s="2" t="s">
        <v>176</v>
      </c>
    </row>
    <row r="6627" spans="1:1" ht="12.75">
      <c r="A6627" s="2" t="s">
        <v>161</v>
      </c>
    </row>
    <row r="6628" spans="1:1" ht="12.75">
      <c r="A6628" s="2" t="s">
        <v>165</v>
      </c>
    </row>
    <row r="6629" spans="1:1" ht="12.75">
      <c r="A6629" s="2" t="s">
        <v>176</v>
      </c>
    </row>
    <row r="6630" spans="1:1" ht="12.75">
      <c r="A6630" s="2" t="s">
        <v>189</v>
      </c>
    </row>
    <row r="6631" spans="1:1" ht="12.75">
      <c r="A6631" s="2" t="s">
        <v>182</v>
      </c>
    </row>
    <row r="6632" spans="1:1" ht="12.75">
      <c r="A6632" s="2" t="s">
        <v>183</v>
      </c>
    </row>
    <row r="6633" spans="1:1" ht="12.75">
      <c r="A6633" s="2" t="s">
        <v>182</v>
      </c>
    </row>
    <row r="6634" spans="1:1" ht="12.75">
      <c r="A6634" s="2" t="s">
        <v>172</v>
      </c>
    </row>
    <row r="6635" spans="1:1" ht="12.75">
      <c r="A6635" s="2" t="s">
        <v>182</v>
      </c>
    </row>
    <row r="6636" spans="1:1" ht="12.75">
      <c r="A6636" s="2" t="s">
        <v>172</v>
      </c>
    </row>
    <row r="6637" spans="1:1" ht="12.75">
      <c r="A6637" s="2" t="s">
        <v>183</v>
      </c>
    </row>
    <row r="6638" spans="1:1" ht="12.75">
      <c r="A6638" s="2" t="s">
        <v>164</v>
      </c>
    </row>
    <row r="6639" spans="1:1" ht="12.75">
      <c r="A6639" s="2" t="s">
        <v>163</v>
      </c>
    </row>
    <row r="6640" spans="1:1" ht="12.75">
      <c r="A6640" s="2" t="s">
        <v>164</v>
      </c>
    </row>
    <row r="6641" spans="1:1" ht="12.75">
      <c r="A6641" s="2" t="s">
        <v>163</v>
      </c>
    </row>
    <row r="6642" spans="1:1" ht="12.75">
      <c r="A6642" s="2" t="s">
        <v>164</v>
      </c>
    </row>
    <row r="6643" spans="1:1" ht="12.75">
      <c r="A6643" s="2" t="s">
        <v>163</v>
      </c>
    </row>
    <row r="6644" spans="1:1" ht="12.75">
      <c r="A6644" s="2" t="s">
        <v>181</v>
      </c>
    </row>
    <row r="6645" spans="1:1" ht="12.75">
      <c r="A6645" s="2" t="s">
        <v>166</v>
      </c>
    </row>
    <row r="6646" spans="1:1" ht="12.75">
      <c r="A6646" s="2" t="s">
        <v>181</v>
      </c>
    </row>
    <row r="6647" spans="1:1" ht="12.75">
      <c r="A6647" s="2" t="s">
        <v>182</v>
      </c>
    </row>
    <row r="6648" spans="1:1" ht="12.75">
      <c r="A6648" s="2" t="s">
        <v>172</v>
      </c>
    </row>
    <row r="6649" spans="1:1" ht="12.75">
      <c r="A6649" s="2" t="s">
        <v>168</v>
      </c>
    </row>
    <row r="6650" spans="1:1" ht="12.75">
      <c r="A6650" s="2" t="s">
        <v>171</v>
      </c>
    </row>
    <row r="6651" spans="1:1" ht="12.75">
      <c r="A6651" s="2" t="s">
        <v>224</v>
      </c>
    </row>
    <row r="6652" spans="1:1" ht="12.75">
      <c r="A6652" s="2" t="s">
        <v>166</v>
      </c>
    </row>
    <row r="6653" spans="1:1" ht="12.75">
      <c r="A6653" s="2" t="s">
        <v>172</v>
      </c>
    </row>
    <row r="6654" spans="1:1" ht="12.75">
      <c r="A6654" s="2" t="s">
        <v>165</v>
      </c>
    </row>
    <row r="6655" spans="1:1" ht="12.75">
      <c r="A6655" s="2" t="s">
        <v>191</v>
      </c>
    </row>
    <row r="6656" spans="1:1" ht="12.75">
      <c r="A6656" s="2" t="s">
        <v>165</v>
      </c>
    </row>
    <row r="6657" spans="1:1" ht="12.75">
      <c r="A6657" s="2" t="s">
        <v>165</v>
      </c>
    </row>
    <row r="6658" spans="1:1" ht="12.75">
      <c r="A6658" s="2" t="s">
        <v>194</v>
      </c>
    </row>
    <row r="6659" spans="1:1" ht="12.75">
      <c r="A6659" s="2" t="s">
        <v>181</v>
      </c>
    </row>
    <row r="6660" spans="1:1" ht="12.75">
      <c r="A6660" s="2" t="s">
        <v>183</v>
      </c>
    </row>
    <row r="6661" spans="1:1" ht="12.75">
      <c r="A6661" s="2" t="s">
        <v>181</v>
      </c>
    </row>
    <row r="6662" spans="1:1" ht="12.75">
      <c r="A6662" s="2" t="s">
        <v>173</v>
      </c>
    </row>
    <row r="6663" spans="1:1" ht="12.75">
      <c r="A6663" s="2" t="s">
        <v>171</v>
      </c>
    </row>
    <row r="6664" spans="1:1" ht="12.75">
      <c r="A6664" s="2" t="s">
        <v>163</v>
      </c>
    </row>
    <row r="6665" spans="1:1" ht="12.75">
      <c r="A6665" s="2" t="s">
        <v>173</v>
      </c>
    </row>
    <row r="6666" spans="1:1" ht="12.75">
      <c r="A6666" s="2" t="s">
        <v>165</v>
      </c>
    </row>
    <row r="6667" spans="1:1" ht="12.75">
      <c r="A6667" s="2" t="s">
        <v>176</v>
      </c>
    </row>
    <row r="6668" spans="1:1" ht="12.75">
      <c r="A6668" s="2" t="s">
        <v>165</v>
      </c>
    </row>
    <row r="6669" spans="1:1" ht="12.75">
      <c r="A6669" s="2" t="s">
        <v>176</v>
      </c>
    </row>
    <row r="6670" spans="1:1" ht="12.75">
      <c r="A6670" s="2" t="s">
        <v>168</v>
      </c>
    </row>
    <row r="6671" spans="1:1" ht="12.75">
      <c r="A6671" s="2" t="s">
        <v>194</v>
      </c>
    </row>
    <row r="6672" spans="1:1" ht="12.75">
      <c r="A6672" s="2" t="s">
        <v>168</v>
      </c>
    </row>
    <row r="6673" spans="1:1" ht="12.75">
      <c r="A6673" s="2" t="s">
        <v>172</v>
      </c>
    </row>
    <row r="6674" spans="1:1" ht="12.75">
      <c r="A6674" s="2" t="s">
        <v>176</v>
      </c>
    </row>
    <row r="6676" spans="1:1" ht="12.75">
      <c r="A6676" s="2" t="s">
        <v>164</v>
      </c>
    </row>
    <row r="6677" spans="1:1" ht="12.75">
      <c r="A6677" s="2" t="s">
        <v>182</v>
      </c>
    </row>
    <row r="6678" spans="1:1" ht="12.75">
      <c r="A6678" s="2" t="s">
        <v>164</v>
      </c>
    </row>
    <row r="6679" spans="1:1" ht="12.75">
      <c r="A6679" s="2" t="s">
        <v>189</v>
      </c>
    </row>
    <row r="6680" spans="1:1" ht="12.75">
      <c r="A6680" s="2" t="s">
        <v>181</v>
      </c>
    </row>
    <row r="6681" spans="1:1" ht="12.75">
      <c r="A6681" s="2" t="s">
        <v>163</v>
      </c>
    </row>
    <row r="6682" spans="1:1" ht="12.75">
      <c r="A6682" s="2" t="s">
        <v>182</v>
      </c>
    </row>
    <row r="6683" spans="1:1" ht="12.75">
      <c r="A6683" s="2" t="s">
        <v>181</v>
      </c>
    </row>
    <row r="6684" spans="1:1" ht="12.75">
      <c r="A6684" s="2" t="s">
        <v>173</v>
      </c>
    </row>
    <row r="6685" spans="1:1" ht="12.75">
      <c r="A6685" s="2" t="s">
        <v>164</v>
      </c>
    </row>
    <row r="6686" spans="1:1" ht="12.75">
      <c r="A6686" s="2" t="s">
        <v>163</v>
      </c>
    </row>
    <row r="6687" spans="1:1" ht="12.75">
      <c r="A6687" s="2" t="s">
        <v>225</v>
      </c>
    </row>
    <row r="6688" spans="1:1" ht="12.75">
      <c r="A6688" s="2" t="s">
        <v>163</v>
      </c>
    </row>
    <row r="6689" spans="1:1" ht="12.75">
      <c r="A6689" s="2" t="s">
        <v>173</v>
      </c>
    </row>
    <row r="6690" spans="1:1" ht="12.75">
      <c r="A6690" s="2" t="s">
        <v>168</v>
      </c>
    </row>
    <row r="6691" spans="1:1" ht="12.75">
      <c r="A6691" s="2" t="s">
        <v>176</v>
      </c>
    </row>
    <row r="6692" spans="1:1" ht="12.75">
      <c r="A6692" s="2" t="s">
        <v>172</v>
      </c>
    </row>
    <row r="6693" spans="1:1" ht="12.75">
      <c r="A6693" s="2" t="s">
        <v>165</v>
      </c>
    </row>
    <row r="6695" spans="1:1" ht="12.75">
      <c r="A6695" s="2" t="s">
        <v>165</v>
      </c>
    </row>
    <row r="6696" spans="1:1" ht="12.75">
      <c r="A6696" s="2" t="s">
        <v>217</v>
      </c>
    </row>
    <row r="6697" spans="1:1" ht="12.75">
      <c r="A6697" s="2" t="s">
        <v>165</v>
      </c>
    </row>
    <row r="6698" spans="1:1" ht="12.75">
      <c r="A6698" s="2" t="s">
        <v>171</v>
      </c>
    </row>
    <row r="6699" spans="1:1" ht="12.75">
      <c r="A6699" s="2" t="s">
        <v>168</v>
      </c>
    </row>
    <row r="6700" spans="1:1" ht="12.75">
      <c r="A6700" s="2" t="s">
        <v>183</v>
      </c>
    </row>
    <row r="6701" spans="1:1" ht="12.75">
      <c r="A6701" s="2" t="s">
        <v>164</v>
      </c>
    </row>
    <row r="6702" spans="1:1" ht="12.75">
      <c r="A6702" s="2" t="s">
        <v>183</v>
      </c>
    </row>
    <row r="6703" spans="1:1" ht="12.75">
      <c r="A6703" s="2" t="s">
        <v>164</v>
      </c>
    </row>
    <row r="6704" spans="1:1" ht="12.75">
      <c r="A6704" s="2" t="s">
        <v>183</v>
      </c>
    </row>
    <row r="6705" spans="1:1" ht="12.75">
      <c r="A6705" s="2" t="s">
        <v>182</v>
      </c>
    </row>
    <row r="6706" spans="1:1" ht="12.75">
      <c r="A6706" s="2" t="s">
        <v>172</v>
      </c>
    </row>
    <row r="6707" spans="1:1" ht="12.75">
      <c r="A6707" s="2" t="s">
        <v>182</v>
      </c>
    </row>
    <row r="6708" spans="1:1" ht="12.75">
      <c r="A6708" s="2" t="s">
        <v>161</v>
      </c>
    </row>
    <row r="6709" spans="1:1" ht="12.75">
      <c r="A6709" s="2" t="s">
        <v>160</v>
      </c>
    </row>
    <row r="6710" spans="1:1" ht="12.75">
      <c r="A6710" s="2" t="s">
        <v>165</v>
      </c>
    </row>
    <row r="6711" spans="1:1" ht="12.75">
      <c r="A6711" s="2" t="s">
        <v>173</v>
      </c>
    </row>
    <row r="6712" spans="1:1" ht="12.75">
      <c r="A6712" s="2" t="s">
        <v>163</v>
      </c>
    </row>
    <row r="6713" spans="1:1" ht="12.75">
      <c r="A6713" s="2" t="s">
        <v>164</v>
      </c>
    </row>
    <row r="6714" spans="1:1" ht="12.75">
      <c r="A6714" s="2" t="s">
        <v>163</v>
      </c>
    </row>
    <row r="6715" spans="1:1" ht="12.75">
      <c r="A6715" s="2" t="s">
        <v>164</v>
      </c>
    </row>
    <row r="6716" spans="1:1" ht="12.75">
      <c r="A6716" s="2" t="s">
        <v>173</v>
      </c>
    </row>
    <row r="6717" spans="1:1" ht="12.75">
      <c r="A6717" s="2" t="s">
        <v>173</v>
      </c>
    </row>
    <row r="6718" spans="1:1" ht="12.75">
      <c r="A6718" s="2" t="s">
        <v>173</v>
      </c>
    </row>
    <row r="6719" spans="1:1" ht="12.75">
      <c r="A6719" s="2" t="s">
        <v>163</v>
      </c>
    </row>
    <row r="6720" spans="1:1" ht="12.75">
      <c r="A6720" s="2" t="s">
        <v>182</v>
      </c>
    </row>
    <row r="6721" spans="1:1" ht="12.75">
      <c r="A6721" s="2" t="s">
        <v>183</v>
      </c>
    </row>
    <row r="6722" spans="1:1" ht="12.75">
      <c r="A6722" s="2" t="s">
        <v>182</v>
      </c>
    </row>
    <row r="6723" spans="1:1" ht="12.75">
      <c r="A6723" s="2" t="s">
        <v>183</v>
      </c>
    </row>
    <row r="6724" spans="1:1" ht="12.75">
      <c r="A6724" s="2" t="s">
        <v>182</v>
      </c>
    </row>
    <row r="6725" spans="1:1" ht="12.75">
      <c r="A6725" s="2" t="s">
        <v>183</v>
      </c>
    </row>
    <row r="6726" spans="1:1" ht="12.75">
      <c r="A6726" s="2" t="s">
        <v>166</v>
      </c>
    </row>
    <row r="6727" spans="1:1" ht="12.75">
      <c r="A6727" s="2" t="s">
        <v>169</v>
      </c>
    </row>
    <row r="6728" spans="1:1" ht="12.75">
      <c r="A6728" s="2" t="s">
        <v>168</v>
      </c>
    </row>
    <row r="6729" spans="1:1" ht="12.75">
      <c r="A6729" s="2" t="s">
        <v>176</v>
      </c>
    </row>
    <row r="6730" spans="1:1" ht="12.75">
      <c r="A6730" s="2" t="s">
        <v>172</v>
      </c>
    </row>
    <row r="6731" spans="1:1" ht="12.75">
      <c r="A6731" s="2" t="s">
        <v>176</v>
      </c>
    </row>
    <row r="6732" spans="1:1" ht="12.75">
      <c r="A6732" s="2" t="s">
        <v>172</v>
      </c>
    </row>
    <row r="6733" spans="1:1" ht="12.75">
      <c r="A6733" s="2" t="s">
        <v>176</v>
      </c>
    </row>
    <row r="6734" spans="1:1" ht="12.75">
      <c r="A6734" s="2" t="s">
        <v>161</v>
      </c>
    </row>
    <row r="6735" spans="1:1" ht="12.75">
      <c r="A6735" s="2" t="s">
        <v>165</v>
      </c>
    </row>
    <row r="6736" spans="1:1" ht="12.75">
      <c r="A6736" s="2" t="s">
        <v>176</v>
      </c>
    </row>
    <row r="6737" spans="1:1" ht="12.75">
      <c r="A6737" s="2" t="s">
        <v>168</v>
      </c>
    </row>
    <row r="6738" spans="1:1" ht="12.75">
      <c r="A6738" s="2" t="s">
        <v>171</v>
      </c>
    </row>
    <row r="6739" spans="1:1" ht="12.75">
      <c r="A6739" s="2" t="s">
        <v>182</v>
      </c>
    </row>
    <row r="6740" spans="1:1" ht="12.75">
      <c r="A6740" s="2" t="s">
        <v>169</v>
      </c>
    </row>
    <row r="6741" spans="1:1" ht="12.75">
      <c r="A6741" s="2" t="s">
        <v>161</v>
      </c>
    </row>
    <row r="6742" spans="1:1" ht="12.75">
      <c r="A6742" s="2" t="s">
        <v>169</v>
      </c>
    </row>
    <row r="6743" spans="1:1" ht="12.75">
      <c r="A6743" s="2" t="s">
        <v>161</v>
      </c>
    </row>
    <row r="6744" spans="1:1" ht="12.75">
      <c r="A6744" s="2" t="s">
        <v>176</v>
      </c>
    </row>
    <row r="6745" spans="1:1" ht="12.75">
      <c r="A6745" s="2" t="s">
        <v>183</v>
      </c>
    </row>
    <row r="6746" spans="1:1" ht="12.75">
      <c r="A6746" s="2" t="s">
        <v>176</v>
      </c>
    </row>
    <row r="6747" spans="1:1" ht="12.75">
      <c r="A6747" s="2" t="s">
        <v>172</v>
      </c>
    </row>
    <row r="6748" spans="1:1" ht="12.75">
      <c r="A6748" s="2" t="s">
        <v>164</v>
      </c>
    </row>
    <row r="6749" spans="1:1" ht="12.75">
      <c r="A6749" s="2" t="s">
        <v>172</v>
      </c>
    </row>
    <row r="6750" spans="1:1" ht="12.75">
      <c r="A6750" s="2" t="s">
        <v>165</v>
      </c>
    </row>
    <row r="6751" spans="1:1" ht="12.75">
      <c r="A6751" s="2" t="s">
        <v>176</v>
      </c>
    </row>
    <row r="6752" spans="1:1" ht="12.75">
      <c r="A6752" s="2" t="s">
        <v>182</v>
      </c>
    </row>
    <row r="6753" spans="1:1" ht="12.75">
      <c r="A6753" s="2" t="s">
        <v>163</v>
      </c>
    </row>
    <row r="6754" spans="1:1" ht="12.75">
      <c r="A6754" s="2" t="s">
        <v>182</v>
      </c>
    </row>
    <row r="6755" spans="1:1" ht="12.75">
      <c r="A6755" s="2" t="s">
        <v>163</v>
      </c>
    </row>
    <row r="6756" spans="1:1" ht="12.75">
      <c r="A6756" s="2" t="s">
        <v>182</v>
      </c>
    </row>
    <row r="6757" spans="1:1" ht="12.75">
      <c r="A6757" s="2" t="s">
        <v>181</v>
      </c>
    </row>
    <row r="6758" spans="1:1" ht="12.75">
      <c r="A6758" s="2" t="s">
        <v>182</v>
      </c>
    </row>
    <row r="6760" spans="1:1" ht="12.75">
      <c r="A6760" s="2" t="s">
        <v>182</v>
      </c>
    </row>
    <row r="6761" spans="1:1" ht="12.75">
      <c r="A6761" s="2" t="s">
        <v>164</v>
      </c>
    </row>
    <row r="6762" spans="1:1" ht="12.75">
      <c r="A6762" s="2" t="s">
        <v>182</v>
      </c>
    </row>
    <row r="6763" spans="1:1" ht="12.75">
      <c r="A6763" s="2" t="s">
        <v>164</v>
      </c>
    </row>
    <row r="6764" spans="1:1" ht="12.75">
      <c r="A6764" s="2" t="s">
        <v>173</v>
      </c>
    </row>
    <row r="6765" spans="1:1" ht="12.75">
      <c r="A6765" s="2" t="s">
        <v>191</v>
      </c>
    </row>
    <row r="6766" spans="1:1" ht="12.75">
      <c r="A6766" s="2" t="s">
        <v>164</v>
      </c>
    </row>
    <row r="6767" spans="1:1" ht="12.75">
      <c r="A6767" s="2" t="s">
        <v>174</v>
      </c>
    </row>
    <row r="6768" spans="1:1" ht="12.75">
      <c r="A6768" s="2" t="s">
        <v>163</v>
      </c>
    </row>
    <row r="6769" spans="1:1" ht="12.75">
      <c r="A6769" s="2" t="s">
        <v>225</v>
      </c>
    </row>
    <row r="6770" spans="1:1" ht="12.75">
      <c r="A6770" s="2" t="s">
        <v>163</v>
      </c>
    </row>
    <row r="6771" spans="1:1" ht="12.75">
      <c r="A6771" s="2" t="s">
        <v>225</v>
      </c>
    </row>
    <row r="6772" spans="1:1" ht="12.75">
      <c r="A6772" s="2" t="s">
        <v>163</v>
      </c>
    </row>
    <row r="6773" spans="1:1" ht="12.75">
      <c r="A6773" s="2" t="s">
        <v>173</v>
      </c>
    </row>
    <row r="6774" spans="1:1" ht="12.75">
      <c r="A6774" s="2" t="s">
        <v>162</v>
      </c>
    </row>
    <row r="6775" spans="1:1" ht="12.75">
      <c r="A6775" s="2" t="s">
        <v>172</v>
      </c>
    </row>
    <row r="6776" spans="1:1" ht="12.75">
      <c r="A6776" s="2" t="s">
        <v>182</v>
      </c>
    </row>
    <row r="6777" spans="1:1" ht="12.75">
      <c r="A6777" s="2" t="s">
        <v>172</v>
      </c>
    </row>
    <row r="6778" spans="1:1" ht="12.75">
      <c r="A6778" s="2" t="s">
        <v>171</v>
      </c>
    </row>
    <row r="6779" spans="1:1" ht="12.75">
      <c r="A6779" s="2" t="s">
        <v>182</v>
      </c>
    </row>
    <row r="6780" spans="1:1" ht="12.75">
      <c r="A6780" s="2" t="s">
        <v>225</v>
      </c>
    </row>
    <row r="6781" spans="1:1" ht="12.75">
      <c r="A6781" s="2" t="s">
        <v>168</v>
      </c>
    </row>
    <row r="6782" spans="1:1" ht="12.75">
      <c r="A6782" s="2" t="s">
        <v>171</v>
      </c>
    </row>
    <row r="6783" spans="1:1" ht="12.75">
      <c r="A6783" s="2" t="s">
        <v>165</v>
      </c>
    </row>
    <row r="6784" spans="1:1" ht="12.75">
      <c r="A6784" s="2" t="s">
        <v>191</v>
      </c>
    </row>
    <row r="6785" spans="1:1" ht="12.75">
      <c r="A6785" s="2" t="s">
        <v>165</v>
      </c>
    </row>
    <row r="6786" spans="1:1" ht="12.75">
      <c r="A6786" s="2" t="s">
        <v>191</v>
      </c>
    </row>
    <row r="6787" spans="1:1" ht="12.75">
      <c r="A6787" s="2" t="s">
        <v>225</v>
      </c>
    </row>
    <row r="6789" spans="1:1" ht="12.75">
      <c r="A6789" s="2" t="s">
        <v>173</v>
      </c>
    </row>
    <row r="6790" spans="1:1" ht="12.75">
      <c r="A6790" s="2" t="s">
        <v>183</v>
      </c>
    </row>
    <row r="6791" spans="1:1" ht="12.75">
      <c r="A6791" s="2" t="s">
        <v>173</v>
      </c>
    </row>
    <row r="6792" spans="1:1" ht="12.75">
      <c r="A6792" s="2" t="s">
        <v>183</v>
      </c>
    </row>
    <row r="6793" spans="1:1" ht="12.75">
      <c r="A6793" s="2" t="s">
        <v>163</v>
      </c>
    </row>
    <row r="6794" spans="1:1" ht="12.75">
      <c r="A6794" s="2" t="s">
        <v>168</v>
      </c>
    </row>
    <row r="6795" spans="1:1" ht="12.75">
      <c r="A6795" s="2" t="s">
        <v>163</v>
      </c>
    </row>
    <row r="6796" spans="1:1" ht="12.75">
      <c r="A6796" s="2" t="s">
        <v>168</v>
      </c>
    </row>
    <row r="6797" spans="1:1" ht="12.75">
      <c r="A6797" s="2" t="s">
        <v>163</v>
      </c>
    </row>
    <row r="6798" spans="1:1" ht="12.75">
      <c r="A6798" s="2" t="s">
        <v>176</v>
      </c>
    </row>
    <row r="6799" spans="1:1" ht="12.75">
      <c r="A6799" s="2" t="s">
        <v>181</v>
      </c>
    </row>
    <row r="6800" spans="1:1" ht="12.75">
      <c r="A6800" s="2" t="s">
        <v>176</v>
      </c>
    </row>
    <row r="6801" spans="1:1" ht="12.75">
      <c r="A6801" s="2" t="s">
        <v>181</v>
      </c>
    </row>
    <row r="6802" spans="1:1" ht="12.75">
      <c r="A6802" s="2" t="s">
        <v>176</v>
      </c>
    </row>
    <row r="6803" spans="1:1" ht="12.75">
      <c r="A6803" s="2" t="s">
        <v>181</v>
      </c>
    </row>
    <row r="6804" spans="1:1" ht="12.75">
      <c r="A6804" s="2" t="s">
        <v>160</v>
      </c>
    </row>
    <row r="6805" spans="1:1" ht="12.75">
      <c r="A6805" s="2" t="s">
        <v>189</v>
      </c>
    </row>
    <row r="6806" spans="1:1" ht="12.75">
      <c r="A6806" s="2" t="s">
        <v>160</v>
      </c>
    </row>
    <row r="6807" spans="1:1" ht="12.75">
      <c r="A6807" s="2" t="s">
        <v>172</v>
      </c>
    </row>
    <row r="6808" spans="1:1" ht="12.75">
      <c r="A6808" s="2" t="s">
        <v>167</v>
      </c>
    </row>
    <row r="6809" spans="1:1" ht="12.75">
      <c r="A6809" s="2" t="s">
        <v>179</v>
      </c>
    </row>
    <row r="6810" spans="1:1" ht="12.75">
      <c r="A6810" s="2" t="s">
        <v>162</v>
      </c>
    </row>
    <row r="6811" spans="1:1" ht="12.75">
      <c r="A6811" s="2" t="s">
        <v>169</v>
      </c>
    </row>
    <row r="6812" spans="1:1" ht="12.75">
      <c r="A6812" s="2" t="s">
        <v>162</v>
      </c>
    </row>
    <row r="6813" spans="1:1" ht="12.75">
      <c r="A6813" s="2" t="s">
        <v>169</v>
      </c>
    </row>
    <row r="6814" spans="1:1" ht="12.75">
      <c r="A6814" s="2" t="s">
        <v>167</v>
      </c>
    </row>
    <row r="6815" spans="1:1" ht="12.75">
      <c r="A6815" s="2" t="s">
        <v>169</v>
      </c>
    </row>
    <row r="6816" spans="1:1" ht="12.75">
      <c r="A6816" s="2" t="s">
        <v>167</v>
      </c>
    </row>
    <row r="6817" spans="1:1" ht="12.75">
      <c r="A6817" s="2" t="s">
        <v>177</v>
      </c>
    </row>
    <row r="6818" spans="1:1" ht="12.75">
      <c r="A6818" s="2" t="s">
        <v>160</v>
      </c>
    </row>
    <row r="6819" spans="1:1" ht="12.75">
      <c r="A6819" s="2" t="s">
        <v>179</v>
      </c>
    </row>
    <row r="6820" spans="1:1" ht="12.75">
      <c r="A6820" s="2" t="s">
        <v>167</v>
      </c>
    </row>
    <row r="6821" spans="1:1" ht="12.75">
      <c r="A6821" s="2" t="s">
        <v>179</v>
      </c>
    </row>
    <row r="6822" spans="1:1" ht="12.75">
      <c r="A6822" s="2" t="s">
        <v>167</v>
      </c>
    </row>
    <row r="6823" spans="1:1" ht="12.75">
      <c r="A6823" s="2" t="s">
        <v>179</v>
      </c>
    </row>
    <row r="6824" spans="1:1" ht="12.75">
      <c r="A6824" s="2" t="s">
        <v>167</v>
      </c>
    </row>
    <row r="6825" spans="1:1" ht="12.75">
      <c r="A6825" s="2" t="s">
        <v>162</v>
      </c>
    </row>
    <row r="6826" spans="1:1" ht="12.75">
      <c r="A6826" s="2" t="s">
        <v>221</v>
      </c>
    </row>
    <row r="6827" spans="1:1" ht="12.75">
      <c r="A6827" s="2" t="s">
        <v>170</v>
      </c>
    </row>
    <row r="6828" spans="1:1" ht="12.75">
      <c r="A6828" s="2" t="s">
        <v>170</v>
      </c>
    </row>
    <row r="6829" spans="1:1" ht="12.75">
      <c r="A6829" s="2" t="s">
        <v>160</v>
      </c>
    </row>
    <row r="6830" spans="1:1" ht="12.75">
      <c r="A6830" s="2" t="s">
        <v>170</v>
      </c>
    </row>
    <row r="6831" spans="1:1" ht="12.75">
      <c r="A6831" s="2" t="s">
        <v>160</v>
      </c>
    </row>
    <row r="6832" spans="1:1" ht="12.75">
      <c r="A6832" s="2" t="s">
        <v>185</v>
      </c>
    </row>
    <row r="6833" spans="1:1" ht="12.75">
      <c r="A6833" s="2" t="s">
        <v>221</v>
      </c>
    </row>
    <row r="6834" spans="1:1" ht="12.75">
      <c r="A6834" s="2" t="s">
        <v>170</v>
      </c>
    </row>
    <row r="6835" spans="1:1" ht="12.75">
      <c r="A6835" s="2" t="s">
        <v>221</v>
      </c>
    </row>
    <row r="6836" spans="1:1" ht="12.75">
      <c r="A6836" s="2" t="s">
        <v>170</v>
      </c>
    </row>
    <row r="6837" spans="1:1" ht="12.75">
      <c r="A6837" s="2" t="s">
        <v>221</v>
      </c>
    </row>
    <row r="6838" spans="1:1" ht="12.75">
      <c r="A6838" s="2" t="s">
        <v>170</v>
      </c>
    </row>
    <row r="6839" spans="1:1" ht="12.75">
      <c r="A6839" s="2" t="s">
        <v>177</v>
      </c>
    </row>
    <row r="6840" spans="1:1" ht="12.75">
      <c r="A6840" s="2" t="s">
        <v>170</v>
      </c>
    </row>
    <row r="6841" spans="1:1" ht="12.75">
      <c r="A6841" s="2" t="s">
        <v>177</v>
      </c>
    </row>
    <row r="6842" spans="1:1" ht="12.75">
      <c r="A6842" s="2" t="s">
        <v>160</v>
      </c>
    </row>
    <row r="6843" spans="1:1" ht="12.75">
      <c r="A6843" s="2" t="s">
        <v>177</v>
      </c>
    </row>
    <row r="6844" spans="1:1" ht="12.75">
      <c r="A6844" s="2" t="s">
        <v>174</v>
      </c>
    </row>
    <row r="6845" spans="1:1" ht="12.75">
      <c r="A6845" s="2" t="s">
        <v>184</v>
      </c>
    </row>
    <row r="6846" spans="1:1" ht="12.75">
      <c r="A6846" s="2" t="s">
        <v>174</v>
      </c>
    </row>
    <row r="6847" spans="1:1" ht="12.75">
      <c r="A6847" s="2" t="s">
        <v>169</v>
      </c>
    </row>
    <row r="6848" spans="1:1" ht="12.75">
      <c r="A6848" s="2" t="s">
        <v>160</v>
      </c>
    </row>
    <row r="6849" spans="1:1" ht="12.75">
      <c r="A6849" s="2" t="s">
        <v>177</v>
      </c>
    </row>
    <row r="6850" spans="1:1" ht="12.75">
      <c r="A6850" s="2" t="s">
        <v>167</v>
      </c>
    </row>
    <row r="6851" spans="1:1" ht="12.75">
      <c r="A6851" s="2" t="s">
        <v>185</v>
      </c>
    </row>
    <row r="6852" spans="1:1" ht="12.75">
      <c r="A6852" s="2" t="s">
        <v>167</v>
      </c>
    </row>
    <row r="6853" spans="1:1" ht="12.75">
      <c r="A6853" s="2" t="s">
        <v>179</v>
      </c>
    </row>
    <row r="6854" spans="1:1" ht="12.75">
      <c r="A6854" s="2" t="s">
        <v>167</v>
      </c>
    </row>
    <row r="6855" spans="1:1" ht="12.75">
      <c r="A6855" s="2" t="s">
        <v>185</v>
      </c>
    </row>
    <row r="6856" spans="1:1" ht="12.75">
      <c r="A6856" s="2" t="s">
        <v>184</v>
      </c>
    </row>
    <row r="6857" spans="1:1" ht="12.75">
      <c r="A6857" s="2" t="s">
        <v>179</v>
      </c>
    </row>
    <row r="6858" spans="1:1" ht="12.75">
      <c r="A6858" s="2" t="s">
        <v>178</v>
      </c>
    </row>
    <row r="6859" spans="1:1" ht="12.75">
      <c r="A6859" s="2" t="s">
        <v>167</v>
      </c>
    </row>
    <row r="6860" spans="1:1" ht="12.75">
      <c r="A6860" s="2" t="s">
        <v>162</v>
      </c>
    </row>
    <row r="6861" spans="1:1" ht="12.75">
      <c r="A6861" s="2" t="s">
        <v>179</v>
      </c>
    </row>
    <row r="6862" spans="1:1" ht="12.75">
      <c r="A6862" s="2" t="s">
        <v>162</v>
      </c>
    </row>
    <row r="6863" spans="1:1" ht="12.75">
      <c r="A6863" s="2" t="s">
        <v>179</v>
      </c>
    </row>
    <row r="6864" spans="1:1" ht="12.75">
      <c r="A6864" s="2" t="s">
        <v>162</v>
      </c>
    </row>
    <row r="6865" spans="1:1" ht="12.75">
      <c r="A6865" s="2" t="s">
        <v>179</v>
      </c>
    </row>
    <row r="6866" spans="1:1" ht="12.75">
      <c r="A6866" s="2" t="s">
        <v>160</v>
      </c>
    </row>
    <row r="6867" spans="1:1" ht="12.75">
      <c r="A6867" s="2" t="s">
        <v>175</v>
      </c>
    </row>
    <row r="6868" spans="1:1" ht="12.75">
      <c r="A6868" s="2" t="s">
        <v>175</v>
      </c>
    </row>
    <row r="6869" spans="1:1" ht="12.75">
      <c r="A6869" s="2" t="s">
        <v>179</v>
      </c>
    </row>
    <row r="6870" spans="1:1" ht="12.75">
      <c r="A6870" s="2" t="s">
        <v>196</v>
      </c>
    </row>
    <row r="6871" spans="1:1" ht="12.75">
      <c r="A6871" s="2" t="s">
        <v>167</v>
      </c>
    </row>
    <row r="6872" spans="1:1" ht="12.75">
      <c r="A6872" s="2" t="s">
        <v>170</v>
      </c>
    </row>
    <row r="6873" spans="1:1" ht="12.75">
      <c r="A6873" s="2" t="s">
        <v>160</v>
      </c>
    </row>
    <row r="6874" spans="1:1" ht="12.75">
      <c r="A6874" s="2" t="s">
        <v>167</v>
      </c>
    </row>
    <row r="6875" spans="1:1" ht="12.75">
      <c r="A6875" s="2" t="s">
        <v>160</v>
      </c>
    </row>
    <row r="6876" spans="1:1" ht="12.75">
      <c r="A6876" s="2" t="s">
        <v>164</v>
      </c>
    </row>
    <row r="6877" spans="1:1" ht="12.75">
      <c r="A6877" s="2" t="s">
        <v>169</v>
      </c>
    </row>
    <row r="6878" spans="1:1" ht="12.75">
      <c r="A6878" s="2" t="s">
        <v>162</v>
      </c>
    </row>
    <row r="6879" spans="1:1" ht="12.75">
      <c r="A6879" s="2" t="s">
        <v>169</v>
      </c>
    </row>
    <row r="6880" spans="1:1" ht="12.75">
      <c r="A6880" s="2" t="s">
        <v>162</v>
      </c>
    </row>
    <row r="6881" spans="1:1" ht="12.75">
      <c r="A6881" s="2" t="s">
        <v>169</v>
      </c>
    </row>
    <row r="6882" spans="1:1" ht="12.75">
      <c r="A6882" s="2" t="s">
        <v>177</v>
      </c>
    </row>
    <row r="6883" spans="1:1" ht="12.75">
      <c r="A6883" s="2" t="s">
        <v>161</v>
      </c>
    </row>
    <row r="6884" spans="1:1" ht="12.75">
      <c r="A6884" s="2" t="s">
        <v>177</v>
      </c>
    </row>
    <row r="6885" spans="1:1" ht="12.75">
      <c r="A6885" s="2" t="s">
        <v>161</v>
      </c>
    </row>
    <row r="6886" spans="1:1" ht="12.75">
      <c r="A6886" s="2" t="s">
        <v>167</v>
      </c>
    </row>
    <row r="6887" spans="1:1" ht="12.75">
      <c r="A6887" s="2" t="s">
        <v>179</v>
      </c>
    </row>
    <row r="6888" spans="1:1" ht="12.75">
      <c r="A6888" s="2" t="s">
        <v>167</v>
      </c>
    </row>
    <row r="6889" spans="1:1" ht="12.75">
      <c r="A6889" s="2" t="s">
        <v>179</v>
      </c>
    </row>
    <row r="6890" spans="1:1" ht="12.75">
      <c r="A6890" s="2" t="s">
        <v>167</v>
      </c>
    </row>
    <row r="6891" spans="1:1" ht="12.75">
      <c r="A6891" s="2" t="s">
        <v>179</v>
      </c>
    </row>
    <row r="6892" spans="1:1" ht="12.75">
      <c r="A6892" s="2" t="s">
        <v>170</v>
      </c>
    </row>
    <row r="6893" spans="1:1" ht="12.75">
      <c r="A6893" s="2" t="s">
        <v>184</v>
      </c>
    </row>
    <row r="6894" spans="1:1" ht="12.75">
      <c r="A6894" s="2" t="s">
        <v>170</v>
      </c>
    </row>
    <row r="6895" spans="1:1" ht="12.75">
      <c r="A6895" s="2" t="s">
        <v>184</v>
      </c>
    </row>
    <row r="6896" spans="1:1" ht="12.75">
      <c r="A6896" s="2" t="s">
        <v>185</v>
      </c>
    </row>
    <row r="6897" spans="1:1" ht="12.75">
      <c r="A6897" s="2" t="s">
        <v>169</v>
      </c>
    </row>
    <row r="6898" spans="1:1" ht="12.75">
      <c r="A6898" s="2" t="s">
        <v>162</v>
      </c>
    </row>
    <row r="6899" spans="1:1" ht="12.75">
      <c r="A6899" s="2" t="s">
        <v>177</v>
      </c>
    </row>
    <row r="6900" spans="1:1" ht="12.75">
      <c r="A6900" s="2" t="s">
        <v>162</v>
      </c>
    </row>
    <row r="6901" spans="1:1" ht="12.75">
      <c r="A6901" s="2" t="s">
        <v>177</v>
      </c>
    </row>
    <row r="6902" spans="1:1" ht="12.75">
      <c r="A6902" s="2" t="s">
        <v>162</v>
      </c>
    </row>
    <row r="6903" spans="1:1" ht="12.75">
      <c r="A6903" s="2" t="s">
        <v>185</v>
      </c>
    </row>
    <row r="6904" spans="1:1" ht="12.75">
      <c r="A6904" s="2" t="s">
        <v>177</v>
      </c>
    </row>
    <row r="6905" spans="1:1" ht="12.75">
      <c r="A6905" s="2" t="s">
        <v>179</v>
      </c>
    </row>
    <row r="6906" spans="1:1" ht="12.75">
      <c r="A6906" s="2" t="s">
        <v>184</v>
      </c>
    </row>
    <row r="6907" spans="1:1" ht="12.75">
      <c r="A6907" s="2" t="s">
        <v>167</v>
      </c>
    </row>
    <row r="6908" spans="1:1" ht="12.75">
      <c r="A6908" s="2" t="s">
        <v>174</v>
      </c>
    </row>
    <row r="6909" spans="1:1" ht="12.75">
      <c r="A6909" s="2" t="s">
        <v>160</v>
      </c>
    </row>
    <row r="6910" spans="1:1" ht="12.75">
      <c r="A6910" s="2" t="s">
        <v>196</v>
      </c>
    </row>
    <row r="6911" spans="1:1" ht="12.75">
      <c r="A6911" s="2" t="s">
        <v>160</v>
      </c>
    </row>
    <row r="6912" spans="1:1" ht="12.75">
      <c r="A6912" s="2" t="s">
        <v>160</v>
      </c>
    </row>
    <row r="6913" spans="1:1" ht="12.75">
      <c r="A6913" s="2" t="s">
        <v>167</v>
      </c>
    </row>
    <row r="6914" spans="1:1" ht="12.75">
      <c r="A6914" s="2" t="s">
        <v>178</v>
      </c>
    </row>
    <row r="6915" spans="1:1" ht="12.75">
      <c r="A6915" s="2" t="s">
        <v>221</v>
      </c>
    </row>
    <row r="6916" spans="1:1" ht="12.75">
      <c r="A6916" s="2" t="s">
        <v>177</v>
      </c>
    </row>
    <row r="6917" spans="1:1" ht="12.75">
      <c r="A6917" s="2" t="s">
        <v>169</v>
      </c>
    </row>
    <row r="6918" spans="1:1" ht="12.75">
      <c r="A6918" s="2" t="s">
        <v>184</v>
      </c>
    </row>
    <row r="6919" spans="1:1" ht="12.75">
      <c r="A6919" s="2" t="s">
        <v>169</v>
      </c>
    </row>
    <row r="6920" spans="1:1" ht="12.75">
      <c r="A6920" s="2" t="s">
        <v>184</v>
      </c>
    </row>
    <row r="6921" spans="1:1" ht="12.75">
      <c r="A6921" s="2" t="s">
        <v>169</v>
      </c>
    </row>
    <row r="6922" spans="1:1" ht="12.75">
      <c r="A6922" s="2" t="s">
        <v>184</v>
      </c>
    </row>
    <row r="6923" spans="1:1" ht="12.75">
      <c r="A6923" s="2" t="s">
        <v>170</v>
      </c>
    </row>
    <row r="6924" spans="1:1" ht="12.75">
      <c r="A6924" s="2" t="s">
        <v>175</v>
      </c>
    </row>
    <row r="6925" spans="1:1" ht="12.75">
      <c r="A6925" s="2" t="s">
        <v>162</v>
      </c>
    </row>
    <row r="6926" spans="1:1" ht="12.75">
      <c r="A6926" s="2" t="s">
        <v>162</v>
      </c>
    </row>
    <row r="6927" spans="1:1" ht="12.75">
      <c r="A6927" s="2" t="s">
        <v>179</v>
      </c>
    </row>
    <row r="6928" spans="1:1" ht="12.75">
      <c r="A6928" s="2" t="s">
        <v>162</v>
      </c>
    </row>
    <row r="6929" spans="1:1" ht="12.75">
      <c r="A6929" s="2" t="s">
        <v>169</v>
      </c>
    </row>
    <row r="6930" spans="1:1" ht="12.75">
      <c r="A6930" s="2" t="s">
        <v>196</v>
      </c>
    </row>
    <row r="6931" spans="1:1" ht="12.75">
      <c r="A6931" s="2" t="s">
        <v>160</v>
      </c>
    </row>
    <row r="6932" spans="1:1" ht="12.75">
      <c r="A6932" s="2" t="s">
        <v>221</v>
      </c>
    </row>
    <row r="6933" spans="1:1" ht="12.75">
      <c r="A6933" s="2" t="s">
        <v>160</v>
      </c>
    </row>
    <row r="6934" spans="1:1" ht="12.75">
      <c r="A6934" s="2" t="s">
        <v>160</v>
      </c>
    </row>
    <row r="6935" spans="1:1" ht="12.75">
      <c r="A6935" s="2" t="s">
        <v>175</v>
      </c>
    </row>
    <row r="6936" spans="1:1" ht="12.75">
      <c r="A6936" s="2" t="s">
        <v>169</v>
      </c>
    </row>
    <row r="6937" spans="1:1" ht="12.75">
      <c r="A6937" s="2" t="s">
        <v>184</v>
      </c>
    </row>
    <row r="6938" spans="1:1" ht="12.75">
      <c r="A6938" s="2" t="s">
        <v>169</v>
      </c>
    </row>
    <row r="6939" spans="1:1" ht="12.75">
      <c r="A6939" s="2" t="s">
        <v>184</v>
      </c>
    </row>
    <row r="6940" spans="1:1" ht="12.75">
      <c r="A6940" s="2" t="s">
        <v>169</v>
      </c>
    </row>
    <row r="6941" spans="1:1" ht="12.75">
      <c r="A6941" s="2" t="s">
        <v>170</v>
      </c>
    </row>
    <row r="6942" spans="1:1" ht="12.75">
      <c r="A6942" s="2" t="s">
        <v>184</v>
      </c>
    </row>
    <row r="6943" spans="1:1" ht="12.75">
      <c r="A6943" s="2" t="s">
        <v>196</v>
      </c>
    </row>
    <row r="6944" spans="1:1" ht="12.75">
      <c r="A6944" s="2" t="s">
        <v>178</v>
      </c>
    </row>
    <row r="6945" spans="1:1" ht="12.75">
      <c r="A6945" s="2" t="s">
        <v>177</v>
      </c>
    </row>
    <row r="6946" spans="1:1" ht="12.75">
      <c r="A6946" s="2" t="s">
        <v>160</v>
      </c>
    </row>
    <row r="6947" spans="1:1" ht="12.75">
      <c r="A6947" s="2" t="s">
        <v>177</v>
      </c>
    </row>
    <row r="6948" spans="1:1" ht="12.75">
      <c r="A6948" s="2" t="s">
        <v>178</v>
      </c>
    </row>
    <row r="6949" spans="1:1" ht="12.75">
      <c r="A6949" s="2" t="s">
        <v>179</v>
      </c>
    </row>
    <row r="6950" spans="1:1" ht="12.75">
      <c r="A6950" s="2" t="s">
        <v>162</v>
      </c>
    </row>
    <row r="6951" spans="1:1" ht="12.75">
      <c r="A6951" s="2" t="s">
        <v>175</v>
      </c>
    </row>
    <row r="6952" spans="1:1" ht="12.75">
      <c r="A6952" s="2" t="s">
        <v>162</v>
      </c>
    </row>
    <row r="6953" spans="1:1" ht="12.75">
      <c r="A6953" s="2" t="s">
        <v>175</v>
      </c>
    </row>
    <row r="6954" spans="1:1" ht="12.75">
      <c r="A6954" s="2" t="s">
        <v>162</v>
      </c>
    </row>
    <row r="6955" spans="1:1" ht="12.75">
      <c r="A6955" s="2" t="s">
        <v>185</v>
      </c>
    </row>
    <row r="6956" spans="1:1" ht="12.75">
      <c r="A6956" s="2" t="s">
        <v>179</v>
      </c>
    </row>
    <row r="6957" spans="1:1" ht="12.75">
      <c r="A6957" s="2" t="s">
        <v>185</v>
      </c>
    </row>
    <row r="6958" spans="1:1" ht="12.75">
      <c r="A6958" s="2" t="s">
        <v>184</v>
      </c>
    </row>
    <row r="6959" spans="1:1" ht="12.75">
      <c r="A6959" s="2" t="s">
        <v>169</v>
      </c>
    </row>
    <row r="6960" spans="1:1" ht="12.75">
      <c r="A6960" s="2" t="s">
        <v>185</v>
      </c>
    </row>
    <row r="6961" spans="1:1" ht="12.75">
      <c r="A6961" s="2" t="s">
        <v>177</v>
      </c>
    </row>
    <row r="6962" spans="1:1" ht="12.75">
      <c r="A6962" s="2" t="s">
        <v>177</v>
      </c>
    </row>
    <row r="6963" spans="1:1" ht="12.75">
      <c r="A6963" s="2" t="s">
        <v>177</v>
      </c>
    </row>
    <row r="6964" spans="1:1" ht="12.75">
      <c r="A6964" s="2" t="s">
        <v>162</v>
      </c>
    </row>
    <row r="6965" spans="1:1" ht="12.75">
      <c r="A6965" s="2" t="s">
        <v>174</v>
      </c>
    </row>
    <row r="6966" spans="1:1" ht="12.75">
      <c r="A6966" s="2" t="s">
        <v>175</v>
      </c>
    </row>
    <row r="6967" spans="1:1" ht="12.75">
      <c r="A6967" s="2" t="s">
        <v>184</v>
      </c>
    </row>
    <row r="6968" spans="1:1" ht="12.75">
      <c r="A6968" s="2" t="s">
        <v>175</v>
      </c>
    </row>
    <row r="6969" spans="1:1" ht="12.75">
      <c r="A6969" s="2" t="s">
        <v>185</v>
      </c>
    </row>
    <row r="6970" spans="1:1" ht="12.75">
      <c r="A6970" s="2" t="s">
        <v>185</v>
      </c>
    </row>
    <row r="6971" spans="1:1" ht="12.75">
      <c r="A6971" s="2" t="s">
        <v>185</v>
      </c>
    </row>
    <row r="6972" spans="1:1" ht="12.75">
      <c r="A6972" s="2" t="s">
        <v>167</v>
      </c>
    </row>
    <row r="6973" spans="1:1" ht="12.75">
      <c r="A6973" s="2" t="s">
        <v>179</v>
      </c>
    </row>
    <row r="6974" spans="1:1" ht="12.75">
      <c r="A6974" s="2" t="s">
        <v>517</v>
      </c>
    </row>
    <row r="6975" spans="1:1" ht="12.75">
      <c r="A6975" s="2" t="s">
        <v>179</v>
      </c>
    </row>
    <row r="6976" spans="1:1" ht="12.75">
      <c r="A6976" s="2" t="s">
        <v>177</v>
      </c>
    </row>
    <row r="6977" spans="1:1" ht="12.75">
      <c r="A6977" s="2" t="s">
        <v>162</v>
      </c>
    </row>
    <row r="6978" spans="1:1" ht="12.75">
      <c r="A6978" s="2" t="s">
        <v>179</v>
      </c>
    </row>
    <row r="6979" spans="1:1" ht="12.75">
      <c r="A6979" s="2" t="s">
        <v>162</v>
      </c>
    </row>
    <row r="6980" spans="1:1" ht="12.75">
      <c r="A6980" s="2" t="s">
        <v>160</v>
      </c>
    </row>
    <row r="6981" spans="1:1" ht="12.75">
      <c r="A6981" s="2" t="s">
        <v>162</v>
      </c>
    </row>
    <row r="6982" spans="1:1" ht="12.75">
      <c r="A6982" s="2" t="s">
        <v>160</v>
      </c>
    </row>
    <row r="6983" spans="1:1" ht="12.75">
      <c r="A6983" s="2" t="s">
        <v>160</v>
      </c>
    </row>
    <row r="6984" spans="1:1" ht="12.75">
      <c r="A6984" s="2" t="s">
        <v>163</v>
      </c>
    </row>
    <row r="6985" spans="1:1" ht="12.75">
      <c r="A6985" s="2" t="s">
        <v>160</v>
      </c>
    </row>
    <row r="6986" spans="1:1" ht="12.75">
      <c r="A6986" s="2" t="s">
        <v>178</v>
      </c>
    </row>
    <row r="6987" spans="1:1" ht="12.75">
      <c r="A6987" s="2" t="s">
        <v>160</v>
      </c>
    </row>
    <row r="6988" spans="1:1" ht="12.75">
      <c r="A6988" s="2" t="s">
        <v>518</v>
      </c>
    </row>
    <row r="6989" spans="1:1" ht="12.75">
      <c r="A6989" s="2" t="s">
        <v>185</v>
      </c>
    </row>
    <row r="6990" spans="1:1" ht="12.75">
      <c r="A6990" s="2" t="s">
        <v>167</v>
      </c>
    </row>
    <row r="6991" spans="1:1" ht="12.75">
      <c r="A6991" s="2" t="s">
        <v>185</v>
      </c>
    </row>
    <row r="6992" spans="1:1" ht="12.75">
      <c r="A6992" s="2" t="s">
        <v>167</v>
      </c>
    </row>
    <row r="6993" spans="1:1" ht="12.75">
      <c r="A6993" s="2" t="s">
        <v>175</v>
      </c>
    </row>
    <row r="6994" spans="1:1" ht="12.75">
      <c r="A6994" s="2" t="s">
        <v>175</v>
      </c>
    </row>
    <row r="6995" spans="1:1" ht="12.75">
      <c r="A6995" s="2" t="s">
        <v>169</v>
      </c>
    </row>
    <row r="6996" spans="1:1" ht="12.75">
      <c r="A6996" s="2" t="s">
        <v>167</v>
      </c>
    </row>
    <row r="6998" spans="1:1" ht="12.75">
      <c r="A6998" s="2" t="s">
        <v>167</v>
      </c>
    </row>
    <row r="6999" spans="1:1" ht="12.75">
      <c r="A6999" s="2" t="s">
        <v>162</v>
      </c>
    </row>
    <row r="7000" spans="1:1" ht="12.75">
      <c r="A7000" s="2" t="s">
        <v>184</v>
      </c>
    </row>
    <row r="7001" spans="1:1" ht="12.75">
      <c r="A7001" s="2" t="s">
        <v>162</v>
      </c>
    </row>
    <row r="7002" spans="1:1" ht="12.75">
      <c r="A7002" s="2" t="s">
        <v>184</v>
      </c>
    </row>
    <row r="7003" spans="1:1" ht="12.75">
      <c r="A7003" s="2" t="s">
        <v>162</v>
      </c>
    </row>
    <row r="7004" spans="1:1" ht="12.75">
      <c r="A7004" s="2" t="s">
        <v>179</v>
      </c>
    </row>
    <row r="7005" spans="1:1" ht="12.75">
      <c r="A7005" s="2" t="s">
        <v>175</v>
      </c>
    </row>
    <row r="7006" spans="1:1" ht="12.75">
      <c r="A7006" s="2" t="s">
        <v>179</v>
      </c>
    </row>
    <row r="7007" spans="1:1" ht="12.75">
      <c r="A7007" s="2" t="s">
        <v>175</v>
      </c>
    </row>
    <row r="7008" spans="1:1" ht="12.75">
      <c r="A7008" s="2" t="s">
        <v>179</v>
      </c>
    </row>
    <row r="7009" spans="1:1" ht="12.75">
      <c r="A7009" s="2" t="s">
        <v>167</v>
      </c>
    </row>
    <row r="7010" spans="1:1" ht="12.75">
      <c r="A7010" s="2" t="s">
        <v>174</v>
      </c>
    </row>
    <row r="7011" spans="1:1" ht="12.75">
      <c r="A7011" s="2" t="s">
        <v>167</v>
      </c>
    </row>
    <row r="7012" spans="1:1" ht="12.75">
      <c r="A7012" s="2" t="s">
        <v>221</v>
      </c>
    </row>
    <row r="7013" spans="1:1" ht="12.75">
      <c r="A7013" s="2" t="s">
        <v>167</v>
      </c>
    </row>
    <row r="7014" spans="1:1" ht="12.75">
      <c r="A7014" s="2" t="s">
        <v>185</v>
      </c>
    </row>
    <row r="7015" spans="1:1" ht="12.75">
      <c r="A7015" s="2" t="s">
        <v>221</v>
      </c>
    </row>
    <row r="7016" spans="1:1" ht="12.75">
      <c r="A7016" s="2" t="s">
        <v>162</v>
      </c>
    </row>
    <row r="7017" spans="1:1" ht="12.75">
      <c r="A7017" s="2" t="s">
        <v>169</v>
      </c>
    </row>
    <row r="7018" spans="1:1" ht="12.75">
      <c r="A7018" s="2" t="s">
        <v>179</v>
      </c>
    </row>
    <row r="7019" spans="1:1" ht="12.75">
      <c r="A7019" s="2" t="s">
        <v>179</v>
      </c>
    </row>
    <row r="7020" spans="1:1" ht="12.75">
      <c r="A7020" s="2" t="s">
        <v>169</v>
      </c>
    </row>
    <row r="7021" spans="1:1" ht="12.75">
      <c r="A7021" s="2" t="s">
        <v>184</v>
      </c>
    </row>
    <row r="7022" spans="1:1" ht="12.75">
      <c r="A7022" s="2" t="s">
        <v>169</v>
      </c>
    </row>
    <row r="7023" spans="1:1" ht="12.75">
      <c r="A7023" s="2" t="s">
        <v>160</v>
      </c>
    </row>
    <row r="7024" spans="1:1" ht="12.75">
      <c r="A7024" s="2" t="s">
        <v>184</v>
      </c>
    </row>
    <row r="7025" spans="1:1" ht="12.75">
      <c r="A7025" s="2" t="s">
        <v>160</v>
      </c>
    </row>
    <row r="7026" spans="1:1" ht="12.75">
      <c r="A7026" s="2" t="s">
        <v>184</v>
      </c>
    </row>
    <row r="7028" spans="1:1" ht="12.75">
      <c r="A7028" s="2" t="s">
        <v>179</v>
      </c>
    </row>
    <row r="7029" spans="1:1" ht="12.75">
      <c r="A7029" s="2" t="s">
        <v>196</v>
      </c>
    </row>
    <row r="7031" spans="1:1" ht="12.75">
      <c r="A7031" s="2" t="s">
        <v>169</v>
      </c>
    </row>
    <row r="7032" spans="1:1" ht="12.75">
      <c r="A7032" s="2" t="s">
        <v>307</v>
      </c>
    </row>
    <row r="7033" spans="1:1" ht="12.75">
      <c r="A7033" s="2" t="s">
        <v>175</v>
      </c>
    </row>
    <row r="7034" spans="1:1" ht="12.75">
      <c r="A7034" s="2" t="s">
        <v>174</v>
      </c>
    </row>
    <row r="7035" spans="1:1" ht="12.75">
      <c r="A7035" s="2" t="s">
        <v>184</v>
      </c>
    </row>
    <row r="7037" spans="1:1" ht="12.75">
      <c r="A7037" s="2" t="s">
        <v>185</v>
      </c>
    </row>
    <row r="7038" spans="1:1" ht="12.75">
      <c r="A7038" s="2" t="s">
        <v>175</v>
      </c>
    </row>
    <row r="7039" spans="1:1" ht="12.75">
      <c r="A7039" s="2" t="s">
        <v>221</v>
      </c>
    </row>
    <row r="7040" spans="1:1" ht="12.75">
      <c r="A7040" s="2" t="s">
        <v>177</v>
      </c>
    </row>
    <row r="7041" spans="1:1" ht="12.75">
      <c r="A7041" s="2" t="s">
        <v>179</v>
      </c>
    </row>
    <row r="7042" spans="1:1" ht="12.75">
      <c r="A7042" s="2" t="s">
        <v>177</v>
      </c>
    </row>
    <row r="7043" spans="1:1" ht="12.75">
      <c r="A7043" s="2" t="s">
        <v>162</v>
      </c>
    </row>
    <row r="7044" spans="1:1" ht="12.75">
      <c r="A7044" s="2" t="s">
        <v>167</v>
      </c>
    </row>
    <row r="7045" spans="1:1" ht="12.75">
      <c r="A7045" s="2" t="s">
        <v>162</v>
      </c>
    </row>
    <row r="7046" spans="1:1" ht="12.75">
      <c r="A7046" s="2" t="s">
        <v>179</v>
      </c>
    </row>
    <row r="7047" spans="1:1" ht="12.75">
      <c r="A7047" s="2" t="s">
        <v>162</v>
      </c>
    </row>
    <row r="7048" spans="1:1" ht="12.75">
      <c r="A7048" s="2" t="s">
        <v>169</v>
      </c>
    </row>
    <row r="7049" spans="1:1" ht="12.75">
      <c r="A7049" s="2" t="s">
        <v>160</v>
      </c>
    </row>
    <row r="7050" spans="1:1" ht="12.75">
      <c r="A7050" s="2" t="s">
        <v>196</v>
      </c>
    </row>
    <row r="7051" spans="1:1" ht="12.75">
      <c r="A7051" s="2" t="s">
        <v>160</v>
      </c>
    </row>
    <row r="7052" spans="1:1" ht="12.75">
      <c r="A7052" s="2" t="s">
        <v>196</v>
      </c>
    </row>
    <row r="7053" spans="1:1" ht="12.75">
      <c r="A7053" s="2" t="s">
        <v>179</v>
      </c>
    </row>
    <row r="7054" spans="1:1" ht="12.75">
      <c r="A7054" s="2" t="s">
        <v>184</v>
      </c>
    </row>
    <row r="7055" spans="1:1" ht="12.75">
      <c r="A7055" s="2" t="s">
        <v>184</v>
      </c>
    </row>
    <row r="7056" spans="1:1" ht="12.75">
      <c r="A7056" s="2" t="s">
        <v>184</v>
      </c>
    </row>
    <row r="7057" spans="1:1" ht="12.75">
      <c r="A7057" s="2" t="s">
        <v>184</v>
      </c>
    </row>
    <row r="7058" spans="1:1" ht="12.75">
      <c r="A7058" s="2" t="s">
        <v>162</v>
      </c>
    </row>
    <row r="7059" spans="1:1" ht="12.75">
      <c r="A7059" s="2" t="s">
        <v>169</v>
      </c>
    </row>
    <row r="7060" spans="1:1" ht="12.75">
      <c r="A7060" s="2" t="s">
        <v>179</v>
      </c>
    </row>
    <row r="7061" spans="1:1" ht="12.75">
      <c r="A7061" s="2" t="s">
        <v>162</v>
      </c>
    </row>
    <row r="7062" spans="1:1" ht="12.75">
      <c r="A7062" s="2" t="s">
        <v>179</v>
      </c>
    </row>
    <row r="7063" spans="1:1" ht="12.75">
      <c r="A7063" s="2" t="s">
        <v>160</v>
      </c>
    </row>
    <row r="7064" spans="1:1" ht="12.75">
      <c r="A7064" s="2" t="s">
        <v>179</v>
      </c>
    </row>
    <row r="7065" spans="1:1" ht="12.75">
      <c r="A7065" s="2" t="s">
        <v>160</v>
      </c>
    </row>
    <row r="7066" spans="1:1" ht="12.75">
      <c r="A7066" s="2" t="s">
        <v>179</v>
      </c>
    </row>
    <row r="7067" spans="1:1" ht="12.75">
      <c r="A7067" s="2" t="s">
        <v>160</v>
      </c>
    </row>
    <row r="7068" spans="1:1" ht="12.75">
      <c r="A7068" s="2" t="s">
        <v>167</v>
      </c>
    </row>
    <row r="7069" spans="1:1" ht="12.75">
      <c r="A7069" s="2" t="s">
        <v>162</v>
      </c>
    </row>
    <row r="7070" spans="1:1" ht="12.75">
      <c r="A7070" s="2" t="s">
        <v>167</v>
      </c>
    </row>
    <row r="7071" spans="1:1" ht="12.75">
      <c r="A7071" s="2" t="s">
        <v>162</v>
      </c>
    </row>
    <row r="7072" spans="1:1" ht="12.75">
      <c r="A7072" s="2" t="s">
        <v>167</v>
      </c>
    </row>
    <row r="7073" spans="1:1" ht="12.75">
      <c r="A7073" s="2" t="s">
        <v>162</v>
      </c>
    </row>
    <row r="7074" spans="1:1" ht="12.75">
      <c r="A7074" s="2" t="s">
        <v>185</v>
      </c>
    </row>
    <row r="7075" spans="1:1" ht="12.75">
      <c r="A7075" s="2" t="s">
        <v>184</v>
      </c>
    </row>
    <row r="7076" spans="1:1" ht="12.75">
      <c r="A7076" s="2" t="s">
        <v>177</v>
      </c>
    </row>
    <row r="7077" spans="1:1" ht="12.75">
      <c r="A7077" s="2" t="s">
        <v>184</v>
      </c>
    </row>
    <row r="7078" spans="1:1" ht="12.75">
      <c r="A7078" s="2" t="s">
        <v>177</v>
      </c>
    </row>
    <row r="7079" spans="1:1" ht="12.75">
      <c r="A7079" s="2" t="s">
        <v>185</v>
      </c>
    </row>
    <row r="7080" spans="1:1" ht="12.75">
      <c r="A7080" s="2" t="s">
        <v>169</v>
      </c>
    </row>
    <row r="7081" spans="1:1" ht="12.75">
      <c r="A7081" s="2" t="s">
        <v>167</v>
      </c>
    </row>
    <row r="7082" spans="1:1" ht="12.75">
      <c r="A7082" s="2" t="s">
        <v>169</v>
      </c>
    </row>
    <row r="7083" spans="1:1" ht="12.75">
      <c r="A7083" s="2" t="s">
        <v>167</v>
      </c>
    </row>
    <row r="7084" spans="1:1" ht="12.75">
      <c r="A7084" s="2" t="s">
        <v>169</v>
      </c>
    </row>
    <row r="7085" spans="1:1" ht="12.75">
      <c r="A7085" s="2" t="s">
        <v>177</v>
      </c>
    </row>
    <row r="7086" spans="1:1" ht="12.75">
      <c r="A7086" s="2" t="s">
        <v>184</v>
      </c>
    </row>
    <row r="7087" spans="1:1" ht="12.75">
      <c r="A7087" s="2" t="s">
        <v>167</v>
      </c>
    </row>
    <row r="7088" spans="1:1" ht="12.75">
      <c r="A7088" s="2" t="s">
        <v>174</v>
      </c>
    </row>
    <row r="7089" spans="1:1" ht="12.75">
      <c r="A7089" s="2" t="s">
        <v>170</v>
      </c>
    </row>
    <row r="7090" spans="1:1" ht="12.75">
      <c r="A7090" s="2" t="s">
        <v>179</v>
      </c>
    </row>
    <row r="7091" spans="1:1" ht="12.75">
      <c r="A7091" s="2" t="s">
        <v>169</v>
      </c>
    </row>
    <row r="7092" spans="1:1" ht="12.75">
      <c r="A7092" s="2" t="s">
        <v>177</v>
      </c>
    </row>
    <row r="7093" spans="1:1" ht="12.75">
      <c r="A7093" s="2" t="s">
        <v>169</v>
      </c>
    </row>
    <row r="7094" spans="1:1" ht="12.75">
      <c r="A7094" s="2" t="s">
        <v>179</v>
      </c>
    </row>
    <row r="7095" spans="1:1" ht="12.75">
      <c r="A7095" s="2" t="s">
        <v>174</v>
      </c>
    </row>
    <row r="7096" spans="1:1" ht="12.75">
      <c r="A7096" s="2" t="s">
        <v>221</v>
      </c>
    </row>
    <row r="7097" spans="1:1" ht="12.75">
      <c r="A7097" s="2" t="s">
        <v>177</v>
      </c>
    </row>
    <row r="7098" spans="1:1" ht="12.75">
      <c r="A7098" s="2" t="s">
        <v>170</v>
      </c>
    </row>
    <row r="7099" spans="1:1" ht="12.75">
      <c r="A7099" s="2" t="s">
        <v>185</v>
      </c>
    </row>
    <row r="7100" spans="1:1" ht="12.75">
      <c r="A7100" s="2" t="s">
        <v>177</v>
      </c>
    </row>
    <row r="7101" spans="1:1" ht="12.75">
      <c r="A7101" s="2" t="s">
        <v>174</v>
      </c>
    </row>
    <row r="7102" spans="1:1" ht="12.75">
      <c r="A7102" s="2" t="s">
        <v>177</v>
      </c>
    </row>
    <row r="7103" spans="1:1" ht="12.75">
      <c r="A7103" s="2" t="s">
        <v>169</v>
      </c>
    </row>
    <row r="7104" spans="1:1" ht="12.75">
      <c r="A7104" s="2" t="s">
        <v>177</v>
      </c>
    </row>
    <row r="7105" spans="1:1" ht="12.75">
      <c r="A7105" s="2" t="s">
        <v>177</v>
      </c>
    </row>
    <row r="7106" spans="1:1" ht="12.75">
      <c r="A7106" s="2" t="s">
        <v>167</v>
      </c>
    </row>
    <row r="7107" spans="1:1" ht="12.75">
      <c r="A7107" s="2" t="s">
        <v>179</v>
      </c>
    </row>
    <row r="7108" spans="1:1" ht="12.75">
      <c r="A7108" s="2" t="s">
        <v>179</v>
      </c>
    </row>
    <row r="7109" spans="1:1" ht="12.75">
      <c r="A7109" s="2" t="s">
        <v>161</v>
      </c>
    </row>
    <row r="7110" spans="1:1" ht="12.75">
      <c r="A7110" s="2" t="s">
        <v>179</v>
      </c>
    </row>
    <row r="7111" spans="1:1" ht="12.75">
      <c r="A7111" s="2" t="s">
        <v>161</v>
      </c>
    </row>
    <row r="7112" spans="1:1" ht="12.75">
      <c r="A7112" s="2" t="s">
        <v>179</v>
      </c>
    </row>
    <row r="7113" spans="1:1" ht="12.75">
      <c r="A7113" s="2" t="s">
        <v>161</v>
      </c>
    </row>
    <row r="7114" spans="1:1" ht="12.75">
      <c r="A7114" s="2" t="s">
        <v>174</v>
      </c>
    </row>
    <row r="7115" spans="1:1" ht="12.75">
      <c r="A7115" s="2" t="s">
        <v>169</v>
      </c>
    </row>
    <row r="7116" spans="1:1" ht="12.75">
      <c r="A7116" s="2" t="s">
        <v>174</v>
      </c>
    </row>
    <row r="7117" spans="1:1" ht="12.75">
      <c r="A7117" s="2" t="s">
        <v>169</v>
      </c>
    </row>
    <row r="7118" spans="1:1" ht="12.75">
      <c r="A7118" s="2" t="s">
        <v>184</v>
      </c>
    </row>
    <row r="7119" spans="1:1" ht="12.75">
      <c r="A7119" s="2" t="s">
        <v>184</v>
      </c>
    </row>
    <row r="7120" spans="1:1" ht="12.75">
      <c r="A7120" s="2" t="s">
        <v>169</v>
      </c>
    </row>
    <row r="7121" spans="1:1" ht="12.75">
      <c r="A7121" s="2" t="s">
        <v>184</v>
      </c>
    </row>
    <row r="7122" spans="1:1" ht="12.75">
      <c r="A7122" s="2" t="s">
        <v>160</v>
      </c>
    </row>
    <row r="7123" spans="1:1" ht="12.75">
      <c r="A7123" s="2" t="s">
        <v>179</v>
      </c>
    </row>
    <row r="7124" spans="1:1" ht="12.75">
      <c r="A7124" s="2" t="s">
        <v>163</v>
      </c>
    </row>
    <row r="7125" spans="1:1" ht="12.75">
      <c r="A7125" s="2" t="s">
        <v>160</v>
      </c>
    </row>
    <row r="7126" spans="1:1" ht="12.75">
      <c r="A7126" s="2" t="s">
        <v>167</v>
      </c>
    </row>
    <row r="7127" spans="1:1" ht="12.75">
      <c r="A7127" s="2" t="s">
        <v>184</v>
      </c>
    </row>
    <row r="7128" spans="1:1" ht="12.75">
      <c r="A7128" s="2" t="s">
        <v>179</v>
      </c>
    </row>
    <row r="7129" spans="1:1" ht="12.75">
      <c r="A7129" s="2" t="s">
        <v>167</v>
      </c>
    </row>
    <row r="7130" spans="1:1" ht="12.75">
      <c r="A7130" s="2" t="s">
        <v>179</v>
      </c>
    </row>
    <row r="7131" spans="1:1" ht="12.75">
      <c r="A7131" s="2" t="s">
        <v>167</v>
      </c>
    </row>
    <row r="7132" spans="1:1" ht="12.75">
      <c r="A7132" s="2" t="s">
        <v>167</v>
      </c>
    </row>
    <row r="7133" spans="1:1" ht="12.75">
      <c r="A7133" s="2" t="s">
        <v>167</v>
      </c>
    </row>
    <row r="7134" spans="1:1" ht="12.75">
      <c r="A7134" s="2" t="s">
        <v>196</v>
      </c>
    </row>
    <row r="7135" spans="1:1" ht="12.75">
      <c r="A7135" s="2" t="s">
        <v>167</v>
      </c>
    </row>
    <row r="7136" spans="1:1" ht="12.75">
      <c r="A7136" s="2" t="s">
        <v>162</v>
      </c>
    </row>
    <row r="7137" spans="1:1" ht="12.75">
      <c r="A7137" s="2" t="s">
        <v>162</v>
      </c>
    </row>
    <row r="7138" spans="1:1" ht="12.75">
      <c r="A7138" s="2" t="s">
        <v>167</v>
      </c>
    </row>
    <row r="7139" spans="1:1" ht="12.75">
      <c r="A7139" s="2" t="s">
        <v>162</v>
      </c>
    </row>
    <row r="7140" spans="1:1" ht="12.75">
      <c r="A7140" s="2" t="s">
        <v>175</v>
      </c>
    </row>
    <row r="7141" spans="1:1" ht="12.75">
      <c r="A7141" s="2" t="s">
        <v>160</v>
      </c>
    </row>
    <row r="7142" spans="1:1" ht="12.75">
      <c r="A7142" s="2" t="s">
        <v>175</v>
      </c>
    </row>
    <row r="7143" spans="1:1" ht="12.75">
      <c r="A7143" s="2" t="s">
        <v>185</v>
      </c>
    </row>
    <row r="7144" spans="1:1" ht="12.75">
      <c r="A7144" s="2" t="s">
        <v>165</v>
      </c>
    </row>
    <row r="7145" spans="1:1" ht="12.75">
      <c r="A7145" s="2" t="s">
        <v>185</v>
      </c>
    </row>
    <row r="7146" spans="1:1" ht="12.75">
      <c r="A7146" s="2" t="s">
        <v>167</v>
      </c>
    </row>
    <row r="7147" spans="1:1" ht="12.75">
      <c r="A7147" s="2" t="s">
        <v>184</v>
      </c>
    </row>
    <row r="7148" spans="1:1" ht="12.75">
      <c r="A7148" s="2" t="s">
        <v>179</v>
      </c>
    </row>
    <row r="7149" spans="1:1" ht="12.75">
      <c r="A7149" s="2" t="s">
        <v>177</v>
      </c>
    </row>
    <row r="7150" spans="1:1" ht="12.75">
      <c r="A7150" s="2" t="s">
        <v>184</v>
      </c>
    </row>
    <row r="7152" spans="1:1" ht="12.75">
      <c r="A7152" s="2" t="s">
        <v>170</v>
      </c>
    </row>
    <row r="7153" spans="1:1" ht="12.75">
      <c r="A7153" s="2" t="s">
        <v>162</v>
      </c>
    </row>
    <row r="7154" spans="1:1" ht="12.75">
      <c r="A7154" s="2" t="s">
        <v>177</v>
      </c>
    </row>
    <row r="7155" spans="1:1" ht="12.75">
      <c r="A7155" s="2" t="s">
        <v>162</v>
      </c>
    </row>
    <row r="7156" spans="1:1" ht="12.75">
      <c r="A7156" s="2" t="s">
        <v>175</v>
      </c>
    </row>
    <row r="7157" spans="1:1" ht="12.75">
      <c r="A7157" s="2" t="s">
        <v>185</v>
      </c>
    </row>
    <row r="7158" spans="1:1" ht="12.75">
      <c r="A7158" s="2" t="s">
        <v>519</v>
      </c>
    </row>
    <row r="7159" spans="1:1" ht="12.75">
      <c r="A7159" s="2" t="s">
        <v>160</v>
      </c>
    </row>
    <row r="7160" spans="1:1" ht="12.75">
      <c r="A7160" s="2" t="s">
        <v>170</v>
      </c>
    </row>
    <row r="7161" spans="1:1" ht="12.75">
      <c r="A7161" s="2" t="s">
        <v>177</v>
      </c>
    </row>
    <row r="7162" spans="1:1" ht="12.75">
      <c r="A7162" s="2" t="s">
        <v>178</v>
      </c>
    </row>
    <row r="7163" spans="1:1" ht="12.75">
      <c r="A7163" s="2" t="s">
        <v>169</v>
      </c>
    </row>
    <row r="7164" spans="1:1" ht="12.75">
      <c r="A7164" s="2" t="s">
        <v>170</v>
      </c>
    </row>
    <row r="7165" spans="1:1" ht="12.75">
      <c r="A7165" s="2" t="s">
        <v>160</v>
      </c>
    </row>
    <row r="7166" spans="1:1" ht="12.75">
      <c r="A7166" s="2" t="s">
        <v>167</v>
      </c>
    </row>
    <row r="7167" spans="1:1" ht="12.75">
      <c r="A7167" s="2" t="s">
        <v>178</v>
      </c>
    </row>
    <row r="7168" spans="1:1" ht="12.75">
      <c r="A7168" s="2" t="s">
        <v>167</v>
      </c>
    </row>
    <row r="7169" spans="1:1" ht="12.75">
      <c r="A7169" s="2" t="s">
        <v>179</v>
      </c>
    </row>
    <row r="7170" spans="1:1" ht="12.75">
      <c r="A7170" s="2" t="s">
        <v>179</v>
      </c>
    </row>
    <row r="7171" spans="1:1" ht="12.75">
      <c r="A7171" s="2" t="s">
        <v>167</v>
      </c>
    </row>
    <row r="7172" spans="1:1" ht="12.75">
      <c r="A7172" s="2" t="s">
        <v>179</v>
      </c>
    </row>
    <row r="7173" spans="1:1" ht="12.75">
      <c r="A7173" s="2" t="s">
        <v>185</v>
      </c>
    </row>
    <row r="7174" spans="1:1" ht="12.75">
      <c r="A7174" s="2" t="s">
        <v>185</v>
      </c>
    </row>
    <row r="7175" spans="1:1" ht="12.75">
      <c r="A7175" s="2" t="s">
        <v>170</v>
      </c>
    </row>
    <row r="7176" spans="1:1" ht="12.75">
      <c r="A7176" s="2" t="s">
        <v>177</v>
      </c>
    </row>
    <row r="7177" spans="1:1" ht="12.75">
      <c r="A7177" s="2" t="s">
        <v>170</v>
      </c>
    </row>
    <row r="7178" spans="1:1" ht="12.75">
      <c r="A7178" s="2" t="s">
        <v>177</v>
      </c>
    </row>
    <row r="7180" spans="1:1" ht="12.75">
      <c r="A7180" s="2" t="s">
        <v>185</v>
      </c>
    </row>
    <row r="7181" spans="1:1" ht="12.75">
      <c r="A7181" s="2" t="s">
        <v>174</v>
      </c>
    </row>
    <row r="7182" spans="1:1" ht="12.75">
      <c r="A7182" s="2" t="s">
        <v>184</v>
      </c>
    </row>
    <row r="7183" spans="1:1" ht="12.75">
      <c r="A7183" s="2" t="s">
        <v>169</v>
      </c>
    </row>
    <row r="7184" spans="1:1" ht="12.75">
      <c r="A7184" s="2" t="s">
        <v>184</v>
      </c>
    </row>
    <row r="7185" spans="1:1" ht="12.75">
      <c r="A7185" s="2" t="s">
        <v>169</v>
      </c>
    </row>
    <row r="7186" spans="1:1" ht="12.75">
      <c r="A7186" s="2" t="s">
        <v>184</v>
      </c>
    </row>
    <row r="7187" spans="1:1" ht="12.75">
      <c r="A7187" s="2" t="s">
        <v>169</v>
      </c>
    </row>
    <row r="7188" spans="1:1" ht="12.75">
      <c r="A7188" s="2" t="s">
        <v>184</v>
      </c>
    </row>
    <row r="7189" spans="1:1" ht="12.75">
      <c r="A7189" s="2" t="s">
        <v>184</v>
      </c>
    </row>
    <row r="7190" spans="1:1" ht="12.75">
      <c r="A7190" s="2" t="s">
        <v>179</v>
      </c>
    </row>
    <row r="7191" spans="1:1" ht="12.75">
      <c r="A7191" s="2" t="s">
        <v>177</v>
      </c>
    </row>
    <row r="7192" spans="1:1" ht="12.75">
      <c r="A7192" s="2" t="s">
        <v>170</v>
      </c>
    </row>
    <row r="7193" spans="1:1" ht="12.75">
      <c r="A7193" s="2" t="s">
        <v>177</v>
      </c>
    </row>
    <row r="7194" spans="1:1" ht="12.75">
      <c r="A7194" s="2" t="s">
        <v>184</v>
      </c>
    </row>
    <row r="7195" spans="1:1" ht="12.75">
      <c r="A7195" s="2" t="s">
        <v>167</v>
      </c>
    </row>
    <row r="7196" spans="1:1" ht="12.75">
      <c r="A7196" s="2" t="s">
        <v>170</v>
      </c>
    </row>
    <row r="7197" spans="1:1" ht="12.75">
      <c r="A7197" s="2" t="s">
        <v>167</v>
      </c>
    </row>
    <row r="7198" spans="1:1" ht="12.75">
      <c r="A7198" s="2" t="s">
        <v>160</v>
      </c>
    </row>
    <row r="7199" spans="1:1" ht="12.75">
      <c r="A7199" s="2" t="s">
        <v>179</v>
      </c>
    </row>
    <row r="7200" spans="1:1" ht="12.75">
      <c r="A7200" s="2" t="s">
        <v>167</v>
      </c>
    </row>
    <row r="7201" spans="1:1" ht="12.75">
      <c r="A7201" s="2" t="s">
        <v>185</v>
      </c>
    </row>
    <row r="7202" spans="1:1" ht="12.75">
      <c r="A7202" s="2" t="s">
        <v>177</v>
      </c>
    </row>
    <row r="7203" spans="1:1" ht="12.75">
      <c r="A7203" s="2" t="s">
        <v>166</v>
      </c>
    </row>
    <row r="7204" spans="1:1" ht="12.75">
      <c r="A7204" s="2" t="s">
        <v>177</v>
      </c>
    </row>
    <row r="7205" spans="1:1" ht="12.75">
      <c r="A7205" s="2" t="s">
        <v>166</v>
      </c>
    </row>
    <row r="7206" spans="1:1" ht="12.75">
      <c r="A7206" s="2" t="s">
        <v>185</v>
      </c>
    </row>
    <row r="7207" spans="1:1" ht="12.75">
      <c r="A7207" s="2" t="s">
        <v>184</v>
      </c>
    </row>
    <row r="7208" spans="1:1" ht="12.75">
      <c r="A7208" s="2" t="s">
        <v>185</v>
      </c>
    </row>
    <row r="7209" spans="1:1" ht="12.75">
      <c r="A7209" s="2" t="s">
        <v>275</v>
      </c>
    </row>
    <row r="7211" spans="1:1" ht="12.75">
      <c r="A7211" s="2" t="s">
        <v>167</v>
      </c>
    </row>
    <row r="7212" spans="1:1" ht="12.75">
      <c r="A7212" s="2" t="s">
        <v>221</v>
      </c>
    </row>
    <row r="7213" spans="1:1" ht="12.75">
      <c r="A7213" s="2" t="s">
        <v>163</v>
      </c>
    </row>
    <row r="7214" spans="1:1" ht="12.75">
      <c r="A7214" s="2" t="s">
        <v>162</v>
      </c>
    </row>
    <row r="7215" spans="1:1" ht="12.75">
      <c r="A7215" s="2" t="s">
        <v>164</v>
      </c>
    </row>
    <row r="7216" spans="1:1" ht="12.75">
      <c r="A7216" s="2" t="s">
        <v>162</v>
      </c>
    </row>
    <row r="7217" spans="1:1" ht="12.75">
      <c r="A7217" s="2" t="s">
        <v>179</v>
      </c>
    </row>
    <row r="7218" spans="1:1" ht="12.75">
      <c r="A7218" s="2" t="s">
        <v>177</v>
      </c>
    </row>
    <row r="7219" spans="1:1" ht="12.75">
      <c r="A7219" s="2" t="s">
        <v>167</v>
      </c>
    </row>
    <row r="7220" spans="1:1" ht="12.75">
      <c r="A7220" s="2" t="s">
        <v>177</v>
      </c>
    </row>
    <row r="7221" spans="1:1" ht="12.75">
      <c r="A7221" s="2" t="s">
        <v>167</v>
      </c>
    </row>
    <row r="7222" spans="1:1" ht="12.75">
      <c r="A7222" s="2" t="s">
        <v>179</v>
      </c>
    </row>
    <row r="7223" spans="1:1" ht="12.75">
      <c r="A7223" s="2" t="s">
        <v>167</v>
      </c>
    </row>
    <row r="7224" spans="1:1" ht="12.75">
      <c r="A7224" s="2" t="s">
        <v>179</v>
      </c>
    </row>
    <row r="7225" spans="1:1" ht="12.75">
      <c r="A7225" s="2" t="s">
        <v>185</v>
      </c>
    </row>
    <row r="7226" spans="1:1" ht="12.75">
      <c r="A7226" s="2" t="s">
        <v>179</v>
      </c>
    </row>
    <row r="7227" spans="1:1" ht="12.75">
      <c r="A7227" s="2" t="s">
        <v>177</v>
      </c>
    </row>
    <row r="7228" spans="1:1" ht="12.75">
      <c r="A7228" s="2" t="s">
        <v>167</v>
      </c>
    </row>
    <row r="7229" spans="1:1" ht="12.75">
      <c r="A7229" s="2" t="s">
        <v>162</v>
      </c>
    </row>
    <row r="7230" spans="1:1" ht="12.75">
      <c r="A7230" s="2" t="s">
        <v>185</v>
      </c>
    </row>
    <row r="7231" spans="1:1" ht="12.75">
      <c r="A7231" s="2" t="s">
        <v>179</v>
      </c>
    </row>
    <row r="7232" spans="1:1" ht="12.75">
      <c r="A7232" s="2" t="s">
        <v>162</v>
      </c>
    </row>
    <row r="7233" spans="1:1" ht="12.75">
      <c r="A7233" s="2" t="s">
        <v>179</v>
      </c>
    </row>
    <row r="7234" spans="1:1" ht="12.75">
      <c r="A7234" s="2" t="s">
        <v>162</v>
      </c>
    </row>
    <row r="7235" spans="1:1" ht="12.75">
      <c r="A7235" s="2" t="s">
        <v>167</v>
      </c>
    </row>
    <row r="7236" spans="1:1" ht="12.75">
      <c r="A7236" s="2" t="s">
        <v>170</v>
      </c>
    </row>
    <row r="7237" spans="1:1" ht="12.75">
      <c r="A7237" s="2" t="s">
        <v>167</v>
      </c>
    </row>
    <row r="7238" spans="1:1" ht="12.75">
      <c r="A7238" s="2" t="s">
        <v>170</v>
      </c>
    </row>
    <row r="7239" spans="1:1" ht="12.75">
      <c r="A7239" s="2" t="s">
        <v>177</v>
      </c>
    </row>
    <row r="7240" spans="1:1" ht="12.75">
      <c r="A7240" s="2" t="s">
        <v>179</v>
      </c>
    </row>
    <row r="7241" spans="1:1" ht="12.75">
      <c r="A7241" s="2" t="s">
        <v>185</v>
      </c>
    </row>
    <row r="7242" spans="1:1" ht="12.75">
      <c r="A7242" s="2" t="s">
        <v>179</v>
      </c>
    </row>
    <row r="7243" spans="1:1" ht="12.75">
      <c r="A7243" s="2" t="s">
        <v>185</v>
      </c>
    </row>
    <row r="7245" spans="1:1" ht="12.75">
      <c r="A7245" s="2" t="s">
        <v>179</v>
      </c>
    </row>
    <row r="7246" spans="1:1" ht="12.75">
      <c r="A7246" s="2" t="s">
        <v>177</v>
      </c>
    </row>
    <row r="7247" spans="1:1" ht="12.75">
      <c r="A7247" s="2" t="s">
        <v>162</v>
      </c>
    </row>
    <row r="7248" spans="1:1" ht="12.75">
      <c r="A7248" s="2" t="s">
        <v>167</v>
      </c>
    </row>
    <row r="7249" spans="1:1" ht="12.75">
      <c r="A7249" s="2" t="s">
        <v>162</v>
      </c>
    </row>
    <row r="7250" spans="1:1" ht="12.75">
      <c r="A7250" s="2" t="s">
        <v>167</v>
      </c>
    </row>
    <row r="7251" spans="1:1" ht="12.75">
      <c r="A7251" s="2" t="s">
        <v>162</v>
      </c>
    </row>
    <row r="7252" spans="1:1" ht="12.75">
      <c r="A7252" s="2" t="s">
        <v>167</v>
      </c>
    </row>
    <row r="7253" spans="1:1" ht="12.75">
      <c r="A7253" s="2" t="s">
        <v>170</v>
      </c>
    </row>
    <row r="7254" spans="1:1" ht="12.75">
      <c r="A7254" s="2" t="s">
        <v>169</v>
      </c>
    </row>
    <row r="7255" spans="1:1" ht="12.75">
      <c r="A7255" s="2" t="s">
        <v>160</v>
      </c>
    </row>
    <row r="7256" spans="1:1" ht="12.75">
      <c r="A7256" s="2" t="s">
        <v>169</v>
      </c>
    </row>
    <row r="7257" spans="1:1" ht="12.75">
      <c r="A7257" s="2" t="s">
        <v>160</v>
      </c>
    </row>
    <row r="7258" spans="1:1" ht="12.75">
      <c r="A7258" s="2" t="s">
        <v>221</v>
      </c>
    </row>
    <row r="7260" spans="1:1" ht="12.75">
      <c r="A7260" s="2" t="s">
        <v>175</v>
      </c>
    </row>
    <row r="7261" spans="1:1" ht="12.75">
      <c r="A7261" s="2" t="s">
        <v>169</v>
      </c>
    </row>
    <row r="7262" spans="1:1" ht="12.75">
      <c r="A7262" s="2" t="s">
        <v>179</v>
      </c>
    </row>
    <row r="7263" spans="1:1" ht="12.75">
      <c r="A7263" s="2" t="s">
        <v>169</v>
      </c>
    </row>
    <row r="7264" spans="1:1" ht="12.75">
      <c r="A7264" s="2" t="s">
        <v>170</v>
      </c>
    </row>
    <row r="7265" spans="1:1" ht="12.75">
      <c r="A7265" s="2" t="s">
        <v>169</v>
      </c>
    </row>
    <row r="7266" spans="1:1" ht="12.75">
      <c r="A7266" s="2" t="s">
        <v>169</v>
      </c>
    </row>
    <row r="7267" spans="1:1" ht="12.75">
      <c r="A7267" s="2" t="s">
        <v>169</v>
      </c>
    </row>
    <row r="7269" spans="1:1" ht="12.75">
      <c r="A7269" s="2" t="s">
        <v>167</v>
      </c>
    </row>
    <row r="7270" spans="1:1" ht="12.75">
      <c r="A7270" s="2" t="s">
        <v>167</v>
      </c>
    </row>
    <row r="7271" spans="1:1" ht="12.75">
      <c r="A7271" s="2" t="s">
        <v>179</v>
      </c>
    </row>
    <row r="7273" spans="1:1" ht="12.75">
      <c r="A7273" s="2" t="s">
        <v>164</v>
      </c>
    </row>
    <row r="7274" spans="1:1" ht="12.75">
      <c r="A7274" s="2" t="s">
        <v>162</v>
      </c>
    </row>
    <row r="7276" spans="1:1" ht="12.75">
      <c r="A7276" s="2" t="s">
        <v>162</v>
      </c>
    </row>
    <row r="7277" spans="1:1" ht="12.75">
      <c r="A7277" s="2" t="s">
        <v>164</v>
      </c>
    </row>
    <row r="7279" spans="1:1" ht="12.75">
      <c r="A7279" s="2" t="s">
        <v>175</v>
      </c>
    </row>
    <row r="7280" spans="1:1" ht="12.75">
      <c r="A7280" s="2" t="s">
        <v>169</v>
      </c>
    </row>
    <row r="7281" spans="1:1" ht="12.75">
      <c r="A7281" s="2" t="s">
        <v>175</v>
      </c>
    </row>
    <row r="7282" spans="1:1" ht="12.75">
      <c r="A7282" s="2" t="s">
        <v>185</v>
      </c>
    </row>
    <row r="7283" spans="1:1" ht="12.75">
      <c r="A7283" s="2" t="s">
        <v>174</v>
      </c>
    </row>
    <row r="7284" spans="1:1" ht="12.75">
      <c r="A7284" s="2" t="s">
        <v>167</v>
      </c>
    </row>
    <row r="7285" spans="1:1" ht="12.75">
      <c r="A7285" s="2" t="s">
        <v>174</v>
      </c>
    </row>
    <row r="7286" spans="1:1" ht="12.75">
      <c r="A7286" s="2" t="s">
        <v>174</v>
      </c>
    </row>
    <row r="7287" spans="1:1" ht="12.75">
      <c r="A7287" s="2" t="s">
        <v>162</v>
      </c>
    </row>
    <row r="7288" spans="1:1" ht="12.75">
      <c r="A7288" s="2" t="s">
        <v>175</v>
      </c>
    </row>
    <row r="7289" spans="1:1" ht="12.75">
      <c r="A7289" s="2" t="s">
        <v>162</v>
      </c>
    </row>
    <row r="7290" spans="1:1" ht="12.75">
      <c r="A7290" s="2" t="s">
        <v>162</v>
      </c>
    </row>
    <row r="7291" spans="1:1" ht="12.75">
      <c r="A7291" s="2" t="s">
        <v>160</v>
      </c>
    </row>
    <row r="7292" spans="1:1" ht="12.75">
      <c r="A7292" s="2" t="s">
        <v>169</v>
      </c>
    </row>
    <row r="7293" spans="1:1" ht="12.75">
      <c r="A7293" s="2" t="s">
        <v>177</v>
      </c>
    </row>
    <row r="7294" spans="1:1" ht="12.75">
      <c r="A7294" s="2" t="s">
        <v>160</v>
      </c>
    </row>
    <row r="7295" spans="1:1" ht="12.75">
      <c r="A7295" s="2" t="s">
        <v>175</v>
      </c>
    </row>
    <row r="7296" spans="1:1" ht="12.75">
      <c r="A7296" s="2" t="s">
        <v>160</v>
      </c>
    </row>
    <row r="7297" spans="1:1" ht="12.75">
      <c r="A7297" s="2" t="s">
        <v>169</v>
      </c>
    </row>
    <row r="7298" spans="1:1" ht="12.75">
      <c r="A7298" s="2" t="s">
        <v>178</v>
      </c>
    </row>
    <row r="7299" spans="1:1" ht="12.75">
      <c r="A7299" s="2" t="s">
        <v>169</v>
      </c>
    </row>
    <row r="7300" spans="1:1" ht="12.75">
      <c r="A7300" s="2" t="s">
        <v>178</v>
      </c>
    </row>
    <row r="7302" spans="1:1" ht="12.75">
      <c r="A7302" s="2" t="s">
        <v>167</v>
      </c>
    </row>
    <row r="7303" spans="1:1" ht="12.75">
      <c r="A7303" s="2" t="s">
        <v>196</v>
      </c>
    </row>
    <row r="7304" spans="1:1" ht="12.75">
      <c r="A7304" s="2" t="s">
        <v>167</v>
      </c>
    </row>
    <row r="7305" spans="1:1" ht="12.75">
      <c r="A7305" s="2" t="s">
        <v>196</v>
      </c>
    </row>
    <row r="7306" spans="1:1" ht="12.75">
      <c r="A7306" s="2" t="s">
        <v>174</v>
      </c>
    </row>
    <row r="7307" spans="1:1" ht="12.75">
      <c r="A7307" s="2" t="s">
        <v>169</v>
      </c>
    </row>
    <row r="7308" spans="1:1" ht="12.75">
      <c r="A7308" s="2" t="s">
        <v>185</v>
      </c>
    </row>
    <row r="7309" spans="1:1" ht="12.75">
      <c r="A7309" s="2" t="s">
        <v>520</v>
      </c>
    </row>
    <row r="7310" spans="1:1" ht="12.75">
      <c r="A7310" s="2" t="s">
        <v>520</v>
      </c>
    </row>
    <row r="7311" spans="1:1" ht="12.75">
      <c r="A7311" s="2" t="s">
        <v>369</v>
      </c>
    </row>
    <row r="7312" spans="1:1" ht="12.75">
      <c r="A7312" s="2" t="s">
        <v>369</v>
      </c>
    </row>
    <row r="7313" spans="1:1" ht="12.75">
      <c r="A7313" s="2" t="s">
        <v>520</v>
      </c>
    </row>
    <row r="7314" spans="1:1" ht="12.75">
      <c r="A7314" s="2" t="s">
        <v>520</v>
      </c>
    </row>
    <row r="7317" spans="1:1" ht="12.75">
      <c r="A7317" s="2" t="s">
        <v>304</v>
      </c>
    </row>
    <row r="7318" spans="1:1" ht="12.75">
      <c r="A7318" s="2" t="s">
        <v>304</v>
      </c>
    </row>
    <row r="7319" spans="1:1" ht="12.75">
      <c r="A7319" s="2" t="s">
        <v>304</v>
      </c>
    </row>
    <row r="7320" spans="1:1" ht="12.75">
      <c r="A7320" s="2" t="s">
        <v>304</v>
      </c>
    </row>
    <row r="7321" spans="1:1" ht="12.75">
      <c r="A7321" s="2" t="s">
        <v>304</v>
      </c>
    </row>
    <row r="7322" spans="1:1" ht="12.75">
      <c r="A7322" s="2" t="s">
        <v>304</v>
      </c>
    </row>
    <row r="7323" spans="1:1" ht="12.75">
      <c r="A7323" s="2" t="s">
        <v>304</v>
      </c>
    </row>
    <row r="7324" spans="1:1" ht="12.75">
      <c r="A7324" s="2" t="s">
        <v>304</v>
      </c>
    </row>
    <row r="7325" spans="1:1" ht="12.75">
      <c r="A7325" s="2" t="s">
        <v>304</v>
      </c>
    </row>
    <row r="7326" spans="1:1" ht="12.75">
      <c r="A7326" s="2" t="s">
        <v>304</v>
      </c>
    </row>
    <row r="7327" spans="1:1" ht="12.75">
      <c r="A7327" s="2" t="s">
        <v>304</v>
      </c>
    </row>
    <row r="7328" spans="1:1" ht="12.75">
      <c r="A7328" s="2" t="s">
        <v>304</v>
      </c>
    </row>
    <row r="7329" spans="1:1" ht="12.75">
      <c r="A7329" s="2" t="s">
        <v>304</v>
      </c>
    </row>
    <row r="7330" spans="1:1" ht="12.75">
      <c r="A7330" s="2" t="s">
        <v>304</v>
      </c>
    </row>
    <row r="7331" spans="1:1" ht="12.75">
      <c r="A7331" s="2" t="s">
        <v>304</v>
      </c>
    </row>
    <row r="7332" spans="1:1" ht="12.75">
      <c r="A7332" s="2" t="s">
        <v>304</v>
      </c>
    </row>
    <row r="7333" spans="1:1" ht="12.75">
      <c r="A7333" s="2" t="s">
        <v>304</v>
      </c>
    </row>
    <row r="7334" spans="1:1" ht="12.75">
      <c r="A7334" s="2" t="s">
        <v>304</v>
      </c>
    </row>
    <row r="7335" spans="1:1" ht="12.75">
      <c r="A7335" s="2" t="s">
        <v>304</v>
      </c>
    </row>
    <row r="7336" spans="1:1" ht="12.75">
      <c r="A7336" s="2" t="s">
        <v>304</v>
      </c>
    </row>
    <row r="7337" spans="1:1" ht="12.75">
      <c r="A7337" s="2" t="s">
        <v>304</v>
      </c>
    </row>
    <row r="7338" spans="1:1" ht="12.75">
      <c r="A7338" s="2" t="s">
        <v>304</v>
      </c>
    </row>
    <row r="7339" spans="1:1" ht="12.75">
      <c r="A7339" s="2" t="s">
        <v>304</v>
      </c>
    </row>
    <row r="7340" spans="1:1" ht="12.75">
      <c r="A7340" s="2" t="s">
        <v>304</v>
      </c>
    </row>
    <row r="7341" spans="1:1" ht="12.75">
      <c r="A7341" s="2" t="s">
        <v>304</v>
      </c>
    </row>
    <row r="7342" spans="1:1" ht="12.75">
      <c r="A7342" s="2" t="s">
        <v>304</v>
      </c>
    </row>
    <row r="7343" spans="1:1" ht="12.75">
      <c r="A7343" s="2" t="s">
        <v>304</v>
      </c>
    </row>
    <row r="7344" spans="1:1" ht="12.75">
      <c r="A7344" s="2" t="s">
        <v>304</v>
      </c>
    </row>
    <row r="7345" spans="1:1" ht="12.75">
      <c r="A7345" s="2" t="s">
        <v>304</v>
      </c>
    </row>
    <row r="7346" spans="1:1" ht="12.75">
      <c r="A7346" s="2" t="s">
        <v>304</v>
      </c>
    </row>
    <row r="7347" spans="1:1" ht="12.75">
      <c r="A7347" s="2" t="s">
        <v>304</v>
      </c>
    </row>
    <row r="7348" spans="1:1" ht="12.75">
      <c r="A7348" s="2" t="s">
        <v>304</v>
      </c>
    </row>
    <row r="7349" spans="1:1" ht="12.75">
      <c r="A7349" s="2" t="s">
        <v>304</v>
      </c>
    </row>
    <row r="7350" spans="1:1" ht="12.75">
      <c r="A7350" s="2" t="s">
        <v>304</v>
      </c>
    </row>
    <row r="7351" spans="1:1" ht="12.75">
      <c r="A7351" s="2" t="s">
        <v>304</v>
      </c>
    </row>
    <row r="7352" spans="1:1" ht="12.75">
      <c r="A7352" s="2" t="s">
        <v>304</v>
      </c>
    </row>
    <row r="7353" spans="1:1" ht="12.75">
      <c r="A7353" s="2" t="s">
        <v>304</v>
      </c>
    </row>
    <row r="7354" spans="1:1" ht="12.75">
      <c r="A7354" s="2" t="s">
        <v>304</v>
      </c>
    </row>
    <row r="7355" spans="1:1" ht="12.75">
      <c r="A7355" s="2" t="s">
        <v>304</v>
      </c>
    </row>
    <row r="7356" spans="1:1" ht="12.75">
      <c r="A7356" s="2" t="s">
        <v>304</v>
      </c>
    </row>
    <row r="7357" spans="1:1" ht="12.75">
      <c r="A7357" s="2" t="s">
        <v>304</v>
      </c>
    </row>
    <row r="7358" spans="1:1" ht="12.75">
      <c r="A7358" s="2" t="s">
        <v>304</v>
      </c>
    </row>
    <row r="7359" spans="1:1" ht="12.75">
      <c r="A7359" s="2" t="s">
        <v>304</v>
      </c>
    </row>
    <row r="7360" spans="1:1" ht="12.75">
      <c r="A7360" s="2" t="s">
        <v>304</v>
      </c>
    </row>
    <row r="7361" spans="1:1" ht="12.75">
      <c r="A7361" s="2" t="s">
        <v>304</v>
      </c>
    </row>
    <row r="7362" spans="1:1" ht="12.75">
      <c r="A7362" s="2" t="s">
        <v>304</v>
      </c>
    </row>
    <row r="7363" spans="1:1" ht="12.75">
      <c r="A7363" s="2" t="s">
        <v>304</v>
      </c>
    </row>
    <row r="7364" spans="1:1" ht="12.75">
      <c r="A7364" s="2" t="s">
        <v>304</v>
      </c>
    </row>
    <row r="7365" spans="1:1" ht="12.75">
      <c r="A7365" s="2" t="s">
        <v>304</v>
      </c>
    </row>
    <row r="7366" spans="1:1" ht="12.75">
      <c r="A7366" s="2" t="s">
        <v>304</v>
      </c>
    </row>
    <row r="7367" spans="1:1" ht="12.75">
      <c r="A7367" s="2" t="s">
        <v>304</v>
      </c>
    </row>
    <row r="7368" spans="1:1" ht="12.75">
      <c r="A7368" s="2" t="s">
        <v>304</v>
      </c>
    </row>
    <row r="7369" spans="1:1" ht="12.75">
      <c r="A7369" s="2" t="s">
        <v>304</v>
      </c>
    </row>
    <row r="7370" spans="1:1" ht="12.75">
      <c r="A7370" s="2" t="s">
        <v>304</v>
      </c>
    </row>
    <row r="7371" spans="1:1" ht="12.75">
      <c r="A7371" s="2" t="s">
        <v>304</v>
      </c>
    </row>
    <row r="7372" spans="1:1" ht="12.75">
      <c r="A7372" s="2" t="s">
        <v>304</v>
      </c>
    </row>
    <row r="7373" spans="1:1" ht="12.75">
      <c r="A7373" s="2" t="s">
        <v>304</v>
      </c>
    </row>
    <row r="7374" spans="1:1" ht="12.75">
      <c r="A7374" s="2" t="s">
        <v>304</v>
      </c>
    </row>
    <row r="7375" spans="1:1" ht="12.75">
      <c r="A7375" s="2" t="s">
        <v>304</v>
      </c>
    </row>
    <row r="7376" spans="1:1" ht="12.75">
      <c r="A7376" s="2" t="s">
        <v>304</v>
      </c>
    </row>
    <row r="7377" spans="1:1" ht="12.75">
      <c r="A7377" s="2" t="s">
        <v>364</v>
      </c>
    </row>
    <row r="7378" spans="1:1" ht="12.75">
      <c r="A7378" s="2" t="s">
        <v>364</v>
      </c>
    </row>
    <row r="7379" spans="1:1" ht="12.75">
      <c r="A7379" s="2" t="s">
        <v>212</v>
      </c>
    </row>
    <row r="7380" spans="1:1" ht="12.75">
      <c r="A7380" s="2" t="s">
        <v>212</v>
      </c>
    </row>
    <row r="7381" spans="1:1" ht="12.75">
      <c r="A7381" s="2" t="s">
        <v>212</v>
      </c>
    </row>
    <row r="7382" spans="1:1" ht="12.75">
      <c r="A7382" s="2" t="s">
        <v>209</v>
      </c>
    </row>
    <row r="7383" spans="1:1" ht="12.75">
      <c r="A7383" s="2" t="s">
        <v>209</v>
      </c>
    </row>
    <row r="7384" spans="1:1" ht="12.75">
      <c r="A7384" s="2" t="s">
        <v>209</v>
      </c>
    </row>
    <row r="7385" spans="1:1" ht="12.75">
      <c r="A7385" s="2" t="s">
        <v>486</v>
      </c>
    </row>
    <row r="7386" spans="1:1" ht="12.75">
      <c r="A7386" s="2" t="s">
        <v>486</v>
      </c>
    </row>
    <row r="7387" spans="1:1" ht="12.75">
      <c r="A7387" s="2" t="s">
        <v>364</v>
      </c>
    </row>
    <row r="7388" spans="1:1" ht="12.75">
      <c r="A7388" s="2" t="s">
        <v>148</v>
      </c>
    </row>
    <row r="7389" spans="1:1" ht="12.75">
      <c r="A7389" s="2" t="s">
        <v>365</v>
      </c>
    </row>
    <row r="7390" spans="1:1" ht="12.75">
      <c r="A7390" s="2" t="s">
        <v>486</v>
      </c>
    </row>
    <row r="7391" spans="1:1" ht="12.75">
      <c r="A7391" s="2" t="s">
        <v>366</v>
      </c>
    </row>
    <row r="7392" spans="1:1" ht="12.75">
      <c r="A7392" s="2" t="s">
        <v>521</v>
      </c>
    </row>
    <row r="7393" spans="1:1" ht="12.75">
      <c r="A7393" s="2" t="s">
        <v>210</v>
      </c>
    </row>
    <row r="7394" spans="1:1" ht="12.75">
      <c r="A7394" s="2" t="s">
        <v>210</v>
      </c>
    </row>
    <row r="7395" spans="1:1" ht="12.75">
      <c r="A7395" s="2" t="s">
        <v>210</v>
      </c>
    </row>
    <row r="7396" spans="1:1" ht="12.75">
      <c r="A7396" s="2" t="s">
        <v>210</v>
      </c>
    </row>
    <row r="7397" spans="1:1" ht="12.75">
      <c r="A7397" s="2" t="s">
        <v>522</v>
      </c>
    </row>
    <row r="7398" spans="1:1" ht="12.75">
      <c r="A7398" s="2" t="s">
        <v>522</v>
      </c>
    </row>
    <row r="7399" spans="1:1" ht="12.75">
      <c r="A7399" s="2" t="s">
        <v>226</v>
      </c>
    </row>
    <row r="7400" spans="1:1" ht="12.75">
      <c r="A7400" s="2" t="s">
        <v>226</v>
      </c>
    </row>
    <row r="7401" spans="1:1" ht="12.75">
      <c r="A7401" s="2" t="s">
        <v>523</v>
      </c>
    </row>
    <row r="7402" spans="1:1" ht="12.75">
      <c r="A7402" s="2" t="s">
        <v>523</v>
      </c>
    </row>
    <row r="7403" spans="1:1" ht="12.75">
      <c r="A7403" s="2" t="s">
        <v>523</v>
      </c>
    </row>
    <row r="7404" spans="1:1" ht="12.75">
      <c r="A7404" s="2" t="s">
        <v>523</v>
      </c>
    </row>
    <row r="7405" spans="1:1" ht="12.75">
      <c r="A7405" s="2" t="s">
        <v>523</v>
      </c>
    </row>
    <row r="7406" spans="1:1" ht="12.75">
      <c r="A7406" s="2" t="s">
        <v>523</v>
      </c>
    </row>
    <row r="7407" spans="1:1" ht="12.75">
      <c r="A7407" s="2" t="s">
        <v>523</v>
      </c>
    </row>
    <row r="7408" spans="1:1" ht="12.75">
      <c r="A7408" s="2" t="s">
        <v>523</v>
      </c>
    </row>
    <row r="7409" spans="1:1" ht="12.75">
      <c r="A7409" s="2" t="s">
        <v>523</v>
      </c>
    </row>
    <row r="7410" spans="1:1" ht="12.75">
      <c r="A7410" s="2" t="s">
        <v>523</v>
      </c>
    </row>
    <row r="7411" spans="1:1" ht="12.75">
      <c r="A7411" s="2" t="s">
        <v>523</v>
      </c>
    </row>
    <row r="7412" spans="1:1" ht="12.75">
      <c r="A7412" s="2" t="s">
        <v>523</v>
      </c>
    </row>
    <row r="7413" spans="1:1" ht="12.75">
      <c r="A7413" s="2" t="s">
        <v>523</v>
      </c>
    </row>
    <row r="7414" spans="1:1" ht="12.75">
      <c r="A7414" s="2" t="s">
        <v>523</v>
      </c>
    </row>
    <row r="7415" spans="1:1" ht="12.75">
      <c r="A7415" s="2" t="s">
        <v>523</v>
      </c>
    </row>
    <row r="7416" spans="1:1" ht="12.75">
      <c r="A7416" s="2" t="s">
        <v>523</v>
      </c>
    </row>
    <row r="7417" spans="1:1" ht="12.75">
      <c r="A7417" s="2" t="s">
        <v>523</v>
      </c>
    </row>
    <row r="7418" spans="1:1" ht="12.75">
      <c r="A7418" s="2" t="s">
        <v>523</v>
      </c>
    </row>
    <row r="7419" spans="1:1" ht="12.75">
      <c r="A7419" s="2" t="s">
        <v>523</v>
      </c>
    </row>
    <row r="7420" spans="1:1" ht="12.75">
      <c r="A7420" s="2" t="s">
        <v>523</v>
      </c>
    </row>
    <row r="7421" spans="1:1" ht="12.75">
      <c r="A7421" s="2" t="s">
        <v>523</v>
      </c>
    </row>
    <row r="7422" spans="1:1" ht="12.75">
      <c r="A7422" s="2" t="s">
        <v>523</v>
      </c>
    </row>
    <row r="7423" spans="1:1" ht="12.75">
      <c r="A7423" s="2" t="s">
        <v>523</v>
      </c>
    </row>
    <row r="7424" spans="1:1" ht="12.75">
      <c r="A7424" s="2" t="s">
        <v>523</v>
      </c>
    </row>
    <row r="7425" spans="1:1" ht="12.75">
      <c r="A7425" s="2" t="s">
        <v>523</v>
      </c>
    </row>
    <row r="7426" spans="1:1" ht="12.75">
      <c r="A7426" s="2" t="s">
        <v>523</v>
      </c>
    </row>
    <row r="7427" spans="1:1" ht="12.75">
      <c r="A7427" s="2" t="s">
        <v>523</v>
      </c>
    </row>
    <row r="7428" spans="1:1" ht="12.75">
      <c r="A7428" s="2" t="s">
        <v>523</v>
      </c>
    </row>
    <row r="7429" spans="1:1" ht="12.75">
      <c r="A7429" s="2" t="s">
        <v>523</v>
      </c>
    </row>
    <row r="7430" spans="1:1" ht="12.75">
      <c r="A7430" s="2" t="s">
        <v>523</v>
      </c>
    </row>
    <row r="7431" spans="1:1" ht="12.75">
      <c r="A7431" s="2" t="s">
        <v>153</v>
      </c>
    </row>
    <row r="7432" spans="1:1" ht="12.75">
      <c r="A7432" s="2" t="s">
        <v>153</v>
      </c>
    </row>
    <row r="7433" spans="1:1" ht="12.75">
      <c r="A7433" s="2" t="s">
        <v>524</v>
      </c>
    </row>
    <row r="7434" spans="1:1" ht="12.75">
      <c r="A7434" s="2" t="s">
        <v>525</v>
      </c>
    </row>
    <row r="7435" spans="1:1" ht="12.75">
      <c r="A7435" s="2" t="s">
        <v>525</v>
      </c>
    </row>
    <row r="7436" spans="1:1" ht="12.75">
      <c r="A7436" s="2" t="s">
        <v>524</v>
      </c>
    </row>
    <row r="7438" spans="1:1" ht="12.75">
      <c r="A7438" s="2" t="s">
        <v>524</v>
      </c>
    </row>
    <row r="7439" spans="1:1" ht="12.75">
      <c r="A7439" s="2" t="s">
        <v>524</v>
      </c>
    </row>
    <row r="7440" spans="1:1" ht="12.75">
      <c r="A7440" s="2" t="s">
        <v>524</v>
      </c>
    </row>
    <row r="7441" spans="1:1" ht="12.75">
      <c r="A7441" s="2" t="s">
        <v>524</v>
      </c>
    </row>
    <row r="7442" spans="1:1" ht="12.75">
      <c r="A7442" s="2" t="s">
        <v>524</v>
      </c>
    </row>
    <row r="7443" spans="1:1" ht="12.75">
      <c r="A7443" s="2" t="s">
        <v>524</v>
      </c>
    </row>
    <row r="7444" spans="1:1" ht="12.75">
      <c r="A7444" s="2" t="s">
        <v>524</v>
      </c>
    </row>
    <row r="7445" spans="1:1" ht="12.75">
      <c r="A7445" s="2" t="s">
        <v>524</v>
      </c>
    </row>
    <row r="7446" spans="1:1" ht="12.75">
      <c r="A7446" s="2" t="s">
        <v>524</v>
      </c>
    </row>
    <row r="7447" spans="1:1" ht="12.75">
      <c r="A7447" s="2" t="s">
        <v>524</v>
      </c>
    </row>
    <row r="7448" spans="1:1" ht="12.75">
      <c r="A7448" s="2" t="s">
        <v>524</v>
      </c>
    </row>
    <row r="7449" spans="1:1" ht="12.75">
      <c r="A7449" s="2" t="s">
        <v>524</v>
      </c>
    </row>
    <row r="7450" spans="1:1" ht="12.75">
      <c r="A7450" s="2" t="s">
        <v>524</v>
      </c>
    </row>
    <row r="7452" spans="1:1" ht="12.75">
      <c r="A7452" s="2" t="s">
        <v>526</v>
      </c>
    </row>
    <row r="7454" spans="1:1" ht="12.75">
      <c r="A7454" s="2" t="s">
        <v>524</v>
      </c>
    </row>
    <row r="7456" spans="1:1" ht="12.75">
      <c r="A7456" s="2" t="s">
        <v>524</v>
      </c>
    </row>
    <row r="7458" spans="1:1" ht="12.75">
      <c r="A7458" s="2" t="s">
        <v>203</v>
      </c>
    </row>
    <row r="7460" spans="1:1" ht="12.75">
      <c r="A7460" s="2" t="s">
        <v>205</v>
      </c>
    </row>
    <row r="7461" spans="1:1" ht="12.75">
      <c r="A7461" s="2" t="s">
        <v>203</v>
      </c>
    </row>
    <row r="7462" spans="1:1" ht="12.75">
      <c r="A7462" s="2" t="s">
        <v>205</v>
      </c>
    </row>
    <row r="7464" spans="1:1" ht="12.75">
      <c r="A7464" s="2" t="s">
        <v>203</v>
      </c>
    </row>
    <row r="7466" spans="1:1" ht="12.75">
      <c r="A7466" s="2" t="s">
        <v>203</v>
      </c>
    </row>
    <row r="7469" spans="1:1" ht="12.75">
      <c r="A7469" s="2" t="s">
        <v>207</v>
      </c>
    </row>
    <row r="7471" spans="1:1" ht="12.75">
      <c r="A7471" s="2" t="s">
        <v>527</v>
      </c>
    </row>
    <row r="7472" spans="1:1" ht="12.75">
      <c r="A7472" s="2" t="s">
        <v>351</v>
      </c>
    </row>
    <row r="7474" spans="1:1" ht="12.75">
      <c r="A7474" s="2" t="s">
        <v>201</v>
      </c>
    </row>
    <row r="7477" spans="1:1" ht="12.75">
      <c r="A7477" s="2" t="s">
        <v>201</v>
      </c>
    </row>
    <row r="7478" spans="1:1" ht="12.75">
      <c r="A7478" s="2" t="s">
        <v>201</v>
      </c>
    </row>
    <row r="7479" spans="1:1" ht="12.75">
      <c r="A7479" s="2" t="s">
        <v>201</v>
      </c>
    </row>
    <row r="7481" spans="1:1" ht="12.75">
      <c r="A7481" s="2" t="s">
        <v>201</v>
      </c>
    </row>
    <row r="7482" spans="1:1" ht="12.75">
      <c r="A7482" s="2" t="s">
        <v>201</v>
      </c>
    </row>
    <row r="7484" spans="1:1" ht="12.75">
      <c r="A7484" s="2" t="s">
        <v>206</v>
      </c>
    </row>
    <row r="7485" spans="1:1" ht="12.75">
      <c r="A7485" s="2" t="s">
        <v>206</v>
      </c>
    </row>
    <row r="7486" spans="1:1" ht="12.75">
      <c r="A7486" s="2" t="s">
        <v>206</v>
      </c>
    </row>
    <row r="7487" spans="1:1" ht="12.75">
      <c r="A7487" s="2" t="s">
        <v>206</v>
      </c>
    </row>
    <row r="7488" spans="1:1" ht="12.75">
      <c r="A7488" s="2" t="s">
        <v>206</v>
      </c>
    </row>
    <row r="7490" spans="1:1" ht="12.75">
      <c r="A7490" s="2" t="s">
        <v>206</v>
      </c>
    </row>
    <row r="7491" spans="1:1" ht="12.75">
      <c r="A7491" s="2" t="s">
        <v>200</v>
      </c>
    </row>
    <row r="7492" spans="1:1" ht="12.75">
      <c r="A7492" s="2" t="s">
        <v>200</v>
      </c>
    </row>
    <row r="7494" spans="1:1" ht="12.75">
      <c r="A7494" s="2" t="s">
        <v>200</v>
      </c>
    </row>
    <row r="7495" spans="1:1" ht="12.75">
      <c r="A7495" s="2" t="s">
        <v>200</v>
      </c>
    </row>
    <row r="7496" spans="1:1" ht="12.75">
      <c r="A7496" s="2" t="s">
        <v>200</v>
      </c>
    </row>
    <row r="7497" spans="1:1" ht="12.75">
      <c r="A7497" s="2" t="s">
        <v>202</v>
      </c>
    </row>
    <row r="7498" spans="1:1" ht="12.75">
      <c r="A7498" s="2" t="s">
        <v>200</v>
      </c>
    </row>
    <row r="7499" spans="1:1" ht="12.75">
      <c r="A7499" s="2" t="s">
        <v>200</v>
      </c>
    </row>
    <row r="7500" spans="1:1" ht="12.75">
      <c r="A7500" s="2" t="s">
        <v>202</v>
      </c>
    </row>
    <row r="7501" spans="1:1" ht="12.75">
      <c r="A7501" s="2" t="s">
        <v>200</v>
      </c>
    </row>
    <row r="7502" spans="1:1" ht="12.75">
      <c r="A7502" s="2" t="s">
        <v>200</v>
      </c>
    </row>
    <row r="7503" spans="1:1" ht="12.75">
      <c r="A7503" s="2" t="s">
        <v>200</v>
      </c>
    </row>
    <row r="7504" spans="1:1" ht="12.75">
      <c r="A7504" s="2" t="s">
        <v>200</v>
      </c>
    </row>
    <row r="7505" spans="1:1" ht="12.75">
      <c r="A7505" s="2" t="s">
        <v>203</v>
      </c>
    </row>
    <row r="7506" spans="1:1" ht="12.75">
      <c r="A7506" s="2" t="s">
        <v>203</v>
      </c>
    </row>
    <row r="7507" spans="1:1" ht="12.75">
      <c r="A7507" s="2" t="s">
        <v>201</v>
      </c>
    </row>
    <row r="7508" spans="1:1" ht="12.75">
      <c r="A7508" s="2" t="s">
        <v>201</v>
      </c>
    </row>
    <row r="7509" spans="1:1" ht="12.75">
      <c r="A7509" s="2" t="s">
        <v>200</v>
      </c>
    </row>
    <row r="7510" spans="1:1" ht="12.75">
      <c r="A7510" s="2" t="s">
        <v>200</v>
      </c>
    </row>
    <row r="7511" spans="1:1" ht="12.75">
      <c r="A7511" s="2" t="s">
        <v>200</v>
      </c>
    </row>
    <row r="7512" spans="1:1" ht="12.75">
      <c r="A7512" s="2" t="s">
        <v>200</v>
      </c>
    </row>
    <row r="7513" spans="1:1" ht="12.75">
      <c r="A7513" s="2" t="s">
        <v>200</v>
      </c>
    </row>
    <row r="7514" spans="1:1" ht="12.75">
      <c r="A7514" s="2" t="s">
        <v>200</v>
      </c>
    </row>
    <row r="7515" spans="1:1" ht="12.75">
      <c r="A7515" s="2" t="s">
        <v>207</v>
      </c>
    </row>
    <row r="7516" spans="1:1" ht="12.75">
      <c r="A7516" s="2" t="s">
        <v>207</v>
      </c>
    </row>
    <row r="7517" spans="1:1" ht="12.75">
      <c r="A7517" s="2" t="s">
        <v>200</v>
      </c>
    </row>
    <row r="7518" spans="1:1" ht="12.75">
      <c r="A7518" s="2" t="s">
        <v>200</v>
      </c>
    </row>
    <row r="7519" spans="1:1" ht="12.75">
      <c r="A7519" s="2" t="s">
        <v>201</v>
      </c>
    </row>
    <row r="7520" spans="1:1" ht="12.75">
      <c r="A7520" s="2" t="s">
        <v>201</v>
      </c>
    </row>
    <row r="7521" spans="1:1" ht="12.75">
      <c r="A7521" s="2" t="s">
        <v>201</v>
      </c>
    </row>
    <row r="7522" spans="1:1" ht="12.75">
      <c r="A7522" s="2" t="s">
        <v>201</v>
      </c>
    </row>
    <row r="7523" spans="1:1" ht="12.75">
      <c r="A7523" s="2" t="s">
        <v>201</v>
      </c>
    </row>
    <row r="7524" spans="1:1" ht="12.75">
      <c r="A7524" s="2" t="s">
        <v>201</v>
      </c>
    </row>
    <row r="7525" spans="1:1" ht="12.75">
      <c r="A7525" s="2" t="s">
        <v>201</v>
      </c>
    </row>
    <row r="7526" spans="1:1" ht="12.75">
      <c r="A7526" s="2" t="s">
        <v>201</v>
      </c>
    </row>
    <row r="7527" spans="1:1" ht="12.75">
      <c r="A7527" s="2" t="s">
        <v>205</v>
      </c>
    </row>
    <row r="7528" spans="1:1" ht="12.75">
      <c r="A7528" s="2" t="s">
        <v>202</v>
      </c>
    </row>
    <row r="7529" spans="1:1" ht="12.75">
      <c r="A7529" s="2" t="s">
        <v>205</v>
      </c>
    </row>
    <row r="7530" spans="1:1" ht="12.75">
      <c r="A7530" s="2" t="s">
        <v>205</v>
      </c>
    </row>
    <row r="7531" spans="1:1" ht="12.75">
      <c r="A7531" s="2" t="s">
        <v>205</v>
      </c>
    </row>
    <row r="7532" spans="1:1" ht="12.75">
      <c r="A7532" s="2" t="s">
        <v>205</v>
      </c>
    </row>
    <row r="7533" spans="1:1" ht="12.75">
      <c r="A7533" s="2" t="s">
        <v>207</v>
      </c>
    </row>
    <row r="7534" spans="1:1" ht="12.75">
      <c r="A7534" s="2" t="s">
        <v>208</v>
      </c>
    </row>
    <row r="7535" spans="1:1" ht="12.75">
      <c r="A7535" s="2" t="s">
        <v>206</v>
      </c>
    </row>
    <row r="7536" spans="1:1" ht="12.75">
      <c r="A7536" s="2" t="s">
        <v>206</v>
      </c>
    </row>
    <row r="7537" spans="1:1" ht="12.75">
      <c r="A7537" s="2" t="s">
        <v>206</v>
      </c>
    </row>
    <row r="7538" spans="1:1" ht="12.75">
      <c r="A7538" s="2" t="s">
        <v>206</v>
      </c>
    </row>
    <row r="7539" spans="1:1" ht="12.75">
      <c r="A7539" s="2" t="s">
        <v>206</v>
      </c>
    </row>
    <row r="7540" spans="1:1" ht="12.75">
      <c r="A7540" s="2" t="s">
        <v>206</v>
      </c>
    </row>
    <row r="7541" spans="1:1" ht="12.75">
      <c r="A7541" s="2" t="s">
        <v>206</v>
      </c>
    </row>
    <row r="7542" spans="1:1" ht="12.75">
      <c r="A7542" s="2" t="s">
        <v>206</v>
      </c>
    </row>
    <row r="7543" spans="1:1" ht="12.75">
      <c r="A7543" s="2" t="s">
        <v>206</v>
      </c>
    </row>
    <row r="7544" spans="1:1" ht="12.75">
      <c r="A7544" s="2" t="s">
        <v>206</v>
      </c>
    </row>
    <row r="7545" spans="1:1" ht="12.75">
      <c r="A7545" s="2" t="s">
        <v>206</v>
      </c>
    </row>
    <row r="7546" spans="1:1" ht="12.75">
      <c r="A7546" s="2" t="s">
        <v>206</v>
      </c>
    </row>
    <row r="7547" spans="1:1" ht="12.75">
      <c r="A7547" s="2" t="s">
        <v>206</v>
      </c>
    </row>
    <row r="7548" spans="1:1" ht="12.75">
      <c r="A7548" s="2" t="s">
        <v>206</v>
      </c>
    </row>
    <row r="7549" spans="1:1" ht="12.75">
      <c r="A7549" s="2" t="s">
        <v>201</v>
      </c>
    </row>
    <row r="7550" spans="1:1" ht="12.75">
      <c r="A7550" s="2" t="s">
        <v>201</v>
      </c>
    </row>
    <row r="7551" spans="1:1" ht="12.75">
      <c r="A7551" s="2" t="s">
        <v>205</v>
      </c>
    </row>
    <row r="7552" spans="1:1" ht="12.75">
      <c r="A7552" s="2" t="s">
        <v>205</v>
      </c>
    </row>
    <row r="7553" spans="1:1" ht="12.75">
      <c r="A7553" s="2" t="s">
        <v>205</v>
      </c>
    </row>
    <row r="7554" spans="1:1" ht="12.75">
      <c r="A7554" s="2" t="s">
        <v>205</v>
      </c>
    </row>
    <row r="7555" spans="1:1" ht="12.75">
      <c r="A7555" s="2" t="s">
        <v>203</v>
      </c>
    </row>
    <row r="7556" spans="1:1" ht="12.75">
      <c r="A7556" s="2" t="s">
        <v>203</v>
      </c>
    </row>
    <row r="7557" spans="1:1" ht="12.75">
      <c r="A7557" s="2" t="s">
        <v>289</v>
      </c>
    </row>
    <row r="7558" spans="1:1" ht="12.75">
      <c r="A7558" s="2" t="s">
        <v>297</v>
      </c>
    </row>
    <row r="7559" spans="1:1" ht="12.75">
      <c r="A7559" s="2" t="s">
        <v>293</v>
      </c>
    </row>
    <row r="7560" spans="1:1" ht="12.75">
      <c r="A7560" s="2" t="s">
        <v>290</v>
      </c>
    </row>
    <row r="7561" spans="1:1" ht="12.75">
      <c r="A7561" s="2" t="s">
        <v>290</v>
      </c>
    </row>
    <row r="7562" spans="1:1" ht="12.75">
      <c r="A7562" s="2" t="s">
        <v>290</v>
      </c>
    </row>
    <row r="7563" spans="1:1" ht="12.75">
      <c r="A7563" s="2" t="s">
        <v>291</v>
      </c>
    </row>
    <row r="7564" spans="1:1" ht="12.75">
      <c r="A7564" s="2" t="s">
        <v>291</v>
      </c>
    </row>
    <row r="7565" spans="1:1" ht="12.75">
      <c r="A7565" s="2" t="s">
        <v>291</v>
      </c>
    </row>
    <row r="7566" spans="1:1" ht="12.75">
      <c r="A7566" s="2" t="s">
        <v>289</v>
      </c>
    </row>
    <row r="7567" spans="1:1" ht="12.75">
      <c r="A7567" s="2" t="s">
        <v>289</v>
      </c>
    </row>
    <row r="7568" spans="1:1" ht="12.75">
      <c r="A7568" s="2" t="s">
        <v>289</v>
      </c>
    </row>
    <row r="7569" spans="1:1" ht="12.75">
      <c r="A7569" s="2" t="s">
        <v>292</v>
      </c>
    </row>
    <row r="7570" spans="1:1" ht="12.75">
      <c r="A7570" s="2" t="s">
        <v>297</v>
      </c>
    </row>
    <row r="7571" spans="1:1" ht="12.75">
      <c r="A7571" s="2" t="s">
        <v>297</v>
      </c>
    </row>
    <row r="7572" spans="1:1" ht="12.75">
      <c r="A7572" s="2" t="s">
        <v>297</v>
      </c>
    </row>
    <row r="7573" spans="1:1" ht="12.75">
      <c r="A7573" s="2" t="s">
        <v>297</v>
      </c>
    </row>
    <row r="7574" spans="1:1" ht="12.75">
      <c r="A7574" s="2" t="s">
        <v>289</v>
      </c>
    </row>
    <row r="7575" spans="1:1" ht="12.75">
      <c r="A7575" s="2" t="s">
        <v>297</v>
      </c>
    </row>
    <row r="7576" spans="1:1" ht="12.75">
      <c r="A7576" s="2" t="s">
        <v>289</v>
      </c>
    </row>
    <row r="7577" spans="1:1" ht="12.75">
      <c r="A7577" s="2" t="s">
        <v>292</v>
      </c>
    </row>
    <row r="7578" spans="1:1" ht="12.75">
      <c r="A7578" s="2" t="s">
        <v>289</v>
      </c>
    </row>
    <row r="7579" spans="1:1" ht="12.75">
      <c r="A7579" s="2" t="s">
        <v>290</v>
      </c>
    </row>
    <row r="7580" spans="1:1" ht="12.75">
      <c r="A7580" s="2" t="s">
        <v>291</v>
      </c>
    </row>
    <row r="7581" spans="1:1" ht="12.75">
      <c r="A7581" s="2" t="s">
        <v>290</v>
      </c>
    </row>
    <row r="7582" spans="1:1" ht="12.75">
      <c r="A7582" s="2" t="s">
        <v>293</v>
      </c>
    </row>
    <row r="7583" spans="1:1" ht="12.75">
      <c r="A7583" s="2" t="s">
        <v>290</v>
      </c>
    </row>
    <row r="7584" spans="1:1" ht="12.75">
      <c r="A7584" s="2" t="s">
        <v>291</v>
      </c>
    </row>
    <row r="7585" spans="1:1" ht="12.75">
      <c r="A7585" s="2" t="s">
        <v>289</v>
      </c>
    </row>
    <row r="7586" spans="1:1" ht="12.75">
      <c r="A7586" s="2" t="s">
        <v>289</v>
      </c>
    </row>
    <row r="7587" spans="1:1" ht="12.75">
      <c r="A7587" s="2" t="s">
        <v>291</v>
      </c>
    </row>
    <row r="7588" spans="1:1" ht="12.75">
      <c r="A7588" s="2" t="s">
        <v>290</v>
      </c>
    </row>
    <row r="7589" spans="1:1" ht="12.75">
      <c r="A7589" s="2" t="s">
        <v>291</v>
      </c>
    </row>
    <row r="7590" spans="1:1" ht="12.75">
      <c r="A7590" s="2" t="s">
        <v>290</v>
      </c>
    </row>
    <row r="7591" spans="1:1" ht="12.75">
      <c r="A7591" s="2" t="s">
        <v>289</v>
      </c>
    </row>
    <row r="7592" spans="1:1" ht="12.75">
      <c r="A7592" s="2" t="s">
        <v>297</v>
      </c>
    </row>
    <row r="7593" spans="1:1" ht="12.75">
      <c r="A7593" s="2" t="s">
        <v>298</v>
      </c>
    </row>
    <row r="7594" spans="1:1" ht="12.75">
      <c r="A7594" s="2" t="s">
        <v>290</v>
      </c>
    </row>
    <row r="7595" spans="1:1" ht="12.75">
      <c r="A7595" s="2" t="s">
        <v>290</v>
      </c>
    </row>
    <row r="7596" spans="1:1" ht="12.75">
      <c r="A7596" s="2" t="s">
        <v>290</v>
      </c>
    </row>
    <row r="7597" spans="1:1" ht="12.75">
      <c r="A7597" s="2" t="s">
        <v>289</v>
      </c>
    </row>
    <row r="7598" spans="1:1" ht="12.75">
      <c r="A7598" s="2" t="s">
        <v>291</v>
      </c>
    </row>
    <row r="7599" spans="1:1" ht="12.75">
      <c r="A7599" s="2" t="s">
        <v>289</v>
      </c>
    </row>
    <row r="7600" spans="1:1" ht="12.75">
      <c r="A7600" s="2" t="s">
        <v>291</v>
      </c>
    </row>
    <row r="7601" spans="1:1" ht="12.75">
      <c r="A7601" s="2" t="s">
        <v>291</v>
      </c>
    </row>
    <row r="7602" spans="1:1" ht="12.75">
      <c r="A7602" s="2" t="s">
        <v>297</v>
      </c>
    </row>
    <row r="7603" spans="1:1" ht="12.75">
      <c r="A7603" s="2" t="s">
        <v>299</v>
      </c>
    </row>
    <row r="7604" spans="1:1" ht="12.75">
      <c r="A7604" s="2" t="s">
        <v>291</v>
      </c>
    </row>
    <row r="7605" spans="1:1" ht="12.75">
      <c r="A7605" s="2" t="s">
        <v>299</v>
      </c>
    </row>
    <row r="7606" spans="1:1" ht="12.75">
      <c r="A7606" s="2" t="s">
        <v>291</v>
      </c>
    </row>
    <row r="7607" spans="1:1" ht="12.75">
      <c r="A7607" s="2" t="s">
        <v>292</v>
      </c>
    </row>
    <row r="7608" spans="1:1" ht="12.75">
      <c r="A7608" s="2" t="s">
        <v>289</v>
      </c>
    </row>
    <row r="7609" spans="1:1" ht="12.75">
      <c r="A7609" s="2" t="s">
        <v>290</v>
      </c>
    </row>
    <row r="7610" spans="1:1" ht="12.75">
      <c r="A7610" s="2" t="s">
        <v>289</v>
      </c>
    </row>
    <row r="7611" spans="1:1" ht="12.75">
      <c r="A7611" s="2" t="s">
        <v>290</v>
      </c>
    </row>
    <row r="7612" spans="1:1" ht="12.75">
      <c r="A7612" s="2" t="s">
        <v>291</v>
      </c>
    </row>
    <row r="7613" spans="1:1" ht="12.75">
      <c r="A7613" s="2" t="s">
        <v>290</v>
      </c>
    </row>
    <row r="7614" spans="1:1" ht="12.75">
      <c r="A7614" s="2" t="s">
        <v>291</v>
      </c>
    </row>
    <row r="7615" spans="1:1" ht="12.75">
      <c r="A7615" s="2" t="s">
        <v>290</v>
      </c>
    </row>
    <row r="7616" spans="1:1" ht="12.75">
      <c r="A7616" s="2" t="s">
        <v>291</v>
      </c>
    </row>
    <row r="7617" spans="1:1" ht="12.75">
      <c r="A7617" s="2" t="s">
        <v>290</v>
      </c>
    </row>
    <row r="7618" spans="1:1" ht="12.75">
      <c r="A7618" s="2" t="s">
        <v>291</v>
      </c>
    </row>
    <row r="7619" spans="1:1" ht="12.75">
      <c r="A7619" s="2" t="s">
        <v>290</v>
      </c>
    </row>
    <row r="7620" spans="1:1" ht="12.75">
      <c r="A7620" s="2" t="s">
        <v>291</v>
      </c>
    </row>
    <row r="7621" spans="1:1" ht="12.75">
      <c r="A7621" s="2" t="s">
        <v>291</v>
      </c>
    </row>
    <row r="7622" spans="1:1" ht="12.75">
      <c r="A7622" s="2" t="s">
        <v>291</v>
      </c>
    </row>
    <row r="7624" spans="1:1" ht="12.75">
      <c r="A7624" s="2" t="s">
        <v>289</v>
      </c>
    </row>
    <row r="7625" spans="1:1" ht="12.75">
      <c r="A7625" s="2" t="s">
        <v>289</v>
      </c>
    </row>
    <row r="7626" spans="1:1" ht="12.75">
      <c r="A7626" s="2" t="s">
        <v>289</v>
      </c>
    </row>
    <row r="7627" spans="1:1" ht="12.75">
      <c r="A7627" s="2" t="s">
        <v>289</v>
      </c>
    </row>
    <row r="7628" spans="1:1" ht="12.75">
      <c r="A7628" s="2" t="s">
        <v>289</v>
      </c>
    </row>
    <row r="7629" spans="1:1" ht="12.75">
      <c r="A7629" s="2" t="s">
        <v>289</v>
      </c>
    </row>
    <row r="7630" spans="1:1" ht="12.75">
      <c r="A7630" s="2" t="s">
        <v>290</v>
      </c>
    </row>
    <row r="7631" spans="1:1" ht="12.75">
      <c r="A7631" s="2" t="s">
        <v>289</v>
      </c>
    </row>
    <row r="7632" spans="1:1" ht="12.75">
      <c r="A7632" s="2" t="s">
        <v>291</v>
      </c>
    </row>
    <row r="7633" spans="1:1" ht="12.75">
      <c r="A7633" s="2" t="s">
        <v>297</v>
      </c>
    </row>
    <row r="7634" spans="1:1" ht="12.75">
      <c r="A7634" s="2" t="s">
        <v>297</v>
      </c>
    </row>
    <row r="7635" spans="1:1" ht="12.75">
      <c r="A7635" s="2" t="s">
        <v>299</v>
      </c>
    </row>
    <row r="7636" spans="1:1" ht="12.75">
      <c r="A7636" s="2" t="s">
        <v>297</v>
      </c>
    </row>
    <row r="7637" spans="1:1" ht="12.75">
      <c r="A7637" s="2" t="s">
        <v>299</v>
      </c>
    </row>
    <row r="7638" spans="1:1" ht="12.75">
      <c r="A7638" s="2" t="s">
        <v>299</v>
      </c>
    </row>
    <row r="7639" spans="1:1" ht="12.75">
      <c r="A7639" s="2" t="s">
        <v>289</v>
      </c>
    </row>
    <row r="7640" spans="1:1" ht="12.75">
      <c r="A7640" s="2" t="s">
        <v>290</v>
      </c>
    </row>
    <row r="7641" spans="1:1" ht="12.75">
      <c r="A7641" s="2" t="s">
        <v>289</v>
      </c>
    </row>
    <row r="7642" spans="1:1" ht="12.75">
      <c r="A7642" s="2" t="s">
        <v>290</v>
      </c>
    </row>
    <row r="7643" spans="1:1" ht="12.75">
      <c r="A7643" s="2" t="s">
        <v>289</v>
      </c>
    </row>
    <row r="7644" spans="1:1" ht="12.75">
      <c r="A7644" s="2" t="s">
        <v>292</v>
      </c>
    </row>
    <row r="7645" spans="1:1" ht="12.75">
      <c r="A7645" s="2" t="s">
        <v>291</v>
      </c>
    </row>
    <row r="7646" spans="1:1" ht="12.75">
      <c r="A7646" s="2" t="s">
        <v>291</v>
      </c>
    </row>
    <row r="7647" spans="1:1" ht="12.75">
      <c r="A7647" s="2" t="s">
        <v>297</v>
      </c>
    </row>
    <row r="7648" spans="1:1" ht="12.75">
      <c r="A7648" s="2" t="s">
        <v>291</v>
      </c>
    </row>
    <row r="7649" spans="1:1" ht="12.75">
      <c r="A7649" s="2" t="s">
        <v>291</v>
      </c>
    </row>
    <row r="7650" spans="1:1" ht="12.75">
      <c r="A7650" s="2" t="s">
        <v>289</v>
      </c>
    </row>
    <row r="7651" spans="1:1" ht="12.75">
      <c r="A7651" s="2" t="s">
        <v>290</v>
      </c>
    </row>
    <row r="7652" spans="1:1" ht="12.75">
      <c r="A7652" s="2" t="s">
        <v>297</v>
      </c>
    </row>
    <row r="7653" spans="1:1" ht="12.75">
      <c r="A7653" s="2" t="s">
        <v>290</v>
      </c>
    </row>
    <row r="7654" spans="1:1" ht="12.75">
      <c r="A7654" s="2" t="s">
        <v>289</v>
      </c>
    </row>
    <row r="7655" spans="1:1" ht="12.75">
      <c r="A7655" s="2" t="s">
        <v>297</v>
      </c>
    </row>
    <row r="7656" spans="1:1" ht="12.75">
      <c r="A7656" s="2" t="s">
        <v>291</v>
      </c>
    </row>
    <row r="7657" spans="1:1" ht="12.75">
      <c r="A7657" s="2" t="s">
        <v>528</v>
      </c>
    </row>
    <row r="7658" spans="1:1" ht="12.75">
      <c r="A7658" s="2" t="s">
        <v>529</v>
      </c>
    </row>
    <row r="7659" spans="1:1" ht="12.75">
      <c r="A7659" s="2" t="s">
        <v>529</v>
      </c>
    </row>
    <row r="7660" spans="1:1" ht="12.75">
      <c r="A7660" s="2" t="s">
        <v>530</v>
      </c>
    </row>
    <row r="7661" spans="1:1" ht="12.75">
      <c r="A7661" s="2" t="s">
        <v>529</v>
      </c>
    </row>
    <row r="7662" spans="1:1" ht="12.75">
      <c r="A7662" s="2" t="s">
        <v>529</v>
      </c>
    </row>
    <row r="7663" spans="1:1" ht="12.75">
      <c r="A7663" s="2" t="s">
        <v>528</v>
      </c>
    </row>
    <row r="7664" spans="1:1" ht="12.75">
      <c r="A7664" s="2" t="s">
        <v>528</v>
      </c>
    </row>
    <row r="7665" spans="1:1" ht="12.75">
      <c r="A7665" s="2" t="s">
        <v>528</v>
      </c>
    </row>
    <row r="7666" spans="1:1" ht="12.75">
      <c r="A7666" s="2" t="s">
        <v>528</v>
      </c>
    </row>
    <row r="7667" spans="1:1" ht="12.75">
      <c r="A7667" s="2" t="s">
        <v>529</v>
      </c>
    </row>
    <row r="7668" spans="1:1" ht="12.75">
      <c r="A7668" s="2" t="s">
        <v>529</v>
      </c>
    </row>
    <row r="7669" spans="1:1" ht="12.75">
      <c r="A7669" s="2" t="s">
        <v>530</v>
      </c>
    </row>
    <row r="7670" spans="1:1" ht="12.75">
      <c r="A7670" s="2" t="s">
        <v>529</v>
      </c>
    </row>
    <row r="7671" spans="1:1" ht="12.75">
      <c r="A7671" s="2" t="s">
        <v>529</v>
      </c>
    </row>
    <row r="7672" spans="1:1" ht="12.75">
      <c r="A7672" s="2" t="s">
        <v>530</v>
      </c>
    </row>
    <row r="7673" spans="1:1" ht="12.75">
      <c r="A7673" s="2" t="s">
        <v>528</v>
      </c>
    </row>
    <row r="7674" spans="1:1" ht="12.75">
      <c r="A7674" s="2" t="s">
        <v>528</v>
      </c>
    </row>
    <row r="7675" spans="1:1" ht="12.75">
      <c r="A7675" s="2" t="s">
        <v>528</v>
      </c>
    </row>
    <row r="7676" spans="1:1" ht="12.75">
      <c r="A7676" s="2" t="s">
        <v>528</v>
      </c>
    </row>
    <row r="7677" spans="1:1" ht="12.75">
      <c r="A7677" s="2" t="s">
        <v>529</v>
      </c>
    </row>
    <row r="7678" spans="1:1" ht="12.75">
      <c r="A7678" s="2" t="s">
        <v>529</v>
      </c>
    </row>
    <row r="7679" spans="1:1" ht="12.75">
      <c r="A7679" s="2" t="s">
        <v>530</v>
      </c>
    </row>
    <row r="7680" spans="1:1" ht="12.75">
      <c r="A7680" s="2" t="s">
        <v>528</v>
      </c>
    </row>
    <row r="7681" spans="1:1" ht="12.75">
      <c r="A7681" s="2" t="s">
        <v>530</v>
      </c>
    </row>
    <row r="7682" spans="1:1" ht="12.75">
      <c r="A7682" s="2" t="s">
        <v>528</v>
      </c>
    </row>
    <row r="7683" spans="1:1" ht="12.75">
      <c r="A7683" s="2" t="s">
        <v>528</v>
      </c>
    </row>
    <row r="7684" spans="1:1" ht="12.75">
      <c r="A7684" s="2" t="s">
        <v>529</v>
      </c>
    </row>
    <row r="7685" spans="1:1" ht="12.75">
      <c r="A7685" s="2" t="s">
        <v>529</v>
      </c>
    </row>
    <row r="7686" spans="1:1" ht="12.75">
      <c r="A7686" s="2" t="s">
        <v>530</v>
      </c>
    </row>
    <row r="7687" spans="1:1" ht="12.75">
      <c r="A7687" s="2" t="s">
        <v>528</v>
      </c>
    </row>
    <row r="7688" spans="1:1" ht="12.75">
      <c r="A7688" s="2" t="s">
        <v>528</v>
      </c>
    </row>
    <row r="7689" spans="1:1" ht="12.75">
      <c r="A7689" s="2" t="s">
        <v>530</v>
      </c>
    </row>
    <row r="7690" spans="1:1" ht="12.75">
      <c r="A7690" s="2" t="s">
        <v>529</v>
      </c>
    </row>
    <row r="7691" spans="1:1" ht="12.75">
      <c r="A7691" s="2" t="s">
        <v>529</v>
      </c>
    </row>
    <row r="7692" spans="1:1" ht="12.75">
      <c r="A7692" s="2" t="s">
        <v>528</v>
      </c>
    </row>
    <row r="7693" spans="1:1" ht="12.75">
      <c r="A7693" s="2" t="s">
        <v>529</v>
      </c>
    </row>
    <row r="7694" spans="1:1" ht="12.75">
      <c r="A7694" s="2" t="s">
        <v>528</v>
      </c>
    </row>
    <row r="7695" spans="1:1" ht="12.75">
      <c r="A7695" s="2" t="s">
        <v>529</v>
      </c>
    </row>
    <row r="7696" spans="1:1" ht="12.75">
      <c r="A7696" s="2" t="s">
        <v>531</v>
      </c>
    </row>
    <row r="7697" spans="1:1" ht="12.75">
      <c r="A7697" s="2" t="s">
        <v>528</v>
      </c>
    </row>
    <row r="7698" spans="1:1" ht="12.75">
      <c r="A7698" s="2" t="s">
        <v>530</v>
      </c>
    </row>
    <row r="7699" spans="1:1" ht="12.75">
      <c r="A7699" s="2" t="s">
        <v>532</v>
      </c>
    </row>
    <row r="7700" spans="1:1" ht="12.75">
      <c r="A7700" s="2" t="s">
        <v>532</v>
      </c>
    </row>
    <row r="7701" spans="1:1" ht="12.75">
      <c r="A7701" s="2" t="s">
        <v>532</v>
      </c>
    </row>
    <row r="7702" spans="1:1" ht="12.75">
      <c r="A7702" s="2" t="s">
        <v>528</v>
      </c>
    </row>
    <row r="7703" spans="1:1" ht="12.75">
      <c r="A7703" s="2" t="s">
        <v>528</v>
      </c>
    </row>
    <row r="7704" spans="1:1" ht="12.75">
      <c r="A7704" s="2" t="s">
        <v>528</v>
      </c>
    </row>
    <row r="7705" spans="1:1" ht="12.75">
      <c r="A7705" s="2" t="s">
        <v>530</v>
      </c>
    </row>
    <row r="7706" spans="1:1" ht="12.75">
      <c r="A7706" s="2" t="s">
        <v>532</v>
      </c>
    </row>
    <row r="7707" spans="1:1" ht="12.75">
      <c r="A7707" s="2" t="s">
        <v>509</v>
      </c>
    </row>
    <row r="7708" spans="1:1" ht="12.75">
      <c r="A7708" s="2" t="s">
        <v>509</v>
      </c>
    </row>
    <row r="7709" spans="1:1" ht="12.75">
      <c r="A7709" s="2" t="s">
        <v>509</v>
      </c>
    </row>
    <row r="7710" spans="1:1" ht="12.75">
      <c r="A7710" s="2" t="s">
        <v>509</v>
      </c>
    </row>
    <row r="7713" spans="1:1" ht="12.75">
      <c r="A7713" s="2" t="s">
        <v>245</v>
      </c>
    </row>
    <row r="7714" spans="1:1" ht="12.75">
      <c r="A7714" s="2" t="s">
        <v>246</v>
      </c>
    </row>
    <row r="7715" spans="1:1" ht="12.75">
      <c r="A7715" s="2" t="s">
        <v>245</v>
      </c>
    </row>
    <row r="7716" spans="1:1" ht="12.75">
      <c r="A7716" s="2" t="s">
        <v>244</v>
      </c>
    </row>
    <row r="7717" spans="1:1" ht="12.75">
      <c r="A7717" s="2" t="s">
        <v>245</v>
      </c>
    </row>
    <row r="7718" spans="1:1" ht="12.75">
      <c r="A7718" s="2" t="s">
        <v>245</v>
      </c>
    </row>
    <row r="7719" spans="1:1" ht="12.75">
      <c r="A7719" s="2" t="s">
        <v>244</v>
      </c>
    </row>
    <row r="7720" spans="1:1" ht="12.75">
      <c r="A7720" s="2" t="s">
        <v>246</v>
      </c>
    </row>
    <row r="7721" spans="1:1" ht="12.75">
      <c r="A7721" s="2" t="s">
        <v>533</v>
      </c>
    </row>
    <row r="7722" spans="1:1" ht="12.75">
      <c r="A7722" s="2" t="s">
        <v>245</v>
      </c>
    </row>
    <row r="7723" spans="1:1" ht="12.75">
      <c r="A7723" s="2" t="s">
        <v>246</v>
      </c>
    </row>
    <row r="7724" spans="1:1" ht="12.75">
      <c r="A7724" s="2" t="s">
        <v>245</v>
      </c>
    </row>
    <row r="7725" spans="1:1" ht="12.75">
      <c r="A7725" s="2" t="s">
        <v>245</v>
      </c>
    </row>
    <row r="7726" spans="1:1" ht="12.75">
      <c r="A7726" s="2" t="s">
        <v>245</v>
      </c>
    </row>
    <row r="7727" spans="1:1" ht="12.75">
      <c r="A7727" s="2" t="s">
        <v>533</v>
      </c>
    </row>
    <row r="7728" spans="1:1" ht="12.75">
      <c r="A7728" s="2" t="s">
        <v>533</v>
      </c>
    </row>
    <row r="7729" spans="1:1" ht="12.75">
      <c r="A7729" s="2">
        <v>415</v>
      </c>
    </row>
    <row r="7730" spans="1:1" ht="12.75">
      <c r="A7730" s="2" t="s">
        <v>533</v>
      </c>
    </row>
    <row r="7731" spans="1:1" ht="12.75">
      <c r="A7731" s="2" t="s">
        <v>244</v>
      </c>
    </row>
    <row r="7732" spans="1:1" ht="12.75">
      <c r="A7732" s="2" t="s">
        <v>533</v>
      </c>
    </row>
    <row r="7733" spans="1:1" ht="12.75">
      <c r="A7733" s="2" t="s">
        <v>244</v>
      </c>
    </row>
    <row r="7734" spans="1:1" ht="12.75">
      <c r="A7734" s="2" t="s">
        <v>244</v>
      </c>
    </row>
    <row r="7735" spans="1:1" ht="12.75">
      <c r="A7735" s="2" t="s">
        <v>246</v>
      </c>
    </row>
    <row r="7736" spans="1:1" ht="12.75">
      <c r="A7736" s="2" t="s">
        <v>244</v>
      </c>
    </row>
    <row r="7737" spans="1:1" ht="12.75">
      <c r="A7737" s="2" t="s">
        <v>534</v>
      </c>
    </row>
    <row r="7738" spans="1:1" ht="12.75">
      <c r="A7738" s="2" t="s">
        <v>245</v>
      </c>
    </row>
    <row r="7739" spans="1:1" ht="12.75">
      <c r="A7739" s="2" t="s">
        <v>246</v>
      </c>
    </row>
    <row r="7740" spans="1:1" ht="12.75">
      <c r="A7740" s="2" t="s">
        <v>245</v>
      </c>
    </row>
    <row r="7741" spans="1:1" ht="12.75">
      <c r="A7741" s="2" t="s">
        <v>533</v>
      </c>
    </row>
    <row r="7742" spans="1:1" ht="12.75">
      <c r="A7742" s="2" t="s">
        <v>245</v>
      </c>
    </row>
    <row r="7743" spans="1:1" ht="12.75">
      <c r="A7743" s="2" t="s">
        <v>245</v>
      </c>
    </row>
    <row r="7744" spans="1:1" ht="12.75">
      <c r="A7744" s="2" t="s">
        <v>244</v>
      </c>
    </row>
    <row r="7799" spans="1:1" ht="12.75">
      <c r="A7799" s="2" t="s">
        <v>535</v>
      </c>
    </row>
    <row r="7800" spans="1:1" ht="12.75">
      <c r="A7800" s="2" t="s">
        <v>535</v>
      </c>
    </row>
    <row r="7801" spans="1:1" ht="12.75">
      <c r="A7801" s="2" t="s">
        <v>535</v>
      </c>
    </row>
    <row r="7802" spans="1:1" ht="12.75">
      <c r="A7802" s="2" t="s">
        <v>535</v>
      </c>
    </row>
    <row r="7803" spans="1:1" ht="12.75">
      <c r="A7803" s="2" t="s">
        <v>535</v>
      </c>
    </row>
    <row r="7804" spans="1:1" ht="12.75">
      <c r="A7804" s="2" t="s">
        <v>535</v>
      </c>
    </row>
    <row r="7805" spans="1:1" ht="12.75">
      <c r="A7805" s="2" t="s">
        <v>535</v>
      </c>
    </row>
    <row r="7806" spans="1:1" ht="12.75">
      <c r="A7806" s="2" t="s">
        <v>535</v>
      </c>
    </row>
    <row r="7807" spans="1:1" ht="12.75">
      <c r="A7807" s="2" t="s">
        <v>535</v>
      </c>
    </row>
    <row r="7808" spans="1:1" ht="12.75">
      <c r="A7808" s="2" t="s">
        <v>536</v>
      </c>
    </row>
    <row r="7809" spans="1:1" ht="12.75">
      <c r="A7809" s="2" t="s">
        <v>275</v>
      </c>
    </row>
    <row r="7810" spans="1:1" ht="12.75">
      <c r="A7810" s="2" t="s">
        <v>275</v>
      </c>
    </row>
    <row r="7811" spans="1:1" ht="12.75">
      <c r="A7811" s="2" t="s">
        <v>275</v>
      </c>
    </row>
    <row r="7812" spans="1:1" ht="12.75">
      <c r="A7812" s="2" t="s">
        <v>275</v>
      </c>
    </row>
    <row r="7813" spans="1:1" ht="12.75">
      <c r="A7813" s="2" t="s">
        <v>275</v>
      </c>
    </row>
    <row r="7814" spans="1:1" ht="12.75">
      <c r="A7814" s="2" t="s">
        <v>275</v>
      </c>
    </row>
    <row r="7815" spans="1:1" ht="12.75">
      <c r="A7815" s="2" t="s">
        <v>275</v>
      </c>
    </row>
    <row r="7816" spans="1:1" ht="12.75">
      <c r="A7816" s="2" t="s">
        <v>274</v>
      </c>
    </row>
    <row r="7817" spans="1:1" ht="12.75">
      <c r="A7817" s="2" t="s">
        <v>537</v>
      </c>
    </row>
    <row r="7818" spans="1:1" ht="12.75">
      <c r="A7818" s="2" t="s">
        <v>274</v>
      </c>
    </row>
    <row r="7819" spans="1:1" ht="12.75">
      <c r="A7819" s="2" t="s">
        <v>274</v>
      </c>
    </row>
    <row r="7820" spans="1:1" ht="12.75">
      <c r="A7820" s="2" t="s">
        <v>274</v>
      </c>
    </row>
    <row r="7821" spans="1:1" ht="12.75">
      <c r="A7821" s="2" t="s">
        <v>274</v>
      </c>
    </row>
    <row r="7822" spans="1:1" ht="12.75">
      <c r="A7822" s="2" t="s">
        <v>274</v>
      </c>
    </row>
    <row r="7823" spans="1:1" ht="12.75">
      <c r="A7823" s="2" t="s">
        <v>274</v>
      </c>
    </row>
    <row r="7824" spans="1:1" ht="12.75">
      <c r="A7824" s="2" t="s">
        <v>274</v>
      </c>
    </row>
    <row r="7825" spans="1:1" ht="12.75">
      <c r="A7825" s="2" t="s">
        <v>274</v>
      </c>
    </row>
    <row r="7826" spans="1:1" ht="12.75">
      <c r="A7826" s="2" t="s">
        <v>274</v>
      </c>
    </row>
    <row r="7827" spans="1:1" ht="12.75">
      <c r="A7827" s="2" t="s">
        <v>275</v>
      </c>
    </row>
    <row r="7828" spans="1:1" ht="12.75">
      <c r="A7828" s="2" t="s">
        <v>275</v>
      </c>
    </row>
    <row r="7829" spans="1:1" ht="12.75">
      <c r="A7829" s="2" t="s">
        <v>253</v>
      </c>
    </row>
    <row r="7830" spans="1:1" ht="12.75">
      <c r="A7830" s="2" t="s">
        <v>254</v>
      </c>
    </row>
    <row r="7831" spans="1:1" ht="12.75">
      <c r="A7831" s="2" t="s">
        <v>254</v>
      </c>
    </row>
    <row r="7832" spans="1:1" ht="12.75">
      <c r="A7832" s="2" t="s">
        <v>253</v>
      </c>
    </row>
    <row r="7833" spans="1:1" ht="12.75">
      <c r="A7833" s="2" t="s">
        <v>253</v>
      </c>
    </row>
    <row r="7834" spans="1:1" ht="12.75">
      <c r="A7834" s="2" t="s">
        <v>256</v>
      </c>
    </row>
    <row r="7835" spans="1:1" ht="12.75">
      <c r="A7835" s="2" t="s">
        <v>253</v>
      </c>
    </row>
    <row r="7836" spans="1:1" ht="12.75">
      <c r="A7836" s="2" t="s">
        <v>252</v>
      </c>
    </row>
    <row r="7837" spans="1:1" ht="12.75">
      <c r="A7837" s="2" t="s">
        <v>253</v>
      </c>
    </row>
    <row r="7838" spans="1:1" ht="12.75">
      <c r="A7838" s="2" t="s">
        <v>256</v>
      </c>
    </row>
    <row r="7839" spans="1:1" ht="12.75">
      <c r="A7839" s="2" t="s">
        <v>253</v>
      </c>
    </row>
    <row r="7840" spans="1:1" ht="12.75">
      <c r="A7840" s="2" t="s">
        <v>256</v>
      </c>
    </row>
    <row r="7841" spans="1:1" ht="12.75">
      <c r="A7841" s="2" t="s">
        <v>252</v>
      </c>
    </row>
    <row r="7842" spans="1:1" ht="12.75">
      <c r="A7842" s="2" t="s">
        <v>252</v>
      </c>
    </row>
    <row r="7843" spans="1:1" ht="12.75">
      <c r="A7843" s="2" t="s">
        <v>253</v>
      </c>
    </row>
    <row r="7844" spans="1:1" ht="12.75">
      <c r="A7844" s="2" t="s">
        <v>256</v>
      </c>
    </row>
    <row r="7845" spans="1:1" ht="12.75">
      <c r="A7845" s="2" t="s">
        <v>252</v>
      </c>
    </row>
    <row r="7846" spans="1:1" ht="12.75">
      <c r="A7846" s="2" t="s">
        <v>252</v>
      </c>
    </row>
    <row r="7847" spans="1:1" ht="12.75">
      <c r="A7847" s="2" t="s">
        <v>256</v>
      </c>
    </row>
    <row r="7848" spans="1:1" ht="12.75">
      <c r="A7848" s="2" t="s">
        <v>254</v>
      </c>
    </row>
    <row r="7849" spans="1:1" ht="12.75">
      <c r="A7849" s="2" t="s">
        <v>516</v>
      </c>
    </row>
    <row r="7850" spans="1:1" ht="12.75">
      <c r="A7850" s="2" t="s">
        <v>253</v>
      </c>
    </row>
    <row r="7851" spans="1:1" ht="12.75">
      <c r="A7851" s="2" t="s">
        <v>254</v>
      </c>
    </row>
    <row r="7852" spans="1:1" ht="12.75">
      <c r="A7852" s="2" t="s">
        <v>256</v>
      </c>
    </row>
    <row r="7853" spans="1:1" ht="12.75">
      <c r="A7853" s="2" t="s">
        <v>252</v>
      </c>
    </row>
    <row r="7854" spans="1:1" ht="12.75">
      <c r="A7854" s="2" t="s">
        <v>254</v>
      </c>
    </row>
    <row r="7855" spans="1:1" ht="12.75">
      <c r="A7855" s="2" t="s">
        <v>254</v>
      </c>
    </row>
    <row r="7856" spans="1:1" ht="12.75">
      <c r="A7856" s="2" t="s">
        <v>256</v>
      </c>
    </row>
    <row r="7857" spans="1:1" ht="12.75">
      <c r="A7857" s="2" t="s">
        <v>254</v>
      </c>
    </row>
    <row r="7858" spans="1:1" ht="12.75">
      <c r="A7858" s="2" t="s">
        <v>256</v>
      </c>
    </row>
    <row r="7859" spans="1:1" ht="12.75">
      <c r="A7859" s="2" t="s">
        <v>252</v>
      </c>
    </row>
    <row r="7860" spans="1:1" ht="12.75">
      <c r="A7860" s="2" t="s">
        <v>252</v>
      </c>
    </row>
    <row r="7861" spans="1:1" ht="12.75">
      <c r="A7861" s="2" t="s">
        <v>254</v>
      </c>
    </row>
    <row r="7862" spans="1:1" ht="12.75">
      <c r="A7862" s="2" t="s">
        <v>256</v>
      </c>
    </row>
    <row r="7863" spans="1:1" ht="12.75">
      <c r="A7863" s="2" t="s">
        <v>256</v>
      </c>
    </row>
    <row r="7864" spans="1:1" ht="12.75">
      <c r="A7864" s="2" t="s">
        <v>254</v>
      </c>
    </row>
    <row r="7865" spans="1:1" ht="12.75">
      <c r="A7865" s="2" t="s">
        <v>256</v>
      </c>
    </row>
    <row r="7866" spans="1:1" ht="12.75">
      <c r="A7866" s="2" t="s">
        <v>254</v>
      </c>
    </row>
    <row r="7867" spans="1:1" ht="12.75">
      <c r="A7867" s="2" t="s">
        <v>252</v>
      </c>
    </row>
    <row r="7868" spans="1:1" ht="12.75">
      <c r="A7868" s="2" t="s">
        <v>252</v>
      </c>
    </row>
    <row r="7869" spans="1:1" ht="12.75">
      <c r="A7869" s="2" t="s">
        <v>254</v>
      </c>
    </row>
    <row r="7870" spans="1:1" ht="12.75">
      <c r="A7870" s="2" t="s">
        <v>253</v>
      </c>
    </row>
    <row r="7871" spans="1:1" ht="12.75">
      <c r="A7871" s="2" t="s">
        <v>516</v>
      </c>
    </row>
    <row r="7872" spans="1:1" ht="12.75">
      <c r="A7872" s="2" t="s">
        <v>253</v>
      </c>
    </row>
    <row r="7873" spans="1:1" ht="12.75">
      <c r="A7873" s="2" t="s">
        <v>252</v>
      </c>
    </row>
    <row r="7874" spans="1:1" ht="12.75">
      <c r="A7874" s="2" t="s">
        <v>252</v>
      </c>
    </row>
    <row r="7875" spans="1:1" ht="12.75">
      <c r="A7875" s="2" t="s">
        <v>252</v>
      </c>
    </row>
    <row r="7876" spans="1:1" ht="12.75">
      <c r="A7876" s="2" t="s">
        <v>252</v>
      </c>
    </row>
    <row r="7877" spans="1:1" ht="12.75">
      <c r="A7877" s="2" t="s">
        <v>256</v>
      </c>
    </row>
    <row r="7878" spans="1:1" ht="12.75">
      <c r="A7878" s="2" t="s">
        <v>254</v>
      </c>
    </row>
    <row r="7879" spans="1:1" ht="12.75">
      <c r="A7879" s="2" t="s">
        <v>495</v>
      </c>
    </row>
    <row r="7880" spans="1:1" ht="12.75">
      <c r="A7880" s="2" t="s">
        <v>538</v>
      </c>
    </row>
    <row r="7881" spans="1:1" ht="12.75">
      <c r="A7881" s="2" t="s">
        <v>539</v>
      </c>
    </row>
    <row r="7882" spans="1:1" ht="12.75">
      <c r="A7882" s="2" t="s">
        <v>540</v>
      </c>
    </row>
    <row r="7883" spans="1:1" ht="12.75">
      <c r="A7883" s="2" t="s">
        <v>540</v>
      </c>
    </row>
    <row r="7884" spans="1:1" ht="12.75">
      <c r="A7884" s="2" t="s">
        <v>540</v>
      </c>
    </row>
    <row r="7885" spans="1:1" ht="12.75">
      <c r="A7885" s="2" t="s">
        <v>540</v>
      </c>
    </row>
    <row r="7886" spans="1:1" ht="12.75">
      <c r="A7886" s="2" t="s">
        <v>495</v>
      </c>
    </row>
    <row r="7887" spans="1:1" ht="12.75">
      <c r="A7887" s="2" t="s">
        <v>541</v>
      </c>
    </row>
    <row r="7888" spans="1:1" ht="12.75">
      <c r="A7888" s="2" t="s">
        <v>540</v>
      </c>
    </row>
    <row r="7899" spans="1:1" ht="12.75">
      <c r="A7899" s="2" t="s">
        <v>542</v>
      </c>
    </row>
    <row r="7900" spans="1:1" ht="12.75">
      <c r="A7900" s="2" t="s">
        <v>542</v>
      </c>
    </row>
    <row r="7901" spans="1:1" ht="12.75">
      <c r="A7901" s="2" t="s">
        <v>542</v>
      </c>
    </row>
    <row r="7902" spans="1:1" ht="12.75">
      <c r="A7902" s="2" t="s">
        <v>226</v>
      </c>
    </row>
    <row r="7903" spans="1:1" ht="12.75">
      <c r="A7903" s="2" t="s">
        <v>226</v>
      </c>
    </row>
    <row r="7904" spans="1:1" ht="12.75">
      <c r="A7904" s="2" t="s">
        <v>236</v>
      </c>
    </row>
    <row r="7905" spans="1:1" ht="12.75">
      <c r="A7905" s="2" t="s">
        <v>233</v>
      </c>
    </row>
    <row r="7906" spans="1:1" ht="12.75">
      <c r="A7906" s="2" t="s">
        <v>235</v>
      </c>
    </row>
    <row r="7907" spans="1:1" ht="12.75">
      <c r="A7907" s="2" t="s">
        <v>233</v>
      </c>
    </row>
    <row r="7908" spans="1:1" ht="12.75">
      <c r="A7908" s="2" t="s">
        <v>233</v>
      </c>
    </row>
    <row r="7909" spans="1:1" ht="12.75">
      <c r="A7909" s="2" t="s">
        <v>235</v>
      </c>
    </row>
    <row r="7910" spans="1:1" ht="12.75">
      <c r="A7910" s="2" t="s">
        <v>233</v>
      </c>
    </row>
    <row r="7911" spans="1:1" ht="12.75">
      <c r="A7911" s="2" t="s">
        <v>236</v>
      </c>
    </row>
    <row r="7912" spans="1:1" ht="12.75">
      <c r="A7912" s="2" t="s">
        <v>234</v>
      </c>
    </row>
    <row r="7913" spans="1:1" ht="12.75">
      <c r="A7913" s="2" t="s">
        <v>234</v>
      </c>
    </row>
    <row r="7914" spans="1:1" ht="12.75">
      <c r="A7914" s="2" t="s">
        <v>199</v>
      </c>
    </row>
    <row r="7915" spans="1:1" ht="12.75">
      <c r="A7915" s="2" t="s">
        <v>199</v>
      </c>
    </row>
    <row r="7916" spans="1:1" ht="12.75">
      <c r="A7916" s="2" t="s">
        <v>199</v>
      </c>
    </row>
    <row r="7917" spans="1:1" ht="12.75">
      <c r="A7917" s="2" t="s">
        <v>199</v>
      </c>
    </row>
    <row r="7918" spans="1:1" ht="12.75">
      <c r="A7918" s="2" t="s">
        <v>235</v>
      </c>
    </row>
    <row r="7919" spans="1:1" ht="12.75">
      <c r="A7919" s="2" t="s">
        <v>235</v>
      </c>
    </row>
    <row r="7920" spans="1:1" ht="12.75">
      <c r="A7920" s="2" t="s">
        <v>199</v>
      </c>
    </row>
    <row r="7921" spans="1:1" ht="12.75">
      <c r="A7921" s="2" t="s">
        <v>199</v>
      </c>
    </row>
    <row r="7922" spans="1:1" ht="12.75">
      <c r="A7922" s="2" t="s">
        <v>233</v>
      </c>
    </row>
    <row r="7923" spans="1:1" ht="12.75">
      <c r="A7923" s="2" t="s">
        <v>233</v>
      </c>
    </row>
    <row r="7924" spans="1:1" ht="12.75">
      <c r="A7924" s="2" t="s">
        <v>233</v>
      </c>
    </row>
    <row r="7925" spans="1:1" ht="12.75">
      <c r="A7925" s="2" t="s">
        <v>234</v>
      </c>
    </row>
    <row r="7926" spans="1:1" ht="12.75">
      <c r="A7926" s="2" t="s">
        <v>234</v>
      </c>
    </row>
    <row r="7927" spans="1:1" ht="12.75">
      <c r="A7927" s="2" t="s">
        <v>234</v>
      </c>
    </row>
    <row r="7928" spans="1:1" ht="12.75">
      <c r="A7928" s="2" t="s">
        <v>233</v>
      </c>
    </row>
    <row r="7929" spans="1:1" ht="12.75">
      <c r="A7929" s="2" t="s">
        <v>233</v>
      </c>
    </row>
    <row r="7930" spans="1:1" ht="12.75">
      <c r="A7930" s="2" t="s">
        <v>236</v>
      </c>
    </row>
    <row r="7931" spans="1:1" ht="12.75">
      <c r="A7931" s="2" t="s">
        <v>236</v>
      </c>
    </row>
    <row r="7932" spans="1:1" ht="12.75">
      <c r="A7932" s="2" t="s">
        <v>199</v>
      </c>
    </row>
    <row r="7933" spans="1:1" ht="12.75">
      <c r="A7933" s="2" t="s">
        <v>235</v>
      </c>
    </row>
    <row r="7934" spans="1:1" ht="12.75">
      <c r="A7934" s="2" t="s">
        <v>199</v>
      </c>
    </row>
    <row r="7935" spans="1:1" ht="12.75">
      <c r="A7935" s="2" t="s">
        <v>199</v>
      </c>
    </row>
    <row r="7936" spans="1:1" ht="12.75">
      <c r="A7936" s="2" t="s">
        <v>233</v>
      </c>
    </row>
    <row r="7937" spans="1:1" ht="12.75">
      <c r="A7937" s="2" t="s">
        <v>233</v>
      </c>
    </row>
    <row r="7938" spans="1:1" ht="12.75">
      <c r="A7938" s="2" t="s">
        <v>233</v>
      </c>
    </row>
    <row r="7939" spans="1:1" ht="12.75">
      <c r="A7939" s="2" t="s">
        <v>233</v>
      </c>
    </row>
    <row r="7941" spans="1:1" ht="12.75">
      <c r="A7941" s="2" t="s">
        <v>233</v>
      </c>
    </row>
    <row r="7942" spans="1:1" ht="12.75">
      <c r="A7942" s="2" t="s">
        <v>234</v>
      </c>
    </row>
    <row r="7943" spans="1:1" ht="12.75">
      <c r="A7943" s="2" t="s">
        <v>234</v>
      </c>
    </row>
    <row r="7944" spans="1:1" ht="12.75">
      <c r="A7944" s="2" t="s">
        <v>236</v>
      </c>
    </row>
    <row r="7945" spans="1:1" ht="12.75">
      <c r="A7945" s="2" t="s">
        <v>234</v>
      </c>
    </row>
    <row r="7946" spans="1:1" ht="12.75">
      <c r="A7946" s="2" t="s">
        <v>235</v>
      </c>
    </row>
    <row r="7947" spans="1:1" ht="12.75">
      <c r="A7947" s="2" t="s">
        <v>235</v>
      </c>
    </row>
    <row r="7948" spans="1:1" ht="12.75">
      <c r="A7948" s="2" t="s">
        <v>234</v>
      </c>
    </row>
    <row r="7949" spans="1:1" ht="12.75">
      <c r="A7949" s="2" t="s">
        <v>199</v>
      </c>
    </row>
    <row r="7950" spans="1:1" ht="12.75">
      <c r="A7950" s="2" t="s">
        <v>233</v>
      </c>
    </row>
    <row r="7951" spans="1:1" ht="12.75">
      <c r="A7951" s="2" t="s">
        <v>236</v>
      </c>
    </row>
    <row r="7952" spans="1:1" ht="12.75">
      <c r="A7952" s="2" t="s">
        <v>234</v>
      </c>
    </row>
    <row r="7953" spans="1:1" ht="12.75">
      <c r="A7953" s="2" t="s">
        <v>235</v>
      </c>
    </row>
    <row r="7959" spans="1:1" ht="12.75">
      <c r="A7959" s="2" t="s">
        <v>543</v>
      </c>
    </row>
    <row r="7960" spans="1:1" ht="12.75">
      <c r="A7960" s="2" t="s">
        <v>543</v>
      </c>
    </row>
    <row r="7961" spans="1:1" ht="12.75">
      <c r="A7961" s="2" t="s">
        <v>543</v>
      </c>
    </row>
    <row r="7962" spans="1:1" ht="12.75">
      <c r="A7962" s="2" t="s">
        <v>543</v>
      </c>
    </row>
    <row r="7963" spans="1:1" ht="12.75">
      <c r="A7963" s="2" t="s">
        <v>543</v>
      </c>
    </row>
    <row r="7964" spans="1:1" ht="12.75">
      <c r="A7964" s="2" t="s">
        <v>212</v>
      </c>
    </row>
    <row r="7966" spans="1:1" ht="12.75">
      <c r="A7966" s="2" t="s">
        <v>212</v>
      </c>
    </row>
    <row r="7967" spans="1:1" ht="12.75">
      <c r="A7967" s="2" t="s">
        <v>212</v>
      </c>
    </row>
    <row r="7968" spans="1:1" ht="12.75">
      <c r="A7968" s="2" t="s">
        <v>210</v>
      </c>
    </row>
    <row r="7969" spans="1:1" ht="12.75">
      <c r="A7969" s="2" t="s">
        <v>210</v>
      </c>
    </row>
    <row r="7970" spans="1:1" ht="12.75">
      <c r="A7970" s="2" t="s">
        <v>210</v>
      </c>
    </row>
    <row r="7971" spans="1:1" ht="12.75">
      <c r="A7971" s="2" t="s">
        <v>210</v>
      </c>
    </row>
    <row r="7972" spans="1:1" ht="12.75">
      <c r="A7972" s="2" t="s">
        <v>364</v>
      </c>
    </row>
    <row r="7973" spans="1:1" ht="12.75">
      <c r="A7973" s="2" t="s">
        <v>148</v>
      </c>
    </row>
    <row r="7974" spans="1:1" ht="12.75">
      <c r="A7974" s="2" t="s">
        <v>211</v>
      </c>
    </row>
    <row r="7975" spans="1:1" ht="12.75">
      <c r="A7975" s="2" t="s">
        <v>211</v>
      </c>
    </row>
    <row r="7976" spans="1:1" ht="12.75">
      <c r="A7976" s="2" t="s">
        <v>364</v>
      </c>
    </row>
    <row r="7977" spans="1:1" ht="12.75">
      <c r="A7977" s="2" t="s">
        <v>364</v>
      </c>
    </row>
    <row r="7978" spans="1:1" ht="12.75">
      <c r="A7978" s="2" t="s">
        <v>212</v>
      </c>
    </row>
    <row r="7979" spans="1:1" ht="12.75">
      <c r="A7979" s="2" t="s">
        <v>212</v>
      </c>
    </row>
    <row r="7980" spans="1:1" ht="12.75">
      <c r="A7980" s="2" t="s">
        <v>209</v>
      </c>
    </row>
    <row r="7981" spans="1:1" ht="12.75">
      <c r="A7981" s="2" t="s">
        <v>486</v>
      </c>
    </row>
    <row r="7982" spans="1:1" ht="12.75">
      <c r="A7982" s="2" t="s">
        <v>544</v>
      </c>
    </row>
    <row r="7983" spans="1:1" ht="12.75">
      <c r="A7983" s="2" t="s">
        <v>209</v>
      </c>
    </row>
    <row r="7984" spans="1:1" ht="12.75">
      <c r="A7984" s="2" t="s">
        <v>212</v>
      </c>
    </row>
    <row r="7985" spans="1:1" ht="12.75">
      <c r="A7985" s="2" t="s">
        <v>212</v>
      </c>
    </row>
    <row r="7986" spans="1:1" ht="12.75">
      <c r="A7986" s="2" t="s">
        <v>364</v>
      </c>
    </row>
    <row r="7987" spans="1:1" ht="12.75">
      <c r="A7987" s="2" t="s">
        <v>364</v>
      </c>
    </row>
    <row r="7988" spans="1:1" ht="12.75">
      <c r="A7988" s="2" t="s">
        <v>148</v>
      </c>
    </row>
    <row r="7989" spans="1:1" ht="12.75">
      <c r="A7989" s="2" t="s">
        <v>148</v>
      </c>
    </row>
    <row r="7990" spans="1:1" ht="12.75">
      <c r="A7990" s="2" t="s">
        <v>210</v>
      </c>
    </row>
    <row r="7991" spans="1:1" ht="12.75">
      <c r="A7991" s="2" t="s">
        <v>210</v>
      </c>
    </row>
    <row r="7992" spans="1:1" ht="12.75">
      <c r="A7992" s="2" t="s">
        <v>210</v>
      </c>
    </row>
    <row r="7993" spans="1:1" ht="12.75">
      <c r="A7993" s="2" t="s">
        <v>210</v>
      </c>
    </row>
    <row r="7994" spans="1:1" ht="12.75">
      <c r="A7994" s="2" t="s">
        <v>486</v>
      </c>
    </row>
    <row r="7995" spans="1:1" ht="12.75">
      <c r="A7995" s="2" t="s">
        <v>486</v>
      </c>
    </row>
    <row r="7996" spans="1:1" ht="12.75">
      <c r="A7996" s="2" t="s">
        <v>209</v>
      </c>
    </row>
    <row r="7997" spans="1:1" ht="12.75">
      <c r="A7997" s="2" t="s">
        <v>209</v>
      </c>
    </row>
    <row r="7998" spans="1:1" ht="12.75">
      <c r="A7998" s="2" t="s">
        <v>212</v>
      </c>
    </row>
    <row r="7999" spans="1:1" ht="12.75">
      <c r="A7999" s="2" t="s">
        <v>212</v>
      </c>
    </row>
    <row r="8000" spans="1:1" ht="12.75">
      <c r="A8000" s="2" t="s">
        <v>209</v>
      </c>
    </row>
    <row r="8001" spans="1:1" ht="12.75">
      <c r="A8001" s="2" t="s">
        <v>365</v>
      </c>
    </row>
    <row r="8002" spans="1:1" ht="12.75">
      <c r="A8002" s="2" t="s">
        <v>212</v>
      </c>
    </row>
    <row r="8003" spans="1:1" ht="12.75">
      <c r="A8003" s="2" t="s">
        <v>212</v>
      </c>
    </row>
    <row r="8011" spans="1:1" ht="12.75">
      <c r="A8011" s="2" t="s">
        <v>153</v>
      </c>
    </row>
    <row r="8012" spans="1:1" ht="12.75">
      <c r="A8012" s="2" t="s">
        <v>153</v>
      </c>
    </row>
    <row r="8013" spans="1:1" ht="12.75">
      <c r="A8013" s="2" t="s">
        <v>153</v>
      </c>
    </row>
    <row r="8014" spans="1:1" ht="12.75">
      <c r="A8014" s="2" t="s">
        <v>153</v>
      </c>
    </row>
    <row r="8015" spans="1:1" ht="12.75">
      <c r="A8015" s="2" t="s">
        <v>151</v>
      </c>
    </row>
    <row r="8016" spans="1:1" ht="12.75">
      <c r="A8016" s="2" t="s">
        <v>151</v>
      </c>
    </row>
    <row r="8017" spans="1:1" ht="12.75">
      <c r="A8017" s="2" t="s">
        <v>151</v>
      </c>
    </row>
    <row r="8018" spans="1:1" ht="12.75">
      <c r="A8018" s="2" t="s">
        <v>151</v>
      </c>
    </row>
    <row r="8019" spans="1:1" ht="12.75">
      <c r="A8019" s="2" t="s">
        <v>151</v>
      </c>
    </row>
    <row r="8020" spans="1:1" ht="12.75">
      <c r="A8020" s="2" t="s">
        <v>151</v>
      </c>
    </row>
    <row r="8021" spans="1:1" ht="12.75">
      <c r="A8021" s="2" t="s">
        <v>151</v>
      </c>
    </row>
    <row r="8022" spans="1:1" ht="12.75">
      <c r="A8022" s="2" t="s">
        <v>151</v>
      </c>
    </row>
    <row r="8023" spans="1:1" ht="12.75">
      <c r="A8023" s="2" t="s">
        <v>151</v>
      </c>
    </row>
    <row r="8024" spans="1:1" ht="12.75">
      <c r="A8024" s="2" t="s">
        <v>151</v>
      </c>
    </row>
    <row r="8025" spans="1:1" ht="12.75">
      <c r="A8025" s="2" t="s">
        <v>258</v>
      </c>
    </row>
    <row r="8026" spans="1:1" ht="12.75">
      <c r="A8026" s="2" t="s">
        <v>258</v>
      </c>
    </row>
    <row r="8027" spans="1:1" ht="12.75">
      <c r="A8027" s="2" t="s">
        <v>259</v>
      </c>
    </row>
    <row r="8028" spans="1:1" ht="12.75">
      <c r="A8028" s="2" t="s">
        <v>259</v>
      </c>
    </row>
    <row r="8029" spans="1:1" ht="12.75">
      <c r="A8029" s="2" t="s">
        <v>257</v>
      </c>
    </row>
    <row r="8030" spans="1:1" ht="12.75">
      <c r="A8030" s="2" t="s">
        <v>257</v>
      </c>
    </row>
    <row r="8031" spans="1:1" ht="12.75">
      <c r="A8031" s="2" t="s">
        <v>259</v>
      </c>
    </row>
    <row r="8032" spans="1:1" ht="12.75">
      <c r="A8032" s="2" t="s">
        <v>259</v>
      </c>
    </row>
    <row r="8033" spans="1:1" ht="12.75">
      <c r="A8033" s="2" t="s">
        <v>258</v>
      </c>
    </row>
    <row r="8034" spans="1:1" ht="12.75">
      <c r="A8034" s="2" t="s">
        <v>258</v>
      </c>
    </row>
    <row r="8035" spans="1:1" ht="12.75">
      <c r="A8035" s="2" t="s">
        <v>259</v>
      </c>
    </row>
    <row r="8036" spans="1:1" ht="12.75">
      <c r="A8036" s="2" t="s">
        <v>259</v>
      </c>
    </row>
    <row r="8037" spans="1:1" ht="12.75">
      <c r="A8037" s="2" t="s">
        <v>257</v>
      </c>
    </row>
    <row r="8038" spans="1:1" ht="12.75">
      <c r="A8038" s="2" t="s">
        <v>257</v>
      </c>
    </row>
    <row r="8039" spans="1:1" ht="12.75">
      <c r="A8039" s="2" t="s">
        <v>301</v>
      </c>
    </row>
    <row r="8040" spans="1:1" ht="12.75">
      <c r="A8040" s="2" t="s">
        <v>301</v>
      </c>
    </row>
    <row r="8041" spans="1:1" ht="12.75">
      <c r="A8041" s="2" t="s">
        <v>301</v>
      </c>
    </row>
    <row r="8042" spans="1:1" ht="12.75">
      <c r="A8042" s="2" t="s">
        <v>301</v>
      </c>
    </row>
    <row r="8043" spans="1:1" ht="12.75">
      <c r="A8043" s="2" t="s">
        <v>257</v>
      </c>
    </row>
    <row r="8044" spans="1:1" ht="12.75">
      <c r="A8044" s="2" t="s">
        <v>257</v>
      </c>
    </row>
    <row r="8045" spans="1:1" ht="12.75">
      <c r="A8045" s="2" t="s">
        <v>259</v>
      </c>
    </row>
    <row r="8046" spans="1:1" ht="12.75">
      <c r="A8046" s="2" t="s">
        <v>259</v>
      </c>
    </row>
    <row r="8047" spans="1:1" ht="12.75">
      <c r="A8047" s="2" t="s">
        <v>258</v>
      </c>
    </row>
    <row r="8048" spans="1:1" ht="12.75">
      <c r="A8048" s="2" t="s">
        <v>258</v>
      </c>
    </row>
    <row r="8049" spans="1:1" ht="12.75">
      <c r="A8049" s="2" t="s">
        <v>258</v>
      </c>
    </row>
    <row r="8050" spans="1:1" ht="12.75">
      <c r="A8050" s="2" t="s">
        <v>258</v>
      </c>
    </row>
    <row r="8052" spans="1:1" ht="12.75">
      <c r="A8052" s="2" t="s">
        <v>301</v>
      </c>
    </row>
    <row r="8053" spans="1:1" ht="12.75">
      <c r="A8053" s="2" t="s">
        <v>301</v>
      </c>
    </row>
    <row r="8054" spans="1:1" ht="12.75">
      <c r="A8054" s="2" t="s">
        <v>301</v>
      </c>
    </row>
    <row r="8056" spans="1:1" ht="12.75">
      <c r="A8056" s="2" t="s">
        <v>343</v>
      </c>
    </row>
    <row r="8058" spans="1:1" ht="12.75">
      <c r="A8058" s="2" t="s">
        <v>545</v>
      </c>
    </row>
    <row r="8059" spans="1:1" ht="12.75">
      <c r="A8059" s="2" t="s">
        <v>545</v>
      </c>
    </row>
    <row r="8060" spans="1:1" ht="12.75">
      <c r="A8060" s="2" t="s">
        <v>545</v>
      </c>
    </row>
    <row r="8070" spans="1:1" ht="12.75">
      <c r="A8070" s="2" t="s">
        <v>265</v>
      </c>
    </row>
    <row r="8071" spans="1:1" ht="12.75">
      <c r="A8071" s="2" t="s">
        <v>265</v>
      </c>
    </row>
    <row r="8074" spans="1:1" ht="12.75">
      <c r="A8074" s="2" t="s">
        <v>265</v>
      </c>
    </row>
    <row r="8075" spans="1:1" ht="12.75">
      <c r="A8075" s="2" t="s">
        <v>265</v>
      </c>
    </row>
    <row r="8076" spans="1:1" ht="12.75">
      <c r="A8076" s="2" t="s">
        <v>265</v>
      </c>
    </row>
    <row r="8077" spans="1:1" ht="12.75">
      <c r="A8077" s="2" t="s">
        <v>265</v>
      </c>
    </row>
    <row r="8088" spans="1:1" ht="12.75">
      <c r="A8088" s="2" t="s">
        <v>284</v>
      </c>
    </row>
    <row r="8089" spans="1:1" ht="12.75">
      <c r="A8089" s="2" t="s">
        <v>357</v>
      </c>
    </row>
    <row r="8090" spans="1:1" ht="12.75">
      <c r="A8090" s="2" t="s">
        <v>357</v>
      </c>
    </row>
    <row r="8093" spans="1:1" ht="12.75">
      <c r="A8093" s="2" t="s">
        <v>284</v>
      </c>
    </row>
    <row r="8094" spans="1:1" ht="12.75">
      <c r="A8094" s="2" t="s">
        <v>284</v>
      </c>
    </row>
    <row r="8095" spans="1:1" ht="12.75">
      <c r="A8095" s="2" t="s">
        <v>284</v>
      </c>
    </row>
    <row r="8096" spans="1:1" ht="12.75">
      <c r="A8096" s="2" t="s">
        <v>284</v>
      </c>
    </row>
    <row r="8097" spans="1:1" ht="12.75">
      <c r="A8097" s="2" t="s">
        <v>284</v>
      </c>
    </row>
    <row r="8098" spans="1:1" ht="12.75">
      <c r="A8098" s="2" t="s">
        <v>284</v>
      </c>
    </row>
    <row r="8099" spans="1:1" ht="12.75">
      <c r="A8099" s="2" t="s">
        <v>284</v>
      </c>
    </row>
    <row r="8100" spans="1:1" ht="12.75">
      <c r="A8100" s="2" t="s">
        <v>284</v>
      </c>
    </row>
    <row r="8101" spans="1:1" ht="12.75">
      <c r="A8101" s="2" t="s">
        <v>284</v>
      </c>
    </row>
    <row r="8102" spans="1:1" ht="12.75">
      <c r="A8102" s="2" t="s">
        <v>284</v>
      </c>
    </row>
    <row r="8103" spans="1:1" ht="12.75">
      <c r="A8103" s="2" t="s">
        <v>528</v>
      </c>
    </row>
    <row r="8104" spans="1:1" ht="12.75">
      <c r="A8104" s="2" t="s">
        <v>528</v>
      </c>
    </row>
    <row r="8105" spans="1:1" ht="12.75">
      <c r="A8105" s="2" t="s">
        <v>528</v>
      </c>
    </row>
    <row r="8106" spans="1:1" ht="12.75">
      <c r="A8106" s="2" t="s">
        <v>530</v>
      </c>
    </row>
    <row r="8107" spans="1:1" ht="12.75">
      <c r="A8107" s="2" t="s">
        <v>530</v>
      </c>
    </row>
    <row r="8108" spans="1:1" ht="12.75">
      <c r="A8108" s="2" t="s">
        <v>532</v>
      </c>
    </row>
    <row r="8109" spans="1:1" ht="12.75">
      <c r="A8109" s="2" t="s">
        <v>532</v>
      </c>
    </row>
    <row r="8110" spans="1:1" ht="12.75">
      <c r="A8110" s="2" t="s">
        <v>546</v>
      </c>
    </row>
    <row r="8111" spans="1:1" ht="12.75">
      <c r="A8111" s="2" t="s">
        <v>546</v>
      </c>
    </row>
    <row r="8112" spans="1:1" ht="12.75">
      <c r="A8112" s="2" t="s">
        <v>529</v>
      </c>
    </row>
    <row r="8113" spans="1:1" ht="12.75">
      <c r="A8113" s="2" t="s">
        <v>530</v>
      </c>
    </row>
    <row r="8114" spans="1:1" ht="12.75">
      <c r="A8114" s="2" t="s">
        <v>546</v>
      </c>
    </row>
    <row r="8115" spans="1:1" ht="12.75">
      <c r="A8115" s="2" t="s">
        <v>529</v>
      </c>
    </row>
    <row r="8116" spans="1:1" ht="12.75">
      <c r="A8116" s="2" t="s">
        <v>514</v>
      </c>
    </row>
    <row r="8117" spans="1:1" ht="12.75">
      <c r="A8117" s="2" t="s">
        <v>546</v>
      </c>
    </row>
    <row r="8118" spans="1:1" ht="12.75">
      <c r="A8118" s="2" t="s">
        <v>547</v>
      </c>
    </row>
    <row r="8119" spans="1:1" ht="12.75">
      <c r="A8119" s="2" t="s">
        <v>532</v>
      </c>
    </row>
    <row r="8120" spans="1:1" ht="12.75">
      <c r="A8120" s="2" t="s">
        <v>532</v>
      </c>
    </row>
    <row r="8121" spans="1:1" ht="12.75">
      <c r="A8121" s="2" t="s">
        <v>530</v>
      </c>
    </row>
    <row r="8122" spans="1:1" ht="12.75">
      <c r="A8122" s="2" t="s">
        <v>529</v>
      </c>
    </row>
    <row r="8123" spans="1:1" ht="12.75">
      <c r="A8123" s="2" t="s">
        <v>530</v>
      </c>
    </row>
    <row r="8124" spans="1:1" ht="12.75">
      <c r="A8124" s="2" t="s">
        <v>529</v>
      </c>
    </row>
    <row r="8125" spans="1:1" ht="12.75">
      <c r="A8125" s="2" t="s">
        <v>528</v>
      </c>
    </row>
    <row r="8126" spans="1:1" ht="12.75">
      <c r="A8126" s="2" t="s">
        <v>528</v>
      </c>
    </row>
    <row r="8128" spans="1:1" ht="12.75">
      <c r="A8128" s="2" t="s">
        <v>530</v>
      </c>
    </row>
    <row r="8129" spans="1:1" ht="12.75">
      <c r="A8129" s="2" t="s">
        <v>528</v>
      </c>
    </row>
    <row r="8130" spans="1:1" ht="12.75">
      <c r="A8130" s="2" t="s">
        <v>528</v>
      </c>
    </row>
    <row r="8131" spans="1:1" ht="12.75">
      <c r="A8131" s="2" t="s">
        <v>528</v>
      </c>
    </row>
    <row r="8132" spans="1:1" ht="12.75">
      <c r="A8132" s="2" t="s">
        <v>532</v>
      </c>
    </row>
    <row r="8133" spans="1:1" ht="12.75">
      <c r="A8133" s="2" t="s">
        <v>529</v>
      </c>
    </row>
    <row r="8134" spans="1:1" ht="12.75">
      <c r="A8134" s="2" t="s">
        <v>530</v>
      </c>
    </row>
    <row r="8135" spans="1:1" ht="12.75">
      <c r="A8135" s="2" t="s">
        <v>529</v>
      </c>
    </row>
    <row r="8136" spans="1:1" ht="12.75">
      <c r="A8136" s="2" t="s">
        <v>529</v>
      </c>
    </row>
    <row r="8137" spans="1:1" ht="12.75">
      <c r="A8137" s="2" t="s">
        <v>532</v>
      </c>
    </row>
    <row r="8138" spans="1:1" ht="12.75">
      <c r="A8138" s="2" t="s">
        <v>530</v>
      </c>
    </row>
    <row r="8139" spans="1:1" ht="12.75">
      <c r="A8139" s="2" t="s">
        <v>528</v>
      </c>
    </row>
    <row r="8140" spans="1:1" ht="12.75">
      <c r="A8140" s="2" t="s">
        <v>528</v>
      </c>
    </row>
    <row r="8141" spans="1:1" ht="12.75">
      <c r="A8141" s="2" t="s">
        <v>529</v>
      </c>
    </row>
    <row r="8142" spans="1:1" ht="12.75">
      <c r="A8142" s="2" t="s">
        <v>529</v>
      </c>
    </row>
    <row r="8143" spans="1:1" ht="12.75">
      <c r="A8143" s="2" t="s">
        <v>528</v>
      </c>
    </row>
    <row r="8144" spans="1:1" ht="12.75">
      <c r="A8144" s="2" t="s">
        <v>528</v>
      </c>
    </row>
    <row r="8145" spans="1:1" ht="12.75">
      <c r="A8145" s="2" t="s">
        <v>529</v>
      </c>
    </row>
    <row r="8146" spans="1:1" ht="12.75">
      <c r="A8146" s="2" t="s">
        <v>530</v>
      </c>
    </row>
    <row r="8147" spans="1:1" ht="12.75">
      <c r="A8147" s="2" t="s">
        <v>528</v>
      </c>
    </row>
    <row r="8148" spans="1:1" ht="12.75">
      <c r="A8148" s="2" t="s">
        <v>529</v>
      </c>
    </row>
    <row r="8149" spans="1:1" ht="12.75">
      <c r="A8149" s="2" t="s">
        <v>532</v>
      </c>
    </row>
    <row r="8150" spans="1:1" ht="12.75">
      <c r="A8150" s="2" t="s">
        <v>528</v>
      </c>
    </row>
    <row r="8151" spans="1:1" ht="12.75">
      <c r="A8151" s="2" t="s">
        <v>528</v>
      </c>
    </row>
    <row r="8152" spans="1:1" ht="12.75">
      <c r="A8152" s="2" t="s">
        <v>529</v>
      </c>
    </row>
    <row r="8153" spans="1:1" ht="12.75">
      <c r="A8153" s="2" t="s">
        <v>264</v>
      </c>
    </row>
    <row r="8154" spans="1:1" ht="12.75">
      <c r="A8154" s="2" t="s">
        <v>264</v>
      </c>
    </row>
    <row r="8155" spans="1:1" ht="12.75">
      <c r="A8155" s="2" t="s">
        <v>228</v>
      </c>
    </row>
    <row r="8156" spans="1:1" ht="12.75">
      <c r="A8156" s="2" t="s">
        <v>228</v>
      </c>
    </row>
    <row r="8157" spans="1:1" ht="12.75">
      <c r="A8157" s="2" t="s">
        <v>228</v>
      </c>
    </row>
    <row r="8158" spans="1:1" ht="12.75">
      <c r="A8158" s="2" t="s">
        <v>228</v>
      </c>
    </row>
    <row r="8159" spans="1:1" ht="12.75">
      <c r="A8159" s="2" t="s">
        <v>227</v>
      </c>
    </row>
    <row r="8160" spans="1:1" ht="12.75">
      <c r="A8160" s="2" t="s">
        <v>228</v>
      </c>
    </row>
    <row r="8161" spans="1:1" ht="12.75">
      <c r="A8161" s="2" t="s">
        <v>228</v>
      </c>
    </row>
    <row r="8162" spans="1:1" ht="12.75">
      <c r="A8162" s="2" t="s">
        <v>228</v>
      </c>
    </row>
    <row r="8163" spans="1:1" ht="12.75">
      <c r="A8163" s="2" t="s">
        <v>228</v>
      </c>
    </row>
    <row r="8164" spans="1:1" ht="12.75">
      <c r="A8164" s="2" t="s">
        <v>228</v>
      </c>
    </row>
    <row r="8165" spans="1:1" ht="12.75">
      <c r="A8165" s="2" t="s">
        <v>228</v>
      </c>
    </row>
    <row r="8166" spans="1:1" ht="12.75">
      <c r="A8166" s="2" t="s">
        <v>228</v>
      </c>
    </row>
    <row r="8167" spans="1:1" ht="12.75">
      <c r="A8167" s="2" t="s">
        <v>228</v>
      </c>
    </row>
    <row r="8168" spans="1:1" ht="12.75">
      <c r="A8168" s="2" t="s">
        <v>228</v>
      </c>
    </row>
    <row r="8169" spans="1:1" ht="12.75">
      <c r="A8169" s="2" t="s">
        <v>228</v>
      </c>
    </row>
    <row r="8170" spans="1:1" ht="12.75">
      <c r="A8170" s="2" t="s">
        <v>228</v>
      </c>
    </row>
    <row r="8171" spans="1:1" ht="12.75">
      <c r="A8171" s="2" t="s">
        <v>228</v>
      </c>
    </row>
    <row r="8172" spans="1:1" ht="12.75">
      <c r="A8172" s="2" t="s">
        <v>227</v>
      </c>
    </row>
    <row r="8173" spans="1:1" ht="12.75">
      <c r="A8173" s="2" t="s">
        <v>228</v>
      </c>
    </row>
    <row r="8174" spans="1:1" ht="12.75">
      <c r="A8174" s="2" t="s">
        <v>228</v>
      </c>
    </row>
    <row r="8175" spans="1:1" ht="12.75">
      <c r="A8175" s="2" t="s">
        <v>548</v>
      </c>
    </row>
    <row r="8176" spans="1:1" ht="12.75">
      <c r="A8176" s="2" t="s">
        <v>205</v>
      </c>
    </row>
    <row r="8177" spans="1:1" ht="12.75">
      <c r="A8177" s="2" t="s">
        <v>205</v>
      </c>
    </row>
    <row r="8178" spans="1:1" ht="12.75">
      <c r="A8178" s="2" t="s">
        <v>205</v>
      </c>
    </row>
    <row r="8179" spans="1:1" ht="12.75">
      <c r="A8179" s="2" t="s">
        <v>205</v>
      </c>
    </row>
    <row r="8180" spans="1:1" ht="12.75">
      <c r="A8180" s="2" t="s">
        <v>205</v>
      </c>
    </row>
    <row r="8181" spans="1:1" ht="12.75">
      <c r="A8181" s="2" t="s">
        <v>205</v>
      </c>
    </row>
    <row r="8182" spans="1:1" ht="12.75">
      <c r="A8182" s="2" t="s">
        <v>200</v>
      </c>
    </row>
    <row r="8183" spans="1:1" ht="12.75">
      <c r="A8183" s="2" t="s">
        <v>200</v>
      </c>
    </row>
    <row r="8184" spans="1:1" ht="12.75">
      <c r="A8184" s="2" t="s">
        <v>200</v>
      </c>
    </row>
    <row r="8185" spans="1:1" ht="12.75">
      <c r="A8185" s="2" t="s">
        <v>200</v>
      </c>
    </row>
    <row r="8186" spans="1:1" ht="12.75">
      <c r="A8186" s="2" t="s">
        <v>200</v>
      </c>
    </row>
    <row r="8187" spans="1:1" ht="12.75">
      <c r="A8187" s="2" t="s">
        <v>200</v>
      </c>
    </row>
    <row r="8188" spans="1:1" ht="12.75">
      <c r="A8188" s="2" t="s">
        <v>200</v>
      </c>
    </row>
    <row r="8189" spans="1:1" ht="12.75">
      <c r="A8189" s="2" t="s">
        <v>200</v>
      </c>
    </row>
    <row r="8190" spans="1:1" ht="12.75">
      <c r="A8190" s="2" t="s">
        <v>201</v>
      </c>
    </row>
    <row r="8191" spans="1:1" ht="12.75">
      <c r="A8191" s="2" t="s">
        <v>201</v>
      </c>
    </row>
    <row r="8192" spans="1:1" ht="12.75">
      <c r="A8192" s="2" t="s">
        <v>202</v>
      </c>
    </row>
    <row r="8193" spans="1:1" ht="12.75">
      <c r="A8193" s="2" t="s">
        <v>202</v>
      </c>
    </row>
    <row r="8194" spans="1:1" ht="12.75">
      <c r="A8194" s="2" t="s">
        <v>201</v>
      </c>
    </row>
    <row r="8195" spans="1:1" ht="12.75">
      <c r="A8195" s="2" t="s">
        <v>202</v>
      </c>
    </row>
    <row r="8196" spans="1:1" ht="12.75">
      <c r="A8196" s="2" t="s">
        <v>201</v>
      </c>
    </row>
    <row r="8197" spans="1:1" ht="12.75">
      <c r="A8197" s="2" t="s">
        <v>201</v>
      </c>
    </row>
    <row r="8198" spans="1:1" ht="12.75">
      <c r="A8198" s="2" t="s">
        <v>206</v>
      </c>
    </row>
    <row r="8199" spans="1:1" ht="12.75">
      <c r="A8199" s="2" t="s">
        <v>206</v>
      </c>
    </row>
    <row r="8200" spans="1:1" ht="12.75">
      <c r="A8200" s="2" t="s">
        <v>206</v>
      </c>
    </row>
    <row r="8201" spans="1:1" ht="12.75">
      <c r="A8201" s="2" t="s">
        <v>206</v>
      </c>
    </row>
    <row r="8202" spans="1:1" ht="12.75">
      <c r="A8202" s="2" t="s">
        <v>206</v>
      </c>
    </row>
    <row r="8203" spans="1:1" ht="12.75">
      <c r="A8203" s="2" t="s">
        <v>206</v>
      </c>
    </row>
    <row r="8204" spans="1:1" ht="12.75">
      <c r="A8204" s="2" t="s">
        <v>206</v>
      </c>
    </row>
    <row r="8205" spans="1:1" ht="12.75">
      <c r="A8205" s="2" t="s">
        <v>206</v>
      </c>
    </row>
    <row r="8206" spans="1:1" ht="12.75">
      <c r="A8206" s="2" t="s">
        <v>208</v>
      </c>
    </row>
    <row r="8208" spans="1:1" ht="12.75">
      <c r="A8208" s="2" t="s">
        <v>205</v>
      </c>
    </row>
    <row r="8209" spans="1:1" ht="12.75">
      <c r="A8209" s="2" t="s">
        <v>205</v>
      </c>
    </row>
    <row r="8210" spans="1:1" ht="12.75">
      <c r="A8210" s="2" t="s">
        <v>205</v>
      </c>
    </row>
    <row r="8211" spans="1:1" ht="12.75">
      <c r="A8211" s="2" t="s">
        <v>205</v>
      </c>
    </row>
    <row r="8212" spans="1:1" ht="12.75">
      <c r="A8212" s="2" t="s">
        <v>202</v>
      </c>
    </row>
    <row r="8213" spans="1:1" ht="12.75">
      <c r="A8213" s="2" t="s">
        <v>205</v>
      </c>
    </row>
    <row r="8214" spans="1:1" ht="12.75">
      <c r="A8214" s="2" t="s">
        <v>201</v>
      </c>
    </row>
    <row r="8215" spans="1:1" ht="12.75">
      <c r="A8215" s="2" t="s">
        <v>201</v>
      </c>
    </row>
    <row r="8216" spans="1:1" ht="12.75">
      <c r="A8216" s="2" t="s">
        <v>201</v>
      </c>
    </row>
    <row r="8217" spans="1:1" ht="12.75">
      <c r="A8217" s="2" t="s">
        <v>201</v>
      </c>
    </row>
    <row r="8218" spans="1:1" ht="12.75">
      <c r="A8218" s="2" t="s">
        <v>201</v>
      </c>
    </row>
    <row r="8219" spans="1:1" ht="12.75">
      <c r="A8219" s="2" t="s">
        <v>201</v>
      </c>
    </row>
    <row r="8220" spans="1:1" ht="12.75">
      <c r="A8220" s="2" t="s">
        <v>201</v>
      </c>
    </row>
    <row r="8221" spans="1:1" ht="12.75">
      <c r="A8221" s="2" t="s">
        <v>201</v>
      </c>
    </row>
    <row r="8222" spans="1:1" ht="12.75">
      <c r="A8222" s="2" t="s">
        <v>201</v>
      </c>
    </row>
    <row r="8223" spans="1:1" ht="12.75">
      <c r="A8223" s="2" t="s">
        <v>201</v>
      </c>
    </row>
    <row r="8224" spans="1:1" ht="12.75">
      <c r="A8224" s="2" t="s">
        <v>201</v>
      </c>
    </row>
    <row r="8225" spans="1:1" ht="12.75">
      <c r="A8225" s="2" t="s">
        <v>201</v>
      </c>
    </row>
    <row r="8226" spans="1:1" ht="12.75">
      <c r="A8226" s="2" t="s">
        <v>205</v>
      </c>
    </row>
    <row r="8227" spans="1:1" ht="12.75">
      <c r="A8227" s="2" t="s">
        <v>205</v>
      </c>
    </row>
    <row r="8228" spans="1:1" ht="12.75">
      <c r="A8228" s="2" t="s">
        <v>206</v>
      </c>
    </row>
    <row r="8229" spans="1:1" ht="12.75">
      <c r="A8229" s="2" t="s">
        <v>206</v>
      </c>
    </row>
    <row r="8230" spans="1:1" ht="12.75">
      <c r="A8230" s="2" t="s">
        <v>206</v>
      </c>
    </row>
    <row r="8231" spans="1:1" ht="12.75">
      <c r="A8231" s="2" t="s">
        <v>206</v>
      </c>
    </row>
    <row r="8232" spans="1:1" ht="12.75">
      <c r="A8232" s="2" t="s">
        <v>206</v>
      </c>
    </row>
    <row r="8233" spans="1:1" ht="12.75">
      <c r="A8233" s="2" t="s">
        <v>206</v>
      </c>
    </row>
    <row r="8234" spans="1:1" ht="12.75">
      <c r="A8234" s="2" t="s">
        <v>200</v>
      </c>
    </row>
    <row r="8235" spans="1:1" ht="12.75">
      <c r="A8235" s="2" t="s">
        <v>200</v>
      </c>
    </row>
    <row r="8236" spans="1:1" ht="12.75">
      <c r="A8236" s="2" t="s">
        <v>200</v>
      </c>
    </row>
    <row r="8237" spans="1:1" ht="12.75">
      <c r="A8237" s="2" t="s">
        <v>200</v>
      </c>
    </row>
    <row r="8238" spans="1:1" ht="12.75">
      <c r="A8238" s="2" t="s">
        <v>200</v>
      </c>
    </row>
    <row r="8239" spans="1:1" ht="12.75">
      <c r="A8239" s="2" t="s">
        <v>200</v>
      </c>
    </row>
    <row r="8240" spans="1:1" ht="12.75">
      <c r="A8240" s="2" t="s">
        <v>205</v>
      </c>
    </row>
    <row r="8241" spans="1:1" ht="12.75">
      <c r="A8241" s="2" t="s">
        <v>203</v>
      </c>
    </row>
    <row r="8242" spans="1:1" ht="12.75">
      <c r="A8242" s="2" t="s">
        <v>205</v>
      </c>
    </row>
    <row r="8243" spans="1:1" ht="12.75">
      <c r="A8243" s="2" t="s">
        <v>205</v>
      </c>
    </row>
    <row r="8246" spans="1:1" ht="12.75">
      <c r="A8246" s="2" t="s">
        <v>271</v>
      </c>
    </row>
    <row r="8247" spans="1:1" ht="12.75">
      <c r="A8247" s="2" t="s">
        <v>273</v>
      </c>
    </row>
    <row r="8248" spans="1:1" ht="12.75">
      <c r="A8248" s="2" t="s">
        <v>270</v>
      </c>
    </row>
    <row r="8249" spans="1:1" ht="12.75">
      <c r="A8249" s="2" t="s">
        <v>270</v>
      </c>
    </row>
    <row r="8250" spans="1:1" ht="12.75">
      <c r="A8250" s="2" t="s">
        <v>272</v>
      </c>
    </row>
    <row r="8251" spans="1:1" ht="12.75">
      <c r="A8251" s="2" t="s">
        <v>272</v>
      </c>
    </row>
    <row r="8252" spans="1:1" ht="12.75">
      <c r="A8252" s="2" t="s">
        <v>269</v>
      </c>
    </row>
    <row r="8253" spans="1:1" ht="12.75">
      <c r="A8253" s="2" t="s">
        <v>269</v>
      </c>
    </row>
    <row r="8254" spans="1:1" ht="12.75">
      <c r="A8254" s="2" t="s">
        <v>273</v>
      </c>
    </row>
    <row r="8255" spans="1:1" ht="12.75">
      <c r="A8255" s="2" t="s">
        <v>272</v>
      </c>
    </row>
    <row r="8256" spans="1:1" ht="12.75">
      <c r="A8256" s="2" t="s">
        <v>271</v>
      </c>
    </row>
    <row r="8257" spans="1:1" ht="12.75">
      <c r="A8257" s="2" t="s">
        <v>269</v>
      </c>
    </row>
    <row r="8258" spans="1:1" ht="12.75">
      <c r="A8258" s="2" t="s">
        <v>269</v>
      </c>
    </row>
    <row r="8259" spans="1:1" ht="12.75">
      <c r="A8259" s="2" t="s">
        <v>270</v>
      </c>
    </row>
    <row r="8260" spans="1:1" ht="12.75">
      <c r="A8260" s="2" t="s">
        <v>270</v>
      </c>
    </row>
    <row r="8261" spans="1:1" ht="12.75">
      <c r="A8261" s="2" t="s">
        <v>269</v>
      </c>
    </row>
    <row r="8262" spans="1:1" ht="12.75">
      <c r="A8262" s="2" t="s">
        <v>268</v>
      </c>
    </row>
    <row r="8263" spans="1:1" ht="12.75">
      <c r="A8263" s="2" t="s">
        <v>268</v>
      </c>
    </row>
    <row r="8264" spans="1:1" ht="12.75">
      <c r="A8264" s="2" t="s">
        <v>271</v>
      </c>
    </row>
    <row r="8265" spans="1:1" ht="12.75">
      <c r="A8265" s="2" t="s">
        <v>272</v>
      </c>
    </row>
    <row r="8266" spans="1:1" ht="12.75">
      <c r="A8266" s="2" t="s">
        <v>269</v>
      </c>
    </row>
    <row r="8267" spans="1:1" ht="12.75">
      <c r="A8267" s="2" t="s">
        <v>269</v>
      </c>
    </row>
    <row r="8268" spans="1:1" ht="12.75">
      <c r="A8268" s="2" t="s">
        <v>272</v>
      </c>
    </row>
    <row r="8269" spans="1:1" ht="12.75">
      <c r="A8269" s="2" t="s">
        <v>272</v>
      </c>
    </row>
    <row r="8270" spans="1:1" ht="12.75">
      <c r="A8270" s="2" t="s">
        <v>273</v>
      </c>
    </row>
    <row r="8271" spans="1:1" ht="12.75">
      <c r="A8271" s="2" t="s">
        <v>273</v>
      </c>
    </row>
    <row r="8272" spans="1:1" ht="12.75">
      <c r="A8272" s="2" t="s">
        <v>268</v>
      </c>
    </row>
    <row r="8273" spans="1:1" ht="12.75">
      <c r="A8273" s="2" t="s">
        <v>268</v>
      </c>
    </row>
    <row r="8274" spans="1:1" ht="12.75">
      <c r="A8274" s="2" t="s">
        <v>270</v>
      </c>
    </row>
    <row r="8275" spans="1:1" ht="12.75">
      <c r="A8275" s="2" t="s">
        <v>270</v>
      </c>
    </row>
    <row r="8276" spans="1:1" ht="12.75">
      <c r="A8276" s="2" t="s">
        <v>272</v>
      </c>
    </row>
    <row r="8277" spans="1:1" ht="12.75">
      <c r="A8277" s="2" t="s">
        <v>273</v>
      </c>
    </row>
    <row r="8278" spans="1:1" ht="12.75">
      <c r="A8278" s="2" t="s">
        <v>269</v>
      </c>
    </row>
    <row r="8279" spans="1:1" ht="12.75">
      <c r="A8279" s="2" t="s">
        <v>273</v>
      </c>
    </row>
    <row r="8280" spans="1:1" ht="12.75">
      <c r="A8280" s="2" t="s">
        <v>268</v>
      </c>
    </row>
    <row r="8281" spans="1:1" ht="12.75">
      <c r="A8281" s="2" t="s">
        <v>269</v>
      </c>
    </row>
    <row r="8282" spans="1:1" ht="12.75">
      <c r="A8282" s="2" t="s">
        <v>270</v>
      </c>
    </row>
    <row r="8283" spans="1:1" ht="12.75">
      <c r="A8283" s="2" t="s">
        <v>268</v>
      </c>
    </row>
    <row r="8284" spans="1:1" ht="12.75">
      <c r="A8284" s="2" t="s">
        <v>273</v>
      </c>
    </row>
    <row r="8285" spans="1:1" ht="12.75">
      <c r="A8285" s="2" t="s">
        <v>270</v>
      </c>
    </row>
    <row r="8286" spans="1:1" ht="12.75">
      <c r="A8286" s="2" t="s">
        <v>449</v>
      </c>
    </row>
    <row r="8287" spans="1:1" ht="12.75">
      <c r="A8287" s="2" t="s">
        <v>449</v>
      </c>
    </row>
    <row r="8288" spans="1:1" ht="12.75">
      <c r="A8288" s="2" t="s">
        <v>449</v>
      </c>
    </row>
    <row r="8289" spans="1:1" ht="12.75">
      <c r="A8289" s="2" t="s">
        <v>449</v>
      </c>
    </row>
    <row r="8290" spans="1:1" ht="12.75">
      <c r="A8290" s="2" t="s">
        <v>449</v>
      </c>
    </row>
    <row r="8291" spans="1:1" ht="12.75">
      <c r="A8291" s="2" t="s">
        <v>449</v>
      </c>
    </row>
    <row r="8292" spans="1:1" ht="12.75">
      <c r="A8292" s="2" t="s">
        <v>452</v>
      </c>
    </row>
    <row r="8293" spans="1:1" ht="12.75">
      <c r="A8293" s="2" t="s">
        <v>452</v>
      </c>
    </row>
    <row r="8294" spans="1:1" ht="12.75">
      <c r="A8294" s="2" t="s">
        <v>404</v>
      </c>
    </row>
    <row r="8295" spans="1:1" ht="12.75">
      <c r="A8295" s="2" t="s">
        <v>466</v>
      </c>
    </row>
    <row r="8296" spans="1:1" ht="12.75">
      <c r="A8296" s="2" t="s">
        <v>404</v>
      </c>
    </row>
    <row r="8297" spans="1:1" ht="12.75">
      <c r="A8297" s="2" t="s">
        <v>404</v>
      </c>
    </row>
    <row r="8298" spans="1:1" ht="12.75">
      <c r="A8298" s="2" t="s">
        <v>466</v>
      </c>
    </row>
    <row r="8299" spans="1:1" ht="12.75">
      <c r="A8299" s="2" t="s">
        <v>466</v>
      </c>
    </row>
    <row r="8300" spans="1:1" ht="12.75">
      <c r="A8300" s="2" t="s">
        <v>434</v>
      </c>
    </row>
    <row r="8301" spans="1:1" ht="12.75">
      <c r="A8301" s="2" t="s">
        <v>434</v>
      </c>
    </row>
    <row r="8302" spans="1:1" ht="12.75">
      <c r="A8302" s="2" t="s">
        <v>466</v>
      </c>
    </row>
    <row r="8303" spans="1:1" ht="12.75">
      <c r="A8303" s="2" t="s">
        <v>466</v>
      </c>
    </row>
    <row r="8304" spans="1:1" ht="12.75">
      <c r="A8304" s="2" t="s">
        <v>466</v>
      </c>
    </row>
    <row r="8305" spans="1:1" ht="12.75">
      <c r="A8305" s="2" t="s">
        <v>432</v>
      </c>
    </row>
    <row r="8306" spans="1:1" ht="12.75">
      <c r="A8306" s="2" t="s">
        <v>444</v>
      </c>
    </row>
    <row r="8307" spans="1:1" ht="12.75">
      <c r="A8307" s="2" t="s">
        <v>445</v>
      </c>
    </row>
    <row r="8308" spans="1:1" ht="12.75">
      <c r="A8308" s="2" t="s">
        <v>445</v>
      </c>
    </row>
    <row r="8309" spans="1:1" ht="12.75">
      <c r="A8309" s="2" t="s">
        <v>445</v>
      </c>
    </row>
    <row r="8310" spans="1:1" ht="12.75">
      <c r="A8310" s="2" t="s">
        <v>445</v>
      </c>
    </row>
    <row r="8311" spans="1:1" ht="12.75">
      <c r="A8311" s="2" t="s">
        <v>444</v>
      </c>
    </row>
    <row r="8312" spans="1:1" ht="12.75">
      <c r="A8312" s="2" t="s">
        <v>444</v>
      </c>
    </row>
    <row r="8313" spans="1:1" ht="12.75">
      <c r="A8313" s="2" t="s">
        <v>445</v>
      </c>
    </row>
    <row r="8314" spans="1:1" ht="12.75">
      <c r="A8314" s="2" t="s">
        <v>445</v>
      </c>
    </row>
    <row r="8315" spans="1:1" ht="12.75">
      <c r="A8315" s="2" t="s">
        <v>444</v>
      </c>
    </row>
    <row r="8316" spans="1:1" ht="12.75">
      <c r="A8316" s="2" t="s">
        <v>446</v>
      </c>
    </row>
    <row r="8317" spans="1:1" ht="12.75">
      <c r="A8317" s="2" t="s">
        <v>446</v>
      </c>
    </row>
    <row r="8318" spans="1:1" ht="12.75">
      <c r="A8318" s="2" t="s">
        <v>446</v>
      </c>
    </row>
    <row r="8319" spans="1:1" ht="12.75">
      <c r="A8319" s="2" t="s">
        <v>447</v>
      </c>
    </row>
    <row r="8320" spans="1:1" ht="12.75">
      <c r="A8320" s="2" t="s">
        <v>447</v>
      </c>
    </row>
    <row r="8321" spans="1:1" ht="12.75">
      <c r="A8321" s="2" t="s">
        <v>447</v>
      </c>
    </row>
    <row r="8322" spans="1:1" ht="12.75">
      <c r="A8322" s="2" t="s">
        <v>447</v>
      </c>
    </row>
    <row r="8323" spans="1:1" ht="12.75">
      <c r="A8323" s="2" t="s">
        <v>453</v>
      </c>
    </row>
    <row r="8324" spans="1:1" ht="12.75">
      <c r="A8324" s="2" t="s">
        <v>453</v>
      </c>
    </row>
    <row r="8325" spans="1:1" ht="12.75">
      <c r="A8325" s="2" t="s">
        <v>453</v>
      </c>
    </row>
    <row r="8326" spans="1:1" ht="12.75">
      <c r="A8326" s="2" t="s">
        <v>453</v>
      </c>
    </row>
    <row r="8327" spans="1:1" ht="12.75">
      <c r="A8327" s="2" t="s">
        <v>451</v>
      </c>
    </row>
    <row r="8328" spans="1:1" ht="12.75">
      <c r="A8328" s="2" t="s">
        <v>451</v>
      </c>
    </row>
    <row r="8329" spans="1:1" ht="12.75">
      <c r="A8329" s="2" t="s">
        <v>446</v>
      </c>
    </row>
    <row r="8330" spans="1:1" ht="12.75">
      <c r="A8330" s="2" t="s">
        <v>446</v>
      </c>
    </row>
    <row r="8331" spans="1:1" ht="12.75">
      <c r="A8331" s="2" t="s">
        <v>448</v>
      </c>
    </row>
    <row r="8332" spans="1:1" ht="12.75">
      <c r="A8332" s="2" t="s">
        <v>448</v>
      </c>
    </row>
    <row r="8333" spans="1:1" ht="12.75">
      <c r="A8333" s="2" t="s">
        <v>446</v>
      </c>
    </row>
    <row r="8334" spans="1:1" ht="12.75">
      <c r="A8334" s="2" t="s">
        <v>446</v>
      </c>
    </row>
    <row r="8335" spans="1:1" ht="12.75">
      <c r="A8335" s="2" t="s">
        <v>453</v>
      </c>
    </row>
    <row r="8336" spans="1:1" ht="12.75">
      <c r="A8336" s="2" t="s">
        <v>404</v>
      </c>
    </row>
    <row r="8337" spans="1:1" ht="12.75">
      <c r="A8337" s="2" t="s">
        <v>404</v>
      </c>
    </row>
    <row r="8338" spans="1:1" ht="12.75">
      <c r="A8338" s="2" t="s">
        <v>449</v>
      </c>
    </row>
    <row r="8339" spans="1:1" ht="12.75">
      <c r="A8339" s="2" t="s">
        <v>449</v>
      </c>
    </row>
    <row r="8340" spans="1:1" ht="12.75">
      <c r="A8340" s="2" t="s">
        <v>449</v>
      </c>
    </row>
    <row r="8341" spans="1:1" ht="12.75">
      <c r="A8341" s="2" t="s">
        <v>449</v>
      </c>
    </row>
    <row r="8342" spans="1:1" ht="12.75">
      <c r="A8342" s="2" t="s">
        <v>449</v>
      </c>
    </row>
    <row r="8343" spans="1:1" ht="12.75">
      <c r="A8343" s="2" t="s">
        <v>449</v>
      </c>
    </row>
    <row r="8344" spans="1:1" ht="12.75">
      <c r="A8344" s="2" t="s">
        <v>466</v>
      </c>
    </row>
    <row r="8345" spans="1:1" ht="12.75">
      <c r="A8345" s="2" t="s">
        <v>437</v>
      </c>
    </row>
    <row r="8346" spans="1:1" ht="12.75">
      <c r="A8346" s="2" t="s">
        <v>437</v>
      </c>
    </row>
    <row r="8347" spans="1:1" ht="12.75">
      <c r="A8347" s="2" t="s">
        <v>437</v>
      </c>
    </row>
    <row r="8348" spans="1:1" ht="12.75">
      <c r="A8348" s="2" t="s">
        <v>437</v>
      </c>
    </row>
    <row r="8349" spans="1:1" ht="12.75">
      <c r="A8349" s="2" t="s">
        <v>437</v>
      </c>
    </row>
    <row r="8350" spans="1:1" ht="12.75">
      <c r="A8350" s="2" t="s">
        <v>434</v>
      </c>
    </row>
    <row r="8351" spans="1:1" ht="12.75">
      <c r="A8351" s="2" t="s">
        <v>549</v>
      </c>
    </row>
    <row r="8352" spans="1:1" ht="12.75">
      <c r="A8352" s="2" t="s">
        <v>465</v>
      </c>
    </row>
    <row r="8353" spans="1:1" ht="12.75">
      <c r="A8353" s="2" t="s">
        <v>465</v>
      </c>
    </row>
    <row r="8354" spans="1:1" ht="12.75">
      <c r="A8354" s="2" t="s">
        <v>465</v>
      </c>
    </row>
    <row r="8355" spans="1:1" ht="12.75">
      <c r="A8355" s="2" t="s">
        <v>466</v>
      </c>
    </row>
    <row r="8356" spans="1:1" ht="12.75">
      <c r="A8356" s="2" t="s">
        <v>449</v>
      </c>
    </row>
    <row r="8357" spans="1:1" ht="12.75">
      <c r="A8357" s="2" t="s">
        <v>449</v>
      </c>
    </row>
    <row r="8358" spans="1:1" ht="12.75">
      <c r="A8358" s="2" t="s">
        <v>449</v>
      </c>
    </row>
    <row r="8359" spans="1:1" ht="12.75">
      <c r="A8359" s="2" t="s">
        <v>449</v>
      </c>
    </row>
    <row r="8360" spans="1:1" ht="12.75">
      <c r="A8360" s="2" t="s">
        <v>465</v>
      </c>
    </row>
    <row r="8362" spans="1:1" ht="12.75">
      <c r="A8362" s="2" t="s">
        <v>449</v>
      </c>
    </row>
    <row r="8363" spans="1:1" ht="12.75">
      <c r="A8363" s="2" t="s">
        <v>449</v>
      </c>
    </row>
    <row r="8364" spans="1:1" ht="12.75">
      <c r="A8364" s="2" t="s">
        <v>449</v>
      </c>
    </row>
    <row r="8365" spans="1:1" ht="12.75">
      <c r="A8365" s="2" t="s">
        <v>449</v>
      </c>
    </row>
    <row r="8366" spans="1:1" ht="12.75">
      <c r="A8366" s="2" t="s">
        <v>452</v>
      </c>
    </row>
    <row r="8367" spans="1:1" ht="12.75">
      <c r="A8367" s="2" t="s">
        <v>452</v>
      </c>
    </row>
    <row r="8368" spans="1:1" ht="12.75">
      <c r="A8368" s="2" t="s">
        <v>452</v>
      </c>
    </row>
    <row r="8369" spans="1:1" ht="12.75">
      <c r="A8369" s="2" t="s">
        <v>452</v>
      </c>
    </row>
    <row r="8370" spans="1:1" ht="12.75">
      <c r="A8370" s="2" t="s">
        <v>452</v>
      </c>
    </row>
    <row r="8371" spans="1:1" ht="12.75">
      <c r="A8371" s="2" t="s">
        <v>452</v>
      </c>
    </row>
    <row r="8372" spans="1:1" ht="12.75">
      <c r="A8372" s="2" t="s">
        <v>432</v>
      </c>
    </row>
    <row r="8373" spans="1:1" ht="12.75">
      <c r="A8373" s="2" t="s">
        <v>432</v>
      </c>
    </row>
    <row r="8374" spans="1:1" ht="12.75">
      <c r="A8374" s="2" t="s">
        <v>432</v>
      </c>
    </row>
    <row r="8375" spans="1:1" ht="12.75">
      <c r="A8375" s="2" t="s">
        <v>432</v>
      </c>
    </row>
    <row r="8376" spans="1:1" ht="12.75">
      <c r="A8376" s="2" t="s">
        <v>432</v>
      </c>
    </row>
    <row r="8377" spans="1:1" ht="12.75">
      <c r="A8377" s="2" t="s">
        <v>432</v>
      </c>
    </row>
    <row r="8378" spans="1:1" ht="12.75">
      <c r="A8378" s="2" t="s">
        <v>432</v>
      </c>
    </row>
    <row r="8379" spans="1:1" ht="12.75">
      <c r="A8379" s="2" t="s">
        <v>432</v>
      </c>
    </row>
    <row r="8380" spans="1:1" ht="12.75">
      <c r="A8380" s="2" t="s">
        <v>432</v>
      </c>
    </row>
    <row r="8381" spans="1:1" ht="12.75">
      <c r="A8381" s="2" t="s">
        <v>432</v>
      </c>
    </row>
    <row r="8382" spans="1:1" ht="12.75">
      <c r="A8382" s="2" t="s">
        <v>432</v>
      </c>
    </row>
    <row r="8383" spans="1:1" ht="12.75">
      <c r="A8383" s="2" t="s">
        <v>432</v>
      </c>
    </row>
    <row r="8384" spans="1:1" ht="12.75">
      <c r="A8384" s="2" t="s">
        <v>432</v>
      </c>
    </row>
    <row r="8385" spans="1:1" ht="12.75">
      <c r="A8385" s="2">
        <v>4</v>
      </c>
    </row>
    <row r="8386" spans="1:1" ht="12.75">
      <c r="A8386" s="2" t="s">
        <v>335</v>
      </c>
    </row>
    <row r="8387" spans="1:1" ht="12.75">
      <c r="A8387" s="2" t="s">
        <v>335</v>
      </c>
    </row>
    <row r="8388" spans="1:1" ht="12.75">
      <c r="A8388" s="2" t="s">
        <v>335</v>
      </c>
    </row>
    <row r="8389" spans="1:1" ht="12.75">
      <c r="A8389" s="2" t="s">
        <v>335</v>
      </c>
    </row>
    <row r="8390" spans="1:1" ht="12.75">
      <c r="A8390" s="2" t="s">
        <v>335</v>
      </c>
    </row>
    <row r="8391" spans="1:1" ht="12.75">
      <c r="A8391" s="2" t="s">
        <v>336</v>
      </c>
    </row>
    <row r="8392" spans="1:1" ht="12.75">
      <c r="A8392" s="2" t="s">
        <v>335</v>
      </c>
    </row>
    <row r="8393" spans="1:1" ht="12.75">
      <c r="A8393" s="2" t="s">
        <v>550</v>
      </c>
    </row>
    <row r="8394" spans="1:1" ht="12.75">
      <c r="A8394" s="2" t="s">
        <v>453</v>
      </c>
    </row>
    <row r="8395" spans="1:1" ht="12.75">
      <c r="A8395" s="2" t="s">
        <v>453</v>
      </c>
    </row>
    <row r="8396" spans="1:1" ht="12.75">
      <c r="A8396" s="2" t="s">
        <v>451</v>
      </c>
    </row>
    <row r="8397" spans="1:1" ht="12.75">
      <c r="A8397" s="2" t="s">
        <v>451</v>
      </c>
    </row>
    <row r="8398" spans="1:1" ht="12.75">
      <c r="A8398" s="2" t="s">
        <v>451</v>
      </c>
    </row>
    <row r="8399" spans="1:1" ht="12.75">
      <c r="A8399" s="2" t="s">
        <v>448</v>
      </c>
    </row>
    <row r="8400" spans="1:1" ht="12.75">
      <c r="A8400" s="2" t="s">
        <v>448</v>
      </c>
    </row>
    <row r="8401" spans="1:1" ht="12.75">
      <c r="A8401" s="2" t="s">
        <v>446</v>
      </c>
    </row>
    <row r="8402" spans="1:1" ht="12.75">
      <c r="A8402" s="2" t="s">
        <v>446</v>
      </c>
    </row>
    <row r="8403" spans="1:1" ht="12.75">
      <c r="A8403" s="2" t="s">
        <v>446</v>
      </c>
    </row>
    <row r="8404" spans="1:1" ht="12.75">
      <c r="A8404" s="2" t="s">
        <v>446</v>
      </c>
    </row>
    <row r="8405" spans="1:1" ht="12.75">
      <c r="A8405" s="2" t="s">
        <v>446</v>
      </c>
    </row>
    <row r="8406" spans="1:1" ht="12.75">
      <c r="A8406" s="2" t="s">
        <v>446</v>
      </c>
    </row>
    <row r="8407" spans="1:1" ht="12.75">
      <c r="A8407" s="2" t="s">
        <v>447</v>
      </c>
    </row>
    <row r="8408" spans="1:1" ht="12.75">
      <c r="A8408" s="2" t="s">
        <v>447</v>
      </c>
    </row>
    <row r="8409" spans="1:1" ht="12.75">
      <c r="A8409" s="2" t="s">
        <v>447</v>
      </c>
    </row>
    <row r="8410" spans="1:1" ht="12.75">
      <c r="A8410" s="2" t="s">
        <v>447</v>
      </c>
    </row>
    <row r="8411" spans="1:1" ht="12.75">
      <c r="A8411" s="2" t="s">
        <v>451</v>
      </c>
    </row>
    <row r="8412" spans="1:1" ht="12.75">
      <c r="A8412" s="2" t="s">
        <v>451</v>
      </c>
    </row>
    <row r="8413" spans="1:1" ht="12.75">
      <c r="A8413" s="2" t="s">
        <v>453</v>
      </c>
    </row>
    <row r="8414" spans="1:1" ht="12.75">
      <c r="A8414" s="2" t="s">
        <v>453</v>
      </c>
    </row>
    <row r="8415" spans="1:1" ht="12.75">
      <c r="A8415" s="2" t="s">
        <v>453</v>
      </c>
    </row>
    <row r="8416" spans="1:1" ht="12.75">
      <c r="A8416" s="2" t="s">
        <v>453</v>
      </c>
    </row>
    <row r="8417" spans="1:1" ht="12.75">
      <c r="A8417" s="2" t="s">
        <v>448</v>
      </c>
    </row>
    <row r="8418" spans="1:1" ht="12.75">
      <c r="A8418" s="2" t="s">
        <v>446</v>
      </c>
    </row>
    <row r="8419" spans="1:1" ht="12.75">
      <c r="A8419" s="2" t="s">
        <v>446</v>
      </c>
    </row>
    <row r="8420" spans="1:1" ht="12.75">
      <c r="A8420" s="2" t="s">
        <v>446</v>
      </c>
    </row>
    <row r="8421" spans="1:1" ht="12.75">
      <c r="A8421" s="2" t="s">
        <v>446</v>
      </c>
    </row>
    <row r="8422" spans="1:1" ht="12.75">
      <c r="A8422" s="2" t="s">
        <v>446</v>
      </c>
    </row>
    <row r="8423" spans="1:1" ht="12.75">
      <c r="A8423" s="2" t="s">
        <v>446</v>
      </c>
    </row>
    <row r="8424" spans="1:1" ht="12.75">
      <c r="A8424" s="2" t="s">
        <v>447</v>
      </c>
    </row>
    <row r="8425" spans="1:1" ht="12.75">
      <c r="A8425" s="2" t="s">
        <v>447</v>
      </c>
    </row>
    <row r="8426" spans="1:1" ht="12.75">
      <c r="A8426" s="2" t="s">
        <v>447</v>
      </c>
    </row>
    <row r="8427" spans="1:1" ht="12.75">
      <c r="A8427" s="2" t="s">
        <v>447</v>
      </c>
    </row>
    <row r="8428" spans="1:1" ht="12.75">
      <c r="A8428" s="2" t="s">
        <v>448</v>
      </c>
    </row>
    <row r="8429" spans="1:1" ht="12.75">
      <c r="A8429" s="2" t="s">
        <v>448</v>
      </c>
    </row>
    <row r="8430" spans="1:1" ht="12.75">
      <c r="A8430" s="2" t="s">
        <v>451</v>
      </c>
    </row>
    <row r="8431" spans="1:1" ht="12.75">
      <c r="A8431" s="2" t="s">
        <v>551</v>
      </c>
    </row>
    <row r="8432" spans="1:1" ht="12.75">
      <c r="A8432" s="2" t="s">
        <v>451</v>
      </c>
    </row>
    <row r="8433" spans="1:1" ht="12.75">
      <c r="A8433" s="2" t="s">
        <v>446</v>
      </c>
    </row>
    <row r="8434" spans="1:1" ht="12.75">
      <c r="A8434" s="2" t="s">
        <v>446</v>
      </c>
    </row>
    <row r="8435" spans="1:1" ht="12.75">
      <c r="A8435" s="2" t="s">
        <v>446</v>
      </c>
    </row>
    <row r="8436" spans="1:1" ht="12.75">
      <c r="A8436" s="2" t="s">
        <v>446</v>
      </c>
    </row>
    <row r="8437" spans="1:1" ht="12.75">
      <c r="A8437" s="2" t="s">
        <v>446</v>
      </c>
    </row>
    <row r="8438" spans="1:1" ht="12.75">
      <c r="A8438" s="2" t="s">
        <v>446</v>
      </c>
    </row>
    <row r="8439" spans="1:1" ht="12.75">
      <c r="A8439" s="2" t="s">
        <v>447</v>
      </c>
    </row>
    <row r="8440" spans="1:1" ht="12.75">
      <c r="A8440" s="2" t="s">
        <v>447</v>
      </c>
    </row>
    <row r="8441" spans="1:1" ht="12.75">
      <c r="A8441" s="2" t="s">
        <v>447</v>
      </c>
    </row>
    <row r="8442" spans="1:1" ht="12.75">
      <c r="A8442" s="2" t="s">
        <v>447</v>
      </c>
    </row>
    <row r="8443" spans="1:1" ht="12.75">
      <c r="A8443" s="2" t="s">
        <v>448</v>
      </c>
    </row>
    <row r="8444" spans="1:1" ht="12.75">
      <c r="A8444" s="2" t="s">
        <v>452</v>
      </c>
    </row>
    <row r="8445" spans="1:1" ht="12.75">
      <c r="A8445" s="2" t="s">
        <v>452</v>
      </c>
    </row>
    <row r="8446" spans="1:1" ht="12.75">
      <c r="A8446" s="2" t="s">
        <v>452</v>
      </c>
    </row>
    <row r="8447" spans="1:1" ht="12.75">
      <c r="A8447" s="2" t="s">
        <v>452</v>
      </c>
    </row>
    <row r="8448" spans="1:1" ht="12.75">
      <c r="A8448" s="2" t="s">
        <v>452</v>
      </c>
    </row>
    <row r="8449" spans="1:1" ht="12.75">
      <c r="A8449" s="2" t="s">
        <v>452</v>
      </c>
    </row>
    <row r="8450" spans="1:1" ht="12.75">
      <c r="A8450" s="2" t="s">
        <v>452</v>
      </c>
    </row>
    <row r="8451" spans="1:1" ht="12.75">
      <c r="A8451" s="2" t="s">
        <v>452</v>
      </c>
    </row>
    <row r="8452" spans="1:1" ht="12.75">
      <c r="A8452" s="2" t="s">
        <v>432</v>
      </c>
    </row>
    <row r="8453" spans="1:1" ht="12.75">
      <c r="A8453" s="2" t="s">
        <v>432</v>
      </c>
    </row>
    <row r="8454" spans="1:1" ht="12.75">
      <c r="A8454" s="2" t="s">
        <v>432</v>
      </c>
    </row>
    <row r="8455" spans="1:1" ht="12.75">
      <c r="A8455" s="2" t="s">
        <v>432</v>
      </c>
    </row>
    <row r="8456" spans="1:1" ht="12.75">
      <c r="A8456" s="2" t="s">
        <v>432</v>
      </c>
    </row>
    <row r="8457" spans="1:1" ht="12.75">
      <c r="A8457" s="2" t="s">
        <v>432</v>
      </c>
    </row>
    <row r="8458" spans="1:1" ht="12.75">
      <c r="A8458" s="2" t="s">
        <v>432</v>
      </c>
    </row>
    <row r="8459" spans="1:1" ht="12.75">
      <c r="A8459" s="2" t="s">
        <v>432</v>
      </c>
    </row>
    <row r="8460" spans="1:1" ht="12.75">
      <c r="A8460" s="2" t="s">
        <v>432</v>
      </c>
    </row>
    <row r="8461" spans="1:1" ht="12.75">
      <c r="A8461" s="2" t="s">
        <v>432</v>
      </c>
    </row>
    <row r="8462" spans="1:1" ht="12.75">
      <c r="A8462" s="2" t="s">
        <v>432</v>
      </c>
    </row>
    <row r="8463" spans="1:1" ht="12.75">
      <c r="A8463" s="2" t="s">
        <v>433</v>
      </c>
    </row>
    <row r="8464" spans="1:1" ht="12.75">
      <c r="A8464" s="2" t="s">
        <v>449</v>
      </c>
    </row>
    <row r="8465" spans="1:1" ht="12.75">
      <c r="A8465" s="2" t="s">
        <v>449</v>
      </c>
    </row>
    <row r="8466" spans="1:1" ht="12.75">
      <c r="A8466" s="2" t="s">
        <v>449</v>
      </c>
    </row>
    <row r="8467" spans="1:1" ht="12.75">
      <c r="A8467" s="2" t="s">
        <v>449</v>
      </c>
    </row>
    <row r="8468" spans="1:1" ht="12.75">
      <c r="A8468" s="2" t="s">
        <v>404</v>
      </c>
    </row>
    <row r="8469" spans="1:1" ht="12.75">
      <c r="A8469" s="2" t="s">
        <v>432</v>
      </c>
    </row>
    <row r="8470" spans="1:1" ht="12.75">
      <c r="A8470" s="2" t="s">
        <v>466</v>
      </c>
    </row>
    <row r="8471" spans="1:1" ht="12.75">
      <c r="A8471" s="2" t="s">
        <v>404</v>
      </c>
    </row>
    <row r="8472" spans="1:1" ht="12.75">
      <c r="A8472" s="2" t="s">
        <v>404</v>
      </c>
    </row>
    <row r="8473" spans="1:1" ht="12.75">
      <c r="A8473" s="2" t="s">
        <v>404</v>
      </c>
    </row>
    <row r="8474" spans="1:1" ht="12.75">
      <c r="A8474" s="2" t="s">
        <v>404</v>
      </c>
    </row>
    <row r="8475" spans="1:1" ht="12.75">
      <c r="A8475" s="2" t="s">
        <v>404</v>
      </c>
    </row>
    <row r="8476" spans="1:1" ht="12.75">
      <c r="A8476" s="2" t="s">
        <v>404</v>
      </c>
    </row>
    <row r="8477" spans="1:1" ht="12.75">
      <c r="A8477" s="2" t="s">
        <v>404</v>
      </c>
    </row>
    <row r="8478" spans="1:1" ht="12.75">
      <c r="A8478" s="2" t="s">
        <v>404</v>
      </c>
    </row>
    <row r="8479" spans="1:1" ht="12.75">
      <c r="A8479" s="2" t="s">
        <v>404</v>
      </c>
    </row>
    <row r="8480" spans="1:1" ht="12.75">
      <c r="A8480" s="2" t="s">
        <v>437</v>
      </c>
    </row>
    <row r="8481" spans="1:1" ht="12.75">
      <c r="A8481" s="2" t="s">
        <v>437</v>
      </c>
    </row>
    <row r="8482" spans="1:1" ht="12.75">
      <c r="A8482" s="2" t="s">
        <v>449</v>
      </c>
    </row>
    <row r="8483" spans="1:1" ht="12.75">
      <c r="A8483" s="2" t="s">
        <v>449</v>
      </c>
    </row>
    <row r="8484" spans="1:1" ht="12.75">
      <c r="A8484" s="2" t="s">
        <v>452</v>
      </c>
    </row>
    <row r="8485" spans="1:1" ht="12.75">
      <c r="A8485" s="2" t="s">
        <v>452</v>
      </c>
    </row>
    <row r="8486" spans="1:1" ht="12.75">
      <c r="A8486" s="2" t="s">
        <v>465</v>
      </c>
    </row>
    <row r="8487" spans="1:1" ht="12.75">
      <c r="A8487" s="2" t="s">
        <v>465</v>
      </c>
    </row>
    <row r="8488" spans="1:1" ht="12.75">
      <c r="A8488" s="2" t="s">
        <v>465</v>
      </c>
    </row>
    <row r="8489" spans="1:1" ht="12.75">
      <c r="A8489" s="2" t="s">
        <v>465</v>
      </c>
    </row>
    <row r="8490" spans="1:1" ht="12.75">
      <c r="A8490" s="2" t="s">
        <v>434</v>
      </c>
    </row>
    <row r="8491" spans="1:1" ht="12.75">
      <c r="A8491" s="2" t="s">
        <v>434</v>
      </c>
    </row>
    <row r="8492" spans="1:1" ht="12.75">
      <c r="A8492" s="2" t="s">
        <v>465</v>
      </c>
    </row>
    <row r="8493" spans="1:1" ht="12.75">
      <c r="A8493" s="2" t="s">
        <v>465</v>
      </c>
    </row>
    <row r="8494" spans="1:1" ht="12.75">
      <c r="A8494" s="2" t="s">
        <v>226</v>
      </c>
    </row>
    <row r="8495" spans="1:1" ht="12.75">
      <c r="A8495" s="2" t="s">
        <v>226</v>
      </c>
    </row>
    <row r="8496" spans="1:1" ht="12.75">
      <c r="A8496" s="2" t="s">
        <v>226</v>
      </c>
    </row>
    <row r="8497" spans="1:1" ht="12.75">
      <c r="A8497" s="2" t="s">
        <v>552</v>
      </c>
    </row>
    <row r="8498" spans="1:1" ht="12.75">
      <c r="A8498" s="2" t="s">
        <v>226</v>
      </c>
    </row>
    <row r="8499" spans="1:1" ht="12.75">
      <c r="A8499" s="2" t="s">
        <v>226</v>
      </c>
    </row>
    <row r="8500" spans="1:1" ht="12.75">
      <c r="A8500" s="2" t="s">
        <v>552</v>
      </c>
    </row>
    <row r="8501" spans="1:1" ht="12.75">
      <c r="A8501" s="2" t="s">
        <v>226</v>
      </c>
    </row>
    <row r="8502" spans="1:1" ht="12.75">
      <c r="A8502" s="2" t="s">
        <v>226</v>
      </c>
    </row>
    <row r="8503" spans="1:1" ht="12.75">
      <c r="A8503" s="2" t="s">
        <v>226</v>
      </c>
    </row>
    <row r="8504" spans="1:1" ht="12.75">
      <c r="A8504" s="2" t="s">
        <v>553</v>
      </c>
    </row>
    <row r="8505" spans="1:1" ht="12.75">
      <c r="A8505" s="2" t="s">
        <v>432</v>
      </c>
    </row>
    <row r="8506" spans="1:1" ht="12.75">
      <c r="A8506" s="2" t="s">
        <v>432</v>
      </c>
    </row>
    <row r="8507" spans="1:1" ht="12.75">
      <c r="A8507" s="2" t="s">
        <v>432</v>
      </c>
    </row>
    <row r="8508" spans="1:1" ht="12.75">
      <c r="A8508" s="2" t="s">
        <v>432</v>
      </c>
    </row>
    <row r="8509" spans="1:1" ht="12.75">
      <c r="A8509" s="2" t="s">
        <v>432</v>
      </c>
    </row>
    <row r="8510" spans="1:1" ht="12.75">
      <c r="A8510" s="2" t="s">
        <v>432</v>
      </c>
    </row>
    <row r="8511" spans="1:1" ht="12.75">
      <c r="A8511" s="2" t="s">
        <v>432</v>
      </c>
    </row>
    <row r="8512" spans="1:1" ht="12.75">
      <c r="A8512" s="2" t="s">
        <v>432</v>
      </c>
    </row>
    <row r="8513" spans="1:1" ht="12.75">
      <c r="A8513" s="2" t="s">
        <v>449</v>
      </c>
    </row>
    <row r="8514" spans="1:1" ht="12.75">
      <c r="A8514" s="2" t="s">
        <v>449</v>
      </c>
    </row>
    <row r="8515" spans="1:1" ht="12.75">
      <c r="A8515" s="2" t="s">
        <v>449</v>
      </c>
    </row>
    <row r="8516" spans="1:1" ht="12.75">
      <c r="A8516" s="2" t="s">
        <v>449</v>
      </c>
    </row>
    <row r="8517" spans="1:1" ht="12.75">
      <c r="A8517" s="2" t="s">
        <v>452</v>
      </c>
    </row>
    <row r="8518" spans="1:1" ht="12.75">
      <c r="A8518" s="2" t="s">
        <v>452</v>
      </c>
    </row>
    <row r="8519" spans="1:1" ht="12.75">
      <c r="A8519" s="2" t="s">
        <v>449</v>
      </c>
    </row>
    <row r="8520" spans="1:1" ht="12.75">
      <c r="A8520" s="2" t="s">
        <v>452</v>
      </c>
    </row>
    <row r="8521" spans="1:1" ht="12.75">
      <c r="A8521" s="2" t="s">
        <v>449</v>
      </c>
    </row>
    <row r="8522" spans="1:1" ht="12.75">
      <c r="A8522" s="2" t="s">
        <v>452</v>
      </c>
    </row>
    <row r="8523" spans="1:1" ht="12.75">
      <c r="A8523" s="2" t="s">
        <v>449</v>
      </c>
    </row>
    <row r="8524" spans="1:1" ht="12.75">
      <c r="A8524" s="2" t="s">
        <v>449</v>
      </c>
    </row>
    <row r="8525" spans="1:1" ht="12.75">
      <c r="A8525" s="2" t="s">
        <v>404</v>
      </c>
    </row>
    <row r="8526" spans="1:1" ht="12.75">
      <c r="A8526" s="2" t="s">
        <v>404</v>
      </c>
    </row>
    <row r="8527" spans="1:1" ht="12.75">
      <c r="A8527" s="2" t="s">
        <v>404</v>
      </c>
    </row>
    <row r="8528" spans="1:1" ht="12.75">
      <c r="A8528" s="2" t="s">
        <v>404</v>
      </c>
    </row>
    <row r="8529" spans="1:1" ht="12.75">
      <c r="A8529" s="2" t="s">
        <v>404</v>
      </c>
    </row>
    <row r="8530" spans="1:1" ht="12.75">
      <c r="A8530" s="2" t="s">
        <v>404</v>
      </c>
    </row>
    <row r="8531" spans="1:1" ht="12.75">
      <c r="A8531" s="2" t="s">
        <v>434</v>
      </c>
    </row>
    <row r="8532" spans="1:1" ht="12.75">
      <c r="A8532" s="2" t="s">
        <v>437</v>
      </c>
    </row>
    <row r="8533" spans="1:1" ht="12.75">
      <c r="A8533" s="2" t="s">
        <v>434</v>
      </c>
    </row>
    <row r="8534" spans="1:1" ht="12.75">
      <c r="A8534" s="2" t="s">
        <v>437</v>
      </c>
    </row>
    <row r="8535" spans="1:1" ht="12.75">
      <c r="A8535" s="2" t="s">
        <v>434</v>
      </c>
    </row>
    <row r="8536" spans="1:1" ht="12.75">
      <c r="A8536" s="2" t="s">
        <v>437</v>
      </c>
    </row>
    <row r="8537" spans="1:1" ht="12.75">
      <c r="A8537" s="2" t="s">
        <v>452</v>
      </c>
    </row>
    <row r="8538" spans="1:1" ht="12.75">
      <c r="A8538" s="2" t="s">
        <v>452</v>
      </c>
    </row>
    <row r="8539" spans="1:1" ht="12.75">
      <c r="A8539" s="2" t="s">
        <v>452</v>
      </c>
    </row>
    <row r="8540" spans="1:1" ht="12.75">
      <c r="A8540" s="2" t="s">
        <v>452</v>
      </c>
    </row>
    <row r="8541" spans="1:1" ht="12.75">
      <c r="A8541" s="2" t="s">
        <v>435</v>
      </c>
    </row>
    <row r="8542" spans="1:1" ht="12.75">
      <c r="A8542" s="2" t="s">
        <v>435</v>
      </c>
    </row>
    <row r="8543" spans="1:1" ht="12.75">
      <c r="A8543" s="2" t="s">
        <v>465</v>
      </c>
    </row>
    <row r="8544" spans="1:1" ht="12.75">
      <c r="A8544" s="2" t="s">
        <v>465</v>
      </c>
    </row>
    <row r="8545" spans="1:1" ht="12.75">
      <c r="A8545" s="2" t="s">
        <v>465</v>
      </c>
    </row>
    <row r="8546" spans="1:1" ht="12.75">
      <c r="A8546" s="2" t="s">
        <v>465</v>
      </c>
    </row>
    <row r="8547" spans="1:1" ht="12.75">
      <c r="A8547" s="2" t="s">
        <v>434</v>
      </c>
    </row>
    <row r="8548" spans="1:1" ht="12.75">
      <c r="A8548" s="2" t="s">
        <v>434</v>
      </c>
    </row>
    <row r="8549" spans="1:1" ht="12.75">
      <c r="A8549" s="2" t="s">
        <v>435</v>
      </c>
    </row>
    <row r="8550" spans="1:1" ht="12.75">
      <c r="A8550" s="2" t="s">
        <v>435</v>
      </c>
    </row>
    <row r="8551" spans="1:1" ht="12.75">
      <c r="A8551" s="2" t="s">
        <v>437</v>
      </c>
    </row>
    <row r="8552" spans="1:1" ht="12.75">
      <c r="A8552" s="2" t="s">
        <v>437</v>
      </c>
    </row>
    <row r="8553" spans="1:1" ht="12.75">
      <c r="A8553" s="2" t="s">
        <v>465</v>
      </c>
    </row>
    <row r="8554" spans="1:1" ht="12.75">
      <c r="A8554" s="2" t="s">
        <v>465</v>
      </c>
    </row>
    <row r="8555" spans="1:1" ht="12.75">
      <c r="A8555" s="2" t="s">
        <v>453</v>
      </c>
    </row>
    <row r="8556" spans="1:1" ht="12.75">
      <c r="A8556" s="2" t="s">
        <v>453</v>
      </c>
    </row>
    <row r="8557" spans="1:1" ht="12.75">
      <c r="A8557" s="2" t="s">
        <v>446</v>
      </c>
    </row>
    <row r="8558" spans="1:1" ht="12.75">
      <c r="A8558" s="2" t="s">
        <v>447</v>
      </c>
    </row>
    <row r="8559" spans="1:1" ht="12.75">
      <c r="A8559" s="2" t="s">
        <v>448</v>
      </c>
    </row>
    <row r="8560" spans="1:1" ht="12.75">
      <c r="A8560" s="2" t="s">
        <v>448</v>
      </c>
    </row>
    <row r="8561" spans="1:1" ht="12.75">
      <c r="A8561" s="2" t="s">
        <v>473</v>
      </c>
    </row>
    <row r="8562" spans="1:1" ht="12.75">
      <c r="A8562" s="2" t="s">
        <v>473</v>
      </c>
    </row>
    <row r="8563" spans="1:1" ht="12.75">
      <c r="A8563" s="2" t="s">
        <v>451</v>
      </c>
    </row>
    <row r="8564" spans="1:1" ht="12.75">
      <c r="A8564" s="2" t="s">
        <v>451</v>
      </c>
    </row>
    <row r="8565" spans="1:1" ht="12.75">
      <c r="A8565" s="2" t="s">
        <v>446</v>
      </c>
    </row>
    <row r="8566" spans="1:1" ht="12.75">
      <c r="A8566" s="2" t="s">
        <v>446</v>
      </c>
    </row>
    <row r="8567" spans="1:1" ht="12.75">
      <c r="A8567" s="2" t="s">
        <v>446</v>
      </c>
    </row>
    <row r="8568" spans="1:1" ht="12.75">
      <c r="A8568" s="2" t="s">
        <v>446</v>
      </c>
    </row>
    <row r="8569" spans="1:1" ht="12.75">
      <c r="A8569" s="2" t="s">
        <v>447</v>
      </c>
    </row>
    <row r="8570" spans="1:1" ht="12.75">
      <c r="A8570" s="2" t="s">
        <v>447</v>
      </c>
    </row>
    <row r="8571" spans="1:1" ht="12.75">
      <c r="A8571" s="2" t="s">
        <v>473</v>
      </c>
    </row>
    <row r="8572" spans="1:1" ht="12.75">
      <c r="A8572" s="2" t="s">
        <v>554</v>
      </c>
    </row>
    <row r="8573" spans="1:1" ht="12.75">
      <c r="A8573" s="2" t="s">
        <v>555</v>
      </c>
    </row>
    <row r="8574" spans="1:1" ht="12.75">
      <c r="A8574" s="2" t="s">
        <v>446</v>
      </c>
    </row>
    <row r="8575" spans="1:1" ht="12.75">
      <c r="A8575" s="2" t="s">
        <v>446</v>
      </c>
    </row>
    <row r="8576" spans="1:1" ht="12.75">
      <c r="A8576" s="2" t="s">
        <v>446</v>
      </c>
    </row>
    <row r="8577" spans="1:1" ht="12.75">
      <c r="A8577" s="2" t="s">
        <v>446</v>
      </c>
    </row>
    <row r="8578" spans="1:1" ht="12.75">
      <c r="A8578" s="2" t="s">
        <v>446</v>
      </c>
    </row>
    <row r="8579" spans="1:1" ht="12.75">
      <c r="A8579" s="2" t="s">
        <v>447</v>
      </c>
    </row>
    <row r="8580" spans="1:1" ht="12.75">
      <c r="A8580" s="2" t="s">
        <v>447</v>
      </c>
    </row>
    <row r="8581" spans="1:1" ht="12.75">
      <c r="A8581" s="2" t="s">
        <v>447</v>
      </c>
    </row>
    <row r="8582" spans="1:1" ht="12.75">
      <c r="A8582" s="2" t="s">
        <v>448</v>
      </c>
    </row>
    <row r="8583" spans="1:1" ht="12.75">
      <c r="A8583" s="2" t="s">
        <v>448</v>
      </c>
    </row>
    <row r="8584" spans="1:1" ht="12.75">
      <c r="A8584" s="2" t="s">
        <v>448</v>
      </c>
    </row>
    <row r="8585" spans="1:1" ht="12.75">
      <c r="A8585" s="2" t="s">
        <v>448</v>
      </c>
    </row>
    <row r="8586" spans="1:1" ht="12.75">
      <c r="A8586" s="2" t="s">
        <v>453</v>
      </c>
    </row>
    <row r="8587" spans="1:1" ht="12.75">
      <c r="A8587" s="2" t="s">
        <v>453</v>
      </c>
    </row>
    <row r="8588" spans="1:1" ht="12.75">
      <c r="A8588" s="2" t="s">
        <v>453</v>
      </c>
    </row>
    <row r="8589" spans="1:1" ht="12.75">
      <c r="A8589" s="2" t="s">
        <v>453</v>
      </c>
    </row>
    <row r="8590" spans="1:1" ht="12.75">
      <c r="A8590" s="2" t="s">
        <v>487</v>
      </c>
    </row>
    <row r="8591" spans="1:1" ht="12.75">
      <c r="A8591" s="2" t="s">
        <v>487</v>
      </c>
    </row>
    <row r="8592" spans="1:1" ht="12.75">
      <c r="A8592" s="2" t="s">
        <v>473</v>
      </c>
    </row>
    <row r="8593" spans="1:1" ht="12.75">
      <c r="A8593" s="2" t="s">
        <v>446</v>
      </c>
    </row>
    <row r="8594" spans="1:1" ht="12.75">
      <c r="A8594" s="2" t="s">
        <v>448</v>
      </c>
    </row>
    <row r="8595" spans="1:1" ht="12.75">
      <c r="A8595" s="2" t="s">
        <v>446</v>
      </c>
    </row>
    <row r="8596" spans="1:1" ht="12.75">
      <c r="A8596" s="2" t="s">
        <v>446</v>
      </c>
    </row>
    <row r="8597" spans="1:1" ht="12.75">
      <c r="A8597" s="2" t="s">
        <v>446</v>
      </c>
    </row>
    <row r="8598" spans="1:1" ht="12.75">
      <c r="A8598" s="2" t="s">
        <v>446</v>
      </c>
    </row>
    <row r="8599" spans="1:1" ht="12.75">
      <c r="A8599" s="2" t="s">
        <v>446</v>
      </c>
    </row>
    <row r="8600" spans="1:1" ht="12.75">
      <c r="A8600" s="2" t="s">
        <v>446</v>
      </c>
    </row>
    <row r="8601" spans="1:1" ht="12.75">
      <c r="A8601" s="2" t="s">
        <v>453</v>
      </c>
    </row>
    <row r="8602" spans="1:1" ht="12.75">
      <c r="A8602" s="2" t="s">
        <v>448</v>
      </c>
    </row>
    <row r="8603" spans="1:1" ht="12.75">
      <c r="A8603" s="2" t="s">
        <v>451</v>
      </c>
    </row>
    <row r="8604" spans="1:1" ht="12.75">
      <c r="A8604" s="2" t="s">
        <v>451</v>
      </c>
    </row>
    <row r="8605" spans="1:1" ht="12.75">
      <c r="A8605" s="2" t="s">
        <v>378</v>
      </c>
    </row>
    <row r="8606" spans="1:1" ht="12.75">
      <c r="A8606" s="2" t="s">
        <v>378</v>
      </c>
    </row>
    <row r="8607" spans="1:1" ht="12.75">
      <c r="A8607" s="2" t="s">
        <v>378</v>
      </c>
    </row>
    <row r="8608" spans="1:1" ht="12.75">
      <c r="A8608" s="2" t="s">
        <v>378</v>
      </c>
    </row>
    <row r="8609" spans="1:1" ht="12.75">
      <c r="A8609" s="2" t="s">
        <v>378</v>
      </c>
    </row>
    <row r="8610" spans="1:1" ht="12.75">
      <c r="A8610" s="2" t="s">
        <v>378</v>
      </c>
    </row>
    <row r="8611" spans="1:1" ht="12.75">
      <c r="A8611" s="2" t="s">
        <v>378</v>
      </c>
    </row>
    <row r="8612" spans="1:1" ht="12.75">
      <c r="A8612" s="2" t="s">
        <v>378</v>
      </c>
    </row>
    <row r="8613" spans="1:1" ht="12.75">
      <c r="A8613" s="2" t="s">
        <v>378</v>
      </c>
    </row>
    <row r="8614" spans="1:1" ht="12.75">
      <c r="A8614" s="2" t="s">
        <v>378</v>
      </c>
    </row>
    <row r="8615" spans="1:1" ht="12.75">
      <c r="A8615" s="2" t="s">
        <v>378</v>
      </c>
    </row>
    <row r="8616" spans="1:1" ht="12.75">
      <c r="A8616" s="2" t="s">
        <v>378</v>
      </c>
    </row>
    <row r="8617" spans="1:1" ht="12.75">
      <c r="A8617" s="2" t="s">
        <v>378</v>
      </c>
    </row>
    <row r="8618" spans="1:1" ht="12.75">
      <c r="A8618" s="2" t="s">
        <v>378</v>
      </c>
    </row>
    <row r="8619" spans="1:1" ht="12.75">
      <c r="A8619" s="2" t="s">
        <v>378</v>
      </c>
    </row>
    <row r="8620" spans="1:1" ht="12.75">
      <c r="A8620" s="2" t="s">
        <v>378</v>
      </c>
    </row>
    <row r="8621" spans="1:1" ht="12.75">
      <c r="A8621" s="2" t="s">
        <v>378</v>
      </c>
    </row>
    <row r="8622" spans="1:1" ht="12.75">
      <c r="A8622" s="2" t="s">
        <v>378</v>
      </c>
    </row>
    <row r="8623" spans="1:1" ht="12.75">
      <c r="A8623" s="2">
        <v>227</v>
      </c>
    </row>
    <row r="8624" spans="1:1" ht="12.75">
      <c r="A8624" s="2" t="s">
        <v>264</v>
      </c>
    </row>
    <row r="8625" spans="1:1" ht="12.75">
      <c r="A8625" s="2" t="s">
        <v>378</v>
      </c>
    </row>
    <row r="8626" spans="1:1" ht="12.75">
      <c r="A8626" s="2" t="s">
        <v>378</v>
      </c>
    </row>
    <row r="8627" spans="1:1" ht="12.75">
      <c r="A8627" s="2" t="s">
        <v>378</v>
      </c>
    </row>
    <row r="8628" spans="1:1" ht="12.75">
      <c r="A8628" s="2" t="s">
        <v>378</v>
      </c>
    </row>
    <row r="8629" spans="1:1" ht="12.75">
      <c r="A8629" s="2" t="s">
        <v>378</v>
      </c>
    </row>
    <row r="8630" spans="1:1" ht="12.75">
      <c r="A8630" s="2" t="s">
        <v>378</v>
      </c>
    </row>
    <row r="8631" spans="1:1" ht="12.75">
      <c r="A8631" s="2" t="s">
        <v>264</v>
      </c>
    </row>
    <row r="8632" spans="1:1" ht="12.75">
      <c r="A8632" s="2" t="s">
        <v>556</v>
      </c>
    </row>
    <row r="8633" spans="1:1" ht="12.75">
      <c r="A8633" s="2" t="s">
        <v>378</v>
      </c>
    </row>
    <row r="8634" spans="1:1" ht="12.75">
      <c r="A8634" s="2" t="s">
        <v>378</v>
      </c>
    </row>
    <row r="8635" spans="1:1" ht="12.75">
      <c r="A8635" s="2" t="s">
        <v>150</v>
      </c>
    </row>
    <row r="8636" spans="1:1" ht="12.75">
      <c r="A8636" s="2" t="s">
        <v>150</v>
      </c>
    </row>
    <row r="8637" spans="1:1" ht="12.75">
      <c r="A8637" s="2" t="s">
        <v>150</v>
      </c>
    </row>
    <row r="8638" spans="1:1" ht="12.75">
      <c r="A8638" s="2" t="s">
        <v>150</v>
      </c>
    </row>
    <row r="8639" spans="1:1" ht="12.75">
      <c r="A8639" s="2" t="s">
        <v>150</v>
      </c>
    </row>
    <row r="8640" spans="1:1" ht="12.75">
      <c r="A8640" s="2" t="s">
        <v>150</v>
      </c>
    </row>
    <row r="8645" spans="1:1" ht="12.75">
      <c r="A8645" s="2" t="s">
        <v>150</v>
      </c>
    </row>
    <row r="8646" spans="1:1" ht="12.75">
      <c r="A8646" s="2" t="s">
        <v>150</v>
      </c>
    </row>
    <row r="8647" spans="1:1" ht="12.75">
      <c r="A8647" s="2" t="s">
        <v>150</v>
      </c>
    </row>
    <row r="8648" spans="1:1" ht="12.75">
      <c r="A8648" s="2" t="s">
        <v>150</v>
      </c>
    </row>
    <row r="8649" spans="1:1" ht="12.75">
      <c r="A8649" s="2" t="s">
        <v>150</v>
      </c>
    </row>
    <row r="8650" spans="1:1" ht="12.75">
      <c r="A8650" s="2" t="s">
        <v>150</v>
      </c>
    </row>
    <row r="8651" spans="1:1" ht="12.75">
      <c r="A8651" s="2" t="s">
        <v>150</v>
      </c>
    </row>
    <row r="8652" spans="1:1" ht="12.75">
      <c r="A8652" s="2" t="s">
        <v>150</v>
      </c>
    </row>
    <row r="8653" spans="1:1" ht="12.75">
      <c r="A8653" s="2" t="s">
        <v>150</v>
      </c>
    </row>
    <row r="8654" spans="1:1" ht="12.75">
      <c r="A8654" s="2" t="s">
        <v>150</v>
      </c>
    </row>
    <row r="8655" spans="1:1" ht="12.75">
      <c r="A8655" s="2" t="s">
        <v>150</v>
      </c>
    </row>
    <row r="8656" spans="1:1" ht="12.75">
      <c r="A8656" s="2" t="s">
        <v>150</v>
      </c>
    </row>
    <row r="8657" spans="1:1" ht="12.75">
      <c r="A8657" s="2" t="s">
        <v>150</v>
      </c>
    </row>
    <row r="8658" spans="1:1" ht="12.75">
      <c r="A8658" s="2" t="s">
        <v>150</v>
      </c>
    </row>
    <row r="8659" spans="1:1" ht="12.75">
      <c r="A8659" s="2" t="s">
        <v>150</v>
      </c>
    </row>
    <row r="8660" spans="1:1" ht="12.75">
      <c r="A8660" s="2" t="s">
        <v>150</v>
      </c>
    </row>
    <row r="8661" spans="1:1" ht="12.75">
      <c r="A8661" s="2" t="s">
        <v>150</v>
      </c>
    </row>
    <row r="8662" spans="1:1" ht="12.75">
      <c r="A8662" s="2" t="s">
        <v>150</v>
      </c>
    </row>
    <row r="8663" spans="1:1" ht="12.75">
      <c r="A8663" s="2" t="s">
        <v>150</v>
      </c>
    </row>
    <row r="8664" spans="1:1" ht="12.75">
      <c r="A8664" s="2" t="s">
        <v>150</v>
      </c>
    </row>
    <row r="8665" spans="1:1" ht="12.75">
      <c r="A8665" s="2" t="s">
        <v>557</v>
      </c>
    </row>
    <row r="8666" spans="1:1" ht="12.75">
      <c r="A8666" s="2" t="s">
        <v>291</v>
      </c>
    </row>
    <row r="8667" spans="1:1" ht="12.75">
      <c r="A8667" s="2" t="s">
        <v>289</v>
      </c>
    </row>
    <row r="8668" spans="1:1" ht="12.75">
      <c r="A8668" s="2" t="s">
        <v>289</v>
      </c>
    </row>
    <row r="8669" spans="1:1" ht="12.75">
      <c r="A8669" s="2" t="s">
        <v>291</v>
      </c>
    </row>
    <row r="8670" spans="1:1" ht="12.75">
      <c r="A8670" s="2" t="s">
        <v>289</v>
      </c>
    </row>
    <row r="8671" spans="1:1" ht="12.75">
      <c r="A8671" s="2" t="s">
        <v>289</v>
      </c>
    </row>
    <row r="8672" spans="1:1" ht="12.75">
      <c r="A8672" s="2" t="s">
        <v>290</v>
      </c>
    </row>
    <row r="8673" spans="1:1" ht="12.75">
      <c r="A8673" s="2" t="s">
        <v>290</v>
      </c>
    </row>
    <row r="8674" spans="1:1" ht="12.75">
      <c r="A8674" s="2" t="s">
        <v>297</v>
      </c>
    </row>
    <row r="8675" spans="1:1" ht="12.75">
      <c r="A8675" s="2" t="s">
        <v>292</v>
      </c>
    </row>
    <row r="8676" spans="1:1" ht="12.75">
      <c r="A8676" s="2" t="s">
        <v>290</v>
      </c>
    </row>
    <row r="8677" spans="1:1" ht="12.75">
      <c r="A8677" s="2" t="s">
        <v>297</v>
      </c>
    </row>
    <row r="8678" spans="1:1" ht="12.75">
      <c r="A8678" s="2" t="s">
        <v>297</v>
      </c>
    </row>
    <row r="8679" spans="1:1" ht="12.75">
      <c r="A8679" s="2" t="s">
        <v>290</v>
      </c>
    </row>
    <row r="8680" spans="1:1" ht="12.75">
      <c r="A8680" s="2" t="s">
        <v>290</v>
      </c>
    </row>
    <row r="8681" spans="1:1" ht="12.75">
      <c r="A8681" s="2" t="s">
        <v>290</v>
      </c>
    </row>
    <row r="8682" spans="1:1" ht="12.75">
      <c r="A8682" s="2" t="s">
        <v>291</v>
      </c>
    </row>
    <row r="8683" spans="1:1" ht="12.75">
      <c r="A8683" s="2" t="s">
        <v>292</v>
      </c>
    </row>
    <row r="8684" spans="1:1" ht="12.75">
      <c r="A8684" s="2" t="s">
        <v>297</v>
      </c>
    </row>
    <row r="8685" spans="1:1" ht="12.75">
      <c r="A8685" s="2" t="s">
        <v>297</v>
      </c>
    </row>
    <row r="8686" spans="1:1" ht="12.75">
      <c r="A8686" s="2" t="s">
        <v>297</v>
      </c>
    </row>
    <row r="8687" spans="1:1" ht="12.75">
      <c r="A8687" s="2" t="s">
        <v>291</v>
      </c>
    </row>
    <row r="8688" spans="1:1" ht="12.75">
      <c r="A8688" s="2" t="s">
        <v>297</v>
      </c>
    </row>
    <row r="8689" spans="1:1" ht="12.75">
      <c r="A8689" s="2" t="s">
        <v>297</v>
      </c>
    </row>
    <row r="8690" spans="1:1" ht="12.75">
      <c r="A8690" s="2" t="s">
        <v>291</v>
      </c>
    </row>
    <row r="8691" spans="1:1" ht="12.75">
      <c r="A8691" s="2" t="s">
        <v>291</v>
      </c>
    </row>
    <row r="8692" spans="1:1" ht="12.75">
      <c r="A8692" s="2" t="s">
        <v>291</v>
      </c>
    </row>
    <row r="8693" spans="1:1" ht="12.75">
      <c r="A8693" s="2" t="s">
        <v>291</v>
      </c>
    </row>
    <row r="8694" spans="1:1" ht="12.75">
      <c r="A8694" s="2" t="s">
        <v>291</v>
      </c>
    </row>
    <row r="8695" spans="1:1" ht="12.75">
      <c r="A8695" s="2" t="s">
        <v>291</v>
      </c>
    </row>
    <row r="8696" spans="1:1" ht="12.75">
      <c r="A8696" s="2" t="s">
        <v>290</v>
      </c>
    </row>
    <row r="8697" spans="1:1" ht="12.75">
      <c r="A8697" s="2" t="s">
        <v>291</v>
      </c>
    </row>
    <row r="8698" spans="1:1" ht="12.75">
      <c r="A8698" s="2" t="s">
        <v>290</v>
      </c>
    </row>
    <row r="8699" spans="1:1" ht="12.75">
      <c r="A8699" s="2" t="s">
        <v>290</v>
      </c>
    </row>
    <row r="8700" spans="1:1" ht="12.75">
      <c r="A8700" s="2" t="s">
        <v>290</v>
      </c>
    </row>
    <row r="8701" spans="1:1" ht="12.75">
      <c r="A8701" s="2" t="s">
        <v>291</v>
      </c>
    </row>
    <row r="8702" spans="1:1" ht="12.75">
      <c r="A8702" s="2" t="s">
        <v>290</v>
      </c>
    </row>
    <row r="8703" spans="1:1" ht="12.75">
      <c r="A8703" s="2" t="s">
        <v>290</v>
      </c>
    </row>
    <row r="8704" spans="1:1" ht="12.75">
      <c r="A8704" s="2" t="s">
        <v>289</v>
      </c>
    </row>
    <row r="8705" spans="1:1" ht="12.75">
      <c r="A8705" s="2" t="s">
        <v>289</v>
      </c>
    </row>
    <row r="8706" spans="1:1" ht="12.75">
      <c r="A8706" s="2" t="s">
        <v>289</v>
      </c>
    </row>
    <row r="8707" spans="1:1" ht="12.75">
      <c r="A8707" s="2" t="s">
        <v>289</v>
      </c>
    </row>
    <row r="8708" spans="1:1" ht="12.75">
      <c r="A8708" s="2" t="s">
        <v>289</v>
      </c>
    </row>
    <row r="8709" spans="1:1" ht="12.75">
      <c r="A8709" s="2" t="s">
        <v>289</v>
      </c>
    </row>
    <row r="8710" spans="1:1" ht="12.75">
      <c r="A8710" s="2" t="s">
        <v>289</v>
      </c>
    </row>
    <row r="8711" spans="1:1" ht="12.75">
      <c r="A8711" s="2" t="s">
        <v>289</v>
      </c>
    </row>
    <row r="8712" spans="1:1" ht="12.75">
      <c r="A8712" s="2" t="s">
        <v>297</v>
      </c>
    </row>
    <row r="8713" spans="1:1" ht="12.75">
      <c r="A8713" s="2" t="s">
        <v>289</v>
      </c>
    </row>
    <row r="8714" spans="1:1" ht="12.75">
      <c r="A8714" s="2" t="s">
        <v>289</v>
      </c>
    </row>
    <row r="8715" spans="1:1" ht="12.75">
      <c r="A8715" s="2" t="s">
        <v>289</v>
      </c>
    </row>
    <row r="8716" spans="1:1" ht="12.75">
      <c r="A8716" s="2" t="s">
        <v>290</v>
      </c>
    </row>
    <row r="8717" spans="1:1" ht="12.75">
      <c r="A8717" s="2" t="s">
        <v>289</v>
      </c>
    </row>
    <row r="8718" spans="1:1" ht="12.75">
      <c r="A8718" s="2" t="s">
        <v>290</v>
      </c>
    </row>
    <row r="8719" spans="1:1" ht="12.75">
      <c r="A8719" s="2" t="s">
        <v>291</v>
      </c>
    </row>
    <row r="8720" spans="1:1" ht="12.75">
      <c r="A8720" s="2" t="s">
        <v>291</v>
      </c>
    </row>
    <row r="8721" spans="1:1" ht="12.75">
      <c r="A8721" s="2" t="s">
        <v>291</v>
      </c>
    </row>
    <row r="8722" spans="1:1" ht="12.75">
      <c r="A8722" s="2" t="s">
        <v>292</v>
      </c>
    </row>
    <row r="8723" spans="1:1" ht="12.75">
      <c r="A8723" s="2" t="s">
        <v>291</v>
      </c>
    </row>
    <row r="8724" spans="1:1" ht="12.75">
      <c r="A8724" s="2" t="s">
        <v>291</v>
      </c>
    </row>
    <row r="8725" spans="1:1" ht="12.75">
      <c r="A8725" s="2" t="s">
        <v>299</v>
      </c>
    </row>
    <row r="8726" spans="1:1" ht="12.75">
      <c r="A8726" s="2" t="s">
        <v>297</v>
      </c>
    </row>
    <row r="8727" spans="1:1" ht="12.75">
      <c r="A8727" s="2" t="s">
        <v>297</v>
      </c>
    </row>
    <row r="8728" spans="1:1" ht="12.75">
      <c r="A8728" s="2" t="s">
        <v>297</v>
      </c>
    </row>
    <row r="8729" spans="1:1" ht="12.75">
      <c r="A8729" s="2" t="s">
        <v>297</v>
      </c>
    </row>
    <row r="8730" spans="1:1" ht="12.75">
      <c r="A8730" s="2" t="s">
        <v>291</v>
      </c>
    </row>
    <row r="8731" spans="1:1" ht="12.75">
      <c r="A8731" s="2" t="s">
        <v>297</v>
      </c>
    </row>
    <row r="8732" spans="1:1" ht="12.75">
      <c r="A8732" s="2" t="s">
        <v>290</v>
      </c>
    </row>
    <row r="8733" spans="1:1" ht="12.75">
      <c r="A8733" s="2" t="s">
        <v>291</v>
      </c>
    </row>
    <row r="8734" spans="1:1" ht="12.75">
      <c r="A8734" s="2" t="s">
        <v>289</v>
      </c>
    </row>
    <row r="8735" spans="1:1" ht="12.75">
      <c r="A8735" s="2" t="s">
        <v>290</v>
      </c>
    </row>
    <row r="8736" spans="1:1" ht="12.75">
      <c r="A8736" s="2" t="s">
        <v>292</v>
      </c>
    </row>
    <row r="8737" spans="1:1" ht="12.75">
      <c r="A8737" s="2" t="s">
        <v>289</v>
      </c>
    </row>
    <row r="8738" spans="1:1" ht="12.75">
      <c r="A8738" s="2" t="s">
        <v>290</v>
      </c>
    </row>
    <row r="8739" spans="1:1" ht="12.75">
      <c r="A8739" s="2" t="s">
        <v>290</v>
      </c>
    </row>
    <row r="8740" spans="1:1" ht="12.75">
      <c r="A8740" s="2" t="s">
        <v>289</v>
      </c>
    </row>
    <row r="8741" spans="1:1" ht="12.75">
      <c r="A8741" s="2" t="s">
        <v>290</v>
      </c>
    </row>
    <row r="8742" spans="1:1" ht="12.75">
      <c r="A8742" s="2" t="s">
        <v>291</v>
      </c>
    </row>
    <row r="8743" spans="1:1" ht="12.75">
      <c r="A8743" s="2" t="s">
        <v>289</v>
      </c>
    </row>
    <row r="8744" spans="1:1" ht="12.75">
      <c r="A8744" s="2" t="s">
        <v>291</v>
      </c>
    </row>
    <row r="8745" spans="1:1" ht="12.75">
      <c r="A8745" s="2" t="s">
        <v>291</v>
      </c>
    </row>
    <row r="8746" spans="1:1" ht="12.75">
      <c r="A8746" s="2" t="s">
        <v>291</v>
      </c>
    </row>
    <row r="8747" spans="1:1" ht="12.75">
      <c r="A8747" s="2" t="s">
        <v>297</v>
      </c>
    </row>
    <row r="8748" spans="1:1" ht="12.75">
      <c r="A8748" s="2" t="s">
        <v>291</v>
      </c>
    </row>
    <row r="8749" spans="1:1" ht="12.75">
      <c r="A8749" s="2" t="s">
        <v>291</v>
      </c>
    </row>
    <row r="8750" spans="1:1" ht="12.75">
      <c r="A8750" s="2" t="s">
        <v>297</v>
      </c>
    </row>
    <row r="8751" spans="1:1" ht="12.75">
      <c r="A8751" s="2" t="s">
        <v>297</v>
      </c>
    </row>
    <row r="8752" spans="1:1" ht="12.75">
      <c r="A8752" s="2" t="s">
        <v>289</v>
      </c>
    </row>
    <row r="8753" spans="1:1" ht="12.75">
      <c r="A8753" s="2" t="s">
        <v>289</v>
      </c>
    </row>
    <row r="8754" spans="1:1" ht="12.75">
      <c r="A8754" s="2" t="s">
        <v>291</v>
      </c>
    </row>
    <row r="8755" spans="1:1" ht="12.75">
      <c r="A8755" s="2" t="s">
        <v>290</v>
      </c>
    </row>
    <row r="8756" spans="1:1" ht="12.75">
      <c r="A8756" s="2" t="s">
        <v>291</v>
      </c>
    </row>
    <row r="8757" spans="1:1" ht="12.75">
      <c r="A8757" s="2" t="s">
        <v>289</v>
      </c>
    </row>
    <row r="8758" spans="1:1" ht="12.75">
      <c r="A8758" s="2" t="s">
        <v>290</v>
      </c>
    </row>
    <row r="8759" spans="1:1" ht="12.75">
      <c r="A8759" s="2" t="s">
        <v>291</v>
      </c>
    </row>
    <row r="8760" spans="1:1" ht="12.75">
      <c r="A8760" s="2" t="s">
        <v>297</v>
      </c>
    </row>
    <row r="8761" spans="1:1" ht="12.75">
      <c r="A8761" s="2" t="s">
        <v>290</v>
      </c>
    </row>
    <row r="8762" spans="1:1" ht="12.75">
      <c r="A8762" s="2" t="s">
        <v>290</v>
      </c>
    </row>
    <row r="8763" spans="1:1" ht="12.75">
      <c r="A8763" s="2" t="s">
        <v>297</v>
      </c>
    </row>
    <row r="8764" spans="1:1" ht="12.75">
      <c r="A8764" s="2" t="s">
        <v>289</v>
      </c>
    </row>
    <row r="8765" spans="1:1" ht="12.75">
      <c r="A8765" s="2" t="s">
        <v>290</v>
      </c>
    </row>
    <row r="8784" spans="1:1" ht="12.75">
      <c r="A8784" s="2" t="s">
        <v>558</v>
      </c>
    </row>
    <row r="8785" spans="1:1" ht="12.75">
      <c r="A8785" s="2" t="s">
        <v>558</v>
      </c>
    </row>
    <row r="8786" spans="1:1" ht="12.75">
      <c r="A8786" s="2" t="s">
        <v>558</v>
      </c>
    </row>
    <row r="8787" spans="1:1" ht="12.75">
      <c r="A8787" s="2" t="s">
        <v>558</v>
      </c>
    </row>
    <row r="8792" spans="1:1" ht="12.75">
      <c r="A8792" s="2" t="s">
        <v>558</v>
      </c>
    </row>
    <row r="8793" spans="1:1" ht="12.75">
      <c r="A8793" s="2" t="s">
        <v>558</v>
      </c>
    </row>
    <row r="8794" spans="1:1" ht="12.75">
      <c r="A8794" s="2" t="s">
        <v>558</v>
      </c>
    </row>
    <row r="8795" spans="1:1" ht="12.75">
      <c r="A8795" s="2" t="s">
        <v>558</v>
      </c>
    </row>
    <row r="8810" spans="1:1" ht="12.75">
      <c r="A8810" s="2" t="s">
        <v>559</v>
      </c>
    </row>
    <row r="8811" spans="1:1" ht="12.75">
      <c r="A8811" s="2" t="s">
        <v>559</v>
      </c>
    </row>
    <row r="8812" spans="1:1" ht="12.75">
      <c r="A8812" s="2" t="s">
        <v>560</v>
      </c>
    </row>
    <row r="8823" spans="1:1" ht="12.75">
      <c r="A8823" s="2" t="s">
        <v>446</v>
      </c>
    </row>
    <row r="8824" spans="1:1" ht="12.75">
      <c r="A8824" s="2" t="s">
        <v>447</v>
      </c>
    </row>
    <row r="8825" spans="1:1" ht="12.75">
      <c r="A8825" s="2" t="s">
        <v>447</v>
      </c>
    </row>
    <row r="8826" spans="1:1" ht="12.75">
      <c r="A8826" s="2" t="s">
        <v>447</v>
      </c>
    </row>
    <row r="8827" spans="1:1" ht="12.75">
      <c r="A8827" s="2" t="s">
        <v>447</v>
      </c>
    </row>
    <row r="8828" spans="1:1" ht="12.75">
      <c r="A8828" s="2" t="s">
        <v>448</v>
      </c>
    </row>
    <row r="8829" spans="1:1" ht="12.75">
      <c r="A8829" s="2" t="s">
        <v>448</v>
      </c>
    </row>
    <row r="8830" spans="1:1" ht="12.75">
      <c r="A8830" s="2" t="s">
        <v>446</v>
      </c>
    </row>
    <row r="8831" spans="1:1" ht="12.75">
      <c r="A8831" s="2" t="s">
        <v>446</v>
      </c>
    </row>
    <row r="8832" spans="1:1" ht="12.75">
      <c r="A8832" s="2" t="s">
        <v>446</v>
      </c>
    </row>
    <row r="8833" spans="1:1" ht="12.75">
      <c r="A8833" s="2" t="s">
        <v>446</v>
      </c>
    </row>
    <row r="8834" spans="1:1" ht="12.75">
      <c r="A8834" s="2" t="s">
        <v>447</v>
      </c>
    </row>
    <row r="8835" spans="1:1" ht="12.75">
      <c r="A8835" s="2" t="s">
        <v>447</v>
      </c>
    </row>
    <row r="8836" spans="1:1" ht="12.75">
      <c r="A8836" s="2" t="s">
        <v>447</v>
      </c>
    </row>
    <row r="8837" spans="1:1" ht="12.75">
      <c r="A8837" s="2" t="s">
        <v>447</v>
      </c>
    </row>
    <row r="8838" spans="1:1" ht="12.75">
      <c r="A8838" s="2" t="s">
        <v>453</v>
      </c>
    </row>
    <row r="8839" spans="1:1" ht="12.75">
      <c r="A8839" s="2" t="s">
        <v>448</v>
      </c>
    </row>
    <row r="8840" spans="1:1" ht="12.75">
      <c r="A8840" s="2" t="s">
        <v>448</v>
      </c>
    </row>
    <row r="8841" spans="1:1" ht="12.75">
      <c r="A8841" s="2" t="s">
        <v>451</v>
      </c>
    </row>
    <row r="8842" spans="1:1" ht="12.75">
      <c r="A8842" s="2" t="s">
        <v>451</v>
      </c>
    </row>
    <row r="8843" spans="1:1" ht="12.75">
      <c r="A8843" s="2" t="s">
        <v>451</v>
      </c>
    </row>
    <row r="8844" spans="1:1" ht="12.75">
      <c r="A8844" s="2" t="s">
        <v>446</v>
      </c>
    </row>
    <row r="8845" spans="1:1" ht="12.75">
      <c r="A8845" s="2" t="s">
        <v>446</v>
      </c>
    </row>
    <row r="8846" spans="1:1" ht="12.75">
      <c r="A8846" s="2" t="s">
        <v>446</v>
      </c>
    </row>
    <row r="8847" spans="1:1" ht="12.75">
      <c r="A8847" s="2" t="s">
        <v>446</v>
      </c>
    </row>
    <row r="8848" spans="1:1" ht="12.75">
      <c r="A8848" s="2" t="s">
        <v>446</v>
      </c>
    </row>
    <row r="8849" spans="1:1" ht="12.75">
      <c r="A8849" s="2" t="s">
        <v>446</v>
      </c>
    </row>
    <row r="8850" spans="1:1" ht="12.75">
      <c r="A8850" s="2" t="s">
        <v>447</v>
      </c>
    </row>
    <row r="8851" spans="1:1" ht="12.75">
      <c r="A8851" s="2" t="s">
        <v>447</v>
      </c>
    </row>
    <row r="8852" spans="1:1" ht="12.75">
      <c r="A8852" s="2" t="s">
        <v>447</v>
      </c>
    </row>
    <row r="8863" spans="1:1" ht="12.75">
      <c r="A8863" s="2" t="s">
        <v>447</v>
      </c>
    </row>
    <row r="8864" spans="1:1" ht="12.75">
      <c r="A8864" s="2" t="s">
        <v>448</v>
      </c>
    </row>
    <row r="8865" spans="1:1" ht="12.75">
      <c r="A8865" s="2" t="s">
        <v>448</v>
      </c>
    </row>
    <row r="8866" spans="1:1" ht="12.75">
      <c r="A8866" s="2" t="s">
        <v>451</v>
      </c>
    </row>
    <row r="8867" spans="1:1" ht="12.75">
      <c r="A8867" s="2" t="s">
        <v>451</v>
      </c>
    </row>
    <row r="8868" spans="1:1" ht="12.75">
      <c r="A8868" s="2" t="s">
        <v>447</v>
      </c>
    </row>
    <row r="8869" spans="1:1" ht="12.75">
      <c r="A8869" s="2" t="s">
        <v>448</v>
      </c>
    </row>
    <row r="8870" spans="1:1" ht="12.75">
      <c r="A8870" s="2" t="s">
        <v>448</v>
      </c>
    </row>
    <row r="8871" spans="1:1" ht="12.75">
      <c r="A8871" s="2" t="s">
        <v>448</v>
      </c>
    </row>
    <row r="8872" spans="1:1" ht="12.75">
      <c r="A8872" s="2" t="s">
        <v>448</v>
      </c>
    </row>
    <row r="8873" spans="1:1" ht="12.75">
      <c r="A8873" s="2" t="s">
        <v>447</v>
      </c>
    </row>
    <row r="8874" spans="1:1" ht="12.75">
      <c r="A8874" s="2" t="s">
        <v>447</v>
      </c>
    </row>
    <row r="8875" spans="1:1" ht="12.75">
      <c r="A8875" s="2" t="s">
        <v>447</v>
      </c>
    </row>
    <row r="8876" spans="1:1" ht="12.75">
      <c r="A8876" s="2" t="s">
        <v>446</v>
      </c>
    </row>
    <row r="8877" spans="1:1" ht="12.75">
      <c r="A8877" s="2" t="s">
        <v>446</v>
      </c>
    </row>
    <row r="8878" spans="1:1" ht="12.75">
      <c r="A8878" s="2" t="s">
        <v>446</v>
      </c>
    </row>
    <row r="8879" spans="1:1" ht="12.75">
      <c r="A8879" s="2" t="s">
        <v>446</v>
      </c>
    </row>
    <row r="8880" spans="1:1" ht="12.75">
      <c r="A8880" s="2" t="s">
        <v>446</v>
      </c>
    </row>
    <row r="8881" spans="1:1" ht="12.75">
      <c r="A8881" s="2" t="s">
        <v>446</v>
      </c>
    </row>
    <row r="8882" spans="1:1" ht="12.75">
      <c r="A8882" s="2" t="s">
        <v>446</v>
      </c>
    </row>
    <row r="8883" spans="1:1" ht="12.75">
      <c r="A8883" s="2" t="s">
        <v>480</v>
      </c>
    </row>
    <row r="8884" spans="1:1" ht="12.75">
      <c r="A8884" s="2" t="s">
        <v>480</v>
      </c>
    </row>
    <row r="8885" spans="1:1" ht="12.75">
      <c r="A8885" s="2" t="s">
        <v>561</v>
      </c>
    </row>
    <row r="8886" spans="1:1" ht="12.75">
      <c r="A8886" s="2" t="s">
        <v>561</v>
      </c>
    </row>
    <row r="8887" spans="1:1" ht="12.75">
      <c r="A8887" s="2" t="s">
        <v>561</v>
      </c>
    </row>
    <row r="8888" spans="1:1" ht="12.75">
      <c r="A8888" s="2" t="s">
        <v>561</v>
      </c>
    </row>
    <row r="8913" spans="1:1" ht="12.75">
      <c r="A8913" s="2" t="s">
        <v>222</v>
      </c>
    </row>
    <row r="8914" spans="1:1" ht="12.75">
      <c r="A8914" s="2" t="s">
        <v>222</v>
      </c>
    </row>
    <row r="8915" spans="1:1" ht="12.75">
      <c r="A8915" s="2" t="s">
        <v>222</v>
      </c>
    </row>
    <row r="8916" spans="1:1" ht="12.75">
      <c r="A8916" s="2" t="s">
        <v>562</v>
      </c>
    </row>
    <row r="8917" spans="1:1" ht="12.75">
      <c r="A8917" s="2" t="s">
        <v>222</v>
      </c>
    </row>
    <row r="8918" spans="1:1" ht="12.75">
      <c r="A8918" s="2" t="s">
        <v>222</v>
      </c>
    </row>
    <row r="8919" spans="1:1" ht="12.75">
      <c r="A8919" s="2" t="s">
        <v>222</v>
      </c>
    </row>
    <row r="8920" spans="1:1" ht="12.75">
      <c r="A8920" s="2" t="s">
        <v>222</v>
      </c>
    </row>
    <row r="8921" spans="1:1" ht="12.75">
      <c r="A8921" s="2" t="s">
        <v>222</v>
      </c>
    </row>
    <row r="8922" spans="1:1" ht="12.75">
      <c r="A8922" s="2" t="s">
        <v>222</v>
      </c>
    </row>
    <row r="8923" spans="1:1" ht="12.75">
      <c r="A8923" s="2" t="s">
        <v>222</v>
      </c>
    </row>
    <row r="8924" spans="1:1" ht="12.75">
      <c r="A8924" s="2" t="s">
        <v>222</v>
      </c>
    </row>
    <row r="8925" spans="1:1" ht="12.75">
      <c r="A8925" s="2" t="s">
        <v>222</v>
      </c>
    </row>
    <row r="8926" spans="1:1" ht="12.75">
      <c r="A8926" s="2" t="s">
        <v>222</v>
      </c>
    </row>
    <row r="8927" spans="1:1" ht="12.75">
      <c r="A8927" s="2" t="s">
        <v>222</v>
      </c>
    </row>
    <row r="8928" spans="1:1" ht="12.75">
      <c r="A8928" s="2" t="s">
        <v>222</v>
      </c>
    </row>
    <row r="8929" spans="1:1" ht="12.75">
      <c r="A8929" s="2" t="s">
        <v>222</v>
      </c>
    </row>
    <row r="8930" spans="1:1" ht="12.75">
      <c r="A8930" s="2" t="s">
        <v>222</v>
      </c>
    </row>
    <row r="8931" spans="1:1" ht="12.75">
      <c r="A8931" s="2" t="s">
        <v>222</v>
      </c>
    </row>
    <row r="8932" spans="1:1" ht="12.75">
      <c r="A8932" s="2" t="s">
        <v>222</v>
      </c>
    </row>
    <row r="8933" spans="1:1" ht="12.75">
      <c r="A8933" s="2" t="s">
        <v>222</v>
      </c>
    </row>
    <row r="8934" spans="1:1" ht="12.75">
      <c r="A8934" s="2" t="s">
        <v>222</v>
      </c>
    </row>
    <row r="8935" spans="1:1" ht="12.75">
      <c r="A8935" s="2" t="s">
        <v>222</v>
      </c>
    </row>
    <row r="8936" spans="1:1" ht="12.75">
      <c r="A8936" s="2" t="s">
        <v>222</v>
      </c>
    </row>
    <row r="8937" spans="1:1" ht="12.75">
      <c r="A8937" s="2" t="s">
        <v>222</v>
      </c>
    </row>
    <row r="8938" spans="1:1" ht="12.75">
      <c r="A8938" s="2" t="s">
        <v>222</v>
      </c>
    </row>
    <row r="8939" spans="1:1" ht="12.75">
      <c r="A8939" s="2" t="s">
        <v>222</v>
      </c>
    </row>
    <row r="8940" spans="1:1" ht="12.75">
      <c r="A8940" s="2" t="s">
        <v>222</v>
      </c>
    </row>
    <row r="8941" spans="1:1" ht="12.75">
      <c r="A8941" s="2" t="s">
        <v>222</v>
      </c>
    </row>
    <row r="8942" spans="1:1" ht="12.75">
      <c r="A8942" s="2" t="s">
        <v>222</v>
      </c>
    </row>
    <row r="8943" spans="1:1" ht="12.75">
      <c r="A8943" s="2" t="s">
        <v>212</v>
      </c>
    </row>
    <row r="8944" spans="1:1" ht="12.75">
      <c r="A8944" s="2" t="s">
        <v>212</v>
      </c>
    </row>
    <row r="8945" spans="1:1" ht="12.75">
      <c r="A8945" s="2" t="s">
        <v>364</v>
      </c>
    </row>
    <row r="8946" spans="1:1" ht="12.75">
      <c r="A8946" s="2" t="s">
        <v>209</v>
      </c>
    </row>
    <row r="8947" spans="1:1" ht="12.75">
      <c r="A8947" s="2" t="s">
        <v>210</v>
      </c>
    </row>
    <row r="8948" spans="1:1" ht="12.75">
      <c r="A8948" s="2" t="s">
        <v>209</v>
      </c>
    </row>
    <row r="8949" spans="1:1" ht="12.75">
      <c r="A8949" s="2" t="s">
        <v>209</v>
      </c>
    </row>
    <row r="8950" spans="1:1" ht="12.75">
      <c r="A8950" s="2" t="s">
        <v>209</v>
      </c>
    </row>
    <row r="8951" spans="1:1" ht="12.75">
      <c r="A8951" s="2" t="s">
        <v>148</v>
      </c>
    </row>
    <row r="8952" spans="1:1" ht="12.75">
      <c r="A8952" s="2" t="s">
        <v>364</v>
      </c>
    </row>
    <row r="8953" spans="1:1" ht="12.75">
      <c r="A8953" s="2" t="s">
        <v>210</v>
      </c>
    </row>
    <row r="8954" spans="1:1" ht="12.75">
      <c r="A8954" s="2" t="s">
        <v>210</v>
      </c>
    </row>
    <row r="8955" spans="1:1" ht="12.75">
      <c r="A8955" s="2" t="s">
        <v>209</v>
      </c>
    </row>
    <row r="8956" spans="1:1" ht="12.75">
      <c r="A8956" s="2" t="s">
        <v>209</v>
      </c>
    </row>
    <row r="8957" spans="1:1" ht="12.75">
      <c r="A8957" s="2" t="s">
        <v>210</v>
      </c>
    </row>
    <row r="8958" spans="1:1" ht="12.75">
      <c r="A8958" s="2" t="s">
        <v>210</v>
      </c>
    </row>
    <row r="8959" spans="1:1" ht="12.75">
      <c r="A8959" s="2" t="s">
        <v>210</v>
      </c>
    </row>
    <row r="8960" spans="1:1" ht="12.75">
      <c r="A8960" s="2" t="s">
        <v>210</v>
      </c>
    </row>
    <row r="8961" spans="1:1" ht="12.75">
      <c r="A8961" s="2" t="s">
        <v>148</v>
      </c>
    </row>
    <row r="8962" spans="1:1" ht="12.75">
      <c r="A8962" s="2" t="s">
        <v>148</v>
      </c>
    </row>
    <row r="8963" spans="1:1" ht="12.75">
      <c r="A8963" s="2" t="s">
        <v>212</v>
      </c>
    </row>
    <row r="8964" spans="1:1" ht="12.75">
      <c r="A8964" s="2" t="s">
        <v>212</v>
      </c>
    </row>
    <row r="8965" spans="1:1" ht="12.75">
      <c r="A8965" s="2" t="s">
        <v>212</v>
      </c>
    </row>
    <row r="8966" spans="1:1" ht="12.75">
      <c r="A8966" s="2" t="s">
        <v>212</v>
      </c>
    </row>
    <row r="8967" spans="1:1" ht="12.75">
      <c r="A8967" s="2" t="s">
        <v>366</v>
      </c>
    </row>
    <row r="8968" spans="1:1" ht="12.75">
      <c r="A8968" s="2" t="s">
        <v>366</v>
      </c>
    </row>
    <row r="8969" spans="1:1" ht="12.75">
      <c r="A8969" s="2" t="s">
        <v>364</v>
      </c>
    </row>
    <row r="8970" spans="1:1" ht="12.75">
      <c r="A8970" s="2" t="s">
        <v>148</v>
      </c>
    </row>
    <row r="8971" spans="1:1" ht="12.75">
      <c r="A8971" s="2" t="s">
        <v>209</v>
      </c>
    </row>
    <row r="8972" spans="1:1" ht="12.75">
      <c r="A8972" s="2" t="s">
        <v>209</v>
      </c>
    </row>
    <row r="8973" spans="1:1" ht="12.75">
      <c r="A8973" s="2" t="s">
        <v>209</v>
      </c>
    </row>
    <row r="8974" spans="1:1" ht="12.75">
      <c r="A8974" s="2" t="s">
        <v>209</v>
      </c>
    </row>
    <row r="8975" spans="1:1" ht="12.75">
      <c r="A8975" s="2" t="s">
        <v>486</v>
      </c>
    </row>
    <row r="8976" spans="1:1" ht="12.75">
      <c r="A8976" s="2" t="s">
        <v>486</v>
      </c>
    </row>
    <row r="8977" spans="1:1" ht="12.75">
      <c r="A8977" s="2" t="s">
        <v>212</v>
      </c>
    </row>
    <row r="8978" spans="1:1" ht="12.75">
      <c r="A8978" s="2" t="s">
        <v>212</v>
      </c>
    </row>
    <row r="8979" spans="1:1" ht="12.75">
      <c r="A8979" s="2" t="s">
        <v>212</v>
      </c>
    </row>
    <row r="8980" spans="1:1" ht="12.75">
      <c r="A8980" s="2" t="s">
        <v>366</v>
      </c>
    </row>
    <row r="8981" spans="1:1" ht="12.75">
      <c r="A8981" s="2" t="s">
        <v>210</v>
      </c>
    </row>
    <row r="8982" spans="1:1" ht="12.75">
      <c r="A8982" s="2" t="s">
        <v>486</v>
      </c>
    </row>
    <row r="8986" spans="1:1" ht="12.75">
      <c r="A8986" s="2" t="s">
        <v>563</v>
      </c>
    </row>
    <row r="8987" spans="1:1" ht="12.75">
      <c r="A8987" s="2" t="s">
        <v>308</v>
      </c>
    </row>
    <row r="8988" spans="1:1" ht="12.75">
      <c r="A8988" s="2" t="s">
        <v>308</v>
      </c>
    </row>
    <row r="8989" spans="1:1" ht="12.75">
      <c r="A8989" s="2" t="s">
        <v>308</v>
      </c>
    </row>
    <row r="8990" spans="1:1" ht="12.75">
      <c r="A8990" s="2" t="s">
        <v>308</v>
      </c>
    </row>
    <row r="8991" spans="1:1" ht="12.75">
      <c r="A8991" s="2" t="s">
        <v>308</v>
      </c>
    </row>
    <row r="8992" spans="1:1" ht="12.75">
      <c r="A8992" s="2" t="s">
        <v>308</v>
      </c>
    </row>
    <row r="8993" spans="1:1" ht="12.75">
      <c r="A8993" s="2" t="s">
        <v>308</v>
      </c>
    </row>
    <row r="8994" spans="1:1" ht="12.75">
      <c r="A8994" s="2" t="s">
        <v>308</v>
      </c>
    </row>
    <row r="8995" spans="1:1" ht="12.75">
      <c r="A8995" s="2" t="s">
        <v>308</v>
      </c>
    </row>
    <row r="8996" spans="1:1" ht="12.75">
      <c r="A8996" s="2" t="s">
        <v>308</v>
      </c>
    </row>
    <row r="8997" spans="1:1" ht="12.75">
      <c r="A8997" s="2" t="s">
        <v>344</v>
      </c>
    </row>
    <row r="9000" spans="1:1" ht="12.75">
      <c r="A9000" s="2" t="s">
        <v>344</v>
      </c>
    </row>
    <row r="9001" spans="1:1" ht="12.75">
      <c r="A9001" s="2" t="s">
        <v>564</v>
      </c>
    </row>
    <row r="9002" spans="1:1" ht="12.75">
      <c r="A9002" s="2" t="s">
        <v>565</v>
      </c>
    </row>
    <row r="9003" spans="1:1" ht="12.75">
      <c r="A9003" s="2" t="s">
        <v>565</v>
      </c>
    </row>
    <row r="9004" spans="1:1" ht="12.75">
      <c r="A9004" s="2" t="s">
        <v>565</v>
      </c>
    </row>
    <row r="9005" spans="1:1" ht="12.75">
      <c r="A9005" s="2" t="s">
        <v>565</v>
      </c>
    </row>
    <row r="9006" spans="1:1" ht="12.75">
      <c r="A9006" s="2" t="s">
        <v>565</v>
      </c>
    </row>
    <row r="9037" spans="1:1" ht="12.75">
      <c r="A9037" s="2" t="s">
        <v>566</v>
      </c>
    </row>
    <row r="9038" spans="1:1" ht="12.75">
      <c r="A9038" s="2" t="s">
        <v>566</v>
      </c>
    </row>
    <row r="9039" spans="1:1" ht="12.75">
      <c r="A9039" s="2" t="s">
        <v>566</v>
      </c>
    </row>
    <row r="9040" spans="1:1" ht="12.75">
      <c r="A9040" s="2" t="s">
        <v>566</v>
      </c>
    </row>
    <row r="9041" spans="1:1" ht="12.75">
      <c r="A9041" s="2" t="s">
        <v>566</v>
      </c>
    </row>
    <row r="9042" spans="1:1" ht="12.75">
      <c r="A9042" s="2" t="s">
        <v>566</v>
      </c>
    </row>
    <row r="9043" spans="1:1" ht="12.75">
      <c r="A9043" s="2" t="s">
        <v>566</v>
      </c>
    </row>
    <row r="9044" spans="1:1" ht="12.75">
      <c r="A9044" s="2" t="s">
        <v>566</v>
      </c>
    </row>
    <row r="9045" spans="1:1" ht="12.75">
      <c r="A9045" s="2" t="s">
        <v>566</v>
      </c>
    </row>
    <row r="9046" spans="1:1" ht="12.75">
      <c r="A9046" s="2" t="s">
        <v>566</v>
      </c>
    </row>
    <row r="9064" spans="1:1" ht="12.75">
      <c r="A9064" s="2" t="s">
        <v>567</v>
      </c>
    </row>
    <row r="9065" spans="1:1" ht="12.75">
      <c r="A9065" s="2" t="s">
        <v>567</v>
      </c>
    </row>
    <row r="9066" spans="1:1" ht="12.75">
      <c r="A9066" s="2" t="s">
        <v>567</v>
      </c>
    </row>
    <row r="9071" spans="1:1" ht="12.75">
      <c r="A9071" s="2" t="s">
        <v>567</v>
      </c>
    </row>
    <row r="9072" spans="1:1" ht="12.75">
      <c r="A9072" s="2" t="s">
        <v>567</v>
      </c>
    </row>
    <row r="9074" spans="1:1" ht="12.75">
      <c r="A9074" s="2" t="s">
        <v>567</v>
      </c>
    </row>
    <row r="9075" spans="1:1" ht="12.75">
      <c r="A9075" s="2" t="s">
        <v>567</v>
      </c>
    </row>
    <row r="9076" spans="1:1" ht="12.75">
      <c r="A9076" s="2" t="s">
        <v>567</v>
      </c>
    </row>
    <row r="9077" spans="1:1" ht="12.75">
      <c r="A9077" s="2" t="s">
        <v>567</v>
      </c>
    </row>
    <row r="9078" spans="1:1" ht="12.75">
      <c r="A9078" s="2" t="s">
        <v>567</v>
      </c>
    </row>
    <row r="9079" spans="1:1" ht="12.75">
      <c r="A9079" s="2" t="s">
        <v>568</v>
      </c>
    </row>
    <row r="9080" spans="1:1" ht="12.75">
      <c r="A9080" s="2" t="s">
        <v>540</v>
      </c>
    </row>
    <row r="9081" spans="1:1" ht="12.75">
      <c r="A9081" s="2" t="s">
        <v>154</v>
      </c>
    </row>
    <row r="9088" spans="1:1" ht="12.75">
      <c r="A9088" s="2" t="s">
        <v>569</v>
      </c>
    </row>
    <row r="9091" spans="1:1" ht="12.75">
      <c r="A9091" s="2" t="s">
        <v>188</v>
      </c>
    </row>
    <row r="9092" spans="1:1" ht="12.75">
      <c r="A9092" s="2" t="s">
        <v>188</v>
      </c>
    </row>
    <row r="9093" spans="1:1" ht="12.75">
      <c r="A9093" s="2" t="s">
        <v>188</v>
      </c>
    </row>
    <row r="9094" spans="1:1" ht="12.75">
      <c r="A9094" s="2" t="s">
        <v>188</v>
      </c>
    </row>
    <row r="9095" spans="1:1" ht="12.75">
      <c r="A9095" s="2" t="s">
        <v>188</v>
      </c>
    </row>
    <row r="9096" spans="1:1" ht="12.75">
      <c r="A9096" s="2" t="s">
        <v>251</v>
      </c>
    </row>
    <row r="9097" spans="1:1" ht="12.75">
      <c r="A9097" s="2" t="s">
        <v>251</v>
      </c>
    </row>
    <row r="9098" spans="1:1" ht="12.75">
      <c r="A9098" s="2" t="s">
        <v>251</v>
      </c>
    </row>
    <row r="9099" spans="1:1" ht="12.75">
      <c r="A9099" s="2" t="s">
        <v>251</v>
      </c>
    </row>
    <row r="9100" spans="1:1" ht="12.75">
      <c r="A9100" s="2" t="s">
        <v>570</v>
      </c>
    </row>
    <row r="9101" spans="1:1" ht="12.75">
      <c r="A9101" s="2" t="s">
        <v>570</v>
      </c>
    </row>
    <row r="9102" spans="1:1" ht="12.75">
      <c r="A9102" s="2" t="s">
        <v>570</v>
      </c>
    </row>
    <row r="9103" spans="1:1" ht="12.75">
      <c r="A9103" s="2" t="s">
        <v>251</v>
      </c>
    </row>
    <row r="9104" spans="1:1" ht="12.75">
      <c r="A9104" s="2" t="s">
        <v>251</v>
      </c>
    </row>
    <row r="9105" spans="1:1" ht="12.75">
      <c r="A9105" s="2" t="s">
        <v>251</v>
      </c>
    </row>
    <row r="9106" spans="1:1" ht="12.75">
      <c r="A9106" s="2" t="s">
        <v>251</v>
      </c>
    </row>
    <row r="9107" spans="1:1" ht="12.75">
      <c r="A9107" s="2" t="s">
        <v>173</v>
      </c>
    </row>
    <row r="9108" spans="1:1" ht="12.75">
      <c r="A9108" s="2" t="s">
        <v>251</v>
      </c>
    </row>
    <row r="9109" spans="1:1" ht="12.75">
      <c r="A9109" s="2" t="s">
        <v>251</v>
      </c>
    </row>
    <row r="9114" spans="1:1" ht="12.75">
      <c r="A9114" s="2" t="s">
        <v>321</v>
      </c>
    </row>
    <row r="9115" spans="1:1" ht="12.75">
      <c r="A9115" s="2" t="s">
        <v>321</v>
      </c>
    </row>
    <row r="9116" spans="1:1" ht="12.75">
      <c r="A9116" s="2" t="s">
        <v>321</v>
      </c>
    </row>
    <row r="9117" spans="1:1" ht="12.75">
      <c r="A9117" s="2" t="s">
        <v>321</v>
      </c>
    </row>
    <row r="9118" spans="1:1" ht="12.75">
      <c r="A9118" s="2" t="s">
        <v>321</v>
      </c>
    </row>
    <row r="9119" spans="1:1" ht="12.75">
      <c r="A9119" s="2" t="s">
        <v>321</v>
      </c>
    </row>
    <row r="9120" spans="1:1" ht="12.75">
      <c r="A9120" s="2" t="s">
        <v>321</v>
      </c>
    </row>
    <row r="9121" spans="1:1" ht="12.75">
      <c r="A9121" s="2" t="s">
        <v>321</v>
      </c>
    </row>
    <row r="9122" spans="1:1" ht="12.75">
      <c r="A9122" s="2" t="s">
        <v>321</v>
      </c>
    </row>
    <row r="9123" spans="1:1" ht="12.75">
      <c r="A9123" s="2" t="s">
        <v>321</v>
      </c>
    </row>
    <row r="9124" spans="1:1" ht="12.75">
      <c r="A9124" s="2" t="s">
        <v>321</v>
      </c>
    </row>
    <row r="9125" spans="1:1" ht="12.75">
      <c r="A9125" s="2" t="s">
        <v>321</v>
      </c>
    </row>
    <row r="9126" spans="1:1" ht="12.75">
      <c r="A9126" s="2" t="s">
        <v>321</v>
      </c>
    </row>
    <row r="9127" spans="1:1" ht="12.75">
      <c r="A9127" s="2" t="s">
        <v>321</v>
      </c>
    </row>
    <row r="9128" spans="1:1" ht="12.75">
      <c r="A9128" s="2" t="s">
        <v>321</v>
      </c>
    </row>
    <row r="9129" spans="1:1" ht="12.75">
      <c r="A9129" s="2" t="s">
        <v>321</v>
      </c>
    </row>
    <row r="9130" spans="1:1" ht="12.75">
      <c r="A9130" s="2" t="s">
        <v>321</v>
      </c>
    </row>
    <row r="9131" spans="1:1" ht="12.75">
      <c r="A9131" s="2" t="s">
        <v>321</v>
      </c>
    </row>
    <row r="9132" spans="1:1" ht="12.75">
      <c r="A9132" s="2" t="s">
        <v>321</v>
      </c>
    </row>
    <row r="9133" spans="1:1" ht="12.75">
      <c r="A9133" s="2" t="s">
        <v>321</v>
      </c>
    </row>
    <row r="9154" spans="1:1" ht="12.75">
      <c r="A9154" s="2" t="s">
        <v>332</v>
      </c>
    </row>
    <row r="9155" spans="1:1" ht="12.75">
      <c r="A9155" s="2" t="s">
        <v>332</v>
      </c>
    </row>
    <row r="9156" spans="1:1" ht="12.75">
      <c r="A9156" s="2" t="s">
        <v>332</v>
      </c>
    </row>
    <row r="9157" spans="1:1" ht="12.75">
      <c r="A9157" s="2" t="s">
        <v>332</v>
      </c>
    </row>
    <row r="9158" spans="1:1" ht="12.75">
      <c r="A9158" s="2" t="s">
        <v>332</v>
      </c>
    </row>
    <row r="9159" spans="1:1" ht="12.75">
      <c r="A9159" s="2" t="s">
        <v>332</v>
      </c>
    </row>
    <row r="9160" spans="1:1" ht="12.75">
      <c r="A9160" s="2" t="s">
        <v>332</v>
      </c>
    </row>
    <row r="9161" spans="1:1" ht="12.75">
      <c r="A9161" s="2" t="s">
        <v>332</v>
      </c>
    </row>
    <row r="9162" spans="1:1" ht="12.75">
      <c r="A9162" s="2" t="s">
        <v>332</v>
      </c>
    </row>
    <row r="9163" spans="1:1" ht="12.75">
      <c r="A9163" s="2" t="s">
        <v>332</v>
      </c>
    </row>
    <row r="9164" spans="1:1" ht="12.75">
      <c r="A9164" s="2" t="s">
        <v>332</v>
      </c>
    </row>
    <row r="9165" spans="1:1" ht="12.75">
      <c r="A9165" s="2" t="s">
        <v>332</v>
      </c>
    </row>
    <row r="9166" spans="1:1" ht="12.75">
      <c r="A9166" s="2" t="s">
        <v>332</v>
      </c>
    </row>
    <row r="9167" spans="1:1" ht="12.75">
      <c r="A9167" s="2" t="s">
        <v>332</v>
      </c>
    </row>
    <row r="9168" spans="1:1" ht="12.75">
      <c r="A9168" s="2" t="s">
        <v>332</v>
      </c>
    </row>
    <row r="9169" spans="1:1" ht="12.75">
      <c r="A9169" s="2" t="s">
        <v>332</v>
      </c>
    </row>
    <row r="9170" spans="1:1" ht="12.75">
      <c r="A9170" s="2" t="s">
        <v>332</v>
      </c>
    </row>
    <row r="9171" spans="1:1" ht="12.75">
      <c r="A9171" s="2" t="s">
        <v>332</v>
      </c>
    </row>
    <row r="9172" spans="1:1" ht="12.75">
      <c r="A9172" s="2" t="s">
        <v>332</v>
      </c>
    </row>
    <row r="9173" spans="1:1" ht="12.75">
      <c r="A9173" s="2" t="s">
        <v>332</v>
      </c>
    </row>
    <row r="9185" spans="1:1" ht="12.75">
      <c r="A9185" s="2" t="s">
        <v>571</v>
      </c>
    </row>
    <row r="9186" spans="1:1" ht="12.75">
      <c r="A9186" s="2" t="s">
        <v>571</v>
      </c>
    </row>
    <row r="9187" spans="1:1" ht="12.75">
      <c r="A9187" s="2" t="s">
        <v>174</v>
      </c>
    </row>
    <row r="9188" spans="1:1" ht="12.75">
      <c r="A9188" s="2" t="s">
        <v>162</v>
      </c>
    </row>
    <row r="9189" spans="1:1" ht="12.75">
      <c r="A9189" s="2" t="s">
        <v>184</v>
      </c>
    </row>
    <row r="9190" spans="1:1" ht="12.75">
      <c r="A9190" s="2" t="s">
        <v>174</v>
      </c>
    </row>
    <row r="9191" spans="1:1" ht="12.75">
      <c r="A9191" s="2" t="s">
        <v>184</v>
      </c>
    </row>
    <row r="9192" spans="1:1" ht="12.75">
      <c r="A9192" s="2" t="s">
        <v>175</v>
      </c>
    </row>
    <row r="9193" spans="1:1" ht="12.75">
      <c r="A9193" s="2" t="s">
        <v>162</v>
      </c>
    </row>
    <row r="9194" spans="1:1" ht="12.75">
      <c r="A9194" s="2" t="s">
        <v>162</v>
      </c>
    </row>
    <row r="9195" spans="1:1" ht="12.75">
      <c r="A9195" s="2" t="s">
        <v>169</v>
      </c>
    </row>
    <row r="9196" spans="1:1" ht="12.75">
      <c r="A9196" s="2" t="s">
        <v>178</v>
      </c>
    </row>
    <row r="9197" spans="1:1" ht="12.75">
      <c r="A9197" s="2" t="s">
        <v>175</v>
      </c>
    </row>
    <row r="9198" spans="1:1" ht="12.75">
      <c r="A9198" s="2" t="s">
        <v>196</v>
      </c>
    </row>
    <row r="9199" spans="1:1" ht="12.75">
      <c r="A9199" s="2" t="s">
        <v>160</v>
      </c>
    </row>
    <row r="9200" spans="1:1" ht="12.75">
      <c r="A9200" s="2" t="s">
        <v>160</v>
      </c>
    </row>
    <row r="9201" spans="1:1" ht="12.75">
      <c r="A9201" s="2" t="s">
        <v>225</v>
      </c>
    </row>
    <row r="9202" spans="1:1" ht="12.75">
      <c r="A9202" s="2" t="s">
        <v>160</v>
      </c>
    </row>
    <row r="9203" spans="1:1" ht="12.75">
      <c r="A9203" s="2" t="s">
        <v>167</v>
      </c>
    </row>
    <row r="9204" spans="1:1" ht="12.75">
      <c r="A9204" s="2" t="s">
        <v>174</v>
      </c>
    </row>
    <row r="9205" spans="1:1" ht="12.75">
      <c r="A9205" s="2" t="s">
        <v>167</v>
      </c>
    </row>
    <row r="9206" spans="1:1" ht="12.75">
      <c r="A9206" s="2" t="s">
        <v>572</v>
      </c>
    </row>
    <row r="9207" spans="1:1" ht="12.75">
      <c r="A9207" s="2" t="s">
        <v>167</v>
      </c>
    </row>
    <row r="9208" spans="1:1" ht="12.75">
      <c r="A9208" s="2" t="s">
        <v>169</v>
      </c>
    </row>
    <row r="9209" spans="1:1" ht="12.75">
      <c r="A9209" s="2" t="s">
        <v>162</v>
      </c>
    </row>
    <row r="9210" spans="1:1" ht="12.75">
      <c r="A9210" s="2" t="s">
        <v>175</v>
      </c>
    </row>
    <row r="9211" spans="1:1" ht="12.75">
      <c r="A9211" s="2" t="s">
        <v>162</v>
      </c>
    </row>
    <row r="9212" spans="1:1" ht="12.75">
      <c r="A9212" s="2" t="s">
        <v>162</v>
      </c>
    </row>
    <row r="9213" spans="1:1" ht="12.75">
      <c r="A9213" s="2" t="s">
        <v>169</v>
      </c>
    </row>
    <row r="9214" spans="1:1" ht="12.75">
      <c r="A9214" s="2" t="s">
        <v>160</v>
      </c>
    </row>
    <row r="9215" spans="1:1" ht="12.75">
      <c r="A9215" s="2" t="s">
        <v>175</v>
      </c>
    </row>
    <row r="9217" spans="1:1" ht="12.75">
      <c r="A9217" s="2" t="s">
        <v>160</v>
      </c>
    </row>
    <row r="9219" spans="1:1" ht="12.75">
      <c r="A9219" s="2" t="s">
        <v>160</v>
      </c>
    </row>
    <row r="9220" spans="1:1" ht="12.75">
      <c r="A9220" s="2" t="s">
        <v>174</v>
      </c>
    </row>
    <row r="9222" spans="1:1" ht="12.75">
      <c r="A9222" s="2" t="s">
        <v>174</v>
      </c>
    </row>
    <row r="9223" spans="1:1" ht="12.75">
      <c r="A9223" s="2" t="s">
        <v>169</v>
      </c>
    </row>
    <row r="9224" spans="1:1" ht="12.75">
      <c r="A9224" s="2" t="s">
        <v>174</v>
      </c>
    </row>
    <row r="9225" spans="1:1" ht="12.75">
      <c r="A9225" s="2" t="s">
        <v>193</v>
      </c>
    </row>
    <row r="9226" spans="1:1" ht="12.75">
      <c r="A9226" s="2" t="s">
        <v>193</v>
      </c>
    </row>
    <row r="9227" spans="1:1" ht="12.75">
      <c r="A9227" s="2" t="s">
        <v>169</v>
      </c>
    </row>
    <row r="9228" spans="1:1" ht="12.75">
      <c r="A9228" s="2" t="s">
        <v>193</v>
      </c>
    </row>
    <row r="9229" spans="1:1" ht="12.75">
      <c r="A9229" s="2" t="s">
        <v>184</v>
      </c>
    </row>
    <row r="9231" spans="1:1" ht="12.75">
      <c r="A9231" s="2" t="s">
        <v>184</v>
      </c>
    </row>
    <row r="9232" spans="1:1" ht="12.75">
      <c r="A9232" s="2" t="s">
        <v>169</v>
      </c>
    </row>
    <row r="9233" spans="1:1" ht="12.75">
      <c r="A9233" s="2" t="s">
        <v>184</v>
      </c>
    </row>
    <row r="9234" spans="1:1" ht="12.75">
      <c r="A9234" s="2" t="s">
        <v>174</v>
      </c>
    </row>
    <row r="9235" spans="1:1" ht="12.75">
      <c r="A9235" s="2" t="s">
        <v>162</v>
      </c>
    </row>
    <row r="9236" spans="1:1" ht="12.75">
      <c r="A9236" s="2" t="s">
        <v>160</v>
      </c>
    </row>
    <row r="9237" spans="1:1" ht="12.75">
      <c r="A9237" s="2" t="s">
        <v>170</v>
      </c>
    </row>
    <row r="9238" spans="1:1" ht="12.75">
      <c r="A9238" s="2" t="s">
        <v>170</v>
      </c>
    </row>
    <row r="9239" spans="1:1" ht="12.75">
      <c r="A9239" s="2" t="s">
        <v>162</v>
      </c>
    </row>
    <row r="9240" spans="1:1" ht="12.75">
      <c r="A9240" s="2" t="s">
        <v>184</v>
      </c>
    </row>
    <row r="9241" spans="1:1" ht="12.75">
      <c r="A9241" s="2" t="s">
        <v>162</v>
      </c>
    </row>
    <row r="9242" spans="1:1" ht="12.75">
      <c r="A9242" s="2" t="s">
        <v>184</v>
      </c>
    </row>
    <row r="9243" spans="1:1" ht="12.75">
      <c r="A9243" s="2" t="s">
        <v>175</v>
      </c>
    </row>
    <row r="9244" spans="1:1" ht="12.75">
      <c r="A9244" s="2" t="s">
        <v>162</v>
      </c>
    </row>
    <row r="9245" spans="1:1" ht="12.75">
      <c r="A9245" s="2" t="s">
        <v>169</v>
      </c>
    </row>
    <row r="9246" spans="1:1" ht="12.75">
      <c r="A9246" s="2" t="s">
        <v>167</v>
      </c>
    </row>
    <row r="9247" spans="1:1" ht="12.75">
      <c r="A9247" s="2" t="s">
        <v>184</v>
      </c>
    </row>
    <row r="9248" spans="1:1" ht="12.75">
      <c r="A9248" s="2" t="s">
        <v>167</v>
      </c>
    </row>
    <row r="9249" spans="1:1" ht="12.75">
      <c r="A9249" s="2" t="s">
        <v>193</v>
      </c>
    </row>
    <row r="9250" spans="1:1" ht="12.75">
      <c r="A9250" s="2" t="s">
        <v>169</v>
      </c>
    </row>
    <row r="9251" spans="1:1" ht="12.75">
      <c r="A9251" s="2" t="s">
        <v>193</v>
      </c>
    </row>
    <row r="9252" spans="1:1" ht="12.75">
      <c r="A9252" s="2" t="s">
        <v>177</v>
      </c>
    </row>
    <row r="9253" spans="1:1" ht="12.75">
      <c r="A9253" s="2" t="s">
        <v>167</v>
      </c>
    </row>
    <row r="9254" spans="1:1" ht="12.75">
      <c r="A9254" s="2" t="s">
        <v>193</v>
      </c>
    </row>
    <row r="9255" spans="1:1" ht="12.75">
      <c r="A9255" s="2" t="s">
        <v>160</v>
      </c>
    </row>
    <row r="9256" spans="1:1" ht="12.75">
      <c r="A9256" s="2" t="s">
        <v>167</v>
      </c>
    </row>
    <row r="9257" spans="1:1" ht="12.75">
      <c r="A9257" s="2" t="s">
        <v>178</v>
      </c>
    </row>
    <row r="9258" spans="1:1" ht="12.75">
      <c r="A9258" s="2" t="s">
        <v>160</v>
      </c>
    </row>
    <row r="9259" spans="1:1" ht="12.75">
      <c r="A9259" s="2" t="s">
        <v>167</v>
      </c>
    </row>
    <row r="9260" spans="1:1" ht="12.75">
      <c r="A9260" s="2" t="s">
        <v>162</v>
      </c>
    </row>
    <row r="9261" spans="1:1" ht="12.75">
      <c r="A9261" s="2" t="s">
        <v>167</v>
      </c>
    </row>
    <row r="9262" spans="1:1" ht="12.75">
      <c r="A9262" s="2" t="s">
        <v>162</v>
      </c>
    </row>
    <row r="9263" spans="1:1" ht="12.75">
      <c r="A9263" s="2" t="s">
        <v>175</v>
      </c>
    </row>
    <row r="9264" spans="1:1" ht="12.75">
      <c r="A9264" s="2" t="s">
        <v>178</v>
      </c>
    </row>
    <row r="9265" spans="1:1" ht="12.75">
      <c r="A9265" s="2" t="s">
        <v>162</v>
      </c>
    </row>
    <row r="9266" spans="1:1" ht="12.75">
      <c r="A9266" s="2" t="s">
        <v>175</v>
      </c>
    </row>
    <row r="9267" spans="1:1" ht="12.75">
      <c r="A9267" s="2" t="s">
        <v>175</v>
      </c>
    </row>
    <row r="9268" spans="1:1" ht="12.75">
      <c r="A9268" s="2" t="s">
        <v>164</v>
      </c>
    </row>
    <row r="9269" spans="1:1" ht="12.75">
      <c r="A9269" s="2" t="s">
        <v>169</v>
      </c>
    </row>
    <row r="9270" spans="1:1" ht="12.75">
      <c r="A9270" s="2" t="s">
        <v>164</v>
      </c>
    </row>
    <row r="9271" spans="1:1" ht="12.75">
      <c r="A9271" s="2" t="s">
        <v>175</v>
      </c>
    </row>
    <row r="9272" spans="1:1" ht="12.75">
      <c r="A9272" s="2" t="s">
        <v>162</v>
      </c>
    </row>
    <row r="9273" spans="1:1" ht="12.75">
      <c r="A9273" s="2" t="s">
        <v>175</v>
      </c>
    </row>
    <row r="9274" spans="1:1" ht="12.75">
      <c r="A9274" s="2" t="s">
        <v>162</v>
      </c>
    </row>
    <row r="9275" spans="1:1" ht="12.75">
      <c r="A9275" s="2" t="s">
        <v>178</v>
      </c>
    </row>
    <row r="9276" spans="1:1" ht="12.75">
      <c r="A9276" s="2" t="s">
        <v>174</v>
      </c>
    </row>
    <row r="9277" spans="1:1" ht="12.75">
      <c r="A9277" s="2" t="s">
        <v>162</v>
      </c>
    </row>
    <row r="9278" spans="1:1" ht="12.75">
      <c r="A9278" s="2" t="s">
        <v>573</v>
      </c>
    </row>
    <row r="9279" spans="1:1" ht="12.75">
      <c r="A9279" s="2" t="s">
        <v>167</v>
      </c>
    </row>
    <row r="9280" spans="1:1" ht="12.75">
      <c r="A9280" s="2" t="s">
        <v>160</v>
      </c>
    </row>
    <row r="9281" spans="1:1" ht="12.75">
      <c r="A9281" s="2" t="s">
        <v>167</v>
      </c>
    </row>
    <row r="9282" spans="1:1" ht="12.75">
      <c r="A9282" s="2" t="s">
        <v>167</v>
      </c>
    </row>
    <row r="9283" spans="1:1" ht="12.75">
      <c r="A9283" s="2" t="s">
        <v>184</v>
      </c>
    </row>
    <row r="9284" spans="1:1" ht="12.75">
      <c r="A9284" s="2" t="s">
        <v>184</v>
      </c>
    </row>
    <row r="9285" spans="1:1" ht="12.75">
      <c r="A9285" s="2" t="s">
        <v>184</v>
      </c>
    </row>
    <row r="9286" spans="1:1" ht="12.75">
      <c r="A9286" s="2" t="s">
        <v>184</v>
      </c>
    </row>
    <row r="9287" spans="1:1" ht="12.75">
      <c r="A9287" s="2" t="s">
        <v>178</v>
      </c>
    </row>
    <row r="9288" spans="1:1" ht="12.75">
      <c r="A9288" s="2" t="s">
        <v>160</v>
      </c>
    </row>
    <row r="9289" spans="1:1" ht="12.75">
      <c r="A9289" s="2" t="s">
        <v>178</v>
      </c>
    </row>
    <row r="9290" spans="1:1" ht="12.75">
      <c r="A9290" s="2" t="s">
        <v>160</v>
      </c>
    </row>
    <row r="9291" spans="1:1" ht="12.75">
      <c r="A9291" s="2" t="s">
        <v>162</v>
      </c>
    </row>
    <row r="9292" spans="1:1" ht="12.75">
      <c r="A9292" s="2" t="s">
        <v>175</v>
      </c>
    </row>
    <row r="9293" spans="1:1" ht="12.75">
      <c r="A9293" s="2" t="s">
        <v>167</v>
      </c>
    </row>
    <row r="9294" spans="1:1" ht="12.75">
      <c r="A9294" s="2" t="s">
        <v>162</v>
      </c>
    </row>
    <row r="9295" spans="1:1" ht="12.75">
      <c r="A9295" s="2" t="s">
        <v>167</v>
      </c>
    </row>
    <row r="9296" spans="1:1" ht="12.75">
      <c r="A9296" s="2" t="s">
        <v>162</v>
      </c>
    </row>
    <row r="9297" spans="1:1" ht="12.75">
      <c r="A9297" s="2" t="s">
        <v>174</v>
      </c>
    </row>
    <row r="9298" spans="1:1" ht="12.75">
      <c r="A9298" s="2" t="s">
        <v>184</v>
      </c>
    </row>
    <row r="9299" spans="1:1" ht="12.75">
      <c r="A9299" s="2" t="s">
        <v>174</v>
      </c>
    </row>
    <row r="9300" spans="1:1" ht="12.75">
      <c r="A9300" s="2" t="s">
        <v>184</v>
      </c>
    </row>
    <row r="9301" spans="1:1" ht="12.75">
      <c r="A9301" s="2" t="s">
        <v>175</v>
      </c>
    </row>
    <row r="9302" spans="1:1" ht="12.75">
      <c r="A9302" s="2" t="s">
        <v>184</v>
      </c>
    </row>
    <row r="9303" spans="1:1" ht="12.75">
      <c r="A9303" s="2" t="s">
        <v>170</v>
      </c>
    </row>
    <row r="9304" spans="1:1" ht="12.75">
      <c r="A9304" s="2" t="s">
        <v>177</v>
      </c>
    </row>
    <row r="9306" spans="1:1" ht="12.75">
      <c r="A9306" s="2" t="s">
        <v>177</v>
      </c>
    </row>
    <row r="9307" spans="1:1" ht="12.75">
      <c r="A9307" s="2" t="s">
        <v>170</v>
      </c>
    </row>
    <row r="9308" spans="1:1" ht="12.75">
      <c r="A9308" s="2" t="s">
        <v>177</v>
      </c>
    </row>
    <row r="9309" spans="1:1" ht="12.75">
      <c r="A9309" s="2" t="s">
        <v>167</v>
      </c>
    </row>
    <row r="9310" spans="1:1" ht="12.75">
      <c r="A9310" s="2" t="s">
        <v>179</v>
      </c>
    </row>
    <row r="9311" spans="1:1" ht="12.75">
      <c r="A9311" s="2" t="s">
        <v>170</v>
      </c>
    </row>
    <row r="9312" spans="1:1" ht="12.75">
      <c r="A9312" s="2" t="s">
        <v>177</v>
      </c>
    </row>
    <row r="9313" spans="1:1" ht="12.75">
      <c r="A9313" s="2" t="s">
        <v>177</v>
      </c>
    </row>
    <row r="9314" spans="1:1" ht="12.75">
      <c r="A9314" s="2" t="s">
        <v>175</v>
      </c>
    </row>
    <row r="9315" spans="1:1" ht="12.75">
      <c r="A9315" s="2" t="s">
        <v>196</v>
      </c>
    </row>
    <row r="9316" spans="1:1" ht="12.75">
      <c r="A9316" s="2" t="s">
        <v>170</v>
      </c>
    </row>
    <row r="9317" spans="1:1" ht="12.75">
      <c r="A9317" s="2" t="s">
        <v>221</v>
      </c>
    </row>
    <row r="9318" spans="1:1" ht="12.75">
      <c r="A9318" s="2" t="s">
        <v>184</v>
      </c>
    </row>
    <row r="9319" spans="1:1" ht="12.75">
      <c r="A9319" s="2" t="s">
        <v>221</v>
      </c>
    </row>
    <row r="9320" spans="1:1" ht="12.75">
      <c r="A9320" s="2" t="s">
        <v>178</v>
      </c>
    </row>
    <row r="9321" spans="1:1" ht="12.75">
      <c r="A9321" s="2" t="s">
        <v>177</v>
      </c>
    </row>
    <row r="9322" spans="1:1" ht="12.75">
      <c r="A9322" s="2" t="s">
        <v>178</v>
      </c>
    </row>
    <row r="9324" spans="1:1" ht="12.75">
      <c r="A9324" s="2" t="s">
        <v>162</v>
      </c>
    </row>
    <row r="9325" spans="1:1" ht="12.75">
      <c r="A9325" s="2" t="s">
        <v>184</v>
      </c>
    </row>
    <row r="9326" spans="1:1" ht="12.75">
      <c r="A9326" s="2" t="s">
        <v>162</v>
      </c>
    </row>
    <row r="9327" spans="1:1" ht="12.75">
      <c r="A9327" s="2" t="s">
        <v>184</v>
      </c>
    </row>
    <row r="9328" spans="1:1" ht="12.75">
      <c r="A9328" s="2" t="s">
        <v>170</v>
      </c>
    </row>
    <row r="9329" spans="1:1" ht="12.75">
      <c r="A9329" s="2" t="s">
        <v>179</v>
      </c>
    </row>
    <row r="9330" spans="1:1" ht="12.75">
      <c r="A9330" s="2" t="s">
        <v>167</v>
      </c>
    </row>
    <row r="9331" spans="1:1" ht="12.75">
      <c r="A9331" s="2" t="s">
        <v>179</v>
      </c>
    </row>
    <row r="9332" spans="1:1" ht="12.75">
      <c r="A9332" s="2" t="s">
        <v>167</v>
      </c>
    </row>
    <row r="9333" spans="1:1" ht="12.75">
      <c r="A9333" s="2" t="s">
        <v>162</v>
      </c>
    </row>
    <row r="9334" spans="1:1" ht="12.75">
      <c r="A9334" s="2" t="s">
        <v>179</v>
      </c>
    </row>
    <row r="9335" spans="1:1" ht="12.75">
      <c r="A9335" s="2" t="s">
        <v>184</v>
      </c>
    </row>
    <row r="9336" spans="1:1" ht="12.75">
      <c r="A9336" s="2" t="s">
        <v>193</v>
      </c>
    </row>
    <row r="9337" spans="1:1" ht="12.75">
      <c r="A9337" s="2" t="s">
        <v>196</v>
      </c>
    </row>
    <row r="9338" spans="1:1" ht="12.75">
      <c r="A9338" s="2" t="s">
        <v>174</v>
      </c>
    </row>
    <row r="9339" spans="1:1" ht="12.75">
      <c r="A9339" s="2" t="s">
        <v>196</v>
      </c>
    </row>
    <row r="9340" spans="1:1" ht="12.75">
      <c r="A9340" s="2" t="s">
        <v>196</v>
      </c>
    </row>
    <row r="9341" spans="1:1" ht="12.75">
      <c r="A9341" s="2" t="s">
        <v>171</v>
      </c>
    </row>
    <row r="9343" spans="1:1" ht="12.75">
      <c r="A9343" s="2" t="s">
        <v>175</v>
      </c>
    </row>
    <row r="9344" spans="1:1" ht="12.75">
      <c r="A9344" s="2" t="s">
        <v>167</v>
      </c>
    </row>
    <row r="9345" spans="1:1" ht="12.75">
      <c r="A9345" s="2" t="s">
        <v>194</v>
      </c>
    </row>
    <row r="9346" spans="1:1" ht="12.75">
      <c r="A9346" s="2" t="s">
        <v>175</v>
      </c>
    </row>
    <row r="9347" spans="1:1" ht="12.75">
      <c r="A9347" s="2" t="s">
        <v>167</v>
      </c>
    </row>
    <row r="9348" spans="1:1" ht="12.75">
      <c r="A9348" s="2" t="s">
        <v>160</v>
      </c>
    </row>
    <row r="9349" spans="1:1" ht="12.75">
      <c r="A9349" s="2" t="s">
        <v>167</v>
      </c>
    </row>
    <row r="9350" spans="1:1" ht="12.75">
      <c r="A9350" s="2" t="s">
        <v>160</v>
      </c>
    </row>
    <row r="9351" spans="1:1" ht="12.75">
      <c r="A9351" s="2" t="s">
        <v>167</v>
      </c>
    </row>
    <row r="9352" spans="1:1" ht="12.75">
      <c r="A9352" s="2" t="s">
        <v>167</v>
      </c>
    </row>
    <row r="9353" spans="1:1" ht="12.75">
      <c r="A9353" s="2" t="s">
        <v>160</v>
      </c>
    </row>
    <row r="9354" spans="1:1" ht="12.75">
      <c r="A9354" s="2" t="s">
        <v>167</v>
      </c>
    </row>
    <row r="9355" spans="1:1" ht="12.75">
      <c r="A9355" s="2" t="s">
        <v>179</v>
      </c>
    </row>
    <row r="9356" spans="1:1" ht="12.75">
      <c r="A9356" s="2" t="s">
        <v>162</v>
      </c>
    </row>
    <row r="9357" spans="1:1" ht="12.75">
      <c r="A9357" s="2" t="s">
        <v>179</v>
      </c>
    </row>
    <row r="9358" spans="1:1" ht="12.75">
      <c r="A9358" s="2" t="s">
        <v>179</v>
      </c>
    </row>
    <row r="9359" spans="1:1" ht="12.75">
      <c r="A9359" s="2" t="s">
        <v>162</v>
      </c>
    </row>
    <row r="9360" spans="1:1" ht="12.75">
      <c r="A9360" s="2" t="s">
        <v>175</v>
      </c>
    </row>
    <row r="9361" spans="1:1" ht="12.75">
      <c r="A9361" s="2" t="s">
        <v>162</v>
      </c>
    </row>
    <row r="9362" spans="1:1" ht="12.75">
      <c r="A9362" s="2" t="s">
        <v>175</v>
      </c>
    </row>
    <row r="9363" spans="1:1" ht="12.75">
      <c r="A9363" s="2" t="s">
        <v>221</v>
      </c>
    </row>
    <row r="9364" spans="1:1" ht="12.75">
      <c r="A9364" s="2" t="s">
        <v>167</v>
      </c>
    </row>
    <row r="9365" spans="1:1" ht="12.75">
      <c r="A9365" s="2" t="s">
        <v>175</v>
      </c>
    </row>
    <row r="9366" spans="1:1" ht="12.75">
      <c r="A9366" s="2" t="s">
        <v>162</v>
      </c>
    </row>
    <row r="9367" spans="1:1" ht="12.75">
      <c r="A9367" s="2" t="s">
        <v>175</v>
      </c>
    </row>
    <row r="9368" spans="1:1" ht="12.75">
      <c r="A9368" s="2" t="s">
        <v>162</v>
      </c>
    </row>
    <row r="9369" spans="1:1" ht="12.75">
      <c r="A9369" s="2" t="s">
        <v>160</v>
      </c>
    </row>
    <row r="9370" spans="1:1" ht="12.75">
      <c r="A9370" s="2" t="s">
        <v>167</v>
      </c>
    </row>
    <row r="9371" spans="1:1" ht="12.75">
      <c r="A9371" s="2" t="s">
        <v>160</v>
      </c>
    </row>
    <row r="9372" spans="1:1" ht="12.75">
      <c r="A9372" s="2" t="s">
        <v>167</v>
      </c>
    </row>
    <row r="9373" spans="1:1" ht="12.75">
      <c r="A9373" s="2" t="s">
        <v>169</v>
      </c>
    </row>
    <row r="9374" spans="1:1" ht="12.75">
      <c r="A9374" s="2" t="s">
        <v>170</v>
      </c>
    </row>
    <row r="9375" spans="1:1" ht="12.75">
      <c r="A9375" s="2" t="s">
        <v>167</v>
      </c>
    </row>
    <row r="9377" spans="1:1" ht="12.75">
      <c r="A9377" s="2" t="s">
        <v>160</v>
      </c>
    </row>
    <row r="9378" spans="1:1" ht="12.75">
      <c r="A9378" s="2" t="s">
        <v>184</v>
      </c>
    </row>
    <row r="9379" spans="1:1" ht="12.75">
      <c r="A9379" s="2" t="s">
        <v>160</v>
      </c>
    </row>
    <row r="9380" spans="1:1" ht="12.75">
      <c r="A9380" s="2" t="s">
        <v>184</v>
      </c>
    </row>
    <row r="9381" spans="1:1" ht="12.75">
      <c r="A9381" s="2" t="s">
        <v>177</v>
      </c>
    </row>
    <row r="9382" spans="1:1" ht="12.75">
      <c r="A9382" s="2" t="s">
        <v>184</v>
      </c>
    </row>
    <row r="9383" spans="1:1" ht="12.75">
      <c r="A9383" s="2" t="s">
        <v>174</v>
      </c>
    </row>
    <row r="9384" spans="1:1" ht="12.75">
      <c r="A9384" s="2" t="s">
        <v>167</v>
      </c>
    </row>
    <row r="9385" spans="1:1" ht="12.75">
      <c r="A9385" s="2" t="s">
        <v>174</v>
      </c>
    </row>
    <row r="9386" spans="1:1" ht="12.75">
      <c r="A9386" s="2" t="s">
        <v>160</v>
      </c>
    </row>
    <row r="9387" spans="1:1" ht="12.75">
      <c r="A9387" s="2" t="s">
        <v>184</v>
      </c>
    </row>
    <row r="9388" spans="1:1" ht="12.75">
      <c r="A9388" s="2" t="s">
        <v>193</v>
      </c>
    </row>
    <row r="9389" spans="1:1" ht="12.75">
      <c r="A9389" s="2" t="s">
        <v>167</v>
      </c>
    </row>
    <row r="9390" spans="1:1" ht="12.75">
      <c r="A9390" s="2" t="s">
        <v>184</v>
      </c>
    </row>
    <row r="9392" spans="1:1" ht="12.75">
      <c r="A9392" s="2" t="s">
        <v>167</v>
      </c>
    </row>
    <row r="9393" spans="1:1" ht="12.75">
      <c r="A9393" s="2" t="s">
        <v>169</v>
      </c>
    </row>
    <row r="9394" spans="1:1" ht="12.75">
      <c r="A9394" s="2" t="s">
        <v>167</v>
      </c>
    </row>
    <row r="9395" spans="1:1" ht="12.75">
      <c r="A9395" s="2" t="s">
        <v>178</v>
      </c>
    </row>
    <row r="9396" spans="1:1" ht="12.75">
      <c r="A9396" s="2" t="s">
        <v>167</v>
      </c>
    </row>
    <row r="9397" spans="1:1" ht="12.75">
      <c r="A9397" s="2" t="s">
        <v>179</v>
      </c>
    </row>
    <row r="9398" spans="1:1" ht="12.75">
      <c r="A9398" s="2" t="s">
        <v>162</v>
      </c>
    </row>
    <row r="9399" spans="1:1" ht="12.75">
      <c r="A9399" s="2" t="s">
        <v>179</v>
      </c>
    </row>
    <row r="9400" spans="1:1" ht="12.75">
      <c r="A9400" s="2" t="s">
        <v>162</v>
      </c>
    </row>
    <row r="9401" spans="1:1" ht="12.75">
      <c r="A9401" s="2" t="s">
        <v>184</v>
      </c>
    </row>
    <row r="9402" spans="1:1" ht="12.75">
      <c r="A9402" s="2" t="s">
        <v>162</v>
      </c>
    </row>
    <row r="9403" spans="1:1" ht="12.75">
      <c r="A9403" s="2" t="s">
        <v>184</v>
      </c>
    </row>
    <row r="9404" spans="1:1" ht="12.75">
      <c r="A9404" s="2" t="s">
        <v>169</v>
      </c>
    </row>
    <row r="9405" spans="1:1" ht="12.75">
      <c r="A9405" s="2" t="s">
        <v>175</v>
      </c>
    </row>
    <row r="9406" spans="1:1" ht="12.75">
      <c r="A9406" s="2" t="s">
        <v>184</v>
      </c>
    </row>
    <row r="9407" spans="1:1" ht="12.75">
      <c r="A9407" s="2" t="s">
        <v>175</v>
      </c>
    </row>
    <row r="9408" spans="1:1" ht="12.75">
      <c r="A9408" s="2" t="s">
        <v>184</v>
      </c>
    </row>
    <row r="9409" spans="1:1" ht="12.75">
      <c r="A9409" s="2" t="s">
        <v>184</v>
      </c>
    </row>
    <row r="9410" spans="1:1" ht="12.75">
      <c r="A9410" s="2" t="s">
        <v>169</v>
      </c>
    </row>
    <row r="9411" spans="1:1" ht="12.75">
      <c r="A9411" s="2" t="s">
        <v>169</v>
      </c>
    </row>
    <row r="9412" spans="1:1" ht="12.75">
      <c r="A9412" s="2" t="s">
        <v>169</v>
      </c>
    </row>
    <row r="9413" spans="1:1" ht="12.75">
      <c r="A9413" s="2" t="s">
        <v>169</v>
      </c>
    </row>
    <row r="9414" spans="1:1" ht="12.75">
      <c r="A9414" s="2" t="s">
        <v>193</v>
      </c>
    </row>
    <row r="9415" spans="1:1" ht="12.75">
      <c r="A9415" s="2" t="s">
        <v>193</v>
      </c>
    </row>
    <row r="9416" spans="1:1" ht="12.75">
      <c r="A9416" s="2" t="s">
        <v>162</v>
      </c>
    </row>
    <row r="9417" spans="1:1" ht="12.75">
      <c r="A9417" s="2" t="s">
        <v>193</v>
      </c>
    </row>
    <row r="9418" spans="1:1" ht="12.75">
      <c r="A9418" s="2" t="s">
        <v>162</v>
      </c>
    </row>
    <row r="9419" spans="1:1" ht="12.75">
      <c r="A9419" s="2" t="s">
        <v>169</v>
      </c>
    </row>
    <row r="9420" spans="1:1" ht="12.75">
      <c r="A9420" s="2" t="s">
        <v>193</v>
      </c>
    </row>
    <row r="9421" spans="1:1" ht="12.75">
      <c r="A9421" s="2" t="s">
        <v>175</v>
      </c>
    </row>
    <row r="9422" spans="1:1" ht="12.75">
      <c r="A9422" s="2" t="s">
        <v>177</v>
      </c>
    </row>
    <row r="9423" spans="1:1" ht="12.75">
      <c r="A9423" s="2" t="s">
        <v>162</v>
      </c>
    </row>
    <row r="9425" spans="1:1" ht="12.75">
      <c r="A9425" s="2" t="s">
        <v>193</v>
      </c>
    </row>
    <row r="9426" spans="1:1" ht="12.75">
      <c r="A9426" s="2" t="s">
        <v>193</v>
      </c>
    </row>
    <row r="9427" spans="1:1" ht="12.75">
      <c r="A9427" s="2" t="s">
        <v>178</v>
      </c>
    </row>
    <row r="9428" spans="1:1" ht="12.75">
      <c r="A9428" s="2" t="s">
        <v>193</v>
      </c>
    </row>
    <row r="9429" spans="1:1" ht="12.75">
      <c r="A9429" s="2" t="s">
        <v>174</v>
      </c>
    </row>
    <row r="9430" spans="1:1" ht="12.75">
      <c r="A9430" s="2" t="s">
        <v>196</v>
      </c>
    </row>
    <row r="9431" spans="1:1" ht="12.75">
      <c r="A9431" s="2" t="s">
        <v>174</v>
      </c>
    </row>
    <row r="9433" spans="1:1" ht="12.75">
      <c r="A9433" s="2" t="s">
        <v>174</v>
      </c>
    </row>
    <row r="9434" spans="1:1" ht="12.75">
      <c r="A9434" s="2" t="s">
        <v>174</v>
      </c>
    </row>
    <row r="9435" spans="1:1" ht="12.75">
      <c r="A9435" s="2" t="s">
        <v>196</v>
      </c>
    </row>
    <row r="9436" spans="1:1" ht="12.75">
      <c r="A9436" s="2" t="s">
        <v>174</v>
      </c>
    </row>
    <row r="9437" spans="1:1" ht="12.75">
      <c r="A9437" s="2" t="s">
        <v>184</v>
      </c>
    </row>
    <row r="9439" spans="1:1" ht="12.75">
      <c r="A9439" s="2" t="s">
        <v>163</v>
      </c>
    </row>
    <row r="9440" spans="1:1" ht="12.75">
      <c r="A9440" s="2" t="s">
        <v>175</v>
      </c>
    </row>
    <row r="9441" spans="1:1" ht="12.75">
      <c r="A9441" s="2" t="s">
        <v>175</v>
      </c>
    </row>
    <row r="9442" spans="1:1" ht="12.75">
      <c r="A9442" s="2" t="s">
        <v>162</v>
      </c>
    </row>
    <row r="9443" spans="1:1" ht="12.75">
      <c r="A9443" s="2" t="s">
        <v>162</v>
      </c>
    </row>
    <row r="9444" spans="1:1" ht="12.75">
      <c r="A9444" s="2" t="s">
        <v>162</v>
      </c>
    </row>
    <row r="9445" spans="1:1" ht="12.75">
      <c r="A9445" s="2" t="s">
        <v>167</v>
      </c>
    </row>
    <row r="9446" spans="1:1" ht="12.75">
      <c r="A9446" s="2" t="s">
        <v>167</v>
      </c>
    </row>
    <row r="9447" spans="1:1" ht="12.75">
      <c r="A9447" s="2" t="s">
        <v>167</v>
      </c>
    </row>
    <row r="9448" spans="1:1" ht="12.75">
      <c r="A9448" s="2" t="s">
        <v>160</v>
      </c>
    </row>
    <row r="9449" spans="1:1" ht="12.75">
      <c r="A9449" s="2" t="s">
        <v>177</v>
      </c>
    </row>
    <row r="9450" spans="1:1" ht="12.75">
      <c r="A9450" s="2" t="s">
        <v>177</v>
      </c>
    </row>
    <row r="9451" spans="1:1" ht="12.75">
      <c r="A9451" s="2" t="s">
        <v>185</v>
      </c>
    </row>
    <row r="9452" spans="1:1" ht="12.75">
      <c r="A9452" s="2" t="s">
        <v>185</v>
      </c>
    </row>
    <row r="9453" spans="1:1" ht="12.75">
      <c r="A9453" s="2" t="s">
        <v>162</v>
      </c>
    </row>
    <row r="9454" spans="1:1" ht="12.75">
      <c r="A9454" s="2" t="s">
        <v>162</v>
      </c>
    </row>
    <row r="9455" spans="1:1" ht="12.75">
      <c r="A9455" s="2" t="s">
        <v>162</v>
      </c>
    </row>
    <row r="9456" spans="1:1" ht="12.75">
      <c r="A9456" s="2" t="s">
        <v>174</v>
      </c>
    </row>
    <row r="9457" spans="1:1" ht="12.75">
      <c r="A9457" s="2" t="s">
        <v>169</v>
      </c>
    </row>
    <row r="9459" spans="1:1" ht="12.75">
      <c r="A9459" s="2" t="s">
        <v>169</v>
      </c>
    </row>
    <row r="9462" spans="1:1" ht="12.75">
      <c r="A9462" s="2" t="s">
        <v>167</v>
      </c>
    </row>
    <row r="9463" spans="1:1" ht="12.75">
      <c r="A9463" s="2" t="s">
        <v>174</v>
      </c>
    </row>
    <row r="9464" spans="1:1" ht="12.75">
      <c r="A9464" s="2" t="s">
        <v>167</v>
      </c>
    </row>
    <row r="9465" spans="1:1" ht="12.75">
      <c r="A9465" s="2" t="s">
        <v>160</v>
      </c>
    </row>
    <row r="9466" spans="1:1" ht="12.75">
      <c r="A9466" s="2" t="s">
        <v>363</v>
      </c>
    </row>
    <row r="9467" spans="1:1" ht="12.75">
      <c r="A9467" s="2" t="s">
        <v>160</v>
      </c>
    </row>
    <row r="9468" spans="1:1" ht="12.75">
      <c r="A9468" s="2" t="s">
        <v>363</v>
      </c>
    </row>
    <row r="9469" spans="1:1" ht="12.75">
      <c r="A9469" s="2" t="s">
        <v>160</v>
      </c>
    </row>
    <row r="9470" spans="1:1" ht="12.75">
      <c r="A9470" s="2" t="s">
        <v>165</v>
      </c>
    </row>
    <row r="9471" spans="1:1" ht="12.75">
      <c r="A9471" s="2" t="s">
        <v>196</v>
      </c>
    </row>
    <row r="9472" spans="1:1" ht="12.75">
      <c r="A9472" s="2" t="s">
        <v>178</v>
      </c>
    </row>
    <row r="9473" spans="1:1" ht="12.75">
      <c r="A9473" s="2" t="s">
        <v>196</v>
      </c>
    </row>
    <row r="9474" spans="1:1" ht="12.75">
      <c r="A9474" s="2" t="s">
        <v>178</v>
      </c>
    </row>
    <row r="9475" spans="1:1" ht="12.75">
      <c r="A9475" s="2" t="s">
        <v>196</v>
      </c>
    </row>
    <row r="9476" spans="1:1" ht="12.75">
      <c r="A9476" s="2" t="s">
        <v>196</v>
      </c>
    </row>
    <row r="9477" spans="1:1" ht="12.75">
      <c r="A9477" s="2" t="s">
        <v>363</v>
      </c>
    </row>
    <row r="9478" spans="1:1" ht="12.75">
      <c r="A9478" s="2" t="s">
        <v>196</v>
      </c>
    </row>
    <row r="9479" spans="1:1" ht="12.75">
      <c r="A9479" s="2" t="s">
        <v>184</v>
      </c>
    </row>
    <row r="9480" spans="1:1" ht="12.75">
      <c r="A9480" s="2" t="s">
        <v>169</v>
      </c>
    </row>
    <row r="9481" spans="1:1" ht="12.75">
      <c r="A9481" s="2" t="s">
        <v>184</v>
      </c>
    </row>
    <row r="9482" spans="1:1" ht="12.75">
      <c r="A9482" s="2" t="s">
        <v>184</v>
      </c>
    </row>
    <row r="9483" spans="1:1" ht="12.75">
      <c r="A9483" s="2" t="s">
        <v>169</v>
      </c>
    </row>
    <row r="9484" spans="1:1" ht="12.75">
      <c r="A9484" s="2" t="s">
        <v>221</v>
      </c>
    </row>
    <row r="9485" spans="1:1" ht="12.75">
      <c r="A9485" s="2" t="s">
        <v>169</v>
      </c>
    </row>
    <row r="9486" spans="1:1" ht="12.75">
      <c r="A9486" s="2" t="s">
        <v>221</v>
      </c>
    </row>
    <row r="9487" spans="1:1" ht="12.75">
      <c r="A9487" s="2" t="s">
        <v>175</v>
      </c>
    </row>
    <row r="9488" spans="1:1" ht="12.75">
      <c r="A9488" s="2" t="s">
        <v>175</v>
      </c>
    </row>
    <row r="9489" spans="1:1" ht="12.75">
      <c r="A9489" s="2" t="s">
        <v>160</v>
      </c>
    </row>
    <row r="9490" spans="1:1" ht="12.75">
      <c r="A9490" s="2" t="s">
        <v>177</v>
      </c>
    </row>
    <row r="9491" spans="1:1" ht="12.75">
      <c r="A9491" s="2" t="s">
        <v>184</v>
      </c>
    </row>
    <row r="9492" spans="1:1" ht="12.75">
      <c r="A9492" s="2" t="s">
        <v>160</v>
      </c>
    </row>
    <row r="9493" spans="1:1" ht="12.75">
      <c r="A9493" s="2" t="s">
        <v>167</v>
      </c>
    </row>
    <row r="9494" spans="1:1" ht="12.75">
      <c r="A9494" s="2" t="s">
        <v>167</v>
      </c>
    </row>
    <row r="9495" spans="1:1" ht="12.75">
      <c r="A9495" s="2" t="s">
        <v>194</v>
      </c>
    </row>
    <row r="9496" spans="1:1" ht="12.75">
      <c r="A9496" s="2" t="s">
        <v>167</v>
      </c>
    </row>
    <row r="9497" spans="1:1" ht="12.75">
      <c r="A9497" s="2" t="s">
        <v>194</v>
      </c>
    </row>
    <row r="9498" spans="1:1" ht="12.75">
      <c r="A9498" s="2" t="s">
        <v>194</v>
      </c>
    </row>
    <row r="9499" spans="1:1" ht="12.75">
      <c r="A9499" s="2" t="s">
        <v>162</v>
      </c>
    </row>
    <row r="9500" spans="1:1" ht="12.75">
      <c r="A9500" s="2" t="s">
        <v>162</v>
      </c>
    </row>
    <row r="9501" spans="1:1" ht="12.75">
      <c r="A9501" s="2" t="s">
        <v>175</v>
      </c>
    </row>
    <row r="9502" spans="1:1" ht="12.75">
      <c r="A9502" s="2" t="s">
        <v>162</v>
      </c>
    </row>
    <row r="9503" spans="1:1" ht="12.75">
      <c r="A9503" s="2" t="s">
        <v>164</v>
      </c>
    </row>
    <row r="9504" spans="1:1" ht="12.75">
      <c r="A9504" s="2" t="s">
        <v>175</v>
      </c>
    </row>
    <row r="9505" spans="1:1" ht="12.75">
      <c r="A9505" s="2" t="s">
        <v>170</v>
      </c>
    </row>
    <row r="9506" spans="1:1" ht="12.75">
      <c r="A9506" s="2" t="s">
        <v>160</v>
      </c>
    </row>
    <row r="9507" spans="1:1" ht="12.75">
      <c r="A9507" s="2" t="s">
        <v>162</v>
      </c>
    </row>
    <row r="9508" spans="1:1" ht="12.75">
      <c r="A9508" s="2" t="s">
        <v>178</v>
      </c>
    </row>
    <row r="9509" spans="1:1" ht="12.75">
      <c r="A9509" s="2" t="s">
        <v>162</v>
      </c>
    </row>
    <row r="9510" spans="1:1" ht="12.75">
      <c r="A9510" s="2" t="s">
        <v>162</v>
      </c>
    </row>
    <row r="9511" spans="1:1" ht="12.75">
      <c r="A9511" s="2" t="s">
        <v>162</v>
      </c>
    </row>
    <row r="9512" spans="1:1" ht="12.75">
      <c r="A9512" s="2" t="s">
        <v>179</v>
      </c>
    </row>
    <row r="9513" spans="1:1" ht="12.75">
      <c r="A9513" s="2" t="s">
        <v>179</v>
      </c>
    </row>
    <row r="9514" spans="1:1" ht="12.75">
      <c r="A9514" s="2" t="s">
        <v>179</v>
      </c>
    </row>
    <row r="9515" spans="1:1" ht="12.75">
      <c r="A9515" s="2">
        <v>6580</v>
      </c>
    </row>
    <row r="9516" spans="1:1" ht="12.75">
      <c r="A9516" s="2" t="s">
        <v>160</v>
      </c>
    </row>
    <row r="9517" spans="1:1" ht="12.75">
      <c r="A9517" s="2" t="s">
        <v>178</v>
      </c>
    </row>
    <row r="9518" spans="1:1" ht="12.75">
      <c r="A9518" s="2" t="s">
        <v>178</v>
      </c>
    </row>
    <row r="9519" spans="1:1" ht="12.75">
      <c r="A9519" s="2" t="s">
        <v>178</v>
      </c>
    </row>
    <row r="9520" spans="1:1" ht="12.75">
      <c r="A9520" s="2" t="s">
        <v>160</v>
      </c>
    </row>
    <row r="9521" spans="1:1" ht="12.75">
      <c r="A9521" s="2" t="s">
        <v>160</v>
      </c>
    </row>
    <row r="9522" spans="1:1" ht="12.75">
      <c r="A9522" s="2" t="s">
        <v>174</v>
      </c>
    </row>
    <row r="9523" spans="1:1" ht="12.75">
      <c r="A9523" s="2" t="s">
        <v>160</v>
      </c>
    </row>
    <row r="9524" spans="1:1" ht="12.75">
      <c r="A9524" s="2" t="s">
        <v>175</v>
      </c>
    </row>
    <row r="9525" spans="1:1" ht="12.75">
      <c r="A9525" s="2" t="s">
        <v>175</v>
      </c>
    </row>
    <row r="9526" spans="1:1" ht="12.75">
      <c r="A9526" s="2" t="s">
        <v>169</v>
      </c>
    </row>
    <row r="9527" spans="1:1" ht="12.75">
      <c r="A9527" s="2" t="s">
        <v>169</v>
      </c>
    </row>
    <row r="9528" spans="1:1" ht="12.75">
      <c r="A9528" s="2" t="s">
        <v>169</v>
      </c>
    </row>
    <row r="9529" spans="1:1" ht="12.75">
      <c r="A9529" s="2" t="s">
        <v>179</v>
      </c>
    </row>
    <row r="9530" spans="1:1" ht="12.75">
      <c r="A9530" s="2" t="s">
        <v>179</v>
      </c>
    </row>
    <row r="9531" spans="1:1" ht="12.75">
      <c r="A9531" s="2" t="s">
        <v>179</v>
      </c>
    </row>
    <row r="9532" spans="1:1" ht="12.75">
      <c r="A9532" s="2" t="s">
        <v>177</v>
      </c>
    </row>
    <row r="9533" spans="1:1" ht="12.75">
      <c r="A9533" s="2" t="s">
        <v>177</v>
      </c>
    </row>
    <row r="9534" spans="1:1" ht="12.75">
      <c r="A9534" s="2" t="s">
        <v>177</v>
      </c>
    </row>
    <row r="9535" spans="1:1" ht="12.75">
      <c r="A9535" s="2" t="s">
        <v>184</v>
      </c>
    </row>
    <row r="9536" spans="1:1" ht="12.75">
      <c r="A9536" s="2" t="s">
        <v>184</v>
      </c>
    </row>
    <row r="9537" spans="1:1" ht="12.75">
      <c r="A9537" s="2" t="s">
        <v>162</v>
      </c>
    </row>
    <row r="9538" spans="1:1" ht="12.75">
      <c r="A9538" s="2" t="s">
        <v>162</v>
      </c>
    </row>
    <row r="9539" spans="1:1" ht="12.75">
      <c r="A9539" s="2" t="s">
        <v>175</v>
      </c>
    </row>
    <row r="9540" spans="1:1" ht="12.75">
      <c r="A9540" s="2" t="s">
        <v>175</v>
      </c>
    </row>
    <row r="9541" spans="1:1" ht="12.75">
      <c r="A9541" s="2" t="s">
        <v>184</v>
      </c>
    </row>
    <row r="9542" spans="1:1" ht="12.75">
      <c r="A9542" s="2" t="s">
        <v>178</v>
      </c>
    </row>
    <row r="9543" spans="1:1" ht="12.75">
      <c r="A9543" s="2" t="s">
        <v>169</v>
      </c>
    </row>
    <row r="9544" spans="1:1" ht="12.75">
      <c r="A9544" s="2" t="s">
        <v>184</v>
      </c>
    </row>
    <row r="9545" spans="1:1" ht="12.75">
      <c r="A9545" s="2" t="s">
        <v>169</v>
      </c>
    </row>
    <row r="9546" spans="1:1" ht="12.75">
      <c r="A9546" s="2" t="s">
        <v>169</v>
      </c>
    </row>
    <row r="9547" spans="1:1" ht="12.75">
      <c r="A9547" s="2" t="s">
        <v>177</v>
      </c>
    </row>
    <row r="9548" spans="1:1" ht="12.75">
      <c r="A9548" s="2" t="s">
        <v>177</v>
      </c>
    </row>
    <row r="9549" spans="1:1" ht="12.75">
      <c r="A9549" s="2" t="s">
        <v>184</v>
      </c>
    </row>
    <row r="9550" spans="1:1" ht="12.75">
      <c r="A9550" s="2" t="s">
        <v>177</v>
      </c>
    </row>
    <row r="9551" spans="1:1" ht="12.75">
      <c r="A9551" s="2" t="s">
        <v>184</v>
      </c>
    </row>
    <row r="9552" spans="1:1" ht="12.75">
      <c r="A9552" s="2" t="s">
        <v>184</v>
      </c>
    </row>
    <row r="9553" spans="1:1" ht="12.75">
      <c r="A9553" s="2" t="s">
        <v>221</v>
      </c>
    </row>
    <row r="9555" spans="1:1" ht="12.75">
      <c r="A9555" s="2" t="s">
        <v>184</v>
      </c>
    </row>
    <row r="9556" spans="1:1" ht="12.75">
      <c r="A9556" s="2" t="s">
        <v>177</v>
      </c>
    </row>
    <row r="9557" spans="1:1" ht="12.75">
      <c r="A9557" s="2" t="s">
        <v>184</v>
      </c>
    </row>
    <row r="9558" spans="1:1" ht="12.75">
      <c r="A9558" s="2" t="s">
        <v>169</v>
      </c>
    </row>
    <row r="9559" spans="1:1" ht="12.75">
      <c r="A9559" s="2" t="s">
        <v>177</v>
      </c>
    </row>
    <row r="9560" spans="1:1" ht="12.75">
      <c r="A9560" s="2" t="s">
        <v>169</v>
      </c>
    </row>
    <row r="9561" spans="1:1" ht="12.75">
      <c r="A9561" s="2" t="s">
        <v>177</v>
      </c>
    </row>
    <row r="9562" spans="1:1" ht="12.75">
      <c r="A9562" s="2" t="s">
        <v>177</v>
      </c>
    </row>
    <row r="9563" spans="1:1" ht="12.75">
      <c r="A9563" s="2" t="s">
        <v>175</v>
      </c>
    </row>
    <row r="9564" spans="1:1" ht="12.75">
      <c r="A9564" s="2" t="s">
        <v>175</v>
      </c>
    </row>
    <row r="9565" spans="1:1" ht="12.75">
      <c r="A9565" s="2" t="s">
        <v>162</v>
      </c>
    </row>
    <row r="9566" spans="1:1" ht="12.75">
      <c r="A9566" s="2" t="s">
        <v>162</v>
      </c>
    </row>
    <row r="9567" spans="1:1" ht="12.75">
      <c r="A9567" s="2" t="s">
        <v>179</v>
      </c>
    </row>
    <row r="9568" spans="1:1" ht="12.75">
      <c r="A9568" s="2" t="s">
        <v>162</v>
      </c>
    </row>
    <row r="9570" spans="1:1" ht="12.75">
      <c r="A9570" s="2" t="s">
        <v>184</v>
      </c>
    </row>
    <row r="9571" spans="1:1" ht="12.75">
      <c r="A9571" s="2" t="s">
        <v>160</v>
      </c>
    </row>
    <row r="9572" spans="1:1" ht="12.75">
      <c r="A9572" s="2" t="s">
        <v>160</v>
      </c>
    </row>
    <row r="9573" spans="1:1" ht="12.75">
      <c r="A9573" s="2" t="s">
        <v>177</v>
      </c>
    </row>
    <row r="9574" spans="1:1" ht="12.75">
      <c r="A9574" s="2" t="s">
        <v>160</v>
      </c>
    </row>
    <row r="9575" spans="1:1" ht="12.75">
      <c r="A9575" s="2" t="s">
        <v>160</v>
      </c>
    </row>
    <row r="9576" spans="1:1" ht="12.75">
      <c r="A9576" s="2" t="s">
        <v>160</v>
      </c>
    </row>
    <row r="9577" spans="1:1" ht="12.75">
      <c r="A9577" s="2" t="s">
        <v>167</v>
      </c>
    </row>
    <row r="9578" spans="1:1" ht="12.75">
      <c r="A9578" s="2" t="s">
        <v>160</v>
      </c>
    </row>
    <row r="9579" spans="1:1" ht="12.75">
      <c r="A9579" s="2" t="s">
        <v>167</v>
      </c>
    </row>
    <row r="9580" spans="1:1" ht="12.75">
      <c r="A9580" s="2" t="s">
        <v>167</v>
      </c>
    </row>
    <row r="9581" spans="1:1" ht="12.75">
      <c r="A9581" s="2" t="s">
        <v>184</v>
      </c>
    </row>
    <row r="9582" spans="1:1" ht="12.75">
      <c r="A9582" s="2" t="s">
        <v>184</v>
      </c>
    </row>
    <row r="9583" spans="1:1" ht="12.75">
      <c r="A9583" s="2" t="s">
        <v>162</v>
      </c>
    </row>
    <row r="9584" spans="1:1" ht="12.75">
      <c r="A9584" s="2" t="s">
        <v>184</v>
      </c>
    </row>
    <row r="9585" spans="1:1" ht="12.75">
      <c r="A9585" s="2" t="s">
        <v>162</v>
      </c>
    </row>
    <row r="9586" spans="1:1" ht="12.75">
      <c r="A9586" s="2" t="s">
        <v>162</v>
      </c>
    </row>
    <row r="9587" spans="1:1" ht="12.75">
      <c r="A9587" s="2" t="s">
        <v>175</v>
      </c>
    </row>
    <row r="9588" spans="1:1" ht="12.75">
      <c r="A9588" s="2" t="s">
        <v>167</v>
      </c>
    </row>
    <row r="9589" spans="1:1" ht="12.75">
      <c r="A9589" s="2" t="s">
        <v>185</v>
      </c>
    </row>
    <row r="9590" spans="1:1" ht="12.75">
      <c r="A9590" s="2" t="s">
        <v>167</v>
      </c>
    </row>
    <row r="9591" spans="1:1" ht="12.75">
      <c r="A9591" s="2" t="s">
        <v>175</v>
      </c>
    </row>
    <row r="9592" spans="1:1" ht="12.75">
      <c r="A9592" s="2" t="s">
        <v>162</v>
      </c>
    </row>
    <row r="9593" spans="1:1" ht="12.75">
      <c r="A9593" s="2" t="s">
        <v>184</v>
      </c>
    </row>
    <row r="9594" spans="1:1" ht="12.75">
      <c r="A9594" s="2" t="s">
        <v>175</v>
      </c>
    </row>
    <row r="9595" spans="1:1" ht="12.75">
      <c r="A9595" s="2" t="s">
        <v>167</v>
      </c>
    </row>
    <row r="9596" spans="1:1" ht="12.75">
      <c r="A9596" s="2" t="s">
        <v>162</v>
      </c>
    </row>
    <row r="9597" spans="1:1" ht="12.75">
      <c r="A9597" s="2" t="s">
        <v>162</v>
      </c>
    </row>
    <row r="9598" spans="1:1" ht="12.75">
      <c r="A9598" s="2" t="s">
        <v>162</v>
      </c>
    </row>
    <row r="9599" spans="1:1" ht="12.75">
      <c r="A9599" s="2" t="s">
        <v>162</v>
      </c>
    </row>
    <row r="9600" spans="1:1" ht="12.75">
      <c r="A9600" s="2" t="s">
        <v>162</v>
      </c>
    </row>
    <row r="9601" spans="1:1" ht="12.75">
      <c r="A9601" s="2" t="s">
        <v>179</v>
      </c>
    </row>
    <row r="9602" spans="1:1" ht="12.75">
      <c r="A9602" s="2" t="s">
        <v>160</v>
      </c>
    </row>
    <row r="9603" spans="1:1" ht="12.75">
      <c r="A9603" s="2" t="s">
        <v>167</v>
      </c>
    </row>
    <row r="9604" spans="1:1" ht="12.75">
      <c r="A9604" s="2" t="s">
        <v>185</v>
      </c>
    </row>
    <row r="9605" spans="1:1" ht="12.75">
      <c r="A9605" s="2" t="s">
        <v>170</v>
      </c>
    </row>
    <row r="9606" spans="1:1" ht="12.75">
      <c r="A9606" s="2" t="s">
        <v>177</v>
      </c>
    </row>
    <row r="9607" spans="1:1" ht="12.75">
      <c r="A9607" s="2" t="s">
        <v>169</v>
      </c>
    </row>
    <row r="9608" spans="1:1" ht="12.75">
      <c r="A9608" s="2" t="s">
        <v>177</v>
      </c>
    </row>
    <row r="9610" spans="1:1" ht="12.75">
      <c r="A9610" s="2" t="s">
        <v>170</v>
      </c>
    </row>
    <row r="9611" spans="1:1" ht="12.75">
      <c r="A9611" s="2" t="s">
        <v>175</v>
      </c>
    </row>
    <row r="9612" spans="1:1" ht="12.75">
      <c r="A9612" s="2" t="s">
        <v>175</v>
      </c>
    </row>
    <row r="9614" spans="1:1" ht="12.75">
      <c r="A9614" s="2" t="s">
        <v>175</v>
      </c>
    </row>
    <row r="9615" spans="1:1" ht="12.75">
      <c r="A9615" s="2" t="s">
        <v>160</v>
      </c>
    </row>
    <row r="9616" spans="1:1" ht="12.75">
      <c r="A9616" s="2" t="s">
        <v>167</v>
      </c>
    </row>
    <row r="9617" spans="1:1" ht="12.75">
      <c r="A9617" s="2" t="s">
        <v>160</v>
      </c>
    </row>
    <row r="9618" spans="1:1" ht="12.75">
      <c r="A9618" s="2" t="s">
        <v>160</v>
      </c>
    </row>
    <row r="9619" spans="1:1" ht="12.75">
      <c r="A9619" s="2" t="s">
        <v>169</v>
      </c>
    </row>
    <row r="9620" spans="1:1" ht="12.75">
      <c r="A9620" s="2" t="s">
        <v>179</v>
      </c>
    </row>
    <row r="9621" spans="1:1" ht="12.75">
      <c r="A9621" s="2" t="s">
        <v>167</v>
      </c>
    </row>
    <row r="9622" spans="1:1" ht="12.75">
      <c r="A9622" s="2" t="s">
        <v>179</v>
      </c>
    </row>
    <row r="9623" spans="1:1" ht="12.75">
      <c r="A9623" s="2" t="s">
        <v>162</v>
      </c>
    </row>
    <row r="9625" spans="1:1" ht="12.75">
      <c r="A9625" s="2" t="s">
        <v>162</v>
      </c>
    </row>
    <row r="9626" spans="1:1" ht="12.75">
      <c r="A9626" s="2" t="s">
        <v>162</v>
      </c>
    </row>
    <row r="9627" spans="1:1" ht="12.75">
      <c r="A9627" s="2" t="s">
        <v>178</v>
      </c>
    </row>
    <row r="9628" spans="1:1" ht="12.75">
      <c r="A9628" s="2" t="s">
        <v>169</v>
      </c>
    </row>
    <row r="9629" spans="1:1" ht="12.75">
      <c r="A9629" s="2" t="s">
        <v>178</v>
      </c>
    </row>
    <row r="9630" spans="1:1" ht="12.75">
      <c r="A9630" s="2" t="s">
        <v>169</v>
      </c>
    </row>
    <row r="9631" spans="1:1" ht="12.75">
      <c r="A9631" s="2" t="s">
        <v>184</v>
      </c>
    </row>
    <row r="9632" spans="1:1" ht="12.75">
      <c r="A9632" s="2" t="s">
        <v>184</v>
      </c>
    </row>
    <row r="9633" spans="1:1" ht="12.75">
      <c r="A9633" s="2" t="s">
        <v>169</v>
      </c>
    </row>
    <row r="9634" spans="1:1" ht="12.75">
      <c r="A9634" s="2" t="s">
        <v>184</v>
      </c>
    </row>
    <row r="9635" spans="1:1" ht="12.75">
      <c r="A9635" s="2" t="s">
        <v>175</v>
      </c>
    </row>
    <row r="9636" spans="1:1" ht="12.75">
      <c r="A9636" s="2" t="s">
        <v>196</v>
      </c>
    </row>
    <row r="9638" spans="1:1" ht="12.75">
      <c r="A9638" s="2" t="s">
        <v>574</v>
      </c>
    </row>
    <row r="9644" spans="1:1" ht="12.75">
      <c r="A9644" s="2" t="s">
        <v>295</v>
      </c>
    </row>
    <row r="9645" spans="1:1" ht="12.75">
      <c r="A9645" s="2" t="s">
        <v>295</v>
      </c>
    </row>
    <row r="9648" spans="1:1" ht="12.75">
      <c r="A9648" s="2" t="s">
        <v>295</v>
      </c>
    </row>
    <row r="9649" spans="1:1" ht="12.75">
      <c r="A9649" s="2" t="s">
        <v>295</v>
      </c>
    </row>
    <row r="9650" spans="1:1" ht="12.75">
      <c r="A9650" s="2" t="s">
        <v>170</v>
      </c>
    </row>
    <row r="9651" spans="1:1" ht="12.75">
      <c r="A9651" s="2" t="s">
        <v>170</v>
      </c>
    </row>
    <row r="9652" spans="1:1" ht="12.75">
      <c r="A9652" s="2" t="s">
        <v>170</v>
      </c>
    </row>
    <row r="9653" spans="1:1" ht="12.75">
      <c r="A9653" s="2" t="s">
        <v>167</v>
      </c>
    </row>
    <row r="9654" spans="1:1" ht="12.75">
      <c r="A9654" s="2" t="s">
        <v>196</v>
      </c>
    </row>
    <row r="9655" spans="1:1" ht="12.75">
      <c r="A9655" s="2" t="s">
        <v>167</v>
      </c>
    </row>
    <row r="9656" spans="1:1" ht="12.75">
      <c r="A9656" s="2" t="s">
        <v>179</v>
      </c>
    </row>
    <row r="9657" spans="1:1" ht="12.75">
      <c r="A9657" s="2" t="s">
        <v>162</v>
      </c>
    </row>
    <row r="9658" spans="1:1" ht="12.75">
      <c r="A9658" s="2" t="s">
        <v>179</v>
      </c>
    </row>
    <row r="9659" spans="1:1" ht="12.75">
      <c r="A9659" s="2" t="s">
        <v>179</v>
      </c>
    </row>
    <row r="9660" spans="1:1" ht="12.75">
      <c r="A9660" s="2" t="s">
        <v>167</v>
      </c>
    </row>
    <row r="9661" spans="1:1" ht="12.75">
      <c r="A9661" s="2" t="s">
        <v>179</v>
      </c>
    </row>
    <row r="9662" spans="1:1" ht="12.75">
      <c r="A9662" s="2" t="s">
        <v>175</v>
      </c>
    </row>
    <row r="9663" spans="1:1" ht="12.75">
      <c r="A9663" s="2" t="s">
        <v>184</v>
      </c>
    </row>
    <row r="9664" spans="1:1" ht="12.75">
      <c r="A9664" s="2" t="s">
        <v>162</v>
      </c>
    </row>
    <row r="9665" spans="1:1" ht="12.75">
      <c r="A9665" s="2" t="s">
        <v>221</v>
      </c>
    </row>
    <row r="9666" spans="1:1" ht="12.75">
      <c r="A9666" s="2" t="s">
        <v>162</v>
      </c>
    </row>
    <row r="9667" spans="1:1" ht="12.75">
      <c r="A9667" s="2" t="s">
        <v>175</v>
      </c>
    </row>
    <row r="9668" spans="1:1" ht="12.75">
      <c r="A9668" s="2" t="s">
        <v>184</v>
      </c>
    </row>
    <row r="9669" spans="1:1" ht="12.75">
      <c r="A9669" s="2" t="s">
        <v>184</v>
      </c>
    </row>
    <row r="9670" spans="1:1" ht="12.75">
      <c r="A9670" s="2" t="s">
        <v>170</v>
      </c>
    </row>
    <row r="9671" spans="1:1" ht="12.75">
      <c r="A9671" s="2" t="s">
        <v>184</v>
      </c>
    </row>
    <row r="9672" spans="1:1" ht="12.75">
      <c r="A9672" s="2" t="s">
        <v>170</v>
      </c>
    </row>
    <row r="9673" spans="1:1" ht="12.75">
      <c r="A9673" s="2" t="s">
        <v>184</v>
      </c>
    </row>
    <row r="9674" spans="1:1" ht="12.75">
      <c r="A9674" s="2" t="s">
        <v>177</v>
      </c>
    </row>
    <row r="9675" spans="1:1" ht="12.75">
      <c r="A9675" s="2" t="s">
        <v>160</v>
      </c>
    </row>
    <row r="9676" spans="1:1" ht="12.75">
      <c r="A9676" s="2" t="s">
        <v>177</v>
      </c>
    </row>
    <row r="9677" spans="1:1" ht="12.75">
      <c r="A9677" s="2" t="s">
        <v>160</v>
      </c>
    </row>
    <row r="9678" spans="1:1" ht="12.75">
      <c r="A9678" s="2" t="s">
        <v>177</v>
      </c>
    </row>
    <row r="9679" spans="1:1" ht="12.75">
      <c r="A9679" s="2" t="s">
        <v>160</v>
      </c>
    </row>
    <row r="9680" spans="1:1" ht="12.75">
      <c r="A9680" s="2" t="s">
        <v>179</v>
      </c>
    </row>
    <row r="9681" spans="1:1" ht="12.75">
      <c r="A9681" s="2" t="s">
        <v>177</v>
      </c>
    </row>
    <row r="9682" spans="1:1" ht="12.75">
      <c r="A9682" s="2" t="s">
        <v>179</v>
      </c>
    </row>
    <row r="9683" spans="1:1" ht="12.75">
      <c r="A9683" s="2" t="s">
        <v>170</v>
      </c>
    </row>
    <row r="9684" spans="1:1" ht="12.75">
      <c r="A9684" s="2" t="s">
        <v>179</v>
      </c>
    </row>
    <row r="9685" spans="1:1" ht="12.75">
      <c r="A9685" s="2" t="s">
        <v>177</v>
      </c>
    </row>
    <row r="9686" spans="1:1" ht="12.75">
      <c r="A9686" s="2" t="s">
        <v>177</v>
      </c>
    </row>
    <row r="9687" spans="1:1" ht="12.75">
      <c r="A9687" s="2" t="s">
        <v>178</v>
      </c>
    </row>
    <row r="9688" spans="1:1" ht="12.75">
      <c r="A9688" s="2" t="s">
        <v>177</v>
      </c>
    </row>
    <row r="9689" spans="1:1" ht="12.75">
      <c r="A9689" s="2" t="s">
        <v>184</v>
      </c>
    </row>
    <row r="9690" spans="1:1" ht="12.75">
      <c r="A9690" s="2" t="s">
        <v>177</v>
      </c>
    </row>
    <row r="9691" spans="1:1" ht="12.75">
      <c r="A9691" s="2" t="s">
        <v>170</v>
      </c>
    </row>
    <row r="9692" spans="1:1" ht="12.75">
      <c r="A9692" s="2" t="s">
        <v>184</v>
      </c>
    </row>
    <row r="9693" spans="1:1" ht="12.75">
      <c r="A9693" s="2" t="s">
        <v>160</v>
      </c>
    </row>
    <row r="9694" spans="1:1" ht="12.75">
      <c r="A9694" s="2" t="s">
        <v>184</v>
      </c>
    </row>
    <row r="9695" spans="1:1" ht="12.75">
      <c r="A9695" s="2" t="s">
        <v>160</v>
      </c>
    </row>
    <row r="9696" spans="1:1" ht="12.75">
      <c r="A9696" s="2" t="s">
        <v>184</v>
      </c>
    </row>
    <row r="9697" spans="1:1" ht="12.75">
      <c r="A9697" s="2" t="s">
        <v>170</v>
      </c>
    </row>
    <row r="9698" spans="1:1" ht="12.75">
      <c r="A9698" s="2" t="s">
        <v>167</v>
      </c>
    </row>
    <row r="9699" spans="1:1" ht="12.75">
      <c r="A9699" s="2" t="s">
        <v>179</v>
      </c>
    </row>
    <row r="9700" spans="1:1" ht="12.75">
      <c r="A9700" s="2" t="s">
        <v>182</v>
      </c>
    </row>
    <row r="9701" spans="1:1" ht="12.75">
      <c r="A9701" s="2" t="s">
        <v>183</v>
      </c>
    </row>
    <row r="9702" spans="1:1" ht="12.75">
      <c r="A9702" s="2" t="s">
        <v>163</v>
      </c>
    </row>
    <row r="9703" spans="1:1" ht="12.75">
      <c r="A9703" s="2" t="s">
        <v>181</v>
      </c>
    </row>
    <row r="9704" spans="1:1" ht="12.75">
      <c r="A9704" s="2" t="s">
        <v>163</v>
      </c>
    </row>
    <row r="9705" spans="1:1" ht="12.75">
      <c r="A9705" s="2" t="s">
        <v>181</v>
      </c>
    </row>
    <row r="9706" spans="1:1" ht="12.75">
      <c r="A9706" s="2" t="s">
        <v>163</v>
      </c>
    </row>
    <row r="9707" spans="1:1" ht="12.75">
      <c r="A9707" s="2" t="s">
        <v>181</v>
      </c>
    </row>
    <row r="9708" spans="1:1" ht="12.75">
      <c r="A9708" s="2" t="s">
        <v>194</v>
      </c>
    </row>
    <row r="9709" spans="1:1" ht="12.75">
      <c r="A9709" s="2" t="s">
        <v>223</v>
      </c>
    </row>
    <row r="9710" spans="1:1" ht="12.75">
      <c r="A9710" s="2" t="s">
        <v>194</v>
      </c>
    </row>
    <row r="9711" spans="1:1" ht="12.75">
      <c r="A9711" s="2" t="s">
        <v>171</v>
      </c>
    </row>
    <row r="9712" spans="1:1" ht="12.75">
      <c r="A9712" s="2" t="s">
        <v>194</v>
      </c>
    </row>
    <row r="9713" spans="1:1" ht="12.75">
      <c r="A9713" s="2" t="s">
        <v>173</v>
      </c>
    </row>
    <row r="9714" spans="1:1" ht="12.75">
      <c r="A9714" s="2" t="s">
        <v>223</v>
      </c>
    </row>
    <row r="9715" spans="1:1" ht="12.75">
      <c r="A9715" s="2" t="s">
        <v>173</v>
      </c>
    </row>
    <row r="9716" spans="1:1" ht="12.75">
      <c r="A9716" s="2" t="s">
        <v>160</v>
      </c>
    </row>
    <row r="9717" spans="1:1" ht="12.75">
      <c r="A9717" s="2" t="s">
        <v>224</v>
      </c>
    </row>
    <row r="9718" spans="1:1" ht="12.75">
      <c r="A9718" s="2" t="s">
        <v>160</v>
      </c>
    </row>
    <row r="9719" spans="1:1" ht="12.75">
      <c r="A9719" s="2" t="s">
        <v>189</v>
      </c>
    </row>
    <row r="9720" spans="1:1" ht="12.75">
      <c r="A9720" s="2" t="s">
        <v>165</v>
      </c>
    </row>
    <row r="9721" spans="1:1" ht="12.75">
      <c r="A9721" s="2" t="s">
        <v>164</v>
      </c>
    </row>
    <row r="9722" spans="1:1" ht="12.75">
      <c r="A9722" s="2" t="s">
        <v>165</v>
      </c>
    </row>
    <row r="9723" spans="1:1" ht="12.75">
      <c r="A9723" s="2" t="s">
        <v>164</v>
      </c>
    </row>
    <row r="9724" spans="1:1" ht="12.75">
      <c r="A9724" s="2" t="s">
        <v>165</v>
      </c>
    </row>
    <row r="9725" spans="1:1" ht="12.75">
      <c r="A9725" s="2" t="s">
        <v>164</v>
      </c>
    </row>
    <row r="9726" spans="1:1" ht="12.75">
      <c r="A9726" s="2" t="s">
        <v>176</v>
      </c>
    </row>
    <row r="9727" spans="1:1" ht="12.75">
      <c r="A9727" s="2" t="s">
        <v>168</v>
      </c>
    </row>
    <row r="9728" spans="1:1" ht="12.75">
      <c r="A9728" s="2" t="s">
        <v>168</v>
      </c>
    </row>
    <row r="9729" spans="1:1" ht="12.75">
      <c r="A9729" s="2" t="s">
        <v>160</v>
      </c>
    </row>
    <row r="9730" spans="1:1" ht="12.75">
      <c r="A9730" s="2" t="s">
        <v>181</v>
      </c>
    </row>
    <row r="9731" spans="1:1" ht="12.75">
      <c r="A9731" s="2" t="s">
        <v>164</v>
      </c>
    </row>
    <row r="9732" spans="1:1" ht="12.75">
      <c r="A9732" s="2" t="s">
        <v>181</v>
      </c>
    </row>
    <row r="9733" spans="1:1" ht="12.75">
      <c r="A9733" s="2" t="s">
        <v>164</v>
      </c>
    </row>
    <row r="9734" spans="1:1" ht="12.75">
      <c r="A9734" s="2" t="s">
        <v>166</v>
      </c>
    </row>
    <row r="9735" spans="1:1" ht="12.75">
      <c r="A9735" s="2" t="s">
        <v>166</v>
      </c>
    </row>
    <row r="9736" spans="1:1" ht="12.75">
      <c r="A9736" s="2" t="s">
        <v>166</v>
      </c>
    </row>
    <row r="9737" spans="1:1" ht="12.75">
      <c r="A9737" s="2" t="s">
        <v>168</v>
      </c>
    </row>
    <row r="9738" spans="1:1" ht="12.75">
      <c r="A9738" s="2" t="s">
        <v>177</v>
      </c>
    </row>
    <row r="9740" spans="1:1" ht="12.75">
      <c r="A9740" s="2" t="s">
        <v>177</v>
      </c>
    </row>
    <row r="9741" spans="1:1" ht="12.75">
      <c r="A9741" s="2" t="s">
        <v>165</v>
      </c>
    </row>
    <row r="9742" spans="1:1" ht="12.75">
      <c r="A9742" s="2" t="s">
        <v>223</v>
      </c>
    </row>
    <row r="9743" spans="1:1" ht="12.75">
      <c r="A9743" s="2" t="s">
        <v>225</v>
      </c>
    </row>
    <row r="9744" spans="1:1" ht="12.75">
      <c r="A9744" s="2" t="s">
        <v>165</v>
      </c>
    </row>
    <row r="9745" spans="1:1" ht="12.75">
      <c r="A9745" s="2" t="s">
        <v>225</v>
      </c>
    </row>
    <row r="9746" spans="1:1" ht="12.75">
      <c r="A9746" s="2" t="s">
        <v>182</v>
      </c>
    </row>
    <row r="9747" spans="1:1" ht="12.75">
      <c r="A9747" s="2" t="s">
        <v>223</v>
      </c>
    </row>
    <row r="9748" spans="1:1" ht="12.75">
      <c r="A9748" s="2" t="s">
        <v>182</v>
      </c>
    </row>
    <row r="9749" spans="1:1" ht="12.75">
      <c r="A9749" s="2" t="s">
        <v>183</v>
      </c>
    </row>
    <row r="9800" spans="1:1" ht="12.75">
      <c r="A9800" s="2" t="s">
        <v>173</v>
      </c>
    </row>
    <row r="9801" spans="1:1" ht="12.75">
      <c r="A9801" s="2" t="s">
        <v>163</v>
      </c>
    </row>
    <row r="9802" spans="1:1" ht="12.75">
      <c r="A9802" s="2" t="s">
        <v>171</v>
      </c>
    </row>
    <row r="9803" spans="1:1" ht="12.75">
      <c r="A9803" s="2" t="s">
        <v>176</v>
      </c>
    </row>
    <row r="9804" spans="1:1" ht="12.75">
      <c r="A9804" s="2" t="s">
        <v>189</v>
      </c>
    </row>
    <row r="9805" spans="1:1" ht="12.75">
      <c r="A9805" s="2" t="s">
        <v>183</v>
      </c>
    </row>
    <row r="9806" spans="1:1" ht="12.75">
      <c r="A9806" s="2" t="s">
        <v>163</v>
      </c>
    </row>
    <row r="9807" spans="1:1" ht="12.75">
      <c r="A9807" s="2" t="s">
        <v>173</v>
      </c>
    </row>
    <row r="9808" spans="1:1" ht="12.75">
      <c r="A9808" s="2" t="s">
        <v>173</v>
      </c>
    </row>
    <row r="9809" spans="1:1" ht="12.75">
      <c r="A9809" s="2" t="s">
        <v>173</v>
      </c>
    </row>
    <row r="9810" spans="1:1" ht="12.75">
      <c r="A9810" s="2" t="s">
        <v>168</v>
      </c>
    </row>
    <row r="9811" spans="1:1" ht="12.75">
      <c r="A9811" s="2" t="s">
        <v>176</v>
      </c>
    </row>
    <row r="9812" spans="1:1" ht="12.75">
      <c r="A9812" s="2" t="s">
        <v>168</v>
      </c>
    </row>
    <row r="9813" spans="1:1" ht="12.75">
      <c r="A9813" s="2" t="s">
        <v>165</v>
      </c>
    </row>
    <row r="9814" spans="1:1" ht="12.75">
      <c r="A9814" s="2" t="s">
        <v>225</v>
      </c>
    </row>
    <row r="9815" spans="1:1" ht="12.75">
      <c r="A9815" s="2" t="s">
        <v>165</v>
      </c>
    </row>
    <row r="9816" spans="1:1" ht="12.75">
      <c r="A9816" s="2" t="s">
        <v>225</v>
      </c>
    </row>
    <row r="9817" spans="1:1" ht="12.75">
      <c r="A9817" s="2" t="s">
        <v>165</v>
      </c>
    </row>
    <row r="9818" spans="1:1" ht="12.75">
      <c r="A9818" s="2" t="s">
        <v>182</v>
      </c>
    </row>
    <row r="9819" spans="1:1" ht="12.75">
      <c r="A9819" s="2" t="s">
        <v>176</v>
      </c>
    </row>
    <row r="9820" spans="1:1" ht="12.75">
      <c r="A9820" s="2" t="s">
        <v>182</v>
      </c>
    </row>
    <row r="9821" spans="1:1" ht="12.75">
      <c r="A9821" s="2" t="s">
        <v>176</v>
      </c>
    </row>
    <row r="9822" spans="1:1" ht="12.75">
      <c r="A9822" s="2" t="s">
        <v>181</v>
      </c>
    </row>
    <row r="9823" spans="1:1" ht="12.75">
      <c r="A9823" s="2" t="s">
        <v>181</v>
      </c>
    </row>
    <row r="9824" spans="1:1" ht="12.75">
      <c r="A9824" s="2" t="s">
        <v>182</v>
      </c>
    </row>
    <row r="9825" spans="1:1" ht="12.75">
      <c r="A9825" s="2" t="s">
        <v>181</v>
      </c>
    </row>
    <row r="9826" spans="1:1" ht="12.75">
      <c r="A9826" s="2" t="s">
        <v>194</v>
      </c>
    </row>
    <row r="9827" spans="1:1" ht="12.75">
      <c r="A9827" s="2" t="s">
        <v>173</v>
      </c>
    </row>
    <row r="9828" spans="1:1" ht="12.75">
      <c r="A9828" s="2" t="s">
        <v>194</v>
      </c>
    </row>
    <row r="9829" spans="1:1" ht="12.75">
      <c r="A9829" s="2" t="s">
        <v>173</v>
      </c>
    </row>
    <row r="9830" spans="1:1" ht="12.75">
      <c r="A9830" s="2" t="s">
        <v>194</v>
      </c>
    </row>
    <row r="9831" spans="1:1" ht="12.75">
      <c r="A9831" s="2" t="s">
        <v>173</v>
      </c>
    </row>
    <row r="9832" spans="1:1" ht="12.75">
      <c r="A9832" s="2" t="s">
        <v>161</v>
      </c>
    </row>
    <row r="9833" spans="1:1" ht="12.75">
      <c r="A9833" s="2" t="s">
        <v>189</v>
      </c>
    </row>
    <row r="9834" spans="1:1" ht="12.75">
      <c r="A9834" s="2" t="s">
        <v>161</v>
      </c>
    </row>
    <row r="9835" spans="1:1" ht="12.75">
      <c r="A9835" s="2" t="s">
        <v>161</v>
      </c>
    </row>
    <row r="9836" spans="1:1" ht="12.75">
      <c r="A9836" s="2" t="s">
        <v>171</v>
      </c>
    </row>
    <row r="9837" spans="1:1" ht="12.75">
      <c r="A9837" s="2" t="s">
        <v>161</v>
      </c>
    </row>
    <row r="9838" spans="1:1" ht="12.75">
      <c r="A9838" s="2">
        <v>8</v>
      </c>
    </row>
    <row r="9839" spans="1:1" ht="12.75">
      <c r="A9839" s="2" t="s">
        <v>223</v>
      </c>
    </row>
    <row r="9840" spans="1:1" ht="12.75">
      <c r="A9840" s="2" t="s">
        <v>166</v>
      </c>
    </row>
    <row r="9841" spans="1:1" ht="12.75">
      <c r="A9841" s="2" t="s">
        <v>165</v>
      </c>
    </row>
    <row r="9842" spans="1:1" ht="12.75">
      <c r="A9842" s="2" t="s">
        <v>166</v>
      </c>
    </row>
    <row r="9843" spans="1:1" ht="12.75">
      <c r="A9843" s="2" t="s">
        <v>165</v>
      </c>
    </row>
    <row r="9844" spans="1:1" ht="12.75">
      <c r="A9844" s="2" t="s">
        <v>176</v>
      </c>
    </row>
    <row r="9846" spans="1:1" ht="12.75">
      <c r="A9846" s="2" t="s">
        <v>168</v>
      </c>
    </row>
    <row r="9847" spans="1:1" ht="12.75">
      <c r="A9847" s="2" t="s">
        <v>183</v>
      </c>
    </row>
    <row r="9848" spans="1:1" ht="12.75">
      <c r="A9848" s="2" t="s">
        <v>168</v>
      </c>
    </row>
    <row r="9849" spans="1:1" ht="12.75">
      <c r="A9849" s="2" t="s">
        <v>183</v>
      </c>
    </row>
    <row r="9850" spans="1:1" ht="12.75">
      <c r="A9850" s="2" t="s">
        <v>165</v>
      </c>
    </row>
    <row r="9851" spans="1:1" ht="12.75">
      <c r="A9851" s="2" t="s">
        <v>223</v>
      </c>
    </row>
    <row r="9853" spans="1:1" ht="12.75">
      <c r="A9853" s="2" t="s">
        <v>176</v>
      </c>
    </row>
    <row r="9854" spans="1:1" ht="12.75">
      <c r="A9854" s="2" t="s">
        <v>224</v>
      </c>
    </row>
    <row r="9855" spans="1:1" ht="12.75">
      <c r="A9855" s="2" t="s">
        <v>165</v>
      </c>
    </row>
    <row r="9856" spans="1:1" ht="12.75">
      <c r="A9856" s="2" t="s">
        <v>171</v>
      </c>
    </row>
    <row r="9858" spans="1:1" ht="12.75">
      <c r="A9858" s="2" t="s">
        <v>176</v>
      </c>
    </row>
    <row r="9859" spans="1:1" ht="12.75">
      <c r="A9859" s="2" t="s">
        <v>225</v>
      </c>
    </row>
    <row r="9860" spans="1:1" ht="12.75">
      <c r="A9860" s="2" t="s">
        <v>173</v>
      </c>
    </row>
    <row r="9861" spans="1:1" ht="12.75">
      <c r="A9861" s="2" t="s">
        <v>176</v>
      </c>
    </row>
    <row r="9862" spans="1:1" ht="12.75">
      <c r="A9862" s="2" t="s">
        <v>173</v>
      </c>
    </row>
    <row r="9863" spans="1:1" ht="12.75">
      <c r="A9863" s="2" t="s">
        <v>176</v>
      </c>
    </row>
    <row r="9864" spans="1:1" ht="12.75">
      <c r="A9864" s="2" t="s">
        <v>223</v>
      </c>
    </row>
    <row r="9865" spans="1:1" ht="12.75">
      <c r="A9865" s="2" t="s">
        <v>176</v>
      </c>
    </row>
    <row r="9866" spans="1:1" ht="12.75">
      <c r="A9866" s="2" t="s">
        <v>168</v>
      </c>
    </row>
    <row r="9867" spans="1:1" ht="12.75">
      <c r="A9867" s="2" t="s">
        <v>164</v>
      </c>
    </row>
    <row r="9868" spans="1:1" ht="12.75">
      <c r="A9868" s="2" t="s">
        <v>168</v>
      </c>
    </row>
    <row r="9869" spans="1:1" ht="12.75">
      <c r="A9869" s="2" t="s">
        <v>225</v>
      </c>
    </row>
    <row r="9870" spans="1:1" ht="12.75">
      <c r="A9870" s="2" t="s">
        <v>182</v>
      </c>
    </row>
    <row r="9871" spans="1:1" ht="12.75">
      <c r="A9871" s="2" t="s">
        <v>181</v>
      </c>
    </row>
    <row r="9872" spans="1:1" ht="12.75">
      <c r="A9872" s="2" t="s">
        <v>183</v>
      </c>
    </row>
    <row r="9873" spans="1:1" ht="12.75">
      <c r="A9873" s="2" t="s">
        <v>181</v>
      </c>
    </row>
    <row r="9874" spans="1:1" ht="12.75">
      <c r="A9874" s="2" t="s">
        <v>183</v>
      </c>
    </row>
    <row r="9875" spans="1:1" ht="12.75">
      <c r="A9875" s="2" t="s">
        <v>182</v>
      </c>
    </row>
    <row r="9876" spans="1:1" ht="12.75">
      <c r="A9876" s="2" t="s">
        <v>183</v>
      </c>
    </row>
    <row r="9877" spans="1:1" ht="12.75">
      <c r="A9877" s="2" t="s">
        <v>182</v>
      </c>
    </row>
    <row r="9878" spans="1:1" ht="12.75">
      <c r="A9878" s="2" t="s">
        <v>161</v>
      </c>
    </row>
    <row r="9879" spans="1:1" ht="12.75">
      <c r="A9879" s="2" t="s">
        <v>165</v>
      </c>
    </row>
    <row r="9880" spans="1:1" ht="12.75">
      <c r="A9880" s="2" t="s">
        <v>161</v>
      </c>
    </row>
    <row r="9881" spans="1:1" ht="12.75">
      <c r="A9881" s="2" t="s">
        <v>165</v>
      </c>
    </row>
    <row r="9882" spans="1:1" ht="12.75">
      <c r="A9882" s="2" t="s">
        <v>181</v>
      </c>
    </row>
    <row r="9883" spans="1:1" ht="12.75">
      <c r="A9883" s="2" t="s">
        <v>173</v>
      </c>
    </row>
    <row r="9884" spans="1:1" ht="12.75">
      <c r="A9884" s="2" t="s">
        <v>176</v>
      </c>
    </row>
    <row r="9885" spans="1:1" ht="12.75">
      <c r="A9885" s="2" t="s">
        <v>223</v>
      </c>
    </row>
    <row r="9886" spans="1:1" ht="12.75">
      <c r="A9886" s="2" t="s">
        <v>176</v>
      </c>
    </row>
    <row r="9887" spans="1:1" ht="12.75">
      <c r="A9887" s="2" t="s">
        <v>189</v>
      </c>
    </row>
    <row r="9888" spans="1:1" ht="12.75">
      <c r="A9888" s="2" t="s">
        <v>181</v>
      </c>
    </row>
    <row r="9889" spans="1:1" ht="12.75">
      <c r="A9889" s="2" t="s">
        <v>176</v>
      </c>
    </row>
    <row r="9890" spans="1:1" ht="12.75">
      <c r="A9890" s="2" t="s">
        <v>182</v>
      </c>
    </row>
    <row r="9891" spans="1:1" ht="12.75">
      <c r="A9891" s="2" t="s">
        <v>176</v>
      </c>
    </row>
    <row r="9892" spans="1:1" ht="12.75">
      <c r="A9892" s="2" t="s">
        <v>183</v>
      </c>
    </row>
    <row r="9893" spans="1:1" ht="12.75">
      <c r="A9893" s="2" t="s">
        <v>173</v>
      </c>
    </row>
    <row r="9894" spans="1:1" ht="12.75">
      <c r="A9894" s="2" t="s">
        <v>171</v>
      </c>
    </row>
    <row r="9895" spans="1:1" ht="12.75">
      <c r="A9895" s="2" t="s">
        <v>173</v>
      </c>
    </row>
    <row r="9896" spans="1:1" ht="12.75">
      <c r="A9896" s="2" t="s">
        <v>225</v>
      </c>
    </row>
    <row r="9897" spans="1:1" ht="12.75">
      <c r="A9897" s="2" t="s">
        <v>163</v>
      </c>
    </row>
    <row r="9898" spans="1:1" ht="12.75">
      <c r="A9898" s="2" t="s">
        <v>225</v>
      </c>
    </row>
    <row r="9899" spans="1:1" ht="12.75">
      <c r="A9899" s="2" t="s">
        <v>163</v>
      </c>
    </row>
    <row r="9900" spans="1:1" ht="12.75">
      <c r="A9900" s="2" t="s">
        <v>176</v>
      </c>
    </row>
    <row r="9901" spans="1:1" ht="12.75">
      <c r="A9901" s="2" t="s">
        <v>176</v>
      </c>
    </row>
    <row r="9902" spans="1:1" ht="12.75">
      <c r="A9902" s="2" t="s">
        <v>182</v>
      </c>
    </row>
    <row r="9903" spans="1:1" ht="12.75">
      <c r="A9903" s="2" t="s">
        <v>181</v>
      </c>
    </row>
    <row r="9904" spans="1:1" ht="12.75">
      <c r="A9904" s="2" t="s">
        <v>182</v>
      </c>
    </row>
    <row r="9905" spans="1:1" ht="12.75">
      <c r="A9905" s="2" t="s">
        <v>181</v>
      </c>
    </row>
    <row r="9906" spans="1:1" ht="12.75">
      <c r="A9906" s="2" t="s">
        <v>182</v>
      </c>
    </row>
    <row r="9907" spans="1:1" ht="12.75">
      <c r="A9907" s="2" t="s">
        <v>181</v>
      </c>
    </row>
    <row r="9908" spans="1:1" ht="12.75">
      <c r="A9908" s="2" t="s">
        <v>194</v>
      </c>
    </row>
    <row r="9909" spans="1:1" ht="12.75">
      <c r="A9909" s="2" t="s">
        <v>173</v>
      </c>
    </row>
    <row r="9910" spans="1:1" ht="12.75">
      <c r="A9910" s="2" t="s">
        <v>194</v>
      </c>
    </row>
    <row r="9911" spans="1:1" ht="12.75">
      <c r="A9911" s="2" t="s">
        <v>194</v>
      </c>
    </row>
    <row r="9912" spans="1:1" ht="12.75">
      <c r="A9912" s="2" t="s">
        <v>166</v>
      </c>
    </row>
    <row r="9914" spans="1:1" ht="12.75">
      <c r="A9914" s="2" t="s">
        <v>173</v>
      </c>
    </row>
    <row r="9915" spans="1:1" ht="12.75">
      <c r="A9915" s="2" t="s">
        <v>225</v>
      </c>
    </row>
    <row r="9916" spans="1:1" ht="12.75">
      <c r="A9916" s="2" t="s">
        <v>191</v>
      </c>
    </row>
    <row r="9917" spans="1:1" ht="12.75">
      <c r="A9917" s="2" t="s">
        <v>164</v>
      </c>
    </row>
    <row r="9918" spans="1:1" ht="12.75">
      <c r="A9918" s="2" t="s">
        <v>191</v>
      </c>
    </row>
    <row r="9919" spans="1:1" ht="12.75">
      <c r="A9919" s="2" t="s">
        <v>171</v>
      </c>
    </row>
    <row r="9920" spans="1:1" ht="12.75">
      <c r="A9920" s="2" t="s">
        <v>164</v>
      </c>
    </row>
    <row r="9921" spans="1:1" ht="12.75">
      <c r="A9921" s="2" t="s">
        <v>166</v>
      </c>
    </row>
    <row r="9922" spans="1:1" ht="12.75">
      <c r="A9922" s="2" t="s">
        <v>164</v>
      </c>
    </row>
    <row r="9923" spans="1:1" ht="12.75">
      <c r="A9923" s="2" t="s">
        <v>164</v>
      </c>
    </row>
    <row r="9924" spans="1:1" ht="12.75">
      <c r="A9924" s="2" t="s">
        <v>176</v>
      </c>
    </row>
    <row r="9925" spans="1:1" ht="12.75">
      <c r="A9925" s="2" t="s">
        <v>224</v>
      </c>
    </row>
    <row r="9926" spans="1:1" ht="12.75">
      <c r="A9926" s="2" t="s">
        <v>223</v>
      </c>
    </row>
    <row r="9927" spans="1:1" ht="12.75">
      <c r="A9927" s="2" t="s">
        <v>189</v>
      </c>
    </row>
    <row r="9928" spans="1:1" ht="12.75">
      <c r="A9928" s="2" t="s">
        <v>166</v>
      </c>
    </row>
    <row r="9929" spans="1:1" ht="12.75">
      <c r="A9929" s="2" t="s">
        <v>165</v>
      </c>
    </row>
    <row r="9930" spans="1:1" ht="12.75">
      <c r="A9930" s="2" t="s">
        <v>224</v>
      </c>
    </row>
    <row r="9931" spans="1:1" ht="12.75">
      <c r="A9931" s="2" t="s">
        <v>165</v>
      </c>
    </row>
    <row r="9932" spans="1:1" ht="12.75">
      <c r="A9932" s="2" t="s">
        <v>168</v>
      </c>
    </row>
    <row r="9933" spans="1:1" ht="12.75">
      <c r="A9933" s="2" t="s">
        <v>176</v>
      </c>
    </row>
    <row r="9934" spans="1:1" ht="12.75">
      <c r="A9934" s="2" t="s">
        <v>168</v>
      </c>
    </row>
    <row r="9935" spans="1:1" ht="12.75">
      <c r="A9935" s="2" t="s">
        <v>176</v>
      </c>
    </row>
    <row r="9936" spans="1:1" ht="12.75">
      <c r="A9936" s="2" t="s">
        <v>183</v>
      </c>
    </row>
    <row r="9937" spans="1:1" ht="12.75">
      <c r="A9937" s="2" t="s">
        <v>182</v>
      </c>
    </row>
    <row r="9938" spans="1:1" ht="12.75">
      <c r="A9938" s="2" t="s">
        <v>183</v>
      </c>
    </row>
    <row r="9939" spans="1:1" ht="12.75">
      <c r="A9939" s="2" t="s">
        <v>182</v>
      </c>
    </row>
    <row r="9940" spans="1:1" ht="12.75">
      <c r="A9940" s="2" t="s">
        <v>176</v>
      </c>
    </row>
    <row r="9941" spans="1:1" ht="12.75">
      <c r="A9941" s="2" t="s">
        <v>183</v>
      </c>
    </row>
    <row r="9942" spans="1:1" ht="12.75">
      <c r="A9942" s="2" t="s">
        <v>194</v>
      </c>
    </row>
    <row r="9943" spans="1:1" ht="12.75">
      <c r="A9943" s="2" t="s">
        <v>194</v>
      </c>
    </row>
    <row r="9944" spans="1:1" ht="12.75">
      <c r="A9944" s="2" t="s">
        <v>182</v>
      </c>
    </row>
    <row r="9946" spans="1:1" ht="12.75">
      <c r="A9946" s="2" t="s">
        <v>176</v>
      </c>
    </row>
    <row r="9947" spans="1:1" ht="12.75">
      <c r="A9947" s="2" t="s">
        <v>171</v>
      </c>
    </row>
    <row r="9948" spans="1:1" ht="12.75">
      <c r="A9948" s="2" t="s">
        <v>173</v>
      </c>
    </row>
    <row r="9949" spans="1:1" ht="12.75">
      <c r="A9949" s="2" t="s">
        <v>173</v>
      </c>
    </row>
    <row r="9950" spans="1:1" ht="12.75">
      <c r="A9950" s="2" t="s">
        <v>183</v>
      </c>
    </row>
    <row r="9951" spans="1:1" ht="12.75">
      <c r="A9951" s="2" t="s">
        <v>182</v>
      </c>
    </row>
    <row r="9952" spans="1:1" ht="12.75">
      <c r="A9952" s="2" t="s">
        <v>176</v>
      </c>
    </row>
    <row r="9953" spans="1:1" ht="12.75">
      <c r="A9953" s="2" t="s">
        <v>183</v>
      </c>
    </row>
    <row r="9954" spans="1:1" ht="12.75">
      <c r="A9954" s="2" t="s">
        <v>176</v>
      </c>
    </row>
    <row r="9955" spans="1:1" ht="12.75">
      <c r="A9955" s="2" t="s">
        <v>183</v>
      </c>
    </row>
    <row r="9956" spans="1:1" ht="12.75">
      <c r="A9956" s="2" t="s">
        <v>181</v>
      </c>
    </row>
    <row r="9957" spans="1:1" ht="12.75">
      <c r="A9957" s="2" t="s">
        <v>194</v>
      </c>
    </row>
    <row r="9958" spans="1:1" ht="12.75">
      <c r="A9958" s="2" t="s">
        <v>181</v>
      </c>
    </row>
    <row r="9959" spans="1:1" ht="12.75">
      <c r="A9959" s="2" t="s">
        <v>194</v>
      </c>
    </row>
    <row r="9960" spans="1:1" ht="12.75">
      <c r="A9960" s="2" t="s">
        <v>182</v>
      </c>
    </row>
    <row r="9961" spans="1:1" ht="12.75">
      <c r="A9961" s="2" t="s">
        <v>194</v>
      </c>
    </row>
    <row r="9962" spans="1:1" ht="12.75">
      <c r="A9962" s="2" t="s">
        <v>182</v>
      </c>
    </row>
    <row r="9963" spans="1:1" ht="12.75">
      <c r="A9963" s="2" t="s">
        <v>181</v>
      </c>
    </row>
    <row r="9964" spans="1:1" ht="12.75">
      <c r="A9964" s="2" t="s">
        <v>173</v>
      </c>
    </row>
    <row r="9965" spans="1:1" ht="12.75">
      <c r="A9965" s="2" t="s">
        <v>191</v>
      </c>
    </row>
    <row r="9966" spans="1:1" ht="12.75">
      <c r="A9966" s="2" t="s">
        <v>173</v>
      </c>
    </row>
    <row r="9967" spans="1:1" ht="12.75">
      <c r="A9967" s="2" t="s">
        <v>225</v>
      </c>
    </row>
    <row r="9968" spans="1:1" ht="12.75">
      <c r="A9968" s="2" t="s">
        <v>173</v>
      </c>
    </row>
    <row r="9969" spans="1:1" ht="12.75">
      <c r="A9969" s="2" t="s">
        <v>225</v>
      </c>
    </row>
    <row r="9970" spans="1:1" ht="12.75">
      <c r="A9970" s="2" t="s">
        <v>177</v>
      </c>
    </row>
    <row r="9971" spans="1:1" ht="12.75">
      <c r="A9971" s="2" t="s">
        <v>176</v>
      </c>
    </row>
    <row r="9972" spans="1:1" ht="12.75">
      <c r="A9972" s="2" t="s">
        <v>162</v>
      </c>
    </row>
    <row r="9973" spans="1:1" ht="12.75">
      <c r="A9973" s="2" t="s">
        <v>176</v>
      </c>
    </row>
    <row r="9974" spans="1:1" ht="12.75">
      <c r="A9974" s="2" t="s">
        <v>223</v>
      </c>
    </row>
    <row r="9975" spans="1:1" ht="12.75">
      <c r="A9975" s="2" t="s">
        <v>168</v>
      </c>
    </row>
    <row r="9976" spans="1:1" ht="12.75">
      <c r="A9976" s="2" t="s">
        <v>171</v>
      </c>
    </row>
    <row r="9977" spans="1:1" ht="12.75">
      <c r="A9977" s="2" t="s">
        <v>168</v>
      </c>
    </row>
    <row r="9978" spans="1:1" ht="12.75">
      <c r="A9978" s="2" t="s">
        <v>191</v>
      </c>
    </row>
    <row r="9979" spans="1:1" ht="12.75">
      <c r="A9979" s="2" t="s">
        <v>177</v>
      </c>
    </row>
    <row r="9980" spans="1:1" ht="12.75">
      <c r="A9980" s="2" t="s">
        <v>172</v>
      </c>
    </row>
    <row r="9981" spans="1:1" ht="12.75">
      <c r="A9981" s="2" t="s">
        <v>182</v>
      </c>
    </row>
    <row r="9982" spans="1:1" ht="12.75">
      <c r="A9982" s="2" t="s">
        <v>172</v>
      </c>
    </row>
    <row r="9983" spans="1:1" ht="12.75">
      <c r="A9983" s="2" t="s">
        <v>172</v>
      </c>
    </row>
    <row r="9984" spans="1:1" ht="12.75">
      <c r="A9984" s="2" t="s">
        <v>172</v>
      </c>
    </row>
    <row r="9985" spans="1:1" ht="12.75">
      <c r="A9985" s="2" t="s">
        <v>183</v>
      </c>
    </row>
    <row r="9986" spans="1:1" ht="12.75">
      <c r="A9986" s="2" t="s">
        <v>176</v>
      </c>
    </row>
    <row r="9987" spans="1:1" ht="12.75">
      <c r="A9987" s="2" t="s">
        <v>183</v>
      </c>
    </row>
    <row r="9988" spans="1:1" ht="12.75">
      <c r="A9988" s="2" t="s">
        <v>181</v>
      </c>
    </row>
    <row r="9989" spans="1:1" ht="12.75">
      <c r="A9989" s="2" t="s">
        <v>172</v>
      </c>
    </row>
    <row r="9990" spans="1:1" ht="12.75">
      <c r="A9990" s="2" t="s">
        <v>181</v>
      </c>
    </row>
    <row r="9991" spans="1:1" ht="12.75">
      <c r="A9991" s="2" t="s">
        <v>173</v>
      </c>
    </row>
    <row r="9992" spans="1:1" ht="12.75">
      <c r="A9992" s="2" t="s">
        <v>182</v>
      </c>
    </row>
    <row r="9993" spans="1:1" ht="12.75">
      <c r="A9993" s="2" t="s">
        <v>173</v>
      </c>
    </row>
    <row r="9994" spans="1:1" ht="12.75">
      <c r="A9994" s="2" t="s">
        <v>182</v>
      </c>
    </row>
    <row r="9995" spans="1:1" ht="12.75">
      <c r="A9995" s="2" t="s">
        <v>181</v>
      </c>
    </row>
    <row r="9996" spans="1:1" ht="12.75">
      <c r="A9996" s="2" t="s">
        <v>225</v>
      </c>
    </row>
    <row r="9997" spans="1:1" ht="12.75">
      <c r="A9997" s="2" t="s">
        <v>161</v>
      </c>
    </row>
    <row r="9998" spans="1:1" ht="12.75">
      <c r="A9998" s="2" t="s">
        <v>225</v>
      </c>
    </row>
    <row r="9999" spans="1:1" ht="12.75">
      <c r="A9999" s="2" t="s">
        <v>171</v>
      </c>
    </row>
    <row r="10000" spans="1:1" ht="12.75">
      <c r="A10000" s="2" t="s">
        <v>176</v>
      </c>
    </row>
    <row r="10001" spans="1:1" ht="12.75">
      <c r="A10001" s="2" t="s">
        <v>168</v>
      </c>
    </row>
    <row r="10002" spans="1:1" ht="12.75">
      <c r="A10002" s="2" t="s">
        <v>165</v>
      </c>
    </row>
    <row r="10003" spans="1:1" ht="12.75">
      <c r="A10003" s="2" t="s">
        <v>168</v>
      </c>
    </row>
    <row r="10004" spans="1:1" ht="12.75">
      <c r="A10004" s="2" t="s">
        <v>183</v>
      </c>
    </row>
    <row r="10005" spans="1:1" ht="12.75">
      <c r="A10005" s="2" t="s">
        <v>182</v>
      </c>
    </row>
    <row r="10006" spans="1:1" ht="12.75">
      <c r="A10006" s="2" t="s">
        <v>183</v>
      </c>
    </row>
    <row r="10007" spans="1:1" ht="12.75">
      <c r="A10007" s="2" t="s">
        <v>183</v>
      </c>
    </row>
    <row r="10008" spans="1:1" ht="12.75">
      <c r="A10008" s="2" t="s">
        <v>181</v>
      </c>
    </row>
    <row r="10009" spans="1:1" ht="12.75">
      <c r="A10009" s="2" t="s">
        <v>194</v>
      </c>
    </row>
    <row r="10010" spans="1:1" ht="12.75">
      <c r="A10010" s="2" t="s">
        <v>182</v>
      </c>
    </row>
    <row r="10011" spans="1:1" ht="12.75">
      <c r="A10011" s="2" t="s">
        <v>181</v>
      </c>
    </row>
    <row r="10012" spans="1:1" ht="12.75">
      <c r="A10012" s="2" t="s">
        <v>182</v>
      </c>
    </row>
    <row r="10013" spans="1:1" ht="12.75">
      <c r="A10013" s="2" t="s">
        <v>181</v>
      </c>
    </row>
    <row r="10014" spans="1:1" ht="12.75">
      <c r="A10014" s="2" t="s">
        <v>173</v>
      </c>
    </row>
    <row r="10015" spans="1:1" ht="12.75">
      <c r="A10015" s="2" t="s">
        <v>225</v>
      </c>
    </row>
    <row r="10016" spans="1:1" ht="12.75">
      <c r="A10016" s="2" t="s">
        <v>173</v>
      </c>
    </row>
    <row r="10017" spans="1:1" ht="12.75">
      <c r="A10017" s="2" t="s">
        <v>225</v>
      </c>
    </row>
    <row r="10018" spans="1:1" ht="12.75">
      <c r="A10018" s="2" t="s">
        <v>194</v>
      </c>
    </row>
    <row r="10019" spans="1:1" ht="12.75">
      <c r="A10019" s="2" t="s">
        <v>225</v>
      </c>
    </row>
    <row r="10020" spans="1:1" ht="12.75">
      <c r="A10020" s="2" t="s">
        <v>194</v>
      </c>
    </row>
    <row r="10021" spans="1:1" ht="12.75">
      <c r="A10021" s="2" t="s">
        <v>173</v>
      </c>
    </row>
    <row r="10022" spans="1:1" ht="12.75">
      <c r="A10022" s="2" t="s">
        <v>164</v>
      </c>
    </row>
    <row r="10023" spans="1:1" ht="12.75">
      <c r="A10023" s="2" t="s">
        <v>225</v>
      </c>
    </row>
    <row r="10024" spans="1:1" ht="12.75">
      <c r="A10024" s="2" t="s">
        <v>171</v>
      </c>
    </row>
    <row r="10025" spans="1:1" ht="12.75">
      <c r="A10025" s="2" t="s">
        <v>164</v>
      </c>
    </row>
    <row r="10026" spans="1:1" ht="12.75">
      <c r="A10026" s="2" t="s">
        <v>182</v>
      </c>
    </row>
    <row r="10028" spans="1:1" ht="12.75">
      <c r="A10028" s="2" t="s">
        <v>165</v>
      </c>
    </row>
    <row r="10029" spans="1:1" ht="12.75">
      <c r="A10029" s="2" t="s">
        <v>168</v>
      </c>
    </row>
    <row r="10030" spans="1:1" ht="12.75">
      <c r="A10030" s="2" t="s">
        <v>225</v>
      </c>
    </row>
    <row r="10031" spans="1:1" ht="12.75">
      <c r="A10031" s="2" t="s">
        <v>165</v>
      </c>
    </row>
    <row r="10032" spans="1:1" ht="12.75">
      <c r="A10032" s="2" t="s">
        <v>168</v>
      </c>
    </row>
    <row r="10033" spans="1:1" ht="12.75">
      <c r="A10033" s="2" t="s">
        <v>176</v>
      </c>
    </row>
    <row r="10034" spans="1:1" ht="12.75">
      <c r="A10034" s="2" t="s">
        <v>176</v>
      </c>
    </row>
    <row r="10035" spans="1:1" ht="12.75">
      <c r="A10035" s="2" t="s">
        <v>183</v>
      </c>
    </row>
    <row r="10036" spans="1:1" ht="12.75">
      <c r="A10036" s="2" t="s">
        <v>176</v>
      </c>
    </row>
    <row r="10037" spans="1:1" ht="12.75">
      <c r="A10037" s="2" t="s">
        <v>183</v>
      </c>
    </row>
    <row r="10038" spans="1:1" ht="12.75">
      <c r="A10038" s="2" t="s">
        <v>176</v>
      </c>
    </row>
    <row r="10039" spans="1:1" ht="12.75">
      <c r="A10039" s="2" t="s">
        <v>189</v>
      </c>
    </row>
    <row r="10040" spans="1:1" ht="12.75">
      <c r="A10040" s="2" t="s">
        <v>182</v>
      </c>
    </row>
    <row r="10041" spans="1:1" ht="12.75">
      <c r="A10041" s="2" t="s">
        <v>164</v>
      </c>
    </row>
    <row r="10042" spans="1:1" ht="12.75">
      <c r="A10042" s="2" t="s">
        <v>182</v>
      </c>
    </row>
    <row r="10043" spans="1:1" ht="12.75">
      <c r="A10043" s="2" t="s">
        <v>164</v>
      </c>
    </row>
    <row r="10044" spans="1:1" ht="12.75">
      <c r="A10044" s="2" t="s">
        <v>182</v>
      </c>
    </row>
    <row r="10045" spans="1:1" ht="12.75">
      <c r="A10045" s="2" t="s">
        <v>164</v>
      </c>
    </row>
    <row r="10046" spans="1:1" ht="12.75">
      <c r="A10046" s="2" t="s">
        <v>194</v>
      </c>
    </row>
    <row r="10047" spans="1:1" ht="12.75">
      <c r="A10047" s="2" t="s">
        <v>173</v>
      </c>
    </row>
    <row r="10048" spans="1:1" ht="12.75">
      <c r="A10048" s="2" t="s">
        <v>194</v>
      </c>
    </row>
    <row r="10049" spans="1:1" ht="12.75">
      <c r="A10049" s="2" t="s">
        <v>194</v>
      </c>
    </row>
    <row r="10050" spans="1:1" ht="12.75">
      <c r="A10050" s="2" t="s">
        <v>223</v>
      </c>
    </row>
    <row r="10100" spans="1:1" ht="12.75">
      <c r="A10100" s="2" t="s">
        <v>152</v>
      </c>
    </row>
    <row r="10101" spans="1:1" ht="12.75">
      <c r="A10101" s="2" t="s">
        <v>152</v>
      </c>
    </row>
    <row r="10102" spans="1:1" ht="12.75">
      <c r="A10102" s="2" t="s">
        <v>152</v>
      </c>
    </row>
    <row r="10103" spans="1:1" ht="12.75">
      <c r="A10103" s="2" t="s">
        <v>152</v>
      </c>
    </row>
    <row r="10104" spans="1:1" ht="12.75">
      <c r="A10104" s="2" t="s">
        <v>152</v>
      </c>
    </row>
    <row r="10105" spans="1:1" ht="12.75">
      <c r="A10105" s="2" t="s">
        <v>152</v>
      </c>
    </row>
    <row r="10106" spans="1:1" ht="12.75">
      <c r="A10106" s="2" t="s">
        <v>152</v>
      </c>
    </row>
    <row r="10107" spans="1:1" ht="12.75">
      <c r="A10107" s="2" t="s">
        <v>152</v>
      </c>
    </row>
    <row r="10108" spans="1:1" ht="12.75">
      <c r="A10108" s="2" t="s">
        <v>197</v>
      </c>
    </row>
    <row r="10109" spans="1:1" ht="12.75">
      <c r="A10109" s="2" t="s">
        <v>152</v>
      </c>
    </row>
    <row r="10110" spans="1:1" ht="12.75">
      <c r="A10110" s="2" t="s">
        <v>152</v>
      </c>
    </row>
    <row r="10111" spans="1:1" ht="12.75">
      <c r="A10111" s="2" t="s">
        <v>152</v>
      </c>
    </row>
    <row r="10112" spans="1:1" ht="12.75">
      <c r="A10112" s="2" t="s">
        <v>152</v>
      </c>
    </row>
    <row r="10113" spans="1:1" ht="12.75">
      <c r="A10113" s="2" t="s">
        <v>152</v>
      </c>
    </row>
    <row r="10114" spans="1:1" ht="12.75">
      <c r="A10114" s="2" t="s">
        <v>152</v>
      </c>
    </row>
    <row r="10115" spans="1:1" ht="12.75">
      <c r="A10115" s="2" t="s">
        <v>183</v>
      </c>
    </row>
    <row r="10116" spans="1:1" ht="12.75">
      <c r="A10116" s="2" t="s">
        <v>181</v>
      </c>
    </row>
    <row r="10117" spans="1:1" ht="12.75">
      <c r="A10117" s="2" t="s">
        <v>183</v>
      </c>
    </row>
    <row r="10118" spans="1:1" ht="12.75">
      <c r="A10118" s="2" t="s">
        <v>181</v>
      </c>
    </row>
    <row r="10119" spans="1:1" ht="12.75">
      <c r="A10119" s="2" t="s">
        <v>191</v>
      </c>
    </row>
    <row r="10120" spans="1:1" ht="12.75">
      <c r="A10120" s="2" t="s">
        <v>182</v>
      </c>
    </row>
    <row r="10121" spans="1:1" ht="12.75">
      <c r="A10121" s="2" t="s">
        <v>164</v>
      </c>
    </row>
    <row r="10122" spans="1:1" ht="12.75">
      <c r="A10122" s="2" t="s">
        <v>182</v>
      </c>
    </row>
    <row r="10124" spans="1:1" ht="12.75">
      <c r="A10124" s="2" t="s">
        <v>182</v>
      </c>
    </row>
    <row r="10127" spans="1:1" ht="12.75">
      <c r="A10127" s="2" t="s">
        <v>163</v>
      </c>
    </row>
    <row r="10128" spans="1:1" ht="12.75">
      <c r="A10128" s="2" t="s">
        <v>163</v>
      </c>
    </row>
    <row r="10129" spans="1:1" ht="12.75">
      <c r="A10129" s="2" t="s">
        <v>181</v>
      </c>
    </row>
    <row r="10130" spans="1:1" ht="12.75">
      <c r="A10130" s="2" t="s">
        <v>163</v>
      </c>
    </row>
    <row r="10131" spans="1:1" ht="12.75">
      <c r="A10131" s="2" t="s">
        <v>191</v>
      </c>
    </row>
    <row r="10132" spans="1:1" ht="12.75">
      <c r="A10132" s="2" t="s">
        <v>176</v>
      </c>
    </row>
    <row r="10133" spans="1:1" ht="12.75">
      <c r="A10133" s="2" t="s">
        <v>165</v>
      </c>
    </row>
    <row r="10134" spans="1:1" ht="12.75">
      <c r="A10134" s="2" t="s">
        <v>575</v>
      </c>
    </row>
    <row r="10135" spans="1:1" ht="12.75">
      <c r="A10135" s="2" t="s">
        <v>176</v>
      </c>
    </row>
    <row r="10136" spans="1:1" ht="12.75">
      <c r="A10136" s="2" t="s">
        <v>194</v>
      </c>
    </row>
    <row r="10137" spans="1:1" ht="12.75">
      <c r="A10137" s="2" t="s">
        <v>173</v>
      </c>
    </row>
    <row r="10138" spans="1:1" ht="12.75">
      <c r="A10138" s="2" t="s">
        <v>171</v>
      </c>
    </row>
    <row r="10139" spans="1:1" ht="12.75">
      <c r="A10139" s="2" t="s">
        <v>173</v>
      </c>
    </row>
    <row r="10140" spans="1:1" ht="12.75">
      <c r="A10140" s="2" t="s">
        <v>191</v>
      </c>
    </row>
    <row r="10141" spans="1:1" ht="12.75">
      <c r="A10141" s="2" t="s">
        <v>176</v>
      </c>
    </row>
    <row r="10142" spans="1:1" ht="12.75">
      <c r="A10142" s="2" t="s">
        <v>168</v>
      </c>
    </row>
    <row r="10143" spans="1:1" ht="12.75">
      <c r="A10143" s="2" t="s">
        <v>176</v>
      </c>
    </row>
    <row r="10144" spans="1:1" ht="12.75">
      <c r="A10144" s="2" t="s">
        <v>168</v>
      </c>
    </row>
    <row r="10145" spans="1:1" ht="12.75">
      <c r="A10145" s="2" t="s">
        <v>183</v>
      </c>
    </row>
    <row r="10146" spans="1:1" ht="12.75">
      <c r="A10146" s="2" t="s">
        <v>182</v>
      </c>
    </row>
    <row r="10147" spans="1:1" ht="12.75">
      <c r="A10147" s="2" t="s">
        <v>183</v>
      </c>
    </row>
    <row r="10148" spans="1:1" ht="12.75">
      <c r="A10148" s="2" t="s">
        <v>191</v>
      </c>
    </row>
    <row r="10165" spans="1:1" ht="12.75">
      <c r="A10165" s="2" t="s">
        <v>194</v>
      </c>
    </row>
    <row r="10166" spans="1:1" ht="12.75">
      <c r="A10166" s="2" t="s">
        <v>166</v>
      </c>
    </row>
    <row r="10167" spans="1:1" ht="12.75">
      <c r="A10167" s="2" t="s">
        <v>194</v>
      </c>
    </row>
    <row r="10168" spans="1:1" ht="12.75">
      <c r="A10168" s="2" t="s">
        <v>166</v>
      </c>
    </row>
    <row r="10169" spans="1:1" ht="12.75">
      <c r="A10169" s="2" t="s">
        <v>161</v>
      </c>
    </row>
    <row r="10170" spans="1:1" ht="12.75">
      <c r="A10170" s="2" t="s">
        <v>166</v>
      </c>
    </row>
    <row r="10171" spans="1:1" ht="12.75">
      <c r="A10171" s="2" t="s">
        <v>161</v>
      </c>
    </row>
    <row r="10172" spans="1:1" ht="12.75">
      <c r="A10172" s="2" t="s">
        <v>194</v>
      </c>
    </row>
    <row r="10173" spans="1:1" ht="12.75">
      <c r="A10173" s="2" t="s">
        <v>168</v>
      </c>
    </row>
    <row r="10174" spans="1:1" ht="12.75">
      <c r="A10174" s="2" t="s">
        <v>223</v>
      </c>
    </row>
    <row r="10175" spans="1:1" ht="12.75">
      <c r="A10175" s="2" t="s">
        <v>168</v>
      </c>
    </row>
    <row r="10176" spans="1:1" ht="12.75">
      <c r="A10176" s="2" t="s">
        <v>223</v>
      </c>
    </row>
    <row r="10177" spans="1:1" ht="12.75">
      <c r="A10177" s="2" t="s">
        <v>223</v>
      </c>
    </row>
    <row r="10178" spans="1:1" ht="12.75">
      <c r="A10178" s="2" t="s">
        <v>161</v>
      </c>
    </row>
    <row r="10179" spans="1:1" ht="12.75">
      <c r="A10179" s="2" t="s">
        <v>223</v>
      </c>
    </row>
    <row r="10180" spans="1:1" ht="12.75">
      <c r="A10180" s="2" t="s">
        <v>171</v>
      </c>
    </row>
    <row r="10181" spans="1:1" ht="12.75">
      <c r="A10181" s="2" t="s">
        <v>165</v>
      </c>
    </row>
    <row r="10182" spans="1:1" ht="12.75">
      <c r="A10182" s="2" t="s">
        <v>176</v>
      </c>
    </row>
    <row r="10183" spans="1:1" ht="12.75">
      <c r="A10183" s="2" t="s">
        <v>165</v>
      </c>
    </row>
    <row r="10184" spans="1:1" ht="12.75">
      <c r="A10184" s="2" t="s">
        <v>165</v>
      </c>
    </row>
    <row r="10185" spans="1:1" ht="12.75">
      <c r="A10185" s="2" t="s">
        <v>164</v>
      </c>
    </row>
    <row r="10186" spans="1:1" ht="12.75">
      <c r="A10186" s="2" t="s">
        <v>182</v>
      </c>
    </row>
    <row r="10187" spans="1:1" ht="12.75">
      <c r="A10187" s="2" t="s">
        <v>164</v>
      </c>
    </row>
    <row r="10188" spans="1:1" ht="12.75">
      <c r="A10188" s="2" t="s">
        <v>182</v>
      </c>
    </row>
    <row r="10189" spans="1:1" ht="12.75">
      <c r="A10189" s="2" t="s">
        <v>176</v>
      </c>
    </row>
    <row r="10190" spans="1:1" ht="12.75">
      <c r="A10190" s="2" t="s">
        <v>164</v>
      </c>
    </row>
    <row r="10191" spans="1:1" ht="12.75">
      <c r="A10191" s="2" t="s">
        <v>181</v>
      </c>
    </row>
    <row r="10192" spans="1:1" ht="12.75">
      <c r="A10192" s="2" t="s">
        <v>223</v>
      </c>
    </row>
    <row r="10193" spans="1:1" ht="12.75">
      <c r="A10193" s="2" t="s">
        <v>181</v>
      </c>
    </row>
    <row r="10194" spans="1:1" ht="12.75">
      <c r="A10194" s="2" t="s">
        <v>194</v>
      </c>
    </row>
    <row r="10195" spans="1:1" ht="12.75">
      <c r="A10195" s="2" t="s">
        <v>181</v>
      </c>
    </row>
    <row r="10196" spans="1:1" ht="12.75">
      <c r="A10196" s="2" t="s">
        <v>194</v>
      </c>
    </row>
    <row r="10197" spans="1:1" ht="12.75">
      <c r="A10197" s="2" t="s">
        <v>182</v>
      </c>
    </row>
    <row r="10198" spans="1:1" ht="12.75">
      <c r="A10198" s="2" t="s">
        <v>194</v>
      </c>
    </row>
    <row r="10199" spans="1:1" ht="12.75">
      <c r="A10199" s="2" t="s">
        <v>225</v>
      </c>
    </row>
    <row r="10200" spans="1:1" ht="12.75">
      <c r="A10200" s="2" t="s">
        <v>161</v>
      </c>
    </row>
    <row r="10201" spans="1:1" ht="12.75">
      <c r="A10201" s="2" t="s">
        <v>173</v>
      </c>
    </row>
    <row r="10202" spans="1:1" ht="12.75">
      <c r="A10202" s="2" t="s">
        <v>189</v>
      </c>
    </row>
    <row r="10203" spans="1:1" ht="12.75">
      <c r="A10203" s="2" t="s">
        <v>223</v>
      </c>
    </row>
    <row r="10204" spans="1:1" ht="12.75">
      <c r="A10204" s="2" t="s">
        <v>225</v>
      </c>
    </row>
    <row r="10205" spans="1:1" ht="12.75">
      <c r="A10205" s="2" t="s">
        <v>224</v>
      </c>
    </row>
    <row r="10206" spans="1:1" ht="12.75">
      <c r="A10206" s="2" t="s">
        <v>176</v>
      </c>
    </row>
    <row r="10207" spans="1:1" ht="12.75">
      <c r="A10207" s="2" t="s">
        <v>224</v>
      </c>
    </row>
    <row r="10208" spans="1:1" ht="12.75">
      <c r="A10208" s="2" t="s">
        <v>168</v>
      </c>
    </row>
    <row r="10209" spans="1:1" ht="12.75">
      <c r="A10209" s="2" t="s">
        <v>171</v>
      </c>
    </row>
    <row r="10210" spans="1:1" ht="12.75">
      <c r="A10210" s="2" t="s">
        <v>168</v>
      </c>
    </row>
    <row r="10211" spans="1:1" ht="12.75">
      <c r="A10211" s="2" t="s">
        <v>173</v>
      </c>
    </row>
    <row r="10212" spans="1:1" ht="12.75">
      <c r="A10212" s="2" t="s">
        <v>163</v>
      </c>
    </row>
    <row r="10213" spans="1:1" ht="12.75">
      <c r="A10213" s="2" t="s">
        <v>173</v>
      </c>
    </row>
    <row r="10214" spans="1:1" ht="12.75">
      <c r="A10214" s="2" t="s">
        <v>163</v>
      </c>
    </row>
    <row r="10215" spans="1:1" ht="12.75">
      <c r="A10215" s="2" t="s">
        <v>280</v>
      </c>
    </row>
    <row r="10216" spans="1:1" ht="12.75">
      <c r="A10216" s="2" t="s">
        <v>280</v>
      </c>
    </row>
    <row r="10217" spans="1:1" ht="12.75">
      <c r="A10217" s="2" t="s">
        <v>280</v>
      </c>
    </row>
    <row r="10218" spans="1:1" ht="12.75">
      <c r="A10218" s="2" t="s">
        <v>280</v>
      </c>
    </row>
    <row r="10219" spans="1:1" ht="12.75">
      <c r="A10219" s="2" t="s">
        <v>576</v>
      </c>
    </row>
    <row r="10220" spans="1:1" ht="12.75">
      <c r="A10220" s="2" t="s">
        <v>576</v>
      </c>
    </row>
    <row r="10221" spans="1:1" ht="12.75">
      <c r="A10221" s="2" t="s">
        <v>529</v>
      </c>
    </row>
    <row r="10222" spans="1:1" ht="12.75">
      <c r="A10222" s="2" t="s">
        <v>576</v>
      </c>
    </row>
    <row r="10223" spans="1:1" ht="12.75">
      <c r="A10223" s="2" t="s">
        <v>576</v>
      </c>
    </row>
    <row r="10224" spans="1:1" ht="12.75">
      <c r="A10224" s="2" t="s">
        <v>576</v>
      </c>
    </row>
    <row r="10225" spans="1:1" ht="12.75">
      <c r="A10225" s="2" t="s">
        <v>514</v>
      </c>
    </row>
    <row r="10226" spans="1:1" ht="12.75">
      <c r="A10226" s="2" t="s">
        <v>576</v>
      </c>
    </row>
    <row r="10227" spans="1:1" ht="12.75">
      <c r="A10227" s="2" t="s">
        <v>530</v>
      </c>
    </row>
    <row r="10228" spans="1:1" ht="12.75">
      <c r="A10228" s="2" t="s">
        <v>532</v>
      </c>
    </row>
    <row r="10229" spans="1:1" ht="12.75">
      <c r="A10229" s="2" t="s">
        <v>532</v>
      </c>
    </row>
    <row r="10230" spans="1:1" ht="12.75">
      <c r="A10230" s="2" t="s">
        <v>546</v>
      </c>
    </row>
    <row r="10231" spans="1:1" ht="12.75">
      <c r="A10231" s="2" t="s">
        <v>546</v>
      </c>
    </row>
    <row r="10232" spans="1:1" ht="12.75">
      <c r="A10232" s="2" t="s">
        <v>530</v>
      </c>
    </row>
    <row r="10233" spans="1:1" ht="12.75">
      <c r="A10233" s="2" t="s">
        <v>532</v>
      </c>
    </row>
    <row r="10234" spans="1:1" ht="12.75">
      <c r="A10234" s="2" t="s">
        <v>532</v>
      </c>
    </row>
    <row r="10235" spans="1:1" ht="12.75">
      <c r="A10235" s="2" t="s">
        <v>577</v>
      </c>
    </row>
    <row r="10236" spans="1:1" ht="12.75">
      <c r="A10236" s="2" t="s">
        <v>528</v>
      </c>
    </row>
    <row r="10237" spans="1:1" ht="12.75">
      <c r="A10237" s="2" t="s">
        <v>512</v>
      </c>
    </row>
    <row r="10238" spans="1:1" ht="12.75">
      <c r="A10238" s="2" t="s">
        <v>576</v>
      </c>
    </row>
    <row r="10241" spans="1:1" ht="12.75">
      <c r="A10241" s="2" t="s">
        <v>528</v>
      </c>
    </row>
    <row r="10242" spans="1:1" ht="12.75">
      <c r="A10242" s="2" t="s">
        <v>528</v>
      </c>
    </row>
    <row r="10243" spans="1:1" ht="12.75">
      <c r="A10243" s="2" t="s">
        <v>546</v>
      </c>
    </row>
    <row r="10244" spans="1:1" ht="12.75">
      <c r="A10244" s="2" t="s">
        <v>532</v>
      </c>
    </row>
    <row r="10245" spans="1:1" ht="12.75">
      <c r="A10245" s="2" t="s">
        <v>532</v>
      </c>
    </row>
    <row r="10246" spans="1:1" ht="12.75">
      <c r="A10246" s="2" t="s">
        <v>530</v>
      </c>
    </row>
    <row r="10247" spans="1:1" ht="12.75">
      <c r="A10247" s="2" t="s">
        <v>528</v>
      </c>
    </row>
    <row r="10248" spans="1:1" ht="12.75">
      <c r="A10248" s="2" t="s">
        <v>528</v>
      </c>
    </row>
    <row r="10249" spans="1:1" ht="12.75">
      <c r="A10249" s="2" t="s">
        <v>528</v>
      </c>
    </row>
    <row r="10250" spans="1:1" ht="12.75">
      <c r="A10250" s="2" t="s">
        <v>514</v>
      </c>
    </row>
    <row r="10251" spans="1:1" ht="12.75">
      <c r="A10251" s="2" t="s">
        <v>532</v>
      </c>
    </row>
    <row r="10252" spans="1:1" ht="12.75">
      <c r="A10252" s="2" t="s">
        <v>532</v>
      </c>
    </row>
    <row r="10253" spans="1:1" ht="12.75">
      <c r="A10253" s="2" t="s">
        <v>530</v>
      </c>
    </row>
    <row r="10255" spans="1:1" ht="12.75">
      <c r="A10255" s="2" t="s">
        <v>576</v>
      </c>
    </row>
    <row r="10257" spans="1:1" ht="12.75">
      <c r="A10257" s="2" t="s">
        <v>576</v>
      </c>
    </row>
    <row r="10259" spans="1:1" ht="12.75">
      <c r="A10259" s="2" t="s">
        <v>514</v>
      </c>
    </row>
    <row r="10262" spans="1:1" ht="12.75">
      <c r="A10262" s="2" t="s">
        <v>528</v>
      </c>
    </row>
    <row r="10263" spans="1:1" ht="12.75">
      <c r="A10263" s="2" t="s">
        <v>528</v>
      </c>
    </row>
    <row r="10264" spans="1:1" ht="12.75">
      <c r="A10264" s="2" t="s">
        <v>546</v>
      </c>
    </row>
    <row r="10265" spans="1:1" ht="12.75">
      <c r="A10265" s="2" t="s">
        <v>529</v>
      </c>
    </row>
    <row r="10266" spans="1:1" ht="12.75">
      <c r="A10266" s="2" t="s">
        <v>530</v>
      </c>
    </row>
    <row r="10267" spans="1:1" ht="12.75">
      <c r="A10267" s="2" t="s">
        <v>514</v>
      </c>
    </row>
    <row r="10268" spans="1:1" ht="12.75">
      <c r="A10268" s="2" t="s">
        <v>528</v>
      </c>
    </row>
    <row r="10269" spans="1:1" ht="12.75">
      <c r="A10269" s="2" t="s">
        <v>528</v>
      </c>
    </row>
    <row r="10270" spans="1:1" ht="12.75">
      <c r="A10270" s="2" t="s">
        <v>529</v>
      </c>
    </row>
    <row r="10271" spans="1:1" ht="12.75">
      <c r="A10271" s="2" t="s">
        <v>529</v>
      </c>
    </row>
    <row r="10272" spans="1:1" ht="12.75">
      <c r="A10272" s="2" t="s">
        <v>514</v>
      </c>
    </row>
    <row r="10273" spans="1:1" ht="12.75">
      <c r="A10273" s="2" t="s">
        <v>576</v>
      </c>
    </row>
    <row r="10274" spans="1:1" ht="12.75">
      <c r="A10274" s="2" t="s">
        <v>532</v>
      </c>
    </row>
    <row r="10275" spans="1:1" ht="12.75">
      <c r="A10275" s="2" t="s">
        <v>576</v>
      </c>
    </row>
    <row r="10276" spans="1:1" ht="12.75">
      <c r="A10276" s="2" t="s">
        <v>576</v>
      </c>
    </row>
    <row r="10277" spans="1:1" ht="12.75">
      <c r="A10277" s="2" t="s">
        <v>576</v>
      </c>
    </row>
    <row r="10278" spans="1:1" ht="12.75">
      <c r="A10278" s="2" t="s">
        <v>576</v>
      </c>
    </row>
    <row r="10279" spans="1:1" ht="12.75">
      <c r="A10279" s="2" t="s">
        <v>530</v>
      </c>
    </row>
    <row r="10280" spans="1:1" ht="12.75">
      <c r="A10280" s="2" t="s">
        <v>532</v>
      </c>
    </row>
    <row r="10281" spans="1:1" ht="12.75">
      <c r="A10281" s="2" t="s">
        <v>532</v>
      </c>
    </row>
    <row r="10282" spans="1:1" ht="12.75">
      <c r="A10282" s="2" t="s">
        <v>528</v>
      </c>
    </row>
    <row r="10283" spans="1:1" ht="12.75">
      <c r="A10283" s="2" t="s">
        <v>528</v>
      </c>
    </row>
    <row r="10284" spans="1:1" ht="12.75">
      <c r="A10284" s="2" t="s">
        <v>528</v>
      </c>
    </row>
    <row r="10285" spans="1:1" ht="12.75">
      <c r="A10285" s="2" t="s">
        <v>576</v>
      </c>
    </row>
    <row r="10286" spans="1:1" ht="12.75">
      <c r="A10286" s="2" t="s">
        <v>576</v>
      </c>
    </row>
    <row r="10287" spans="1:1" ht="12.75">
      <c r="A10287" s="2" t="s">
        <v>576</v>
      </c>
    </row>
    <row r="10289" spans="1:1" ht="12.75">
      <c r="A10289" s="2" t="s">
        <v>514</v>
      </c>
    </row>
    <row r="10290" spans="1:1" ht="12.75">
      <c r="A10290" s="2" t="s">
        <v>532</v>
      </c>
    </row>
    <row r="10291" spans="1:1" ht="12.75">
      <c r="A10291" s="2" t="s">
        <v>576</v>
      </c>
    </row>
    <row r="10292" spans="1:1" ht="12.75">
      <c r="A10292" s="2" t="s">
        <v>530</v>
      </c>
    </row>
    <row r="10293" spans="1:1" ht="12.75">
      <c r="A10293" s="2" t="s">
        <v>576</v>
      </c>
    </row>
    <row r="10294" spans="1:1" ht="12.75">
      <c r="A10294" s="2" t="s">
        <v>576</v>
      </c>
    </row>
    <row r="10295" spans="1:1" ht="12.75">
      <c r="A10295" s="2" t="s">
        <v>530</v>
      </c>
    </row>
    <row r="10296" spans="1:1" ht="12.75">
      <c r="A10296" s="2" t="s">
        <v>528</v>
      </c>
    </row>
    <row r="10297" spans="1:1" ht="12.75">
      <c r="A10297" s="2" t="s">
        <v>528</v>
      </c>
    </row>
    <row r="10298" spans="1:1" ht="12.75">
      <c r="A10298" s="2" t="s">
        <v>529</v>
      </c>
    </row>
    <row r="10299" spans="1:1" ht="12.75">
      <c r="A10299" s="2" t="s">
        <v>529</v>
      </c>
    </row>
    <row r="10300" spans="1:1" ht="12.75">
      <c r="A10300" s="2" t="s">
        <v>529</v>
      </c>
    </row>
    <row r="10301" spans="1:1" ht="12.75">
      <c r="A10301" s="2" t="s">
        <v>530</v>
      </c>
    </row>
    <row r="10302" spans="1:1" ht="12.75">
      <c r="A10302" s="2" t="s">
        <v>514</v>
      </c>
    </row>
    <row r="10303" spans="1:1" ht="12.75">
      <c r="A10303" s="2" t="s">
        <v>528</v>
      </c>
    </row>
    <row r="10304" spans="1:1" ht="12.75">
      <c r="A10304" s="2" t="s">
        <v>528</v>
      </c>
    </row>
    <row r="10305" spans="1:1" ht="12.75">
      <c r="A10305" s="2" t="s">
        <v>576</v>
      </c>
    </row>
    <row r="10306" spans="1:1" ht="12.75">
      <c r="A10306" s="2" t="s">
        <v>530</v>
      </c>
    </row>
    <row r="10307" spans="1:1" ht="12.75">
      <c r="A10307" s="2" t="s">
        <v>529</v>
      </c>
    </row>
    <row r="10308" spans="1:1" ht="12.75">
      <c r="A10308" s="2" t="s">
        <v>576</v>
      </c>
    </row>
    <row r="10309" spans="1:1" ht="12.75">
      <c r="A10309" s="2" t="s">
        <v>532</v>
      </c>
    </row>
    <row r="10310" spans="1:1" ht="12.75">
      <c r="A10310" s="2" t="s">
        <v>529</v>
      </c>
    </row>
    <row r="10311" spans="1:1" ht="12.75">
      <c r="A10311" s="2" t="s">
        <v>528</v>
      </c>
    </row>
    <row r="10312" spans="1:1" ht="12.75">
      <c r="A10312" s="2" t="s">
        <v>528</v>
      </c>
    </row>
    <row r="10315" spans="1:1" ht="12.75">
      <c r="A10315" s="2" t="s">
        <v>546</v>
      </c>
    </row>
    <row r="10316" spans="1:1" ht="12.75">
      <c r="A10316" s="2" t="s">
        <v>546</v>
      </c>
    </row>
    <row r="10317" spans="1:1" ht="12.75">
      <c r="A10317" s="2" t="s">
        <v>528</v>
      </c>
    </row>
    <row r="10318" spans="1:1" ht="12.75">
      <c r="A10318" s="2" t="s">
        <v>528</v>
      </c>
    </row>
    <row r="10319" spans="1:1" ht="12.75">
      <c r="A10319" s="2" t="s">
        <v>159</v>
      </c>
    </row>
    <row r="10320" spans="1:1" ht="12.75">
      <c r="A10320" s="2" t="s">
        <v>345</v>
      </c>
    </row>
    <row r="10321" spans="1:1" ht="12.75">
      <c r="A10321" s="2" t="s">
        <v>345</v>
      </c>
    </row>
    <row r="10322" spans="1:1" ht="12.75">
      <c r="A10322" s="2" t="s">
        <v>159</v>
      </c>
    </row>
    <row r="10323" spans="1:1" ht="12.75">
      <c r="A10323" s="2" t="s">
        <v>159</v>
      </c>
    </row>
    <row r="10324" spans="1:1" ht="12.75">
      <c r="A10324" s="2" t="s">
        <v>159</v>
      </c>
    </row>
    <row r="10325" spans="1:1" ht="12.75">
      <c r="A10325" s="2" t="s">
        <v>345</v>
      </c>
    </row>
    <row r="10326" spans="1:1" ht="12.75">
      <c r="A10326" s="2" t="s">
        <v>345</v>
      </c>
    </row>
    <row r="10327" spans="1:1" ht="12.75">
      <c r="A10327" s="2" t="s">
        <v>159</v>
      </c>
    </row>
    <row r="10328" spans="1:1" ht="12.75">
      <c r="A10328" s="2" t="s">
        <v>159</v>
      </c>
    </row>
    <row r="10329" spans="1:1" ht="12.75">
      <c r="A10329" s="2" t="s">
        <v>578</v>
      </c>
    </row>
    <row r="10330" spans="1:1" ht="12.75">
      <c r="A10330" s="2" t="s">
        <v>578</v>
      </c>
    </row>
    <row r="10331" spans="1:1" ht="12.75">
      <c r="A10331" s="2" t="s">
        <v>147</v>
      </c>
    </row>
    <row r="10332" spans="1:1" ht="12.75">
      <c r="A10332" s="2" t="s">
        <v>578</v>
      </c>
    </row>
    <row r="10334" spans="1:1" ht="12.75">
      <c r="A10334" s="2" t="s">
        <v>578</v>
      </c>
    </row>
    <row r="10338" spans="1:1" ht="12.75">
      <c r="A10338" s="2" t="s">
        <v>579</v>
      </c>
    </row>
    <row r="10339" spans="1:1" ht="12.75">
      <c r="A10339" s="2" t="s">
        <v>579</v>
      </c>
    </row>
    <row r="10340" spans="1:1" ht="12.75">
      <c r="A10340" s="2" t="s">
        <v>580</v>
      </c>
    </row>
    <row r="10346" spans="1:1" ht="12.75">
      <c r="A10346" s="2" t="s">
        <v>581</v>
      </c>
    </row>
    <row r="10349" spans="1:1" ht="12.75">
      <c r="A10349" s="2" t="s">
        <v>582</v>
      </c>
    </row>
    <row r="10350" spans="1:1" ht="12.75">
      <c r="A10350" s="2" t="s">
        <v>582</v>
      </c>
    </row>
    <row r="10351" spans="1:1" ht="12.75">
      <c r="A10351" s="2" t="s">
        <v>582</v>
      </c>
    </row>
    <row r="10352" spans="1:1" ht="12.75">
      <c r="A10352" s="2" t="s">
        <v>582</v>
      </c>
    </row>
    <row r="10353" spans="1:1" ht="12.75">
      <c r="A10353" s="2" t="s">
        <v>582</v>
      </c>
    </row>
    <row r="10354" spans="1:1" ht="12.75">
      <c r="A10354" s="2" t="s">
        <v>277</v>
      </c>
    </row>
    <row r="10355" spans="1:1" ht="12.75">
      <c r="A10355" s="2" t="s">
        <v>277</v>
      </c>
    </row>
    <row r="10356" spans="1:1" ht="12.75">
      <c r="A10356" s="2" t="s">
        <v>277</v>
      </c>
    </row>
    <row r="10357" spans="1:1" ht="12.75">
      <c r="A10357" s="2" t="s">
        <v>277</v>
      </c>
    </row>
    <row r="10358" spans="1:1" ht="12.75">
      <c r="A10358" s="2" t="s">
        <v>277</v>
      </c>
    </row>
    <row r="10359" spans="1:1" ht="12.75">
      <c r="A10359" s="2">
        <v>354</v>
      </c>
    </row>
    <row r="10360" spans="1:1" ht="12.75">
      <c r="A10360" s="2" t="s">
        <v>278</v>
      </c>
    </row>
    <row r="10361" spans="1:1" ht="12.75">
      <c r="A10361" s="2" t="s">
        <v>583</v>
      </c>
    </row>
    <row r="10362" spans="1:1" ht="12.75">
      <c r="A10362" s="2" t="s">
        <v>583</v>
      </c>
    </row>
    <row r="10363" spans="1:1" ht="12.75">
      <c r="A10363" s="2" t="s">
        <v>279</v>
      </c>
    </row>
    <row r="10364" spans="1:1" ht="12.75">
      <c r="A10364" s="2" t="s">
        <v>279</v>
      </c>
    </row>
    <row r="10365" spans="1:1" ht="12.75">
      <c r="A10365" s="2" t="s">
        <v>279</v>
      </c>
    </row>
    <row r="10372" spans="1:1" ht="12.75">
      <c r="A10372" s="2" t="s">
        <v>584</v>
      </c>
    </row>
    <row r="10373" spans="1:1" ht="12.75">
      <c r="A10373" s="2" t="s">
        <v>585</v>
      </c>
    </row>
    <row r="10378" spans="1:1" ht="12.75">
      <c r="A10378" s="2" t="s">
        <v>343</v>
      </c>
    </row>
    <row r="10382" spans="1:1" ht="12.75">
      <c r="A10382" s="2" t="s">
        <v>343</v>
      </c>
    </row>
    <row r="10383" spans="1:1" ht="12.75">
      <c r="A10383" s="2" t="s">
        <v>343</v>
      </c>
    </row>
    <row r="10432" spans="1:1" ht="12.75">
      <c r="A10432" s="2" t="s">
        <v>256</v>
      </c>
    </row>
    <row r="10433" spans="1:1" ht="12.75">
      <c r="A10433" s="2" t="s">
        <v>256</v>
      </c>
    </row>
    <row r="10434" spans="1:1" ht="12.75">
      <c r="A10434" s="2" t="s">
        <v>254</v>
      </c>
    </row>
    <row r="10435" spans="1:1" ht="12.75">
      <c r="A10435" s="2" t="s">
        <v>254</v>
      </c>
    </row>
    <row r="10436" spans="1:1" ht="12.75">
      <c r="A10436" s="2" t="s">
        <v>256</v>
      </c>
    </row>
    <row r="10437" spans="1:1" ht="12.75">
      <c r="A10437" s="2" t="s">
        <v>254</v>
      </c>
    </row>
    <row r="10438" spans="1:1" ht="12.75">
      <c r="A10438" s="2" t="s">
        <v>252</v>
      </c>
    </row>
    <row r="10439" spans="1:1" ht="12.75">
      <c r="A10439" s="2">
        <v>884</v>
      </c>
    </row>
    <row r="10440" spans="1:1" ht="12.75">
      <c r="A10440" s="2" t="s">
        <v>252</v>
      </c>
    </row>
    <row r="10441" spans="1:1" ht="12.75">
      <c r="A10441" s="2" t="s">
        <v>252</v>
      </c>
    </row>
    <row r="10442" spans="1:1" ht="12.75">
      <c r="A10442" s="2" t="s">
        <v>254</v>
      </c>
    </row>
    <row r="10443" spans="1:1" ht="12.75">
      <c r="A10443" s="2" t="s">
        <v>256</v>
      </c>
    </row>
    <row r="10444" spans="1:1" ht="12.75">
      <c r="A10444" s="2" t="s">
        <v>254</v>
      </c>
    </row>
    <row r="10445" spans="1:1" ht="12.75">
      <c r="A10445" s="2" t="s">
        <v>253</v>
      </c>
    </row>
    <row r="10446" spans="1:1" ht="12.75">
      <c r="A10446" s="2" t="s">
        <v>252</v>
      </c>
    </row>
    <row r="10447" spans="1:1" ht="12.75">
      <c r="A10447" s="2" t="s">
        <v>252</v>
      </c>
    </row>
    <row r="10448" spans="1:1" ht="12.75">
      <c r="A10448" s="2" t="s">
        <v>252</v>
      </c>
    </row>
    <row r="10449" spans="1:1" ht="12.75">
      <c r="A10449" s="2" t="s">
        <v>254</v>
      </c>
    </row>
    <row r="10450" spans="1:1" ht="12.75">
      <c r="A10450" s="2" t="s">
        <v>252</v>
      </c>
    </row>
    <row r="10451" spans="1:1" ht="12.75">
      <c r="A10451" s="2" t="s">
        <v>252</v>
      </c>
    </row>
    <row r="10452" spans="1:1" ht="12.75">
      <c r="A10452" s="2" t="s">
        <v>256</v>
      </c>
    </row>
    <row r="10453" spans="1:1" ht="12.75">
      <c r="A10453" s="2" t="s">
        <v>254</v>
      </c>
    </row>
    <row r="10454" spans="1:1" ht="12.75">
      <c r="A10454" s="2" t="s">
        <v>252</v>
      </c>
    </row>
    <row r="10455" spans="1:1" ht="12.75">
      <c r="A10455" s="2" t="s">
        <v>252</v>
      </c>
    </row>
    <row r="10456" spans="1:1" ht="12.75">
      <c r="A10456" s="2" t="s">
        <v>254</v>
      </c>
    </row>
    <row r="10457" spans="1:1" ht="12.75">
      <c r="A10457" s="2" t="s">
        <v>256</v>
      </c>
    </row>
    <row r="10458" spans="1:1" ht="12.75">
      <c r="A10458" s="2" t="s">
        <v>254</v>
      </c>
    </row>
    <row r="10459" spans="1:1" ht="12.75">
      <c r="A10459" s="2" t="s">
        <v>256</v>
      </c>
    </row>
    <row r="10460" spans="1:1" ht="12.75">
      <c r="A10460" s="2" t="s">
        <v>254</v>
      </c>
    </row>
    <row r="10461" spans="1:1" ht="12.75">
      <c r="A10461" s="2" t="s">
        <v>256</v>
      </c>
    </row>
    <row r="10462" spans="1:1" ht="12.75">
      <c r="A10462" s="2" t="s">
        <v>256</v>
      </c>
    </row>
    <row r="10463" spans="1:1" ht="12.75">
      <c r="A10463" s="2" t="s">
        <v>254</v>
      </c>
    </row>
    <row r="10464" spans="1:1" ht="12.75">
      <c r="A10464" s="2" t="s">
        <v>256</v>
      </c>
    </row>
    <row r="10465" spans="1:1" ht="12.75">
      <c r="A10465" s="2" t="s">
        <v>254</v>
      </c>
    </row>
    <row r="10466" spans="1:1" ht="12.75">
      <c r="A10466" s="2" t="s">
        <v>252</v>
      </c>
    </row>
    <row r="10467" spans="1:1" ht="12.75">
      <c r="A10467" s="2" t="s">
        <v>252</v>
      </c>
    </row>
    <row r="10468" spans="1:1" ht="12.75">
      <c r="A10468" s="2" t="s">
        <v>254</v>
      </c>
    </row>
    <row r="10469" spans="1:1" ht="12.75">
      <c r="A10469" s="2" t="s">
        <v>254</v>
      </c>
    </row>
    <row r="10470" spans="1:1" ht="12.75">
      <c r="A10470" s="2" t="s">
        <v>256</v>
      </c>
    </row>
    <row r="10471" spans="1:1" ht="12.75">
      <c r="A10471" s="2" t="s">
        <v>254</v>
      </c>
    </row>
    <row r="10472" spans="1:1" ht="12.75">
      <c r="A10472" s="2" t="s">
        <v>256</v>
      </c>
    </row>
    <row r="10473" spans="1:1" ht="12.75">
      <c r="A10473" s="2" t="s">
        <v>256</v>
      </c>
    </row>
    <row r="10474" spans="1:1" ht="12.75">
      <c r="A10474" s="2" t="s">
        <v>254</v>
      </c>
    </row>
    <row r="10475" spans="1:1" ht="12.75">
      <c r="A10475" s="2" t="s">
        <v>252</v>
      </c>
    </row>
    <row r="10476" spans="1:1" ht="12.75">
      <c r="A10476" s="2" t="s">
        <v>252</v>
      </c>
    </row>
    <row r="10477" spans="1:1" ht="12.75">
      <c r="A10477" s="2" t="s">
        <v>252</v>
      </c>
    </row>
    <row r="10480" spans="1:1" ht="12.75">
      <c r="A10480" s="2" t="s">
        <v>252</v>
      </c>
    </row>
    <row r="10481" spans="1:1" ht="12.75">
      <c r="A10481" s="2" t="s">
        <v>252</v>
      </c>
    </row>
    <row r="10482" spans="1:1" ht="12.75">
      <c r="A10482" s="2" t="s">
        <v>256</v>
      </c>
    </row>
    <row r="10483" spans="1:1" ht="12.75">
      <c r="A10483" s="2" t="s">
        <v>254</v>
      </c>
    </row>
    <row r="10484" spans="1:1" ht="12.75">
      <c r="A10484" s="2" t="s">
        <v>254</v>
      </c>
    </row>
    <row r="10485" spans="1:1" ht="12.75">
      <c r="A10485" s="2" t="s">
        <v>253</v>
      </c>
    </row>
    <row r="10486" spans="1:1" ht="12.75">
      <c r="A10486" s="2" t="s">
        <v>252</v>
      </c>
    </row>
    <row r="10487" spans="1:1" ht="12.75">
      <c r="A10487" s="2" t="s">
        <v>252</v>
      </c>
    </row>
    <row r="10488" spans="1:1" ht="12.75">
      <c r="A10488" s="2" t="s">
        <v>252</v>
      </c>
    </row>
    <row r="10489" spans="1:1" ht="12.75">
      <c r="A10489" s="2" t="s">
        <v>252</v>
      </c>
    </row>
    <row r="10490" spans="1:1" ht="12.75">
      <c r="A10490" s="2" t="s">
        <v>253</v>
      </c>
    </row>
    <row r="10491" spans="1:1" ht="12.75">
      <c r="A10491" s="2" t="s">
        <v>254</v>
      </c>
    </row>
    <row r="10492" spans="1:1" ht="12.75">
      <c r="A10492" s="2" t="s">
        <v>252</v>
      </c>
    </row>
    <row r="10493" spans="1:1" ht="12.75">
      <c r="A10493" s="2" t="s">
        <v>252</v>
      </c>
    </row>
    <row r="10494" spans="1:1" ht="12.75">
      <c r="A10494" s="2" t="s">
        <v>254</v>
      </c>
    </row>
    <row r="10495" spans="1:1" ht="12.75">
      <c r="A10495" s="2" t="s">
        <v>254</v>
      </c>
    </row>
    <row r="10496" spans="1:1" ht="12.75">
      <c r="A10496" s="2" t="s">
        <v>253</v>
      </c>
    </row>
    <row r="10497" spans="1:1" ht="12.75">
      <c r="A10497" s="2" t="s">
        <v>254</v>
      </c>
    </row>
    <row r="10498" spans="1:1" ht="12.75">
      <c r="A10498" s="2" t="s">
        <v>252</v>
      </c>
    </row>
    <row r="10499" spans="1:1" ht="12.75">
      <c r="A10499" s="2" t="s">
        <v>252</v>
      </c>
    </row>
    <row r="10500" spans="1:1" ht="12.75">
      <c r="A10500" s="2" t="s">
        <v>253</v>
      </c>
    </row>
    <row r="10501" spans="1:1" ht="12.75">
      <c r="A10501" s="2" t="s">
        <v>254</v>
      </c>
    </row>
    <row r="10502" spans="1:1" ht="12.75">
      <c r="A10502" s="2" t="s">
        <v>586</v>
      </c>
    </row>
    <row r="10503" spans="1:1" ht="12.75">
      <c r="A10503" s="2" t="s">
        <v>256</v>
      </c>
    </row>
    <row r="10504" spans="1:1" ht="12.75">
      <c r="A10504" s="2" t="s">
        <v>254</v>
      </c>
    </row>
    <row r="10505" spans="1:1" ht="12.75">
      <c r="A10505" s="2" t="s">
        <v>256</v>
      </c>
    </row>
    <row r="10506" spans="1:1" ht="12.75">
      <c r="A10506" s="2" t="s">
        <v>252</v>
      </c>
    </row>
    <row r="10507" spans="1:1" ht="12.75">
      <c r="A10507" s="2" t="s">
        <v>252</v>
      </c>
    </row>
    <row r="10508" spans="1:1" ht="12.75">
      <c r="A10508" s="2" t="s">
        <v>256</v>
      </c>
    </row>
    <row r="10509" spans="1:1" ht="12.75">
      <c r="A10509" s="2" t="s">
        <v>256</v>
      </c>
    </row>
    <row r="10510" spans="1:1" ht="12.75">
      <c r="A10510" s="2" t="s">
        <v>252</v>
      </c>
    </row>
    <row r="10511" spans="1:1" ht="12.75">
      <c r="A10511" s="2" t="s">
        <v>252</v>
      </c>
    </row>
    <row r="10512" spans="1:1" ht="12.75">
      <c r="A10512" s="2" t="s">
        <v>253</v>
      </c>
    </row>
    <row r="10513" spans="1:1" ht="12.75">
      <c r="A10513" s="2" t="s">
        <v>256</v>
      </c>
    </row>
    <row r="10514" spans="1:1" ht="12.75">
      <c r="A10514" s="2" t="s">
        <v>516</v>
      </c>
    </row>
    <row r="10515" spans="1:1" ht="12.75">
      <c r="A10515" s="2" t="s">
        <v>516</v>
      </c>
    </row>
    <row r="10517" spans="1:1" ht="12.75">
      <c r="A10517" s="2" t="s">
        <v>516</v>
      </c>
    </row>
    <row r="10518" spans="1:1" ht="12.75">
      <c r="A10518" s="2" t="s">
        <v>254</v>
      </c>
    </row>
    <row r="10519" spans="1:1" ht="12.75">
      <c r="A10519" s="2" t="s">
        <v>254</v>
      </c>
    </row>
    <row r="10520" spans="1:1" ht="12.75">
      <c r="A10520" s="2" t="s">
        <v>252</v>
      </c>
    </row>
    <row r="10521" spans="1:1" ht="12.75">
      <c r="A10521" s="2" t="s">
        <v>252</v>
      </c>
    </row>
    <row r="10522" spans="1:1" ht="12.75">
      <c r="A10522" s="2" t="s">
        <v>253</v>
      </c>
    </row>
    <row r="10523" spans="1:1" ht="12.75">
      <c r="A10523" s="2" t="s">
        <v>256</v>
      </c>
    </row>
    <row r="10524" spans="1:1" ht="12.75">
      <c r="A10524" s="2" t="s">
        <v>254</v>
      </c>
    </row>
    <row r="10525" spans="1:1" ht="12.75">
      <c r="A10525" s="2" t="s">
        <v>254</v>
      </c>
    </row>
    <row r="10526" spans="1:1" ht="12.75">
      <c r="A10526" s="2" t="s">
        <v>256</v>
      </c>
    </row>
    <row r="10527" spans="1:1" ht="12.75">
      <c r="A10527" s="2" t="s">
        <v>254</v>
      </c>
    </row>
    <row r="10528" spans="1:1" ht="12.75">
      <c r="A10528" s="2" t="s">
        <v>252</v>
      </c>
    </row>
    <row r="10529" spans="1:1" ht="12.75">
      <c r="A10529" s="2" t="s">
        <v>252</v>
      </c>
    </row>
    <row r="10530" spans="1:1" ht="12.75">
      <c r="A10530" s="2" t="s">
        <v>256</v>
      </c>
    </row>
    <row r="10531" spans="1:1" ht="12.75">
      <c r="A10531" s="2" t="s">
        <v>256</v>
      </c>
    </row>
    <row r="10533" spans="1:1" ht="12.75">
      <c r="A10533" s="2" t="s">
        <v>357</v>
      </c>
    </row>
    <row r="10534" spans="1:1" ht="12.75">
      <c r="A10534" s="2" t="s">
        <v>357</v>
      </c>
    </row>
    <row r="10537" spans="1:1" ht="12.75">
      <c r="A10537" s="2" t="s">
        <v>152</v>
      </c>
    </row>
    <row r="10538" spans="1:1" ht="12.75">
      <c r="A10538" s="2" t="s">
        <v>152</v>
      </c>
    </row>
    <row r="10539" spans="1:1" ht="12.75">
      <c r="A10539" s="2" t="s">
        <v>197</v>
      </c>
    </row>
    <row r="10540" spans="1:1" ht="12.75">
      <c r="A10540" s="2" t="s">
        <v>152</v>
      </c>
    </row>
    <row r="10541" spans="1:1" ht="12.75">
      <c r="A10541" s="2" t="s">
        <v>152</v>
      </c>
    </row>
    <row r="10542" spans="1:1" ht="12.75">
      <c r="A10542" s="2" t="s">
        <v>152</v>
      </c>
    </row>
    <row r="10543" spans="1:1" ht="12.75">
      <c r="A10543" s="2" t="s">
        <v>152</v>
      </c>
    </row>
    <row r="10544" spans="1:1" ht="12.75">
      <c r="A10544" s="2" t="s">
        <v>152</v>
      </c>
    </row>
    <row r="10545" spans="1:1" ht="12.75">
      <c r="A10545" s="2" t="s">
        <v>152</v>
      </c>
    </row>
    <row r="10546" spans="1:1" ht="12.75">
      <c r="A10546" s="2" t="s">
        <v>152</v>
      </c>
    </row>
    <row r="10548" spans="1:1" ht="12.75">
      <c r="A10548" s="2" t="s">
        <v>542</v>
      </c>
    </row>
    <row r="10552" spans="1:1" ht="12.75">
      <c r="A10552" s="2" t="s">
        <v>159</v>
      </c>
    </row>
    <row r="10553" spans="1:1" ht="12.75">
      <c r="A10553" s="2" t="s">
        <v>159</v>
      </c>
    </row>
    <row r="10554" spans="1:1" ht="12.75">
      <c r="A10554" s="2" t="s">
        <v>159</v>
      </c>
    </row>
    <row r="10555" spans="1:1" ht="12.75">
      <c r="A10555" s="2" t="s">
        <v>159</v>
      </c>
    </row>
    <row r="10556" spans="1:1" ht="12.75">
      <c r="A10556" s="2" t="s">
        <v>159</v>
      </c>
    </row>
    <row r="10557" spans="1:1" ht="12.75">
      <c r="A10557" s="2" t="s">
        <v>345</v>
      </c>
    </row>
    <row r="10558" spans="1:1" ht="12.75">
      <c r="A10558" s="2" t="s">
        <v>345</v>
      </c>
    </row>
    <row r="10559" spans="1:1" ht="12.75">
      <c r="A10559" s="2" t="s">
        <v>159</v>
      </c>
    </row>
    <row r="10561" spans="1:1" ht="12.75">
      <c r="A10561" s="2" t="s">
        <v>345</v>
      </c>
    </row>
    <row r="10562" spans="1:1" ht="12.75">
      <c r="A10562" s="2" t="s">
        <v>159</v>
      </c>
    </row>
    <row r="10563" spans="1:1" ht="12.75">
      <c r="A10563" s="2" t="s">
        <v>345</v>
      </c>
    </row>
    <row r="10564" spans="1:1" ht="12.75">
      <c r="A10564" s="2" t="s">
        <v>345</v>
      </c>
    </row>
    <row r="10565" spans="1:1" ht="12.75">
      <c r="A10565" s="2" t="s">
        <v>159</v>
      </c>
    </row>
    <row r="10566" spans="1:1" ht="12.75">
      <c r="A10566" s="2" t="s">
        <v>159</v>
      </c>
    </row>
    <row r="10576" spans="1:1" ht="12.75">
      <c r="A10576" s="2" t="s">
        <v>587</v>
      </c>
    </row>
    <row r="10577" spans="1:1" ht="12.75">
      <c r="A10577" s="2" t="s">
        <v>587</v>
      </c>
    </row>
    <row r="10578" spans="1:1" ht="12.75">
      <c r="A10578" s="2" t="s">
        <v>588</v>
      </c>
    </row>
    <row r="10583" spans="1:1" ht="12.75">
      <c r="A10583" s="2" t="s">
        <v>589</v>
      </c>
    </row>
    <row r="10584" spans="1:1" ht="12.75">
      <c r="A10584" s="2" t="s">
        <v>307</v>
      </c>
    </row>
    <row r="10585" spans="1:1" ht="12.75">
      <c r="A10585" s="2" t="s">
        <v>307</v>
      </c>
    </row>
    <row r="10586" spans="1:1" ht="12.75">
      <c r="A10586" s="2" t="s">
        <v>307</v>
      </c>
    </row>
    <row r="10587" spans="1:1" ht="12.75">
      <c r="A10587" s="2" t="s">
        <v>307</v>
      </c>
    </row>
    <row r="10588" spans="1:1" ht="12.75">
      <c r="A10588" s="2" t="s">
        <v>307</v>
      </c>
    </row>
    <row r="10589" spans="1:1" ht="12.75">
      <c r="A10589" s="2" t="s">
        <v>307</v>
      </c>
    </row>
    <row r="10590" spans="1:1" ht="12.75">
      <c r="A10590" s="2" t="s">
        <v>307</v>
      </c>
    </row>
    <row r="10591" spans="1:1" ht="12.75">
      <c r="A10591" s="2" t="s">
        <v>307</v>
      </c>
    </row>
    <row r="10592" spans="1:1" ht="12.75">
      <c r="A10592" s="2" t="s">
        <v>307</v>
      </c>
    </row>
    <row r="10593" spans="1:1" ht="12.75">
      <c r="A10593" s="2" t="s">
        <v>307</v>
      </c>
    </row>
    <row r="10594" spans="1:1" ht="12.75">
      <c r="A10594" s="2" t="s">
        <v>307</v>
      </c>
    </row>
    <row r="10600" spans="1:1" ht="12.75">
      <c r="A10600" s="2" t="s">
        <v>590</v>
      </c>
    </row>
    <row r="10601" spans="1:1" ht="12.75">
      <c r="A10601" s="2" t="s">
        <v>449</v>
      </c>
    </row>
    <row r="10602" spans="1:1" ht="12.75">
      <c r="A10602" s="2" t="s">
        <v>586</v>
      </c>
    </row>
    <row r="10613" spans="1:1" ht="12.75">
      <c r="A10613" s="2" t="s">
        <v>362</v>
      </c>
    </row>
    <row r="10615" spans="1:1" ht="12.75">
      <c r="A10615" s="2" t="s">
        <v>362</v>
      </c>
    </row>
    <row r="10617" spans="1:1" ht="12.75">
      <c r="A10617" s="2" t="s">
        <v>362</v>
      </c>
    </row>
    <row r="10619" spans="1:1" ht="12.75">
      <c r="A10619" s="2" t="s">
        <v>362</v>
      </c>
    </row>
    <row r="10621" spans="1:1" ht="12.75">
      <c r="A10621" s="2" t="s">
        <v>362</v>
      </c>
    </row>
    <row r="10623" spans="1:1" ht="12.75">
      <c r="A10623" s="2" t="s">
        <v>591</v>
      </c>
    </row>
    <row r="10625" spans="1:1" ht="12.75">
      <c r="A10625" s="2" t="s">
        <v>581</v>
      </c>
    </row>
    <row r="10626" spans="1:1" ht="12.75">
      <c r="A10626" s="2" t="s">
        <v>428</v>
      </c>
    </row>
    <row r="10627" spans="1:1" ht="12.75">
      <c r="A10627" s="2" t="s">
        <v>581</v>
      </c>
    </row>
    <row r="10628" spans="1:1" ht="12.75">
      <c r="A10628" s="2" t="s">
        <v>592</v>
      </c>
    </row>
    <row r="10629" spans="1:1" ht="12.75">
      <c r="A10629" s="2" t="s">
        <v>539</v>
      </c>
    </row>
    <row r="10630" spans="1:1" ht="12.75">
      <c r="A10630" s="2" t="s">
        <v>539</v>
      </c>
    </row>
    <row r="10635" spans="1:1" ht="12.75">
      <c r="A10635" s="2" t="s">
        <v>257</v>
      </c>
    </row>
    <row r="10636" spans="1:1" ht="12.75">
      <c r="A10636" s="2" t="s">
        <v>257</v>
      </c>
    </row>
    <row r="10637" spans="1:1" ht="12.75">
      <c r="A10637" s="2" t="s">
        <v>258</v>
      </c>
    </row>
    <row r="10638" spans="1:1" ht="12.75">
      <c r="A10638" s="2" t="s">
        <v>258</v>
      </c>
    </row>
    <row r="10639" spans="1:1" ht="12.75">
      <c r="A10639" s="2" t="s">
        <v>259</v>
      </c>
    </row>
    <row r="10640" spans="1:1" ht="12.75">
      <c r="A10640" s="2" t="s">
        <v>259</v>
      </c>
    </row>
    <row r="10641" spans="1:1" ht="12.75">
      <c r="A10641" s="2" t="s">
        <v>301</v>
      </c>
    </row>
    <row r="10642" spans="1:1" ht="12.75">
      <c r="A10642" s="2" t="s">
        <v>301</v>
      </c>
    </row>
    <row r="10643" spans="1:1" ht="12.75">
      <c r="A10643" s="2" t="s">
        <v>301</v>
      </c>
    </row>
    <row r="10644" spans="1:1" ht="12.75">
      <c r="A10644" s="2" t="s">
        <v>301</v>
      </c>
    </row>
    <row r="10645" spans="1:1" ht="12.75">
      <c r="A10645" s="2" t="s">
        <v>259</v>
      </c>
    </row>
    <row r="10646" spans="1:1" ht="12.75">
      <c r="A10646" s="2" t="s">
        <v>259</v>
      </c>
    </row>
    <row r="10647" spans="1:1" ht="12.75">
      <c r="A10647" s="2" t="s">
        <v>259</v>
      </c>
    </row>
    <row r="10648" spans="1:1" ht="12.75">
      <c r="A10648" s="2" t="s">
        <v>259</v>
      </c>
    </row>
    <row r="10649" spans="1:1" ht="12.75">
      <c r="A10649" s="2" t="s">
        <v>258</v>
      </c>
    </row>
    <row r="10650" spans="1:1" ht="12.75">
      <c r="A10650" s="2" t="s">
        <v>258</v>
      </c>
    </row>
    <row r="10651" spans="1:1" ht="12.75">
      <c r="A10651" s="2" t="s">
        <v>257</v>
      </c>
    </row>
    <row r="10652" spans="1:1" ht="12.75">
      <c r="A10652" s="2" t="s">
        <v>257</v>
      </c>
    </row>
    <row r="10653" spans="1:1" ht="12.75">
      <c r="A10653" s="2" t="s">
        <v>257</v>
      </c>
    </row>
    <row r="10654" spans="1:1" ht="12.75">
      <c r="A10654" s="2" t="s">
        <v>257</v>
      </c>
    </row>
    <row r="10655" spans="1:1" ht="12.75">
      <c r="A10655" s="2" t="s">
        <v>258</v>
      </c>
    </row>
    <row r="10656" spans="1:1" ht="12.75">
      <c r="A10656" s="2" t="s">
        <v>258</v>
      </c>
    </row>
    <row r="10657" spans="1:1" ht="12.75">
      <c r="A10657" s="2" t="s">
        <v>301</v>
      </c>
    </row>
    <row r="10658" spans="1:1" ht="12.75">
      <c r="A10658" s="2" t="s">
        <v>301</v>
      </c>
    </row>
    <row r="10659" spans="1:1" ht="12.75">
      <c r="A10659" s="2" t="s">
        <v>301</v>
      </c>
    </row>
    <row r="10660" spans="1:1" ht="12.75">
      <c r="A10660" s="2" t="s">
        <v>301</v>
      </c>
    </row>
    <row r="10661" spans="1:1" ht="12.75">
      <c r="A10661" s="2" t="s">
        <v>301</v>
      </c>
    </row>
    <row r="10662" spans="1:1" ht="12.75">
      <c r="A10662" s="2" t="s">
        <v>301</v>
      </c>
    </row>
    <row r="10663" spans="1:1" ht="12.75">
      <c r="A10663" s="2" t="s">
        <v>301</v>
      </c>
    </row>
    <row r="10664" spans="1:1" ht="12.75">
      <c r="A10664" s="2" t="s">
        <v>301</v>
      </c>
    </row>
    <row r="10665" spans="1:1" ht="12.75">
      <c r="A10665" s="2" t="s">
        <v>593</v>
      </c>
    </row>
    <row r="10666" spans="1:1" ht="12.75">
      <c r="A10666" s="2" t="s">
        <v>593</v>
      </c>
    </row>
    <row r="10676" spans="1:1" ht="12.75">
      <c r="A10676" s="2" t="s">
        <v>593</v>
      </c>
    </row>
    <row r="10681" spans="1:1" ht="12.75">
      <c r="A10681" s="2" t="s">
        <v>594</v>
      </c>
    </row>
    <row r="10682" spans="1:1" ht="12.75">
      <c r="A10682" s="2" t="s">
        <v>594</v>
      </c>
    </row>
    <row r="10683" spans="1:1" ht="12.75">
      <c r="A10683" s="2" t="s">
        <v>594</v>
      </c>
    </row>
    <row r="10684" spans="1:1" ht="12.75">
      <c r="A10684" s="2" t="s">
        <v>284</v>
      </c>
    </row>
    <row r="10686" spans="1:1" ht="12.75">
      <c r="A10686" s="2" t="s">
        <v>284</v>
      </c>
    </row>
    <row r="10688" spans="1:1" ht="12.75">
      <c r="A10688" s="2" t="s">
        <v>210</v>
      </c>
    </row>
    <row r="10690" spans="1:1" ht="12.75">
      <c r="A10690" s="2" t="s">
        <v>284</v>
      </c>
    </row>
    <row r="10692" spans="1:1" ht="12.75">
      <c r="A10692" s="2" t="s">
        <v>284</v>
      </c>
    </row>
    <row r="10694" spans="1:1" ht="12.75">
      <c r="A10694" s="2" t="s">
        <v>284</v>
      </c>
    </row>
    <row r="10696" spans="1:1" ht="12.75">
      <c r="A10696" s="2" t="s">
        <v>284</v>
      </c>
    </row>
    <row r="10698" spans="1:1" ht="12.75">
      <c r="A10698" s="2">
        <v>976</v>
      </c>
    </row>
    <row r="10700" spans="1:1" ht="12.75">
      <c r="A10700" s="2" t="s">
        <v>284</v>
      </c>
    </row>
    <row r="10702" spans="1:1" ht="12.75">
      <c r="A10702" s="2" t="s">
        <v>284</v>
      </c>
    </row>
    <row r="10704" spans="1:1" ht="12.75">
      <c r="A10704" s="2" t="s">
        <v>284</v>
      </c>
    </row>
    <row r="10706" spans="1:1" ht="12.75">
      <c r="A10706" s="2" t="s">
        <v>284</v>
      </c>
    </row>
    <row r="10708" spans="1:1" ht="12.75">
      <c r="A10708" s="2" t="s">
        <v>284</v>
      </c>
    </row>
    <row r="10710" spans="1:1" ht="12.75">
      <c r="A10710" s="2" t="s">
        <v>284</v>
      </c>
    </row>
    <row r="10714" spans="1:1" ht="12.75">
      <c r="A10714" s="2" t="s">
        <v>284</v>
      </c>
    </row>
    <row r="10716" spans="1:1" ht="12.75">
      <c r="A10716" s="2" t="s">
        <v>284</v>
      </c>
    </row>
    <row r="10718" spans="1:1" ht="12.75">
      <c r="A10718" s="2" t="s">
        <v>284</v>
      </c>
    </row>
    <row r="10720" spans="1:1" ht="12.75">
      <c r="A10720" s="2" t="s">
        <v>284</v>
      </c>
    </row>
    <row r="10722" spans="1:1" ht="12.75">
      <c r="A10722" s="2" t="s">
        <v>284</v>
      </c>
    </row>
    <row r="10724" spans="1:1" ht="12.75">
      <c r="A10724" s="2" t="s">
        <v>284</v>
      </c>
    </row>
    <row r="10726" spans="1:1" ht="12.75">
      <c r="A10726" s="2" t="s">
        <v>284</v>
      </c>
    </row>
    <row r="10728" spans="1:1" ht="12.75">
      <c r="A10728" s="2" t="s">
        <v>284</v>
      </c>
    </row>
    <row r="10730" spans="1:1" ht="12.75">
      <c r="A10730" s="2" t="s">
        <v>284</v>
      </c>
    </row>
    <row r="10732" spans="1:1" ht="12.75">
      <c r="A10732" s="2" t="s">
        <v>287</v>
      </c>
    </row>
    <row r="10734" spans="1:1" ht="12.75">
      <c r="A10734" s="2" t="s">
        <v>284</v>
      </c>
    </row>
    <row r="10736" spans="1:1" ht="12.75">
      <c r="A10736" s="2" t="s">
        <v>284</v>
      </c>
    </row>
    <row r="10738" spans="1:1" ht="12.75">
      <c r="A10738" s="2" t="s">
        <v>284</v>
      </c>
    </row>
    <row r="10740" spans="1:1" ht="12.75">
      <c r="A10740" s="2" t="s">
        <v>284</v>
      </c>
    </row>
    <row r="10742" spans="1:1" ht="12.75">
      <c r="A10742" s="2" t="s">
        <v>284</v>
      </c>
    </row>
    <row r="10744" spans="1:1" ht="12.75">
      <c r="A10744" s="2" t="s">
        <v>595</v>
      </c>
    </row>
    <row r="10745" spans="1:1" ht="12.75">
      <c r="A10745" s="2" t="s">
        <v>299</v>
      </c>
    </row>
    <row r="10746" spans="1:1" ht="12.75">
      <c r="A10746" s="2" t="s">
        <v>299</v>
      </c>
    </row>
    <row r="10747" spans="1:1" ht="12.75">
      <c r="A10747" s="2" t="s">
        <v>297</v>
      </c>
    </row>
    <row r="10748" spans="1:1" ht="12.75">
      <c r="A10748" s="2" t="s">
        <v>291</v>
      </c>
    </row>
    <row r="10749" spans="1:1" ht="12.75">
      <c r="A10749" s="2" t="s">
        <v>289</v>
      </c>
    </row>
    <row r="10750" spans="1:1" ht="12.75">
      <c r="A10750" s="2" t="s">
        <v>289</v>
      </c>
    </row>
    <row r="10751" spans="1:1" ht="12.75">
      <c r="A10751" s="2" t="s">
        <v>291</v>
      </c>
    </row>
    <row r="10752" spans="1:1" ht="12.75">
      <c r="A10752" s="2" t="s">
        <v>290</v>
      </c>
    </row>
    <row r="10753" spans="1:1" ht="12.75">
      <c r="A10753" s="2" t="s">
        <v>290</v>
      </c>
    </row>
    <row r="10754" spans="1:1" ht="12.75">
      <c r="A10754" s="2" t="s">
        <v>292</v>
      </c>
    </row>
    <row r="10755" spans="1:1" ht="12.75">
      <c r="A10755" s="2" t="s">
        <v>290</v>
      </c>
    </row>
    <row r="10756" spans="1:1" ht="12.75">
      <c r="A10756" s="2" t="s">
        <v>290</v>
      </c>
    </row>
    <row r="10757" spans="1:1" ht="12.75">
      <c r="A10757" s="2" t="s">
        <v>289</v>
      </c>
    </row>
    <row r="10758" spans="1:1" ht="12.75">
      <c r="A10758" s="2" t="s">
        <v>290</v>
      </c>
    </row>
    <row r="10759" spans="1:1" ht="12.75">
      <c r="A10759" s="2" t="s">
        <v>289</v>
      </c>
    </row>
    <row r="10760" spans="1:1" ht="12.75">
      <c r="A10760" s="2" t="s">
        <v>289</v>
      </c>
    </row>
    <row r="10761" spans="1:1" ht="12.75">
      <c r="A10761" s="2" t="s">
        <v>297</v>
      </c>
    </row>
    <row r="10762" spans="1:1" ht="12.75">
      <c r="A10762" s="2" t="s">
        <v>289</v>
      </c>
    </row>
    <row r="10763" spans="1:1" ht="12.75">
      <c r="A10763" s="2" t="s">
        <v>297</v>
      </c>
    </row>
    <row r="10764" spans="1:1" ht="12.75">
      <c r="A10764" s="2" t="s">
        <v>291</v>
      </c>
    </row>
    <row r="10765" spans="1:1" ht="12.75">
      <c r="A10765" s="2" t="s">
        <v>291</v>
      </c>
    </row>
    <row r="10766" spans="1:1" ht="12.75">
      <c r="A10766" s="2" t="s">
        <v>289</v>
      </c>
    </row>
    <row r="10767" spans="1:1" ht="12.75">
      <c r="A10767" s="2" t="s">
        <v>291</v>
      </c>
    </row>
    <row r="10768" spans="1:1" ht="12.75">
      <c r="A10768" s="2" t="s">
        <v>290</v>
      </c>
    </row>
    <row r="10769" spans="1:1" ht="12.75">
      <c r="A10769" s="2" t="s">
        <v>298</v>
      </c>
    </row>
    <row r="10770" spans="1:1" ht="12.75">
      <c r="A10770" s="2" t="s">
        <v>291</v>
      </c>
    </row>
    <row r="10771" spans="1:1" ht="12.75">
      <c r="A10771" s="2" t="s">
        <v>297</v>
      </c>
    </row>
    <row r="10772" spans="1:1" ht="12.75">
      <c r="A10772" s="2" t="s">
        <v>297</v>
      </c>
    </row>
    <row r="10773" spans="1:1" ht="12.75">
      <c r="A10773" s="2" t="s">
        <v>292</v>
      </c>
    </row>
    <row r="10774" spans="1:1" ht="12.75">
      <c r="A10774" s="2" t="s">
        <v>596</v>
      </c>
    </row>
    <row r="10775" spans="1:1" ht="12.75">
      <c r="A10775" s="2" t="s">
        <v>298</v>
      </c>
    </row>
    <row r="10776" spans="1:1" ht="12.75">
      <c r="A10776" s="2" t="s">
        <v>298</v>
      </c>
    </row>
    <row r="10777" spans="1:1" ht="12.75">
      <c r="A10777" s="2" t="s">
        <v>290</v>
      </c>
    </row>
    <row r="10778" spans="1:1" ht="12.75">
      <c r="A10778" s="2" t="s">
        <v>290</v>
      </c>
    </row>
    <row r="10779" spans="1:1" ht="12.75">
      <c r="A10779" s="2" t="s">
        <v>289</v>
      </c>
    </row>
    <row r="10780" spans="1:1" ht="12.75">
      <c r="A10780" s="2" t="s">
        <v>289</v>
      </c>
    </row>
    <row r="10781" spans="1:1" ht="12.75">
      <c r="A10781" s="2" t="s">
        <v>291</v>
      </c>
    </row>
    <row r="10782" spans="1:1" ht="12.75">
      <c r="A10782" s="2" t="s">
        <v>291</v>
      </c>
    </row>
    <row r="10783" spans="1:1" ht="12.75">
      <c r="A10783" s="2" t="s">
        <v>289</v>
      </c>
    </row>
    <row r="10784" spans="1:1" ht="12.75">
      <c r="A10784" s="2" t="s">
        <v>289</v>
      </c>
    </row>
    <row r="10785" spans="1:1" ht="12.75">
      <c r="A10785" s="2" t="s">
        <v>291</v>
      </c>
    </row>
    <row r="10786" spans="1:1" ht="12.75">
      <c r="A10786" s="2" t="s">
        <v>297</v>
      </c>
    </row>
    <row r="10787" spans="1:1" ht="12.75">
      <c r="A10787" s="2" t="s">
        <v>297</v>
      </c>
    </row>
    <row r="10788" spans="1:1" ht="12.75">
      <c r="A10788" s="2" t="s">
        <v>297</v>
      </c>
    </row>
    <row r="10789" spans="1:1" ht="12.75">
      <c r="A10789" s="2" t="s">
        <v>291</v>
      </c>
    </row>
    <row r="10790" spans="1:1" ht="12.75">
      <c r="A10790" s="2" t="s">
        <v>291</v>
      </c>
    </row>
    <row r="10791" spans="1:1" ht="12.75">
      <c r="A10791" s="2" t="s">
        <v>290</v>
      </c>
    </row>
    <row r="10792" spans="1:1" ht="12.75">
      <c r="A10792" s="2" t="s">
        <v>290</v>
      </c>
    </row>
    <row r="10793" spans="1:1" ht="12.75">
      <c r="A10793" s="2" t="s">
        <v>289</v>
      </c>
    </row>
    <row r="10794" spans="1:1" ht="12.75">
      <c r="A10794" s="2" t="s">
        <v>289</v>
      </c>
    </row>
    <row r="10795" spans="1:1" ht="12.75">
      <c r="A10795" s="2" t="s">
        <v>289</v>
      </c>
    </row>
    <row r="10796" spans="1:1" ht="12.75">
      <c r="A10796" s="2" t="s">
        <v>289</v>
      </c>
    </row>
    <row r="10797" spans="1:1" ht="12.75">
      <c r="A10797" s="2" t="s">
        <v>291</v>
      </c>
    </row>
    <row r="10798" spans="1:1" ht="12.75">
      <c r="A10798" s="2" t="s">
        <v>291</v>
      </c>
    </row>
    <row r="10799" spans="1:1" ht="12.75">
      <c r="A10799" s="2" t="s">
        <v>299</v>
      </c>
    </row>
    <row r="10800" spans="1:1" ht="12.75">
      <c r="A10800" s="2" t="s">
        <v>297</v>
      </c>
    </row>
    <row r="10801" spans="1:1" ht="12.75">
      <c r="A10801" s="2" t="s">
        <v>290</v>
      </c>
    </row>
    <row r="10802" spans="1:1" ht="12.75">
      <c r="A10802" s="2" t="s">
        <v>290</v>
      </c>
    </row>
    <row r="10803" spans="1:1" ht="12.75">
      <c r="A10803" s="2" t="s">
        <v>290</v>
      </c>
    </row>
    <row r="10804" spans="1:1" ht="12.75">
      <c r="A10804" s="2" t="s">
        <v>290</v>
      </c>
    </row>
    <row r="10805" spans="1:1" ht="12.75">
      <c r="A10805" s="2" t="s">
        <v>291</v>
      </c>
    </row>
    <row r="10806" spans="1:1" ht="12.75">
      <c r="A10806" s="2" t="s">
        <v>290</v>
      </c>
    </row>
    <row r="10807" spans="1:1" ht="12.75">
      <c r="A10807" s="2" t="s">
        <v>291</v>
      </c>
    </row>
    <row r="10808" spans="1:1" ht="12.75">
      <c r="A10808" s="2" t="s">
        <v>290</v>
      </c>
    </row>
    <row r="10809" spans="1:1" ht="12.75">
      <c r="A10809" s="2" t="s">
        <v>297</v>
      </c>
    </row>
    <row r="10810" spans="1:1" ht="12.75">
      <c r="A10810" s="2" t="s">
        <v>289</v>
      </c>
    </row>
    <row r="10811" spans="1:1" ht="12.75">
      <c r="A10811" s="2" t="s">
        <v>289</v>
      </c>
    </row>
    <row r="10812" spans="1:1" ht="12.75">
      <c r="A10812" s="2" t="s">
        <v>297</v>
      </c>
    </row>
    <row r="10813" spans="1:1" ht="12.75">
      <c r="A10813" s="2" t="s">
        <v>290</v>
      </c>
    </row>
    <row r="10814" spans="1:1" ht="12.75">
      <c r="A10814" s="2" t="s">
        <v>299</v>
      </c>
    </row>
    <row r="10815" spans="1:1" ht="12.75">
      <c r="A10815" s="2" t="s">
        <v>289</v>
      </c>
    </row>
    <row r="10816" spans="1:1" ht="12.75">
      <c r="A10816" s="2" t="s">
        <v>299</v>
      </c>
    </row>
    <row r="10817" spans="1:1" ht="12.75">
      <c r="A10817" s="2" t="s">
        <v>291</v>
      </c>
    </row>
    <row r="10818" spans="1:1" ht="12.75">
      <c r="A10818" s="2" t="s">
        <v>291</v>
      </c>
    </row>
    <row r="10819" spans="1:1" ht="12.75">
      <c r="A10819" s="2" t="s">
        <v>291</v>
      </c>
    </row>
    <row r="10820" spans="1:1" ht="12.75">
      <c r="A10820" s="2" t="s">
        <v>289</v>
      </c>
    </row>
    <row r="10821" spans="1:1" ht="12.75">
      <c r="A10821" s="2" t="s">
        <v>297</v>
      </c>
    </row>
    <row r="10822" spans="1:1" ht="12.75">
      <c r="A10822" s="2" t="s">
        <v>292</v>
      </c>
    </row>
    <row r="10823" spans="1:1" ht="12.75">
      <c r="A10823" s="2" t="s">
        <v>290</v>
      </c>
    </row>
    <row r="10824" spans="1:1" ht="12.75">
      <c r="A10824" s="2" t="s">
        <v>297</v>
      </c>
    </row>
    <row r="10825" spans="1:1" ht="12.75">
      <c r="A10825" s="2" t="s">
        <v>291</v>
      </c>
    </row>
    <row r="10826" spans="1:1" ht="12.75">
      <c r="A10826" s="2" t="s">
        <v>289</v>
      </c>
    </row>
    <row r="10827" spans="1:1" ht="12.75">
      <c r="A10827" s="2" t="s">
        <v>292</v>
      </c>
    </row>
    <row r="10828" spans="1:1" ht="12.75">
      <c r="A10828" s="2" t="s">
        <v>291</v>
      </c>
    </row>
    <row r="10829" spans="1:1" ht="12.75">
      <c r="A10829" s="2" t="s">
        <v>289</v>
      </c>
    </row>
    <row r="10830" spans="1:1" ht="12.75">
      <c r="A10830" s="2" t="s">
        <v>291</v>
      </c>
    </row>
    <row r="10831" spans="1:1" ht="12.75">
      <c r="A10831" s="2" t="s">
        <v>289</v>
      </c>
    </row>
    <row r="10832" spans="1:1" ht="12.75">
      <c r="A10832" s="2" t="s">
        <v>289</v>
      </c>
    </row>
    <row r="10833" spans="1:1" ht="12.75">
      <c r="A10833" s="2" t="s">
        <v>290</v>
      </c>
    </row>
    <row r="10834" spans="1:1" ht="12.75">
      <c r="A10834" s="2" t="s">
        <v>297</v>
      </c>
    </row>
    <row r="10835" spans="1:1" ht="12.75">
      <c r="A10835" s="2" t="s">
        <v>293</v>
      </c>
    </row>
    <row r="10836" spans="1:1" ht="12.75">
      <c r="A10836" s="2" t="s">
        <v>290</v>
      </c>
    </row>
    <row r="10837" spans="1:1" ht="12.75">
      <c r="A10837" s="2" t="s">
        <v>289</v>
      </c>
    </row>
    <row r="10838" spans="1:1" ht="12.75">
      <c r="A10838" s="2" t="s">
        <v>289</v>
      </c>
    </row>
    <row r="10839" spans="1:1" ht="12.75">
      <c r="A10839" s="2" t="s">
        <v>291</v>
      </c>
    </row>
    <row r="10840" spans="1:1" ht="12.75">
      <c r="A10840" s="2" t="s">
        <v>292</v>
      </c>
    </row>
    <row r="10841" spans="1:1" ht="12.75">
      <c r="A10841" s="2" t="s">
        <v>297</v>
      </c>
    </row>
    <row r="10842" spans="1:1" ht="12.75">
      <c r="A10842" s="2" t="s">
        <v>291</v>
      </c>
    </row>
    <row r="10843" spans="1:1" ht="12.75">
      <c r="A10843" s="2" t="s">
        <v>291</v>
      </c>
    </row>
    <row r="10844" spans="1:1" ht="12.75">
      <c r="A10844" s="2" t="s">
        <v>290</v>
      </c>
    </row>
    <row r="10845" spans="1:1" ht="12.75">
      <c r="A10845" s="2" t="s">
        <v>364</v>
      </c>
    </row>
    <row r="10846" spans="1:1" ht="12.75">
      <c r="A10846" s="2" t="s">
        <v>148</v>
      </c>
    </row>
    <row r="10847" spans="1:1" ht="12.75">
      <c r="A10847" s="2" t="s">
        <v>364</v>
      </c>
    </row>
    <row r="10848" spans="1:1" ht="12.75">
      <c r="A10848" s="2" t="s">
        <v>148</v>
      </c>
    </row>
    <row r="10849" spans="1:1" ht="12.75">
      <c r="A10849" s="2" t="s">
        <v>209</v>
      </c>
    </row>
    <row r="10850" spans="1:1" ht="12.75">
      <c r="A10850" s="2" t="s">
        <v>209</v>
      </c>
    </row>
    <row r="10851" spans="1:1" ht="12.75">
      <c r="A10851" s="2" t="s">
        <v>486</v>
      </c>
    </row>
    <row r="10852" spans="1:1" ht="12.75">
      <c r="A10852" s="2" t="s">
        <v>486</v>
      </c>
    </row>
    <row r="10853" spans="1:1" ht="12.75">
      <c r="A10853" s="2" t="s">
        <v>212</v>
      </c>
    </row>
    <row r="10854" spans="1:1" ht="12.75">
      <c r="A10854" s="2" t="s">
        <v>212</v>
      </c>
    </row>
    <row r="10855" spans="1:1" ht="12.75">
      <c r="A10855" s="2" t="s">
        <v>210</v>
      </c>
    </row>
    <row r="10856" spans="1:1" ht="12.75">
      <c r="A10856" s="2" t="s">
        <v>210</v>
      </c>
    </row>
    <row r="10857" spans="1:1" ht="12.75">
      <c r="A10857" s="2" t="s">
        <v>210</v>
      </c>
    </row>
    <row r="10858" spans="1:1" ht="12.75">
      <c r="A10858" s="2" t="s">
        <v>210</v>
      </c>
    </row>
    <row r="10860" spans="1:1" ht="12.75">
      <c r="A10860" s="2" t="s">
        <v>209</v>
      </c>
    </row>
    <row r="10861" spans="1:1" ht="12.75">
      <c r="A10861" s="2" t="s">
        <v>209</v>
      </c>
    </row>
    <row r="10862" spans="1:1" ht="12.75">
      <c r="A10862" s="2" t="s">
        <v>209</v>
      </c>
    </row>
    <row r="10863" spans="1:1" ht="12.75">
      <c r="A10863" s="2" t="s">
        <v>211</v>
      </c>
    </row>
    <row r="10864" spans="1:1" ht="12.75">
      <c r="A10864" s="2" t="s">
        <v>210</v>
      </c>
    </row>
    <row r="10865" spans="1:1" ht="12.75">
      <c r="A10865" s="2" t="s">
        <v>210</v>
      </c>
    </row>
    <row r="10866" spans="1:1" ht="12.75">
      <c r="A10866" s="2" t="s">
        <v>210</v>
      </c>
    </row>
    <row r="10867" spans="1:1" ht="12.75">
      <c r="A10867" s="2" t="s">
        <v>486</v>
      </c>
    </row>
    <row r="10868" spans="1:1" ht="12.75">
      <c r="A10868" s="2" t="s">
        <v>486</v>
      </c>
    </row>
    <row r="10869" spans="1:1" ht="12.75">
      <c r="A10869" s="2" t="s">
        <v>486</v>
      </c>
    </row>
    <row r="10870" spans="1:1" ht="12.75">
      <c r="A10870" s="2" t="s">
        <v>486</v>
      </c>
    </row>
    <row r="10871" spans="1:1" ht="12.75">
      <c r="A10871" s="2" t="s">
        <v>148</v>
      </c>
    </row>
    <row r="10872" spans="1:1" ht="12.75">
      <c r="A10872" s="2" t="s">
        <v>364</v>
      </c>
    </row>
    <row r="10873" spans="1:1" ht="12.75">
      <c r="A10873" s="2" t="s">
        <v>212</v>
      </c>
    </row>
    <row r="10874" spans="1:1" ht="12.75">
      <c r="A10874" s="2" t="s">
        <v>212</v>
      </c>
    </row>
    <row r="10875" spans="1:1" ht="12.75">
      <c r="A10875" s="2" t="s">
        <v>212</v>
      </c>
    </row>
    <row r="10876" spans="1:1" ht="12.75">
      <c r="A10876" s="2" t="s">
        <v>212</v>
      </c>
    </row>
    <row r="10877" spans="1:1" ht="12.75">
      <c r="A10877" s="2" t="s">
        <v>364</v>
      </c>
    </row>
    <row r="10878" spans="1:1" ht="12.75">
      <c r="A10878" s="2" t="s">
        <v>364</v>
      </c>
    </row>
    <row r="10879" spans="1:1" ht="12.75">
      <c r="A10879" s="2" t="s">
        <v>210</v>
      </c>
    </row>
    <row r="10880" spans="1:1" ht="12.75">
      <c r="A10880" s="2" t="s">
        <v>210</v>
      </c>
    </row>
    <row r="10881" spans="1:1" ht="12.75">
      <c r="A10881" s="2" t="s">
        <v>209</v>
      </c>
    </row>
    <row r="10882" spans="1:1" ht="12.75">
      <c r="A10882" s="2" t="s">
        <v>209</v>
      </c>
    </row>
    <row r="10883" spans="1:1" ht="12.75">
      <c r="A10883" s="2" t="s">
        <v>212</v>
      </c>
    </row>
    <row r="10884" spans="1:1" ht="12.75">
      <c r="A10884" s="2" t="s">
        <v>212</v>
      </c>
    </row>
    <row r="10885" spans="1:1" ht="12.75">
      <c r="A10885" s="2" t="s">
        <v>209</v>
      </c>
    </row>
    <row r="10886" spans="1:1" ht="12.75">
      <c r="A10886" s="2" t="s">
        <v>209</v>
      </c>
    </row>
    <row r="10887" spans="1:1" ht="12.75">
      <c r="A10887" s="2" t="s">
        <v>148</v>
      </c>
    </row>
    <row r="10888" spans="1:1" ht="12.75">
      <c r="A10888" s="2" t="s">
        <v>148</v>
      </c>
    </row>
    <row r="10889" spans="1:1" ht="12.75">
      <c r="A10889" s="2" t="s">
        <v>211</v>
      </c>
    </row>
    <row r="10890" spans="1:1" ht="12.75">
      <c r="A10890" s="2" t="s">
        <v>211</v>
      </c>
    </row>
    <row r="10891" spans="1:1" ht="12.75">
      <c r="A10891" s="2" t="s">
        <v>212</v>
      </c>
    </row>
    <row r="10892" spans="1:1" ht="12.75">
      <c r="A10892" s="2" t="s">
        <v>212</v>
      </c>
    </row>
    <row r="10893" spans="1:1" ht="12.75">
      <c r="A10893" s="2" t="s">
        <v>212</v>
      </c>
    </row>
    <row r="10894" spans="1:1" ht="12.75">
      <c r="A10894" s="2" t="s">
        <v>212</v>
      </c>
    </row>
    <row r="10895" spans="1:1" ht="12.75">
      <c r="A10895" s="2" t="s">
        <v>152</v>
      </c>
    </row>
    <row r="10896" spans="1:1" ht="12.75">
      <c r="A10896" s="2" t="s">
        <v>152</v>
      </c>
    </row>
    <row r="10897" spans="1:1" ht="12.75">
      <c r="A10897" s="2" t="s">
        <v>152</v>
      </c>
    </row>
    <row r="10898" spans="1:1" ht="12.75">
      <c r="A10898" s="2" t="s">
        <v>152</v>
      </c>
    </row>
    <row r="10899" spans="1:1" ht="12.75">
      <c r="A10899" s="2" t="s">
        <v>152</v>
      </c>
    </row>
    <row r="10900" spans="1:1" ht="12.75">
      <c r="A10900" s="2" t="s">
        <v>152</v>
      </c>
    </row>
    <row r="10901" spans="1:1" ht="12.75">
      <c r="A10901" s="2" t="s">
        <v>152</v>
      </c>
    </row>
    <row r="10902" spans="1:1" ht="12.75">
      <c r="A10902" s="2" t="s">
        <v>152</v>
      </c>
    </row>
    <row r="10903" spans="1:1" ht="12.75">
      <c r="A10903" s="2" t="s">
        <v>152</v>
      </c>
    </row>
    <row r="10904" spans="1:1" ht="12.75">
      <c r="A10904" s="2">
        <v>701</v>
      </c>
    </row>
    <row r="10905" spans="1:1" ht="12.75">
      <c r="A10905" s="2" t="s">
        <v>152</v>
      </c>
    </row>
    <row r="10906" spans="1:1" ht="12.75">
      <c r="A10906" s="2" t="s">
        <v>152</v>
      </c>
    </row>
    <row r="10907" spans="1:1" ht="12.75">
      <c r="A10907" s="2" t="s">
        <v>152</v>
      </c>
    </row>
    <row r="10908" spans="1:1" ht="12.75">
      <c r="A10908" s="2" t="s">
        <v>152</v>
      </c>
    </row>
    <row r="10909" spans="1:1" ht="12.75">
      <c r="A10909" s="2" t="s">
        <v>152</v>
      </c>
    </row>
    <row r="10910" spans="1:1" ht="12.75">
      <c r="A10910" s="2" t="s">
        <v>597</v>
      </c>
    </row>
    <row r="10911" spans="1:1" ht="12.75">
      <c r="A10911" s="2" t="s">
        <v>597</v>
      </c>
    </row>
    <row r="10916" spans="1:1" ht="12.75">
      <c r="A10916" s="2" t="s">
        <v>598</v>
      </c>
    </row>
    <row r="10917" spans="1:1" ht="12.75">
      <c r="A10917" s="2" t="s">
        <v>599</v>
      </c>
    </row>
    <row r="10918" spans="1:1" ht="12.75">
      <c r="A10918" s="2" t="s">
        <v>500</v>
      </c>
    </row>
    <row r="10919" spans="1:1" ht="12.75">
      <c r="A10919" s="2" t="s">
        <v>500</v>
      </c>
    </row>
    <row r="10928" spans="1:1" ht="12.75">
      <c r="A10928" s="2" t="s">
        <v>205</v>
      </c>
    </row>
    <row r="10929" spans="1:1" ht="12.75">
      <c r="A10929" s="2" t="s">
        <v>203</v>
      </c>
    </row>
    <row r="10930" spans="1:1" ht="12.75">
      <c r="A10930" s="2" t="s">
        <v>205</v>
      </c>
    </row>
    <row r="10931" spans="1:1" ht="12.75">
      <c r="A10931" s="2" t="s">
        <v>205</v>
      </c>
    </row>
    <row r="10932" spans="1:1" ht="12.75">
      <c r="A10932" s="2" t="s">
        <v>205</v>
      </c>
    </row>
    <row r="10933" spans="1:1" ht="12.75">
      <c r="A10933" s="2" t="s">
        <v>205</v>
      </c>
    </row>
    <row r="10934" spans="1:1" ht="12.75">
      <c r="A10934" s="2" t="s">
        <v>206</v>
      </c>
    </row>
    <row r="10935" spans="1:1" ht="12.75">
      <c r="A10935" s="2" t="s">
        <v>206</v>
      </c>
    </row>
    <row r="10936" spans="1:1" ht="12.75">
      <c r="A10936" s="2" t="s">
        <v>206</v>
      </c>
    </row>
    <row r="10937" spans="1:1" ht="12.75">
      <c r="A10937" s="2" t="s">
        <v>206</v>
      </c>
    </row>
    <row r="10938" spans="1:1" ht="12.75">
      <c r="A10938" s="2" t="s">
        <v>206</v>
      </c>
    </row>
    <row r="10939" spans="1:1" ht="12.75">
      <c r="A10939" s="2" t="s">
        <v>206</v>
      </c>
    </row>
    <row r="10940" spans="1:1" ht="12.75">
      <c r="A10940" s="2" t="s">
        <v>201</v>
      </c>
    </row>
    <row r="10941" spans="1:1" ht="12.75">
      <c r="A10941" s="2" t="s">
        <v>201</v>
      </c>
    </row>
    <row r="10942" spans="1:1" ht="12.75">
      <c r="A10942" s="2" t="s">
        <v>206</v>
      </c>
    </row>
    <row r="10943" spans="1:1" ht="12.75">
      <c r="A10943" s="2" t="s">
        <v>206</v>
      </c>
    </row>
    <row r="10944" spans="1:1" ht="12.75">
      <c r="A10944" s="2" t="s">
        <v>206</v>
      </c>
    </row>
    <row r="10945" spans="1:1" ht="12.75">
      <c r="A10945" s="2" t="s">
        <v>206</v>
      </c>
    </row>
    <row r="10946" spans="1:1" ht="12.75">
      <c r="A10946" s="2" t="s">
        <v>202</v>
      </c>
    </row>
    <row r="10947" spans="1:1" ht="12.75">
      <c r="A10947" s="2" t="s">
        <v>201</v>
      </c>
    </row>
    <row r="10948" spans="1:1" ht="12.75">
      <c r="A10948" s="2" t="s">
        <v>201</v>
      </c>
    </row>
    <row r="10949" spans="1:1" ht="12.75">
      <c r="A10949" s="2" t="s">
        <v>201</v>
      </c>
    </row>
    <row r="10950" spans="1:1" ht="12.75">
      <c r="A10950" s="2" t="s">
        <v>201</v>
      </c>
    </row>
    <row r="10951" spans="1:1" ht="12.75">
      <c r="A10951" s="2" t="s">
        <v>201</v>
      </c>
    </row>
    <row r="10952" spans="1:1" ht="12.75">
      <c r="A10952" s="2" t="s">
        <v>201</v>
      </c>
    </row>
    <row r="10953" spans="1:1" ht="12.75">
      <c r="A10953" s="2" t="s">
        <v>201</v>
      </c>
    </row>
    <row r="10954" spans="1:1" ht="12.75">
      <c r="A10954" s="2" t="s">
        <v>201</v>
      </c>
    </row>
    <row r="10955" spans="1:1" ht="12.75">
      <c r="A10955" s="2" t="s">
        <v>201</v>
      </c>
    </row>
    <row r="10956" spans="1:1" ht="12.75">
      <c r="A10956" s="2" t="s">
        <v>200</v>
      </c>
    </row>
    <row r="10957" spans="1:1" ht="12.75">
      <c r="A10957" s="2" t="s">
        <v>200</v>
      </c>
    </row>
    <row r="10958" spans="1:1" ht="12.75">
      <c r="A10958" s="2" t="s">
        <v>207</v>
      </c>
    </row>
    <row r="10959" spans="1:1" ht="12.75">
      <c r="A10959" s="2" t="s">
        <v>207</v>
      </c>
    </row>
    <row r="10960" spans="1:1" ht="12.75">
      <c r="A10960" s="2" t="s">
        <v>200</v>
      </c>
    </row>
    <row r="10961" spans="1:1" ht="12.75">
      <c r="A10961" s="2" t="s">
        <v>200</v>
      </c>
    </row>
    <row r="10962" spans="1:1" ht="12.75">
      <c r="A10962" s="2" t="s">
        <v>200</v>
      </c>
    </row>
    <row r="10963" spans="1:1" ht="12.75">
      <c r="A10963" s="2" t="s">
        <v>200</v>
      </c>
    </row>
    <row r="10964" spans="1:1" ht="12.75">
      <c r="A10964" s="2" t="s">
        <v>200</v>
      </c>
    </row>
    <row r="10965" spans="1:1" ht="12.75">
      <c r="A10965" s="2" t="s">
        <v>200</v>
      </c>
    </row>
    <row r="10966" spans="1:1" ht="12.75">
      <c r="A10966" s="2" t="s">
        <v>200</v>
      </c>
    </row>
    <row r="10967" spans="1:1" ht="12.75">
      <c r="A10967" s="2" t="s">
        <v>200</v>
      </c>
    </row>
    <row r="10968" spans="1:1" ht="12.75">
      <c r="A10968" s="2" t="s">
        <v>206</v>
      </c>
    </row>
    <row r="10969" spans="1:1" ht="12.75">
      <c r="A10969" s="2" t="s">
        <v>206</v>
      </c>
    </row>
    <row r="10970" spans="1:1" ht="12.75">
      <c r="A10970" s="2" t="s">
        <v>202</v>
      </c>
    </row>
    <row r="10971" spans="1:1" ht="12.75">
      <c r="A10971" s="2" t="s">
        <v>203</v>
      </c>
    </row>
    <row r="10972" spans="1:1" ht="12.75">
      <c r="A10972" s="2" t="s">
        <v>205</v>
      </c>
    </row>
    <row r="10973" spans="1:1" ht="12.75">
      <c r="A10973" s="2" t="s">
        <v>203</v>
      </c>
    </row>
    <row r="10974" spans="1:1" ht="12.75">
      <c r="A10974" s="2" t="s">
        <v>203</v>
      </c>
    </row>
    <row r="10975" spans="1:1" ht="12.75">
      <c r="A10975" s="2" t="s">
        <v>203</v>
      </c>
    </row>
    <row r="10976" spans="1:1" ht="12.75">
      <c r="A10976" s="2" t="s">
        <v>203</v>
      </c>
    </row>
    <row r="10977" spans="1:1" ht="12.75">
      <c r="A10977" s="2" t="s">
        <v>203</v>
      </c>
    </row>
    <row r="10980" spans="1:1" ht="12.75">
      <c r="A10980" s="2" t="s">
        <v>285</v>
      </c>
    </row>
    <row r="10981" spans="1:1" ht="12.75">
      <c r="A10981" s="2" t="s">
        <v>285</v>
      </c>
    </row>
    <row r="10982" spans="1:1" ht="12.75">
      <c r="A10982" s="2" t="s">
        <v>600</v>
      </c>
    </row>
    <row r="10983" spans="1:1" ht="12.75">
      <c r="A10983" s="2" t="s">
        <v>600</v>
      </c>
    </row>
    <row r="10984" spans="1:1" ht="12.75">
      <c r="A10984" s="2" t="s">
        <v>205</v>
      </c>
    </row>
    <row r="10985" spans="1:1" ht="12.75">
      <c r="A10985" s="2" t="s">
        <v>205</v>
      </c>
    </row>
    <row r="10986" spans="1:1" ht="12.75">
      <c r="A10986" s="2" t="s">
        <v>206</v>
      </c>
    </row>
    <row r="10987" spans="1:1" ht="12.75">
      <c r="A10987" s="2" t="s">
        <v>206</v>
      </c>
    </row>
    <row r="10988" spans="1:1" ht="12.75">
      <c r="A10988" s="2" t="s">
        <v>206</v>
      </c>
    </row>
    <row r="10989" spans="1:1" ht="12.75">
      <c r="A10989" s="2" t="s">
        <v>206</v>
      </c>
    </row>
    <row r="10990" spans="1:1" ht="12.75">
      <c r="A10990" s="2" t="s">
        <v>206</v>
      </c>
    </row>
    <row r="10991" spans="1:1" ht="12.75">
      <c r="A10991" s="2" t="s">
        <v>206</v>
      </c>
    </row>
    <row r="10992" spans="1:1" ht="12.75">
      <c r="A10992" s="2" t="s">
        <v>206</v>
      </c>
    </row>
    <row r="10993" spans="1:1" ht="12.75">
      <c r="A10993" s="2" t="s">
        <v>206</v>
      </c>
    </row>
    <row r="10994" spans="1:1" ht="12.75">
      <c r="A10994" s="2" t="s">
        <v>201</v>
      </c>
    </row>
    <row r="10995" spans="1:1" ht="12.75">
      <c r="A10995" s="2" t="s">
        <v>201</v>
      </c>
    </row>
    <row r="10996" spans="1:1" ht="12.75">
      <c r="A10996" s="2" t="s">
        <v>201</v>
      </c>
    </row>
    <row r="10997" spans="1:1" ht="12.75">
      <c r="A10997" s="2" t="s">
        <v>201</v>
      </c>
    </row>
    <row r="10998" spans="1:1" ht="12.75">
      <c r="A10998" s="2" t="s">
        <v>201</v>
      </c>
    </row>
    <row r="10999" spans="1:1" ht="12.75">
      <c r="A10999" s="2" t="s">
        <v>201</v>
      </c>
    </row>
    <row r="11000" spans="1:1" ht="12.75">
      <c r="A11000" s="2" t="s">
        <v>201</v>
      </c>
    </row>
    <row r="11001" spans="1:1" ht="12.75">
      <c r="A11001" s="2" t="s">
        <v>201</v>
      </c>
    </row>
    <row r="11002" spans="1:1" ht="12.75">
      <c r="A11002" s="2" t="s">
        <v>201</v>
      </c>
    </row>
    <row r="11003" spans="1:1" ht="12.75">
      <c r="A11003" s="2" t="s">
        <v>201</v>
      </c>
    </row>
    <row r="11004" spans="1:1" ht="12.75">
      <c r="A11004" s="2" t="s">
        <v>200</v>
      </c>
    </row>
    <row r="11005" spans="1:1" ht="12.75">
      <c r="A11005" s="2" t="s">
        <v>200</v>
      </c>
    </row>
    <row r="11006" spans="1:1" ht="12.75">
      <c r="A11006" s="2" t="s">
        <v>200</v>
      </c>
    </row>
    <row r="11007" spans="1:1" ht="12.75">
      <c r="A11007" s="2" t="s">
        <v>200</v>
      </c>
    </row>
    <row r="11008" spans="1:1" ht="12.75">
      <c r="A11008" s="2" t="s">
        <v>200</v>
      </c>
    </row>
    <row r="11009" spans="1:1" ht="12.75">
      <c r="A11009" s="2" t="s">
        <v>200</v>
      </c>
    </row>
    <row r="11010" spans="1:1" ht="12.75">
      <c r="A11010" s="2" t="s">
        <v>200</v>
      </c>
    </row>
    <row r="11011" spans="1:1" ht="12.75">
      <c r="A11011" s="2" t="s">
        <v>200</v>
      </c>
    </row>
    <row r="11012" spans="1:1" ht="12.75">
      <c r="A11012" s="2" t="s">
        <v>200</v>
      </c>
    </row>
    <row r="11013" spans="1:1" ht="12.75">
      <c r="A11013" s="2" t="s">
        <v>200</v>
      </c>
    </row>
    <row r="11014" spans="1:1" ht="12.75">
      <c r="A11014" s="2" t="s">
        <v>200</v>
      </c>
    </row>
    <row r="11015" spans="1:1" ht="12.75">
      <c r="A11015" s="2" t="s">
        <v>200</v>
      </c>
    </row>
    <row r="11016" spans="1:1" ht="12.75">
      <c r="A11016" s="2" t="s">
        <v>200</v>
      </c>
    </row>
    <row r="11017" spans="1:1" ht="12.75">
      <c r="A11017" s="2" t="s">
        <v>200</v>
      </c>
    </row>
    <row r="11018" spans="1:1" ht="12.75">
      <c r="A11018" s="2" t="s">
        <v>200</v>
      </c>
    </row>
    <row r="11019" spans="1:1" ht="12.75">
      <c r="A11019" s="2" t="s">
        <v>200</v>
      </c>
    </row>
    <row r="11020" spans="1:1" ht="12.75">
      <c r="A11020" s="2" t="s">
        <v>202</v>
      </c>
    </row>
    <row r="11021" spans="1:1" ht="12.75">
      <c r="A11021" s="2" t="s">
        <v>202</v>
      </c>
    </row>
    <row r="11022" spans="1:1" ht="12.75">
      <c r="A11022" s="2" t="s">
        <v>202</v>
      </c>
    </row>
    <row r="11023" spans="1:1" ht="12.75">
      <c r="A11023" s="2" t="s">
        <v>205</v>
      </c>
    </row>
    <row r="11024" spans="1:1" ht="12.75">
      <c r="A11024" s="2" t="s">
        <v>206</v>
      </c>
    </row>
    <row r="11025" spans="1:1" ht="12.75">
      <c r="A11025" s="2" t="s">
        <v>206</v>
      </c>
    </row>
    <row r="11026" spans="1:1" ht="12.75">
      <c r="A11026" s="2" t="s">
        <v>206</v>
      </c>
    </row>
    <row r="11027" spans="1:1" ht="12.75">
      <c r="A11027" s="2" t="s">
        <v>206</v>
      </c>
    </row>
    <row r="11028" spans="1:1" ht="12.75">
      <c r="A11028" s="2" t="s">
        <v>206</v>
      </c>
    </row>
    <row r="11029" spans="1:1" ht="12.75">
      <c r="A11029" s="2" t="s">
        <v>206</v>
      </c>
    </row>
    <row r="11030" spans="1:1" ht="12.75">
      <c r="A11030" s="2" t="s">
        <v>205</v>
      </c>
    </row>
    <row r="11031" spans="1:1" ht="12.75">
      <c r="A11031" s="2" t="s">
        <v>203</v>
      </c>
    </row>
    <row r="11032" spans="1:1" ht="12.75">
      <c r="A11032" s="2" t="s">
        <v>203</v>
      </c>
    </row>
    <row r="11033" spans="1:1" ht="12.75">
      <c r="A11033" s="2" t="s">
        <v>203</v>
      </c>
    </row>
    <row r="11034" spans="1:1" ht="12.75">
      <c r="A11034" s="2" t="s">
        <v>153</v>
      </c>
    </row>
    <row r="11035" spans="1:1" ht="12.75">
      <c r="A11035" s="2" t="s">
        <v>153</v>
      </c>
    </row>
    <row r="11036" spans="1:1" ht="12.75">
      <c r="A11036" s="2" t="s">
        <v>153</v>
      </c>
    </row>
    <row r="11037" spans="1:1" ht="12.75">
      <c r="A11037" s="2" t="s">
        <v>153</v>
      </c>
    </row>
    <row r="11038" spans="1:1" ht="12.75">
      <c r="A11038" s="2" t="s">
        <v>153</v>
      </c>
    </row>
    <row r="11039" spans="1:1" ht="12.75">
      <c r="A11039" s="2" t="s">
        <v>153</v>
      </c>
    </row>
    <row r="11043" spans="1:1" ht="12.75">
      <c r="A11043" s="2" t="s">
        <v>153</v>
      </c>
    </row>
    <row r="11044" spans="1:1" ht="12.75">
      <c r="A11044" s="2" t="s">
        <v>498</v>
      </c>
    </row>
    <row r="11045" spans="1:1" ht="12.75">
      <c r="A11045" s="2" t="s">
        <v>496</v>
      </c>
    </row>
    <row r="11046" spans="1:1" ht="12.75">
      <c r="A11046" s="2" t="s">
        <v>496</v>
      </c>
    </row>
    <row r="11047" spans="1:1" ht="12.75">
      <c r="A11047" s="2" t="s">
        <v>496</v>
      </c>
    </row>
    <row r="11048" spans="1:1" ht="12.75">
      <c r="A11048" s="2" t="s">
        <v>496</v>
      </c>
    </row>
    <row r="11049" spans="1:1" ht="12.75">
      <c r="A11049" s="2" t="s">
        <v>496</v>
      </c>
    </row>
    <row r="11050" spans="1:1" ht="12.75">
      <c r="A11050" s="2" t="s">
        <v>496</v>
      </c>
    </row>
    <row r="11051" spans="1:1" ht="12.75">
      <c r="A11051" s="2" t="s">
        <v>496</v>
      </c>
    </row>
    <row r="11052" spans="1:1" ht="12.75">
      <c r="A11052" s="2" t="s">
        <v>496</v>
      </c>
    </row>
    <row r="11053" spans="1:1" ht="12.75">
      <c r="A11053" s="2" t="s">
        <v>496</v>
      </c>
    </row>
    <row r="11054" spans="1:1" ht="12.75">
      <c r="A11054" s="2" t="s">
        <v>496</v>
      </c>
    </row>
    <row r="11055" spans="1:1" ht="12.75">
      <c r="A11055" s="2" t="s">
        <v>496</v>
      </c>
    </row>
    <row r="11056" spans="1:1" ht="12.75">
      <c r="A11056" s="2" t="s">
        <v>496</v>
      </c>
    </row>
    <row r="11057" spans="1:1" ht="12.75">
      <c r="A11057" s="2" t="s">
        <v>496</v>
      </c>
    </row>
    <row r="11058" spans="1:1" ht="12.75">
      <c r="A11058" s="2" t="s">
        <v>496</v>
      </c>
    </row>
    <row r="11060" spans="1:1" ht="12.75">
      <c r="A11060" s="2" t="s">
        <v>281</v>
      </c>
    </row>
    <row r="11061" spans="1:1" ht="12.75">
      <c r="A11061" s="2" t="s">
        <v>522</v>
      </c>
    </row>
    <row r="11065" spans="1:1" ht="12.75">
      <c r="A11065" s="2" t="s">
        <v>601</v>
      </c>
    </row>
    <row r="11067" spans="1:1" ht="12.75">
      <c r="A11067" s="2" t="s">
        <v>176</v>
      </c>
    </row>
    <row r="11068" spans="1:1" ht="12.75">
      <c r="A11068" s="2" t="s">
        <v>166</v>
      </c>
    </row>
    <row r="11069" spans="1:1" ht="12.75">
      <c r="A11069" s="2" t="s">
        <v>183</v>
      </c>
    </row>
    <row r="11070" spans="1:1" ht="12.75">
      <c r="A11070" s="2" t="s">
        <v>183</v>
      </c>
    </row>
    <row r="11071" spans="1:1" ht="12.75">
      <c r="A11071" s="2" t="s">
        <v>168</v>
      </c>
    </row>
    <row r="11072" spans="1:1" ht="12.75">
      <c r="A11072" s="2" t="s">
        <v>183</v>
      </c>
    </row>
    <row r="11073" spans="1:1" ht="12.75">
      <c r="A11073" s="2" t="s">
        <v>168</v>
      </c>
    </row>
    <row r="11074" spans="1:1" ht="12.75">
      <c r="A11074" s="2" t="s">
        <v>177</v>
      </c>
    </row>
    <row r="11075" spans="1:1" ht="12.75">
      <c r="A11075" s="2" t="s">
        <v>225</v>
      </c>
    </row>
    <row r="11076" spans="1:1" ht="12.75">
      <c r="A11076" s="2" t="s">
        <v>194</v>
      </c>
    </row>
    <row r="11077" spans="1:1" ht="12.75">
      <c r="A11077" s="2" t="s">
        <v>176</v>
      </c>
    </row>
    <row r="11078" spans="1:1" ht="12.75">
      <c r="A11078" s="2" t="s">
        <v>194</v>
      </c>
    </row>
    <row r="11079" spans="1:1" ht="12.75">
      <c r="A11079" s="2" t="s">
        <v>173</v>
      </c>
    </row>
    <row r="11080" spans="1:1" ht="12.75">
      <c r="A11080" s="2" t="s">
        <v>171</v>
      </c>
    </row>
    <row r="11081" spans="1:1" ht="12.75">
      <c r="A11081" s="2" t="s">
        <v>173</v>
      </c>
    </row>
    <row r="11082" spans="1:1" ht="12.75">
      <c r="A11082" s="2" t="s">
        <v>176</v>
      </c>
    </row>
    <row r="11083" spans="1:1" ht="12.75">
      <c r="A11083" s="2" t="s">
        <v>173</v>
      </c>
    </row>
    <row r="11084" spans="1:1" ht="12.75">
      <c r="A11084" s="2" t="s">
        <v>225</v>
      </c>
    </row>
    <row r="11085" spans="1:1" ht="12.75">
      <c r="A11085" s="2" t="s">
        <v>191</v>
      </c>
    </row>
    <row r="11086" spans="1:1" ht="12.75">
      <c r="A11086" s="2" t="s">
        <v>225</v>
      </c>
    </row>
    <row r="11087" spans="1:1" ht="12.75">
      <c r="A11087" s="2" t="s">
        <v>191</v>
      </c>
    </row>
    <row r="11089" spans="1:1" ht="12.75">
      <c r="A11089" s="2" t="s">
        <v>194</v>
      </c>
    </row>
    <row r="11090" spans="1:1" ht="12.75">
      <c r="A11090" s="2" t="s">
        <v>181</v>
      </c>
    </row>
    <row r="11091" spans="1:1" ht="12.75">
      <c r="A11091" s="2" t="s">
        <v>163</v>
      </c>
    </row>
    <row r="11092" spans="1:1" ht="12.75">
      <c r="A11092" s="2" t="s">
        <v>181</v>
      </c>
    </row>
    <row r="11093" spans="1:1" ht="12.75">
      <c r="A11093" s="2" t="s">
        <v>173</v>
      </c>
    </row>
    <row r="11094" spans="1:1" ht="12.75">
      <c r="A11094" s="2" t="s">
        <v>163</v>
      </c>
    </row>
    <row r="11095" spans="1:1" ht="12.75">
      <c r="A11095" s="2" t="s">
        <v>173</v>
      </c>
    </row>
    <row r="11096" spans="1:1" ht="12.75">
      <c r="A11096" s="2" t="s">
        <v>173</v>
      </c>
    </row>
    <row r="11097" spans="1:1" ht="12.75">
      <c r="A11097" s="2" t="s">
        <v>165</v>
      </c>
    </row>
    <row r="11098" spans="1:1" ht="12.75">
      <c r="A11098" s="2" t="s">
        <v>163</v>
      </c>
    </row>
    <row r="11099" spans="1:1" ht="12.75">
      <c r="A11099" s="2" t="s">
        <v>165</v>
      </c>
    </row>
    <row r="11100" spans="1:1" ht="12.75">
      <c r="A11100" s="2" t="s">
        <v>163</v>
      </c>
    </row>
    <row r="11101" spans="1:1" ht="12.75">
      <c r="A11101" s="2" t="s">
        <v>173</v>
      </c>
    </row>
    <row r="11102" spans="1:1" ht="12.75">
      <c r="A11102" s="2" t="s">
        <v>189</v>
      </c>
    </row>
    <row r="11103" spans="1:1" ht="12.75">
      <c r="A11103" s="2" t="s">
        <v>164</v>
      </c>
    </row>
    <row r="11104" spans="1:1" ht="12.75">
      <c r="A11104" s="2" t="s">
        <v>183</v>
      </c>
    </row>
    <row r="11105" spans="1:1" ht="12.75">
      <c r="A11105" s="2" t="s">
        <v>164</v>
      </c>
    </row>
    <row r="11106" spans="1:1" ht="12.75">
      <c r="A11106" s="2" t="s">
        <v>183</v>
      </c>
    </row>
    <row r="11107" spans="1:1" ht="12.75">
      <c r="A11107" s="2" t="s">
        <v>164</v>
      </c>
    </row>
    <row r="11108" spans="1:1" ht="12.75">
      <c r="A11108" s="2" t="s">
        <v>168</v>
      </c>
    </row>
    <row r="11109" spans="1:1" ht="12.75">
      <c r="A11109" s="2" t="s">
        <v>181</v>
      </c>
    </row>
    <row r="11110" spans="1:1" ht="12.75">
      <c r="A11110" s="2" t="s">
        <v>176</v>
      </c>
    </row>
    <row r="11111" spans="1:1" ht="12.75">
      <c r="A11111" s="2" t="s">
        <v>168</v>
      </c>
    </row>
    <row r="11112" spans="1:1" ht="12.75">
      <c r="A11112" s="2" t="s">
        <v>168</v>
      </c>
    </row>
    <row r="11113" spans="1:1" ht="12.75">
      <c r="A11113" s="2" t="s">
        <v>191</v>
      </c>
    </row>
    <row r="11114" spans="1:1" ht="12.75">
      <c r="A11114" s="2" t="s">
        <v>173</v>
      </c>
    </row>
    <row r="11115" spans="1:1" ht="12.75">
      <c r="A11115" s="2" t="s">
        <v>166</v>
      </c>
    </row>
    <row r="11116" spans="1:1" ht="12.75">
      <c r="A11116" s="2" t="s">
        <v>164</v>
      </c>
    </row>
    <row r="11117" spans="1:1" ht="12.75">
      <c r="A11117" s="2" t="s">
        <v>223</v>
      </c>
    </row>
    <row r="11118" spans="1:1" ht="12.75">
      <c r="A11118" s="2" t="s">
        <v>161</v>
      </c>
    </row>
    <row r="11119" spans="1:1" ht="12.75">
      <c r="A11119" s="2" t="s">
        <v>176</v>
      </c>
    </row>
    <row r="11120" spans="1:1" ht="12.75">
      <c r="A11120" s="2" t="s">
        <v>166</v>
      </c>
    </row>
    <row r="11121" spans="1:1" ht="12.75">
      <c r="A11121" s="2" t="s">
        <v>176</v>
      </c>
    </row>
    <row r="11122" spans="1:1" ht="12.75">
      <c r="A11122" s="2" t="s">
        <v>181</v>
      </c>
    </row>
    <row r="11123" spans="1:1" ht="12.75">
      <c r="A11123" s="2" t="s">
        <v>163</v>
      </c>
    </row>
    <row r="11124" spans="1:1" ht="12.75">
      <c r="A11124" s="2" t="s">
        <v>181</v>
      </c>
    </row>
    <row r="11125" spans="1:1" ht="12.75">
      <c r="A11125" s="2" t="s">
        <v>163</v>
      </c>
    </row>
    <row r="11126" spans="1:1" ht="12.75">
      <c r="A11126" s="2" t="s">
        <v>163</v>
      </c>
    </row>
    <row r="11127" spans="1:1" ht="12.75">
      <c r="A11127" s="2" t="s">
        <v>173</v>
      </c>
    </row>
    <row r="11128" spans="1:1" ht="12.75">
      <c r="A11128" s="2" t="s">
        <v>165</v>
      </c>
    </row>
    <row r="11129" spans="1:1" ht="12.75">
      <c r="A11129" s="2" t="s">
        <v>194</v>
      </c>
    </row>
    <row r="11130" spans="1:1" ht="12.75">
      <c r="A11130" s="2" t="s">
        <v>183</v>
      </c>
    </row>
    <row r="11131" spans="1:1" ht="12.75">
      <c r="A11131" s="2" t="s">
        <v>194</v>
      </c>
    </row>
    <row r="11132" spans="1:1" ht="12.75">
      <c r="A11132" s="2" t="s">
        <v>183</v>
      </c>
    </row>
    <row r="11133" spans="1:1" ht="12.75">
      <c r="A11133" s="2" t="s">
        <v>194</v>
      </c>
    </row>
    <row r="11134" spans="1:1" ht="12.75">
      <c r="A11134" s="2" t="s">
        <v>163</v>
      </c>
    </row>
    <row r="11135" spans="1:1" ht="12.75">
      <c r="A11135" s="2" t="s">
        <v>181</v>
      </c>
    </row>
    <row r="11136" spans="1:1" ht="12.75">
      <c r="A11136" s="2" t="s">
        <v>176</v>
      </c>
    </row>
    <row r="11137" spans="1:1" ht="12.75">
      <c r="A11137" s="2" t="s">
        <v>165</v>
      </c>
    </row>
    <row r="11138" spans="1:1" ht="12.75">
      <c r="A11138" s="2" t="s">
        <v>176</v>
      </c>
    </row>
    <row r="11139" spans="1:1" ht="12.75">
      <c r="A11139" s="2" t="s">
        <v>165</v>
      </c>
    </row>
    <row r="11140" spans="1:1" ht="12.75">
      <c r="A11140" s="2" t="s">
        <v>191</v>
      </c>
    </row>
    <row r="11141" spans="1:1" ht="12.75">
      <c r="A11141" s="2" t="s">
        <v>163</v>
      </c>
    </row>
    <row r="11142" spans="1:1" ht="12.75">
      <c r="A11142" s="2" t="s">
        <v>191</v>
      </c>
    </row>
    <row r="11143" spans="1:1" ht="12.75">
      <c r="A11143" s="2" t="s">
        <v>168</v>
      </c>
    </row>
    <row r="11144" spans="1:1" ht="12.75">
      <c r="A11144" s="2" t="s">
        <v>171</v>
      </c>
    </row>
    <row r="11145" spans="1:1" ht="12.75">
      <c r="A11145" s="2" t="s">
        <v>176</v>
      </c>
    </row>
    <row r="11146" spans="1:1" ht="12.75">
      <c r="A11146" s="2" t="s">
        <v>173</v>
      </c>
    </row>
    <row r="11147" spans="1:1" ht="12.75">
      <c r="A11147" s="2" t="s">
        <v>166</v>
      </c>
    </row>
    <row r="11148" spans="1:1" ht="12.75">
      <c r="A11148" s="2" t="s">
        <v>173</v>
      </c>
    </row>
    <row r="11149" spans="1:1" ht="12.75">
      <c r="A11149" s="2" t="s">
        <v>166</v>
      </c>
    </row>
    <row r="11150" spans="1:1" ht="12.75">
      <c r="A11150" s="2" t="s">
        <v>225</v>
      </c>
    </row>
    <row r="11151" spans="1:1" ht="12.75">
      <c r="A11151" s="2" t="s">
        <v>166</v>
      </c>
    </row>
    <row r="11152" spans="1:1" ht="12.75">
      <c r="A11152" s="2" t="s">
        <v>183</v>
      </c>
    </row>
    <row r="11153" spans="1:1" ht="12.75">
      <c r="A11153" s="2" t="s">
        <v>161</v>
      </c>
    </row>
    <row r="11154" spans="1:1" ht="12.75">
      <c r="A11154" s="2" t="s">
        <v>183</v>
      </c>
    </row>
    <row r="11155" spans="1:1" ht="12.75">
      <c r="A11155" s="2" t="s">
        <v>161</v>
      </c>
    </row>
    <row r="11156" spans="1:1" ht="12.75">
      <c r="A11156" s="2" t="s">
        <v>223</v>
      </c>
    </row>
    <row r="11157" spans="1:1" ht="12.75">
      <c r="A11157" s="2">
        <v>101</v>
      </c>
    </row>
    <row r="11158" spans="1:1" ht="12.75">
      <c r="A11158" s="2" t="s">
        <v>161</v>
      </c>
    </row>
    <row r="11159" spans="1:1" ht="12.75">
      <c r="A11159" s="2" t="s">
        <v>168</v>
      </c>
    </row>
    <row r="11160" spans="1:1" ht="12.75">
      <c r="A11160" s="2" t="s">
        <v>181</v>
      </c>
    </row>
    <row r="11161" spans="1:1" ht="12.75">
      <c r="A11161" s="2" t="s">
        <v>164</v>
      </c>
    </row>
    <row r="11162" spans="1:1" ht="12.75">
      <c r="A11162" s="2" t="s">
        <v>164</v>
      </c>
    </row>
    <row r="11163" spans="1:1" ht="12.75">
      <c r="A11163" s="2" t="s">
        <v>164</v>
      </c>
    </row>
    <row r="11164" spans="1:1" ht="12.75">
      <c r="A11164" s="2" t="s">
        <v>181</v>
      </c>
    </row>
    <row r="11165" spans="1:1" ht="12.75">
      <c r="A11165" s="2" t="s">
        <v>164</v>
      </c>
    </row>
    <row r="11166" spans="1:1" ht="12.75">
      <c r="A11166" s="2" t="s">
        <v>164</v>
      </c>
    </row>
    <row r="11167" spans="1:1" ht="12.75">
      <c r="A11167" s="2" t="s">
        <v>176</v>
      </c>
    </row>
    <row r="11168" spans="1:1" ht="12.75">
      <c r="A11168" s="2" t="s">
        <v>164</v>
      </c>
    </row>
    <row r="11169" spans="1:1" ht="12.75">
      <c r="A11169" s="2" t="s">
        <v>176</v>
      </c>
    </row>
    <row r="11170" spans="1:1" ht="12.75">
      <c r="A11170" s="2" t="s">
        <v>182</v>
      </c>
    </row>
    <row r="11171" spans="1:1" ht="12.75">
      <c r="A11171" s="2" t="s">
        <v>181</v>
      </c>
    </row>
    <row r="11172" spans="1:1" ht="12.75">
      <c r="A11172" s="2" t="s">
        <v>182</v>
      </c>
    </row>
    <row r="11173" spans="1:1" ht="12.75">
      <c r="A11173" s="2" t="s">
        <v>181</v>
      </c>
    </row>
    <row r="11174" spans="1:1" ht="12.75">
      <c r="A11174" s="2" t="s">
        <v>182</v>
      </c>
    </row>
    <row r="11175" spans="1:1" ht="12.75">
      <c r="A11175" s="2" t="s">
        <v>181</v>
      </c>
    </row>
    <row r="11184" spans="1:1" ht="12.75">
      <c r="A11184" s="2" t="s">
        <v>165</v>
      </c>
    </row>
    <row r="11185" spans="1:1" ht="12.75">
      <c r="A11185" s="2" t="s">
        <v>166</v>
      </c>
    </row>
    <row r="11186" spans="1:1" ht="12.75">
      <c r="A11186" s="2" t="s">
        <v>166</v>
      </c>
    </row>
    <row r="11187" spans="1:1" ht="12.75">
      <c r="A11187" s="2" t="s">
        <v>166</v>
      </c>
    </row>
    <row r="11188" spans="1:1" ht="12.75">
      <c r="A11188" s="2" t="s">
        <v>223</v>
      </c>
    </row>
    <row r="11189" spans="1:1" ht="12.75">
      <c r="A11189" s="2" t="s">
        <v>176</v>
      </c>
    </row>
    <row r="11190" spans="1:1" ht="12.75">
      <c r="A11190" s="2" t="s">
        <v>176</v>
      </c>
    </row>
    <row r="11191" spans="1:1" ht="12.75">
      <c r="A11191" s="2" t="s">
        <v>165</v>
      </c>
    </row>
    <row r="11192" spans="1:1" ht="12.75">
      <c r="A11192" s="2" t="s">
        <v>176</v>
      </c>
    </row>
    <row r="11195" spans="1:1" ht="12.75">
      <c r="A11195" s="2" t="s">
        <v>165</v>
      </c>
    </row>
    <row r="11196" spans="1:1" ht="12.75">
      <c r="A11196" s="2" t="s">
        <v>225</v>
      </c>
    </row>
    <row r="11197" spans="1:1" ht="12.75">
      <c r="A11197" s="2" t="s">
        <v>166</v>
      </c>
    </row>
    <row r="11198" spans="1:1" ht="12.75">
      <c r="A11198" s="2" t="s">
        <v>181</v>
      </c>
    </row>
    <row r="11199" spans="1:1" ht="12.75">
      <c r="A11199" s="2" t="s">
        <v>164</v>
      </c>
    </row>
    <row r="11201" spans="1:1" ht="12.75">
      <c r="A11201" s="2" t="s">
        <v>177</v>
      </c>
    </row>
    <row r="11202" spans="1:1" ht="12.75">
      <c r="A11202" s="2" t="s">
        <v>163</v>
      </c>
    </row>
    <row r="11203" spans="1:1" ht="12.75">
      <c r="A11203" s="2" t="s">
        <v>163</v>
      </c>
    </row>
    <row r="11204" spans="1:1" ht="12.75">
      <c r="A11204" s="2" t="s">
        <v>163</v>
      </c>
    </row>
    <row r="11205" spans="1:1" ht="12.75">
      <c r="A11205" s="2" t="s">
        <v>181</v>
      </c>
    </row>
    <row r="11206" spans="1:1" ht="12.75">
      <c r="A11206" s="2" t="s">
        <v>163</v>
      </c>
    </row>
    <row r="11207" spans="1:1" ht="12.75">
      <c r="A11207" s="2" t="s">
        <v>223</v>
      </c>
    </row>
    <row r="11208" spans="1:1" ht="12.75">
      <c r="A11208" s="2" t="s">
        <v>163</v>
      </c>
    </row>
    <row r="11209" spans="1:1" ht="12.75">
      <c r="A11209" s="2" t="s">
        <v>171</v>
      </c>
    </row>
    <row r="11210" spans="1:1" ht="12.75">
      <c r="A11210" s="2" t="s">
        <v>163</v>
      </c>
    </row>
    <row r="11212" spans="1:1" ht="12.75">
      <c r="A11212" s="2" t="s">
        <v>173</v>
      </c>
    </row>
    <row r="11213" spans="1:1" ht="12.75">
      <c r="A11213" s="2" t="s">
        <v>189</v>
      </c>
    </row>
    <row r="11214" spans="1:1" ht="12.75">
      <c r="A11214" s="2" t="s">
        <v>165</v>
      </c>
    </row>
    <row r="11215" spans="1:1" ht="12.75">
      <c r="A11215" s="2" t="s">
        <v>168</v>
      </c>
    </row>
    <row r="11217" spans="1:1" ht="12.75">
      <c r="A11217" s="2" t="s">
        <v>165</v>
      </c>
    </row>
    <row r="11220" spans="1:1" ht="12.75">
      <c r="A11220" s="2" t="s">
        <v>161</v>
      </c>
    </row>
    <row r="11221" spans="1:1" ht="12.75">
      <c r="A11221" s="2" t="s">
        <v>161</v>
      </c>
    </row>
    <row r="11222" spans="1:1" ht="12.75">
      <c r="A11222" s="2" t="s">
        <v>168</v>
      </c>
    </row>
    <row r="11223" spans="1:1" ht="12.75">
      <c r="A11223" s="2" t="s">
        <v>161</v>
      </c>
    </row>
    <row r="11224" spans="1:1" ht="12.75">
      <c r="A11224" s="2" t="s">
        <v>168</v>
      </c>
    </row>
    <row r="11225" spans="1:1" ht="12.75">
      <c r="A11225" s="2" t="s">
        <v>161</v>
      </c>
    </row>
    <row r="11226" spans="1:1" ht="12.75">
      <c r="A11226" s="2" t="s">
        <v>168</v>
      </c>
    </row>
    <row r="11227" spans="1:1" ht="12.75">
      <c r="A11227" s="2" t="s">
        <v>183</v>
      </c>
    </row>
    <row r="11228" spans="1:1" ht="12.75">
      <c r="A11228" s="2" t="s">
        <v>168</v>
      </c>
    </row>
    <row r="11229" spans="1:1" ht="12.75">
      <c r="A11229" s="2" t="s">
        <v>183</v>
      </c>
    </row>
    <row r="11230" spans="1:1" ht="12.75">
      <c r="A11230" s="2" t="s">
        <v>225</v>
      </c>
    </row>
    <row r="11231" spans="1:1" ht="12.75">
      <c r="A11231" s="2" t="s">
        <v>165</v>
      </c>
    </row>
    <row r="11232" spans="1:1" ht="12.75">
      <c r="A11232" s="2" t="s">
        <v>225</v>
      </c>
    </row>
    <row r="11233" spans="1:1" ht="12.75">
      <c r="A11233" s="2" t="s">
        <v>168</v>
      </c>
    </row>
    <row r="11234" spans="1:1" ht="12.75">
      <c r="A11234" s="2" t="s">
        <v>165</v>
      </c>
    </row>
    <row r="11235" spans="1:1" ht="12.75">
      <c r="A11235" s="2" t="s">
        <v>223</v>
      </c>
    </row>
    <row r="11236" spans="1:1" ht="12.75">
      <c r="A11236" s="2" t="s">
        <v>164</v>
      </c>
    </row>
    <row r="11237" spans="1:1" ht="12.75">
      <c r="A11237" s="2" t="s">
        <v>173</v>
      </c>
    </row>
    <row r="11238" spans="1:1" ht="12.75">
      <c r="A11238" s="2" t="s">
        <v>176</v>
      </c>
    </row>
    <row r="11240" spans="1:1" ht="12.75">
      <c r="A11240" s="2" t="s">
        <v>176</v>
      </c>
    </row>
    <row r="11241" spans="1:1" ht="12.75">
      <c r="A11241" s="2" t="s">
        <v>224</v>
      </c>
    </row>
    <row r="11242" spans="1:1" ht="12.75">
      <c r="A11242" s="2" t="s">
        <v>165</v>
      </c>
    </row>
    <row r="11244" spans="1:1" ht="12.75">
      <c r="A11244" s="2" t="s">
        <v>165</v>
      </c>
    </row>
    <row r="11245" spans="1:1" ht="12.75">
      <c r="A11245" s="2" t="s">
        <v>168</v>
      </c>
    </row>
    <row r="11246" spans="1:1" ht="12.75">
      <c r="A11246" s="2" t="s">
        <v>602</v>
      </c>
    </row>
    <row r="11247" spans="1:1" ht="12.75">
      <c r="A11247" s="2" t="s">
        <v>194</v>
      </c>
    </row>
    <row r="11248" spans="1:1" ht="12.75">
      <c r="A11248" s="2" t="s">
        <v>163</v>
      </c>
    </row>
    <row r="11249" spans="1:1" ht="12.75">
      <c r="A11249" s="2" t="s">
        <v>194</v>
      </c>
    </row>
    <row r="11250" spans="1:1" ht="12.75">
      <c r="A11250" s="2" t="s">
        <v>191</v>
      </c>
    </row>
    <row r="11252" spans="1:1" ht="12.75">
      <c r="A11252" s="2" t="s">
        <v>171</v>
      </c>
    </row>
    <row r="11253" spans="1:1" ht="12.75">
      <c r="A11253" s="2" t="s">
        <v>191</v>
      </c>
    </row>
    <row r="11254" spans="1:1" ht="12.75">
      <c r="A11254" s="2" t="s">
        <v>166</v>
      </c>
    </row>
    <row r="11255" spans="1:1" ht="12.75">
      <c r="A11255" s="2" t="s">
        <v>171</v>
      </c>
    </row>
    <row r="11256" spans="1:1" ht="12.75">
      <c r="A11256" s="2" t="s">
        <v>163</v>
      </c>
    </row>
    <row r="11257" spans="1:1" ht="12.75">
      <c r="A11257" s="2" t="s">
        <v>223</v>
      </c>
    </row>
    <row r="11258" spans="1:1" ht="12.75">
      <c r="A11258" s="2" t="s">
        <v>225</v>
      </c>
    </row>
    <row r="11259" spans="1:1" ht="12.75">
      <c r="A11259" s="2" t="s">
        <v>189</v>
      </c>
    </row>
    <row r="11260" spans="1:1" ht="12.75">
      <c r="A11260" s="2" t="s">
        <v>225</v>
      </c>
    </row>
    <row r="11261" spans="1:1" ht="12.75">
      <c r="A11261" s="2" t="s">
        <v>189</v>
      </c>
    </row>
    <row r="11262" spans="1:1" ht="12.75">
      <c r="A11262" s="2" t="s">
        <v>181</v>
      </c>
    </row>
    <row r="11264" spans="1:1" ht="12.75">
      <c r="A11264" s="2" t="s">
        <v>181</v>
      </c>
    </row>
    <row r="11265" spans="1:1" ht="12.75">
      <c r="A11265" s="2" t="s">
        <v>173</v>
      </c>
    </row>
    <row r="11266" spans="1:1" ht="12.75">
      <c r="A11266" s="2" t="s">
        <v>181</v>
      </c>
    </row>
    <row r="11267" spans="1:1" ht="12.75">
      <c r="A11267" s="2" t="s">
        <v>173</v>
      </c>
    </row>
    <row r="11268" spans="1:1" ht="12.75">
      <c r="A11268" s="2">
        <v>900</v>
      </c>
    </row>
    <row r="11269" spans="1:1" ht="12.75">
      <c r="A11269" s="2" t="s">
        <v>173</v>
      </c>
    </row>
    <row r="11270" spans="1:1" ht="12.75">
      <c r="A11270" s="2" t="s">
        <v>183</v>
      </c>
    </row>
    <row r="11271" spans="1:1" ht="12.75">
      <c r="A11271" s="2" t="s">
        <v>163</v>
      </c>
    </row>
    <row r="11272" spans="1:1" ht="12.75">
      <c r="A11272" s="2" t="s">
        <v>183</v>
      </c>
    </row>
    <row r="11273" spans="1:1" ht="12.75">
      <c r="A11273" s="2" t="s">
        <v>163</v>
      </c>
    </row>
    <row r="11274" spans="1:1" ht="12.75">
      <c r="A11274" s="2" t="s">
        <v>225</v>
      </c>
    </row>
    <row r="11275" spans="1:1" ht="12.75">
      <c r="A11275" s="2" t="s">
        <v>163</v>
      </c>
    </row>
    <row r="11276" spans="1:1" ht="12.75">
      <c r="A11276" s="2" t="s">
        <v>163</v>
      </c>
    </row>
    <row r="11277" spans="1:1" ht="12.75">
      <c r="A11277" s="2" t="s">
        <v>224</v>
      </c>
    </row>
    <row r="11278" spans="1:1" ht="12.75">
      <c r="A11278" s="2" t="s">
        <v>163</v>
      </c>
    </row>
    <row r="11281" spans="1:1" ht="12.75">
      <c r="A11281" s="2" t="s">
        <v>171</v>
      </c>
    </row>
    <row r="11282" spans="1:1" ht="12.75">
      <c r="A11282" s="2" t="s">
        <v>168</v>
      </c>
    </row>
    <row r="11284" spans="1:1" ht="12.75">
      <c r="A11284" s="2" t="s">
        <v>168</v>
      </c>
    </row>
    <row r="11285" spans="1:1" ht="12.75">
      <c r="A11285" s="2" t="s">
        <v>191</v>
      </c>
    </row>
    <row r="11286" spans="1:1" ht="12.75">
      <c r="A11286" s="2" t="s">
        <v>603</v>
      </c>
    </row>
    <row r="11296" spans="1:1" ht="12.75">
      <c r="A11296" s="2" t="s">
        <v>604</v>
      </c>
    </row>
    <row r="11297" spans="1:1" ht="12.75">
      <c r="A11297" s="2" t="s">
        <v>176</v>
      </c>
    </row>
    <row r="11298" spans="1:1" ht="12.75">
      <c r="A11298" s="2" t="s">
        <v>191</v>
      </c>
    </row>
    <row r="11299" spans="1:1" ht="12.75">
      <c r="A11299" s="2" t="s">
        <v>176</v>
      </c>
    </row>
    <row r="11300" spans="1:1" ht="12.75">
      <c r="A11300" s="2" t="s">
        <v>173</v>
      </c>
    </row>
    <row r="11301" spans="1:1" ht="12.75">
      <c r="A11301" s="2" t="s">
        <v>176</v>
      </c>
    </row>
    <row r="11302" spans="1:1" ht="12.75">
      <c r="A11302" s="2" t="s">
        <v>173</v>
      </c>
    </row>
    <row r="11303" spans="1:1" ht="12.75">
      <c r="A11303" s="2" t="s">
        <v>165</v>
      </c>
    </row>
    <row r="11304" spans="1:1" ht="12.75">
      <c r="A11304" s="2" t="s">
        <v>173</v>
      </c>
    </row>
    <row r="11305" spans="1:1" ht="12.75">
      <c r="A11305" s="2" t="s">
        <v>161</v>
      </c>
    </row>
    <row r="11307" spans="1:1" ht="12.75">
      <c r="A11307" s="2" t="s">
        <v>165</v>
      </c>
    </row>
    <row r="11308" spans="1:1" ht="12.75">
      <c r="A11308" s="2" t="s">
        <v>194</v>
      </c>
    </row>
    <row r="11309" spans="1:1" ht="12.75">
      <c r="A11309" s="2" t="s">
        <v>225</v>
      </c>
    </row>
    <row r="11310" spans="1:1" ht="12.75">
      <c r="A11310" s="2" t="s">
        <v>163</v>
      </c>
    </row>
    <row r="11312" spans="1:1" ht="12.75">
      <c r="A11312" s="2" t="s">
        <v>163</v>
      </c>
    </row>
    <row r="11313" spans="1:1" ht="12.75">
      <c r="A11313" s="2" t="s">
        <v>166</v>
      </c>
    </row>
    <row r="11314" spans="1:1" ht="12.75">
      <c r="A11314" s="2" t="s">
        <v>163</v>
      </c>
    </row>
    <row r="11315" spans="1:1" ht="12.75">
      <c r="A11315" s="2" t="s">
        <v>189</v>
      </c>
    </row>
    <row r="11316" spans="1:1" ht="12.75">
      <c r="A11316" s="2" t="s">
        <v>161</v>
      </c>
    </row>
    <row r="11317" spans="1:1" ht="12.75">
      <c r="A11317" s="2" t="s">
        <v>163</v>
      </c>
    </row>
    <row r="11318" spans="1:1" ht="12.75">
      <c r="A11318" s="2" t="s">
        <v>191</v>
      </c>
    </row>
    <row r="11319" spans="1:1" ht="12.75">
      <c r="A11319" s="2" t="s">
        <v>163</v>
      </c>
    </row>
    <row r="11320" spans="1:1" ht="12.75">
      <c r="A11320" s="2" t="s">
        <v>173</v>
      </c>
    </row>
    <row r="11321" spans="1:1" ht="12.75">
      <c r="A11321" s="2" t="s">
        <v>181</v>
      </c>
    </row>
    <row r="11322" spans="1:1" ht="12.75">
      <c r="A11322" s="2" t="s">
        <v>173</v>
      </c>
    </row>
    <row r="11323" spans="1:1" ht="12.75">
      <c r="A11323" s="2" t="s">
        <v>181</v>
      </c>
    </row>
    <row r="11324" spans="1:1" ht="12.75">
      <c r="A11324" s="2" t="s">
        <v>173</v>
      </c>
    </row>
    <row r="11325" spans="1:1" ht="12.75">
      <c r="A11325" s="2" t="s">
        <v>181</v>
      </c>
    </row>
    <row r="11326" spans="1:1" ht="12.75">
      <c r="A11326" s="2" t="s">
        <v>163</v>
      </c>
    </row>
    <row r="11327" spans="1:1" ht="12.75">
      <c r="A11327" s="2" t="s">
        <v>171</v>
      </c>
    </row>
    <row r="11328" spans="1:1" ht="12.75">
      <c r="A11328" s="2" t="s">
        <v>224</v>
      </c>
    </row>
    <row r="11329" spans="1:1" ht="12.75">
      <c r="A11329" s="2" t="s">
        <v>189</v>
      </c>
    </row>
    <row r="11330" spans="1:1" ht="12.75">
      <c r="A11330" s="2" t="s">
        <v>223</v>
      </c>
    </row>
    <row r="11331" spans="1:1" ht="12.75">
      <c r="A11331" s="2" t="s">
        <v>191</v>
      </c>
    </row>
    <row r="11332" spans="1:1" ht="12.75">
      <c r="A11332" s="2" t="s">
        <v>223</v>
      </c>
    </row>
    <row r="11333" spans="1:1" ht="12.75">
      <c r="A11333" s="2" t="s">
        <v>163</v>
      </c>
    </row>
    <row r="11334" spans="1:1" ht="12.75">
      <c r="A11334" s="2" t="s">
        <v>181</v>
      </c>
    </row>
    <row r="11335" spans="1:1" ht="12.75">
      <c r="A11335" s="2" t="s">
        <v>173</v>
      </c>
    </row>
    <row r="11336" spans="1:1" ht="12.75">
      <c r="A11336" s="2" t="s">
        <v>181</v>
      </c>
    </row>
    <row r="11352" spans="1:1" ht="12.75">
      <c r="A11352" s="2" t="s">
        <v>369</v>
      </c>
    </row>
    <row r="11353" spans="1:1" ht="12.75">
      <c r="A11353" s="2" t="s">
        <v>369</v>
      </c>
    </row>
    <row r="11354" spans="1:1" ht="12.75">
      <c r="A11354" s="2" t="s">
        <v>369</v>
      </c>
    </row>
    <row r="11355" spans="1:1" ht="12.75">
      <c r="A11355" s="2" t="s">
        <v>520</v>
      </c>
    </row>
    <row r="11356" spans="1:1" ht="12.75">
      <c r="A11356" s="2" t="s">
        <v>520</v>
      </c>
    </row>
    <row r="11357" spans="1:1" ht="12.75">
      <c r="A11357" s="2" t="s">
        <v>173</v>
      </c>
    </row>
    <row r="11358" spans="1:1" ht="12.75">
      <c r="A11358" s="2" t="s">
        <v>181</v>
      </c>
    </row>
    <row r="11359" spans="1:1" ht="12.75">
      <c r="A11359" s="2" t="s">
        <v>173</v>
      </c>
    </row>
    <row r="11360" spans="1:1" ht="12.75">
      <c r="A11360" s="2" t="s">
        <v>183</v>
      </c>
    </row>
    <row r="11361" spans="1:1" ht="12.75">
      <c r="A11361" s="2" t="s">
        <v>161</v>
      </c>
    </row>
    <row r="11362" spans="1:1" ht="12.75">
      <c r="A11362" s="2" t="s">
        <v>163</v>
      </c>
    </row>
    <row r="11363" spans="1:1" ht="12.75">
      <c r="A11363" s="2" t="s">
        <v>182</v>
      </c>
    </row>
    <row r="11364" spans="1:1" ht="12.75">
      <c r="A11364" s="2" t="s">
        <v>183</v>
      </c>
    </row>
    <row r="11365" spans="1:1" ht="12.75">
      <c r="A11365" s="2" t="s">
        <v>182</v>
      </c>
    </row>
    <row r="11366" spans="1:1" ht="12.75">
      <c r="A11366" s="2" t="s">
        <v>182</v>
      </c>
    </row>
    <row r="11367" spans="1:1" ht="12.75">
      <c r="A11367" s="2" t="s">
        <v>161</v>
      </c>
    </row>
    <row r="11368" spans="1:1" ht="12.75">
      <c r="A11368" s="2" t="s">
        <v>168</v>
      </c>
    </row>
    <row r="11369" spans="1:1" ht="12.75">
      <c r="A11369" s="2" t="s">
        <v>183</v>
      </c>
    </row>
    <row r="11370" spans="1:1" ht="12.75">
      <c r="A11370" s="2" t="s">
        <v>168</v>
      </c>
    </row>
    <row r="11371" spans="1:1" ht="12.75">
      <c r="A11371" s="2" t="s">
        <v>165</v>
      </c>
    </row>
    <row r="11372" spans="1:1" ht="12.75">
      <c r="A11372" s="2" t="s">
        <v>166</v>
      </c>
    </row>
    <row r="11373" spans="1:1" ht="12.75">
      <c r="A11373" s="2" t="s">
        <v>165</v>
      </c>
    </row>
    <row r="11374" spans="1:1" ht="12.75">
      <c r="A11374" s="2" t="s">
        <v>166</v>
      </c>
    </row>
    <row r="11375" spans="1:1" ht="12.75">
      <c r="A11375" s="2" t="s">
        <v>165</v>
      </c>
    </row>
    <row r="11376" spans="1:1" ht="12.75">
      <c r="A11376" s="2" t="s">
        <v>166</v>
      </c>
    </row>
    <row r="11406" spans="1:1" ht="12.75">
      <c r="A11406" s="2" t="s">
        <v>605</v>
      </c>
    </row>
    <row r="11407" spans="1:1" ht="12.75">
      <c r="A11407" s="2" t="s">
        <v>225</v>
      </c>
    </row>
    <row r="11409" spans="1:1" ht="12.75">
      <c r="A11409" s="2" t="s">
        <v>225</v>
      </c>
    </row>
    <row r="11411" spans="1:1" ht="12.75">
      <c r="A11411" s="2" t="s">
        <v>171</v>
      </c>
    </row>
    <row r="11413" spans="1:1" ht="12.75">
      <c r="A11413" s="2" t="s">
        <v>194</v>
      </c>
    </row>
    <row r="11415" spans="1:1" ht="12.75">
      <c r="A11415" s="2" t="s">
        <v>194</v>
      </c>
    </row>
    <row r="11416" spans="1:1" ht="12.75">
      <c r="A11416" s="2" t="s">
        <v>194</v>
      </c>
    </row>
    <row r="11417" spans="1:1" ht="12.75">
      <c r="A11417" s="2" t="s">
        <v>176</v>
      </c>
    </row>
    <row r="11419" spans="1:1" ht="12.75">
      <c r="A11419" s="2" t="s">
        <v>183</v>
      </c>
    </row>
    <row r="11421" spans="1:1" ht="12.75">
      <c r="A11421" s="2" t="s">
        <v>163</v>
      </c>
    </row>
    <row r="11423" spans="1:1" ht="12.75">
      <c r="A11423" s="2" t="s">
        <v>181</v>
      </c>
    </row>
    <row r="11425" spans="1:1" ht="12.75">
      <c r="A11425" s="2" t="s">
        <v>163</v>
      </c>
    </row>
    <row r="11427" spans="1:1" ht="12.75">
      <c r="A11427" s="2" t="s">
        <v>164</v>
      </c>
    </row>
    <row r="11429" spans="1:1" ht="12.75">
      <c r="A11429" s="2" t="s">
        <v>163</v>
      </c>
    </row>
    <row r="11431" spans="1:1" ht="12.75">
      <c r="A11431" s="2" t="s">
        <v>164</v>
      </c>
    </row>
    <row r="11433" spans="1:1" ht="12.75">
      <c r="A11433" s="2" t="s">
        <v>191</v>
      </c>
    </row>
    <row r="11435" spans="1:1" ht="12.75">
      <c r="A11435" s="2" t="s">
        <v>225</v>
      </c>
    </row>
    <row r="11437" spans="1:1" ht="12.75">
      <c r="A11437" s="2" t="s">
        <v>225</v>
      </c>
    </row>
    <row r="11439" spans="1:1" ht="12.75">
      <c r="A11439" s="2" t="s">
        <v>164</v>
      </c>
    </row>
    <row r="11441" spans="1:1" ht="12.75">
      <c r="A11441" s="2" t="s">
        <v>189</v>
      </c>
    </row>
    <row r="11443" spans="1:1" ht="12.75">
      <c r="A11443" s="2" t="s">
        <v>173</v>
      </c>
    </row>
    <row r="11445" spans="1:1" ht="12.75">
      <c r="A11445" s="2" t="s">
        <v>166</v>
      </c>
    </row>
    <row r="11447" spans="1:1" ht="12.75">
      <c r="A11447" s="2" t="s">
        <v>165</v>
      </c>
    </row>
    <row r="11448" spans="1:1" ht="12.75">
      <c r="A11448" s="2" t="s">
        <v>168</v>
      </c>
    </row>
    <row r="11449" spans="1:1" ht="12.75">
      <c r="A11449" s="2" t="s">
        <v>161</v>
      </c>
    </row>
    <row r="11450" spans="1:1" ht="12.75">
      <c r="A11450" s="2" t="s">
        <v>168</v>
      </c>
    </row>
    <row r="11451" spans="1:1" ht="12.75">
      <c r="A11451" s="2" t="s">
        <v>161</v>
      </c>
    </row>
    <row r="11452" spans="1:1" ht="12.75">
      <c r="A11452" s="2" t="s">
        <v>176</v>
      </c>
    </row>
    <row r="11453" spans="1:1" ht="12.75">
      <c r="A11453" s="2" t="s">
        <v>161</v>
      </c>
    </row>
    <row r="11454" spans="1:1" ht="12.75">
      <c r="A11454" s="2" t="s">
        <v>176</v>
      </c>
    </row>
    <row r="11455" spans="1:1" ht="12.75">
      <c r="A11455" s="2" t="s">
        <v>183</v>
      </c>
    </row>
    <row r="11456" spans="1:1" ht="12.75">
      <c r="A11456" s="2" t="s">
        <v>194</v>
      </c>
    </row>
    <row r="11457" spans="1:1" ht="12.75">
      <c r="A11457" s="2" t="s">
        <v>183</v>
      </c>
    </row>
    <row r="11458" spans="1:1" ht="12.75">
      <c r="A11458" s="2" t="s">
        <v>183</v>
      </c>
    </row>
    <row r="11459" spans="1:1" ht="12.75">
      <c r="A11459" s="2" t="s">
        <v>171</v>
      </c>
    </row>
    <row r="11460" spans="1:1" ht="12.75">
      <c r="A11460" s="2" t="s">
        <v>163</v>
      </c>
    </row>
    <row r="11461" spans="1:1" ht="12.75">
      <c r="A11461" s="2" t="s">
        <v>163</v>
      </c>
    </row>
    <row r="11462" spans="1:1" ht="12.75">
      <c r="A11462" s="2" t="s">
        <v>165</v>
      </c>
    </row>
    <row r="11463" spans="1:1" ht="12.75">
      <c r="A11463" s="2" t="s">
        <v>225</v>
      </c>
    </row>
    <row r="11464" spans="1:1" ht="12.75">
      <c r="A11464" s="2" t="s">
        <v>176</v>
      </c>
    </row>
    <row r="11465" spans="1:1" ht="12.75">
      <c r="A11465" s="2" t="s">
        <v>224</v>
      </c>
    </row>
    <row r="11466" spans="1:1" ht="12.75">
      <c r="A11466" s="2" t="s">
        <v>176</v>
      </c>
    </row>
    <row r="11467" spans="1:1" ht="12.75">
      <c r="A11467" s="2" t="s">
        <v>574</v>
      </c>
    </row>
    <row r="11469" spans="1:1" ht="12.75">
      <c r="A11469" s="2" t="s">
        <v>164</v>
      </c>
    </row>
    <row r="11470" spans="1:1" ht="12.75">
      <c r="A11470" s="2" t="s">
        <v>173</v>
      </c>
    </row>
    <row r="11471" spans="1:1" ht="12.75">
      <c r="A11471" s="2" t="s">
        <v>164</v>
      </c>
    </row>
    <row r="11472" spans="1:1" ht="12.75">
      <c r="A11472" s="2" t="s">
        <v>173</v>
      </c>
    </row>
    <row r="11473" spans="1:1" ht="12.75">
      <c r="A11473" s="2" t="s">
        <v>161</v>
      </c>
    </row>
    <row r="11474" spans="1:1" ht="12.75">
      <c r="A11474" s="2" t="s">
        <v>196</v>
      </c>
    </row>
    <row r="11475" spans="1:1" ht="12.75">
      <c r="A11475" s="2" t="s">
        <v>194</v>
      </c>
    </row>
    <row r="11476" spans="1:1" ht="12.75">
      <c r="A11476" s="2" t="s">
        <v>166</v>
      </c>
    </row>
    <row r="11477" spans="1:1" ht="12.75">
      <c r="A11477" s="2" t="s">
        <v>148</v>
      </c>
    </row>
    <row r="11478" spans="1:1" ht="12.75">
      <c r="A11478" s="2" t="s">
        <v>189</v>
      </c>
    </row>
    <row r="11479" spans="1:1" ht="12.75">
      <c r="A11479" s="2" t="s">
        <v>194</v>
      </c>
    </row>
    <row r="11480" spans="1:1" ht="12.75">
      <c r="A11480" s="2" t="s">
        <v>165</v>
      </c>
    </row>
    <row r="11481" spans="1:1" ht="12.75">
      <c r="A11481" s="2" t="s">
        <v>166</v>
      </c>
    </row>
    <row r="11482" spans="1:1" ht="12.75">
      <c r="A11482" s="2" t="s">
        <v>165</v>
      </c>
    </row>
    <row r="11483" spans="1:1" ht="12.75">
      <c r="A11483" s="2" t="s">
        <v>176</v>
      </c>
    </row>
    <row r="11484" spans="1:1" ht="12.75">
      <c r="A11484" s="2" t="s">
        <v>224</v>
      </c>
    </row>
    <row r="11485" spans="1:1" ht="12.75">
      <c r="A11485" s="2" t="s">
        <v>176</v>
      </c>
    </row>
    <row r="11486" spans="1:1" ht="12.75">
      <c r="A11486" s="2" t="s">
        <v>183</v>
      </c>
    </row>
    <row r="11487" spans="1:1" ht="12.75">
      <c r="A11487" s="2" t="s">
        <v>176</v>
      </c>
    </row>
    <row r="11488" spans="1:1" ht="12.75">
      <c r="A11488" s="2" t="s">
        <v>183</v>
      </c>
    </row>
    <row r="11490" spans="1:1" ht="12.75">
      <c r="A11490" s="2" t="s">
        <v>606</v>
      </c>
    </row>
    <row r="11491" spans="1:1" ht="12.75">
      <c r="A11491" s="2" t="s">
        <v>273</v>
      </c>
    </row>
    <row r="11492" spans="1:1" ht="12.75">
      <c r="A11492" s="2" t="s">
        <v>271</v>
      </c>
    </row>
    <row r="11493" spans="1:1" ht="12.75">
      <c r="A11493" s="2" t="s">
        <v>271</v>
      </c>
    </row>
    <row r="11494" spans="1:1" ht="12.75">
      <c r="A11494" s="2" t="s">
        <v>270</v>
      </c>
    </row>
    <row r="11495" spans="1:1" ht="12.75">
      <c r="A11495" s="2" t="s">
        <v>270</v>
      </c>
    </row>
    <row r="11496" spans="1:1" ht="12.75">
      <c r="A11496" s="2" t="s">
        <v>268</v>
      </c>
    </row>
    <row r="11497" spans="1:1" ht="12.75">
      <c r="A11497" s="2" t="s">
        <v>272</v>
      </c>
    </row>
    <row r="11498" spans="1:1" ht="12.75">
      <c r="A11498" s="2" t="s">
        <v>272</v>
      </c>
    </row>
    <row r="11499" spans="1:1" ht="12.75">
      <c r="A11499" s="2" t="s">
        <v>272</v>
      </c>
    </row>
    <row r="11500" spans="1:1" ht="12.75">
      <c r="A11500" s="2" t="s">
        <v>272</v>
      </c>
    </row>
    <row r="11501" spans="1:1" ht="12.75">
      <c r="A11501" s="2" t="s">
        <v>268</v>
      </c>
    </row>
    <row r="11502" spans="1:1" ht="12.75">
      <c r="A11502" s="2" t="s">
        <v>270</v>
      </c>
    </row>
    <row r="11503" spans="1:1" ht="12.75">
      <c r="A11503" s="2" t="s">
        <v>268</v>
      </c>
    </row>
    <row r="11504" spans="1:1" ht="12.75">
      <c r="A11504" s="2" t="s">
        <v>271</v>
      </c>
    </row>
    <row r="11505" spans="1:1" ht="12.75">
      <c r="A11505" s="2" t="s">
        <v>270</v>
      </c>
    </row>
    <row r="11506" spans="1:1" ht="12.75">
      <c r="A11506" s="2" t="s">
        <v>273</v>
      </c>
    </row>
    <row r="11507" spans="1:1" ht="12.75">
      <c r="A11507" s="2" t="s">
        <v>271</v>
      </c>
    </row>
    <row r="11508" spans="1:1" ht="12.75">
      <c r="A11508" s="2" t="s">
        <v>270</v>
      </c>
    </row>
    <row r="11509" spans="1:1" ht="12.75">
      <c r="A11509" s="2" t="s">
        <v>269</v>
      </c>
    </row>
    <row r="11510" spans="1:1" ht="12.75">
      <c r="A11510" s="2" t="s">
        <v>271</v>
      </c>
    </row>
    <row r="11511" spans="1:1" ht="12.75">
      <c r="A11511" s="2" t="s">
        <v>269</v>
      </c>
    </row>
    <row r="11512" spans="1:1" ht="12.75">
      <c r="A11512" s="2" t="s">
        <v>273</v>
      </c>
    </row>
    <row r="11513" spans="1:1" ht="12.75">
      <c r="A11513" s="2" t="s">
        <v>269</v>
      </c>
    </row>
    <row r="11514" spans="1:1" ht="12.75">
      <c r="A11514" s="2" t="s">
        <v>270</v>
      </c>
    </row>
    <row r="11515" spans="1:1" ht="12.75">
      <c r="A11515" s="2" t="s">
        <v>271</v>
      </c>
    </row>
    <row r="11516" spans="1:1" ht="12.75">
      <c r="A11516" s="2" t="s">
        <v>269</v>
      </c>
    </row>
    <row r="11517" spans="1:1" ht="12.75">
      <c r="A11517" s="2" t="s">
        <v>268</v>
      </c>
    </row>
    <row r="11518" spans="1:1" ht="12.75">
      <c r="A11518" s="2" t="s">
        <v>271</v>
      </c>
    </row>
    <row r="11519" spans="1:1" ht="12.75">
      <c r="A11519" s="2" t="s">
        <v>269</v>
      </c>
    </row>
    <row r="11520" spans="1:1" ht="12.75">
      <c r="A11520" s="2" t="s">
        <v>273</v>
      </c>
    </row>
    <row r="11521" spans="1:1" ht="12.75">
      <c r="A11521" s="2" t="s">
        <v>272</v>
      </c>
    </row>
    <row r="11522" spans="1:1" ht="12.75">
      <c r="A11522" s="2" t="s">
        <v>272</v>
      </c>
    </row>
    <row r="11523" spans="1:1" ht="12.75">
      <c r="A11523" s="2" t="s">
        <v>273</v>
      </c>
    </row>
    <row r="11524" spans="1:1" ht="12.75">
      <c r="A11524" s="2" t="s">
        <v>273</v>
      </c>
    </row>
    <row r="11525" spans="1:1" ht="12.75">
      <c r="A11525" s="2" t="s">
        <v>268</v>
      </c>
    </row>
    <row r="11526" spans="1:1" ht="12.75">
      <c r="A11526" s="2" t="s">
        <v>268</v>
      </c>
    </row>
    <row r="11527" spans="1:1" ht="12.75">
      <c r="A11527" s="2" t="s">
        <v>269</v>
      </c>
    </row>
    <row r="11528" spans="1:1" ht="12.75">
      <c r="A11528" s="2" t="s">
        <v>269</v>
      </c>
    </row>
    <row r="11529" spans="1:1" ht="12.75">
      <c r="A11529" s="2" t="s">
        <v>269</v>
      </c>
    </row>
    <row r="11530" spans="1:1" ht="12.75">
      <c r="A11530" s="2" t="s">
        <v>272</v>
      </c>
    </row>
    <row r="11531" spans="1:1" ht="12.75">
      <c r="A11531" s="2" t="s">
        <v>355</v>
      </c>
    </row>
    <row r="11536" spans="1:1" ht="12.75">
      <c r="A11536" s="2" t="s">
        <v>607</v>
      </c>
    </row>
    <row r="11537" spans="1:1" ht="12.75">
      <c r="A11537" s="2" t="s">
        <v>171</v>
      </c>
    </row>
    <row r="11538" spans="1:1" ht="12.75">
      <c r="A11538" s="2" t="s">
        <v>182</v>
      </c>
    </row>
    <row r="11539" spans="1:1" ht="12.75">
      <c r="A11539" s="2" t="s">
        <v>181</v>
      </c>
    </row>
    <row r="11540" spans="1:1" ht="12.75">
      <c r="A11540" s="2" t="s">
        <v>191</v>
      </c>
    </row>
    <row r="11541" spans="1:1" ht="12.75">
      <c r="A11541" s="2" t="s">
        <v>181</v>
      </c>
    </row>
    <row r="11542" spans="1:1" ht="12.75">
      <c r="A11542" s="2" t="s">
        <v>191</v>
      </c>
    </row>
    <row r="11543" spans="1:1" ht="12.75">
      <c r="A11543" s="2" t="s">
        <v>183</v>
      </c>
    </row>
    <row r="11544" spans="1:1" ht="12.75">
      <c r="A11544" s="2" t="s">
        <v>191</v>
      </c>
    </row>
    <row r="11545" spans="1:1" ht="12.75">
      <c r="A11545" s="2" t="s">
        <v>182</v>
      </c>
    </row>
    <row r="11546" spans="1:1" ht="12.75">
      <c r="A11546" s="2" t="s">
        <v>183</v>
      </c>
    </row>
    <row r="11547" spans="1:1" ht="12.75">
      <c r="A11547" s="2" t="s">
        <v>176</v>
      </c>
    </row>
    <row r="11548" spans="1:1" ht="12.75">
      <c r="A11548" s="2" t="s">
        <v>166</v>
      </c>
    </row>
    <row r="11549" spans="1:1" ht="12.75">
      <c r="A11549" s="2" t="s">
        <v>176</v>
      </c>
    </row>
    <row r="11550" spans="1:1" ht="12.75">
      <c r="A11550" s="2" t="s">
        <v>176</v>
      </c>
    </row>
    <row r="11551" spans="1:1" ht="12.75">
      <c r="A11551" s="2" t="s">
        <v>223</v>
      </c>
    </row>
    <row r="11552" spans="1:1" ht="12.75">
      <c r="A11552" s="2" t="s">
        <v>225</v>
      </c>
    </row>
    <row r="11553" spans="1:1" ht="12.75">
      <c r="A11553" s="2" t="s">
        <v>166</v>
      </c>
    </row>
    <row r="11554" spans="1:1" ht="12.75">
      <c r="A11554" s="2" t="s">
        <v>225</v>
      </c>
    </row>
    <row r="11555" spans="1:1" ht="12.75">
      <c r="A11555" s="2" t="s">
        <v>608</v>
      </c>
    </row>
    <row r="11556" spans="1:1" ht="12.75">
      <c r="A11556" s="2" t="s">
        <v>173</v>
      </c>
    </row>
    <row r="11557" spans="1:1" ht="12.75">
      <c r="A11557" s="2" t="s">
        <v>176</v>
      </c>
    </row>
    <row r="11558" spans="1:1" ht="12.75">
      <c r="A11558" s="2" t="s">
        <v>183</v>
      </c>
    </row>
    <row r="11559" spans="1:1" ht="12.75">
      <c r="A11559" s="2" t="s">
        <v>165</v>
      </c>
    </row>
    <row r="11560" spans="1:1" ht="12.75">
      <c r="A11560" s="2" t="s">
        <v>223</v>
      </c>
    </row>
    <row r="11561" spans="1:1" ht="12.75">
      <c r="A11561" s="2" t="s">
        <v>165</v>
      </c>
    </row>
    <row r="11562" spans="1:1" ht="12.75">
      <c r="A11562" s="2" t="s">
        <v>168</v>
      </c>
    </row>
    <row r="11563" spans="1:1" ht="12.75">
      <c r="A11563" s="2" t="s">
        <v>164</v>
      </c>
    </row>
    <row r="11564" spans="1:1" ht="12.75">
      <c r="A11564" s="2" t="s">
        <v>181</v>
      </c>
    </row>
    <row r="11565" spans="1:1" ht="12.75">
      <c r="A11565" s="2" t="s">
        <v>223</v>
      </c>
    </row>
    <row r="11566" spans="1:1" ht="12.75">
      <c r="A11566" s="2" t="s">
        <v>164</v>
      </c>
    </row>
    <row r="11567" spans="1:1" ht="12.75">
      <c r="A11567" s="2" t="s">
        <v>183</v>
      </c>
    </row>
    <row r="11568" spans="1:1" ht="12.75">
      <c r="A11568" s="2" t="s">
        <v>164</v>
      </c>
    </row>
    <row r="11569" spans="1:1" ht="12.75">
      <c r="A11569" s="2" t="s">
        <v>163</v>
      </c>
    </row>
    <row r="11570" spans="1:1" ht="12.75">
      <c r="A11570" s="2" t="s">
        <v>194</v>
      </c>
    </row>
    <row r="11571" spans="1:1" ht="12.75">
      <c r="A11571" s="2" t="s">
        <v>181</v>
      </c>
    </row>
    <row r="11572" spans="1:1" ht="12.75">
      <c r="A11572" s="2" t="s">
        <v>163</v>
      </c>
    </row>
    <row r="11573" spans="1:1" ht="12.75">
      <c r="A11573" s="2" t="s">
        <v>181</v>
      </c>
    </row>
    <row r="11574" spans="1:1" ht="12.75">
      <c r="A11574" s="2" t="s">
        <v>163</v>
      </c>
    </row>
    <row r="11575" spans="1:1" ht="12.75">
      <c r="A11575" s="2" t="s">
        <v>225</v>
      </c>
    </row>
    <row r="11576" spans="1:1" ht="12.75">
      <c r="A11576" s="2" t="s">
        <v>224</v>
      </c>
    </row>
    <row r="11577" spans="1:1" ht="12.75">
      <c r="A11577" s="2" t="s">
        <v>194</v>
      </c>
    </row>
    <row r="11578" spans="1:1" ht="12.75">
      <c r="A11578" s="2" t="s">
        <v>224</v>
      </c>
    </row>
    <row r="11579" spans="1:1" ht="12.75">
      <c r="A11579" s="2" t="s">
        <v>194</v>
      </c>
    </row>
    <row r="11580" spans="1:1" ht="12.75">
      <c r="A11580" s="2" t="s">
        <v>225</v>
      </c>
    </row>
    <row r="11582" spans="1:1" ht="12.75">
      <c r="A11582" s="2" t="s">
        <v>176</v>
      </c>
    </row>
    <row r="11584" spans="1:1" ht="12.75">
      <c r="A11584" s="2" t="s">
        <v>191</v>
      </c>
    </row>
    <row r="11585" spans="1:1" ht="12.75">
      <c r="A11585" s="2" t="s">
        <v>182</v>
      </c>
    </row>
    <row r="11586" spans="1:1" ht="12.75">
      <c r="A11586" s="2" t="s">
        <v>181</v>
      </c>
    </row>
    <row r="11587" spans="1:1" ht="12.75">
      <c r="A11587" s="2" t="s">
        <v>168</v>
      </c>
    </row>
    <row r="11588" spans="1:1" ht="12.75">
      <c r="A11588" s="2" t="s">
        <v>182</v>
      </c>
    </row>
    <row r="11589" spans="1:1" ht="12.75">
      <c r="A11589" s="2" t="s">
        <v>168</v>
      </c>
    </row>
    <row r="11590" spans="1:1" ht="12.75">
      <c r="A11590" s="2" t="s">
        <v>182</v>
      </c>
    </row>
    <row r="11591" spans="1:1" ht="12.75">
      <c r="A11591" s="2" t="s">
        <v>181</v>
      </c>
    </row>
    <row r="11592" spans="1:1" ht="12.75">
      <c r="A11592" s="2" t="s">
        <v>225</v>
      </c>
    </row>
    <row r="11593" spans="1:1" ht="12.75">
      <c r="A11593" s="2" t="s">
        <v>181</v>
      </c>
    </row>
    <row r="11594" spans="1:1" ht="12.75">
      <c r="A11594" s="2" t="s">
        <v>225</v>
      </c>
    </row>
    <row r="11595" spans="1:1" ht="12.75">
      <c r="A11595" s="2" t="s">
        <v>181</v>
      </c>
    </row>
    <row r="11596" spans="1:1" ht="12.75">
      <c r="A11596" s="2" t="s">
        <v>182</v>
      </c>
    </row>
    <row r="11597" spans="1:1" ht="12.75">
      <c r="A11597" s="2" t="s">
        <v>609</v>
      </c>
    </row>
    <row r="11598" spans="1:1" ht="12.75">
      <c r="A11598" s="2" t="s">
        <v>609</v>
      </c>
    </row>
    <row r="11619" spans="1:1" ht="12.75">
      <c r="A11619" s="2" t="s">
        <v>189</v>
      </c>
    </row>
    <row r="11620" spans="1:1" ht="12.75">
      <c r="A11620" s="2" t="s">
        <v>176</v>
      </c>
    </row>
    <row r="11621" spans="1:1" ht="12.75">
      <c r="A11621" s="2" t="s">
        <v>166</v>
      </c>
    </row>
    <row r="11622" spans="1:1" ht="12.75">
      <c r="A11622" s="2" t="s">
        <v>176</v>
      </c>
    </row>
    <row r="11623" spans="1:1" ht="12.75">
      <c r="A11623" s="2" t="s">
        <v>166</v>
      </c>
    </row>
    <row r="11624" spans="1:1" ht="12.75">
      <c r="A11624" s="2" t="s">
        <v>176</v>
      </c>
    </row>
    <row r="11625" spans="1:1" ht="12.75">
      <c r="A11625" s="2" t="s">
        <v>166</v>
      </c>
    </row>
    <row r="11626" spans="1:1" ht="12.75">
      <c r="A11626" s="2" t="s">
        <v>165</v>
      </c>
    </row>
    <row r="11630" spans="1:1" ht="12.75">
      <c r="A11630" s="2" t="s">
        <v>171</v>
      </c>
    </row>
    <row r="11631" spans="1:1" ht="12.75">
      <c r="A11631" s="2" t="s">
        <v>165</v>
      </c>
    </row>
    <row r="11632" spans="1:1" ht="12.75">
      <c r="A11632" s="2" t="s">
        <v>163</v>
      </c>
    </row>
    <row r="11633" spans="1:1" ht="12.75">
      <c r="A11633" s="2" t="s">
        <v>165</v>
      </c>
    </row>
    <row r="11634" spans="1:1" ht="12.75">
      <c r="A11634" s="2" t="s">
        <v>163</v>
      </c>
    </row>
    <row r="11635" spans="1:1" ht="12.75">
      <c r="A11635" s="2" t="s">
        <v>165</v>
      </c>
    </row>
    <row r="11636" spans="1:1" ht="12.75">
      <c r="A11636" s="2" t="s">
        <v>163</v>
      </c>
    </row>
    <row r="11637" spans="1:1" ht="12.75">
      <c r="A11637" s="2" t="s">
        <v>183</v>
      </c>
    </row>
    <row r="11638" spans="1:1" ht="12.75">
      <c r="A11638" s="2" t="s">
        <v>164</v>
      </c>
    </row>
    <row r="11639" spans="1:1" ht="12.75">
      <c r="A11639" s="2" t="s">
        <v>183</v>
      </c>
    </row>
    <row r="11640" spans="1:1" ht="12.75">
      <c r="A11640" s="2" t="s">
        <v>164</v>
      </c>
    </row>
    <row r="11641" spans="1:1" ht="12.75">
      <c r="A11641" s="2" t="s">
        <v>166</v>
      </c>
    </row>
    <row r="11642" spans="1:1" ht="12.75">
      <c r="A11642" s="2" t="s">
        <v>164</v>
      </c>
    </row>
    <row r="11643" spans="1:1" ht="12.75">
      <c r="A11643" s="2" t="s">
        <v>165</v>
      </c>
    </row>
    <row r="11644" spans="1:1" ht="12.75">
      <c r="A11644" s="2" t="s">
        <v>176</v>
      </c>
    </row>
    <row r="11645" spans="1:1" ht="12.75">
      <c r="A11645" s="2" t="s">
        <v>165</v>
      </c>
    </row>
    <row r="11646" spans="1:1" ht="12.75">
      <c r="A11646" s="2" t="s">
        <v>176</v>
      </c>
    </row>
    <row r="11647" spans="1:1" ht="12.75">
      <c r="A11647" s="2" t="s">
        <v>165</v>
      </c>
    </row>
    <row r="11648" spans="1:1" ht="12.75">
      <c r="A11648" s="2" t="s">
        <v>168</v>
      </c>
    </row>
    <row r="11649" spans="1:1" ht="12.75">
      <c r="A11649" s="2" t="s">
        <v>176</v>
      </c>
    </row>
    <row r="11650" spans="1:1" ht="12.75">
      <c r="A11650" s="2" t="s">
        <v>168</v>
      </c>
    </row>
    <row r="11651" spans="1:1" ht="12.75">
      <c r="A11651" s="2" t="s">
        <v>161</v>
      </c>
    </row>
    <row r="11652" spans="1:1" ht="12.75">
      <c r="A11652" s="2" t="s">
        <v>183</v>
      </c>
    </row>
    <row r="11653" spans="1:1" ht="12.75">
      <c r="A11653" s="2" t="s">
        <v>161</v>
      </c>
    </row>
    <row r="11654" spans="1:1" ht="12.75">
      <c r="A11654" s="2" t="s">
        <v>166</v>
      </c>
    </row>
    <row r="11655" spans="1:1" ht="12.75">
      <c r="A11655" s="2" t="s">
        <v>161</v>
      </c>
    </row>
    <row r="11656" spans="1:1" ht="12.75">
      <c r="A11656" s="2" t="s">
        <v>166</v>
      </c>
    </row>
    <row r="11657" spans="1:1" ht="12.75">
      <c r="A11657" s="2" t="s">
        <v>183</v>
      </c>
    </row>
    <row r="11658" spans="1:1" ht="12.75">
      <c r="A11658" s="2" t="s">
        <v>166</v>
      </c>
    </row>
    <row r="11659" spans="1:1" ht="12.75">
      <c r="A11659" s="2" t="s">
        <v>164</v>
      </c>
    </row>
    <row r="11660" spans="1:1" ht="12.75">
      <c r="A11660" s="2" t="s">
        <v>183</v>
      </c>
    </row>
    <row r="11661" spans="1:1" ht="12.75">
      <c r="A11661" s="2" t="s">
        <v>164</v>
      </c>
    </row>
    <row r="11662" spans="1:1" ht="12.75">
      <c r="A11662" s="2" t="s">
        <v>223</v>
      </c>
    </row>
    <row r="11663" spans="1:1" ht="12.75">
      <c r="A11663" s="2" t="s">
        <v>183</v>
      </c>
    </row>
    <row r="11664" spans="1:1" ht="12.75">
      <c r="A11664" s="2" t="s">
        <v>224</v>
      </c>
    </row>
    <row r="11665" spans="1:1" ht="12.75">
      <c r="A11665" s="2" t="s">
        <v>194</v>
      </c>
    </row>
    <row r="11666" spans="1:1" ht="12.75">
      <c r="A11666" s="2" t="s">
        <v>182</v>
      </c>
    </row>
    <row r="11667" spans="1:1" ht="12.75">
      <c r="A11667" s="2" t="s">
        <v>176</v>
      </c>
    </row>
    <row r="11668" spans="1:1" ht="12.75">
      <c r="A11668" s="2" t="s">
        <v>182</v>
      </c>
    </row>
    <row r="11669" spans="1:1" ht="12.75">
      <c r="A11669" s="2" t="s">
        <v>176</v>
      </c>
    </row>
    <row r="11670" spans="1:1" ht="12.75">
      <c r="A11670" s="2" t="s">
        <v>182</v>
      </c>
    </row>
    <row r="11671" spans="1:1" ht="12.75">
      <c r="A11671" s="2" t="s">
        <v>176</v>
      </c>
    </row>
    <row r="11672" spans="1:1" ht="12.75">
      <c r="A11672" s="2" t="s">
        <v>164</v>
      </c>
    </row>
    <row r="11673" spans="1:1" ht="12.75">
      <c r="A11673" s="2" t="s">
        <v>166</v>
      </c>
    </row>
    <row r="11674" spans="1:1" ht="12.75">
      <c r="A11674" s="2" t="s">
        <v>223</v>
      </c>
    </row>
    <row r="11675" spans="1:1" ht="12.75">
      <c r="A11675" s="2" t="s">
        <v>224</v>
      </c>
    </row>
    <row r="11676" spans="1:1" ht="12.75">
      <c r="A11676" s="2" t="s">
        <v>194</v>
      </c>
    </row>
    <row r="11678" spans="1:1" ht="12.75">
      <c r="A11678" s="2" t="s">
        <v>194</v>
      </c>
    </row>
    <row r="11679" spans="1:1" ht="12.75">
      <c r="A11679" s="2">
        <v>721</v>
      </c>
    </row>
    <row r="11680" spans="1:1" ht="12.75">
      <c r="A11680" s="2" t="s">
        <v>176</v>
      </c>
    </row>
    <row r="11681" spans="1:1" ht="12.75">
      <c r="A11681" s="2" t="s">
        <v>165</v>
      </c>
    </row>
    <row r="11682" spans="1:1" ht="12.75">
      <c r="A11682" s="2" t="s">
        <v>176</v>
      </c>
    </row>
    <row r="11683" spans="1:1" ht="12.75">
      <c r="A11683" s="2" t="s">
        <v>225</v>
      </c>
    </row>
    <row r="11685" spans="1:1" ht="12.75">
      <c r="A11685" s="2" t="s">
        <v>177</v>
      </c>
    </row>
    <row r="11686" spans="1:1" ht="12.75">
      <c r="A11686" s="2" t="s">
        <v>177</v>
      </c>
    </row>
    <row r="11687" spans="1:1" ht="12.75">
      <c r="A11687" s="2" t="s">
        <v>168</v>
      </c>
    </row>
    <row r="11688" spans="1:1" ht="12.75">
      <c r="A11688" s="2" t="s">
        <v>177</v>
      </c>
    </row>
    <row r="11689" spans="1:1" ht="12.75">
      <c r="A11689" s="2" t="s">
        <v>182</v>
      </c>
    </row>
    <row r="11690" spans="1:1" ht="12.75">
      <c r="A11690" s="2" t="s">
        <v>181</v>
      </c>
    </row>
    <row r="11691" spans="1:1" ht="12.75">
      <c r="A11691" s="2" t="s">
        <v>182</v>
      </c>
    </row>
    <row r="11692" spans="1:1" ht="12.75">
      <c r="A11692" s="2" t="s">
        <v>181</v>
      </c>
    </row>
    <row r="11693" spans="1:1" ht="12.75">
      <c r="A11693" s="2" t="s">
        <v>182</v>
      </c>
    </row>
    <row r="11694" spans="1:1" ht="12.75">
      <c r="A11694" s="2" t="s">
        <v>181</v>
      </c>
    </row>
    <row r="11695" spans="1:1" ht="12.75">
      <c r="A11695" s="2" t="s">
        <v>163</v>
      </c>
    </row>
    <row r="11696" spans="1:1" ht="12.75">
      <c r="A11696" s="2" t="s">
        <v>191</v>
      </c>
    </row>
    <row r="11697" spans="1:1" ht="12.75">
      <c r="A11697" s="2" t="s">
        <v>163</v>
      </c>
    </row>
    <row r="11698" spans="1:1" ht="12.75">
      <c r="A11698" s="2" t="s">
        <v>164</v>
      </c>
    </row>
    <row r="11699" spans="1:1" ht="12.75">
      <c r="A11699" s="2" t="s">
        <v>163</v>
      </c>
    </row>
    <row r="11700" spans="1:1" ht="12.75">
      <c r="A11700" s="2" t="s">
        <v>164</v>
      </c>
    </row>
    <row r="11701" spans="1:1" ht="12.75">
      <c r="A11701" s="2" t="s">
        <v>165</v>
      </c>
    </row>
    <row r="11702" spans="1:1" ht="12.75">
      <c r="A11702" s="2" t="s">
        <v>164</v>
      </c>
    </row>
    <row r="11703" spans="1:1" ht="12.75">
      <c r="A11703" s="2" t="s">
        <v>171</v>
      </c>
    </row>
    <row r="11704" spans="1:1" ht="12.75">
      <c r="A11704" s="2" t="s">
        <v>163</v>
      </c>
    </row>
    <row r="11705" spans="1:1" ht="12.75">
      <c r="A11705" s="2" t="s">
        <v>191</v>
      </c>
    </row>
    <row r="11706" spans="1:1" ht="12.75">
      <c r="A11706" s="2" t="s">
        <v>165</v>
      </c>
    </row>
    <row r="11707" spans="1:1" ht="12.75">
      <c r="A11707" s="2" t="s">
        <v>166</v>
      </c>
    </row>
    <row r="11708" spans="1:1" ht="12.75">
      <c r="A11708" s="2" t="s">
        <v>182</v>
      </c>
    </row>
    <row r="11709" spans="1:1" ht="12.75">
      <c r="A11709" s="2" t="s">
        <v>224</v>
      </c>
    </row>
    <row r="11710" spans="1:1" ht="12.75">
      <c r="A11710" s="2">
        <v>17880</v>
      </c>
    </row>
    <row r="11711" spans="1:1" ht="12.75">
      <c r="A11711" s="2" t="s">
        <v>189</v>
      </c>
    </row>
    <row r="11712" spans="1:1" ht="12.75">
      <c r="A11712" s="2" t="s">
        <v>163</v>
      </c>
    </row>
    <row r="11713" spans="1:1" ht="12.75">
      <c r="A11713" s="2" t="s">
        <v>189</v>
      </c>
    </row>
    <row r="11714" spans="1:1" ht="12.75">
      <c r="A11714" s="2" t="s">
        <v>163</v>
      </c>
    </row>
    <row r="11715" spans="1:1" ht="12.75">
      <c r="A11715" s="2" t="s">
        <v>162</v>
      </c>
    </row>
    <row r="11717" spans="1:1" ht="12.75">
      <c r="A11717" s="2" t="s">
        <v>223</v>
      </c>
    </row>
    <row r="11718" spans="1:1" ht="12.75">
      <c r="A11718" s="2" t="s">
        <v>225</v>
      </c>
    </row>
    <row r="11719" spans="1:1" ht="12.75">
      <c r="A11719" s="2" t="s">
        <v>183</v>
      </c>
    </row>
    <row r="11720" spans="1:1" ht="12.75">
      <c r="A11720" s="2" t="s">
        <v>225</v>
      </c>
    </row>
    <row r="11721" spans="1:1" ht="12.75">
      <c r="A11721" s="2" t="s">
        <v>191</v>
      </c>
    </row>
    <row r="11722" spans="1:1" ht="12.75">
      <c r="A11722" s="2" t="s">
        <v>223</v>
      </c>
    </row>
    <row r="11724" spans="1:1" ht="12.75">
      <c r="A11724" s="2" t="s">
        <v>223</v>
      </c>
    </row>
    <row r="11725" spans="1:1" ht="12.75">
      <c r="A11725" s="2" t="s">
        <v>182</v>
      </c>
    </row>
    <row r="11726" spans="1:1" ht="12.75">
      <c r="A11726" s="2" t="s">
        <v>181</v>
      </c>
    </row>
    <row r="11727" spans="1:1" ht="12.75">
      <c r="A11727" s="2" t="s">
        <v>182</v>
      </c>
    </row>
    <row r="11728" spans="1:1" ht="12.75">
      <c r="A11728" s="2" t="s">
        <v>181</v>
      </c>
    </row>
    <row r="11729" spans="1:1" ht="12.75">
      <c r="A11729" s="2" t="s">
        <v>182</v>
      </c>
    </row>
    <row r="11730" spans="1:1" ht="12.75">
      <c r="A11730" s="2" t="s">
        <v>181</v>
      </c>
    </row>
    <row r="11731" spans="1:1" ht="12.75">
      <c r="A11731" s="2" t="s">
        <v>183</v>
      </c>
    </row>
    <row r="11732" spans="1:1" ht="12.75">
      <c r="A11732" s="2" t="s">
        <v>166</v>
      </c>
    </row>
    <row r="11733" spans="1:1" ht="12.75">
      <c r="A11733" s="2" t="s">
        <v>183</v>
      </c>
    </row>
    <row r="11734" spans="1:1" ht="12.75">
      <c r="A11734" s="2" t="s">
        <v>166</v>
      </c>
    </row>
    <row r="11735" spans="1:1" ht="12.75">
      <c r="A11735" s="2" t="s">
        <v>183</v>
      </c>
    </row>
    <row r="11736" spans="1:1" ht="12.75">
      <c r="A11736" s="2" t="s">
        <v>189</v>
      </c>
    </row>
    <row r="11737" spans="1:1" ht="12.75">
      <c r="A11737" s="2" t="s">
        <v>161</v>
      </c>
    </row>
    <row r="11738" spans="1:1" ht="12.75">
      <c r="A11738" s="2" t="s">
        <v>168</v>
      </c>
    </row>
    <row r="11739" spans="1:1" ht="12.75">
      <c r="A11739" s="2" t="s">
        <v>166</v>
      </c>
    </row>
    <row r="11740" spans="1:1" ht="12.75">
      <c r="A11740" s="2" t="s">
        <v>182</v>
      </c>
    </row>
    <row r="11741" spans="1:1" ht="12.75">
      <c r="A11741" s="2" t="s">
        <v>160</v>
      </c>
    </row>
    <row r="11742" spans="1:1" ht="12.75">
      <c r="A11742" s="2" t="s">
        <v>194</v>
      </c>
    </row>
    <row r="11743" spans="1:1" ht="12.75">
      <c r="A11743" s="2" t="s">
        <v>160</v>
      </c>
    </row>
    <row r="11744" spans="1:1" ht="12.75">
      <c r="A11744" s="2" t="s">
        <v>194</v>
      </c>
    </row>
    <row r="11745" spans="1:1" ht="12.75">
      <c r="A11745" s="2" t="s">
        <v>164</v>
      </c>
    </row>
    <row r="11746" spans="1:1" ht="12.75">
      <c r="A11746" s="2" t="s">
        <v>194</v>
      </c>
    </row>
    <row r="11747" spans="1:1" ht="12.75">
      <c r="A11747" s="2" t="s">
        <v>161</v>
      </c>
    </row>
    <row r="11748" spans="1:1" ht="12.75">
      <c r="A11748" s="2" t="s">
        <v>163</v>
      </c>
    </row>
    <row r="11749" spans="1:1" ht="12.75">
      <c r="A11749" s="2" t="s">
        <v>161</v>
      </c>
    </row>
    <row r="11750" spans="1:1" ht="12.75">
      <c r="A11750" s="2" t="s">
        <v>163</v>
      </c>
    </row>
    <row r="11751" spans="1:1" ht="12.75">
      <c r="A11751" s="2" t="s">
        <v>182</v>
      </c>
    </row>
    <row r="11752" spans="1:1" ht="12.75">
      <c r="A11752" s="2" t="s">
        <v>176</v>
      </c>
    </row>
    <row r="11753" spans="1:1" ht="12.75">
      <c r="A11753" s="2" t="s">
        <v>191</v>
      </c>
    </row>
    <row r="11754" spans="1:1" ht="12.75">
      <c r="A11754" s="2" t="s">
        <v>165</v>
      </c>
    </row>
    <row r="11755" spans="1:1" ht="12.75">
      <c r="A11755" s="2" t="s">
        <v>173</v>
      </c>
    </row>
    <row r="11756" spans="1:1" ht="12.75">
      <c r="A11756" s="2" t="s">
        <v>224</v>
      </c>
    </row>
    <row r="11757" spans="1:1" ht="12.75">
      <c r="A11757" s="2" t="s">
        <v>173</v>
      </c>
    </row>
    <row r="11758" spans="1:1" ht="12.75">
      <c r="A11758" s="2" t="s">
        <v>171</v>
      </c>
    </row>
    <row r="11759" spans="1:1" ht="12.75">
      <c r="A11759" s="2" t="s">
        <v>163</v>
      </c>
    </row>
    <row r="11760" spans="1:1" ht="12.75">
      <c r="A11760" s="2" t="s">
        <v>191</v>
      </c>
    </row>
    <row r="11761" spans="1:1" ht="12.75">
      <c r="A11761" s="2" t="s">
        <v>164</v>
      </c>
    </row>
    <row r="11762" spans="1:1" ht="12.75">
      <c r="A11762" s="2" t="s">
        <v>176</v>
      </c>
    </row>
    <row r="11763" spans="1:1" ht="12.75">
      <c r="A11763" s="2" t="s">
        <v>164</v>
      </c>
    </row>
    <row r="11764" spans="1:1" ht="12.75">
      <c r="A11764" s="2" t="s">
        <v>165</v>
      </c>
    </row>
    <row r="11765" spans="1:1" ht="12.75">
      <c r="A11765" s="2" t="s">
        <v>164</v>
      </c>
    </row>
    <row r="11766" spans="1:1" ht="12.75">
      <c r="A11766" s="2" t="s">
        <v>165</v>
      </c>
    </row>
    <row r="11767" spans="1:1" ht="12.75">
      <c r="A11767" s="2" t="s">
        <v>189</v>
      </c>
    </row>
    <row r="11768" spans="1:1" ht="12.75">
      <c r="A11768" s="2" t="s">
        <v>165</v>
      </c>
    </row>
    <row r="11769" spans="1:1" ht="12.75">
      <c r="A11769" s="2" t="s">
        <v>168</v>
      </c>
    </row>
    <row r="11770" spans="1:1" ht="12.75">
      <c r="A11770" s="2" t="s">
        <v>161</v>
      </c>
    </row>
    <row r="11771" spans="1:1" ht="12.75">
      <c r="A11771" s="2" t="s">
        <v>223</v>
      </c>
    </row>
    <row r="11772" spans="1:1" ht="12.75">
      <c r="A11772" s="2" t="s">
        <v>161</v>
      </c>
    </row>
    <row r="11773" spans="1:1" ht="12.75">
      <c r="A11773" s="2" t="s">
        <v>163</v>
      </c>
    </row>
    <row r="11774" spans="1:1" ht="12.75">
      <c r="A11774" s="2" t="s">
        <v>161</v>
      </c>
    </row>
    <row r="11776" spans="1:1" ht="12.75">
      <c r="A11776" s="2" t="s">
        <v>224</v>
      </c>
    </row>
    <row r="11777" spans="1:1" ht="12.75">
      <c r="A11777" s="2" t="s">
        <v>166</v>
      </c>
    </row>
    <row r="11778" spans="1:1" ht="12.75">
      <c r="A11778" s="2" t="s">
        <v>176</v>
      </c>
    </row>
    <row r="11779" spans="1:1" ht="12.75">
      <c r="A11779" s="2" t="s">
        <v>166</v>
      </c>
    </row>
    <row r="11780" spans="1:1" ht="12.75">
      <c r="A11780" s="2" t="s">
        <v>165</v>
      </c>
    </row>
    <row r="11781" spans="1:1" ht="12.75">
      <c r="A11781" s="2" t="s">
        <v>166</v>
      </c>
    </row>
    <row r="11782" spans="1:1" ht="12.75">
      <c r="A11782" s="2" t="s">
        <v>162</v>
      </c>
    </row>
    <row r="11783" spans="1:1" ht="12.75">
      <c r="A11783" s="2" t="s">
        <v>161</v>
      </c>
    </row>
    <row r="11784" spans="1:1" ht="12.75">
      <c r="A11784" s="2" t="s">
        <v>165</v>
      </c>
    </row>
    <row r="11785" spans="1:1" ht="12.75">
      <c r="A11785" s="2" t="s">
        <v>168</v>
      </c>
    </row>
    <row r="11786" spans="1:1" ht="12.75">
      <c r="A11786" s="2" t="s">
        <v>224</v>
      </c>
    </row>
    <row r="11787" spans="1:1" ht="12.75">
      <c r="A11787" s="2" t="s">
        <v>176</v>
      </c>
    </row>
    <row r="11789" spans="1:1" ht="12.75">
      <c r="A11789" s="2" t="s">
        <v>176</v>
      </c>
    </row>
    <row r="11790" spans="1:1" ht="12.75">
      <c r="A11790" s="2" t="s">
        <v>168</v>
      </c>
    </row>
    <row r="11791" spans="1:1" ht="12.75">
      <c r="A11791" s="2" t="s">
        <v>183</v>
      </c>
    </row>
    <row r="11792" spans="1:1" ht="12.75">
      <c r="A11792" s="2" t="s">
        <v>177</v>
      </c>
    </row>
    <row r="11793" spans="1:1" ht="12.75">
      <c r="A11793" s="2" t="s">
        <v>183</v>
      </c>
    </row>
    <row r="11794" spans="1:1" ht="12.75">
      <c r="A11794" s="2" t="s">
        <v>177</v>
      </c>
    </row>
    <row r="11795" spans="1:1" ht="12.75">
      <c r="A11795" s="2" t="s">
        <v>183</v>
      </c>
    </row>
    <row r="11796" spans="1:1" ht="12.75">
      <c r="A11796" s="2" t="s">
        <v>177</v>
      </c>
    </row>
    <row r="11797" spans="1:1" ht="12.75">
      <c r="A11797" s="2" t="s">
        <v>224</v>
      </c>
    </row>
    <row r="11798" spans="1:1" ht="12.75">
      <c r="A11798" s="2" t="s">
        <v>162</v>
      </c>
    </row>
    <row r="11799" spans="1:1" ht="12.75">
      <c r="A11799" s="2" t="s">
        <v>432</v>
      </c>
    </row>
    <row r="11800" spans="1:1" ht="12.75">
      <c r="A11800" s="2" t="s">
        <v>432</v>
      </c>
    </row>
    <row r="11801" spans="1:1" ht="12.75">
      <c r="A11801" s="2" t="s">
        <v>404</v>
      </c>
    </row>
    <row r="11802" spans="1:1" ht="12.75">
      <c r="A11802" s="2" t="s">
        <v>466</v>
      </c>
    </row>
    <row r="11803" spans="1:1" ht="12.75">
      <c r="A11803" s="2" t="s">
        <v>449</v>
      </c>
    </row>
    <row r="11804" spans="1:1" ht="12.75">
      <c r="A11804" s="2" t="s">
        <v>449</v>
      </c>
    </row>
    <row r="11806" spans="1:1" ht="12.75">
      <c r="A11806" s="2" t="s">
        <v>449</v>
      </c>
    </row>
    <row r="11808" spans="1:1" ht="12.75">
      <c r="A11808" s="2" t="s">
        <v>448</v>
      </c>
    </row>
    <row r="11809" spans="1:1" ht="12.75">
      <c r="A11809" s="2" t="s">
        <v>446</v>
      </c>
    </row>
    <row r="11810" spans="1:1" ht="12.75">
      <c r="A11810" s="2" t="s">
        <v>448</v>
      </c>
    </row>
    <row r="11811" spans="1:1" ht="12.75">
      <c r="A11811" s="2" t="s">
        <v>448</v>
      </c>
    </row>
    <row r="11812" spans="1:1" ht="12.75">
      <c r="A11812" s="2" t="s">
        <v>447</v>
      </c>
    </row>
    <row r="11813" spans="1:1" ht="12.75">
      <c r="A11813" s="2" t="s">
        <v>446</v>
      </c>
    </row>
    <row r="11814" spans="1:1" ht="12.75">
      <c r="A11814" s="2" t="s">
        <v>446</v>
      </c>
    </row>
    <row r="11815" spans="1:1" ht="12.75">
      <c r="A11815" s="2" t="s">
        <v>446</v>
      </c>
    </row>
    <row r="11816" spans="1:1" ht="12.75">
      <c r="A11816" s="2" t="s">
        <v>447</v>
      </c>
    </row>
    <row r="11817" spans="1:1" ht="12.75">
      <c r="A11817" s="2" t="s">
        <v>446</v>
      </c>
    </row>
    <row r="11818" spans="1:1" ht="12.75">
      <c r="A11818" s="2" t="s">
        <v>453</v>
      </c>
    </row>
    <row r="11819" spans="1:1" ht="12.75">
      <c r="A11819" s="2" t="s">
        <v>447</v>
      </c>
    </row>
    <row r="11820" spans="1:1" ht="12.75">
      <c r="A11820" s="2" t="s">
        <v>447</v>
      </c>
    </row>
    <row r="11821" spans="1:1" ht="12.75">
      <c r="A11821" s="2" t="s">
        <v>446</v>
      </c>
    </row>
    <row r="11822" spans="1:1" ht="12.75">
      <c r="A11822" s="2" t="s">
        <v>446</v>
      </c>
    </row>
    <row r="11823" spans="1:1" ht="12.75">
      <c r="A11823" s="2" t="s">
        <v>451</v>
      </c>
    </row>
    <row r="11824" spans="1:1" ht="12.75">
      <c r="A11824" s="2" t="s">
        <v>447</v>
      </c>
    </row>
    <row r="11825" spans="1:1" ht="12.75">
      <c r="A11825" s="2" t="s">
        <v>451</v>
      </c>
    </row>
    <row r="11826" spans="1:1" ht="12.75">
      <c r="A11826" s="2" t="s">
        <v>473</v>
      </c>
    </row>
    <row r="11827" spans="1:1" ht="12.75">
      <c r="A11827" s="2" t="s">
        <v>448</v>
      </c>
    </row>
    <row r="11828" spans="1:1" ht="12.75">
      <c r="A11828" s="2" t="s">
        <v>448</v>
      </c>
    </row>
    <row r="11829" spans="1:1" ht="12.75">
      <c r="A11829" s="2" t="s">
        <v>439</v>
      </c>
    </row>
    <row r="11830" spans="1:1" ht="12.75">
      <c r="A11830" s="2" t="s">
        <v>491</v>
      </c>
    </row>
    <row r="11831" spans="1:1" ht="12.75">
      <c r="A11831" s="2" t="s">
        <v>439</v>
      </c>
    </row>
    <row r="11832" spans="1:1" ht="12.75">
      <c r="A11832" s="2" t="s">
        <v>439</v>
      </c>
    </row>
    <row r="11833" spans="1:1" ht="12.75">
      <c r="A11833" s="2" t="s">
        <v>438</v>
      </c>
    </row>
    <row r="11834" spans="1:1" ht="12.75">
      <c r="A11834" s="2" t="s">
        <v>491</v>
      </c>
    </row>
    <row r="11835" spans="1:1" ht="12.75">
      <c r="A11835" s="2" t="s">
        <v>439</v>
      </c>
    </row>
    <row r="11836" spans="1:1" ht="12.75">
      <c r="A11836" s="2" t="s">
        <v>439</v>
      </c>
    </row>
    <row r="11837" spans="1:1" ht="12.75">
      <c r="A11837" s="2" t="s">
        <v>438</v>
      </c>
    </row>
    <row r="11838" spans="1:1" ht="12.75">
      <c r="A11838" s="2" t="s">
        <v>491</v>
      </c>
    </row>
    <row r="11839" spans="1:1" ht="12.75">
      <c r="A11839" s="2" t="s">
        <v>439</v>
      </c>
    </row>
    <row r="11840" spans="1:1" ht="12.75">
      <c r="A11840" s="2" t="s">
        <v>610</v>
      </c>
    </row>
    <row r="11841" spans="1:1" ht="12.75">
      <c r="A11841" s="2" t="s">
        <v>438</v>
      </c>
    </row>
    <row r="11842" spans="1:1" ht="12.75">
      <c r="A11842" s="2" t="s">
        <v>438</v>
      </c>
    </row>
    <row r="11843" spans="1:1" ht="12.75">
      <c r="A11843" s="2" t="s">
        <v>439</v>
      </c>
    </row>
    <row r="11844" spans="1:1" ht="12.75">
      <c r="A11844" s="2" t="s">
        <v>439</v>
      </c>
    </row>
    <row r="11845" spans="1:1" ht="12.75">
      <c r="A11845" s="2" t="s">
        <v>492</v>
      </c>
    </row>
    <row r="11846" spans="1:1" ht="12.75">
      <c r="A11846" s="2" t="s">
        <v>492</v>
      </c>
    </row>
    <row r="11847" spans="1:1" ht="12.75">
      <c r="A11847" s="2" t="s">
        <v>432</v>
      </c>
    </row>
    <row r="11848" spans="1:1" ht="12.75">
      <c r="A11848" s="2" t="s">
        <v>432</v>
      </c>
    </row>
    <row r="11849" spans="1:1" ht="12.75">
      <c r="A11849" s="2" t="s">
        <v>452</v>
      </c>
    </row>
    <row r="11850" spans="1:1" ht="12.75">
      <c r="A11850" s="2" t="s">
        <v>452</v>
      </c>
    </row>
    <row r="11851" spans="1:1" ht="12.75">
      <c r="A11851" s="2" t="s">
        <v>452</v>
      </c>
    </row>
    <row r="11852" spans="1:1" ht="12.75">
      <c r="A11852" s="2" t="s">
        <v>452</v>
      </c>
    </row>
    <row r="11853" spans="1:1" ht="12.75">
      <c r="A11853" s="2" t="s">
        <v>432</v>
      </c>
    </row>
    <row r="11854" spans="1:1" ht="12.75">
      <c r="A11854" s="2" t="s">
        <v>432</v>
      </c>
    </row>
    <row r="11855" spans="1:1" ht="12.75">
      <c r="A11855" s="2" t="s">
        <v>432</v>
      </c>
    </row>
    <row r="11856" spans="1:1" ht="12.75">
      <c r="A11856" s="2" t="s">
        <v>432</v>
      </c>
    </row>
    <row r="11857" spans="1:1" ht="12.75">
      <c r="A11857" s="2" t="s">
        <v>432</v>
      </c>
    </row>
    <row r="11858" spans="1:1" ht="12.75">
      <c r="A11858" s="2" t="s">
        <v>432</v>
      </c>
    </row>
    <row r="11867" spans="1:1" ht="12.75">
      <c r="A11867" s="2" t="s">
        <v>492</v>
      </c>
    </row>
    <row r="11868" spans="1:1" ht="12.75">
      <c r="A11868" s="2" t="s">
        <v>492</v>
      </c>
    </row>
    <row r="11869" spans="1:1" ht="12.75">
      <c r="A11869" s="2" t="s">
        <v>438</v>
      </c>
    </row>
    <row r="11870" spans="1:1" ht="12.75">
      <c r="A11870" s="2" t="s">
        <v>439</v>
      </c>
    </row>
    <row r="11871" spans="1:1" ht="12.75">
      <c r="A11871" s="2" t="s">
        <v>439</v>
      </c>
    </row>
    <row r="11872" spans="1:1" ht="12.75">
      <c r="A11872" s="2" t="s">
        <v>491</v>
      </c>
    </row>
    <row r="11877" spans="1:1" ht="12.75">
      <c r="A11877" s="2" t="s">
        <v>439</v>
      </c>
    </row>
    <row r="11878" spans="1:1" ht="12.75">
      <c r="A11878" s="2" t="s">
        <v>439</v>
      </c>
    </row>
    <row r="11879" spans="1:1" ht="12.75">
      <c r="A11879" s="2" t="s">
        <v>439</v>
      </c>
    </row>
    <row r="11881" spans="1:1" ht="12.75">
      <c r="A11881" s="2" t="s">
        <v>438</v>
      </c>
    </row>
    <row r="11884" spans="1:1" ht="12.75">
      <c r="A11884" s="2" t="s">
        <v>611</v>
      </c>
    </row>
    <row r="11888" spans="1:1" ht="12.75">
      <c r="A11888" s="2" t="s">
        <v>612</v>
      </c>
    </row>
    <row r="11889" spans="1:1" ht="12.75">
      <c r="A11889" s="2" t="s">
        <v>613</v>
      </c>
    </row>
    <row r="11890" spans="1:1" ht="12.75">
      <c r="A11890" s="2" t="s">
        <v>613</v>
      </c>
    </row>
    <row r="11891" spans="1:1" ht="12.75">
      <c r="A11891" s="2" t="s">
        <v>440</v>
      </c>
    </row>
    <row r="11892" spans="1:1" ht="12.75">
      <c r="A11892" s="2" t="s">
        <v>440</v>
      </c>
    </row>
    <row r="11893" spans="1:1" ht="12.75">
      <c r="A11893" s="2" t="s">
        <v>439</v>
      </c>
    </row>
    <row r="11894" spans="1:1" ht="12.75">
      <c r="A11894" s="2" t="s">
        <v>439</v>
      </c>
    </row>
    <row r="11895" spans="1:1" ht="12.75">
      <c r="A11895" s="2" t="s">
        <v>439</v>
      </c>
    </row>
    <row r="11896" spans="1:1" ht="12.75">
      <c r="A11896" s="2" t="s">
        <v>439</v>
      </c>
    </row>
    <row r="11897" spans="1:1" ht="12.75">
      <c r="A11897" s="2" t="s">
        <v>492</v>
      </c>
    </row>
    <row r="11898" spans="1:1" ht="12.75">
      <c r="A11898" s="2" t="s">
        <v>492</v>
      </c>
    </row>
    <row r="11899" spans="1:1" ht="12.75">
      <c r="A11899" s="2" t="s">
        <v>438</v>
      </c>
    </row>
    <row r="11900" spans="1:1" ht="12.75">
      <c r="A11900" s="2" t="s">
        <v>438</v>
      </c>
    </row>
    <row r="11901" spans="1:1" ht="12.75">
      <c r="A11901" s="2" t="s">
        <v>439</v>
      </c>
    </row>
    <row r="11902" spans="1:1" ht="12.75">
      <c r="A11902" s="2" t="s">
        <v>439</v>
      </c>
    </row>
    <row r="11903" spans="1:1" ht="12.75">
      <c r="A11903" s="2" t="s">
        <v>438</v>
      </c>
    </row>
    <row r="11904" spans="1:1" ht="12.75">
      <c r="A11904" s="2" t="s">
        <v>491</v>
      </c>
    </row>
    <row r="11905" spans="1:1" ht="12.75">
      <c r="A11905" s="2" t="s">
        <v>439</v>
      </c>
    </row>
    <row r="11906" spans="1:1" ht="12.75">
      <c r="A11906" s="2" t="s">
        <v>439</v>
      </c>
    </row>
    <row r="11907" spans="1:1" ht="12.75">
      <c r="A11907" s="2" t="s">
        <v>491</v>
      </c>
    </row>
    <row r="11908" spans="1:1" ht="12.75">
      <c r="A11908" s="2" t="s">
        <v>491</v>
      </c>
    </row>
    <row r="11909" spans="1:1" ht="12.75">
      <c r="A11909" s="2" t="s">
        <v>439</v>
      </c>
    </row>
    <row r="11910" spans="1:1" ht="12.75">
      <c r="A11910" s="2" t="s">
        <v>439</v>
      </c>
    </row>
    <row r="11911" spans="1:1" ht="12.75">
      <c r="A11911" s="2" t="s">
        <v>439</v>
      </c>
    </row>
    <row r="11912" spans="1:1" ht="12.75">
      <c r="A11912" s="2" t="s">
        <v>439</v>
      </c>
    </row>
    <row r="11913" spans="1:1" ht="12.75">
      <c r="A11913" s="2" t="s">
        <v>491</v>
      </c>
    </row>
    <row r="11914" spans="1:1" ht="12.75">
      <c r="A11914" s="2" t="s">
        <v>491</v>
      </c>
    </row>
    <row r="11915" spans="1:1" ht="12.75">
      <c r="A11915" s="2" t="s">
        <v>438</v>
      </c>
    </row>
    <row r="11916" spans="1:1" ht="12.75">
      <c r="A11916" s="2" t="s">
        <v>438</v>
      </c>
    </row>
    <row r="11917" spans="1:1" ht="12.75">
      <c r="A11917" s="2" t="s">
        <v>439</v>
      </c>
    </row>
    <row r="11918" spans="1:1" ht="12.75">
      <c r="A11918" s="2" t="s">
        <v>439</v>
      </c>
    </row>
    <row r="11919" spans="1:1" ht="12.75">
      <c r="A11919" s="2" t="s">
        <v>453</v>
      </c>
    </row>
    <row r="11920" spans="1:1" ht="12.75">
      <c r="A11920" s="2" t="s">
        <v>446</v>
      </c>
    </row>
    <row r="11921" spans="1:1" ht="12.75">
      <c r="A11921" s="2" t="s">
        <v>447</v>
      </c>
    </row>
    <row r="11922" spans="1:1" ht="12.75">
      <c r="A11922" s="2" t="s">
        <v>446</v>
      </c>
    </row>
    <row r="11923" spans="1:1" ht="12.75">
      <c r="A11923" s="2" t="s">
        <v>447</v>
      </c>
    </row>
    <row r="11924" spans="1:1" ht="12.75">
      <c r="A11924" s="2" t="s">
        <v>446</v>
      </c>
    </row>
    <row r="11925" spans="1:1" ht="12.75">
      <c r="A11925" s="2" t="s">
        <v>447</v>
      </c>
    </row>
    <row r="11926" spans="1:1" ht="12.75">
      <c r="A11926" s="2" t="s">
        <v>446</v>
      </c>
    </row>
    <row r="11927" spans="1:1" ht="12.75">
      <c r="A11927" s="2" t="s">
        <v>447</v>
      </c>
    </row>
    <row r="11928" spans="1:1" ht="12.75">
      <c r="A11928" s="2" t="s">
        <v>446</v>
      </c>
    </row>
    <row r="11929" spans="1:1" ht="12.75">
      <c r="A11929" s="2" t="s">
        <v>446</v>
      </c>
    </row>
    <row r="11930" spans="1:1" ht="12.75">
      <c r="A11930" s="2" t="s">
        <v>446</v>
      </c>
    </row>
    <row r="11931" spans="1:1" ht="12.75">
      <c r="A11931" s="2" t="s">
        <v>446</v>
      </c>
    </row>
    <row r="11932" spans="1:1" ht="12.75">
      <c r="A11932" s="2" t="s">
        <v>446</v>
      </c>
    </row>
    <row r="11933" spans="1:1" ht="12.75">
      <c r="A11933" s="2" t="s">
        <v>446</v>
      </c>
    </row>
    <row r="11934" spans="1:1" ht="12.75">
      <c r="A11934" s="2" t="s">
        <v>447</v>
      </c>
    </row>
    <row r="11935" spans="1:1" ht="12.75">
      <c r="A11935" s="2" t="s">
        <v>446</v>
      </c>
    </row>
    <row r="11936" spans="1:1" ht="12.75">
      <c r="A11936" s="2" t="s">
        <v>447</v>
      </c>
    </row>
    <row r="11937" spans="1:1" ht="12.75">
      <c r="A11937" s="2" t="s">
        <v>446</v>
      </c>
    </row>
    <row r="11938" spans="1:1" ht="12.75">
      <c r="A11938" s="2" t="s">
        <v>447</v>
      </c>
    </row>
    <row r="11939" spans="1:1" ht="12.75">
      <c r="A11939" s="2" t="s">
        <v>446</v>
      </c>
    </row>
    <row r="11940" spans="1:1" ht="12.75">
      <c r="A11940" s="2" t="s">
        <v>551</v>
      </c>
    </row>
    <row r="11941" spans="1:1" ht="12.75">
      <c r="A11941" s="2" t="s">
        <v>448</v>
      </c>
    </row>
    <row r="11942" spans="1:1" ht="12.75">
      <c r="A11942" s="2" t="s">
        <v>448</v>
      </c>
    </row>
    <row r="11943" spans="1:1" ht="12.75">
      <c r="A11943" s="2" t="s">
        <v>448</v>
      </c>
    </row>
    <row r="11944" spans="1:1" ht="12.75">
      <c r="A11944" s="2" t="s">
        <v>453</v>
      </c>
    </row>
    <row r="11945" spans="1:1" ht="12.75">
      <c r="A11945" s="2" t="s">
        <v>448</v>
      </c>
    </row>
    <row r="11946" spans="1:1" ht="12.75">
      <c r="A11946" s="2" t="s">
        <v>453</v>
      </c>
    </row>
    <row r="11947" spans="1:1" ht="12.75">
      <c r="A11947" s="2" t="s">
        <v>491</v>
      </c>
    </row>
    <row r="11948" spans="1:1" ht="12.75">
      <c r="A11948" s="2" t="s">
        <v>491</v>
      </c>
    </row>
    <row r="11949" spans="1:1" ht="12.75">
      <c r="A11949" s="2" t="s">
        <v>614</v>
      </c>
    </row>
    <row r="11950" spans="1:1" ht="12.75">
      <c r="A11950" s="2" t="s">
        <v>446</v>
      </c>
    </row>
    <row r="11951" spans="1:1" ht="12.75">
      <c r="A11951" s="2" t="s">
        <v>473</v>
      </c>
    </row>
    <row r="11952" spans="1:1" ht="12.75">
      <c r="A11952" s="2" t="s">
        <v>451</v>
      </c>
    </row>
    <row r="11953" spans="1:1" ht="12.75">
      <c r="A11953" s="2" t="s">
        <v>473</v>
      </c>
    </row>
    <row r="11954" spans="1:1" ht="12.75">
      <c r="A11954" s="2" t="s">
        <v>447</v>
      </c>
    </row>
    <row r="11955" spans="1:1" ht="12.75">
      <c r="A11955" s="2" t="s">
        <v>446</v>
      </c>
    </row>
    <row r="11956" spans="1:1" ht="12.75">
      <c r="A11956" s="2" t="s">
        <v>447</v>
      </c>
    </row>
    <row r="11957" spans="1:1" ht="12.75">
      <c r="A11957" s="2" t="s">
        <v>615</v>
      </c>
    </row>
    <row r="11958" spans="1:1" ht="12.75">
      <c r="A11958" s="2" t="s">
        <v>447</v>
      </c>
    </row>
    <row r="11959" spans="1:1" ht="12.75">
      <c r="A11959" s="2" t="s">
        <v>446</v>
      </c>
    </row>
    <row r="11960" spans="1:1" ht="12.75">
      <c r="A11960" s="2" t="s">
        <v>448</v>
      </c>
    </row>
    <row r="11961" spans="1:1" ht="12.75">
      <c r="A11961" s="2" t="s">
        <v>448</v>
      </c>
    </row>
    <row r="11962" spans="1:1" ht="12.75">
      <c r="A11962" s="2" t="s">
        <v>614</v>
      </c>
    </row>
    <row r="11963" spans="1:1" ht="12.75">
      <c r="A11963" s="2" t="s">
        <v>446</v>
      </c>
    </row>
    <row r="11964" spans="1:1" ht="12.75">
      <c r="A11964" s="2" t="s">
        <v>447</v>
      </c>
    </row>
    <row r="11965" spans="1:1" ht="12.75">
      <c r="A11965" s="2" t="s">
        <v>446</v>
      </c>
    </row>
    <row r="11966" spans="1:1" ht="12.75">
      <c r="A11966" s="2" t="s">
        <v>615</v>
      </c>
    </row>
    <row r="11967" spans="1:1" ht="12.75">
      <c r="A11967" s="2" t="s">
        <v>448</v>
      </c>
    </row>
    <row r="11968" spans="1:1" ht="12.75">
      <c r="A11968" s="2" t="s">
        <v>473</v>
      </c>
    </row>
    <row r="11969" spans="1:1" ht="12.75">
      <c r="A11969" s="2" t="s">
        <v>448</v>
      </c>
    </row>
    <row r="11971" spans="1:1" ht="12.75">
      <c r="A11971" s="2" t="s">
        <v>473</v>
      </c>
    </row>
    <row r="11973" spans="1:1" ht="12.75">
      <c r="A11973" s="2" t="s">
        <v>453</v>
      </c>
    </row>
    <row r="11974" spans="1:1" ht="12.75">
      <c r="A11974" s="2" t="s">
        <v>446</v>
      </c>
    </row>
    <row r="11975" spans="1:1" ht="12.75">
      <c r="A11975" s="2" t="s">
        <v>453</v>
      </c>
    </row>
    <row r="11976" spans="1:1" ht="12.75">
      <c r="A11976" s="2" t="s">
        <v>446</v>
      </c>
    </row>
    <row r="11977" spans="1:1" ht="12.75">
      <c r="A11977" s="2" t="s">
        <v>448</v>
      </c>
    </row>
    <row r="11978" spans="1:1" ht="12.75">
      <c r="A11978" s="2" t="s">
        <v>450</v>
      </c>
    </row>
    <row r="11979" spans="1:1" ht="12.75">
      <c r="A11979" s="2" t="s">
        <v>614</v>
      </c>
    </row>
    <row r="11980" spans="1:1" ht="12.75">
      <c r="A11980" s="2" t="s">
        <v>453</v>
      </c>
    </row>
    <row r="11981" spans="1:1" ht="12.75">
      <c r="A11981" s="2" t="s">
        <v>453</v>
      </c>
    </row>
    <row r="11982" spans="1:1" ht="12.75">
      <c r="A11982" s="2" t="s">
        <v>453</v>
      </c>
    </row>
    <row r="11983" spans="1:1" ht="12.75">
      <c r="A11983" s="2" t="s">
        <v>453</v>
      </c>
    </row>
    <row r="11984" spans="1:1" ht="12.75">
      <c r="A11984" s="2" t="s">
        <v>616</v>
      </c>
    </row>
    <row r="11985" spans="1:1" ht="12.75">
      <c r="A11985" s="2" t="s">
        <v>477</v>
      </c>
    </row>
    <row r="11986" spans="1:1" ht="12.75">
      <c r="A11986" s="2" t="s">
        <v>451</v>
      </c>
    </row>
    <row r="11987" spans="1:1" ht="12.75">
      <c r="A11987" s="2" t="s">
        <v>447</v>
      </c>
    </row>
    <row r="11988" spans="1:1" ht="12.75">
      <c r="A11988" s="2" t="s">
        <v>465</v>
      </c>
    </row>
    <row r="11989" spans="1:1" ht="12.75">
      <c r="A11989" s="2" t="s">
        <v>433</v>
      </c>
    </row>
    <row r="11990" spans="1:1" ht="12.75">
      <c r="A11990" s="2" t="s">
        <v>433</v>
      </c>
    </row>
    <row r="11991" spans="1:1" ht="12.75">
      <c r="A11991" s="2" t="s">
        <v>450</v>
      </c>
    </row>
    <row r="11992" spans="1:1" ht="12.75">
      <c r="A11992" s="2" t="s">
        <v>448</v>
      </c>
    </row>
    <row r="11993" spans="1:1" ht="12.75">
      <c r="A11993" s="2" t="s">
        <v>450</v>
      </c>
    </row>
    <row r="11994" spans="1:1" ht="12.75">
      <c r="A11994" s="2" t="s">
        <v>466</v>
      </c>
    </row>
    <row r="11995" spans="1:1" ht="12.75">
      <c r="A11995" s="2" t="s">
        <v>473</v>
      </c>
    </row>
    <row r="11996" spans="1:1" ht="12.75">
      <c r="A11996" s="2" t="s">
        <v>617</v>
      </c>
    </row>
    <row r="11997" spans="1:1" ht="12.75">
      <c r="A11997" s="2" t="s">
        <v>446</v>
      </c>
    </row>
    <row r="11998" spans="1:1" ht="12.75">
      <c r="A11998" s="2" t="s">
        <v>473</v>
      </c>
    </row>
    <row r="11999" spans="1:1" ht="12.75">
      <c r="A11999" s="2" t="s">
        <v>446</v>
      </c>
    </row>
    <row r="12000" spans="1:1" ht="12.75">
      <c r="A12000" s="2" t="s">
        <v>446</v>
      </c>
    </row>
    <row r="12001" spans="1:1" ht="12.75">
      <c r="A12001" s="2" t="s">
        <v>446</v>
      </c>
    </row>
    <row r="12002" spans="1:1" ht="12.75">
      <c r="A12002" s="2" t="s">
        <v>446</v>
      </c>
    </row>
    <row r="12003" spans="1:1" ht="12.75">
      <c r="A12003" s="2" t="s">
        <v>447</v>
      </c>
    </row>
    <row r="12004" spans="1:1" ht="12.75">
      <c r="A12004" s="2" t="s">
        <v>150</v>
      </c>
    </row>
    <row r="12005" spans="1:1" ht="12.75">
      <c r="A12005" s="2" t="s">
        <v>447</v>
      </c>
    </row>
    <row r="12006" spans="1:1" ht="12.75">
      <c r="A12006" s="2" t="s">
        <v>447</v>
      </c>
    </row>
    <row r="12007" spans="1:1" ht="12.75">
      <c r="A12007" s="2" t="s">
        <v>432</v>
      </c>
    </row>
    <row r="12008" spans="1:1" ht="12.75">
      <c r="A12008" s="2" t="s">
        <v>432</v>
      </c>
    </row>
    <row r="12015" spans="1:1" ht="12.75">
      <c r="A12015" s="2" t="s">
        <v>432</v>
      </c>
    </row>
    <row r="12016" spans="1:1" ht="12.75">
      <c r="A12016" s="2" t="s">
        <v>432</v>
      </c>
    </row>
    <row r="12017" spans="1:1" ht="12.75">
      <c r="A12017" s="2" t="s">
        <v>432</v>
      </c>
    </row>
    <row r="12022" spans="1:1" ht="12.75">
      <c r="A12022" s="2" t="s">
        <v>437</v>
      </c>
    </row>
    <row r="12023" spans="1:1" ht="12.75">
      <c r="A12023" s="2" t="s">
        <v>437</v>
      </c>
    </row>
    <row r="12024" spans="1:1" ht="12.75">
      <c r="A12024" s="2" t="s">
        <v>437</v>
      </c>
    </row>
    <row r="12025" spans="1:1" ht="12.75">
      <c r="A12025" s="2" t="s">
        <v>432</v>
      </c>
    </row>
    <row r="12026" spans="1:1" ht="12.75">
      <c r="A12026" s="2" t="s">
        <v>618</v>
      </c>
    </row>
    <row r="12027" spans="1:1" ht="12.75">
      <c r="A12027" s="2" t="s">
        <v>404</v>
      </c>
    </row>
    <row r="12028" spans="1:1" ht="12.75">
      <c r="A12028" s="2" t="s">
        <v>404</v>
      </c>
    </row>
    <row r="12029" spans="1:1" ht="12.75">
      <c r="A12029" s="2" t="s">
        <v>404</v>
      </c>
    </row>
    <row r="12030" spans="1:1" ht="12.75">
      <c r="A12030" s="2" t="s">
        <v>404</v>
      </c>
    </row>
    <row r="12033" spans="1:1" ht="12.75">
      <c r="A12033" s="2" t="s">
        <v>404</v>
      </c>
    </row>
    <row r="12034" spans="1:1" ht="12.75">
      <c r="A12034" s="2" t="s">
        <v>404</v>
      </c>
    </row>
    <row r="12035" spans="1:1" ht="12.75">
      <c r="A12035" s="2" t="s">
        <v>446</v>
      </c>
    </row>
    <row r="12036" spans="1:1" ht="12.75">
      <c r="A12036" s="2" t="s">
        <v>446</v>
      </c>
    </row>
    <row r="12037" spans="1:1" ht="12.75">
      <c r="A12037" s="2" t="s">
        <v>614</v>
      </c>
    </row>
    <row r="12038" spans="1:1" ht="12.75">
      <c r="A12038" s="2" t="s">
        <v>614</v>
      </c>
    </row>
    <row r="12039" spans="1:1" ht="12.75">
      <c r="A12039" s="2" t="s">
        <v>264</v>
      </c>
    </row>
    <row r="12040" spans="1:1" ht="12.75">
      <c r="A12040" s="2" t="s">
        <v>378</v>
      </c>
    </row>
    <row r="12041" spans="1:1" ht="12.75">
      <c r="A12041" s="2" t="s">
        <v>261</v>
      </c>
    </row>
    <row r="12042" spans="1:1" ht="12.75">
      <c r="A12042" s="2" t="s">
        <v>261</v>
      </c>
    </row>
    <row r="12043" spans="1:1" ht="12.75">
      <c r="A12043" s="2" t="s">
        <v>261</v>
      </c>
    </row>
    <row r="12044" spans="1:1" ht="12.75">
      <c r="A12044" s="2" t="s">
        <v>261</v>
      </c>
    </row>
    <row r="12045" spans="1:1" ht="12.75">
      <c r="A12045" s="2" t="s">
        <v>261</v>
      </c>
    </row>
    <row r="12046" spans="1:1" ht="12.75">
      <c r="A12046" s="2" t="s">
        <v>261</v>
      </c>
    </row>
    <row r="12047" spans="1:1" ht="12.75">
      <c r="A12047" s="2" t="s">
        <v>261</v>
      </c>
    </row>
    <row r="12048" spans="1:1" ht="12.75">
      <c r="A12048" s="2" t="s">
        <v>261</v>
      </c>
    </row>
    <row r="12049" spans="1:1" ht="12.75">
      <c r="A12049" s="2" t="s">
        <v>432</v>
      </c>
    </row>
    <row r="12050" spans="1:1" ht="12.75">
      <c r="A12050" s="2" t="s">
        <v>432</v>
      </c>
    </row>
    <row r="12051" spans="1:1" ht="12.75">
      <c r="A12051" s="2" t="s">
        <v>404</v>
      </c>
    </row>
    <row r="12052" spans="1:1" ht="12.75">
      <c r="A12052" s="2" t="s">
        <v>404</v>
      </c>
    </row>
    <row r="12053" spans="1:1" ht="12.75">
      <c r="A12053" s="2" t="s">
        <v>477</v>
      </c>
    </row>
    <row r="12054" spans="1:1" ht="12.75">
      <c r="A12054" s="2" t="s">
        <v>619</v>
      </c>
    </row>
    <row r="12055" spans="1:1" ht="12.75">
      <c r="A12055" s="2" t="s">
        <v>620</v>
      </c>
    </row>
    <row r="12056" spans="1:1" ht="12.75">
      <c r="A12056" s="2" t="s">
        <v>620</v>
      </c>
    </row>
    <row r="12057" spans="1:1" ht="12.75">
      <c r="A12057" s="2" t="s">
        <v>620</v>
      </c>
    </row>
    <row r="12058" spans="1:1" ht="12.75">
      <c r="A12058" s="2" t="s">
        <v>621</v>
      </c>
    </row>
    <row r="12059" spans="1:1" ht="12.75">
      <c r="A12059" s="2" t="s">
        <v>437</v>
      </c>
    </row>
    <row r="12060" spans="1:1" ht="12.75">
      <c r="A12060" s="2" t="s">
        <v>437</v>
      </c>
    </row>
    <row r="12061" spans="1:1" ht="12.75">
      <c r="A12061" s="2" t="s">
        <v>437</v>
      </c>
    </row>
    <row r="12062" spans="1:1" ht="12.75">
      <c r="A12062" s="2" t="s">
        <v>437</v>
      </c>
    </row>
    <row r="12063" spans="1:1" ht="12.75">
      <c r="A12063" s="2" t="s">
        <v>437</v>
      </c>
    </row>
    <row r="12064" spans="1:1" ht="12.75">
      <c r="A12064" s="2" t="s">
        <v>437</v>
      </c>
    </row>
    <row r="12067" spans="1:1" ht="12.75">
      <c r="A12067" s="2" t="s">
        <v>622</v>
      </c>
    </row>
    <row r="12068" spans="1:1" ht="12.75">
      <c r="A12068" s="2" t="s">
        <v>432</v>
      </c>
    </row>
    <row r="12069" spans="1:1" ht="12.75">
      <c r="A12069" s="2" t="s">
        <v>622</v>
      </c>
    </row>
    <row r="12070" spans="1:1" ht="12.75">
      <c r="A12070" s="2" t="s">
        <v>432</v>
      </c>
    </row>
    <row r="12071" spans="1:1" ht="12.75">
      <c r="A12071" s="2" t="s">
        <v>618</v>
      </c>
    </row>
    <row r="12072" spans="1:1" ht="12.75">
      <c r="A12072" s="2" t="s">
        <v>623</v>
      </c>
    </row>
    <row r="12075" spans="1:1" ht="12.75">
      <c r="A12075" s="2" t="s">
        <v>452</v>
      </c>
    </row>
    <row r="12076" spans="1:1" ht="12.75">
      <c r="A12076" s="2" t="s">
        <v>452</v>
      </c>
    </row>
    <row r="12077" spans="1:1" ht="12.75">
      <c r="A12077" s="2" t="s">
        <v>404</v>
      </c>
    </row>
    <row r="12078" spans="1:1" ht="12.75">
      <c r="A12078" s="2" t="s">
        <v>404</v>
      </c>
    </row>
    <row r="12079" spans="1:1" ht="12.75">
      <c r="A12079" s="2" t="s">
        <v>477</v>
      </c>
    </row>
    <row r="12080" spans="1:1" ht="12.75">
      <c r="A12080" s="2" t="s">
        <v>477</v>
      </c>
    </row>
    <row r="12081" spans="1:1" ht="12.75">
      <c r="A12081" s="2" t="s">
        <v>477</v>
      </c>
    </row>
    <row r="12082" spans="1:1" ht="12.75">
      <c r="A12082" s="2" t="s">
        <v>477</v>
      </c>
    </row>
    <row r="12083" spans="1:1" ht="12.75">
      <c r="A12083" s="2" t="s">
        <v>432</v>
      </c>
    </row>
    <row r="12084" spans="1:1" ht="12.75">
      <c r="A12084" s="2" t="s">
        <v>432</v>
      </c>
    </row>
    <row r="12085" spans="1:1" ht="12.75">
      <c r="A12085" s="2" t="s">
        <v>432</v>
      </c>
    </row>
    <row r="12086" spans="1:1" ht="12.75">
      <c r="A12086" s="2" t="s">
        <v>432</v>
      </c>
    </row>
    <row r="12087" spans="1:1" ht="12.75">
      <c r="A12087" s="2" t="s">
        <v>432</v>
      </c>
    </row>
    <row r="12088" spans="1:1" ht="12.75">
      <c r="A12088" s="2" t="s">
        <v>432</v>
      </c>
    </row>
    <row r="12089" spans="1:1" ht="12.75">
      <c r="A12089" s="2" t="s">
        <v>433</v>
      </c>
    </row>
    <row r="12090" spans="1:1" ht="12.75">
      <c r="A12090" s="2" t="s">
        <v>433</v>
      </c>
    </row>
    <row r="12091" spans="1:1" ht="12.75">
      <c r="A12091" s="2" t="s">
        <v>433</v>
      </c>
    </row>
    <row r="12092" spans="1:1" ht="12.75">
      <c r="A12092" s="2" t="s">
        <v>433</v>
      </c>
    </row>
    <row r="12093" spans="1:1" ht="12.75">
      <c r="A12093" s="2" t="s">
        <v>434</v>
      </c>
    </row>
    <row r="12096" spans="1:1" ht="12.75">
      <c r="A12096" s="2" t="s">
        <v>437</v>
      </c>
    </row>
    <row r="12098" spans="1:1" ht="12.75">
      <c r="A12098" s="2" t="s">
        <v>437</v>
      </c>
    </row>
    <row r="12100" spans="1:1" ht="12.75">
      <c r="A12100" s="2" t="s">
        <v>437</v>
      </c>
    </row>
    <row r="12101" spans="1:1" ht="12.75">
      <c r="A12101" s="2" t="s">
        <v>452</v>
      </c>
    </row>
    <row r="12102" spans="1:1" ht="12.75">
      <c r="A12102" s="2" t="s">
        <v>452</v>
      </c>
    </row>
    <row r="12103" spans="1:1" ht="12.75">
      <c r="A12103" s="2" t="s">
        <v>452</v>
      </c>
    </row>
    <row r="12104" spans="1:1" ht="12.75">
      <c r="A12104" s="2" t="s">
        <v>452</v>
      </c>
    </row>
    <row r="12105" spans="1:1" ht="12.75">
      <c r="A12105" s="2" t="s">
        <v>477</v>
      </c>
    </row>
    <row r="12106" spans="1:1" ht="12.75">
      <c r="A12106" s="2" t="s">
        <v>477</v>
      </c>
    </row>
    <row r="12107" spans="1:1" ht="12.75">
      <c r="A12107" s="2" t="s">
        <v>477</v>
      </c>
    </row>
    <row r="12108" spans="1:1" ht="12.75">
      <c r="A12108" s="2" t="s">
        <v>477</v>
      </c>
    </row>
    <row r="12209" spans="1:1" ht="12.75">
      <c r="A12209" s="2" t="s">
        <v>274</v>
      </c>
    </row>
    <row r="12219" spans="1:1" ht="12.75">
      <c r="A12219" s="2" t="s">
        <v>358</v>
      </c>
    </row>
    <row r="12220" spans="1:1" ht="12.75">
      <c r="A12220" s="2" t="s">
        <v>358</v>
      </c>
    </row>
    <row r="12221" spans="1:1" ht="12.75">
      <c r="A12221" s="2" t="s">
        <v>358</v>
      </c>
    </row>
    <row r="12222" spans="1:1" ht="12.75">
      <c r="A12222" s="2" t="s">
        <v>358</v>
      </c>
    </row>
    <row r="12223" spans="1:1" ht="12.75">
      <c r="A12223" s="2" t="s">
        <v>358</v>
      </c>
    </row>
    <row r="12224" spans="1:1" ht="12.75">
      <c r="A12224" s="2" t="s">
        <v>358</v>
      </c>
    </row>
    <row r="12225" spans="1:1" ht="12.75">
      <c r="A12225" s="2" t="s">
        <v>358</v>
      </c>
    </row>
    <row r="12226" spans="1:1" ht="12.75">
      <c r="A12226" s="2" t="s">
        <v>358</v>
      </c>
    </row>
    <row r="12227" spans="1:1" ht="12.75">
      <c r="A12227" s="2" t="s">
        <v>358</v>
      </c>
    </row>
    <row r="12228" spans="1:1" ht="12.75">
      <c r="A12228" s="2" t="s">
        <v>358</v>
      </c>
    </row>
    <row r="12229" spans="1:1" ht="12.75">
      <c r="A12229" s="2" t="s">
        <v>358</v>
      </c>
    </row>
    <row r="12231" spans="1:1" ht="12.75">
      <c r="A12231" s="2" t="s">
        <v>359</v>
      </c>
    </row>
    <row r="12232" spans="1:1" ht="12.75">
      <c r="A12232" s="2" t="s">
        <v>359</v>
      </c>
    </row>
    <row r="12233" spans="1:1" ht="12.75">
      <c r="A12233" s="2" t="s">
        <v>358</v>
      </c>
    </row>
    <row r="12234" spans="1:1" ht="12.75">
      <c r="A12234" s="2" t="s">
        <v>359</v>
      </c>
    </row>
    <row r="12235" spans="1:1" ht="12.75">
      <c r="A12235" s="2" t="s">
        <v>359</v>
      </c>
    </row>
    <row r="12236" spans="1:1" ht="12.75">
      <c r="A12236" s="2" t="s">
        <v>359</v>
      </c>
    </row>
    <row r="12237" spans="1:1" ht="12.75">
      <c r="A12237" s="2" t="s">
        <v>359</v>
      </c>
    </row>
    <row r="12238" spans="1:1" ht="12.75">
      <c r="A12238" s="2" t="s">
        <v>359</v>
      </c>
    </row>
    <row r="12249" spans="1:1" ht="12.75">
      <c r="A12249" s="2" t="s">
        <v>358</v>
      </c>
    </row>
    <row r="12250" spans="1:1" ht="12.75">
      <c r="A12250" s="2" t="s">
        <v>358</v>
      </c>
    </row>
    <row r="12251" spans="1:1" ht="12.75">
      <c r="A12251" s="2" t="s">
        <v>358</v>
      </c>
    </row>
    <row r="12252" spans="1:1" ht="12.75">
      <c r="A12252" s="2" t="s">
        <v>358</v>
      </c>
    </row>
    <row r="12253" spans="1:1" ht="12.75">
      <c r="A12253" s="2" t="s">
        <v>358</v>
      </c>
    </row>
    <row r="12254" spans="1:1" ht="12.75">
      <c r="A12254" s="2" t="s">
        <v>358</v>
      </c>
    </row>
    <row r="12255" spans="1:1" ht="12.75">
      <c r="A12255" s="2" t="s">
        <v>359</v>
      </c>
    </row>
    <row r="12256" spans="1:1" ht="12.75">
      <c r="A12256" s="2" t="s">
        <v>359</v>
      </c>
    </row>
    <row r="12257" spans="1:1" ht="12.75">
      <c r="A12257" s="2" t="s">
        <v>359</v>
      </c>
    </row>
    <row r="12258" spans="1:1" ht="12.75">
      <c r="A12258" s="2" t="s">
        <v>359</v>
      </c>
    </row>
    <row r="12259" spans="1:1" ht="12.75">
      <c r="A12259" s="2" t="s">
        <v>359</v>
      </c>
    </row>
    <row r="12260" spans="1:1" ht="12.75">
      <c r="A12260" s="2" t="s">
        <v>359</v>
      </c>
    </row>
    <row r="12261" spans="1:1" ht="12.75">
      <c r="A12261" s="2" t="s">
        <v>359</v>
      </c>
    </row>
    <row r="12262" spans="1:1" ht="12.75">
      <c r="A12262" s="2" t="s">
        <v>359</v>
      </c>
    </row>
    <row r="12263" spans="1:1" ht="12.75">
      <c r="A12263" s="2" t="s">
        <v>358</v>
      </c>
    </row>
    <row r="12264" spans="1:1" ht="12.75">
      <c r="A12264" s="2" t="s">
        <v>358</v>
      </c>
    </row>
    <row r="12265" spans="1:1" ht="12.75">
      <c r="A12265" s="2" t="s">
        <v>358</v>
      </c>
    </row>
    <row r="12266" spans="1:1" ht="12.75">
      <c r="A12266" s="2" t="s">
        <v>358</v>
      </c>
    </row>
    <row r="12267" spans="1:1" ht="12.75">
      <c r="A12267" s="2" t="s">
        <v>624</v>
      </c>
    </row>
    <row r="12268" spans="1:1" ht="12.75">
      <c r="A12268" s="2" t="s">
        <v>625</v>
      </c>
    </row>
    <row r="12269" spans="1:1" ht="12.75">
      <c r="A12269" s="2" t="s">
        <v>274</v>
      </c>
    </row>
    <row r="12276" spans="1:1" ht="12.75">
      <c r="A12276" s="2" t="s">
        <v>274</v>
      </c>
    </row>
    <row r="12278" spans="1:1" ht="12.75">
      <c r="A12278" s="2" t="s">
        <v>274</v>
      </c>
    </row>
    <row r="12279" spans="1:1" ht="12.75">
      <c r="A12279" s="2" t="s">
        <v>274</v>
      </c>
    </row>
    <row r="12280" spans="1:1" ht="12.75">
      <c r="A12280" s="2" t="s">
        <v>274</v>
      </c>
    </row>
    <row r="12282" spans="1:1" ht="12.75">
      <c r="A12282" s="2" t="s">
        <v>274</v>
      </c>
    </row>
    <row r="12283" spans="1:1" ht="12.75">
      <c r="A12283" s="2" t="s">
        <v>274</v>
      </c>
    </row>
    <row r="12284" spans="1:1" ht="12.75">
      <c r="A12284" s="2" t="s">
        <v>274</v>
      </c>
    </row>
    <row r="12285" spans="1:1" ht="12.75">
      <c r="A12285" s="2" t="s">
        <v>274</v>
      </c>
    </row>
    <row r="12286" spans="1:1" ht="12.75">
      <c r="A12286" s="2" t="s">
        <v>274</v>
      </c>
    </row>
    <row r="12287" spans="1:1" ht="12.75">
      <c r="A12287" s="2" t="s">
        <v>274</v>
      </c>
    </row>
    <row r="12288" spans="1:1" ht="12.75">
      <c r="A12288" s="2" t="s">
        <v>274</v>
      </c>
    </row>
    <row r="12289" spans="1:1" ht="12.75">
      <c r="A12289" s="2" t="s">
        <v>274</v>
      </c>
    </row>
    <row r="12290" spans="1:1" ht="12.75">
      <c r="A12290" s="2" t="s">
        <v>274</v>
      </c>
    </row>
    <row r="12291" spans="1:1" ht="12.75">
      <c r="A12291" s="2" t="s">
        <v>274</v>
      </c>
    </row>
    <row r="12292" spans="1:1" ht="12.75">
      <c r="A12292" s="2" t="s">
        <v>275</v>
      </c>
    </row>
    <row r="12293" spans="1:1" ht="12.75">
      <c r="A12293" s="2" t="s">
        <v>274</v>
      </c>
    </row>
    <row r="12294" spans="1:1" ht="12.75">
      <c r="A12294" s="2" t="s">
        <v>335</v>
      </c>
    </row>
    <row r="12295" spans="1:1" ht="12.75">
      <c r="A12295" s="2" t="s">
        <v>335</v>
      </c>
    </row>
    <row r="12296" spans="1:1" ht="12.75">
      <c r="A12296" s="2" t="s">
        <v>335</v>
      </c>
    </row>
    <row r="12297" spans="1:1" ht="12.75">
      <c r="A12297" s="2" t="s">
        <v>335</v>
      </c>
    </row>
    <row r="12298" spans="1:1" ht="12.75">
      <c r="A12298" s="2" t="s">
        <v>335</v>
      </c>
    </row>
    <row r="12299" spans="1:1" ht="12.75">
      <c r="A12299" s="2" t="s">
        <v>335</v>
      </c>
    </row>
    <row r="12300" spans="1:1" ht="12.75">
      <c r="A12300" s="2" t="s">
        <v>335</v>
      </c>
    </row>
    <row r="12301" spans="1:1" ht="12.75">
      <c r="A12301" s="2" t="s">
        <v>335</v>
      </c>
    </row>
    <row r="12303" spans="1:1" ht="12.75">
      <c r="A12303" s="2" t="s">
        <v>335</v>
      </c>
    </row>
    <row r="12304" spans="1:1" ht="12.75">
      <c r="A12304" s="2" t="s">
        <v>240</v>
      </c>
    </row>
    <row r="12310" spans="1:1" ht="12.75">
      <c r="A12310" s="2" t="s">
        <v>626</v>
      </c>
    </row>
    <row r="12321" spans="1:1" ht="12.75">
      <c r="A12321" s="2" t="s">
        <v>151</v>
      </c>
    </row>
    <row r="12322" spans="1:1" ht="12.75">
      <c r="A12322" s="2" t="s">
        <v>151</v>
      </c>
    </row>
    <row r="12331" spans="1:1" ht="12.75">
      <c r="A12331" s="2" t="s">
        <v>222</v>
      </c>
    </row>
    <row r="12332" spans="1:1" ht="12.75">
      <c r="A12332" s="2" t="s">
        <v>222</v>
      </c>
    </row>
    <row r="12333" spans="1:1" ht="12.75">
      <c r="A12333" s="2" t="s">
        <v>222</v>
      </c>
    </row>
    <row r="12334" spans="1:1" ht="12.75">
      <c r="A12334" s="2" t="s">
        <v>222</v>
      </c>
    </row>
    <row r="12335" spans="1:1" ht="12.75">
      <c r="A12335" s="2" t="s">
        <v>222</v>
      </c>
    </row>
    <row r="12336" spans="1:1" ht="12.75">
      <c r="A12336" s="2" t="s">
        <v>222</v>
      </c>
    </row>
    <row r="12337" spans="1:1" ht="12.75">
      <c r="A12337" s="2" t="s">
        <v>222</v>
      </c>
    </row>
    <row r="12338" spans="1:1" ht="12.75">
      <c r="A12338" s="2" t="s">
        <v>222</v>
      </c>
    </row>
    <row r="12339" spans="1:1" ht="12.75">
      <c r="A12339" s="2" t="s">
        <v>222</v>
      </c>
    </row>
    <row r="12340" spans="1:1" ht="12.75">
      <c r="A12340" s="2" t="s">
        <v>222</v>
      </c>
    </row>
    <row r="12341" spans="1:1" ht="12.75">
      <c r="A12341" s="2" t="s">
        <v>222</v>
      </c>
    </row>
    <row r="12342" spans="1:1" ht="12.75">
      <c r="A12342" s="2" t="s">
        <v>222</v>
      </c>
    </row>
    <row r="12343" spans="1:1" ht="12.75">
      <c r="A12343" s="2" t="s">
        <v>222</v>
      </c>
    </row>
    <row r="12344" spans="1:1" ht="12.75">
      <c r="A12344" s="2" t="s">
        <v>222</v>
      </c>
    </row>
    <row r="12345" spans="1:1" ht="12.75">
      <c r="A12345" s="2" t="s">
        <v>222</v>
      </c>
    </row>
    <row r="12346" spans="1:1" ht="12.75">
      <c r="A12346" s="2" t="s">
        <v>222</v>
      </c>
    </row>
    <row r="12347" spans="1:1" ht="12.75">
      <c r="A12347" s="2" t="s">
        <v>222</v>
      </c>
    </row>
    <row r="12348" spans="1:1" ht="12.75">
      <c r="A12348" s="2" t="s">
        <v>222</v>
      </c>
    </row>
    <row r="12357" spans="1:1" ht="12.75">
      <c r="A12357" s="2" t="s">
        <v>222</v>
      </c>
    </row>
    <row r="12358" spans="1:1" ht="12.75">
      <c r="A12358" s="2" t="s">
        <v>222</v>
      </c>
    </row>
    <row r="12359" spans="1:1" ht="12.75">
      <c r="A12359" s="2" t="s">
        <v>222</v>
      </c>
    </row>
    <row r="12360" spans="1:1" ht="12.75">
      <c r="A12360" s="2" t="s">
        <v>222</v>
      </c>
    </row>
    <row r="12361" spans="1:1" ht="12.75">
      <c r="A12361" s="2" t="s">
        <v>222</v>
      </c>
    </row>
    <row r="12362" spans="1:1" ht="12.75">
      <c r="A12362" s="2" t="s">
        <v>222</v>
      </c>
    </row>
    <row r="12363" spans="1:1" ht="12.75">
      <c r="A12363" s="2" t="s">
        <v>222</v>
      </c>
    </row>
    <row r="12364" spans="1:1" ht="12.75">
      <c r="A12364" s="2" t="s">
        <v>222</v>
      </c>
    </row>
    <row r="12365" spans="1:1" ht="12.75">
      <c r="A12365" s="2" t="s">
        <v>222</v>
      </c>
    </row>
    <row r="12366" spans="1:1" ht="12.75">
      <c r="A12366" s="2" t="s">
        <v>222</v>
      </c>
    </row>
    <row r="12367" spans="1:1" ht="12.75">
      <c r="A12367" s="2" t="s">
        <v>222</v>
      </c>
    </row>
    <row r="12368" spans="1:1" ht="12.75">
      <c r="A12368" s="2" t="s">
        <v>222</v>
      </c>
    </row>
    <row r="12369" spans="1:1" ht="12.75">
      <c r="A12369" s="2" t="s">
        <v>222</v>
      </c>
    </row>
    <row r="12370" spans="1:1" ht="12.75">
      <c r="A12370" s="2" t="s">
        <v>222</v>
      </c>
    </row>
    <row r="12371" spans="1:1" ht="12.75">
      <c r="A12371" s="2" t="s">
        <v>222</v>
      </c>
    </row>
    <row r="12372" spans="1:1" ht="12.75">
      <c r="A12372" s="2" t="s">
        <v>222</v>
      </c>
    </row>
    <row r="12373" spans="1:1" ht="12.75">
      <c r="A12373" s="2" t="s">
        <v>222</v>
      </c>
    </row>
    <row r="12374" spans="1:1" ht="12.75">
      <c r="A12374" s="2" t="s">
        <v>222</v>
      </c>
    </row>
    <row r="12375" spans="1:1" ht="12.75">
      <c r="A12375" s="2" t="s">
        <v>222</v>
      </c>
    </row>
    <row r="12376" spans="1:1" ht="12.75">
      <c r="A12376" s="2" t="s">
        <v>222</v>
      </c>
    </row>
    <row r="12377" spans="1:1" ht="12.75">
      <c r="A12377" s="2" t="s">
        <v>222</v>
      </c>
    </row>
    <row r="12378" spans="1:1" ht="12.75">
      <c r="A12378" s="2" t="s">
        <v>222</v>
      </c>
    </row>
    <row r="12379" spans="1:1" ht="12.75">
      <c r="A12379" s="2" t="s">
        <v>222</v>
      </c>
    </row>
    <row r="12380" spans="1:1" ht="12.75">
      <c r="A12380" s="2" t="s">
        <v>222</v>
      </c>
    </row>
    <row r="12381" spans="1:1" ht="12.75">
      <c r="A12381" s="2">
        <v>8304</v>
      </c>
    </row>
    <row r="12382" spans="1:1" ht="12.75">
      <c r="A12382" s="2" t="s">
        <v>222</v>
      </c>
    </row>
    <row r="12473" spans="1:1" ht="12.75">
      <c r="A12473" s="2" t="s">
        <v>452</v>
      </c>
    </row>
    <row r="12474" spans="1:1" ht="12.75">
      <c r="A12474" s="2" t="s">
        <v>452</v>
      </c>
    </row>
    <row r="12475" spans="1:1" ht="12.75">
      <c r="A12475" s="2" t="s">
        <v>452</v>
      </c>
    </row>
    <row r="12476" spans="1:1" ht="12.75">
      <c r="A12476" s="2" t="s">
        <v>452</v>
      </c>
    </row>
    <row r="12477" spans="1:1" ht="12.75">
      <c r="A12477" s="2" t="s">
        <v>404</v>
      </c>
    </row>
    <row r="12478" spans="1:1" ht="12.75">
      <c r="A12478" s="2" t="s">
        <v>404</v>
      </c>
    </row>
    <row r="12479" spans="1:1" ht="12.75">
      <c r="A12479" s="2" t="s">
        <v>193</v>
      </c>
    </row>
    <row r="12480" spans="1:1" ht="12.75">
      <c r="A12480" s="2" t="s">
        <v>404</v>
      </c>
    </row>
    <row r="12481" spans="1:1" ht="12.75">
      <c r="A12481" s="2" t="s">
        <v>404</v>
      </c>
    </row>
    <row r="12482" spans="1:1" ht="12.75">
      <c r="A12482" s="2" t="s">
        <v>404</v>
      </c>
    </row>
    <row r="12483" spans="1:1" ht="12.75">
      <c r="A12483" s="2" t="s">
        <v>404</v>
      </c>
    </row>
    <row r="12484" spans="1:1" ht="12.75">
      <c r="A12484" s="2" t="s">
        <v>404</v>
      </c>
    </row>
    <row r="12485" spans="1:1" ht="12.75">
      <c r="A12485" s="2" t="s">
        <v>620</v>
      </c>
    </row>
    <row r="12486" spans="1:1" ht="12.75">
      <c r="A12486" s="2" t="s">
        <v>620</v>
      </c>
    </row>
    <row r="12487" spans="1:1" ht="12.75">
      <c r="A12487" s="2" t="s">
        <v>477</v>
      </c>
    </row>
    <row r="12488" spans="1:1" ht="12.75">
      <c r="A12488" s="2" t="s">
        <v>477</v>
      </c>
    </row>
    <row r="12489" spans="1:1" ht="12.75">
      <c r="A12489" s="2" t="s">
        <v>477</v>
      </c>
    </row>
    <row r="12490" spans="1:1" ht="12.75">
      <c r="A12490" s="2" t="s">
        <v>477</v>
      </c>
    </row>
    <row r="12491" spans="1:1" ht="12.75">
      <c r="A12491" s="2" t="s">
        <v>432</v>
      </c>
    </row>
    <row r="12492" spans="1:1" ht="12.75">
      <c r="A12492" s="2" t="s">
        <v>432</v>
      </c>
    </row>
    <row r="12494" spans="1:1" ht="12.75">
      <c r="A12494" s="2" t="s">
        <v>432</v>
      </c>
    </row>
    <row r="12495" spans="1:1" ht="12.75">
      <c r="A12495" s="2" t="s">
        <v>432</v>
      </c>
    </row>
    <row r="12496" spans="1:1" ht="12.75">
      <c r="A12496" s="2" t="s">
        <v>432</v>
      </c>
    </row>
    <row r="12497" spans="1:1" ht="12.75">
      <c r="A12497" s="2" t="s">
        <v>620</v>
      </c>
    </row>
    <row r="12498" spans="1:1" ht="12.75">
      <c r="A12498" s="2" t="s">
        <v>620</v>
      </c>
    </row>
    <row r="12501" spans="1:1" ht="12.75">
      <c r="A12501" s="2" t="s">
        <v>477</v>
      </c>
    </row>
    <row r="12502" spans="1:1" ht="12.75">
      <c r="A12502" s="2" t="s">
        <v>477</v>
      </c>
    </row>
    <row r="12503" spans="1:1" ht="12.75">
      <c r="A12503" s="2" t="s">
        <v>446</v>
      </c>
    </row>
    <row r="12504" spans="1:1" ht="12.75">
      <c r="A12504" s="2" t="s">
        <v>627</v>
      </c>
    </row>
    <row r="12505" spans="1:1" ht="12.75">
      <c r="A12505" s="2" t="s">
        <v>448</v>
      </c>
    </row>
    <row r="12506" spans="1:1" ht="12.75">
      <c r="A12506" s="2" t="s">
        <v>448</v>
      </c>
    </row>
    <row r="12507" spans="1:1" ht="12.75">
      <c r="A12507" s="2" t="s">
        <v>448</v>
      </c>
    </row>
    <row r="12508" spans="1:1" ht="12.75">
      <c r="A12508" s="2" t="s">
        <v>628</v>
      </c>
    </row>
    <row r="12509" spans="1:1" ht="12.75">
      <c r="A12509" s="2" t="s">
        <v>628</v>
      </c>
    </row>
    <row r="12510" spans="1:1" ht="12.75">
      <c r="A12510" s="2" t="s">
        <v>555</v>
      </c>
    </row>
    <row r="12511" spans="1:1" ht="12.75">
      <c r="A12511" s="2" t="s">
        <v>446</v>
      </c>
    </row>
    <row r="12512" spans="1:1" ht="12.75">
      <c r="A12512" s="2" t="s">
        <v>446</v>
      </c>
    </row>
    <row r="12513" spans="1:1" ht="12.75">
      <c r="A12513" s="2" t="s">
        <v>446</v>
      </c>
    </row>
    <row r="12514" spans="1:1" ht="12.75">
      <c r="A12514" s="2" t="s">
        <v>446</v>
      </c>
    </row>
    <row r="12515" spans="1:1" ht="12.75">
      <c r="A12515" s="2" t="s">
        <v>446</v>
      </c>
    </row>
    <row r="12516" spans="1:1" ht="12.75">
      <c r="A12516" s="2" t="s">
        <v>447</v>
      </c>
    </row>
    <row r="12517" spans="1:1" ht="12.75">
      <c r="A12517" s="2" t="s">
        <v>447</v>
      </c>
    </row>
    <row r="12518" spans="1:1" ht="12.75">
      <c r="A12518" s="2" t="s">
        <v>447</v>
      </c>
    </row>
    <row r="12519" spans="1:1" ht="12.75">
      <c r="A12519" s="2" t="s">
        <v>447</v>
      </c>
    </row>
    <row r="12520" spans="1:1" ht="12.75">
      <c r="A12520" s="2" t="s">
        <v>447</v>
      </c>
    </row>
    <row r="12521" spans="1:1" ht="12.75">
      <c r="A12521" s="2" t="s">
        <v>448</v>
      </c>
    </row>
    <row r="12522" spans="1:1" ht="12.75">
      <c r="A12522" s="2" t="s">
        <v>448</v>
      </c>
    </row>
    <row r="12523" spans="1:1" ht="12.75">
      <c r="A12523" s="2" t="s">
        <v>451</v>
      </c>
    </row>
    <row r="12524" spans="1:1" ht="12.75">
      <c r="A12524" s="2" t="s">
        <v>451</v>
      </c>
    </row>
    <row r="12525" spans="1:1" ht="12.75">
      <c r="A12525" s="2" t="s">
        <v>453</v>
      </c>
    </row>
    <row r="12526" spans="1:1" ht="12.75">
      <c r="A12526" s="2" t="s">
        <v>453</v>
      </c>
    </row>
    <row r="12527" spans="1:1" ht="12.75">
      <c r="A12527" s="2" t="s">
        <v>453</v>
      </c>
    </row>
    <row r="12528" spans="1:1" ht="12.75">
      <c r="A12528" s="2" t="s">
        <v>453</v>
      </c>
    </row>
    <row r="12529" spans="1:1" ht="12.75">
      <c r="A12529" s="2" t="s">
        <v>453</v>
      </c>
    </row>
    <row r="12530" spans="1:1" ht="12.75">
      <c r="A12530" s="2" t="s">
        <v>473</v>
      </c>
    </row>
    <row r="12531" spans="1:1" ht="12.75">
      <c r="A12531" s="2" t="s">
        <v>473</v>
      </c>
    </row>
    <row r="12532" spans="1:1" ht="12.75">
      <c r="A12532" s="2" t="s">
        <v>473</v>
      </c>
    </row>
    <row r="12533" spans="1:1" ht="12.75">
      <c r="A12533" s="2" t="s">
        <v>573</v>
      </c>
    </row>
    <row r="12534" spans="1:1" ht="12.75">
      <c r="A12534" s="2" t="s">
        <v>629</v>
      </c>
    </row>
    <row r="12535" spans="1:1" ht="12.75">
      <c r="A12535" s="2" t="s">
        <v>573</v>
      </c>
    </row>
    <row r="12536" spans="1:1" ht="12.75">
      <c r="A12536" s="2" t="s">
        <v>573</v>
      </c>
    </row>
    <row r="12537" spans="1:1" ht="12.75">
      <c r="A12537" s="2" t="s">
        <v>629</v>
      </c>
    </row>
    <row r="12538" spans="1:1" ht="12.75">
      <c r="A12538" s="2" t="s">
        <v>630</v>
      </c>
    </row>
    <row r="12539" spans="1:1" ht="12.75">
      <c r="A12539" s="2" t="s">
        <v>573</v>
      </c>
    </row>
    <row r="12540" spans="1:1" ht="12.75">
      <c r="A12540" s="2" t="s">
        <v>629</v>
      </c>
    </row>
    <row r="12541" spans="1:1" ht="12.75">
      <c r="A12541" s="2" t="s">
        <v>573</v>
      </c>
    </row>
    <row r="12542" spans="1:1" ht="12.75">
      <c r="A12542" s="2" t="s">
        <v>573</v>
      </c>
    </row>
    <row r="12543" spans="1:1" ht="12.75">
      <c r="A12543" s="2" t="s">
        <v>629</v>
      </c>
    </row>
    <row r="12544" spans="1:1" ht="12.75">
      <c r="A12544" s="2" t="s">
        <v>573</v>
      </c>
    </row>
    <row r="12545" spans="1:1" ht="12.75">
      <c r="A12545" s="2" t="s">
        <v>629</v>
      </c>
    </row>
    <row r="12546" spans="1:1" ht="12.75">
      <c r="A12546" s="2" t="s">
        <v>629</v>
      </c>
    </row>
    <row r="12547" spans="1:1" ht="12.75">
      <c r="A12547" s="2" t="s">
        <v>629</v>
      </c>
    </row>
    <row r="12548" spans="1:1" ht="12.75">
      <c r="A12548" s="2" t="s">
        <v>629</v>
      </c>
    </row>
    <row r="12549" spans="1:1" ht="12.75">
      <c r="A12549" s="2" t="s">
        <v>573</v>
      </c>
    </row>
    <row r="12550" spans="1:1" ht="12.75">
      <c r="A12550" s="2" t="s">
        <v>629</v>
      </c>
    </row>
    <row r="12551" spans="1:1" ht="12.75">
      <c r="A12551" s="2" t="s">
        <v>573</v>
      </c>
    </row>
    <row r="12552" spans="1:1" ht="12.75">
      <c r="A12552" s="2" t="s">
        <v>573</v>
      </c>
    </row>
    <row r="12553" spans="1:1" ht="12.75">
      <c r="A12553" s="2" t="s">
        <v>573</v>
      </c>
    </row>
    <row r="12554" spans="1:1" ht="12.75">
      <c r="A12554" s="2" t="s">
        <v>573</v>
      </c>
    </row>
    <row r="12555" spans="1:1" ht="12.75">
      <c r="A12555" s="2" t="s">
        <v>629</v>
      </c>
    </row>
    <row r="12556" spans="1:1" ht="12.75">
      <c r="A12556" s="2" t="s">
        <v>629</v>
      </c>
    </row>
    <row r="12557" spans="1:1" ht="12.75">
      <c r="A12557" s="2" t="s">
        <v>631</v>
      </c>
    </row>
    <row r="12558" spans="1:1" ht="12.75">
      <c r="A12558" s="2" t="s">
        <v>446</v>
      </c>
    </row>
    <row r="12559" spans="1:1" ht="12.75">
      <c r="A12559" s="2" t="s">
        <v>446</v>
      </c>
    </row>
    <row r="12560" spans="1:1" ht="12.75">
      <c r="A12560" s="2" t="s">
        <v>446</v>
      </c>
    </row>
    <row r="12561" spans="1:1" ht="12.75">
      <c r="A12561" s="2" t="s">
        <v>446</v>
      </c>
    </row>
    <row r="12562" spans="1:1" ht="12.75">
      <c r="A12562" s="2" t="s">
        <v>448</v>
      </c>
    </row>
    <row r="12563" spans="1:1" ht="12.75">
      <c r="A12563" s="2" t="s">
        <v>448</v>
      </c>
    </row>
    <row r="12564" spans="1:1" ht="12.75">
      <c r="A12564" s="2" t="s">
        <v>473</v>
      </c>
    </row>
    <row r="12565" spans="1:1" ht="12.75">
      <c r="A12565" s="2" t="s">
        <v>473</v>
      </c>
    </row>
    <row r="12566" spans="1:1" ht="12.75">
      <c r="A12566" s="2" t="s">
        <v>551</v>
      </c>
    </row>
    <row r="12567" spans="1:1" ht="12.75">
      <c r="A12567" s="2" t="s">
        <v>473</v>
      </c>
    </row>
    <row r="12568" spans="1:1" ht="12.75">
      <c r="A12568" s="2" t="s">
        <v>453</v>
      </c>
    </row>
    <row r="12569" spans="1:1" ht="12.75">
      <c r="A12569" s="2" t="s">
        <v>453</v>
      </c>
    </row>
    <row r="12570" spans="1:1" ht="12.75">
      <c r="A12570" s="2" t="s">
        <v>453</v>
      </c>
    </row>
    <row r="12571" spans="1:1" ht="12.75">
      <c r="A12571" s="2" t="s">
        <v>453</v>
      </c>
    </row>
    <row r="12572" spans="1:1" ht="12.75">
      <c r="A12572" s="2" t="s">
        <v>451</v>
      </c>
    </row>
    <row r="12573" spans="1:1" ht="12.75">
      <c r="A12573" s="2" t="s">
        <v>447</v>
      </c>
    </row>
    <row r="12574" spans="1:1" ht="12.75">
      <c r="A12574" s="2" t="s">
        <v>453</v>
      </c>
    </row>
    <row r="12575" spans="1:1" ht="12.75">
      <c r="A12575" s="2" t="s">
        <v>451</v>
      </c>
    </row>
    <row r="12576" spans="1:1" ht="12.75">
      <c r="A12576" s="2" t="s">
        <v>453</v>
      </c>
    </row>
    <row r="12577" spans="1:1" ht="12.75">
      <c r="A12577" s="2" t="s">
        <v>453</v>
      </c>
    </row>
    <row r="12578" spans="1:1" ht="12.75">
      <c r="A12578" s="2" t="s">
        <v>447</v>
      </c>
    </row>
    <row r="12579" spans="1:1" ht="12.75">
      <c r="A12579" s="2" t="s">
        <v>448</v>
      </c>
    </row>
    <row r="12580" spans="1:1" ht="12.75">
      <c r="A12580" s="2" t="s">
        <v>447</v>
      </c>
    </row>
    <row r="12581" spans="1:1" ht="12.75">
      <c r="A12581" s="2" t="s">
        <v>447</v>
      </c>
    </row>
    <row r="12582" spans="1:1" ht="12.75">
      <c r="A12582" s="2" t="s">
        <v>446</v>
      </c>
    </row>
    <row r="12583" spans="1:1" ht="12.75">
      <c r="A12583" s="2" t="s">
        <v>447</v>
      </c>
    </row>
    <row r="12584" spans="1:1" ht="12.75">
      <c r="A12584" s="2" t="s">
        <v>446</v>
      </c>
    </row>
    <row r="12585" spans="1:1" ht="12.75">
      <c r="A12585" s="2" t="s">
        <v>446</v>
      </c>
    </row>
    <row r="12586" spans="1:1" ht="12.75">
      <c r="A12586" s="2" t="s">
        <v>446</v>
      </c>
    </row>
    <row r="12587" spans="1:1" ht="12.75">
      <c r="A12587" s="2" t="s">
        <v>446</v>
      </c>
    </row>
    <row r="12620" spans="1:1" ht="12.75">
      <c r="A12620" s="2" t="s">
        <v>432</v>
      </c>
    </row>
    <row r="12621" spans="1:1" ht="12.75">
      <c r="A12621" s="2" t="s">
        <v>432</v>
      </c>
    </row>
    <row r="12622" spans="1:1" ht="12.75">
      <c r="A12622" s="2" t="s">
        <v>452</v>
      </c>
    </row>
    <row r="12623" spans="1:1" ht="12.75">
      <c r="A12623" s="2" t="s">
        <v>452</v>
      </c>
    </row>
    <row r="12624" spans="1:1" ht="12.75">
      <c r="A12624" s="2" t="s">
        <v>452</v>
      </c>
    </row>
    <row r="12625" spans="1:1" ht="12.75">
      <c r="A12625" s="2" t="s">
        <v>452</v>
      </c>
    </row>
    <row r="12626" spans="1:1" ht="12.75">
      <c r="A12626" s="2" t="s">
        <v>404</v>
      </c>
    </row>
    <row r="12627" spans="1:1" ht="12.75">
      <c r="A12627" s="2" t="s">
        <v>404</v>
      </c>
    </row>
    <row r="12672" spans="1:1" ht="12.75">
      <c r="A12672" s="2" t="s">
        <v>152</v>
      </c>
    </row>
    <row r="12686" spans="1:1" ht="12.75">
      <c r="A12686" s="2" t="s">
        <v>448</v>
      </c>
    </row>
    <row r="12687" spans="1:1" ht="12.75">
      <c r="A12687" s="2" t="s">
        <v>448</v>
      </c>
    </row>
    <row r="12689" spans="1:1" ht="12.75">
      <c r="A12689" s="2" t="s">
        <v>632</v>
      </c>
    </row>
    <row r="12690" spans="1:1" ht="12.75">
      <c r="A12690" s="2" t="s">
        <v>633</v>
      </c>
    </row>
    <row r="12691" spans="1:1" ht="12.75">
      <c r="A12691" s="2" t="s">
        <v>634</v>
      </c>
    </row>
    <row r="12692" spans="1:1" ht="12.75">
      <c r="A12692" s="2" t="s">
        <v>473</v>
      </c>
    </row>
    <row r="12693" spans="1:1" ht="12.75">
      <c r="A12693" s="2" t="s">
        <v>615</v>
      </c>
    </row>
    <row r="12694" spans="1:1" ht="12.75">
      <c r="A12694" s="2" t="s">
        <v>633</v>
      </c>
    </row>
    <row r="12695" spans="1:1" ht="12.75">
      <c r="A12695" s="2" t="s">
        <v>633</v>
      </c>
    </row>
    <row r="12696" spans="1:1" ht="12.75">
      <c r="A12696" s="2" t="s">
        <v>473</v>
      </c>
    </row>
    <row r="12697" spans="1:1" ht="12.75">
      <c r="A12697" s="2" t="s">
        <v>473</v>
      </c>
    </row>
    <row r="12698" spans="1:1" ht="12.75">
      <c r="A12698" s="2" t="s">
        <v>634</v>
      </c>
    </row>
    <row r="12699" spans="1:1" ht="12.75">
      <c r="A12699" s="2" t="s">
        <v>634</v>
      </c>
    </row>
    <row r="12700" spans="1:1" ht="12.75">
      <c r="A12700" s="2" t="s">
        <v>615</v>
      </c>
    </row>
    <row r="12701" spans="1:1" ht="12.75">
      <c r="A12701" s="2" t="s">
        <v>615</v>
      </c>
    </row>
    <row r="12703" spans="1:1" ht="12.75">
      <c r="A12703" s="2" t="s">
        <v>451</v>
      </c>
    </row>
    <row r="12704" spans="1:1" ht="12.75">
      <c r="A12704" s="2" t="s">
        <v>451</v>
      </c>
    </row>
    <row r="12705" spans="1:1" ht="12.75">
      <c r="A12705" s="2" t="s">
        <v>633</v>
      </c>
    </row>
    <row r="12706" spans="1:1" ht="12.75">
      <c r="A12706" s="2" t="s">
        <v>634</v>
      </c>
    </row>
    <row r="12707" spans="1:1" ht="12.75">
      <c r="A12707" s="2" t="s">
        <v>615</v>
      </c>
    </row>
    <row r="12744" spans="1:1" ht="12.75">
      <c r="A12744" s="2" t="s">
        <v>635</v>
      </c>
    </row>
    <row r="12745" spans="1:1" ht="12.75">
      <c r="A12745" s="2" t="s">
        <v>635</v>
      </c>
    </row>
    <row r="12746" spans="1:1" ht="12.75">
      <c r="A12746" s="2" t="s">
        <v>635</v>
      </c>
    </row>
    <row r="12747" spans="1:1" ht="12.75">
      <c r="A12747" s="2" t="s">
        <v>635</v>
      </c>
    </row>
    <row r="12757" spans="1:1" ht="12.75">
      <c r="A12757" s="2" t="s">
        <v>507</v>
      </c>
    </row>
    <row r="12758" spans="1:1" ht="12.75">
      <c r="A12758" s="2" t="s">
        <v>152</v>
      </c>
    </row>
    <row r="12759" spans="1:1" ht="12.75">
      <c r="A12759" s="2" t="s">
        <v>152</v>
      </c>
    </row>
    <row r="12760" spans="1:1" ht="12.75">
      <c r="A12760" s="2" t="s">
        <v>152</v>
      </c>
    </row>
    <row r="12761" spans="1:1" ht="12.75">
      <c r="A12761" s="2" t="s">
        <v>152</v>
      </c>
    </row>
    <row r="12762" spans="1:1" ht="12.75">
      <c r="A12762" s="2" t="s">
        <v>152</v>
      </c>
    </row>
    <row r="12763" spans="1:1" ht="12.75">
      <c r="A12763" s="2" t="s">
        <v>152</v>
      </c>
    </row>
    <row r="12764" spans="1:1" ht="12.75">
      <c r="A12764" s="2" t="s">
        <v>152</v>
      </c>
    </row>
    <row r="12765" spans="1:1" ht="12.75">
      <c r="A12765" s="2" t="s">
        <v>152</v>
      </c>
    </row>
    <row r="12766" spans="1:1" ht="12.75">
      <c r="A12766" s="2" t="s">
        <v>152</v>
      </c>
    </row>
    <row r="12767" spans="1:1" ht="12.75">
      <c r="A12767" s="2" t="s">
        <v>152</v>
      </c>
    </row>
    <row r="12768" spans="1:1" ht="12.75">
      <c r="A12768" s="2" t="s">
        <v>152</v>
      </c>
    </row>
    <row r="12769" spans="1:1" ht="12.75">
      <c r="A12769" s="2" t="s">
        <v>152</v>
      </c>
    </row>
    <row r="12770" spans="1:1" ht="12.75">
      <c r="A12770" s="2" t="s">
        <v>197</v>
      </c>
    </row>
    <row r="12771" spans="1:1" ht="12.75">
      <c r="A12771" s="2" t="s">
        <v>152</v>
      </c>
    </row>
    <row r="12772" spans="1:1" ht="12.75">
      <c r="A12772" s="2" t="s">
        <v>152</v>
      </c>
    </row>
    <row r="12773" spans="1:1" ht="12.75">
      <c r="A12773" s="2" t="s">
        <v>152</v>
      </c>
    </row>
    <row r="12774" spans="1:1" ht="12.75">
      <c r="A12774" s="2" t="s">
        <v>152</v>
      </c>
    </row>
    <row r="12775" spans="1:1" ht="12.75">
      <c r="A12775" s="2" t="s">
        <v>152</v>
      </c>
    </row>
    <row r="12776" spans="1:1" ht="12.75">
      <c r="A12776" s="2" t="s">
        <v>152</v>
      </c>
    </row>
    <row r="12777" spans="1:1" ht="12.75">
      <c r="A12777" s="2" t="s">
        <v>152</v>
      </c>
    </row>
    <row r="12778" spans="1:1" ht="12.75">
      <c r="A12778" s="2" t="s">
        <v>152</v>
      </c>
    </row>
    <row r="12779" spans="1:1" ht="12.75">
      <c r="A12779" s="2" t="s">
        <v>152</v>
      </c>
    </row>
    <row r="12780" spans="1:1" ht="12.75">
      <c r="A12780" s="2" t="s">
        <v>152</v>
      </c>
    </row>
    <row r="12781" spans="1:1" ht="12.75">
      <c r="A12781" s="2" t="s">
        <v>152</v>
      </c>
    </row>
    <row r="12782" spans="1:1" ht="12.75">
      <c r="A12782" s="2" t="s">
        <v>152</v>
      </c>
    </row>
    <row r="12783" spans="1:1" ht="12.75">
      <c r="A12783" s="2" t="s">
        <v>150</v>
      </c>
    </row>
    <row r="12784" spans="1:1" ht="12.75">
      <c r="A12784" s="2" t="s">
        <v>152</v>
      </c>
    </row>
    <row r="12785" spans="1:1" ht="12.75">
      <c r="A12785" s="2" t="s">
        <v>152</v>
      </c>
    </row>
    <row r="12786" spans="1:1" ht="12.75">
      <c r="A12786" s="2" t="s">
        <v>152</v>
      </c>
    </row>
    <row r="12787" spans="1:1" ht="12.75">
      <c r="A12787" s="2" t="s">
        <v>152</v>
      </c>
    </row>
    <row r="12788" spans="1:1" ht="12.75">
      <c r="A12788" s="2" t="s">
        <v>514</v>
      </c>
    </row>
    <row r="12790" spans="1:1" ht="12.75">
      <c r="A12790" s="2" t="s">
        <v>528</v>
      </c>
    </row>
    <row r="12791" spans="1:1" ht="12.75">
      <c r="A12791" s="2" t="s">
        <v>528</v>
      </c>
    </row>
    <row r="12792" spans="1:1" ht="12.75">
      <c r="A12792" s="2" t="s">
        <v>530</v>
      </c>
    </row>
    <row r="12793" spans="1:1" ht="12.75">
      <c r="A12793" s="2" t="s">
        <v>528</v>
      </c>
    </row>
    <row r="12794" spans="1:1" ht="12.75">
      <c r="A12794" s="2" t="s">
        <v>528</v>
      </c>
    </row>
    <row r="12795" spans="1:1" ht="12.75">
      <c r="A12795" s="2" t="s">
        <v>514</v>
      </c>
    </row>
    <row r="12796" spans="1:1" ht="12.75">
      <c r="A12796" s="2" t="s">
        <v>529</v>
      </c>
    </row>
    <row r="12797" spans="1:1" ht="12.75">
      <c r="A12797" s="2" t="s">
        <v>529</v>
      </c>
    </row>
    <row r="12798" spans="1:1" ht="12.75">
      <c r="A12798" s="2" t="s">
        <v>529</v>
      </c>
    </row>
    <row r="12799" spans="1:1" ht="12.75">
      <c r="A12799" s="2" t="s">
        <v>529</v>
      </c>
    </row>
    <row r="12800" spans="1:1" ht="12.75">
      <c r="A12800" s="2" t="s">
        <v>528</v>
      </c>
    </row>
    <row r="12801" spans="1:1" ht="12.75">
      <c r="A12801" s="2" t="s">
        <v>528</v>
      </c>
    </row>
    <row r="12802" spans="1:1" ht="12.75">
      <c r="A12802" s="2" t="s">
        <v>514</v>
      </c>
    </row>
    <row r="12804" spans="1:1" ht="12.75">
      <c r="A12804" s="2" t="s">
        <v>576</v>
      </c>
    </row>
    <row r="12805" spans="1:1" ht="12.75">
      <c r="A12805" s="2" t="s">
        <v>576</v>
      </c>
    </row>
    <row r="12806" spans="1:1" ht="12.75">
      <c r="A12806" s="2" t="s">
        <v>576</v>
      </c>
    </row>
    <row r="12807" spans="1:1" ht="12.75">
      <c r="A12807" s="2" t="s">
        <v>576</v>
      </c>
    </row>
    <row r="12808" spans="1:1" ht="12.75">
      <c r="A12808" s="2" t="s">
        <v>576</v>
      </c>
    </row>
    <row r="12809" spans="1:1" ht="12.75">
      <c r="A12809" s="2" t="s">
        <v>576</v>
      </c>
    </row>
    <row r="12810" spans="1:1" ht="12.75">
      <c r="A12810" s="2" t="s">
        <v>512</v>
      </c>
    </row>
    <row r="12811" spans="1:1" ht="12.75">
      <c r="A12811" s="2" t="s">
        <v>530</v>
      </c>
    </row>
    <row r="12812" spans="1:1" ht="12.75">
      <c r="A12812" s="2" t="s">
        <v>576</v>
      </c>
    </row>
    <row r="12813" spans="1:1" ht="12.75">
      <c r="A12813" s="2" t="s">
        <v>512</v>
      </c>
    </row>
    <row r="12814" spans="1:1" ht="12.75">
      <c r="A12814" s="2" t="s">
        <v>576</v>
      </c>
    </row>
    <row r="12815" spans="1:1" ht="12.75">
      <c r="A12815" s="2" t="s">
        <v>514</v>
      </c>
    </row>
    <row r="12816" spans="1:1" ht="12.75">
      <c r="A12816" s="2" t="s">
        <v>529</v>
      </c>
    </row>
    <row r="12817" spans="1:1" ht="12.75">
      <c r="A12817" s="2" t="s">
        <v>576</v>
      </c>
    </row>
    <row r="12818" spans="1:1" ht="12.75">
      <c r="A12818" s="2" t="s">
        <v>530</v>
      </c>
    </row>
    <row r="12819" spans="1:1" ht="12.75">
      <c r="A12819" s="2" t="s">
        <v>529</v>
      </c>
    </row>
    <row r="12820" spans="1:1" ht="12.75">
      <c r="A12820" s="2" t="s">
        <v>528</v>
      </c>
    </row>
    <row r="12821" spans="1:1" ht="12.75">
      <c r="A12821" s="2" t="s">
        <v>528</v>
      </c>
    </row>
    <row r="12822" spans="1:1" ht="12.75">
      <c r="A12822" s="2" t="s">
        <v>528</v>
      </c>
    </row>
    <row r="12823" spans="1:1" ht="12.75">
      <c r="A12823" s="2" t="s">
        <v>528</v>
      </c>
    </row>
    <row r="12824" spans="1:1" ht="12.75">
      <c r="A12824" s="2" t="s">
        <v>529</v>
      </c>
    </row>
    <row r="12825" spans="1:1" ht="12.75">
      <c r="A12825" s="2" t="s">
        <v>528</v>
      </c>
    </row>
    <row r="12826" spans="1:1" ht="12.75">
      <c r="A12826" s="2" t="s">
        <v>576</v>
      </c>
    </row>
    <row r="12827" spans="1:1" ht="12.75">
      <c r="A12827" s="2" t="s">
        <v>530</v>
      </c>
    </row>
    <row r="12828" spans="1:1" ht="12.75">
      <c r="A12828" s="2" t="s">
        <v>532</v>
      </c>
    </row>
    <row r="12829" spans="1:1" ht="12.75">
      <c r="A12829" s="2" t="s">
        <v>530</v>
      </c>
    </row>
    <row r="12830" spans="1:1" ht="12.75">
      <c r="A12830" s="2" t="s">
        <v>529</v>
      </c>
    </row>
    <row r="12831" spans="1:1" ht="12.75">
      <c r="A12831" s="2" t="s">
        <v>532</v>
      </c>
    </row>
    <row r="12832" spans="1:1" ht="12.75">
      <c r="A12832" s="2" t="s">
        <v>529</v>
      </c>
    </row>
    <row r="12833" spans="1:1" ht="12.75">
      <c r="A12833" s="2" t="s">
        <v>576</v>
      </c>
    </row>
    <row r="12834" spans="1:1" ht="12.75">
      <c r="A12834" s="2" t="s">
        <v>576</v>
      </c>
    </row>
    <row r="12835" spans="1:1" ht="12.75">
      <c r="A12835" s="2" t="s">
        <v>528</v>
      </c>
    </row>
    <row r="12836" spans="1:1" ht="12.75">
      <c r="A12836" s="2" t="s">
        <v>528</v>
      </c>
    </row>
    <row r="12837" spans="1:1" ht="12.75">
      <c r="A12837" s="2" t="s">
        <v>530</v>
      </c>
    </row>
    <row r="12838" spans="1:1" ht="12.75">
      <c r="A12838" s="2" t="s">
        <v>529</v>
      </c>
    </row>
    <row r="12839" spans="1:1" ht="12.75">
      <c r="A12839" s="2" t="s">
        <v>529</v>
      </c>
    </row>
    <row r="12840" spans="1:1" ht="12.75">
      <c r="A12840" s="2" t="s">
        <v>528</v>
      </c>
    </row>
    <row r="12841" spans="1:1" ht="12.75">
      <c r="A12841" s="2" t="s">
        <v>528</v>
      </c>
    </row>
    <row r="12842" spans="1:1" ht="12.75">
      <c r="A12842" s="2" t="s">
        <v>636</v>
      </c>
    </row>
    <row r="12843" spans="1:1" ht="12.75">
      <c r="A12843" s="2" t="s">
        <v>529</v>
      </c>
    </row>
    <row r="12844" spans="1:1" ht="12.75">
      <c r="A12844" s="2" t="s">
        <v>529</v>
      </c>
    </row>
    <row r="12845" spans="1:1" ht="12.75">
      <c r="A12845" s="2" t="s">
        <v>532</v>
      </c>
    </row>
    <row r="12846" spans="1:1" ht="12.75">
      <c r="A12846" s="2" t="s">
        <v>576</v>
      </c>
    </row>
    <row r="12847" spans="1:1" ht="12.75">
      <c r="A12847" s="2" t="s">
        <v>576</v>
      </c>
    </row>
    <row r="12848" spans="1:1" ht="12.75">
      <c r="A12848" s="2" t="s">
        <v>528</v>
      </c>
    </row>
    <row r="12849" spans="1:1" ht="12.75">
      <c r="A12849" s="2" t="s">
        <v>528</v>
      </c>
    </row>
    <row r="12850" spans="1:1" ht="12.75">
      <c r="A12850" s="2" t="s">
        <v>532</v>
      </c>
    </row>
    <row r="12851" spans="1:1" ht="12.75">
      <c r="A12851" s="2" t="s">
        <v>530</v>
      </c>
    </row>
    <row r="12852" spans="1:1" ht="12.75">
      <c r="A12852" s="2" t="s">
        <v>530</v>
      </c>
    </row>
    <row r="12853" spans="1:1" ht="12.75">
      <c r="A12853" s="2" t="s">
        <v>528</v>
      </c>
    </row>
    <row r="12854" spans="1:1" ht="12.75">
      <c r="A12854" s="2" t="s">
        <v>576</v>
      </c>
    </row>
    <row r="12855" spans="1:1" ht="12.75">
      <c r="A12855" s="2" t="s">
        <v>528</v>
      </c>
    </row>
    <row r="12856" spans="1:1" ht="12.75">
      <c r="A12856" s="2" t="s">
        <v>576</v>
      </c>
    </row>
    <row r="12857" spans="1:1" ht="12.75">
      <c r="A12857" s="2" t="s">
        <v>576</v>
      </c>
    </row>
    <row r="12858" spans="1:1" ht="12.75">
      <c r="A12858" s="2" t="s">
        <v>528</v>
      </c>
    </row>
    <row r="12859" spans="1:1" ht="12.75">
      <c r="A12859" s="2" t="s">
        <v>530</v>
      </c>
    </row>
    <row r="12860" spans="1:1" ht="12.75">
      <c r="A12860" s="2" t="s">
        <v>530</v>
      </c>
    </row>
    <row r="12861" spans="1:1" ht="12.75">
      <c r="A12861" s="2" t="s">
        <v>532</v>
      </c>
    </row>
    <row r="12862" spans="1:1" ht="12.75">
      <c r="A12862" s="2" t="s">
        <v>528</v>
      </c>
    </row>
    <row r="12863" spans="1:1" ht="12.75">
      <c r="A12863" s="2" t="s">
        <v>532</v>
      </c>
    </row>
    <row r="12864" spans="1:1" ht="12.75">
      <c r="A12864" s="2" t="s">
        <v>532</v>
      </c>
    </row>
    <row r="12865" spans="1:1" ht="12.75">
      <c r="A12865" s="2" t="s">
        <v>528</v>
      </c>
    </row>
    <row r="12866" spans="1:1" ht="12.75">
      <c r="A12866" s="2" t="s">
        <v>528</v>
      </c>
    </row>
    <row r="12867" spans="1:1" ht="12.75">
      <c r="A12867" s="2" t="s">
        <v>528</v>
      </c>
    </row>
    <row r="12877" spans="1:1" ht="12.75">
      <c r="A12877" s="2" t="s">
        <v>228</v>
      </c>
    </row>
    <row r="12881" spans="1:1" ht="12.75">
      <c r="A12881" s="2" t="s">
        <v>274</v>
      </c>
    </row>
    <row r="12884" spans="1:1" ht="12.75">
      <c r="A12884" s="2" t="s">
        <v>277</v>
      </c>
    </row>
    <row r="12885" spans="1:1" ht="12.75">
      <c r="A12885" s="2" t="s">
        <v>277</v>
      </c>
    </row>
    <row r="12886" spans="1:1" ht="12.75">
      <c r="A12886" s="2" t="s">
        <v>277</v>
      </c>
    </row>
    <row r="12887" spans="1:1" ht="12.75">
      <c r="A12887" s="2" t="s">
        <v>277</v>
      </c>
    </row>
    <row r="12888" spans="1:1" ht="12.75">
      <c r="A12888" s="2" t="s">
        <v>277</v>
      </c>
    </row>
    <row r="12889" spans="1:1" ht="12.75">
      <c r="A12889" s="2" t="s">
        <v>277</v>
      </c>
    </row>
    <row r="12890" spans="1:1" ht="12.75">
      <c r="A12890" s="2" t="s">
        <v>277</v>
      </c>
    </row>
    <row r="12891" spans="1:1" ht="12.75">
      <c r="A12891" s="2" t="s">
        <v>277</v>
      </c>
    </row>
    <row r="12892" spans="1:1" ht="12.75">
      <c r="A12892" s="2" t="s">
        <v>277</v>
      </c>
    </row>
    <row r="12893" spans="1:1" ht="12.75">
      <c r="A12893" s="2" t="s">
        <v>277</v>
      </c>
    </row>
    <row r="12894" spans="1:1" ht="12.75">
      <c r="A12894" s="2" t="s">
        <v>277</v>
      </c>
    </row>
    <row r="12895" spans="1:1" ht="12.75">
      <c r="A12895" s="2" t="s">
        <v>277</v>
      </c>
    </row>
    <row r="12896" spans="1:1" ht="12.75">
      <c r="A12896" s="2" t="s">
        <v>277</v>
      </c>
    </row>
    <row r="12897" spans="1:1" ht="12.75">
      <c r="A12897" s="2" t="s">
        <v>277</v>
      </c>
    </row>
    <row r="12898" spans="1:1" ht="12.75">
      <c r="A12898" s="2" t="s">
        <v>277</v>
      </c>
    </row>
    <row r="12899" spans="1:1" ht="12.75">
      <c r="A12899" s="2" t="s">
        <v>277</v>
      </c>
    </row>
    <row r="12900" spans="1:1" ht="12.75">
      <c r="A12900" s="2" t="s">
        <v>277</v>
      </c>
    </row>
    <row r="12901" spans="1:1" ht="12.75">
      <c r="A12901" s="2" t="s">
        <v>277</v>
      </c>
    </row>
    <row r="12908" spans="1:1" ht="12.75">
      <c r="A12908" s="2" t="s">
        <v>637</v>
      </c>
    </row>
    <row r="12910" spans="1:1" ht="12.75">
      <c r="A12910" s="2" t="s">
        <v>638</v>
      </c>
    </row>
    <row r="12911" spans="1:1" ht="12.75">
      <c r="A12911" s="2" t="s">
        <v>639</v>
      </c>
    </row>
    <row r="12912" spans="1:1" ht="12.75">
      <c r="A12912" s="2" t="s">
        <v>639</v>
      </c>
    </row>
    <row r="12913" spans="1:1" ht="12.75">
      <c r="A12913" s="2" t="s">
        <v>446</v>
      </c>
    </row>
    <row r="12914" spans="1:1" ht="12.75">
      <c r="A12914" s="2" t="s">
        <v>446</v>
      </c>
    </row>
    <row r="12915" spans="1:1" ht="12.75">
      <c r="A12915" s="2" t="s">
        <v>447</v>
      </c>
    </row>
    <row r="12916" spans="1:1" ht="12.75">
      <c r="A12916" s="2" t="s">
        <v>447</v>
      </c>
    </row>
    <row r="12917" spans="1:1" ht="12.75">
      <c r="A12917" s="2" t="s">
        <v>447</v>
      </c>
    </row>
    <row r="12918" spans="1:1" ht="12.75">
      <c r="A12918" s="2" t="s">
        <v>447</v>
      </c>
    </row>
    <row r="12919" spans="1:1" ht="12.75">
      <c r="A12919" s="2" t="s">
        <v>447</v>
      </c>
    </row>
    <row r="12920" spans="1:1" ht="12.75">
      <c r="A12920" s="2" t="s">
        <v>528</v>
      </c>
    </row>
    <row r="12921" spans="1:1" ht="12.75">
      <c r="A12921" s="2" t="s">
        <v>448</v>
      </c>
    </row>
    <row r="12922" spans="1:1" ht="12.75">
      <c r="A12922" s="2" t="s">
        <v>447</v>
      </c>
    </row>
    <row r="12923" spans="1:1" ht="12.75">
      <c r="A12923" s="2">
        <v>214</v>
      </c>
    </row>
    <row r="12924" spans="1:1" ht="12.75">
      <c r="A12924" s="2" t="s">
        <v>447</v>
      </c>
    </row>
    <row r="12925" spans="1:1" ht="12.75">
      <c r="A12925" s="2" t="s">
        <v>446</v>
      </c>
    </row>
    <row r="12926" spans="1:1" ht="12.75">
      <c r="A12926" s="2" t="s">
        <v>446</v>
      </c>
    </row>
    <row r="12927" spans="1:1" ht="12.75">
      <c r="A12927" s="2" t="s">
        <v>446</v>
      </c>
    </row>
    <row r="12928" spans="1:1" ht="12.75">
      <c r="A12928" s="2" t="s">
        <v>446</v>
      </c>
    </row>
    <row r="12929" spans="1:1" ht="12.75">
      <c r="A12929" s="2" t="s">
        <v>446</v>
      </c>
    </row>
    <row r="12930" spans="1:1" ht="12.75">
      <c r="A12930" s="2" t="s">
        <v>448</v>
      </c>
    </row>
    <row r="12931" spans="1:1" ht="12.75">
      <c r="A12931" s="2" t="s">
        <v>448</v>
      </c>
    </row>
    <row r="12932" spans="1:1" ht="12.75">
      <c r="A12932" s="2" t="s">
        <v>473</v>
      </c>
    </row>
    <row r="12933" spans="1:1" ht="12.75">
      <c r="A12933" s="2" t="s">
        <v>473</v>
      </c>
    </row>
    <row r="12934" spans="1:1" ht="12.75">
      <c r="A12934" s="2" t="s">
        <v>453</v>
      </c>
    </row>
    <row r="12935" spans="1:1" ht="12.75">
      <c r="A12935" s="2" t="s">
        <v>453</v>
      </c>
    </row>
    <row r="12936" spans="1:1" ht="12.75">
      <c r="A12936" s="2" t="s">
        <v>446</v>
      </c>
    </row>
    <row r="12937" spans="1:1" ht="12.75">
      <c r="A12937" s="2" t="s">
        <v>451</v>
      </c>
    </row>
    <row r="12938" spans="1:1" ht="12.75">
      <c r="A12938" s="2" t="s">
        <v>451</v>
      </c>
    </row>
    <row r="12939" spans="1:1" ht="12.75">
      <c r="A12939" s="2" t="s">
        <v>451</v>
      </c>
    </row>
    <row r="12940" spans="1:1" ht="12.75">
      <c r="A12940" s="2" t="s">
        <v>451</v>
      </c>
    </row>
    <row r="12941" spans="1:1" ht="12.75">
      <c r="A12941" s="2" t="s">
        <v>451</v>
      </c>
    </row>
    <row r="12942" spans="1:1" ht="12.75">
      <c r="A12942" s="2" t="s">
        <v>448</v>
      </c>
    </row>
    <row r="12943" spans="1:1" ht="12.75">
      <c r="A12943" s="2" t="s">
        <v>640</v>
      </c>
    </row>
    <row r="12944" spans="1:1" ht="12.75">
      <c r="A12944" s="2" t="s">
        <v>641</v>
      </c>
    </row>
    <row r="12959" spans="1:1" ht="12.75">
      <c r="A12959" s="2" t="s">
        <v>642</v>
      </c>
    </row>
    <row r="12960" spans="1:1" ht="12.75">
      <c r="A12960" s="2" t="s">
        <v>308</v>
      </c>
    </row>
    <row r="12961" spans="1:1" ht="12.75">
      <c r="A12961" s="2" t="s">
        <v>228</v>
      </c>
    </row>
    <row r="12962" spans="1:1" ht="12.75">
      <c r="A12962" s="2" t="s">
        <v>228</v>
      </c>
    </row>
    <row r="12963" spans="1:1" ht="12.75">
      <c r="A12963" s="2" t="s">
        <v>228</v>
      </c>
    </row>
    <row r="12964" spans="1:1" ht="12.75">
      <c r="A12964" s="2" t="s">
        <v>227</v>
      </c>
    </row>
    <row r="12965" spans="1:1" ht="12.75">
      <c r="A12965" s="2" t="s">
        <v>227</v>
      </c>
    </row>
    <row r="12966" spans="1:1" ht="12.75">
      <c r="A12966" s="2" t="s">
        <v>228</v>
      </c>
    </row>
    <row r="12967" spans="1:1" ht="12.75">
      <c r="A12967" s="2" t="s">
        <v>228</v>
      </c>
    </row>
    <row r="12969" spans="1:1" ht="12.75">
      <c r="A12969" s="2" t="s">
        <v>227</v>
      </c>
    </row>
    <row r="12970" spans="1:1" ht="12.75">
      <c r="A12970" s="2" t="s">
        <v>228</v>
      </c>
    </row>
    <row r="12971" spans="1:1" ht="12.75">
      <c r="A12971" s="2" t="s">
        <v>228</v>
      </c>
    </row>
    <row r="12973" spans="1:1" ht="12.75">
      <c r="A12973" s="2" t="s">
        <v>228</v>
      </c>
    </row>
    <row r="12974" spans="1:1" ht="12.75">
      <c r="A12974" s="2" t="s">
        <v>227</v>
      </c>
    </row>
    <row r="12976" spans="1:1" ht="12.75">
      <c r="A12976" s="2" t="s">
        <v>228</v>
      </c>
    </row>
    <row r="12977" spans="1:1" ht="12.75">
      <c r="A12977" s="2" t="s">
        <v>228</v>
      </c>
    </row>
    <row r="12980" spans="1:1" ht="12.75">
      <c r="A12980" s="2" t="s">
        <v>228</v>
      </c>
    </row>
    <row r="12981" spans="1:1" ht="12.75">
      <c r="A12981" s="2" t="s">
        <v>228</v>
      </c>
    </row>
    <row r="12982" spans="1:1" ht="12.75">
      <c r="A12982" s="2" t="s">
        <v>228</v>
      </c>
    </row>
    <row r="12983" spans="1:1" ht="12.75">
      <c r="A12983" s="2" t="s">
        <v>228</v>
      </c>
    </row>
    <row r="12984" spans="1:1" ht="12.75">
      <c r="A12984" s="2" t="s">
        <v>228</v>
      </c>
    </row>
    <row r="12985" spans="1:1" ht="12.75">
      <c r="A12985" s="2" t="s">
        <v>228</v>
      </c>
    </row>
    <row r="12986" spans="1:1" ht="12.75">
      <c r="A12986" s="2" t="s">
        <v>643</v>
      </c>
    </row>
    <row r="12987" spans="1:1" ht="12.75">
      <c r="A12987" s="2" t="s">
        <v>644</v>
      </c>
    </row>
    <row r="12988" spans="1:1" ht="12.75">
      <c r="A12988" s="2" t="s">
        <v>644</v>
      </c>
    </row>
    <row r="12990" spans="1:1" ht="12.75">
      <c r="A12990" s="2" t="s">
        <v>152</v>
      </c>
    </row>
    <row r="12991" spans="1:1" ht="12.75">
      <c r="A12991" s="2" t="s">
        <v>152</v>
      </c>
    </row>
    <row r="12992" spans="1:1" ht="12.75">
      <c r="A12992" s="2" t="s">
        <v>152</v>
      </c>
    </row>
    <row r="12993" spans="1:1" ht="12.75">
      <c r="A12993" s="2" t="s">
        <v>152</v>
      </c>
    </row>
    <row r="12994" spans="1:1" ht="12.75">
      <c r="A12994" s="2" t="s">
        <v>152</v>
      </c>
    </row>
    <row r="12995" spans="1:1" ht="12.75">
      <c r="A12995" s="2" t="s">
        <v>152</v>
      </c>
    </row>
    <row r="12998" spans="1:1" ht="12.75">
      <c r="A12998" s="2" t="s">
        <v>152</v>
      </c>
    </row>
    <row r="12999" spans="1:1" ht="12.75">
      <c r="A12999" s="2" t="s">
        <v>152</v>
      </c>
    </row>
    <row r="13000" spans="1:1" ht="12.75">
      <c r="A13000" s="2" t="s">
        <v>212</v>
      </c>
    </row>
    <row r="13001" spans="1:1" ht="12.75">
      <c r="A13001" s="2" t="s">
        <v>209</v>
      </c>
    </row>
    <row r="13002" spans="1:1" ht="12.75">
      <c r="A13002" s="2" t="s">
        <v>364</v>
      </c>
    </row>
    <row r="13003" spans="1:1" ht="12.75">
      <c r="A13003" s="2" t="s">
        <v>364</v>
      </c>
    </row>
    <row r="13004" spans="1:1" ht="12.75">
      <c r="A13004" s="2" t="s">
        <v>364</v>
      </c>
    </row>
    <row r="13005" spans="1:1" ht="12.75">
      <c r="A13005" s="2" t="s">
        <v>364</v>
      </c>
    </row>
    <row r="13006" spans="1:1" ht="12.75">
      <c r="A13006" s="2" t="s">
        <v>209</v>
      </c>
    </row>
    <row r="13007" spans="1:1" ht="12.75">
      <c r="A13007" s="2" t="s">
        <v>209</v>
      </c>
    </row>
    <row r="13008" spans="1:1" ht="12.75">
      <c r="A13008" s="2" t="s">
        <v>366</v>
      </c>
    </row>
    <row r="13009" spans="1:1" ht="12.75">
      <c r="A13009" s="2" t="s">
        <v>210</v>
      </c>
    </row>
    <row r="13010" spans="1:1" ht="12.75">
      <c r="A13010" s="2" t="s">
        <v>212</v>
      </c>
    </row>
    <row r="13011" spans="1:1" ht="12.75">
      <c r="A13011" s="2" t="s">
        <v>212</v>
      </c>
    </row>
    <row r="13012" spans="1:1" ht="12.75">
      <c r="A13012" s="2" t="s">
        <v>210</v>
      </c>
    </row>
    <row r="13013" spans="1:1" ht="12.75">
      <c r="A13013" s="2" t="s">
        <v>209</v>
      </c>
    </row>
    <row r="13014" spans="1:1" ht="12.75">
      <c r="A13014" s="2" t="s">
        <v>366</v>
      </c>
    </row>
    <row r="13015" spans="1:1" ht="12.75">
      <c r="A13015" s="2" t="s">
        <v>210</v>
      </c>
    </row>
    <row r="13016" spans="1:1" ht="12.75">
      <c r="A13016" s="2" t="s">
        <v>364</v>
      </c>
    </row>
    <row r="13017" spans="1:1" ht="12.75">
      <c r="A13017" s="2" t="s">
        <v>364</v>
      </c>
    </row>
    <row r="13018" spans="1:1" ht="12.75">
      <c r="A13018" s="2" t="s">
        <v>364</v>
      </c>
    </row>
    <row r="13019" spans="1:1" ht="12.75">
      <c r="A13019" s="2" t="s">
        <v>364</v>
      </c>
    </row>
    <row r="13020" spans="1:1" ht="12.75">
      <c r="A13020" s="2" t="s">
        <v>212</v>
      </c>
    </row>
    <row r="13021" spans="1:1" ht="12.75">
      <c r="A13021" s="2" t="s">
        <v>212</v>
      </c>
    </row>
    <row r="13022" spans="1:1" ht="12.75">
      <c r="A13022" s="2" t="s">
        <v>210</v>
      </c>
    </row>
    <row r="13023" spans="1:1" ht="12.75">
      <c r="A13023" s="2" t="s">
        <v>209</v>
      </c>
    </row>
    <row r="13024" spans="1:1" ht="12.75">
      <c r="A13024" s="2" t="s">
        <v>209</v>
      </c>
    </row>
    <row r="13025" spans="1:1" ht="12.75">
      <c r="A13025" s="2" t="s">
        <v>209</v>
      </c>
    </row>
    <row r="13026" spans="1:1" ht="12.75">
      <c r="A13026" s="2" t="s">
        <v>210</v>
      </c>
    </row>
    <row r="13027" spans="1:1" ht="12.75">
      <c r="A13027" s="2" t="s">
        <v>210</v>
      </c>
    </row>
    <row r="13028" spans="1:1" ht="12.75">
      <c r="A13028" s="2" t="s">
        <v>210</v>
      </c>
    </row>
    <row r="13029" spans="1:1" ht="12.75">
      <c r="A13029" s="2" t="s">
        <v>209</v>
      </c>
    </row>
    <row r="13030" spans="1:1" ht="12.75">
      <c r="A13030" s="2" t="s">
        <v>486</v>
      </c>
    </row>
    <row r="13031" spans="1:1" ht="12.75">
      <c r="A13031" s="2" t="s">
        <v>486</v>
      </c>
    </row>
    <row r="13032" spans="1:1" ht="12.75">
      <c r="A13032" s="2" t="s">
        <v>364</v>
      </c>
    </row>
    <row r="13033" spans="1:1" ht="12.75">
      <c r="A13033" s="2" t="s">
        <v>209</v>
      </c>
    </row>
    <row r="13034" spans="1:1" ht="12.75">
      <c r="A13034" s="2" t="s">
        <v>210</v>
      </c>
    </row>
    <row r="13036" spans="1:1" ht="12.75">
      <c r="A13036" s="2" t="s">
        <v>210</v>
      </c>
    </row>
    <row r="13037" spans="1:1" ht="12.75">
      <c r="A13037" s="2" t="s">
        <v>210</v>
      </c>
    </row>
    <row r="13038" spans="1:1" ht="12.75">
      <c r="A13038" s="2" t="s">
        <v>366</v>
      </c>
    </row>
    <row r="13039" spans="1:1" ht="12.75">
      <c r="A13039" s="2" t="s">
        <v>364</v>
      </c>
    </row>
    <row r="13040" spans="1:1" ht="12.75">
      <c r="A13040" s="2" t="s">
        <v>486</v>
      </c>
    </row>
    <row r="13041" spans="1:1" ht="12.75">
      <c r="A13041" s="2" t="s">
        <v>486</v>
      </c>
    </row>
    <row r="13042" spans="1:1" ht="12.75">
      <c r="A13042" s="2" t="s">
        <v>209</v>
      </c>
    </row>
    <row r="13043" spans="1:1" ht="12.75">
      <c r="A13043" s="2" t="s">
        <v>364</v>
      </c>
    </row>
    <row r="13044" spans="1:1" ht="12.75">
      <c r="A13044" s="2" t="s">
        <v>364</v>
      </c>
    </row>
    <row r="13045" spans="1:1" ht="12.75">
      <c r="A13045" s="2" t="s">
        <v>364</v>
      </c>
    </row>
    <row r="13046" spans="1:1" ht="12.75">
      <c r="A13046" s="2" t="s">
        <v>212</v>
      </c>
    </row>
    <row r="13047" spans="1:1" ht="12.75">
      <c r="A13047" s="2" t="s">
        <v>212</v>
      </c>
    </row>
    <row r="13048" spans="1:1" ht="12.75">
      <c r="A13048" s="2" t="s">
        <v>212</v>
      </c>
    </row>
    <row r="13049" spans="1:1" ht="12.75">
      <c r="A13049" s="2" t="s">
        <v>212</v>
      </c>
    </row>
    <row r="13050" spans="1:1" ht="12.75">
      <c r="A13050" s="2" t="s">
        <v>645</v>
      </c>
    </row>
    <row r="13051" spans="1:1" ht="12.75">
      <c r="A13051" s="2" t="s">
        <v>646</v>
      </c>
    </row>
    <row r="13084" spans="1:1" ht="12.75">
      <c r="A13084" s="2" t="s">
        <v>319</v>
      </c>
    </row>
    <row r="13085" spans="1:1" ht="12.75">
      <c r="A13085" s="2" t="s">
        <v>319</v>
      </c>
    </row>
    <row r="13086" spans="1:1" ht="12.75">
      <c r="A13086" s="2" t="s">
        <v>319</v>
      </c>
    </row>
    <row r="13087" spans="1:1" ht="12.75">
      <c r="A13087" s="2" t="s">
        <v>318</v>
      </c>
    </row>
    <row r="13089" spans="1:1" ht="12.75">
      <c r="A13089" s="2" t="s">
        <v>318</v>
      </c>
    </row>
    <row r="13090" spans="1:1" ht="12.75">
      <c r="A13090" s="2" t="s">
        <v>265</v>
      </c>
    </row>
    <row r="13091" spans="1:1" ht="12.75">
      <c r="A13091" s="2" t="s">
        <v>265</v>
      </c>
    </row>
    <row r="13092" spans="1:1" ht="12.75">
      <c r="A13092" s="2" t="s">
        <v>319</v>
      </c>
    </row>
    <row r="13093" spans="1:1" ht="12.75">
      <c r="A13093" s="2" t="s">
        <v>319</v>
      </c>
    </row>
    <row r="13094" spans="1:1" ht="12.75">
      <c r="A13094" s="2" t="s">
        <v>318</v>
      </c>
    </row>
    <row r="13095" spans="1:1" ht="12.75">
      <c r="A13095" s="2" t="s">
        <v>318</v>
      </c>
    </row>
    <row r="13096" spans="1:1" ht="12.75">
      <c r="A13096" s="2" t="s">
        <v>319</v>
      </c>
    </row>
    <row r="13097" spans="1:1" ht="12.75">
      <c r="A13097" s="2" t="s">
        <v>318</v>
      </c>
    </row>
    <row r="13098" spans="1:1" ht="12.75">
      <c r="A13098" s="2" t="s">
        <v>291</v>
      </c>
    </row>
    <row r="13099" spans="1:1" ht="12.75">
      <c r="A13099" s="2" t="s">
        <v>292</v>
      </c>
    </row>
    <row r="13100" spans="1:1" ht="12.75">
      <c r="A13100" s="2" t="s">
        <v>290</v>
      </c>
    </row>
    <row r="13101" spans="1:1" ht="12.75">
      <c r="A13101" s="2" t="s">
        <v>299</v>
      </c>
    </row>
    <row r="13103" spans="1:1" ht="12.75">
      <c r="A13103" s="2" t="s">
        <v>291</v>
      </c>
    </row>
    <row r="13104" spans="1:1" ht="12.75">
      <c r="A13104" s="2" t="s">
        <v>299</v>
      </c>
    </row>
    <row r="13105" spans="1:1" ht="12.75">
      <c r="A13105" s="2" t="s">
        <v>291</v>
      </c>
    </row>
    <row r="13106" spans="1:1" ht="12.75">
      <c r="A13106" s="2" t="s">
        <v>292</v>
      </c>
    </row>
    <row r="13107" spans="1:1" ht="12.75">
      <c r="A13107" s="2" t="s">
        <v>290</v>
      </c>
    </row>
    <row r="13108" spans="1:1" ht="12.75">
      <c r="A13108" s="2" t="s">
        <v>290</v>
      </c>
    </row>
    <row r="13109" spans="1:1" ht="12.75">
      <c r="A13109" s="2" t="s">
        <v>290</v>
      </c>
    </row>
    <row r="13110" spans="1:1" ht="12.75">
      <c r="A13110" s="2" t="s">
        <v>289</v>
      </c>
    </row>
    <row r="13111" spans="1:1" ht="12.75">
      <c r="A13111" s="2" t="s">
        <v>289</v>
      </c>
    </row>
    <row r="13112" spans="1:1" ht="12.75">
      <c r="A13112" s="2" t="s">
        <v>290</v>
      </c>
    </row>
    <row r="13113" spans="1:1" ht="12.75">
      <c r="A13113" s="2" t="s">
        <v>290</v>
      </c>
    </row>
    <row r="13114" spans="1:1" ht="12.75">
      <c r="A13114" s="2" t="s">
        <v>291</v>
      </c>
    </row>
    <row r="13115" spans="1:1" ht="12.75">
      <c r="A13115" s="2" t="s">
        <v>299</v>
      </c>
    </row>
    <row r="13116" spans="1:1" ht="12.75">
      <c r="A13116" s="2" t="s">
        <v>289</v>
      </c>
    </row>
    <row r="13117" spans="1:1" ht="12.75">
      <c r="A13117" s="2" t="s">
        <v>289</v>
      </c>
    </row>
    <row r="13127" spans="1:1" ht="12.75">
      <c r="A13127" s="2" t="s">
        <v>291</v>
      </c>
    </row>
    <row r="13138" spans="1:1" ht="12.75">
      <c r="A13138" s="2" t="s">
        <v>292</v>
      </c>
    </row>
    <row r="13139" spans="1:1" ht="12.75">
      <c r="A13139" s="2" t="s">
        <v>289</v>
      </c>
    </row>
    <row r="13140" spans="1:1" ht="12.75">
      <c r="A13140" s="2" t="s">
        <v>289</v>
      </c>
    </row>
    <row r="13141" spans="1:1" ht="12.75">
      <c r="A13141" s="2" t="s">
        <v>289</v>
      </c>
    </row>
    <row r="13142" spans="1:1" ht="12.75">
      <c r="A13142" s="2" t="s">
        <v>291</v>
      </c>
    </row>
    <row r="13143" spans="1:1" ht="12.75">
      <c r="A13143" s="2" t="s">
        <v>291</v>
      </c>
    </row>
    <row r="13144" spans="1:1" ht="12.75">
      <c r="A13144" s="2" t="s">
        <v>299</v>
      </c>
    </row>
    <row r="13145" spans="1:1" ht="12.75">
      <c r="A13145" s="2" t="s">
        <v>299</v>
      </c>
    </row>
    <row r="13146" spans="1:1" ht="12.75">
      <c r="A13146" s="2" t="s">
        <v>290</v>
      </c>
    </row>
    <row r="13147" spans="1:1" ht="12.75">
      <c r="A13147" s="2" t="s">
        <v>290</v>
      </c>
    </row>
    <row r="13148" spans="1:1" ht="12.75">
      <c r="A13148" s="2" t="s">
        <v>290</v>
      </c>
    </row>
    <row r="13149" spans="1:1" ht="12.75">
      <c r="A13149" s="2" t="s">
        <v>292</v>
      </c>
    </row>
    <row r="13150" spans="1:1" ht="12.75">
      <c r="A13150" s="2" t="s">
        <v>291</v>
      </c>
    </row>
    <row r="13151" spans="1:1" ht="12.75">
      <c r="A13151" s="2" t="s">
        <v>299</v>
      </c>
    </row>
    <row r="13153" spans="1:1" ht="12.75">
      <c r="A13153" s="2" t="s">
        <v>299</v>
      </c>
    </row>
    <row r="13154" spans="1:1" ht="12.75">
      <c r="A13154" s="2" t="s">
        <v>290</v>
      </c>
    </row>
    <row r="13155" spans="1:1" ht="12.75">
      <c r="A13155" s="2" t="s">
        <v>290</v>
      </c>
    </row>
    <row r="13156" spans="1:1" ht="12.75">
      <c r="A13156" s="2" t="s">
        <v>289</v>
      </c>
    </row>
    <row r="13157" spans="1:1" ht="12.75">
      <c r="A13157" s="2" t="s">
        <v>289</v>
      </c>
    </row>
    <row r="13158" spans="1:1" ht="12.75">
      <c r="A13158" s="2" t="s">
        <v>292</v>
      </c>
    </row>
    <row r="13160" spans="1:1" ht="12.75">
      <c r="A13160" s="2" t="s">
        <v>289</v>
      </c>
    </row>
    <row r="13161" spans="1:1" ht="12.75">
      <c r="A13161" s="2" t="s">
        <v>289</v>
      </c>
    </row>
    <row r="13162" spans="1:1" ht="12.75">
      <c r="A13162" s="2" t="s">
        <v>290</v>
      </c>
    </row>
    <row r="13163" spans="1:1" ht="12.75">
      <c r="A13163" s="2" t="s">
        <v>290</v>
      </c>
    </row>
    <row r="13164" spans="1:1" ht="12.75">
      <c r="A13164" s="2" t="s">
        <v>291</v>
      </c>
    </row>
    <row r="13165" spans="1:1" ht="12.75">
      <c r="A13165" s="2" t="s">
        <v>291</v>
      </c>
    </row>
    <row r="13166" spans="1:1" ht="12.75">
      <c r="A13166" s="2" t="s">
        <v>293</v>
      </c>
    </row>
    <row r="13167" spans="1:1" ht="12.75">
      <c r="A13167" s="2" t="s">
        <v>293</v>
      </c>
    </row>
    <row r="13168" spans="1:1" ht="12.75">
      <c r="A13168" s="2" t="s">
        <v>291</v>
      </c>
    </row>
    <row r="13169" spans="1:1" ht="12.75">
      <c r="A13169" s="2" t="s">
        <v>291</v>
      </c>
    </row>
    <row r="13170" spans="1:1" ht="12.75">
      <c r="A13170" s="2" t="s">
        <v>289</v>
      </c>
    </row>
    <row r="13171" spans="1:1" ht="12.75">
      <c r="A13171" s="2" t="s">
        <v>289</v>
      </c>
    </row>
    <row r="13172" spans="1:1" ht="12.75">
      <c r="A13172" s="2" t="s">
        <v>291</v>
      </c>
    </row>
    <row r="13173" spans="1:1" ht="12.75">
      <c r="A13173" s="2" t="s">
        <v>289</v>
      </c>
    </row>
    <row r="13174" spans="1:1" ht="12.75">
      <c r="A13174" s="2" t="s">
        <v>291</v>
      </c>
    </row>
    <row r="13175" spans="1:1" ht="12.75">
      <c r="A13175" s="2" t="s">
        <v>289</v>
      </c>
    </row>
    <row r="13176" spans="1:1" ht="12.75">
      <c r="A13176" s="2" t="s">
        <v>290</v>
      </c>
    </row>
    <row r="13177" spans="1:1" ht="12.75">
      <c r="A13177" s="2" t="s">
        <v>290</v>
      </c>
    </row>
    <row r="13178" spans="1:1" ht="12.75">
      <c r="A13178" s="2" t="s">
        <v>272</v>
      </c>
    </row>
    <row r="13179" spans="1:1" ht="12.75">
      <c r="A13179" s="2" t="s">
        <v>270</v>
      </c>
    </row>
    <row r="13180" spans="1:1" ht="12.75">
      <c r="A13180" s="2" t="s">
        <v>269</v>
      </c>
    </row>
    <row r="13181" spans="1:1" ht="12.75">
      <c r="A13181" s="2" t="s">
        <v>268</v>
      </c>
    </row>
    <row r="13182" spans="1:1" ht="12.75">
      <c r="A13182" s="2" t="s">
        <v>271</v>
      </c>
    </row>
    <row r="13183" spans="1:1" ht="12.75">
      <c r="A13183" s="2" t="s">
        <v>268</v>
      </c>
    </row>
    <row r="13184" spans="1:1" ht="12.75">
      <c r="A13184" s="2" t="s">
        <v>273</v>
      </c>
    </row>
    <row r="13185" spans="1:1" ht="12.75">
      <c r="A13185" s="2" t="s">
        <v>269</v>
      </c>
    </row>
    <row r="13186" spans="1:1" ht="12.75">
      <c r="A13186" s="2" t="s">
        <v>269</v>
      </c>
    </row>
    <row r="13187" spans="1:1" ht="12.75">
      <c r="A13187" s="2" t="s">
        <v>271</v>
      </c>
    </row>
    <row r="13188" spans="1:1" ht="12.75">
      <c r="A13188" s="2" t="s">
        <v>272</v>
      </c>
    </row>
    <row r="13189" spans="1:1" ht="12.75">
      <c r="A13189" s="2" t="s">
        <v>269</v>
      </c>
    </row>
    <row r="13190" spans="1:1" ht="12.75">
      <c r="A13190" s="2" t="s">
        <v>268</v>
      </c>
    </row>
    <row r="13191" spans="1:1" ht="12.75">
      <c r="A13191" s="2" t="s">
        <v>272</v>
      </c>
    </row>
    <row r="13192" spans="1:1" ht="12.75">
      <c r="A13192" s="2" t="s">
        <v>273</v>
      </c>
    </row>
    <row r="13193" spans="1:1" ht="12.75">
      <c r="A13193" s="2" t="s">
        <v>268</v>
      </c>
    </row>
    <row r="13194" spans="1:1" ht="12.75">
      <c r="A13194" s="2" t="s">
        <v>270</v>
      </c>
    </row>
    <row r="13195" spans="1:1" ht="12.75">
      <c r="A13195" s="2" t="s">
        <v>273</v>
      </c>
    </row>
    <row r="13196" spans="1:1" ht="12.75">
      <c r="A13196" s="2" t="s">
        <v>271</v>
      </c>
    </row>
    <row r="13197" spans="1:1" ht="12.75">
      <c r="A13197" s="2" t="s">
        <v>270</v>
      </c>
    </row>
    <row r="13198" spans="1:1" ht="12.75">
      <c r="A13198" s="2" t="s">
        <v>270</v>
      </c>
    </row>
    <row r="13199" spans="1:1" ht="12.75">
      <c r="A13199" s="2" t="s">
        <v>271</v>
      </c>
    </row>
    <row r="13200" spans="1:1" ht="12.75">
      <c r="A13200" s="2" t="s">
        <v>268</v>
      </c>
    </row>
    <row r="13201" spans="1:1" ht="12.75">
      <c r="A13201" s="2" t="s">
        <v>270</v>
      </c>
    </row>
    <row r="13202" spans="1:1" ht="12.75">
      <c r="A13202" s="2" t="s">
        <v>269</v>
      </c>
    </row>
    <row r="13203" spans="1:1" ht="12.75">
      <c r="A13203" s="2" t="s">
        <v>268</v>
      </c>
    </row>
    <row r="13204" spans="1:1" ht="12.75">
      <c r="A13204" s="2" t="s">
        <v>273</v>
      </c>
    </row>
    <row r="13205" spans="1:1" ht="12.75">
      <c r="A13205" s="2" t="s">
        <v>269</v>
      </c>
    </row>
    <row r="13206" spans="1:1" ht="12.75">
      <c r="A13206" s="2" t="s">
        <v>270</v>
      </c>
    </row>
    <row r="13207" spans="1:1" ht="12.75">
      <c r="A13207" s="2" t="s">
        <v>271</v>
      </c>
    </row>
    <row r="13208" spans="1:1" ht="12.75">
      <c r="A13208" s="2" t="s">
        <v>273</v>
      </c>
    </row>
    <row r="13209" spans="1:1" ht="12.75">
      <c r="A13209" s="2" t="s">
        <v>273</v>
      </c>
    </row>
    <row r="13210" spans="1:1" ht="12.75">
      <c r="A13210" s="2" t="s">
        <v>269</v>
      </c>
    </row>
    <row r="13211" spans="1:1" ht="12.75">
      <c r="A13211" s="2" t="s">
        <v>269</v>
      </c>
    </row>
    <row r="13212" spans="1:1" ht="12.75">
      <c r="A13212" s="2" t="s">
        <v>268</v>
      </c>
    </row>
    <row r="13213" spans="1:1" ht="12.75">
      <c r="A13213" s="2" t="s">
        <v>272</v>
      </c>
    </row>
    <row r="13214" spans="1:1" ht="12.75">
      <c r="A13214" s="2" t="s">
        <v>268</v>
      </c>
    </row>
    <row r="13215" spans="1:1" ht="12.75">
      <c r="A13215" s="2" t="s">
        <v>273</v>
      </c>
    </row>
    <row r="13216" spans="1:1" ht="12.75">
      <c r="A13216" s="2" t="s">
        <v>269</v>
      </c>
    </row>
    <row r="13217" spans="1:1" ht="12.75">
      <c r="A13217" s="2" t="s">
        <v>268</v>
      </c>
    </row>
    <row r="13218" spans="1:1" ht="12.75">
      <c r="A13218" s="2" t="s">
        <v>268</v>
      </c>
    </row>
    <row r="13219" spans="1:1" ht="12.75">
      <c r="A13219" s="2" t="s">
        <v>268</v>
      </c>
    </row>
    <row r="13220" spans="1:1" ht="12.75">
      <c r="A13220" s="2" t="s">
        <v>273</v>
      </c>
    </row>
    <row r="13221" spans="1:1" ht="12.75">
      <c r="A13221" s="2" t="s">
        <v>273</v>
      </c>
    </row>
    <row r="13222" spans="1:1" ht="12.75">
      <c r="A13222" s="2" t="s">
        <v>270</v>
      </c>
    </row>
    <row r="13223" spans="1:1" ht="12.75">
      <c r="A13223" s="2" t="s">
        <v>270</v>
      </c>
    </row>
    <row r="13224" spans="1:1" ht="12.75">
      <c r="A13224" s="2" t="s">
        <v>272</v>
      </c>
    </row>
    <row r="13225" spans="1:1" ht="12.75">
      <c r="A13225" s="2" t="s">
        <v>272</v>
      </c>
    </row>
    <row r="13226" spans="1:1" ht="12.75">
      <c r="A13226" s="2" t="s">
        <v>268</v>
      </c>
    </row>
    <row r="13227" spans="1:1" ht="12.75">
      <c r="A13227" s="2" t="s">
        <v>268</v>
      </c>
    </row>
    <row r="13228" spans="1:1" ht="12.75">
      <c r="A13228" s="2" t="s">
        <v>273</v>
      </c>
    </row>
    <row r="13229" spans="1:1" ht="12.75">
      <c r="A13229" s="2" t="s">
        <v>273</v>
      </c>
    </row>
    <row r="13230" spans="1:1" ht="12.75">
      <c r="A13230" s="2" t="s">
        <v>271</v>
      </c>
    </row>
    <row r="13231" spans="1:1" ht="12.75">
      <c r="A13231" s="2" t="s">
        <v>271</v>
      </c>
    </row>
    <row r="13232" spans="1:1" ht="12.75">
      <c r="A13232" s="2" t="s">
        <v>270</v>
      </c>
    </row>
    <row r="13233" spans="1:1" ht="12.75">
      <c r="A13233" s="2" t="s">
        <v>269</v>
      </c>
    </row>
    <row r="13234" spans="1:1" ht="12.75">
      <c r="A13234" s="2" t="s">
        <v>271</v>
      </c>
    </row>
    <row r="13235" spans="1:1" ht="12.75">
      <c r="A13235" s="2" t="s">
        <v>270</v>
      </c>
    </row>
    <row r="13236" spans="1:1" ht="12.75">
      <c r="A13236" s="2" t="s">
        <v>273</v>
      </c>
    </row>
    <row r="13237" spans="1:1" ht="12.75">
      <c r="A13237" s="2" t="s">
        <v>272</v>
      </c>
    </row>
    <row r="13238" spans="1:1" ht="12.75">
      <c r="A13238" s="2" t="s">
        <v>272</v>
      </c>
    </row>
    <row r="13239" spans="1:1" ht="12.75">
      <c r="A13239" s="2" t="s">
        <v>271</v>
      </c>
    </row>
    <row r="13240" spans="1:1" ht="12.75">
      <c r="A13240" s="2" t="s">
        <v>269</v>
      </c>
    </row>
    <row r="13241" spans="1:1" ht="12.75">
      <c r="A13241" s="2" t="s">
        <v>272</v>
      </c>
    </row>
    <row r="13242" spans="1:1" ht="12.75">
      <c r="A13242" s="2" t="s">
        <v>268</v>
      </c>
    </row>
    <row r="13243" spans="1:1" ht="12.75">
      <c r="A13243" s="2" t="s">
        <v>269</v>
      </c>
    </row>
    <row r="13244" spans="1:1" ht="12.75">
      <c r="A13244" s="2" t="s">
        <v>271</v>
      </c>
    </row>
    <row r="13245" spans="1:1" ht="12.75">
      <c r="A13245" s="2" t="s">
        <v>270</v>
      </c>
    </row>
    <row r="13246" spans="1:1" ht="12.75">
      <c r="A13246" s="2" t="s">
        <v>272</v>
      </c>
    </row>
    <row r="13247" spans="1:1" ht="12.75">
      <c r="A13247" s="2" t="s">
        <v>273</v>
      </c>
    </row>
    <row r="13248" spans="1:1" ht="12.75">
      <c r="A13248" s="2" t="s">
        <v>268</v>
      </c>
    </row>
    <row r="13249" spans="1:1" ht="12.75">
      <c r="A13249" s="2" t="s">
        <v>272</v>
      </c>
    </row>
    <row r="13250" spans="1:1" ht="12.75">
      <c r="A13250" s="2" t="s">
        <v>272</v>
      </c>
    </row>
    <row r="13251" spans="1:1" ht="12.75">
      <c r="A13251" s="2" t="s">
        <v>272</v>
      </c>
    </row>
    <row r="13252" spans="1:1" ht="12.75">
      <c r="A13252" s="2" t="s">
        <v>268</v>
      </c>
    </row>
    <row r="13253" spans="1:1" ht="12.75">
      <c r="A13253" s="2" t="s">
        <v>268</v>
      </c>
    </row>
    <row r="13254" spans="1:1" ht="12.75">
      <c r="A13254" s="2" t="s">
        <v>271</v>
      </c>
    </row>
    <row r="13255" spans="1:1" ht="12.75">
      <c r="A13255" s="2" t="s">
        <v>271</v>
      </c>
    </row>
    <row r="13256" spans="1:1" ht="12.75">
      <c r="A13256" s="2" t="s">
        <v>273</v>
      </c>
    </row>
    <row r="13257" spans="1:1" ht="12.75">
      <c r="A13257" s="2" t="s">
        <v>270</v>
      </c>
    </row>
    <row r="13258" spans="1:1" ht="12.75">
      <c r="A13258" s="2" t="s">
        <v>269</v>
      </c>
    </row>
    <row r="13259" spans="1:1" ht="12.75">
      <c r="A13259" s="2" t="s">
        <v>269</v>
      </c>
    </row>
    <row r="13260" spans="1:1" ht="12.75">
      <c r="A13260" s="2" t="s">
        <v>273</v>
      </c>
    </row>
    <row r="13261" spans="1:1" ht="12.75">
      <c r="A13261" s="2" t="s">
        <v>268</v>
      </c>
    </row>
    <row r="13262" spans="1:1" ht="12.75">
      <c r="A13262" s="2" t="s">
        <v>271</v>
      </c>
    </row>
    <row r="13263" spans="1:1" ht="12.75">
      <c r="A13263" s="2" t="s">
        <v>268</v>
      </c>
    </row>
    <row r="13264" spans="1:1" ht="12.75">
      <c r="A13264" s="2" t="s">
        <v>270</v>
      </c>
    </row>
    <row r="13265" spans="1:1" ht="12.75">
      <c r="A13265" s="2" t="s">
        <v>268</v>
      </c>
    </row>
    <row r="13266" spans="1:1" ht="12.75">
      <c r="A13266" s="2" t="s">
        <v>269</v>
      </c>
    </row>
    <row r="13267" spans="1:1" ht="12.75">
      <c r="A13267" s="2" t="s">
        <v>269</v>
      </c>
    </row>
    <row r="13268" spans="1:1" ht="12.75">
      <c r="A13268" s="2" t="s">
        <v>272</v>
      </c>
    </row>
    <row r="13269" spans="1:1" ht="12.75">
      <c r="A13269" s="2" t="s">
        <v>272</v>
      </c>
    </row>
    <row r="13270" spans="1:1" ht="12.75">
      <c r="A13270" s="2" t="s">
        <v>332</v>
      </c>
    </row>
    <row r="13271" spans="1:1" ht="12.75">
      <c r="A13271" s="2" t="s">
        <v>273</v>
      </c>
    </row>
    <row r="13272" spans="1:1" ht="12.75">
      <c r="A13272" s="2" t="s">
        <v>270</v>
      </c>
    </row>
    <row r="13273" spans="1:1" ht="12.75">
      <c r="A13273" s="2" t="s">
        <v>270</v>
      </c>
    </row>
    <row r="13274" spans="1:1" ht="12.75">
      <c r="A13274" s="2" t="s">
        <v>271</v>
      </c>
    </row>
    <row r="13275" spans="1:1" ht="12.75">
      <c r="A13275" s="2" t="s">
        <v>272</v>
      </c>
    </row>
    <row r="13276" spans="1:1" ht="12.75">
      <c r="A13276" s="2" t="s">
        <v>273</v>
      </c>
    </row>
    <row r="13277" spans="1:1" ht="12.75">
      <c r="A13277" s="2" t="s">
        <v>272</v>
      </c>
    </row>
    <row r="13278" spans="1:1" ht="12.75">
      <c r="A13278" s="2" t="s">
        <v>550</v>
      </c>
    </row>
    <row r="13279" spans="1:1" ht="12.75">
      <c r="A13279" s="2" t="s">
        <v>550</v>
      </c>
    </row>
    <row r="13280" spans="1:1" ht="12.75">
      <c r="A13280" s="2" t="s">
        <v>550</v>
      </c>
    </row>
    <row r="13281" spans="1:1" ht="12.75">
      <c r="A13281" s="2" t="s">
        <v>550</v>
      </c>
    </row>
    <row r="13290" spans="1:1" ht="12.75">
      <c r="A13290" s="2" t="s">
        <v>647</v>
      </c>
    </row>
    <row r="13292" spans="1:1" ht="12.75">
      <c r="A13292" s="2" t="s">
        <v>394</v>
      </c>
    </row>
    <row r="13293" spans="1:1" ht="12.75">
      <c r="A13293" s="2" t="s">
        <v>151</v>
      </c>
    </row>
    <row r="13294" spans="1:1" ht="12.75">
      <c r="A13294" s="2" t="s">
        <v>151</v>
      </c>
    </row>
    <row r="13295" spans="1:1" ht="12.75">
      <c r="A13295" s="2" t="s">
        <v>151</v>
      </c>
    </row>
    <row r="13296" spans="1:1" ht="12.75">
      <c r="A13296" s="2" t="s">
        <v>151</v>
      </c>
    </row>
    <row r="13297" spans="1:1" ht="12.75">
      <c r="A13297" s="2" t="s">
        <v>532</v>
      </c>
    </row>
    <row r="13298" spans="1:1" ht="12.75">
      <c r="A13298" s="2" t="s">
        <v>151</v>
      </c>
    </row>
    <row r="13299" spans="1:1" ht="12.75">
      <c r="A13299" s="2" t="s">
        <v>151</v>
      </c>
    </row>
    <row r="13300" spans="1:1" ht="12.75">
      <c r="A13300" s="2" t="s">
        <v>151</v>
      </c>
    </row>
    <row r="13301" spans="1:1" ht="12.75">
      <c r="A13301" s="2" t="s">
        <v>151</v>
      </c>
    </row>
    <row r="13302" spans="1:1" ht="12.75">
      <c r="A13302" s="2" t="s">
        <v>151</v>
      </c>
    </row>
    <row r="13303" spans="1:1" ht="12.75">
      <c r="A13303" s="2" t="s">
        <v>151</v>
      </c>
    </row>
    <row r="13304" spans="1:1" ht="12.75">
      <c r="A13304" s="2" t="s">
        <v>151</v>
      </c>
    </row>
    <row r="13305" spans="1:1" ht="12.75">
      <c r="A13305" s="2" t="s">
        <v>151</v>
      </c>
    </row>
    <row r="13306" spans="1:1" ht="12.75">
      <c r="A13306" s="2" t="s">
        <v>151</v>
      </c>
    </row>
    <row r="13307" spans="1:1" ht="12.75">
      <c r="A13307" s="2" t="s">
        <v>280</v>
      </c>
    </row>
    <row r="13308" spans="1:1" ht="12.75">
      <c r="A13308" s="2" t="s">
        <v>280</v>
      </c>
    </row>
    <row r="13309" spans="1:1" ht="12.75">
      <c r="A13309" s="2" t="s">
        <v>280</v>
      </c>
    </row>
    <row r="13310" spans="1:1" ht="12.75">
      <c r="A13310" s="2" t="s">
        <v>280</v>
      </c>
    </row>
    <row r="13311" spans="1:1" ht="12.75">
      <c r="A13311" s="2" t="s">
        <v>280</v>
      </c>
    </row>
    <row r="13312" spans="1:1" ht="12.75">
      <c r="A13312" s="2" t="s">
        <v>280</v>
      </c>
    </row>
    <row r="13313" spans="1:1" ht="12.75">
      <c r="A13313" s="2" t="s">
        <v>280</v>
      </c>
    </row>
    <row r="13314" spans="1:1" ht="12.75">
      <c r="A13314" s="2" t="s">
        <v>280</v>
      </c>
    </row>
    <row r="13335" spans="1:1" ht="12.75">
      <c r="A13335" s="2" t="s">
        <v>235</v>
      </c>
    </row>
    <row r="13336" spans="1:1" ht="12.75">
      <c r="A13336" s="2" t="s">
        <v>235</v>
      </c>
    </row>
    <row r="13337" spans="1:1" ht="12.75">
      <c r="A13337" s="2" t="s">
        <v>235</v>
      </c>
    </row>
    <row r="13338" spans="1:1" ht="12.75">
      <c r="A13338" s="2" t="s">
        <v>233</v>
      </c>
    </row>
    <row r="13339" spans="1:1" ht="12.75">
      <c r="A13339" s="2" t="s">
        <v>199</v>
      </c>
    </row>
    <row r="13340" spans="1:1" ht="12.75">
      <c r="A13340" s="2" t="s">
        <v>199</v>
      </c>
    </row>
    <row r="13341" spans="1:1" ht="12.75">
      <c r="A13341" s="2" t="s">
        <v>234</v>
      </c>
    </row>
    <row r="13342" spans="1:1" ht="12.75">
      <c r="A13342" s="2" t="s">
        <v>234</v>
      </c>
    </row>
    <row r="13343" spans="1:1" ht="12.75">
      <c r="A13343" s="2" t="s">
        <v>234</v>
      </c>
    </row>
    <row r="13344" spans="1:1" ht="12.75">
      <c r="A13344" s="2" t="s">
        <v>234</v>
      </c>
    </row>
    <row r="13345" spans="1:1" ht="12.75">
      <c r="A13345" s="2" t="s">
        <v>234</v>
      </c>
    </row>
    <row r="13346" spans="1:1" ht="12.75">
      <c r="A13346" s="2" t="s">
        <v>648</v>
      </c>
    </row>
    <row r="13347" spans="1:1" ht="12.75">
      <c r="A13347" s="2" t="s">
        <v>233</v>
      </c>
    </row>
    <row r="13348" spans="1:1" ht="12.75">
      <c r="A13348" s="2" t="s">
        <v>233</v>
      </c>
    </row>
    <row r="13349" spans="1:1" ht="12.75">
      <c r="A13349" s="2" t="s">
        <v>235</v>
      </c>
    </row>
    <row r="13350" spans="1:1" ht="12.75">
      <c r="A13350" s="2" t="s">
        <v>199</v>
      </c>
    </row>
    <row r="13351" spans="1:1" ht="12.75">
      <c r="A13351" s="2" t="s">
        <v>235</v>
      </c>
    </row>
    <row r="13352" spans="1:1" ht="12.75">
      <c r="A13352" s="2" t="s">
        <v>199</v>
      </c>
    </row>
    <row r="13353" spans="1:1" ht="12.75">
      <c r="A13353" s="2" t="s">
        <v>234</v>
      </c>
    </row>
    <row r="13354" spans="1:1" ht="12.75">
      <c r="A13354" s="2" t="s">
        <v>234</v>
      </c>
    </row>
    <row r="13355" spans="1:1" ht="12.75">
      <c r="A13355" s="2" t="s">
        <v>233</v>
      </c>
    </row>
    <row r="13356" spans="1:1" ht="12.75">
      <c r="A13356" s="2" t="s">
        <v>233</v>
      </c>
    </row>
    <row r="13357" spans="1:1" ht="12.75">
      <c r="A13357" s="2" t="s">
        <v>233</v>
      </c>
    </row>
    <row r="13358" spans="1:1" ht="12.75">
      <c r="A13358" s="2" t="s">
        <v>233</v>
      </c>
    </row>
    <row r="13359" spans="1:1" ht="12.75">
      <c r="A13359" s="2" t="s">
        <v>199</v>
      </c>
    </row>
    <row r="13360" spans="1:1" ht="12.75">
      <c r="A13360" s="2" t="s">
        <v>199</v>
      </c>
    </row>
    <row r="13361" spans="1:1" ht="12.75">
      <c r="A13361" s="2" t="s">
        <v>199</v>
      </c>
    </row>
    <row r="13362" spans="1:1" ht="12.75">
      <c r="A13362" s="2" t="s">
        <v>199</v>
      </c>
    </row>
    <row r="13363" spans="1:1" ht="12.75">
      <c r="A13363" s="2" t="s">
        <v>199</v>
      </c>
    </row>
    <row r="13364" spans="1:1" ht="12.75">
      <c r="A13364" s="2" t="s">
        <v>199</v>
      </c>
    </row>
    <row r="13365" spans="1:1" ht="12.75">
      <c r="A13365" s="2" t="s">
        <v>235</v>
      </c>
    </row>
    <row r="13366" spans="1:1" ht="12.75">
      <c r="A13366" s="2" t="s">
        <v>235</v>
      </c>
    </row>
    <row r="13367" spans="1:1" ht="12.75">
      <c r="A13367" s="2" t="s">
        <v>235</v>
      </c>
    </row>
    <row r="13368" spans="1:1" ht="12.75">
      <c r="A13368" s="2" t="s">
        <v>235</v>
      </c>
    </row>
    <row r="13369" spans="1:1" ht="12.75">
      <c r="A13369" s="2" t="s">
        <v>233</v>
      </c>
    </row>
    <row r="13370" spans="1:1" ht="12.75">
      <c r="A13370" s="2" t="s">
        <v>233</v>
      </c>
    </row>
    <row r="13371" spans="1:1" ht="12.75">
      <c r="A13371" s="2" t="s">
        <v>233</v>
      </c>
    </row>
    <row r="13372" spans="1:1" ht="12.75">
      <c r="A13372" s="2" t="s">
        <v>233</v>
      </c>
    </row>
    <row r="13373" spans="1:1" ht="12.75">
      <c r="A13373" s="2" t="s">
        <v>233</v>
      </c>
    </row>
    <row r="13374" spans="1:1" ht="12.75">
      <c r="A13374" s="2" t="s">
        <v>233</v>
      </c>
    </row>
    <row r="13375" spans="1:1" ht="12.75">
      <c r="A13375" s="2" t="s">
        <v>233</v>
      </c>
    </row>
    <row r="13376" spans="1:1" ht="12.75">
      <c r="A13376" s="2" t="s">
        <v>233</v>
      </c>
    </row>
    <row r="13377" spans="1:1" ht="12.75">
      <c r="A13377" s="2" t="s">
        <v>234</v>
      </c>
    </row>
    <row r="13378" spans="1:1" ht="12.75">
      <c r="A13378" s="2" t="s">
        <v>234</v>
      </c>
    </row>
    <row r="13379" spans="1:1" ht="12.75">
      <c r="A13379" s="2" t="s">
        <v>234</v>
      </c>
    </row>
    <row r="13380" spans="1:1" ht="12.75">
      <c r="A13380" s="2" t="s">
        <v>234</v>
      </c>
    </row>
    <row r="13381" spans="1:1" ht="12.75">
      <c r="A13381" s="2" t="s">
        <v>234</v>
      </c>
    </row>
    <row r="13382" spans="1:1" ht="12.75">
      <c r="A13382" s="2" t="s">
        <v>199</v>
      </c>
    </row>
    <row r="13383" spans="1:1" ht="12.75">
      <c r="A13383" s="2" t="s">
        <v>199</v>
      </c>
    </row>
    <row r="13384" spans="1:1" ht="12.75">
      <c r="A13384" s="2" t="s">
        <v>199</v>
      </c>
    </row>
    <row r="13385" spans="1:1" ht="12.75">
      <c r="A13385" s="2" t="s">
        <v>235</v>
      </c>
    </row>
    <row r="13386" spans="1:1" ht="12.75">
      <c r="A13386" s="2" t="s">
        <v>235</v>
      </c>
    </row>
    <row r="13387" spans="1:1" ht="12.75">
      <c r="A13387" s="2" t="s">
        <v>233</v>
      </c>
    </row>
    <row r="13388" spans="1:1" ht="12.75">
      <c r="A13388" s="2" t="s">
        <v>233</v>
      </c>
    </row>
    <row r="13389" spans="1:1" ht="12.75">
      <c r="A13389" s="2" t="s">
        <v>236</v>
      </c>
    </row>
    <row r="13390" spans="1:1" ht="12.75">
      <c r="A13390" s="2" t="s">
        <v>236</v>
      </c>
    </row>
    <row r="13391" spans="1:1" ht="12.75">
      <c r="A13391" s="2" t="s">
        <v>234</v>
      </c>
    </row>
    <row r="13392" spans="1:1" ht="12.75">
      <c r="A13392" s="2" t="s">
        <v>234</v>
      </c>
    </row>
    <row r="13393" spans="1:1" ht="12.75">
      <c r="A13393" s="2" t="s">
        <v>234</v>
      </c>
    </row>
    <row r="13394" spans="1:1" ht="12.75">
      <c r="A13394" s="2" t="s">
        <v>235</v>
      </c>
    </row>
    <row r="13396" spans="1:1" ht="12.75">
      <c r="A13396" s="2" t="s">
        <v>649</v>
      </c>
    </row>
    <row r="13397" spans="1:1" ht="12.75">
      <c r="A13397" s="2" t="s">
        <v>649</v>
      </c>
    </row>
    <row r="13435" spans="1:1" ht="12.75">
      <c r="A13435" s="2" t="s">
        <v>543</v>
      </c>
    </row>
    <row r="13437" spans="1:1" ht="12.75">
      <c r="A13437" s="2" t="s">
        <v>543</v>
      </c>
    </row>
    <row r="13438" spans="1:1" ht="12.75">
      <c r="A13438" s="2" t="s">
        <v>543</v>
      </c>
    </row>
    <row r="13455" spans="1:1" ht="12.75">
      <c r="A13455" s="2" t="s">
        <v>358</v>
      </c>
    </row>
    <row r="13456" spans="1:1" ht="12.75">
      <c r="A13456" s="2" t="s">
        <v>358</v>
      </c>
    </row>
    <row r="13457" spans="1:1" ht="12.75">
      <c r="A13457" s="2" t="s">
        <v>358</v>
      </c>
    </row>
    <row r="13458" spans="1:1" ht="12.75">
      <c r="A13458" s="2" t="s">
        <v>358</v>
      </c>
    </row>
    <row r="13459" spans="1:1" ht="12.75">
      <c r="A13459" s="2" t="s">
        <v>358</v>
      </c>
    </row>
    <row r="13460" spans="1:1" ht="12.75">
      <c r="A13460" s="2" t="s">
        <v>358</v>
      </c>
    </row>
    <row r="13461" spans="1:1" ht="12.75">
      <c r="A13461" s="2" t="s">
        <v>358</v>
      </c>
    </row>
    <row r="13462" spans="1:1" ht="12.75">
      <c r="A13462" s="2" t="s">
        <v>358</v>
      </c>
    </row>
    <row r="13463" spans="1:1" ht="12.75">
      <c r="A13463" s="2" t="s">
        <v>358</v>
      </c>
    </row>
    <row r="13464" spans="1:1" ht="12.75">
      <c r="A13464" s="2" t="s">
        <v>358</v>
      </c>
    </row>
    <row r="13465" spans="1:1" ht="12.75">
      <c r="A13465" s="2" t="s">
        <v>358</v>
      </c>
    </row>
    <row r="13466" spans="1:1" ht="12.75">
      <c r="A13466" s="2" t="s">
        <v>358</v>
      </c>
    </row>
    <row r="13467" spans="1:1" ht="12.75">
      <c r="A13467" s="2" t="s">
        <v>358</v>
      </c>
    </row>
    <row r="13468" spans="1:1" ht="12.75">
      <c r="A13468" s="2" t="s">
        <v>358</v>
      </c>
    </row>
    <row r="13469" spans="1:1" ht="12.75">
      <c r="A13469" s="2" t="s">
        <v>650</v>
      </c>
    </row>
    <row r="13470" spans="1:1" ht="12.75">
      <c r="A13470" s="2" t="s">
        <v>651</v>
      </c>
    </row>
    <row r="13475" spans="1:1" ht="12.75">
      <c r="A13475" s="2" t="s">
        <v>652</v>
      </c>
    </row>
    <row r="13476" spans="1:1" ht="12.75">
      <c r="A13476" s="2" t="s">
        <v>652</v>
      </c>
    </row>
    <row r="13477" spans="1:1" ht="12.75">
      <c r="A13477" s="2" t="s">
        <v>624</v>
      </c>
    </row>
    <row r="13478" spans="1:1" ht="12.75">
      <c r="A13478" s="2" t="s">
        <v>652</v>
      </c>
    </row>
    <row r="13480" spans="1:1" ht="12.75">
      <c r="A13480" s="2" t="s">
        <v>652</v>
      </c>
    </row>
    <row r="13481" spans="1:1" ht="12.75">
      <c r="A13481" s="2" t="s">
        <v>624</v>
      </c>
    </row>
    <row r="13482" spans="1:1" ht="12.75">
      <c r="A13482" s="2" t="s">
        <v>359</v>
      </c>
    </row>
    <row r="13483" spans="1:1" ht="12.75">
      <c r="A13483" s="2" t="s">
        <v>359</v>
      </c>
    </row>
    <row r="13484" spans="1:1" ht="12.75">
      <c r="A13484" s="2" t="s">
        <v>359</v>
      </c>
    </row>
    <row r="13485" spans="1:1" ht="12.75">
      <c r="A13485" s="2" t="s">
        <v>651</v>
      </c>
    </row>
    <row r="13486" spans="1:1" ht="12.75">
      <c r="A13486" s="2" t="s">
        <v>651</v>
      </c>
    </row>
    <row r="13495" spans="1:1" ht="12.75">
      <c r="A13495" s="2" t="s">
        <v>651</v>
      </c>
    </row>
    <row r="13496" spans="1:1" ht="12.75">
      <c r="A13496" s="2" t="s">
        <v>651</v>
      </c>
    </row>
    <row r="13497" spans="1:1" ht="12.75">
      <c r="A13497" s="2" t="s">
        <v>358</v>
      </c>
    </row>
    <row r="13498" spans="1:1" ht="12.75">
      <c r="A13498" s="2" t="s">
        <v>358</v>
      </c>
    </row>
    <row r="13502" spans="1:1" ht="12.75">
      <c r="A13502" s="2" t="s">
        <v>359</v>
      </c>
    </row>
    <row r="13515" spans="1:1" ht="12.75">
      <c r="A13515" s="2" t="s">
        <v>159</v>
      </c>
    </row>
    <row r="13517" spans="1:1" ht="12.75">
      <c r="A13517" s="2" t="s">
        <v>345</v>
      </c>
    </row>
    <row r="13521" spans="1:1" ht="12.75">
      <c r="A13521" s="2" t="s">
        <v>345</v>
      </c>
    </row>
    <row r="13522" spans="1:1" ht="12.75">
      <c r="A13522" s="2" t="s">
        <v>159</v>
      </c>
    </row>
    <row r="13524" spans="1:1" ht="12.75">
      <c r="A13524" s="2" t="s">
        <v>159</v>
      </c>
    </row>
    <row r="13525" spans="1:1" ht="12.75">
      <c r="A13525" s="2" t="s">
        <v>159</v>
      </c>
    </row>
    <row r="13526" spans="1:1" ht="12.75">
      <c r="A13526" s="2" t="s">
        <v>345</v>
      </c>
    </row>
    <row r="13527" spans="1:1" ht="12.75">
      <c r="A13527" s="2" t="s">
        <v>159</v>
      </c>
    </row>
    <row r="13528" spans="1:1" ht="12.75">
      <c r="A13528" s="2" t="s">
        <v>345</v>
      </c>
    </row>
    <row r="13529" spans="1:1" ht="12.75">
      <c r="A13529" s="2" t="s">
        <v>159</v>
      </c>
    </row>
    <row r="13530" spans="1:1" ht="12.75">
      <c r="A13530" s="2" t="s">
        <v>159</v>
      </c>
    </row>
    <row r="13531" spans="1:1" ht="12.75">
      <c r="A13531" s="2" t="s">
        <v>159</v>
      </c>
    </row>
    <row r="13532" spans="1:1" ht="12.75">
      <c r="A13532" s="2" t="s">
        <v>159</v>
      </c>
    </row>
    <row r="13533" spans="1:1" ht="12.75">
      <c r="A13533" s="2" t="s">
        <v>159</v>
      </c>
    </row>
    <row r="13534" spans="1:1" ht="12.75">
      <c r="A13534" s="2" t="s">
        <v>345</v>
      </c>
    </row>
    <row r="13535" spans="1:1" ht="12.75">
      <c r="A13535" s="2" t="s">
        <v>159</v>
      </c>
    </row>
    <row r="13536" spans="1:1" ht="12.75">
      <c r="A13536" s="2" t="s">
        <v>159</v>
      </c>
    </row>
    <row r="13537" spans="1:1" ht="12.75">
      <c r="A13537" s="2" t="s">
        <v>159</v>
      </c>
    </row>
    <row r="13538" spans="1:1" ht="12.75">
      <c r="A13538" s="2" t="s">
        <v>159</v>
      </c>
    </row>
    <row r="13539" spans="1:1" ht="12.75">
      <c r="A13539" s="2" t="s">
        <v>345</v>
      </c>
    </row>
    <row r="13540" spans="1:1" ht="12.75">
      <c r="A13540" s="2" t="s">
        <v>345</v>
      </c>
    </row>
    <row r="13541" spans="1:1" ht="12.75">
      <c r="A13541" s="2" t="s">
        <v>345</v>
      </c>
    </row>
    <row r="13548" spans="1:1" ht="12.75">
      <c r="A13548" s="2" t="s">
        <v>294</v>
      </c>
    </row>
    <row r="13549" spans="1:1" ht="12.75">
      <c r="A13549" s="2" t="s">
        <v>294</v>
      </c>
    </row>
    <row r="13550" spans="1:1" ht="12.75">
      <c r="A13550" s="2" t="s">
        <v>294</v>
      </c>
    </row>
    <row r="13551" spans="1:1" ht="12.75">
      <c r="A13551" s="2" t="s">
        <v>294</v>
      </c>
    </row>
    <row r="13561" spans="1:1" ht="12.75">
      <c r="A13561" s="2" t="s">
        <v>391</v>
      </c>
    </row>
    <row r="13562" spans="1:1" ht="12.75">
      <c r="A13562" s="2" t="s">
        <v>160</v>
      </c>
    </row>
    <row r="13563" spans="1:1" ht="12.75">
      <c r="A13563" s="2" t="s">
        <v>380</v>
      </c>
    </row>
    <row r="13564" spans="1:1" ht="12.75">
      <c r="A13564" s="2" t="s">
        <v>380</v>
      </c>
    </row>
    <row r="13565" spans="1:1" ht="12.75">
      <c r="A13565" s="2" t="s">
        <v>380</v>
      </c>
    </row>
    <row r="13566" spans="1:1" ht="12.75">
      <c r="A13566" s="2" t="s">
        <v>380</v>
      </c>
    </row>
    <row r="13567" spans="1:1" ht="12.75">
      <c r="A13567" s="2" t="s">
        <v>381</v>
      </c>
    </row>
    <row r="13568" spans="1:1" ht="12.75">
      <c r="A13568" s="2" t="s">
        <v>381</v>
      </c>
    </row>
    <row r="13569" spans="1:1" ht="12.75">
      <c r="A13569" s="2" t="s">
        <v>381</v>
      </c>
    </row>
    <row r="13570" spans="1:1" ht="12.75">
      <c r="A13570" s="2" t="s">
        <v>381</v>
      </c>
    </row>
    <row r="13571" spans="1:1" ht="12.75">
      <c r="A13571" s="2" t="s">
        <v>381</v>
      </c>
    </row>
    <row r="13572" spans="1:1" ht="12.75">
      <c r="A13572" s="2" t="s">
        <v>381</v>
      </c>
    </row>
    <row r="13573" spans="1:1" ht="12.75">
      <c r="A13573" s="2" t="s">
        <v>381</v>
      </c>
    </row>
    <row r="13574" spans="1:1" ht="12.75">
      <c r="A13574" s="2" t="s">
        <v>381</v>
      </c>
    </row>
    <row r="13575" spans="1:1" ht="12.75">
      <c r="A13575" s="2" t="s">
        <v>507</v>
      </c>
    </row>
    <row r="13576" spans="1:1" ht="12.75">
      <c r="A13576" s="2" t="s">
        <v>507</v>
      </c>
    </row>
    <row r="13577" spans="1:1" ht="12.75">
      <c r="A13577" s="2" t="s">
        <v>507</v>
      </c>
    </row>
    <row r="13578" spans="1:1" ht="12.75">
      <c r="A13578" s="2" t="s">
        <v>507</v>
      </c>
    </row>
    <row r="13579" spans="1:1" ht="12.75">
      <c r="A13579" s="2" t="s">
        <v>507</v>
      </c>
    </row>
    <row r="13580" spans="1:1" ht="12.75">
      <c r="A13580" s="2" t="s">
        <v>507</v>
      </c>
    </row>
    <row r="13581" spans="1:1" ht="12.75">
      <c r="A13581" s="2" t="s">
        <v>507</v>
      </c>
    </row>
    <row r="13582" spans="1:1" ht="12.75">
      <c r="A13582" s="2" t="s">
        <v>507</v>
      </c>
    </row>
    <row r="13583" spans="1:1" ht="12.75">
      <c r="A13583" s="2" t="s">
        <v>507</v>
      </c>
    </row>
    <row r="13584" spans="1:1" ht="12.75">
      <c r="A13584" s="2" t="s">
        <v>381</v>
      </c>
    </row>
    <row r="13585" spans="1:1" ht="12.75">
      <c r="A13585" s="2" t="s">
        <v>381</v>
      </c>
    </row>
    <row r="13586" spans="1:1" ht="12.75">
      <c r="A13586" s="2" t="s">
        <v>381</v>
      </c>
    </row>
    <row r="13587" spans="1:1" ht="12.75">
      <c r="A13587" s="2" t="s">
        <v>381</v>
      </c>
    </row>
    <row r="13588" spans="1:1" ht="12.75">
      <c r="A13588" s="2" t="s">
        <v>381</v>
      </c>
    </row>
    <row r="13589" spans="1:1" ht="12.75">
      <c r="A13589" s="2" t="s">
        <v>507</v>
      </c>
    </row>
    <row r="13590" spans="1:1" ht="12.75">
      <c r="A13590" s="2" t="s">
        <v>507</v>
      </c>
    </row>
    <row r="13591" spans="1:1" ht="12.75">
      <c r="A13591" s="2" t="s">
        <v>381</v>
      </c>
    </row>
    <row r="13592" spans="1:1" ht="12.75">
      <c r="A13592" s="2" t="s">
        <v>381</v>
      </c>
    </row>
    <row r="13593" spans="1:1" ht="12.75">
      <c r="A13593" s="2" t="s">
        <v>566</v>
      </c>
    </row>
    <row r="13594" spans="1:1" ht="12.75">
      <c r="A13594" s="2" t="s">
        <v>566</v>
      </c>
    </row>
    <row r="13595" spans="1:1" ht="12.75">
      <c r="A13595" s="2" t="s">
        <v>566</v>
      </c>
    </row>
    <row r="13596" spans="1:1" ht="12.75">
      <c r="A13596" s="2" t="s">
        <v>566</v>
      </c>
    </row>
    <row r="13597" spans="1:1" ht="12.75">
      <c r="A13597" s="2" t="s">
        <v>566</v>
      </c>
    </row>
    <row r="13598" spans="1:1" ht="12.75">
      <c r="A13598" s="2" t="s">
        <v>566</v>
      </c>
    </row>
    <row r="13599" spans="1:1" ht="12.75">
      <c r="A13599" s="2" t="s">
        <v>566</v>
      </c>
    </row>
    <row r="13600" spans="1:1" ht="12.75">
      <c r="A13600" s="2" t="s">
        <v>566</v>
      </c>
    </row>
    <row r="13601" spans="1:1" ht="12.75">
      <c r="A13601" s="2" t="s">
        <v>566</v>
      </c>
    </row>
    <row r="13602" spans="1:1" ht="12.75">
      <c r="A13602" s="2" t="s">
        <v>566</v>
      </c>
    </row>
    <row r="13603" spans="1:1" ht="12.75">
      <c r="A13603" s="2" t="s">
        <v>566</v>
      </c>
    </row>
    <row r="13604" spans="1:1" ht="12.75">
      <c r="A13604" s="2" t="s">
        <v>566</v>
      </c>
    </row>
    <row r="13605" spans="1:1" ht="12.75">
      <c r="A13605" s="2" t="s">
        <v>566</v>
      </c>
    </row>
    <row r="13606" spans="1:1" ht="12.75">
      <c r="A13606" s="2" t="s">
        <v>653</v>
      </c>
    </row>
    <row r="13607" spans="1:1" ht="12.75">
      <c r="A13607" s="2" t="s">
        <v>654</v>
      </c>
    </row>
    <row r="13608" spans="1:1" ht="12.75">
      <c r="A13608" s="2" t="s">
        <v>331</v>
      </c>
    </row>
    <row r="13609" spans="1:1" ht="12.75">
      <c r="A13609" s="2" t="s">
        <v>331</v>
      </c>
    </row>
    <row r="13610" spans="1:1" ht="12.75">
      <c r="A13610" s="2" t="s">
        <v>331</v>
      </c>
    </row>
    <row r="13612" spans="1:1" ht="12.75">
      <c r="A13612" s="2" t="s">
        <v>331</v>
      </c>
    </row>
    <row r="13615" spans="1:1" ht="12.75">
      <c r="A13615" s="2" t="s">
        <v>331</v>
      </c>
    </row>
    <row r="13622" spans="1:1" ht="12.75">
      <c r="A13622" s="2" t="s">
        <v>331</v>
      </c>
    </row>
    <row r="13625" spans="1:1" ht="12.75">
      <c r="A13625" s="2" t="s">
        <v>332</v>
      </c>
    </row>
    <row r="13628" spans="1:1" ht="12.75">
      <c r="A13628" s="2" t="s">
        <v>332</v>
      </c>
    </row>
    <row r="13629" spans="1:1" ht="12.75">
      <c r="A13629" s="2" t="s">
        <v>331</v>
      </c>
    </row>
    <row r="13631" spans="1:1" ht="12.75">
      <c r="A13631" s="2" t="s">
        <v>331</v>
      </c>
    </row>
    <row r="13632" spans="1:1" ht="12.75">
      <c r="A13632" s="2" t="s">
        <v>332</v>
      </c>
    </row>
    <row r="13633" spans="1:1" ht="12.75">
      <c r="A13633" s="2" t="s">
        <v>331</v>
      </c>
    </row>
    <row r="13635" spans="1:1" ht="12.75">
      <c r="A13635" s="2" t="s">
        <v>332</v>
      </c>
    </row>
    <row r="13636" spans="1:1" ht="12.75">
      <c r="A13636" s="2" t="s">
        <v>332</v>
      </c>
    </row>
    <row r="13637" spans="1:1" ht="12.75">
      <c r="A13637" s="2" t="s">
        <v>332</v>
      </c>
    </row>
    <row r="13638" spans="1:1" ht="12.75">
      <c r="A13638" s="2" t="s">
        <v>331</v>
      </c>
    </row>
    <row r="13640" spans="1:1" ht="12.75">
      <c r="A13640" s="2" t="s">
        <v>331</v>
      </c>
    </row>
    <row r="13641" spans="1:1" ht="12.75">
      <c r="A13641" s="2" t="s">
        <v>331</v>
      </c>
    </row>
    <row r="13642" spans="1:1" ht="12.75">
      <c r="A13642" s="2" t="s">
        <v>331</v>
      </c>
    </row>
    <row r="13643" spans="1:1" ht="12.75">
      <c r="A13643" s="2" t="s">
        <v>332</v>
      </c>
    </row>
    <row r="13644" spans="1:1" ht="12.75">
      <c r="A13644" s="2" t="s">
        <v>331</v>
      </c>
    </row>
    <row r="13645" spans="1:1" ht="12.75">
      <c r="A13645" s="2" t="s">
        <v>331</v>
      </c>
    </row>
    <row r="13646" spans="1:1" ht="12.75">
      <c r="A13646" s="2" t="s">
        <v>331</v>
      </c>
    </row>
    <row r="13647" spans="1:1" ht="12.75">
      <c r="A13647" s="2" t="s">
        <v>331</v>
      </c>
    </row>
    <row r="13648" spans="1:1" ht="12.75">
      <c r="A13648" s="2" t="s">
        <v>331</v>
      </c>
    </row>
    <row r="13649" spans="1:1" ht="12.75">
      <c r="A13649" s="2" t="s">
        <v>331</v>
      </c>
    </row>
    <row r="13650" spans="1:1" ht="12.75">
      <c r="A13650" s="2" t="s">
        <v>332</v>
      </c>
    </row>
    <row r="13651" spans="1:1" ht="12.75">
      <c r="A13651" s="2" t="s">
        <v>331</v>
      </c>
    </row>
    <row r="13652" spans="1:1" ht="12.75">
      <c r="A13652" s="2" t="s">
        <v>332</v>
      </c>
    </row>
    <row r="13653" spans="1:1" ht="12.75">
      <c r="A13653" s="2" t="s">
        <v>331</v>
      </c>
    </row>
    <row r="13654" spans="1:1" ht="12.75">
      <c r="A13654" s="2" t="s">
        <v>332</v>
      </c>
    </row>
    <row r="13655" spans="1:1" ht="12.75">
      <c r="A13655" s="2" t="s">
        <v>331</v>
      </c>
    </row>
    <row r="13656" spans="1:1" ht="12.75">
      <c r="A13656" s="2" t="s">
        <v>332</v>
      </c>
    </row>
    <row r="13657" spans="1:1" ht="12.75">
      <c r="A13657" s="2" t="s">
        <v>331</v>
      </c>
    </row>
    <row r="13660" spans="1:1" ht="12.75">
      <c r="A13660" s="2" t="s">
        <v>281</v>
      </c>
    </row>
    <row r="13661" spans="1:1" ht="12.75">
      <c r="A13661" s="2" t="s">
        <v>655</v>
      </c>
    </row>
    <row r="13668" spans="1:1" ht="12.75">
      <c r="A13668" s="2" t="s">
        <v>656</v>
      </c>
    </row>
    <row r="13669" spans="1:1" ht="12.75">
      <c r="A13669" s="2" t="s">
        <v>470</v>
      </c>
    </row>
    <row r="13671" spans="1:1" ht="12.75">
      <c r="A13671" s="2" t="s">
        <v>657</v>
      </c>
    </row>
    <row r="13672" spans="1:1" ht="12.75">
      <c r="A13672" s="2" t="s">
        <v>658</v>
      </c>
    </row>
    <row r="13673" spans="1:1" ht="12.75">
      <c r="A13673" s="2" t="s">
        <v>524</v>
      </c>
    </row>
    <row r="13674" spans="1:1" ht="12.75">
      <c r="A13674" s="2" t="s">
        <v>524</v>
      </c>
    </row>
    <row r="13675" spans="1:1" ht="12.75">
      <c r="A13675" s="2" t="s">
        <v>526</v>
      </c>
    </row>
    <row r="13676" spans="1:1" ht="12.75">
      <c r="A13676" s="2" t="s">
        <v>525</v>
      </c>
    </row>
    <row r="13694" spans="1:1" ht="12.75">
      <c r="A13694" s="2" t="s">
        <v>659</v>
      </c>
    </row>
    <row r="13695" spans="1:1" ht="12.75">
      <c r="A13695" s="2" t="s">
        <v>659</v>
      </c>
    </row>
    <row r="13696" spans="1:1" ht="12.75">
      <c r="A13696" s="2" t="s">
        <v>310</v>
      </c>
    </row>
    <row r="13697" spans="1:1" ht="12.75">
      <c r="A13697" s="2" t="s">
        <v>190</v>
      </c>
    </row>
    <row r="13698" spans="1:1" ht="12.75">
      <c r="A13698" s="2" t="s">
        <v>310</v>
      </c>
    </row>
    <row r="13700" spans="1:1" ht="12.75">
      <c r="A13700" s="2" t="s">
        <v>190</v>
      </c>
    </row>
    <row r="13702" spans="1:1" ht="12.75">
      <c r="A13702" s="2" t="s">
        <v>313</v>
      </c>
    </row>
    <row r="13703" spans="1:1" ht="12.75">
      <c r="A13703" s="2" t="s">
        <v>190</v>
      </c>
    </row>
    <row r="13704" spans="1:1" ht="12.75">
      <c r="A13704" s="2" t="s">
        <v>311</v>
      </c>
    </row>
    <row r="13705" spans="1:1" ht="12.75">
      <c r="A13705" s="2" t="s">
        <v>310</v>
      </c>
    </row>
    <row r="13706" spans="1:1" ht="12.75">
      <c r="A13706" s="2" t="s">
        <v>313</v>
      </c>
    </row>
    <row r="13707" spans="1:1" ht="12.75">
      <c r="A13707" s="2" t="s">
        <v>309</v>
      </c>
    </row>
    <row r="13708" spans="1:1" ht="12.75">
      <c r="A13708" s="2" t="s">
        <v>659</v>
      </c>
    </row>
    <row r="13709" spans="1:1" ht="12.75">
      <c r="A13709" s="2" t="s">
        <v>309</v>
      </c>
    </row>
    <row r="13710" spans="1:1" ht="12.75">
      <c r="A13710" s="2" t="s">
        <v>660</v>
      </c>
    </row>
    <row r="13711" spans="1:1" ht="12.75">
      <c r="A13711" s="2" t="s">
        <v>311</v>
      </c>
    </row>
    <row r="13712" spans="1:1" ht="12.75">
      <c r="A13712" s="2" t="s">
        <v>190</v>
      </c>
    </row>
    <row r="13714" spans="1:1" ht="12.75">
      <c r="A13714" s="2" t="s">
        <v>661</v>
      </c>
    </row>
    <row r="13715" spans="1:1" ht="12.75">
      <c r="A13715" s="2" t="s">
        <v>372</v>
      </c>
    </row>
    <row r="13716" spans="1:1" ht="12.75">
      <c r="A13716" s="2" t="s">
        <v>312</v>
      </c>
    </row>
    <row r="13717" spans="1:1" ht="12.75">
      <c r="A13717" s="2" t="s">
        <v>312</v>
      </c>
    </row>
    <row r="13718" spans="1:1" ht="12.75">
      <c r="A13718" s="2" t="s">
        <v>312</v>
      </c>
    </row>
    <row r="13719" spans="1:1" ht="12.75">
      <c r="A13719" s="2" t="s">
        <v>312</v>
      </c>
    </row>
    <row r="13720" spans="1:1" ht="12.75">
      <c r="A13720" s="2" t="s">
        <v>312</v>
      </c>
    </row>
    <row r="13721" spans="1:1" ht="12.75">
      <c r="A13721" s="2" t="s">
        <v>662</v>
      </c>
    </row>
    <row r="13722" spans="1:1" ht="12.75">
      <c r="A13722" s="2" t="s">
        <v>312</v>
      </c>
    </row>
    <row r="13724" spans="1:1" ht="12.75">
      <c r="A13724" s="2" t="s">
        <v>312</v>
      </c>
    </row>
    <row r="13726" spans="1:1" ht="12.75">
      <c r="A13726" s="2" t="s">
        <v>372</v>
      </c>
    </row>
    <row r="13728" spans="1:1" ht="12.75">
      <c r="A13728" s="2" t="s">
        <v>372</v>
      </c>
    </row>
    <row r="13730" spans="1:1" ht="12.75">
      <c r="A13730" s="2" t="s">
        <v>312</v>
      </c>
    </row>
    <row r="13732" spans="1:1" ht="12.75">
      <c r="A13732" s="2" t="s">
        <v>312</v>
      </c>
    </row>
    <row r="13733" spans="1:1" ht="12.75">
      <c r="A13733" s="2" t="s">
        <v>312</v>
      </c>
    </row>
    <row r="13734" spans="1:1" ht="12.75">
      <c r="A13734" s="2" t="s">
        <v>312</v>
      </c>
    </row>
    <row r="13735" spans="1:1" ht="12.75">
      <c r="A13735" s="2" t="s">
        <v>312</v>
      </c>
    </row>
    <row r="13736" spans="1:1" ht="12.75">
      <c r="A13736" s="2" t="s">
        <v>312</v>
      </c>
    </row>
    <row r="13738" spans="1:1" ht="12.75">
      <c r="A13738" s="2" t="s">
        <v>312</v>
      </c>
    </row>
    <row r="13739" spans="1:1" ht="12.75">
      <c r="A13739" s="2" t="s">
        <v>312</v>
      </c>
    </row>
    <row r="13740" spans="1:1" ht="12.75">
      <c r="A13740" s="2" t="s">
        <v>312</v>
      </c>
    </row>
    <row r="13741" spans="1:1" ht="12.75">
      <c r="A13741" s="2" t="s">
        <v>190</v>
      </c>
    </row>
    <row r="13742" spans="1:1" ht="12.75">
      <c r="A13742" s="2" t="s">
        <v>312</v>
      </c>
    </row>
    <row r="13743" spans="1:1" ht="12.75">
      <c r="A13743" s="2" t="s">
        <v>312</v>
      </c>
    </row>
    <row r="13744" spans="1:1" ht="12.75">
      <c r="A13744" s="2" t="s">
        <v>444</v>
      </c>
    </row>
    <row r="13745" spans="1:1" ht="12.75">
      <c r="A13745" s="2" t="s">
        <v>312</v>
      </c>
    </row>
    <row r="13747" spans="1:1" ht="12.75">
      <c r="A13747" s="2" t="s">
        <v>312</v>
      </c>
    </row>
    <row r="13748" spans="1:1" ht="12.75">
      <c r="A13748" s="2" t="s">
        <v>312</v>
      </c>
    </row>
    <row r="13749" spans="1:1" ht="12.75">
      <c r="A13749" s="2" t="s">
        <v>310</v>
      </c>
    </row>
    <row r="13750" spans="1:1" ht="12.75">
      <c r="A13750" s="2" t="s">
        <v>663</v>
      </c>
    </row>
    <row r="13751" spans="1:1" ht="12.75">
      <c r="A13751" s="2" t="s">
        <v>312</v>
      </c>
    </row>
    <row r="13752" spans="1:1" ht="12.75">
      <c r="A13752" s="2" t="s">
        <v>312</v>
      </c>
    </row>
    <row r="13753" spans="1:1" ht="12.75">
      <c r="A13753" s="2" t="s">
        <v>312</v>
      </c>
    </row>
    <row r="13754" spans="1:1" ht="12.75">
      <c r="A13754" s="2" t="s">
        <v>372</v>
      </c>
    </row>
    <row r="13755" spans="1:1" ht="12.75">
      <c r="A13755" s="2" t="s">
        <v>312</v>
      </c>
    </row>
    <row r="13756" spans="1:1" ht="12.75">
      <c r="A13756" s="2" t="s">
        <v>312</v>
      </c>
    </row>
    <row r="13757" spans="1:1" ht="12.75">
      <c r="A13757" s="2" t="s">
        <v>312</v>
      </c>
    </row>
    <row r="13758" spans="1:1" ht="12.75">
      <c r="A13758" s="2" t="s">
        <v>312</v>
      </c>
    </row>
    <row r="13759" spans="1:1" ht="12.75">
      <c r="A13759" s="2" t="s">
        <v>312</v>
      </c>
    </row>
    <row r="13760" spans="1:1" ht="12.75">
      <c r="A13760" s="2" t="s">
        <v>312</v>
      </c>
    </row>
    <row r="13761" spans="1:1" ht="12.75">
      <c r="A13761" s="2" t="s">
        <v>312</v>
      </c>
    </row>
    <row r="13762" spans="1:1" ht="12.75">
      <c r="A13762" s="2" t="s">
        <v>312</v>
      </c>
    </row>
    <row r="13763" spans="1:1" ht="12.75">
      <c r="A13763" s="2" t="s">
        <v>312</v>
      </c>
    </row>
    <row r="13764" spans="1:1" ht="12.75">
      <c r="A13764" s="2" t="s">
        <v>664</v>
      </c>
    </row>
    <row r="13765" spans="1:1" ht="12.75">
      <c r="A13765" s="2" t="s">
        <v>662</v>
      </c>
    </row>
    <row r="13766" spans="1:1" ht="12.75">
      <c r="A13766" s="2" t="s">
        <v>664</v>
      </c>
    </row>
    <row r="13767" spans="1:1" ht="12.75">
      <c r="A13767" s="2" t="s">
        <v>664</v>
      </c>
    </row>
    <row r="13768" spans="1:1" ht="12.75">
      <c r="A13768" s="2" t="s">
        <v>665</v>
      </c>
    </row>
    <row r="13769" spans="1:1" ht="12.75">
      <c r="A13769" s="2" t="s">
        <v>662</v>
      </c>
    </row>
    <row r="13770" spans="1:1" ht="12.75">
      <c r="A13770" s="2" t="s">
        <v>664</v>
      </c>
    </row>
    <row r="13771" spans="1:1" ht="12.75">
      <c r="A13771" s="2" t="s">
        <v>661</v>
      </c>
    </row>
    <row r="13772" spans="1:1" ht="12.75">
      <c r="A13772" s="2" t="s">
        <v>665</v>
      </c>
    </row>
    <row r="13773" spans="1:1" ht="12.75">
      <c r="A13773" s="2" t="s">
        <v>665</v>
      </c>
    </row>
    <row r="13774" spans="1:1" ht="12.75">
      <c r="A13774" s="2" t="s">
        <v>662</v>
      </c>
    </row>
    <row r="13775" spans="1:1" ht="12.75">
      <c r="A13775" s="2" t="s">
        <v>662</v>
      </c>
    </row>
    <row r="13776" spans="1:1" ht="12.75">
      <c r="A13776" s="2" t="s">
        <v>528</v>
      </c>
    </row>
    <row r="13777" spans="1:1" ht="12.75">
      <c r="A13777" s="2" t="s">
        <v>666</v>
      </c>
    </row>
    <row r="13778" spans="1:1" ht="12.75">
      <c r="A13778" s="2" t="s">
        <v>666</v>
      </c>
    </row>
    <row r="13779" spans="1:1" ht="12.75">
      <c r="A13779" s="2" t="s">
        <v>662</v>
      </c>
    </row>
    <row r="13780" spans="1:1" ht="12.75">
      <c r="A13780" s="2" t="s">
        <v>664</v>
      </c>
    </row>
    <row r="13781" spans="1:1" ht="12.75">
      <c r="A13781" s="2" t="s">
        <v>664</v>
      </c>
    </row>
    <row r="13782" spans="1:1" ht="12.75">
      <c r="A13782" s="2" t="s">
        <v>667</v>
      </c>
    </row>
    <row r="13783" spans="1:1" ht="12.75">
      <c r="A13783" s="2" t="s">
        <v>662</v>
      </c>
    </row>
    <row r="13784" spans="1:1" ht="12.75">
      <c r="A13784" s="2" t="s">
        <v>664</v>
      </c>
    </row>
    <row r="13785" spans="1:1" ht="12.75">
      <c r="A13785" s="2" t="s">
        <v>668</v>
      </c>
    </row>
    <row r="13786" spans="1:1" ht="12.75">
      <c r="A13786" s="2" t="s">
        <v>667</v>
      </c>
    </row>
    <row r="13787" spans="1:1" ht="12.75">
      <c r="A13787" s="2" t="s">
        <v>662</v>
      </c>
    </row>
    <row r="13788" spans="1:1" ht="12.75">
      <c r="A13788" s="2" t="s">
        <v>667</v>
      </c>
    </row>
    <row r="13789" spans="1:1" ht="12.75">
      <c r="A13789" s="2" t="s">
        <v>662</v>
      </c>
    </row>
    <row r="13790" spans="1:1" ht="12.75">
      <c r="A13790" s="2" t="s">
        <v>664</v>
      </c>
    </row>
    <row r="13791" spans="1:1" ht="12.75">
      <c r="A13791" s="2" t="s">
        <v>665</v>
      </c>
    </row>
    <row r="13792" spans="1:1" ht="12.75">
      <c r="A13792" s="2" t="s">
        <v>662</v>
      </c>
    </row>
    <row r="13793" spans="1:1" ht="12.75">
      <c r="A13793" s="2" t="s">
        <v>665</v>
      </c>
    </row>
    <row r="13794" spans="1:1" ht="12.75">
      <c r="A13794" s="2" t="s">
        <v>664</v>
      </c>
    </row>
    <row r="13795" spans="1:1" ht="12.75">
      <c r="A13795" s="2" t="s">
        <v>667</v>
      </c>
    </row>
    <row r="13796" spans="1:1" ht="12.75">
      <c r="A13796" s="2" t="s">
        <v>662</v>
      </c>
    </row>
    <row r="13797" spans="1:1" ht="12.75">
      <c r="A13797" s="2" t="s">
        <v>664</v>
      </c>
    </row>
    <row r="13798" spans="1:1" ht="12.75">
      <c r="A13798" s="2" t="s">
        <v>664</v>
      </c>
    </row>
    <row r="13799" spans="1:1" ht="12.75">
      <c r="A13799" s="2" t="s">
        <v>664</v>
      </c>
    </row>
    <row r="13800" spans="1:1" ht="12.75">
      <c r="A13800" s="2" t="s">
        <v>667</v>
      </c>
    </row>
    <row r="13801" spans="1:1" ht="12.75">
      <c r="A13801" s="2" t="s">
        <v>662</v>
      </c>
    </row>
    <row r="13802" spans="1:1" ht="12.75">
      <c r="A13802" s="2" t="s">
        <v>664</v>
      </c>
    </row>
    <row r="13803" spans="1:1" ht="12.75">
      <c r="A13803" s="2" t="s">
        <v>664</v>
      </c>
    </row>
    <row r="13804" spans="1:1" ht="12.75">
      <c r="A13804" s="2" t="s">
        <v>190</v>
      </c>
    </row>
    <row r="13805" spans="1:1" ht="12.75">
      <c r="A13805" s="2" t="s">
        <v>311</v>
      </c>
    </row>
    <row r="13806" spans="1:1" ht="12.75">
      <c r="A13806" s="2" t="s">
        <v>311</v>
      </c>
    </row>
    <row r="13807" spans="1:1" ht="12.75">
      <c r="A13807" s="2" t="s">
        <v>311</v>
      </c>
    </row>
    <row r="13808" spans="1:1" ht="12.75">
      <c r="A13808" s="2" t="s">
        <v>190</v>
      </c>
    </row>
    <row r="13809" spans="1:1" ht="12.75">
      <c r="A13809" s="2" t="s">
        <v>659</v>
      </c>
    </row>
    <row r="13810" spans="1:1" ht="12.75">
      <c r="A13810" s="2" t="s">
        <v>311</v>
      </c>
    </row>
    <row r="13811" spans="1:1" ht="12.75">
      <c r="A13811" s="2" t="s">
        <v>190</v>
      </c>
    </row>
    <row r="13812" spans="1:1" ht="12.75">
      <c r="A13812" s="2" t="s">
        <v>659</v>
      </c>
    </row>
    <row r="13813" spans="1:1" ht="12.75">
      <c r="A13813" s="2" t="s">
        <v>311</v>
      </c>
    </row>
    <row r="13815" spans="1:1" ht="12.75">
      <c r="A13815" s="2" t="s">
        <v>311</v>
      </c>
    </row>
    <row r="13816" spans="1:1" ht="12.75">
      <c r="A13816" s="2" t="s">
        <v>311</v>
      </c>
    </row>
    <row r="13817" spans="1:1" ht="12.75">
      <c r="A13817" s="2" t="s">
        <v>310</v>
      </c>
    </row>
    <row r="13818" spans="1:1" ht="12.75">
      <c r="A13818" s="2" t="s">
        <v>313</v>
      </c>
    </row>
    <row r="13819" spans="1:1" ht="12.75">
      <c r="A13819" s="2" t="s">
        <v>311</v>
      </c>
    </row>
    <row r="13821" spans="1:1" ht="12.75">
      <c r="A13821" s="2" t="s">
        <v>310</v>
      </c>
    </row>
    <row r="13822" spans="1:1" ht="12.75">
      <c r="A13822" s="2" t="s">
        <v>669</v>
      </c>
    </row>
    <row r="13823" spans="1:1" ht="12.75">
      <c r="A13823" s="2" t="s">
        <v>311</v>
      </c>
    </row>
    <row r="13824" spans="1:1" ht="12.75">
      <c r="A13824" s="2" t="s">
        <v>310</v>
      </c>
    </row>
    <row r="13825" spans="1:1" ht="12.75">
      <c r="A13825" s="2" t="s">
        <v>310</v>
      </c>
    </row>
    <row r="13826" spans="1:1" ht="12.75">
      <c r="A13826" s="2" t="s">
        <v>310</v>
      </c>
    </row>
    <row r="13827" spans="1:1" ht="12.75">
      <c r="A13827" s="2" t="s">
        <v>311</v>
      </c>
    </row>
    <row r="13828" spans="1:1" ht="12.75">
      <c r="A13828" s="2" t="s">
        <v>309</v>
      </c>
    </row>
    <row r="13829" spans="1:1" ht="12.75">
      <c r="A13829" s="2" t="s">
        <v>310</v>
      </c>
    </row>
    <row r="13830" spans="1:1" ht="12.75">
      <c r="A13830" s="2" t="s">
        <v>311</v>
      </c>
    </row>
    <row r="13831" spans="1:1" ht="12.75">
      <c r="A13831" s="2" t="s">
        <v>311</v>
      </c>
    </row>
    <row r="13832" spans="1:1" ht="12.75">
      <c r="A13832" s="2" t="s">
        <v>313</v>
      </c>
    </row>
    <row r="13833" spans="1:1" ht="12.75">
      <c r="A13833" s="2" t="s">
        <v>310</v>
      </c>
    </row>
    <row r="13834" spans="1:1" ht="12.75">
      <c r="A13834" s="2" t="s">
        <v>670</v>
      </c>
    </row>
    <row r="13835" spans="1:1" ht="12.75">
      <c r="A13835" s="2" t="s">
        <v>666</v>
      </c>
    </row>
    <row r="13836" spans="1:1" ht="12.75">
      <c r="A13836" s="2" t="s">
        <v>671</v>
      </c>
    </row>
    <row r="13837" spans="1:1" ht="12.75">
      <c r="A13837" s="2" t="s">
        <v>666</v>
      </c>
    </row>
    <row r="13838" spans="1:1" ht="12.75">
      <c r="A13838" s="2" t="s">
        <v>671</v>
      </c>
    </row>
    <row r="13839" spans="1:1" ht="12.75">
      <c r="A13839" s="2" t="s">
        <v>666</v>
      </c>
    </row>
    <row r="13840" spans="1:1" ht="12.75">
      <c r="A13840" s="2" t="s">
        <v>671</v>
      </c>
    </row>
    <row r="13841" spans="1:1" ht="12.75">
      <c r="A13841" s="2" t="s">
        <v>666</v>
      </c>
    </row>
    <row r="13842" spans="1:1" ht="12.75">
      <c r="A13842" s="2" t="s">
        <v>672</v>
      </c>
    </row>
    <row r="13843" spans="1:1" ht="12.75">
      <c r="A13843" s="2" t="s">
        <v>670</v>
      </c>
    </row>
    <row r="13844" spans="1:1" ht="12.75">
      <c r="A13844" s="2" t="s">
        <v>673</v>
      </c>
    </row>
    <row r="13845" spans="1:1" ht="12.75">
      <c r="A13845" s="2" t="s">
        <v>670</v>
      </c>
    </row>
    <row r="13846" spans="1:1" ht="12.75">
      <c r="A13846" s="2" t="s">
        <v>673</v>
      </c>
    </row>
    <row r="13847" spans="1:1" ht="12.75">
      <c r="A13847" s="2" t="s">
        <v>673</v>
      </c>
    </row>
    <row r="13848" spans="1:1" ht="12.75">
      <c r="A13848" s="2" t="s">
        <v>673</v>
      </c>
    </row>
    <row r="13849" spans="1:1" ht="12.75">
      <c r="A13849" s="2" t="s">
        <v>673</v>
      </c>
    </row>
    <row r="13850" spans="1:1" ht="12.75">
      <c r="A13850" s="2" t="s">
        <v>671</v>
      </c>
    </row>
    <row r="13851" spans="1:1" ht="12.75">
      <c r="A13851" s="2" t="s">
        <v>673</v>
      </c>
    </row>
    <row r="13852" spans="1:1" ht="12.75">
      <c r="A13852" s="2" t="s">
        <v>671</v>
      </c>
    </row>
    <row r="13853" spans="1:1" ht="12.75">
      <c r="A13853" s="2" t="s">
        <v>673</v>
      </c>
    </row>
    <row r="13854" spans="1:1" ht="12.75">
      <c r="A13854" s="2" t="s">
        <v>659</v>
      </c>
    </row>
    <row r="13855" spans="1:1" ht="12.75">
      <c r="A13855" s="2" t="s">
        <v>660</v>
      </c>
    </row>
    <row r="13856" spans="1:1" ht="12.75">
      <c r="A13856" s="2" t="s">
        <v>190</v>
      </c>
    </row>
    <row r="13857" spans="1:1" ht="12.75">
      <c r="A13857" s="2" t="s">
        <v>190</v>
      </c>
    </row>
    <row r="13858" spans="1:1" ht="12.75">
      <c r="A13858" s="2" t="s">
        <v>659</v>
      </c>
    </row>
    <row r="13859" spans="1:1" ht="12.75">
      <c r="A13859" s="2" t="s">
        <v>659</v>
      </c>
    </row>
    <row r="13860" spans="1:1" ht="12.75">
      <c r="A13860" s="2" t="s">
        <v>190</v>
      </c>
    </row>
    <row r="13861" spans="1:1" ht="12.75">
      <c r="A13861" s="2" t="s">
        <v>311</v>
      </c>
    </row>
    <row r="13862" spans="1:1" ht="12.75">
      <c r="A13862" s="2" t="s">
        <v>311</v>
      </c>
    </row>
    <row r="13863" spans="1:1" ht="12.75">
      <c r="A13863" s="2" t="s">
        <v>190</v>
      </c>
    </row>
    <row r="13864" spans="1:1" ht="12.75">
      <c r="A13864" s="2" t="s">
        <v>309</v>
      </c>
    </row>
    <row r="13865" spans="1:1" ht="12.75">
      <c r="A13865" s="2" t="s">
        <v>309</v>
      </c>
    </row>
    <row r="13866" spans="1:1" ht="12.75">
      <c r="A13866" s="2" t="s">
        <v>309</v>
      </c>
    </row>
    <row r="13867" spans="1:1" ht="12.75">
      <c r="A13867" s="2" t="s">
        <v>309</v>
      </c>
    </row>
    <row r="13868" spans="1:1" ht="12.75">
      <c r="A13868" s="2" t="s">
        <v>309</v>
      </c>
    </row>
    <row r="13869" spans="1:1" ht="12.75">
      <c r="A13869" s="2" t="s">
        <v>309</v>
      </c>
    </row>
    <row r="13870" spans="1:1" ht="12.75">
      <c r="A13870" s="2" t="s">
        <v>309</v>
      </c>
    </row>
    <row r="13871" spans="1:1" ht="12.75">
      <c r="A13871" s="2" t="s">
        <v>309</v>
      </c>
    </row>
    <row r="13872" spans="1:1" ht="12.75">
      <c r="A13872" s="2" t="s">
        <v>309</v>
      </c>
    </row>
    <row r="13873" spans="1:1" ht="12.75">
      <c r="A13873" s="2" t="s">
        <v>309</v>
      </c>
    </row>
    <row r="13874" spans="1:1" ht="12.75">
      <c r="A13874" s="2" t="s">
        <v>309</v>
      </c>
    </row>
    <row r="13875" spans="1:1" ht="12.75">
      <c r="A13875" s="2" t="s">
        <v>309</v>
      </c>
    </row>
    <row r="13876" spans="1:1" ht="12.75">
      <c r="A13876" s="2" t="s">
        <v>309</v>
      </c>
    </row>
    <row r="13877" spans="1:1" ht="12.75">
      <c r="A13877" s="2" t="s">
        <v>309</v>
      </c>
    </row>
    <row r="13878" spans="1:1" ht="12.75">
      <c r="A13878" s="2" t="s">
        <v>309</v>
      </c>
    </row>
    <row r="13879" spans="1:1" ht="12.75">
      <c r="A13879" s="2" t="s">
        <v>309</v>
      </c>
    </row>
    <row r="13880" spans="1:1" ht="12.75">
      <c r="A13880" s="2" t="s">
        <v>309</v>
      </c>
    </row>
    <row r="13881" spans="1:1" ht="12.75">
      <c r="A13881" s="2" t="s">
        <v>309</v>
      </c>
    </row>
    <row r="13882" spans="1:1" ht="12.75">
      <c r="A13882" s="2" t="s">
        <v>309</v>
      </c>
    </row>
    <row r="13883" spans="1:1" ht="12.75">
      <c r="A13883" s="2" t="s">
        <v>309</v>
      </c>
    </row>
    <row r="13884" spans="1:1" ht="12.75">
      <c r="A13884" s="2" t="s">
        <v>309</v>
      </c>
    </row>
    <row r="13885" spans="1:1" ht="12.75">
      <c r="A13885" s="2" t="s">
        <v>309</v>
      </c>
    </row>
    <row r="13886" spans="1:1" ht="12.75">
      <c r="A13886" s="2" t="s">
        <v>309</v>
      </c>
    </row>
    <row r="13887" spans="1:1" ht="12.75">
      <c r="A13887" s="2" t="s">
        <v>309</v>
      </c>
    </row>
    <row r="13888" spans="1:1" ht="12.75">
      <c r="A13888" s="2" t="s">
        <v>309</v>
      </c>
    </row>
    <row r="13889" spans="1:1" ht="12.75">
      <c r="A13889" s="2" t="s">
        <v>309</v>
      </c>
    </row>
    <row r="13890" spans="1:1" ht="12.75">
      <c r="A13890" s="2" t="s">
        <v>309</v>
      </c>
    </row>
    <row r="13891" spans="1:1" ht="12.75">
      <c r="A13891" s="2" t="s">
        <v>309</v>
      </c>
    </row>
    <row r="13892" spans="1:1" ht="12.75">
      <c r="A13892" s="2" t="s">
        <v>309</v>
      </c>
    </row>
    <row r="13893" spans="1:1" ht="12.75">
      <c r="A13893" s="2" t="s">
        <v>309</v>
      </c>
    </row>
    <row r="13894" spans="1:1" ht="12.75">
      <c r="A13894" s="2" t="s">
        <v>576</v>
      </c>
    </row>
    <row r="13897" spans="1:1" ht="12.75">
      <c r="A13897" s="2" t="s">
        <v>576</v>
      </c>
    </row>
    <row r="13899" spans="1:1" ht="12.75">
      <c r="A13899" s="2" t="s">
        <v>528</v>
      </c>
    </row>
    <row r="13900" spans="1:1" ht="12.75">
      <c r="A13900" s="2" t="s">
        <v>529</v>
      </c>
    </row>
    <row r="13901" spans="1:1" ht="12.75">
      <c r="A13901" s="2" t="s">
        <v>528</v>
      </c>
    </row>
    <row r="13902" spans="1:1" ht="12.75">
      <c r="A13902" s="2" t="s">
        <v>530</v>
      </c>
    </row>
    <row r="13903" spans="1:1" ht="12.75">
      <c r="A13903" s="2" t="s">
        <v>529</v>
      </c>
    </row>
    <row r="13904" spans="1:1" ht="12.75">
      <c r="A13904" s="2" t="s">
        <v>674</v>
      </c>
    </row>
    <row r="13905" spans="1:1" ht="12.75">
      <c r="A13905" s="2" t="s">
        <v>675</v>
      </c>
    </row>
    <row r="13906" spans="1:1" ht="12.75">
      <c r="A13906" s="2" t="s">
        <v>675</v>
      </c>
    </row>
    <row r="13907" spans="1:1" ht="12.75">
      <c r="A13907" s="2" t="s">
        <v>675</v>
      </c>
    </row>
    <row r="13908" spans="1:1" ht="12.75">
      <c r="A13908" s="2" t="s">
        <v>546</v>
      </c>
    </row>
    <row r="13909" spans="1:1" ht="12.75">
      <c r="A13909" s="2" t="s">
        <v>546</v>
      </c>
    </row>
    <row r="13910" spans="1:1" ht="12.75">
      <c r="A13910" s="2" t="s">
        <v>530</v>
      </c>
    </row>
    <row r="13911" spans="1:1" ht="12.75">
      <c r="A13911" s="2" t="s">
        <v>529</v>
      </c>
    </row>
    <row r="13912" spans="1:1" ht="12.75">
      <c r="A13912" s="2" t="s">
        <v>576</v>
      </c>
    </row>
    <row r="13913" spans="1:1" ht="12.75">
      <c r="A13913" s="2" t="s">
        <v>530</v>
      </c>
    </row>
    <row r="13914" spans="1:1" ht="12.75">
      <c r="A13914" s="2" t="s">
        <v>528</v>
      </c>
    </row>
    <row r="13915" spans="1:1" ht="12.75">
      <c r="A13915" s="2" t="s">
        <v>576</v>
      </c>
    </row>
    <row r="13916" spans="1:1" ht="12.75">
      <c r="A13916" s="2" t="s">
        <v>528</v>
      </c>
    </row>
    <row r="13917" spans="1:1" ht="12.75">
      <c r="A13917" s="2" t="s">
        <v>528</v>
      </c>
    </row>
    <row r="13918" spans="1:1" ht="12.75">
      <c r="A13918" s="2" t="s">
        <v>529</v>
      </c>
    </row>
    <row r="13919" spans="1:1" ht="12.75">
      <c r="A13919" s="2" t="s">
        <v>529</v>
      </c>
    </row>
    <row r="13920" spans="1:1" ht="12.75">
      <c r="A13920" s="2" t="s">
        <v>530</v>
      </c>
    </row>
    <row r="13921" spans="1:1" ht="12.75">
      <c r="A13921" s="2" t="s">
        <v>529</v>
      </c>
    </row>
    <row r="13922" spans="1:1" ht="12.75">
      <c r="A13922" s="2" t="s">
        <v>528</v>
      </c>
    </row>
    <row r="13923" spans="1:1" ht="12.75">
      <c r="A13923" s="2" t="s">
        <v>528</v>
      </c>
    </row>
    <row r="13924" spans="1:1" ht="12.75">
      <c r="A13924" s="2" t="s">
        <v>529</v>
      </c>
    </row>
    <row r="13925" spans="1:1" ht="12.75">
      <c r="A13925" s="2" t="s">
        <v>529</v>
      </c>
    </row>
    <row r="13926" spans="1:1" ht="12.75">
      <c r="A13926" s="2" t="s">
        <v>514</v>
      </c>
    </row>
    <row r="13927" spans="1:1" ht="12.75">
      <c r="A13927" s="2" t="s">
        <v>532</v>
      </c>
    </row>
    <row r="13928" spans="1:1" ht="12.75">
      <c r="A13928" s="2" t="s">
        <v>532</v>
      </c>
    </row>
    <row r="13929" spans="1:1" ht="12.75">
      <c r="A13929" s="2" t="s">
        <v>514</v>
      </c>
    </row>
    <row r="13930" spans="1:1" ht="12.75">
      <c r="A13930" s="2" t="s">
        <v>529</v>
      </c>
    </row>
    <row r="13931" spans="1:1" ht="12.75">
      <c r="A13931" s="2" t="s">
        <v>529</v>
      </c>
    </row>
    <row r="13932" spans="1:1" ht="12.75">
      <c r="A13932" s="2" t="s">
        <v>528</v>
      </c>
    </row>
    <row r="13933" spans="1:1" ht="12.75">
      <c r="A13933" s="2" t="s">
        <v>528</v>
      </c>
    </row>
    <row r="13934" spans="1:1" ht="12.75">
      <c r="A13934" s="2" t="s">
        <v>530</v>
      </c>
    </row>
    <row r="13935" spans="1:1" ht="12.75">
      <c r="A13935" s="2" t="s">
        <v>512</v>
      </c>
    </row>
    <row r="13936" spans="1:1" ht="12.75">
      <c r="A13936" s="2" t="s">
        <v>514</v>
      </c>
    </row>
    <row r="13937" spans="1:1" ht="12.75">
      <c r="A13937" s="2" t="s">
        <v>512</v>
      </c>
    </row>
    <row r="13938" spans="1:1" ht="12.75">
      <c r="A13938" s="2" t="s">
        <v>512</v>
      </c>
    </row>
    <row r="13939" spans="1:1" ht="12.75">
      <c r="A13939" s="2" t="s">
        <v>514</v>
      </c>
    </row>
    <row r="13940" spans="1:1" ht="12.75">
      <c r="A13940" s="2" t="s">
        <v>514</v>
      </c>
    </row>
    <row r="13941" spans="1:1" ht="12.75">
      <c r="A13941" s="2" t="s">
        <v>532</v>
      </c>
    </row>
    <row r="13942" spans="1:1" ht="12.75">
      <c r="A13942" s="2" t="s">
        <v>512</v>
      </c>
    </row>
    <row r="13943" spans="1:1" ht="12.75">
      <c r="A13943" s="2" t="s">
        <v>512</v>
      </c>
    </row>
    <row r="13944" spans="1:1" ht="12.75">
      <c r="A13944" s="2" t="s">
        <v>528</v>
      </c>
    </row>
    <row r="13945" spans="1:1" ht="12.75">
      <c r="A13945" s="2" t="s">
        <v>528</v>
      </c>
    </row>
    <row r="13946" spans="1:1" ht="12.75">
      <c r="A13946" s="2" t="s">
        <v>528</v>
      </c>
    </row>
    <row r="13947" spans="1:1" ht="12.75">
      <c r="A13947" s="2" t="s">
        <v>532</v>
      </c>
    </row>
    <row r="13948" spans="1:1" ht="12.75">
      <c r="A13948" s="2" t="s">
        <v>529</v>
      </c>
    </row>
    <row r="13949" spans="1:1" ht="12.75">
      <c r="A13949" s="2" t="s">
        <v>528</v>
      </c>
    </row>
    <row r="13950" spans="1:1" ht="12.75">
      <c r="A13950" s="2" t="s">
        <v>530</v>
      </c>
    </row>
    <row r="13951" spans="1:1" ht="12.75">
      <c r="A13951" s="2" t="s">
        <v>529</v>
      </c>
    </row>
    <row r="13952" spans="1:1" ht="12.75">
      <c r="A13952" s="2" t="s">
        <v>529</v>
      </c>
    </row>
    <row r="13953" spans="1:1" ht="12.75">
      <c r="A13953" s="2" t="s">
        <v>528</v>
      </c>
    </row>
    <row r="13954" spans="1:1" ht="12.75">
      <c r="A13954" s="2" t="s">
        <v>530</v>
      </c>
    </row>
    <row r="13955" spans="1:1" ht="12.75">
      <c r="A13955" s="2" t="s">
        <v>674</v>
      </c>
    </row>
    <row r="13956" spans="1:1" ht="12.75">
      <c r="A13956" s="2" t="s">
        <v>529</v>
      </c>
    </row>
    <row r="13957" spans="1:1" ht="12.75">
      <c r="A13957" s="2" t="s">
        <v>529</v>
      </c>
    </row>
    <row r="13958" spans="1:1" ht="12.75">
      <c r="A13958" s="2" t="s">
        <v>528</v>
      </c>
    </row>
    <row r="13959" spans="1:1" ht="12.75">
      <c r="A13959" s="2" t="s">
        <v>528</v>
      </c>
    </row>
    <row r="13960" spans="1:1" ht="12.75">
      <c r="A13960" s="2" t="s">
        <v>674</v>
      </c>
    </row>
    <row r="13961" spans="1:1" ht="12.75">
      <c r="A13961" s="2" t="s">
        <v>512</v>
      </c>
    </row>
    <row r="13962" spans="1:1" ht="12.75">
      <c r="A13962" s="2" t="s">
        <v>512</v>
      </c>
    </row>
    <row r="13963" spans="1:1" ht="12.75">
      <c r="A13963" s="2" t="s">
        <v>512</v>
      </c>
    </row>
    <row r="13964" spans="1:1" ht="12.75">
      <c r="A13964" s="2" t="s">
        <v>512</v>
      </c>
    </row>
    <row r="13965" spans="1:1" ht="12.75">
      <c r="A13965" s="2" t="s">
        <v>512</v>
      </c>
    </row>
    <row r="13966" spans="1:1" ht="12.75">
      <c r="A13966" s="2" t="s">
        <v>674</v>
      </c>
    </row>
    <row r="13967" spans="1:1" ht="12.75">
      <c r="A13967" s="2" t="s">
        <v>530</v>
      </c>
    </row>
    <row r="13968" spans="1:1" ht="12.75">
      <c r="A13968" s="2" t="s">
        <v>529</v>
      </c>
    </row>
    <row r="13969" spans="1:1" ht="12.75">
      <c r="A13969" s="2" t="s">
        <v>529</v>
      </c>
    </row>
    <row r="13970" spans="1:1" ht="12.75">
      <c r="A13970" s="2" t="s">
        <v>546</v>
      </c>
    </row>
    <row r="13971" spans="1:1" ht="12.75">
      <c r="A13971" s="2" t="s">
        <v>546</v>
      </c>
    </row>
    <row r="13972" spans="1:1" ht="12.75">
      <c r="A13972" s="2" t="s">
        <v>529</v>
      </c>
    </row>
    <row r="13973" spans="1:1" ht="12.75">
      <c r="A13973" s="2" t="s">
        <v>529</v>
      </c>
    </row>
    <row r="13974" spans="1:1" ht="12.75">
      <c r="A13974" s="2" t="s">
        <v>532</v>
      </c>
    </row>
    <row r="13975" spans="1:1" ht="12.75">
      <c r="A13975" s="2" t="s">
        <v>512</v>
      </c>
    </row>
    <row r="13976" spans="1:1" ht="12.75">
      <c r="A13976" s="2" t="s">
        <v>512</v>
      </c>
    </row>
    <row r="13977" spans="1:1" ht="12.75">
      <c r="A13977" s="2" t="s">
        <v>529</v>
      </c>
    </row>
    <row r="13978" spans="1:1" ht="12.75">
      <c r="A13978" s="2" t="s">
        <v>529</v>
      </c>
    </row>
    <row r="13979" spans="1:1" ht="12.75">
      <c r="A13979" s="2" t="s">
        <v>528</v>
      </c>
    </row>
    <row r="13980" spans="1:1" ht="12.75">
      <c r="A13980" s="2" t="s">
        <v>528</v>
      </c>
    </row>
    <row r="13981" spans="1:1" ht="12.75">
      <c r="A13981" s="2" t="s">
        <v>530</v>
      </c>
    </row>
    <row r="13982" spans="1:1" ht="12.75">
      <c r="A13982" s="2" t="s">
        <v>576</v>
      </c>
    </row>
    <row r="13983" spans="1:1" ht="12.75">
      <c r="A13983" s="2" t="s">
        <v>576</v>
      </c>
    </row>
    <row r="13984" spans="1:1" ht="12.75">
      <c r="A13984" s="2" t="s">
        <v>576</v>
      </c>
    </row>
    <row r="13985" spans="1:1" ht="12.75">
      <c r="A13985" s="2" t="s">
        <v>528</v>
      </c>
    </row>
    <row r="13986" spans="1:1" ht="12.75">
      <c r="A13986" s="2" t="s">
        <v>528</v>
      </c>
    </row>
    <row r="13988" spans="1:1" ht="12.75">
      <c r="A13988" s="2" t="s">
        <v>529</v>
      </c>
    </row>
    <row r="13989" spans="1:1" ht="12.75">
      <c r="A13989" s="2" t="s">
        <v>529</v>
      </c>
    </row>
    <row r="13990" spans="1:1" ht="12.75">
      <c r="A13990" s="2" t="s">
        <v>530</v>
      </c>
    </row>
    <row r="13991" spans="1:1" ht="12.75">
      <c r="A13991" s="2" t="s">
        <v>512</v>
      </c>
    </row>
    <row r="13992" spans="1:1" ht="12.75">
      <c r="A13992" s="2" t="s">
        <v>512</v>
      </c>
    </row>
    <row r="13993" spans="1:1" ht="12.75">
      <c r="A13993" s="2" t="s">
        <v>512</v>
      </c>
    </row>
    <row r="13994" spans="1:1" ht="12.75">
      <c r="A13994" s="2" t="s">
        <v>155</v>
      </c>
    </row>
    <row r="13995" spans="1:1" ht="12.75">
      <c r="A13995" s="2" t="s">
        <v>155</v>
      </c>
    </row>
    <row r="13996" spans="1:1" ht="12.75">
      <c r="A13996" s="2" t="s">
        <v>155</v>
      </c>
    </row>
    <row r="13997" spans="1:1" ht="12.75">
      <c r="A13997" s="2" t="s">
        <v>155</v>
      </c>
    </row>
    <row r="13998" spans="1:1" ht="12.75">
      <c r="A13998" s="2" t="s">
        <v>676</v>
      </c>
    </row>
    <row r="14000" spans="1:1" ht="12.75">
      <c r="A14000" s="2" t="s">
        <v>591</v>
      </c>
    </row>
    <row r="14001" spans="1:1" ht="12.75">
      <c r="A14001" s="2" t="s">
        <v>677</v>
      </c>
    </row>
    <row r="14007" spans="1:1" ht="12.75">
      <c r="A14007" s="2" t="s">
        <v>232</v>
      </c>
    </row>
    <row r="14009" spans="1:1" ht="12.75">
      <c r="A14009" s="2" t="s">
        <v>232</v>
      </c>
    </row>
    <row r="14014" spans="1:1" ht="12.75">
      <c r="A14014" s="2" t="s">
        <v>678</v>
      </c>
    </row>
    <row r="14015" spans="1:1" ht="12.75">
      <c r="A14015" s="2" t="s">
        <v>678</v>
      </c>
    </row>
    <row r="14016" spans="1:1" ht="12.75">
      <c r="A14016" s="2" t="s">
        <v>678</v>
      </c>
    </row>
    <row r="14017" spans="1:1" ht="12.75">
      <c r="A14017" s="2" t="s">
        <v>678</v>
      </c>
    </row>
    <row r="14018" spans="1:1" ht="12.75">
      <c r="A14018" s="2" t="s">
        <v>213</v>
      </c>
    </row>
    <row r="14026" spans="1:1" ht="12.75">
      <c r="A14026" s="2" t="s">
        <v>213</v>
      </c>
    </row>
    <row r="14027" spans="1:1" ht="12.75">
      <c r="A14027" s="2" t="s">
        <v>213</v>
      </c>
    </row>
    <row r="14028" spans="1:1" ht="12.75">
      <c r="A14028" s="2" t="s">
        <v>381</v>
      </c>
    </row>
    <row r="14029" spans="1:1" ht="12.75">
      <c r="A14029" s="2" t="s">
        <v>381</v>
      </c>
    </row>
    <row r="14030" spans="1:1" ht="12.75">
      <c r="A14030" s="2" t="s">
        <v>381</v>
      </c>
    </row>
    <row r="14031" spans="1:1" ht="12.75">
      <c r="A14031" s="2" t="s">
        <v>381</v>
      </c>
    </row>
    <row r="14032" spans="1:1" ht="12.75">
      <c r="A14032" s="2" t="s">
        <v>381</v>
      </c>
    </row>
    <row r="14033" spans="1:1" ht="12.75">
      <c r="A14033" s="2" t="s">
        <v>380</v>
      </c>
    </row>
    <row r="14034" spans="1:1" ht="12.75">
      <c r="A14034" s="2" t="s">
        <v>380</v>
      </c>
    </row>
    <row r="14035" spans="1:1" ht="12.75">
      <c r="A14035" s="2" t="s">
        <v>380</v>
      </c>
    </row>
    <row r="14036" spans="1:1" ht="12.75">
      <c r="A14036" s="2" t="s">
        <v>380</v>
      </c>
    </row>
    <row r="14037" spans="1:1" ht="12.75">
      <c r="A14037" s="2" t="s">
        <v>507</v>
      </c>
    </row>
    <row r="14038" spans="1:1" ht="12.75">
      <c r="A14038" s="2" t="s">
        <v>507</v>
      </c>
    </row>
    <row r="14039" spans="1:1" ht="12.75">
      <c r="A14039" s="2" t="s">
        <v>507</v>
      </c>
    </row>
    <row r="14040" spans="1:1" ht="12.75">
      <c r="A14040" s="2" t="s">
        <v>507</v>
      </c>
    </row>
    <row r="14041" spans="1:1" ht="12.75">
      <c r="A14041" s="2" t="s">
        <v>380</v>
      </c>
    </row>
    <row r="14042" spans="1:1" ht="12.75">
      <c r="A14042" s="2" t="s">
        <v>380</v>
      </c>
    </row>
    <row r="14044" spans="1:1" ht="12.75">
      <c r="A14044" s="2" t="s">
        <v>381</v>
      </c>
    </row>
    <row r="14053" spans="1:1" ht="12.75">
      <c r="A14053" s="2" t="s">
        <v>308</v>
      </c>
    </row>
    <row r="14054" spans="1:1" ht="12.75">
      <c r="A14054" s="2" t="s">
        <v>308</v>
      </c>
    </row>
    <row r="14055" spans="1:1" ht="12.75">
      <c r="A14055" s="2" t="s">
        <v>308</v>
      </c>
    </row>
    <row r="14056" spans="1:1" ht="12.75">
      <c r="A14056" s="2" t="s">
        <v>308</v>
      </c>
    </row>
    <row r="14059" spans="1:1" ht="12.75">
      <c r="A14059" s="2" t="s">
        <v>308</v>
      </c>
    </row>
    <row r="14060" spans="1:1" ht="12.75">
      <c r="A14060" s="2" t="s">
        <v>308</v>
      </c>
    </row>
    <row r="14061" spans="1:1" ht="12.75">
      <c r="A14061" s="2" t="s">
        <v>308</v>
      </c>
    </row>
    <row r="14062" spans="1:1" ht="12.75">
      <c r="A14062" s="2" t="s">
        <v>308</v>
      </c>
    </row>
    <row r="14066" spans="1:1" ht="12.75">
      <c r="A14066" s="2" t="s">
        <v>308</v>
      </c>
    </row>
    <row r="14068" spans="1:1" ht="12.75">
      <c r="A14068" s="2" t="s">
        <v>290</v>
      </c>
    </row>
    <row r="14069" spans="1:1" ht="12.75">
      <c r="A14069" s="2" t="s">
        <v>290</v>
      </c>
    </row>
    <row r="14070" spans="1:1" ht="12.75">
      <c r="A14070" s="2" t="s">
        <v>292</v>
      </c>
    </row>
    <row r="14071" spans="1:1" ht="12.75">
      <c r="A14071" s="2" t="s">
        <v>292</v>
      </c>
    </row>
    <row r="14072" spans="1:1" ht="12.75">
      <c r="A14072" s="2" t="s">
        <v>289</v>
      </c>
    </row>
    <row r="14073" spans="1:1" ht="12.75">
      <c r="A14073" s="2" t="s">
        <v>289</v>
      </c>
    </row>
    <row r="14074" spans="1:1" ht="12.75">
      <c r="A14074" s="2" t="s">
        <v>290</v>
      </c>
    </row>
    <row r="14075" spans="1:1" ht="12.75">
      <c r="A14075" s="2" t="s">
        <v>290</v>
      </c>
    </row>
    <row r="14076" spans="1:1" ht="12.75">
      <c r="A14076" s="2" t="s">
        <v>289</v>
      </c>
    </row>
    <row r="14077" spans="1:1" ht="12.75">
      <c r="A14077" s="2" t="s">
        <v>292</v>
      </c>
    </row>
    <row r="14078" spans="1:1" ht="12.75">
      <c r="A14078" s="2" t="s">
        <v>289</v>
      </c>
    </row>
    <row r="14079" spans="1:1" ht="12.75">
      <c r="A14079" s="2" t="s">
        <v>289</v>
      </c>
    </row>
    <row r="14080" spans="1:1" ht="12.75">
      <c r="A14080" s="2" t="s">
        <v>290</v>
      </c>
    </row>
    <row r="14081" spans="1:1" ht="12.75">
      <c r="A14081" s="2" t="s">
        <v>290</v>
      </c>
    </row>
    <row r="14082" spans="1:1" ht="12.75">
      <c r="A14082" s="2" t="s">
        <v>291</v>
      </c>
    </row>
    <row r="14083" spans="1:1" ht="12.75">
      <c r="A14083" s="2" t="s">
        <v>291</v>
      </c>
    </row>
    <row r="14084" spans="1:1" ht="12.75">
      <c r="A14084" s="2" t="s">
        <v>297</v>
      </c>
    </row>
    <row r="14085" spans="1:1" ht="12.75">
      <c r="A14085" s="2" t="s">
        <v>297</v>
      </c>
    </row>
    <row r="14086" spans="1:1" ht="12.75">
      <c r="A14086" s="2" t="s">
        <v>297</v>
      </c>
    </row>
    <row r="14087" spans="1:1" ht="12.75">
      <c r="A14087" s="2" t="s">
        <v>297</v>
      </c>
    </row>
    <row r="14088" spans="1:1" ht="12.75">
      <c r="A14088" s="2" t="s">
        <v>289</v>
      </c>
    </row>
    <row r="14089" spans="1:1" ht="12.75">
      <c r="A14089" s="2" t="s">
        <v>290</v>
      </c>
    </row>
    <row r="14090" spans="1:1" ht="12.75">
      <c r="A14090" s="2" t="s">
        <v>290</v>
      </c>
    </row>
    <row r="14091" spans="1:1" ht="12.75">
      <c r="A14091" s="2" t="s">
        <v>290</v>
      </c>
    </row>
    <row r="14092" spans="1:1" ht="12.75">
      <c r="A14092" s="2" t="s">
        <v>290</v>
      </c>
    </row>
    <row r="14093" spans="1:1" ht="12.75">
      <c r="A14093" s="2" t="s">
        <v>290</v>
      </c>
    </row>
    <row r="14094" spans="1:1" ht="12.75">
      <c r="A14094" s="2" t="s">
        <v>289</v>
      </c>
    </row>
    <row r="14095" spans="1:1" ht="12.75">
      <c r="A14095" s="2" t="s">
        <v>289</v>
      </c>
    </row>
    <row r="14097" spans="1:1" ht="12.75">
      <c r="A14097" s="2" t="s">
        <v>289</v>
      </c>
    </row>
    <row r="14098" spans="1:1" ht="12.75">
      <c r="A14098" s="2" t="s">
        <v>291</v>
      </c>
    </row>
    <row r="14099" spans="1:1" ht="12.75">
      <c r="A14099" s="2" t="s">
        <v>298</v>
      </c>
    </row>
    <row r="14100" spans="1:1" ht="12.75">
      <c r="A14100" s="2" t="s">
        <v>297</v>
      </c>
    </row>
    <row r="14101" spans="1:1" ht="12.75">
      <c r="A14101" s="2" t="s">
        <v>292</v>
      </c>
    </row>
    <row r="14102" spans="1:1" ht="12.75">
      <c r="A14102" s="2" t="s">
        <v>299</v>
      </c>
    </row>
    <row r="14103" spans="1:1" ht="12.75">
      <c r="A14103" s="2" t="s">
        <v>299</v>
      </c>
    </row>
    <row r="14104" spans="1:1" ht="12.75">
      <c r="A14104" s="2" t="s">
        <v>291</v>
      </c>
    </row>
    <row r="14105" spans="1:1" ht="12.75">
      <c r="A14105" s="2" t="s">
        <v>291</v>
      </c>
    </row>
    <row r="14106" spans="1:1" ht="12.75">
      <c r="A14106" s="2" t="s">
        <v>289</v>
      </c>
    </row>
    <row r="14107" spans="1:1" ht="12.75">
      <c r="A14107" s="2" t="s">
        <v>289</v>
      </c>
    </row>
    <row r="14108" spans="1:1" ht="12.75">
      <c r="A14108" s="2" t="s">
        <v>292</v>
      </c>
    </row>
    <row r="14109" spans="1:1" ht="12.75">
      <c r="A14109" s="2" t="s">
        <v>292</v>
      </c>
    </row>
    <row r="14110" spans="1:1" ht="12.75">
      <c r="A14110" s="2" t="s">
        <v>290</v>
      </c>
    </row>
    <row r="14111" spans="1:1" ht="12.75">
      <c r="A14111" s="2" t="s">
        <v>290</v>
      </c>
    </row>
    <row r="14112" spans="1:1" ht="12.75">
      <c r="A14112" s="2" t="s">
        <v>289</v>
      </c>
    </row>
    <row r="14113" spans="1:1" ht="12.75">
      <c r="A14113" s="2" t="s">
        <v>289</v>
      </c>
    </row>
    <row r="14114" spans="1:1" ht="12.75">
      <c r="A14114" s="2" t="s">
        <v>291</v>
      </c>
    </row>
    <row r="14115" spans="1:1" ht="12.75">
      <c r="A14115" s="2" t="s">
        <v>291</v>
      </c>
    </row>
    <row r="14116" spans="1:1" ht="12.75">
      <c r="A14116" s="2" t="s">
        <v>297</v>
      </c>
    </row>
    <row r="14117" spans="1:1" ht="12.75">
      <c r="A14117" s="2" t="s">
        <v>297</v>
      </c>
    </row>
    <row r="14118" spans="1:1" ht="12.75">
      <c r="A14118" s="2" t="s">
        <v>299</v>
      </c>
    </row>
    <row r="14119" spans="1:1" ht="12.75">
      <c r="A14119" s="2" t="s">
        <v>299</v>
      </c>
    </row>
    <row r="14120" spans="1:1" ht="12.75">
      <c r="A14120" s="2" t="s">
        <v>297</v>
      </c>
    </row>
    <row r="14121" spans="1:1" ht="12.75">
      <c r="A14121" s="2" t="s">
        <v>297</v>
      </c>
    </row>
    <row r="14122" spans="1:1" ht="12.75">
      <c r="A14122" s="2" t="s">
        <v>292</v>
      </c>
    </row>
    <row r="14123" spans="1:1" ht="12.75">
      <c r="A14123" s="2" t="s">
        <v>291</v>
      </c>
    </row>
    <row r="14124" spans="1:1" ht="12.75">
      <c r="A14124" s="2" t="s">
        <v>291</v>
      </c>
    </row>
    <row r="14125" spans="1:1" ht="12.75">
      <c r="A14125" s="2" t="s">
        <v>291</v>
      </c>
    </row>
    <row r="14126" spans="1:1" ht="12.75">
      <c r="A14126" s="2" t="s">
        <v>289</v>
      </c>
    </row>
    <row r="14127" spans="1:1" ht="12.75">
      <c r="A14127" s="2" t="s">
        <v>289</v>
      </c>
    </row>
    <row r="14128" spans="1:1" ht="12.75">
      <c r="A14128" s="2" t="s">
        <v>291</v>
      </c>
    </row>
    <row r="14129" spans="1:1" ht="12.75">
      <c r="A14129" s="2" t="s">
        <v>291</v>
      </c>
    </row>
    <row r="14130" spans="1:1" ht="12.75">
      <c r="A14130" s="2" t="s">
        <v>290</v>
      </c>
    </row>
    <row r="14131" spans="1:1" ht="12.75">
      <c r="A14131" s="2" t="s">
        <v>290</v>
      </c>
    </row>
    <row r="14132" spans="1:1" ht="12.75">
      <c r="A14132" s="2" t="s">
        <v>297</v>
      </c>
    </row>
    <row r="14133" spans="1:1" ht="12.75">
      <c r="A14133" s="2" t="s">
        <v>297</v>
      </c>
    </row>
    <row r="14134" spans="1:1" ht="12.75">
      <c r="A14134" s="2" t="s">
        <v>289</v>
      </c>
    </row>
    <row r="14135" spans="1:1" ht="12.75">
      <c r="A14135" s="2" t="s">
        <v>194</v>
      </c>
    </row>
    <row r="14136" spans="1:1" ht="12.75">
      <c r="A14136" s="2" t="s">
        <v>292</v>
      </c>
    </row>
    <row r="14137" spans="1:1" ht="12.75">
      <c r="A14137" s="2" t="s">
        <v>292</v>
      </c>
    </row>
    <row r="14139" spans="1:1" ht="12.75">
      <c r="A14139" s="2" t="s">
        <v>291</v>
      </c>
    </row>
    <row r="14140" spans="1:1" ht="12.75">
      <c r="A14140" s="2" t="s">
        <v>291</v>
      </c>
    </row>
    <row r="14141" spans="1:1" ht="12.75">
      <c r="A14141" s="2" t="s">
        <v>290</v>
      </c>
    </row>
    <row r="14142" spans="1:1" ht="12.75">
      <c r="A14142" s="2" t="s">
        <v>290</v>
      </c>
    </row>
    <row r="14143" spans="1:1" ht="12.75">
      <c r="A14143" s="2" t="s">
        <v>289</v>
      </c>
    </row>
    <row r="14144" spans="1:1" ht="12.75">
      <c r="A14144" s="2" t="s">
        <v>289</v>
      </c>
    </row>
    <row r="14145" spans="1:1" ht="12.75">
      <c r="A14145" s="2" t="s">
        <v>289</v>
      </c>
    </row>
    <row r="14146" spans="1:1" ht="12.75">
      <c r="A14146" s="2" t="s">
        <v>297</v>
      </c>
    </row>
    <row r="14147" spans="1:1" ht="12.75">
      <c r="A14147" s="2" t="s">
        <v>297</v>
      </c>
    </row>
    <row r="14148" spans="1:1" ht="12.75">
      <c r="A14148" s="2" t="s">
        <v>290</v>
      </c>
    </row>
    <row r="14149" spans="1:1" ht="12.75">
      <c r="A14149" s="2" t="s">
        <v>291</v>
      </c>
    </row>
    <row r="14150" spans="1:1" ht="12.75">
      <c r="A14150" s="2" t="s">
        <v>291</v>
      </c>
    </row>
    <row r="14151" spans="1:1" ht="12.75">
      <c r="A14151" s="2" t="s">
        <v>290</v>
      </c>
    </row>
    <row r="14152" spans="1:1" ht="12.75">
      <c r="A14152" s="2" t="s">
        <v>289</v>
      </c>
    </row>
    <row r="14153" spans="1:1" ht="12.75">
      <c r="A14153" s="2" t="s">
        <v>289</v>
      </c>
    </row>
    <row r="14154" spans="1:1" ht="12.75">
      <c r="A14154" s="2" t="s">
        <v>299</v>
      </c>
    </row>
    <row r="14155" spans="1:1" ht="12.75">
      <c r="A14155" s="2" t="s">
        <v>292</v>
      </c>
    </row>
    <row r="14156" spans="1:1" ht="12.75">
      <c r="A14156" s="2" t="s">
        <v>291</v>
      </c>
    </row>
    <row r="14157" spans="1:1" ht="12.75">
      <c r="A14157" s="2" t="s">
        <v>291</v>
      </c>
    </row>
    <row r="14159" spans="1:1" ht="12.75">
      <c r="A14159" s="2" t="s">
        <v>299</v>
      </c>
    </row>
    <row r="14160" spans="1:1" ht="12.75">
      <c r="A14160" s="2" t="s">
        <v>299</v>
      </c>
    </row>
    <row r="14162" spans="1:1" ht="12.75">
      <c r="A14162" s="2" t="s">
        <v>299</v>
      </c>
    </row>
    <row r="14163" spans="1:1" ht="12.75">
      <c r="A14163" s="2" t="s">
        <v>289</v>
      </c>
    </row>
    <row r="14164" spans="1:1" ht="12.75">
      <c r="A14164" s="2" t="s">
        <v>289</v>
      </c>
    </row>
    <row r="14165" spans="1:1" ht="12.75">
      <c r="A14165" s="2" t="s">
        <v>290</v>
      </c>
    </row>
    <row r="14166" spans="1:1" ht="12.75">
      <c r="A14166" s="2" t="s">
        <v>290</v>
      </c>
    </row>
    <row r="14167" spans="1:1" ht="12.75">
      <c r="A14167" s="2" t="s">
        <v>291</v>
      </c>
    </row>
    <row r="14170" spans="1:1" ht="12.75">
      <c r="A14170" s="2" t="s">
        <v>565</v>
      </c>
    </row>
    <row r="14171" spans="1:1" ht="12.75">
      <c r="A14171" s="2" t="s">
        <v>565</v>
      </c>
    </row>
    <row r="14172" spans="1:1" ht="12.75">
      <c r="A14172" s="2" t="s">
        <v>565</v>
      </c>
    </row>
    <row r="14173" spans="1:1" ht="12.75">
      <c r="A14173" s="2" t="s">
        <v>565</v>
      </c>
    </row>
    <row r="14178" spans="1:1" ht="12.75">
      <c r="A14178" s="2" t="s">
        <v>679</v>
      </c>
    </row>
    <row r="14188" spans="1:1" ht="12.75">
      <c r="A14188" s="2" t="s">
        <v>164</v>
      </c>
    </row>
    <row r="14189" spans="1:1" ht="12.75">
      <c r="A14189" s="2" t="s">
        <v>171</v>
      </c>
    </row>
    <row r="14190" spans="1:1" ht="12.75">
      <c r="A14190" s="2" t="s">
        <v>165</v>
      </c>
    </row>
    <row r="14191" spans="1:1" ht="12.75">
      <c r="A14191" s="2" t="s">
        <v>164</v>
      </c>
    </row>
    <row r="14192" spans="1:1" ht="12.75">
      <c r="A14192" s="2" t="s">
        <v>173</v>
      </c>
    </row>
    <row r="14193" spans="1:1" ht="12.75">
      <c r="A14193" s="2" t="s">
        <v>181</v>
      </c>
    </row>
    <row r="14195" spans="1:1" ht="12.75">
      <c r="A14195" s="2" t="s">
        <v>181</v>
      </c>
    </row>
    <row r="14196" spans="1:1" ht="12.75">
      <c r="A14196" s="2" t="s">
        <v>182</v>
      </c>
    </row>
    <row r="14197" spans="1:1" ht="12.75">
      <c r="A14197" s="2" t="s">
        <v>182</v>
      </c>
    </row>
    <row r="14198" spans="1:1" ht="12.75">
      <c r="A14198" s="2" t="s">
        <v>181</v>
      </c>
    </row>
    <row r="14199" spans="1:1" ht="12.75">
      <c r="A14199" s="2" t="s">
        <v>182</v>
      </c>
    </row>
    <row r="14200" spans="1:1" ht="12.75">
      <c r="A14200" s="2" t="s">
        <v>176</v>
      </c>
    </row>
    <row r="14201" spans="1:1" ht="12.75">
      <c r="A14201" s="2" t="s">
        <v>165</v>
      </c>
    </row>
    <row r="14202" spans="1:1" ht="12.75">
      <c r="A14202" s="2" t="s">
        <v>189</v>
      </c>
    </row>
    <row r="14203" spans="1:1" ht="12.75">
      <c r="A14203" s="2" t="s">
        <v>165</v>
      </c>
    </row>
    <row r="14204" spans="1:1" ht="12.75">
      <c r="A14204" s="2" t="s">
        <v>183</v>
      </c>
    </row>
    <row r="14205" spans="1:1" ht="12.75">
      <c r="A14205" s="2" t="s">
        <v>176</v>
      </c>
    </row>
    <row r="14206" spans="1:1" ht="12.75">
      <c r="A14206" s="2" t="s">
        <v>183</v>
      </c>
    </row>
    <row r="14207" spans="1:1" ht="12.75">
      <c r="A14207" s="2" t="s">
        <v>176</v>
      </c>
    </row>
    <row r="14208" spans="1:1" ht="12.75">
      <c r="A14208" s="2" t="s">
        <v>194</v>
      </c>
    </row>
    <row r="14209" spans="1:1" ht="12.75">
      <c r="A14209" s="2" t="s">
        <v>181</v>
      </c>
    </row>
    <row r="14210" spans="1:1" ht="12.75">
      <c r="A14210" s="2" t="s">
        <v>182</v>
      </c>
    </row>
    <row r="14211" spans="1:1" ht="12.75">
      <c r="A14211" s="2" t="s">
        <v>183</v>
      </c>
    </row>
    <row r="14212" spans="1:1" ht="12.75">
      <c r="A14212" s="2" t="s">
        <v>182</v>
      </c>
    </row>
    <row r="14213" spans="1:1" ht="12.75">
      <c r="A14213" s="2" t="s">
        <v>183</v>
      </c>
    </row>
    <row r="14214" spans="1:1" ht="12.75">
      <c r="A14214" s="2" t="s">
        <v>182</v>
      </c>
    </row>
    <row r="14215" spans="1:1" ht="12.75">
      <c r="A14215" s="2" t="s">
        <v>183</v>
      </c>
    </row>
    <row r="14216" spans="1:1" ht="12.75">
      <c r="A14216" s="2" t="s">
        <v>176</v>
      </c>
    </row>
    <row r="14217" spans="1:1" ht="12.75">
      <c r="A14217" s="2" t="s">
        <v>165</v>
      </c>
    </row>
    <row r="14218" spans="1:1" ht="12.75">
      <c r="A14218" s="2" t="s">
        <v>176</v>
      </c>
    </row>
    <row r="14219" spans="1:1" ht="12.75">
      <c r="A14219" s="2" t="s">
        <v>176</v>
      </c>
    </row>
    <row r="14220" spans="1:1" ht="12.75">
      <c r="A14220" s="2" t="s">
        <v>224</v>
      </c>
    </row>
    <row r="14221" spans="1:1" ht="12.75">
      <c r="A14221" s="2" t="s">
        <v>166</v>
      </c>
    </row>
    <row r="14222" spans="1:1" ht="12.75">
      <c r="A14222" s="2" t="s">
        <v>171</v>
      </c>
    </row>
    <row r="14223" spans="1:1" ht="12.75">
      <c r="A14223" s="2" t="s">
        <v>161</v>
      </c>
    </row>
    <row r="14224" spans="1:1" ht="12.75">
      <c r="A14224" s="2" t="s">
        <v>165</v>
      </c>
    </row>
    <row r="14225" spans="1:1" ht="12.75">
      <c r="A14225" s="2" t="s">
        <v>168</v>
      </c>
    </row>
    <row r="14226" spans="1:1" ht="12.75">
      <c r="A14226" s="2" t="s">
        <v>161</v>
      </c>
    </row>
    <row r="14227" spans="1:1" ht="12.75">
      <c r="A14227" s="2">
        <v>101</v>
      </c>
    </row>
    <row r="14228" spans="1:1" ht="12.75">
      <c r="A14228" s="2" t="s">
        <v>165</v>
      </c>
    </row>
    <row r="14229" spans="1:1" ht="12.75">
      <c r="A14229" s="2" t="s">
        <v>181</v>
      </c>
    </row>
    <row r="14230" spans="1:1" ht="12.75">
      <c r="A14230" s="2" t="s">
        <v>165</v>
      </c>
    </row>
    <row r="14232" spans="1:1" ht="12.75">
      <c r="A14232" s="2" t="s">
        <v>166</v>
      </c>
    </row>
    <row r="14233" spans="1:1" ht="12.75">
      <c r="A14233" s="2" t="s">
        <v>166</v>
      </c>
    </row>
    <row r="14235" spans="1:1" ht="12.75">
      <c r="A14235" s="2" t="s">
        <v>166</v>
      </c>
    </row>
    <row r="14236" spans="1:1" ht="12.75">
      <c r="A14236" s="2" t="s">
        <v>176</v>
      </c>
    </row>
    <row r="14238" spans="1:1" ht="12.75">
      <c r="A14238" s="2" t="s">
        <v>176</v>
      </c>
    </row>
    <row r="14239" spans="1:1" ht="12.75">
      <c r="A14239" s="2" t="s">
        <v>176</v>
      </c>
    </row>
    <row r="14240" spans="1:1" ht="12.75">
      <c r="A14240" s="2" t="s">
        <v>168</v>
      </c>
    </row>
    <row r="14241" spans="1:1" ht="12.75">
      <c r="A14241" s="2" t="s">
        <v>183</v>
      </c>
    </row>
    <row r="14242" spans="1:1" ht="12.75">
      <c r="A14242" s="2" t="s">
        <v>168</v>
      </c>
    </row>
    <row r="14243" spans="1:1" ht="12.75">
      <c r="A14243" s="2" t="s">
        <v>183</v>
      </c>
    </row>
    <row r="14244" spans="1:1" ht="12.75">
      <c r="A14244" s="2" t="s">
        <v>182</v>
      </c>
    </row>
    <row r="14245" spans="1:1" ht="12.75">
      <c r="A14245" s="2" t="s">
        <v>182</v>
      </c>
    </row>
    <row r="14246" spans="1:1" ht="12.75">
      <c r="A14246" s="2" t="s">
        <v>183</v>
      </c>
    </row>
    <row r="14247" spans="1:1" ht="12.75">
      <c r="A14247" s="2" t="s">
        <v>182</v>
      </c>
    </row>
    <row r="14248" spans="1:1" ht="12.75">
      <c r="A14248" s="2" t="s">
        <v>181</v>
      </c>
    </row>
    <row r="14249" spans="1:1" ht="12.75">
      <c r="A14249" s="2" t="s">
        <v>194</v>
      </c>
    </row>
    <row r="14250" spans="1:1" ht="12.75">
      <c r="A14250" s="2" t="s">
        <v>181</v>
      </c>
    </row>
    <row r="14251" spans="1:1" ht="12.75">
      <c r="A14251" s="2" t="s">
        <v>181</v>
      </c>
    </row>
    <row r="14252" spans="1:1" ht="12.75">
      <c r="A14252" s="2" t="s">
        <v>173</v>
      </c>
    </row>
    <row r="14253" spans="1:1" ht="12.75">
      <c r="A14253" s="2" t="s">
        <v>225</v>
      </c>
    </row>
    <row r="14254" spans="1:1" ht="12.75">
      <c r="A14254" s="2" t="s">
        <v>173</v>
      </c>
    </row>
    <row r="14256" spans="1:1" ht="12.75">
      <c r="A14256" s="2" t="s">
        <v>164</v>
      </c>
    </row>
    <row r="14257" spans="1:1" ht="12.75">
      <c r="A14257" s="2" t="s">
        <v>173</v>
      </c>
    </row>
    <row r="14258" spans="1:1" ht="12.75">
      <c r="A14258" s="2" t="s">
        <v>171</v>
      </c>
    </row>
    <row r="14259" spans="1:1" ht="12.75">
      <c r="A14259" s="2" t="s">
        <v>173</v>
      </c>
    </row>
    <row r="14260" spans="1:1" ht="12.75">
      <c r="A14260" s="2" t="s">
        <v>191</v>
      </c>
    </row>
    <row r="14261" spans="1:1" ht="12.75">
      <c r="A14261" s="2" t="s">
        <v>173</v>
      </c>
    </row>
    <row r="14262" spans="1:1" ht="12.75">
      <c r="A14262" s="2" t="s">
        <v>191</v>
      </c>
    </row>
    <row r="14263" spans="1:1" ht="12.75">
      <c r="A14263" s="2" t="s">
        <v>225</v>
      </c>
    </row>
    <row r="14264" spans="1:1" ht="12.75">
      <c r="A14264" s="2" t="s">
        <v>194</v>
      </c>
    </row>
    <row r="14265" spans="1:1" ht="12.75">
      <c r="A14265" s="2" t="s">
        <v>181</v>
      </c>
    </row>
    <row r="14266" spans="1:1" ht="12.75">
      <c r="A14266" s="2" t="s">
        <v>194</v>
      </c>
    </row>
    <row r="14267" spans="1:1" ht="12.75">
      <c r="A14267" s="2" t="s">
        <v>181</v>
      </c>
    </row>
    <row r="14269" spans="1:1" ht="12.75">
      <c r="A14269" s="2" t="s">
        <v>225</v>
      </c>
    </row>
    <row r="14270" spans="1:1" ht="12.75">
      <c r="A14270" s="2" t="s">
        <v>194</v>
      </c>
    </row>
    <row r="14272" spans="1:1" ht="12.75">
      <c r="A14272" s="2" t="s">
        <v>194</v>
      </c>
    </row>
    <row r="14274" spans="1:1" ht="12.75">
      <c r="A14274" s="2" t="s">
        <v>225</v>
      </c>
    </row>
    <row r="14277" spans="1:1" ht="12.75">
      <c r="A14277" s="2" t="s">
        <v>171</v>
      </c>
    </row>
    <row r="14278" spans="1:1" ht="12.75">
      <c r="A14278" s="2" t="s">
        <v>165</v>
      </c>
    </row>
    <row r="14279" spans="1:1" ht="12.75">
      <c r="A14279" s="2" t="s">
        <v>189</v>
      </c>
    </row>
    <row r="14280" spans="1:1" ht="12.75">
      <c r="A14280" s="2" t="s">
        <v>165</v>
      </c>
    </row>
    <row r="14281" spans="1:1" ht="12.75">
      <c r="A14281" s="2" t="s">
        <v>171</v>
      </c>
    </row>
    <row r="14282" spans="1:1" ht="12.75">
      <c r="A14282" s="2" t="s">
        <v>164</v>
      </c>
    </row>
    <row r="14284" spans="1:1" ht="12.75">
      <c r="A14284" s="2" t="s">
        <v>164</v>
      </c>
    </row>
    <row r="14285" spans="1:1" ht="12.75">
      <c r="A14285" s="2" t="s">
        <v>191</v>
      </c>
    </row>
    <row r="14286" spans="1:1" ht="12.75">
      <c r="A14286" s="2" t="s">
        <v>164</v>
      </c>
    </row>
    <row r="14287" spans="1:1" ht="12.75">
      <c r="A14287" s="2" t="s">
        <v>165</v>
      </c>
    </row>
    <row r="14288" spans="1:1" ht="12.75">
      <c r="A14288" s="2" t="s">
        <v>162</v>
      </c>
    </row>
    <row r="14289" spans="1:1" ht="12.75">
      <c r="A14289" s="2" t="s">
        <v>175</v>
      </c>
    </row>
    <row r="14290" spans="1:1" ht="12.75">
      <c r="A14290" s="2" t="s">
        <v>162</v>
      </c>
    </row>
    <row r="14291" spans="1:1" ht="12.75">
      <c r="A14291" s="2" t="s">
        <v>175</v>
      </c>
    </row>
    <row r="14292" spans="1:1" ht="12.75">
      <c r="A14292" s="2" t="s">
        <v>179</v>
      </c>
    </row>
    <row r="14293" spans="1:1" ht="12.75">
      <c r="A14293" s="2" t="s">
        <v>162</v>
      </c>
    </row>
    <row r="14295" spans="1:1" ht="12.75">
      <c r="A14295" s="2" t="s">
        <v>162</v>
      </c>
    </row>
    <row r="14296" spans="1:1" ht="12.75">
      <c r="A14296" s="2" t="s">
        <v>563</v>
      </c>
    </row>
    <row r="14297" spans="1:1" ht="12.75">
      <c r="A14297" s="2" t="s">
        <v>167</v>
      </c>
    </row>
    <row r="14298" spans="1:1" ht="12.75">
      <c r="A14298" s="2" t="s">
        <v>175</v>
      </c>
    </row>
    <row r="14299" spans="1:1" ht="12.75">
      <c r="A14299" s="2" t="s">
        <v>178</v>
      </c>
    </row>
    <row r="14300" spans="1:1" ht="12.75">
      <c r="A14300" s="2" t="s">
        <v>175</v>
      </c>
    </row>
    <row r="14301" spans="1:1" ht="12.75">
      <c r="A14301" s="2" t="s">
        <v>177</v>
      </c>
    </row>
    <row r="14304" spans="1:1" ht="12.75">
      <c r="A14304" s="2" t="s">
        <v>162</v>
      </c>
    </row>
    <row r="14305" spans="1:1" ht="12.75">
      <c r="A14305" s="2" t="s">
        <v>184</v>
      </c>
    </row>
    <row r="14306" spans="1:1" ht="12.75">
      <c r="A14306" s="2" t="s">
        <v>162</v>
      </c>
    </row>
    <row r="14307" spans="1:1" ht="12.75">
      <c r="A14307" s="2" t="s">
        <v>184</v>
      </c>
    </row>
    <row r="14308" spans="1:1" ht="12.75">
      <c r="A14308" s="2" t="s">
        <v>193</v>
      </c>
    </row>
    <row r="14310" spans="1:1" ht="12.75">
      <c r="A14310" s="2" t="s">
        <v>174</v>
      </c>
    </row>
    <row r="14312" spans="1:1" ht="12.75">
      <c r="A14312" s="2" t="s">
        <v>174</v>
      </c>
    </row>
    <row r="14314" spans="1:1" ht="12.75">
      <c r="A14314" s="2" t="s">
        <v>196</v>
      </c>
    </row>
    <row r="14315" spans="1:1" ht="12.75">
      <c r="A14315" s="2" t="s">
        <v>193</v>
      </c>
    </row>
    <row r="14316" spans="1:1" ht="12.75">
      <c r="A14316" s="2" t="s">
        <v>175</v>
      </c>
    </row>
    <row r="14317" spans="1:1" ht="12.75">
      <c r="A14317" s="2" t="s">
        <v>162</v>
      </c>
    </row>
    <row r="14318" spans="1:1" ht="12.75">
      <c r="A14318" s="2" t="s">
        <v>175</v>
      </c>
    </row>
    <row r="14319" spans="1:1" ht="12.75">
      <c r="A14319" s="2" t="s">
        <v>175</v>
      </c>
    </row>
    <row r="14320" spans="1:1" ht="12.75">
      <c r="A14320" s="2" t="s">
        <v>167</v>
      </c>
    </row>
    <row r="14321" spans="1:1" ht="12.75">
      <c r="A14321" s="2" t="s">
        <v>184</v>
      </c>
    </row>
    <row r="14322" spans="1:1" ht="12.75">
      <c r="A14322" s="2" t="s">
        <v>162</v>
      </c>
    </row>
    <row r="14323" spans="1:1" ht="12.75">
      <c r="A14323" s="2" t="s">
        <v>167</v>
      </c>
    </row>
    <row r="14324" spans="1:1" ht="12.75">
      <c r="A14324" s="2" t="s">
        <v>162</v>
      </c>
    </row>
    <row r="14325" spans="1:1" ht="12.75">
      <c r="A14325" s="2" t="s">
        <v>167</v>
      </c>
    </row>
    <row r="14330" spans="1:1" ht="12.75">
      <c r="A14330" s="2" t="s">
        <v>170</v>
      </c>
    </row>
    <row r="14332" spans="1:1" ht="12.75">
      <c r="A14332" s="2" t="s">
        <v>162</v>
      </c>
    </row>
    <row r="14333" spans="1:1" ht="12.75">
      <c r="A14333" s="2" t="s">
        <v>170</v>
      </c>
    </row>
    <row r="14334" spans="1:1" ht="12.75">
      <c r="A14334" s="2" t="s">
        <v>177</v>
      </c>
    </row>
    <row r="14335" spans="1:1" ht="12.75">
      <c r="A14335" s="2" t="s">
        <v>196</v>
      </c>
    </row>
    <row r="14336" spans="1:1" ht="12.75">
      <c r="A14336" s="2" t="s">
        <v>177</v>
      </c>
    </row>
    <row r="14337" spans="1:1" ht="12.75">
      <c r="A14337" s="2" t="s">
        <v>170</v>
      </c>
    </row>
    <row r="14338" spans="1:1" ht="12.75">
      <c r="A14338" s="2" t="s">
        <v>196</v>
      </c>
    </row>
    <row r="14339" spans="1:1" ht="12.75">
      <c r="A14339" s="2" t="s">
        <v>160</v>
      </c>
    </row>
    <row r="14340" spans="1:1" ht="12.75">
      <c r="A14340" s="2" t="s">
        <v>170</v>
      </c>
    </row>
    <row r="14341" spans="1:1" ht="12.75">
      <c r="A14341" s="2" t="s">
        <v>170</v>
      </c>
    </row>
    <row r="14342" spans="1:1" ht="12.75">
      <c r="A14342" s="2" t="s">
        <v>175</v>
      </c>
    </row>
    <row r="14343" spans="1:1" ht="12.75">
      <c r="A14343" s="2" t="s">
        <v>162</v>
      </c>
    </row>
    <row r="14344" spans="1:1" ht="12.75">
      <c r="A14344" s="2" t="s">
        <v>175</v>
      </c>
    </row>
    <row r="14345" spans="1:1" ht="12.75">
      <c r="A14345" s="2" t="s">
        <v>162</v>
      </c>
    </row>
    <row r="14346" spans="1:1" ht="12.75">
      <c r="A14346" s="2" t="s">
        <v>167</v>
      </c>
    </row>
    <row r="14347" spans="1:1" ht="12.75">
      <c r="A14347" s="2" t="s">
        <v>179</v>
      </c>
    </row>
    <row r="14348" spans="1:1" ht="12.75">
      <c r="A14348" s="2" t="s">
        <v>162</v>
      </c>
    </row>
    <row r="14349" spans="1:1" ht="12.75">
      <c r="A14349" s="2" t="s">
        <v>179</v>
      </c>
    </row>
    <row r="14350" spans="1:1" ht="12.75">
      <c r="A14350" s="2" t="s">
        <v>184</v>
      </c>
    </row>
    <row r="14351" spans="1:1" ht="12.75">
      <c r="A14351" s="2" t="s">
        <v>169</v>
      </c>
    </row>
    <row r="14352" spans="1:1" ht="12.75">
      <c r="A14352" s="2" t="s">
        <v>167</v>
      </c>
    </row>
    <row r="14353" spans="1:1" ht="12.75">
      <c r="A14353" s="2" t="s">
        <v>184</v>
      </c>
    </row>
    <row r="14354" spans="1:1" ht="12.75">
      <c r="A14354" s="2" t="s">
        <v>167</v>
      </c>
    </row>
    <row r="14355" spans="1:1" ht="12.75">
      <c r="A14355" s="2" t="s">
        <v>184</v>
      </c>
    </row>
    <row r="14356" spans="1:1" ht="12.75">
      <c r="A14356" s="2" t="s">
        <v>225</v>
      </c>
    </row>
    <row r="14357" spans="1:1" ht="12.75">
      <c r="A14357" s="2" t="s">
        <v>184</v>
      </c>
    </row>
    <row r="14358" spans="1:1" ht="12.75">
      <c r="A14358" s="2" t="s">
        <v>169</v>
      </c>
    </row>
    <row r="14359" spans="1:1" ht="12.75">
      <c r="A14359" s="2" t="s">
        <v>184</v>
      </c>
    </row>
    <row r="14360" spans="1:1" ht="12.75">
      <c r="A14360" s="2" t="s">
        <v>169</v>
      </c>
    </row>
    <row r="14361" spans="1:1" ht="12.75">
      <c r="A14361" s="2" t="s">
        <v>178</v>
      </c>
    </row>
    <row r="14362" spans="1:1" ht="12.75">
      <c r="A14362" s="2" t="s">
        <v>177</v>
      </c>
    </row>
    <row r="14363" spans="1:1" ht="12.75">
      <c r="A14363" s="2" t="s">
        <v>175</v>
      </c>
    </row>
    <row r="14364" spans="1:1" ht="12.75">
      <c r="A14364" s="2" t="s">
        <v>177</v>
      </c>
    </row>
    <row r="14365" spans="1:1" ht="12.75">
      <c r="A14365" s="2" t="s">
        <v>177</v>
      </c>
    </row>
    <row r="14366" spans="1:1" ht="12.75">
      <c r="A14366" s="2" t="s">
        <v>162</v>
      </c>
    </row>
    <row r="14367" spans="1:1" ht="12.75">
      <c r="A14367" s="2" t="s">
        <v>162</v>
      </c>
    </row>
    <row r="14368" spans="1:1" ht="12.75">
      <c r="A14368" s="2" t="s">
        <v>175</v>
      </c>
    </row>
    <row r="14369" spans="1:1" ht="12.75">
      <c r="A14369" s="2" t="s">
        <v>162</v>
      </c>
    </row>
    <row r="14370" spans="1:1" ht="12.75">
      <c r="A14370" s="2" t="s">
        <v>167</v>
      </c>
    </row>
    <row r="14371" spans="1:1" ht="12.75">
      <c r="A14371" s="2" t="s">
        <v>160</v>
      </c>
    </row>
    <row r="14372" spans="1:1" ht="12.75">
      <c r="A14372" s="2" t="s">
        <v>174</v>
      </c>
    </row>
    <row r="14373" spans="1:1" ht="12.75">
      <c r="A14373" s="2" t="s">
        <v>160</v>
      </c>
    </row>
    <row r="14374" spans="1:1" ht="12.75">
      <c r="A14374" s="2" t="s">
        <v>174</v>
      </c>
    </row>
    <row r="14375" spans="1:1" ht="12.75">
      <c r="A14375" s="2" t="s">
        <v>167</v>
      </c>
    </row>
    <row r="14378" spans="1:1" ht="12.75">
      <c r="A14378" s="2" t="s">
        <v>160</v>
      </c>
    </row>
    <row r="14380" spans="1:1" ht="12.75">
      <c r="A14380" s="2" t="s">
        <v>167</v>
      </c>
    </row>
    <row r="14381" spans="1:1" ht="12.75">
      <c r="A14381" s="2" t="s">
        <v>184</v>
      </c>
    </row>
    <row r="14382" spans="1:1" ht="12.75">
      <c r="A14382" s="2" t="s">
        <v>167</v>
      </c>
    </row>
    <row r="14383" spans="1:1" ht="12.75">
      <c r="A14383" s="2" t="s">
        <v>167</v>
      </c>
    </row>
    <row r="14384" spans="1:1" ht="12.75">
      <c r="A14384" s="2" t="s">
        <v>184</v>
      </c>
    </row>
    <row r="14385" spans="1:1" ht="12.75">
      <c r="A14385" s="2" t="s">
        <v>167</v>
      </c>
    </row>
    <row r="14386" spans="1:1" ht="12.75">
      <c r="A14386" s="2" t="s">
        <v>184</v>
      </c>
    </row>
    <row r="14387" spans="1:1" ht="12.75">
      <c r="A14387" s="2" t="s">
        <v>167</v>
      </c>
    </row>
    <row r="14399" spans="1:1" ht="12.75">
      <c r="A14399" s="2" t="s">
        <v>497</v>
      </c>
    </row>
    <row r="14400" spans="1:1" ht="12.75">
      <c r="A14400" s="2" t="s">
        <v>680</v>
      </c>
    </row>
    <row r="14401" spans="1:1" ht="12.75">
      <c r="A14401" s="2" t="s">
        <v>681</v>
      </c>
    </row>
    <row r="14402" spans="1:1" ht="12.75">
      <c r="A14402" s="2" t="s">
        <v>682</v>
      </c>
    </row>
    <row r="14403" spans="1:1" ht="12.75">
      <c r="A14403" s="2" t="s">
        <v>683</v>
      </c>
    </row>
    <row r="14405" spans="1:1" ht="12.75">
      <c r="A14405" s="2" t="s">
        <v>454</v>
      </c>
    </row>
    <row r="14406" spans="1:1" ht="12.75">
      <c r="A14406" s="2" t="s">
        <v>454</v>
      </c>
    </row>
    <row r="14407" spans="1:1" ht="12.75">
      <c r="A14407" s="2" t="s">
        <v>454</v>
      </c>
    </row>
    <row r="14408" spans="1:1" ht="12.75">
      <c r="A14408" s="2" t="s">
        <v>454</v>
      </c>
    </row>
    <row r="14409" spans="1:1" ht="12.75">
      <c r="A14409" s="2" t="s">
        <v>454</v>
      </c>
    </row>
    <row r="14410" spans="1:1" ht="12.75">
      <c r="A14410" s="2" t="s">
        <v>454</v>
      </c>
    </row>
    <row r="14411" spans="1:1" ht="12.75">
      <c r="A14411" s="2" t="s">
        <v>454</v>
      </c>
    </row>
    <row r="14412" spans="1:1" ht="12.75">
      <c r="A14412" s="2" t="s">
        <v>454</v>
      </c>
    </row>
    <row r="14413" spans="1:1" ht="12.75">
      <c r="A14413" s="2" t="s">
        <v>454</v>
      </c>
    </row>
    <row r="14414" spans="1:1" ht="12.75">
      <c r="A14414" s="2" t="s">
        <v>684</v>
      </c>
    </row>
    <row r="14415" spans="1:1" ht="12.75">
      <c r="A14415" s="2" t="s">
        <v>685</v>
      </c>
    </row>
    <row r="14425" spans="1:1" ht="12.75">
      <c r="A14425" s="2" t="s">
        <v>552</v>
      </c>
    </row>
    <row r="14426" spans="1:1" ht="12.75">
      <c r="A14426" s="2" t="s">
        <v>552</v>
      </c>
    </row>
    <row r="14427" spans="1:1" ht="12.75">
      <c r="A14427" s="2" t="s">
        <v>226</v>
      </c>
    </row>
    <row r="14428" spans="1:1" ht="12.75">
      <c r="A14428" s="2" t="s">
        <v>226</v>
      </c>
    </row>
    <row r="14429" spans="1:1" ht="12.75">
      <c r="A14429" s="2" t="s">
        <v>226</v>
      </c>
    </row>
    <row r="14430" spans="1:1" ht="12.75">
      <c r="A14430" s="2" t="s">
        <v>226</v>
      </c>
    </row>
    <row r="14431" spans="1:1" ht="12.75">
      <c r="A14431" s="2" t="s">
        <v>552</v>
      </c>
    </row>
    <row r="14432" spans="1:1" ht="12.75">
      <c r="A14432" s="2" t="s">
        <v>226</v>
      </c>
    </row>
    <row r="14433" spans="1:1" ht="12.75">
      <c r="A14433" s="2" t="s">
        <v>226</v>
      </c>
    </row>
    <row r="14434" spans="1:1" ht="12.75">
      <c r="A14434" s="2" t="s">
        <v>552</v>
      </c>
    </row>
    <row r="14435" spans="1:1" ht="12.75">
      <c r="A14435" s="2" t="s">
        <v>226</v>
      </c>
    </row>
    <row r="14436" spans="1:1" ht="12.75">
      <c r="A14436" s="2" t="s">
        <v>206</v>
      </c>
    </row>
    <row r="14437" spans="1:1" ht="12.75">
      <c r="A14437" s="2" t="s">
        <v>206</v>
      </c>
    </row>
    <row r="14438" spans="1:1" ht="12.75">
      <c r="A14438" s="2" t="s">
        <v>206</v>
      </c>
    </row>
    <row r="14439" spans="1:1" ht="12.75">
      <c r="A14439" s="2" t="s">
        <v>206</v>
      </c>
    </row>
    <row r="14440" spans="1:1" ht="12.75">
      <c r="A14440" s="2" t="s">
        <v>206</v>
      </c>
    </row>
    <row r="14441" spans="1:1" ht="12.75">
      <c r="A14441" s="2" t="s">
        <v>206</v>
      </c>
    </row>
    <row r="14442" spans="1:1" ht="12.75">
      <c r="A14442" s="2" t="s">
        <v>202</v>
      </c>
    </row>
    <row r="14443" spans="1:1" ht="12.75">
      <c r="A14443" s="2" t="s">
        <v>201</v>
      </c>
    </row>
    <row r="14444" spans="1:1" ht="12.75">
      <c r="A14444" s="2" t="s">
        <v>201</v>
      </c>
    </row>
    <row r="14445" spans="1:1" ht="12.75">
      <c r="A14445" s="2" t="s">
        <v>201</v>
      </c>
    </row>
    <row r="14446" spans="1:1" ht="12.75">
      <c r="A14446" s="2" t="s">
        <v>201</v>
      </c>
    </row>
    <row r="14447" spans="1:1" ht="12.75">
      <c r="A14447" s="2" t="s">
        <v>201</v>
      </c>
    </row>
    <row r="14448" spans="1:1" ht="12.75">
      <c r="A14448" s="2" t="s">
        <v>201</v>
      </c>
    </row>
    <row r="14449" spans="1:1" ht="12.75">
      <c r="A14449" s="2" t="s">
        <v>201</v>
      </c>
    </row>
    <row r="14450" spans="1:1" ht="12.75">
      <c r="A14450" s="2" t="s">
        <v>201</v>
      </c>
    </row>
    <row r="14451" spans="1:1" ht="12.75">
      <c r="A14451" s="2" t="s">
        <v>201</v>
      </c>
    </row>
    <row r="14452" spans="1:1" ht="12.75">
      <c r="A14452" s="2" t="s">
        <v>201</v>
      </c>
    </row>
    <row r="14453" spans="1:1" ht="12.75">
      <c r="A14453" s="2" t="s">
        <v>201</v>
      </c>
    </row>
    <row r="14454" spans="1:1" ht="12.75">
      <c r="A14454" s="2" t="s">
        <v>203</v>
      </c>
    </row>
    <row r="14455" spans="1:1" ht="12.75">
      <c r="A14455" s="2" t="s">
        <v>203</v>
      </c>
    </row>
    <row r="14456" spans="1:1" ht="12.75">
      <c r="A14456" s="2" t="s">
        <v>200</v>
      </c>
    </row>
    <row r="14457" spans="1:1" ht="12.75">
      <c r="A14457" s="2" t="s">
        <v>200</v>
      </c>
    </row>
    <row r="14458" spans="1:1" ht="12.75">
      <c r="A14458" s="2" t="s">
        <v>200</v>
      </c>
    </row>
    <row r="14459" spans="1:1" ht="12.75">
      <c r="A14459" s="2" t="s">
        <v>200</v>
      </c>
    </row>
    <row r="14460" spans="1:1" ht="12.75">
      <c r="A14460" s="2" t="s">
        <v>200</v>
      </c>
    </row>
    <row r="14461" spans="1:1" ht="12.75">
      <c r="A14461" s="2" t="s">
        <v>200</v>
      </c>
    </row>
    <row r="14462" spans="1:1" ht="12.75">
      <c r="A14462" s="2" t="s">
        <v>203</v>
      </c>
    </row>
    <row r="14463" spans="1:1" ht="12.75">
      <c r="A14463" s="2" t="s">
        <v>203</v>
      </c>
    </row>
    <row r="14464" spans="1:1" ht="12.75">
      <c r="A14464" s="2" t="s">
        <v>203</v>
      </c>
    </row>
    <row r="14465" spans="1:1" ht="12.75">
      <c r="A14465" s="2" t="s">
        <v>203</v>
      </c>
    </row>
    <row r="14466" spans="1:1" ht="12.75">
      <c r="A14466" s="2" t="s">
        <v>203</v>
      </c>
    </row>
    <row r="14467" spans="1:1" ht="12.75">
      <c r="A14467" s="2" t="s">
        <v>203</v>
      </c>
    </row>
    <row r="14468" spans="1:1" ht="12.75">
      <c r="A14468" s="2" t="s">
        <v>203</v>
      </c>
    </row>
    <row r="14469" spans="1:1" ht="12.75">
      <c r="A14469" s="2" t="s">
        <v>203</v>
      </c>
    </row>
    <row r="14470" spans="1:1" ht="12.75">
      <c r="A14470" s="2" t="s">
        <v>203</v>
      </c>
    </row>
    <row r="14471" spans="1:1" ht="12.75">
      <c r="A14471" s="2" t="s">
        <v>203</v>
      </c>
    </row>
    <row r="14472" spans="1:1" ht="12.75">
      <c r="A14472" s="2" t="s">
        <v>206</v>
      </c>
    </row>
    <row r="14473" spans="1:1" ht="12.75">
      <c r="A14473" s="2" t="s">
        <v>206</v>
      </c>
    </row>
    <row r="14474" spans="1:1" ht="12.75">
      <c r="A14474" s="2" t="s">
        <v>206</v>
      </c>
    </row>
    <row r="14475" spans="1:1" ht="12.75">
      <c r="A14475" s="2" t="s">
        <v>206</v>
      </c>
    </row>
    <row r="14476" spans="1:1" ht="12.75">
      <c r="A14476" s="2" t="s">
        <v>658</v>
      </c>
    </row>
    <row r="14477" spans="1:1" ht="12.75">
      <c r="A14477" s="2" t="s">
        <v>257</v>
      </c>
    </row>
    <row r="14478" spans="1:1" ht="12.75">
      <c r="A14478" s="2" t="s">
        <v>257</v>
      </c>
    </row>
    <row r="14479" spans="1:1" ht="12.75">
      <c r="A14479" s="2" t="s">
        <v>257</v>
      </c>
    </row>
    <row r="14480" spans="1:1" ht="12.75">
      <c r="A14480" s="2" t="s">
        <v>257</v>
      </c>
    </row>
    <row r="14481" spans="1:1" ht="12.75">
      <c r="A14481" s="2" t="s">
        <v>258</v>
      </c>
    </row>
    <row r="14482" spans="1:1" ht="12.75">
      <c r="A14482" s="2" t="s">
        <v>258</v>
      </c>
    </row>
    <row r="14483" spans="1:1" ht="12.75">
      <c r="A14483" s="2" t="s">
        <v>258</v>
      </c>
    </row>
    <row r="14484" spans="1:1" ht="12.75">
      <c r="A14484" s="2" t="s">
        <v>258</v>
      </c>
    </row>
    <row r="14485" spans="1:1" ht="12.75">
      <c r="A14485" s="2" t="s">
        <v>257</v>
      </c>
    </row>
    <row r="14486" spans="1:1" ht="12.75">
      <c r="A14486" s="2" t="s">
        <v>257</v>
      </c>
    </row>
    <row r="14487" spans="1:1" ht="12.75">
      <c r="A14487" s="2" t="s">
        <v>257</v>
      </c>
    </row>
    <row r="14488" spans="1:1" ht="12.75">
      <c r="A14488" s="2" t="s">
        <v>258</v>
      </c>
    </row>
    <row r="14489" spans="1:1" ht="12.75">
      <c r="A14489" s="2" t="s">
        <v>259</v>
      </c>
    </row>
    <row r="14490" spans="1:1" ht="12.75">
      <c r="A14490" s="2" t="s">
        <v>259</v>
      </c>
    </row>
    <row r="14491" spans="1:1" ht="12.75">
      <c r="A14491" s="2" t="s">
        <v>258</v>
      </c>
    </row>
    <row r="14492" spans="1:1" ht="12.75">
      <c r="A14492" s="2" t="s">
        <v>258</v>
      </c>
    </row>
    <row r="14493" spans="1:1" ht="12.75">
      <c r="A14493" s="2" t="s">
        <v>259</v>
      </c>
    </row>
    <row r="14494" spans="1:1" ht="12.75">
      <c r="A14494" s="2" t="s">
        <v>259</v>
      </c>
    </row>
    <row r="14495" spans="1:1" ht="12.75">
      <c r="A14495" s="2" t="s">
        <v>257</v>
      </c>
    </row>
    <row r="14496" spans="1:1" ht="12.75">
      <c r="A14496" s="2" t="s">
        <v>257</v>
      </c>
    </row>
    <row r="14510" spans="1:1" ht="12.75">
      <c r="A14510" s="2" t="s">
        <v>229</v>
      </c>
    </row>
    <row r="14511" spans="1:1" ht="12.75">
      <c r="A14511" s="2" t="s">
        <v>229</v>
      </c>
    </row>
    <row r="14512" spans="1:1" ht="12.75">
      <c r="A14512" s="2" t="s">
        <v>211</v>
      </c>
    </row>
    <row r="14513" spans="1:1" ht="12.75">
      <c r="A14513" s="2" t="s">
        <v>486</v>
      </c>
    </row>
    <row r="14514" spans="1:1" ht="12.75">
      <c r="A14514" s="2" t="s">
        <v>486</v>
      </c>
    </row>
    <row r="14515" spans="1:1" ht="12.75">
      <c r="A14515" s="2" t="s">
        <v>212</v>
      </c>
    </row>
    <row r="14516" spans="1:1" ht="12.75">
      <c r="A14516" s="2" t="s">
        <v>212</v>
      </c>
    </row>
    <row r="14517" spans="1:1" ht="12.75">
      <c r="A14517" s="2" t="s">
        <v>212</v>
      </c>
    </row>
    <row r="14518" spans="1:1" ht="12.75">
      <c r="A14518" s="2" t="s">
        <v>212</v>
      </c>
    </row>
    <row r="14519" spans="1:1" ht="12.75">
      <c r="A14519" s="2" t="s">
        <v>364</v>
      </c>
    </row>
    <row r="14520" spans="1:1" ht="12.75">
      <c r="A14520" s="2" t="s">
        <v>364</v>
      </c>
    </row>
    <row r="14521" spans="1:1" ht="12.75">
      <c r="A14521" s="2" t="s">
        <v>486</v>
      </c>
    </row>
    <row r="14522" spans="1:1" ht="12.75">
      <c r="A14522" s="2" t="s">
        <v>486</v>
      </c>
    </row>
    <row r="14523" spans="1:1" ht="12.75">
      <c r="A14523" s="2" t="s">
        <v>210</v>
      </c>
    </row>
    <row r="14524" spans="1:1" ht="12.75">
      <c r="A14524" s="2" t="s">
        <v>210</v>
      </c>
    </row>
    <row r="14525" spans="1:1" ht="12.75">
      <c r="A14525" s="2" t="s">
        <v>210</v>
      </c>
    </row>
    <row r="14526" spans="1:1" ht="12.75">
      <c r="A14526" s="2" t="s">
        <v>210</v>
      </c>
    </row>
    <row r="14527" spans="1:1" ht="12.75">
      <c r="A14527" s="2" t="s">
        <v>210</v>
      </c>
    </row>
    <row r="14528" spans="1:1" ht="12.75">
      <c r="A14528" s="2" t="s">
        <v>210</v>
      </c>
    </row>
    <row r="14529" spans="1:1" ht="12.75">
      <c r="A14529" s="2" t="s">
        <v>149</v>
      </c>
    </row>
    <row r="14530" spans="1:1" ht="12.75">
      <c r="A14530" s="2" t="s">
        <v>364</v>
      </c>
    </row>
    <row r="14532" spans="1:1" ht="12.75">
      <c r="A14532" s="2" t="s">
        <v>364</v>
      </c>
    </row>
    <row r="14533" spans="1:1" ht="12.75">
      <c r="A14533" s="2" t="s">
        <v>209</v>
      </c>
    </row>
    <row r="14534" spans="1:1" ht="12.75">
      <c r="A14534" s="2" t="s">
        <v>209</v>
      </c>
    </row>
    <row r="14535" spans="1:1" ht="12.75">
      <c r="A14535" s="2" t="s">
        <v>210</v>
      </c>
    </row>
    <row r="14536" spans="1:1" ht="12.75">
      <c r="A14536" s="2" t="s">
        <v>210</v>
      </c>
    </row>
    <row r="14537" spans="1:1" ht="12.75">
      <c r="A14537" s="2" t="s">
        <v>210</v>
      </c>
    </row>
    <row r="14538" spans="1:1" ht="12.75">
      <c r="A14538" s="2" t="s">
        <v>210</v>
      </c>
    </row>
    <row r="14539" spans="1:1" ht="12.75">
      <c r="A14539" s="2" t="s">
        <v>364</v>
      </c>
    </row>
    <row r="14540" spans="1:1" ht="12.75">
      <c r="A14540" s="2" t="s">
        <v>364</v>
      </c>
    </row>
    <row r="14541" spans="1:1" ht="12.75">
      <c r="A14541" s="2" t="s">
        <v>364</v>
      </c>
    </row>
    <row r="14542" spans="1:1" ht="12.75">
      <c r="A14542" s="2" t="s">
        <v>364</v>
      </c>
    </row>
    <row r="14543" spans="1:1" ht="12.75">
      <c r="A14543" s="2" t="s">
        <v>366</v>
      </c>
    </row>
    <row r="14544" spans="1:1" ht="12.75">
      <c r="A14544" s="2" t="s">
        <v>212</v>
      </c>
    </row>
    <row r="14545" spans="1:1" ht="12.75">
      <c r="A14545" s="2" t="s">
        <v>209</v>
      </c>
    </row>
    <row r="14546" spans="1:1" ht="12.75">
      <c r="A14546" s="2" t="s">
        <v>209</v>
      </c>
    </row>
    <row r="14547" spans="1:1" ht="12.75">
      <c r="A14547" s="2" t="s">
        <v>210</v>
      </c>
    </row>
    <row r="14548" spans="1:1" ht="12.75">
      <c r="A14548" s="2" t="s">
        <v>210</v>
      </c>
    </row>
    <row r="14549" spans="1:1" ht="12.75">
      <c r="A14549" s="2" t="s">
        <v>210</v>
      </c>
    </row>
    <row r="14550" spans="1:1" ht="12.75">
      <c r="A14550" s="2" t="s">
        <v>210</v>
      </c>
    </row>
    <row r="14551" spans="1:1" ht="12.75">
      <c r="A14551" s="2" t="s">
        <v>364</v>
      </c>
    </row>
    <row r="14552" spans="1:1" ht="12.75">
      <c r="A14552" s="2" t="s">
        <v>364</v>
      </c>
    </row>
    <row r="14553" spans="1:1" ht="12.75">
      <c r="A14553" s="2" t="s">
        <v>209</v>
      </c>
    </row>
    <row r="14554" spans="1:1" ht="12.75">
      <c r="A14554" s="2" t="s">
        <v>209</v>
      </c>
    </row>
    <row r="14555" spans="1:1" ht="12.75">
      <c r="A14555" s="2" t="s">
        <v>209</v>
      </c>
    </row>
    <row r="14556" spans="1:1" ht="12.75">
      <c r="A14556" s="2" t="s">
        <v>209</v>
      </c>
    </row>
    <row r="14557" spans="1:1" ht="12.75">
      <c r="A14557" s="2" t="s">
        <v>486</v>
      </c>
    </row>
    <row r="14558" spans="1:1" ht="12.75">
      <c r="A14558" s="2" t="s">
        <v>486</v>
      </c>
    </row>
    <row r="14559" spans="1:1" ht="12.75">
      <c r="A14559" s="2" t="s">
        <v>211</v>
      </c>
    </row>
    <row r="14560" spans="1:1" ht="12.75">
      <c r="A14560" s="2" t="s">
        <v>211</v>
      </c>
    </row>
    <row r="14561" spans="1:1" ht="12.75">
      <c r="A14561" s="2" t="s">
        <v>209</v>
      </c>
    </row>
    <row r="14562" spans="1:1" ht="12.75">
      <c r="A14562" s="2" t="s">
        <v>209</v>
      </c>
    </row>
    <row r="14564" spans="1:1" ht="12.75">
      <c r="A14564" s="2" t="s">
        <v>315</v>
      </c>
    </row>
    <row r="14565" spans="1:1" ht="12.75">
      <c r="A14565" s="2" t="s">
        <v>315</v>
      </c>
    </row>
    <row r="14566" spans="1:1" ht="12.75">
      <c r="A14566" s="2" t="s">
        <v>315</v>
      </c>
    </row>
    <row r="14567" spans="1:1" ht="12.75">
      <c r="A14567" s="2" t="s">
        <v>315</v>
      </c>
    </row>
    <row r="14568" spans="1:1" ht="12.75">
      <c r="A14568" s="2" t="s">
        <v>371</v>
      </c>
    </row>
    <row r="14569" spans="1:1" ht="12.75">
      <c r="A14569" s="2" t="s">
        <v>371</v>
      </c>
    </row>
    <row r="14570" spans="1:1" ht="12.75">
      <c r="A14570" s="2" t="s">
        <v>533</v>
      </c>
    </row>
    <row r="14571" spans="1:1" ht="12.75">
      <c r="A14571" s="2" t="s">
        <v>244</v>
      </c>
    </row>
    <row r="14572" spans="1:1" ht="12.75">
      <c r="A14572" s="2" t="s">
        <v>244</v>
      </c>
    </row>
    <row r="14573" spans="1:1" ht="12.75">
      <c r="A14573" s="2" t="s">
        <v>245</v>
      </c>
    </row>
    <row r="14574" spans="1:1" ht="12.75">
      <c r="A14574" s="2" t="s">
        <v>244</v>
      </c>
    </row>
    <row r="14576" spans="1:1" ht="12.75">
      <c r="A14576" s="2" t="s">
        <v>629</v>
      </c>
    </row>
    <row r="14577" spans="1:1" ht="12.75">
      <c r="A14577" s="2" t="s">
        <v>573</v>
      </c>
    </row>
    <row r="14578" spans="1:1" ht="12.75">
      <c r="A14578" s="2" t="s">
        <v>573</v>
      </c>
    </row>
    <row r="14579" spans="1:1" ht="12.75">
      <c r="A14579" s="2" t="s">
        <v>629</v>
      </c>
    </row>
    <row r="14580" spans="1:1" ht="12.75">
      <c r="A14580" s="2" t="s">
        <v>573</v>
      </c>
    </row>
    <row r="14581" spans="1:1" ht="12.75">
      <c r="A14581" s="2" t="s">
        <v>629</v>
      </c>
    </row>
    <row r="14582" spans="1:1" ht="12.75">
      <c r="A14582" s="2" t="s">
        <v>629</v>
      </c>
    </row>
    <row r="14583" spans="1:1" ht="12.75">
      <c r="A14583" s="2" t="s">
        <v>573</v>
      </c>
    </row>
    <row r="14720" spans="1:1" ht="12.75">
      <c r="A14720" s="2" t="s">
        <v>590</v>
      </c>
    </row>
    <row r="14725" spans="1:1" ht="12.75">
      <c r="A14725" s="2" t="s">
        <v>162</v>
      </c>
    </row>
    <row r="14726" spans="1:1" ht="12.75">
      <c r="A14726" s="2" t="s">
        <v>179</v>
      </c>
    </row>
    <row r="14727" spans="1:1" ht="12.75">
      <c r="A14727" s="2" t="s">
        <v>179</v>
      </c>
    </row>
    <row r="14728" spans="1:1" ht="12.75">
      <c r="A14728" s="2" t="s">
        <v>160</v>
      </c>
    </row>
    <row r="14729" spans="1:1" ht="12.75">
      <c r="A14729" s="2" t="s">
        <v>175</v>
      </c>
    </row>
    <row r="14730" spans="1:1" ht="12.75">
      <c r="A14730" s="2" t="s">
        <v>162</v>
      </c>
    </row>
    <row r="14731" spans="1:1" ht="12.75">
      <c r="A14731" s="2" t="s">
        <v>175</v>
      </c>
    </row>
    <row r="14732" spans="1:1" ht="12.75">
      <c r="A14732" s="2" t="s">
        <v>162</v>
      </c>
    </row>
    <row r="14734" spans="1:1" ht="12.75">
      <c r="A14734" s="2" t="s">
        <v>179</v>
      </c>
    </row>
    <row r="14735" spans="1:1" ht="12.75">
      <c r="A14735" s="2" t="s">
        <v>184</v>
      </c>
    </row>
    <row r="14736" spans="1:1" ht="12.75">
      <c r="A14736" s="2" t="s">
        <v>177</v>
      </c>
    </row>
    <row r="14738" spans="1:1" ht="12.75">
      <c r="A14738" s="2" t="s">
        <v>160</v>
      </c>
    </row>
    <row r="14741" spans="1:1" ht="12.75">
      <c r="A14741" s="2" t="s">
        <v>160</v>
      </c>
    </row>
    <row r="14742" spans="1:1" ht="12.75">
      <c r="A14742" s="2" t="s">
        <v>167</v>
      </c>
    </row>
    <row r="14743" spans="1:1" ht="12.75">
      <c r="A14743" s="2" t="s">
        <v>160</v>
      </c>
    </row>
    <row r="14744" spans="1:1" ht="12.75">
      <c r="A14744" s="2" t="s">
        <v>167</v>
      </c>
    </row>
    <row r="14745" spans="1:1" ht="12.75">
      <c r="A14745" s="2" t="s">
        <v>179</v>
      </c>
    </row>
    <row r="14746" spans="1:1" ht="12.75">
      <c r="A14746" s="2" t="s">
        <v>179</v>
      </c>
    </row>
    <row r="14747" spans="1:1" ht="12.75">
      <c r="A14747" s="2" t="s">
        <v>167</v>
      </c>
    </row>
    <row r="14748" spans="1:1" ht="12.75">
      <c r="A14748" s="2" t="s">
        <v>179</v>
      </c>
    </row>
    <row r="14749" spans="1:1" ht="12.75">
      <c r="A14749" s="2" t="s">
        <v>162</v>
      </c>
    </row>
    <row r="14751" spans="1:1" ht="12.75">
      <c r="A14751" s="2" t="s">
        <v>162</v>
      </c>
    </row>
    <row r="14752" spans="1:1" ht="12.75">
      <c r="A14752" s="2" t="s">
        <v>162</v>
      </c>
    </row>
    <row r="14753" spans="1:1" ht="12.75">
      <c r="A14753" s="2" t="s">
        <v>184</v>
      </c>
    </row>
    <row r="14754" spans="1:1" ht="12.75">
      <c r="A14754" s="2" t="s">
        <v>178</v>
      </c>
    </row>
    <row r="14755" spans="1:1" ht="12.75">
      <c r="A14755" s="2" t="s">
        <v>162</v>
      </c>
    </row>
    <row r="14757" spans="1:1" ht="12.75">
      <c r="A14757" s="2" t="s">
        <v>162</v>
      </c>
    </row>
    <row r="14758" spans="1:1" ht="12.75">
      <c r="A14758" s="2" t="s">
        <v>184</v>
      </c>
    </row>
    <row r="14760" spans="1:1" ht="12.75">
      <c r="A14760" s="2" t="s">
        <v>160</v>
      </c>
    </row>
    <row r="14761" spans="1:1" ht="12.75">
      <c r="A14761" s="2" t="s">
        <v>427</v>
      </c>
    </row>
    <row r="14762" spans="1:1" ht="12.75">
      <c r="A14762" s="2" t="s">
        <v>425</v>
      </c>
    </row>
    <row r="14767" spans="1:1" ht="12.75">
      <c r="A14767" s="2" t="s">
        <v>178</v>
      </c>
    </row>
    <row r="14768" spans="1:1" ht="12.75">
      <c r="A14768" s="2" t="s">
        <v>160</v>
      </c>
    </row>
    <row r="14769" spans="1:1" ht="12.75">
      <c r="A14769" s="2" t="s">
        <v>167</v>
      </c>
    </row>
    <row r="14770" spans="1:1" ht="12.75">
      <c r="A14770" s="2" t="s">
        <v>167</v>
      </c>
    </row>
    <row r="14771" spans="1:1" ht="12.75">
      <c r="A14771" s="2" t="s">
        <v>160</v>
      </c>
    </row>
    <row r="14772" spans="1:1" ht="12.75">
      <c r="A14772" s="2" t="s">
        <v>167</v>
      </c>
    </row>
    <row r="14773" spans="1:1" ht="12.75">
      <c r="A14773" s="2" t="s">
        <v>178</v>
      </c>
    </row>
    <row r="14774" spans="1:1" ht="12.75">
      <c r="A14774" s="2" t="s">
        <v>170</v>
      </c>
    </row>
    <row r="14775" spans="1:1" ht="12.75">
      <c r="A14775" s="2" t="s">
        <v>178</v>
      </c>
    </row>
    <row r="14776" spans="1:1" ht="12.75">
      <c r="A14776" s="2" t="s">
        <v>170</v>
      </c>
    </row>
    <row r="14777" spans="1:1" ht="12.75">
      <c r="A14777" s="2" t="s">
        <v>196</v>
      </c>
    </row>
    <row r="14778" spans="1:1" ht="12.75">
      <c r="A14778" s="2" t="s">
        <v>160</v>
      </c>
    </row>
    <row r="14779" spans="1:1" ht="12.75">
      <c r="A14779" s="2" t="s">
        <v>160</v>
      </c>
    </row>
    <row r="14780" spans="1:1" ht="12.75">
      <c r="A14780" s="2" t="s">
        <v>664</v>
      </c>
    </row>
    <row r="14781" spans="1:1" ht="12.75">
      <c r="A14781" s="2" t="s">
        <v>160</v>
      </c>
    </row>
    <row r="14782" spans="1:1" ht="12.75">
      <c r="A14782" s="2" t="s">
        <v>167</v>
      </c>
    </row>
    <row r="14784" spans="1:1" ht="12.75">
      <c r="A14784" s="2" t="s">
        <v>162</v>
      </c>
    </row>
    <row r="14785" spans="1:1" ht="12.75">
      <c r="A14785" s="2" t="s">
        <v>167</v>
      </c>
    </row>
    <row r="14786" spans="1:1" ht="12.75">
      <c r="A14786" s="2" t="s">
        <v>162</v>
      </c>
    </row>
    <row r="14787" spans="1:1" ht="12.75">
      <c r="A14787" s="2" t="s">
        <v>175</v>
      </c>
    </row>
    <row r="14789" spans="1:1" ht="12.75">
      <c r="A14789" s="2" t="s">
        <v>162</v>
      </c>
    </row>
    <row r="14790" spans="1:1" ht="12.75">
      <c r="A14790" s="2" t="s">
        <v>175</v>
      </c>
    </row>
    <row r="14791" spans="1:1" ht="12.75">
      <c r="A14791" s="2" t="s">
        <v>160</v>
      </c>
    </row>
    <row r="14794" spans="1:1" ht="12.75">
      <c r="A14794" s="2" t="s">
        <v>160</v>
      </c>
    </row>
    <row r="14799" spans="1:1" ht="12.75">
      <c r="A14799" s="2" t="s">
        <v>184</v>
      </c>
    </row>
    <row r="14800" spans="1:1" ht="12.75">
      <c r="A14800" s="2" t="s">
        <v>167</v>
      </c>
    </row>
    <row r="14801" spans="1:1" ht="12.75">
      <c r="A14801" s="2" t="s">
        <v>167</v>
      </c>
    </row>
    <row r="14802" spans="1:1" ht="12.75">
      <c r="A14802" s="2" t="s">
        <v>184</v>
      </c>
    </row>
    <row r="14877" spans="1:1" ht="12.75">
      <c r="A14877" s="2" t="s">
        <v>164</v>
      </c>
    </row>
    <row r="14879" spans="1:1" ht="12.75">
      <c r="A14879" s="2" t="s">
        <v>189</v>
      </c>
    </row>
    <row r="14880" spans="1:1" ht="12.75">
      <c r="A14880" s="2" t="s">
        <v>191</v>
      </c>
    </row>
    <row r="14882" spans="1:1" ht="12.75">
      <c r="A14882" s="2" t="s">
        <v>225</v>
      </c>
    </row>
    <row r="14884" spans="1:1" ht="12.75">
      <c r="A14884" s="2" t="s">
        <v>191</v>
      </c>
    </row>
    <row r="14886" spans="1:1" ht="12.75">
      <c r="A14886" s="2" t="s">
        <v>191</v>
      </c>
    </row>
    <row r="14898" spans="1:1" ht="12.75">
      <c r="A14898" s="2" t="s">
        <v>183</v>
      </c>
    </row>
    <row r="14900" spans="1:1" ht="12.75">
      <c r="A14900" s="2" t="s">
        <v>183</v>
      </c>
    </row>
    <row r="14902" spans="1:1" ht="12.75">
      <c r="A14902" s="2" t="s">
        <v>183</v>
      </c>
    </row>
    <row r="14903" spans="1:1" ht="12.75">
      <c r="A14903" s="2" t="s">
        <v>182</v>
      </c>
    </row>
    <row r="14904" spans="1:1" ht="12.75">
      <c r="A14904" s="2" t="s">
        <v>181</v>
      </c>
    </row>
    <row r="14905" spans="1:1" ht="12.75">
      <c r="A14905" s="2" t="s">
        <v>182</v>
      </c>
    </row>
    <row r="14906" spans="1:1" ht="12.75">
      <c r="A14906" s="2" t="s">
        <v>181</v>
      </c>
    </row>
    <row r="14907" spans="1:1" ht="12.75">
      <c r="A14907" s="2" t="s">
        <v>182</v>
      </c>
    </row>
    <row r="14908" spans="1:1" ht="12.75">
      <c r="A14908" s="2" t="s">
        <v>181</v>
      </c>
    </row>
    <row r="14909" spans="1:1" ht="12.75">
      <c r="A14909" s="2" t="s">
        <v>163</v>
      </c>
    </row>
    <row r="14910" spans="1:1" ht="12.75">
      <c r="A14910" s="2" t="s">
        <v>173</v>
      </c>
    </row>
    <row r="14911" spans="1:1" ht="12.75">
      <c r="A14911" s="2" t="s">
        <v>163</v>
      </c>
    </row>
    <row r="14912" spans="1:1" ht="12.75">
      <c r="A14912" s="2" t="s">
        <v>163</v>
      </c>
    </row>
    <row r="14915" spans="1:1" ht="12.75">
      <c r="A14915" s="2" t="s">
        <v>173</v>
      </c>
    </row>
    <row r="14916" spans="1:1" ht="12.75">
      <c r="A14916" s="2" t="s">
        <v>171</v>
      </c>
    </row>
    <row r="14917" spans="1:1" ht="12.75">
      <c r="A14917" s="2" t="s">
        <v>165</v>
      </c>
    </row>
    <row r="14918" spans="1:1" ht="12.75">
      <c r="A14918" s="2" t="s">
        <v>176</v>
      </c>
    </row>
    <row r="14919" spans="1:1" ht="12.75">
      <c r="A14919" s="2" t="s">
        <v>165</v>
      </c>
    </row>
    <row r="14921" spans="1:1" ht="12.75">
      <c r="A14921" s="2" t="s">
        <v>176</v>
      </c>
    </row>
    <row r="14922" spans="1:1" ht="12.75">
      <c r="A14922" s="2" t="s">
        <v>168</v>
      </c>
    </row>
    <row r="14923" spans="1:1" ht="12.75">
      <c r="A14923" s="2" t="s">
        <v>176</v>
      </c>
    </row>
    <row r="14924" spans="1:1" ht="12.75">
      <c r="A14924" s="2" t="s">
        <v>168</v>
      </c>
    </row>
    <row r="14926" spans="1:1" ht="12.75">
      <c r="A14926" s="2" t="s">
        <v>165</v>
      </c>
    </row>
    <row r="14928" spans="1:1" ht="12.75">
      <c r="A14928" s="2" t="s">
        <v>165</v>
      </c>
    </row>
    <row r="14934" spans="1:1" ht="12.75">
      <c r="A14934" s="2" t="s">
        <v>183</v>
      </c>
    </row>
    <row r="14935" spans="1:1" ht="12.75">
      <c r="A14935" s="2" t="s">
        <v>168</v>
      </c>
    </row>
    <row r="14936" spans="1:1" ht="12.75">
      <c r="A14936" s="2" t="s">
        <v>183</v>
      </c>
    </row>
    <row r="14937" spans="1:1" ht="12.75">
      <c r="A14937" s="2" t="s">
        <v>168</v>
      </c>
    </row>
    <row r="14939" spans="1:1" ht="12.75">
      <c r="A14939" s="2" t="s">
        <v>182</v>
      </c>
    </row>
    <row r="14940" spans="1:1" ht="12.75">
      <c r="A14940" s="2" t="s">
        <v>181</v>
      </c>
    </row>
    <row r="14941" spans="1:1" ht="12.75">
      <c r="A14941" s="2" t="s">
        <v>182</v>
      </c>
    </row>
    <row r="14942" spans="1:1" ht="12.75">
      <c r="A14942" s="2" t="s">
        <v>181</v>
      </c>
    </row>
    <row r="14945" spans="1:1" ht="12.75">
      <c r="A14945" s="2" t="s">
        <v>163</v>
      </c>
    </row>
    <row r="14946" spans="1:1" ht="12.75">
      <c r="A14946" s="2" t="s">
        <v>194</v>
      </c>
    </row>
    <row r="14947" spans="1:1" ht="12.75">
      <c r="A14947" s="2" t="s">
        <v>181</v>
      </c>
    </row>
    <row r="14948" spans="1:1" ht="12.75">
      <c r="A14948" s="2" t="s">
        <v>163</v>
      </c>
    </row>
    <row r="14949" spans="1:1" ht="12.75">
      <c r="A14949" s="2" t="s">
        <v>173</v>
      </c>
    </row>
    <row r="14950" spans="1:1" ht="12.75">
      <c r="A14950" s="2" t="s">
        <v>171</v>
      </c>
    </row>
    <row r="14951" spans="1:1" ht="12.75">
      <c r="A14951" s="2" t="s">
        <v>173</v>
      </c>
    </row>
    <row r="14953" spans="1:1" ht="12.75">
      <c r="A14953" s="2" t="s">
        <v>176</v>
      </c>
    </row>
    <row r="14954" spans="1:1" ht="12.75">
      <c r="A14954" s="2" t="s">
        <v>164</v>
      </c>
    </row>
    <row r="14966" spans="1:1" ht="12.75">
      <c r="A14966" s="2" t="s">
        <v>194</v>
      </c>
    </row>
    <row r="14971" spans="1:1" ht="12.75">
      <c r="A14971" s="2" t="s">
        <v>161</v>
      </c>
    </row>
    <row r="14972" spans="1:1" ht="12.75">
      <c r="A14972" s="2" t="s">
        <v>161</v>
      </c>
    </row>
    <row r="14973" spans="1:1" ht="12.75">
      <c r="A14973" s="2" t="s">
        <v>189</v>
      </c>
    </row>
    <row r="14974" spans="1:1" ht="12.75">
      <c r="A14974" s="2" t="s">
        <v>161</v>
      </c>
    </row>
    <row r="14975" spans="1:1" ht="12.75">
      <c r="A14975" s="2" t="s">
        <v>225</v>
      </c>
    </row>
    <row r="14976" spans="1:1" ht="12.75">
      <c r="A14976" s="2" t="s">
        <v>181</v>
      </c>
    </row>
    <row r="14977" spans="1:1" ht="12.75">
      <c r="A14977" s="2" t="s">
        <v>225</v>
      </c>
    </row>
    <row r="14978" spans="1:1" ht="12.75">
      <c r="A14978" s="2" t="s">
        <v>165</v>
      </c>
    </row>
    <row r="14979" spans="1:1" ht="12.75">
      <c r="A14979" s="2" t="s">
        <v>176</v>
      </c>
    </row>
    <row r="14980" spans="1:1" ht="12.75">
      <c r="A14980" s="2" t="s">
        <v>176</v>
      </c>
    </row>
    <row r="14981" spans="1:1" ht="12.75">
      <c r="A14981" s="2" t="s">
        <v>165</v>
      </c>
    </row>
    <row r="14982" spans="1:1" ht="12.75">
      <c r="A14982" s="2" t="s">
        <v>176</v>
      </c>
    </row>
    <row r="14983" spans="1:1" ht="12.75">
      <c r="A14983" s="2" t="s">
        <v>168</v>
      </c>
    </row>
    <row r="14984" spans="1:1" ht="12.75">
      <c r="A14984" s="2" t="s">
        <v>183</v>
      </c>
    </row>
    <row r="14985" spans="1:1" ht="12.75">
      <c r="A14985" s="2" t="s">
        <v>168</v>
      </c>
    </row>
    <row r="14986" spans="1:1" ht="12.75">
      <c r="A14986" s="2" t="s">
        <v>183</v>
      </c>
    </row>
    <row r="14987" spans="1:1" ht="12.75">
      <c r="A14987" s="2" t="s">
        <v>182</v>
      </c>
    </row>
    <row r="14988" spans="1:1" ht="12.75">
      <c r="A14988" s="2" t="s">
        <v>182</v>
      </c>
    </row>
    <row r="14989" spans="1:1" ht="12.75">
      <c r="A14989" s="2" t="s">
        <v>181</v>
      </c>
    </row>
    <row r="14990" spans="1:1" ht="12.75">
      <c r="A14990" s="2" t="s">
        <v>182</v>
      </c>
    </row>
    <row r="14991" spans="1:1" ht="12.75">
      <c r="A14991" s="2" t="s">
        <v>181</v>
      </c>
    </row>
    <row r="14993" spans="1:1" ht="12.75">
      <c r="A14993" s="2" t="s">
        <v>181</v>
      </c>
    </row>
    <row r="14995" spans="1:1" ht="12.75">
      <c r="A14995" s="2" t="s">
        <v>173</v>
      </c>
    </row>
    <row r="14997" spans="1:1" ht="12.75">
      <c r="A14997" s="2" t="s">
        <v>173</v>
      </c>
    </row>
    <row r="14999" spans="1:1" ht="12.75">
      <c r="A14999" s="2" t="s">
        <v>163</v>
      </c>
    </row>
    <row r="15000" spans="1:1" ht="12.75">
      <c r="A15000" s="2" t="s">
        <v>163</v>
      </c>
    </row>
    <row r="15001" spans="1:1" ht="12.75">
      <c r="A15001" s="2" t="s">
        <v>171</v>
      </c>
    </row>
    <row r="15002" spans="1:1" ht="12.75">
      <c r="A15002" s="2" t="s">
        <v>163</v>
      </c>
    </row>
    <row r="15003" spans="1:1" ht="12.75">
      <c r="A15003" s="2" t="s">
        <v>194</v>
      </c>
    </row>
    <row r="15004" spans="1:1" ht="12.75">
      <c r="A15004" s="2" t="s">
        <v>161</v>
      </c>
    </row>
    <row r="15006" spans="1:1" ht="12.75">
      <c r="A15006" s="2" t="s">
        <v>194</v>
      </c>
    </row>
    <row r="15007" spans="1:1" ht="12.75">
      <c r="A15007" s="2" t="s">
        <v>191</v>
      </c>
    </row>
    <row r="15009" spans="1:1" ht="12.75">
      <c r="A15009" s="2" t="s">
        <v>189</v>
      </c>
    </row>
    <row r="15010" spans="1:1" ht="12.75">
      <c r="A15010" s="2" t="s">
        <v>191</v>
      </c>
    </row>
    <row r="15011" spans="1:1" ht="12.75">
      <c r="A15011" s="2" t="s">
        <v>161</v>
      </c>
    </row>
    <row r="15012" spans="1:1" ht="12.75">
      <c r="A15012" s="2" t="s">
        <v>173</v>
      </c>
    </row>
    <row r="15013" spans="1:1" ht="12.75">
      <c r="A15013" s="2" t="s">
        <v>225</v>
      </c>
    </row>
    <row r="15014" spans="1:1" ht="12.75">
      <c r="A15014" s="2" t="s">
        <v>173</v>
      </c>
    </row>
    <row r="15015" spans="1:1" ht="12.75">
      <c r="A15015" s="2" t="s">
        <v>225</v>
      </c>
    </row>
    <row r="15016" spans="1:1" ht="12.75">
      <c r="A15016" s="2" t="s">
        <v>173</v>
      </c>
    </row>
    <row r="15017" spans="1:1" ht="12.75">
      <c r="A15017" s="2" t="s">
        <v>163</v>
      </c>
    </row>
    <row r="15018" spans="1:1" ht="12.75">
      <c r="A15018" s="2" t="s">
        <v>179</v>
      </c>
    </row>
    <row r="15019" spans="1:1" ht="12.75">
      <c r="A15019" s="2" t="s">
        <v>163</v>
      </c>
    </row>
    <row r="15020" spans="1:1" ht="12.75">
      <c r="A15020" s="2" t="s">
        <v>163</v>
      </c>
    </row>
    <row r="15021" spans="1:1" ht="12.75">
      <c r="A15021" s="2" t="s">
        <v>179</v>
      </c>
    </row>
    <row r="15022" spans="1:1" ht="12.75">
      <c r="A15022" s="2" t="s">
        <v>181</v>
      </c>
    </row>
    <row r="15023" spans="1:1" ht="12.75">
      <c r="A15023" s="2" t="s">
        <v>179</v>
      </c>
    </row>
    <row r="15024" spans="1:1" ht="12.75">
      <c r="A15024" s="2" t="s">
        <v>181</v>
      </c>
    </row>
    <row r="15025" spans="1:1" ht="12.75">
      <c r="A15025" s="2" t="s">
        <v>182</v>
      </c>
    </row>
    <row r="15026" spans="1:1" ht="12.75">
      <c r="A15026" s="2" t="s">
        <v>182</v>
      </c>
    </row>
    <row r="15027" spans="1:1" ht="12.75">
      <c r="A15027" s="2" t="s">
        <v>181</v>
      </c>
    </row>
    <row r="15028" spans="1:1" ht="12.75">
      <c r="A15028" s="2" t="s">
        <v>182</v>
      </c>
    </row>
    <row r="15029" spans="1:1" ht="12.75">
      <c r="A15029" s="2" t="s">
        <v>163</v>
      </c>
    </row>
    <row r="15030" spans="1:1" ht="12.75">
      <c r="A15030" s="2" t="s">
        <v>172</v>
      </c>
    </row>
    <row r="15031" spans="1:1" ht="12.75">
      <c r="A15031" s="2" t="s">
        <v>183</v>
      </c>
    </row>
    <row r="15032" spans="1:1" ht="12.75">
      <c r="A15032" s="2" t="s">
        <v>172</v>
      </c>
    </row>
    <row r="15033" spans="1:1" ht="12.75">
      <c r="A15033" s="2" t="s">
        <v>183</v>
      </c>
    </row>
    <row r="15034" spans="1:1" ht="12.75">
      <c r="A15034" s="2" t="s">
        <v>172</v>
      </c>
    </row>
    <row r="15036" spans="1:1" ht="12.75">
      <c r="A15036" s="2" t="s">
        <v>176</v>
      </c>
    </row>
    <row r="15037" spans="1:1" ht="12.75">
      <c r="A15037" s="2" t="s">
        <v>168</v>
      </c>
    </row>
    <row r="15038" spans="1:1" ht="12.75">
      <c r="A15038" s="2" t="s">
        <v>168</v>
      </c>
    </row>
    <row r="15039" spans="1:1" ht="12.75">
      <c r="A15039" s="2" t="s">
        <v>176</v>
      </c>
    </row>
    <row r="15040" spans="1:1" ht="12.75">
      <c r="A15040" s="2" t="s">
        <v>165</v>
      </c>
    </row>
    <row r="15041" spans="1:1" ht="12.75">
      <c r="A15041" s="2" t="s">
        <v>176</v>
      </c>
    </row>
    <row r="15042" spans="1:1" ht="12.75">
      <c r="A15042" s="2" t="s">
        <v>165</v>
      </c>
    </row>
    <row r="15043" spans="1:1" ht="12.75">
      <c r="A15043" s="2" t="s">
        <v>161</v>
      </c>
    </row>
    <row r="15045" spans="1:1" ht="12.75">
      <c r="A15045" s="2" t="s">
        <v>161</v>
      </c>
    </row>
    <row r="15047" spans="1:1" ht="12.75">
      <c r="A15047" s="2" t="s">
        <v>165</v>
      </c>
    </row>
    <row r="15048" spans="1:1" ht="12.75">
      <c r="A15048" s="2" t="s">
        <v>171</v>
      </c>
    </row>
    <row r="15049" spans="1:1" ht="12.75">
      <c r="A15049" s="2" t="s">
        <v>225</v>
      </c>
    </row>
    <row r="15051" spans="1:1" ht="12.75">
      <c r="A15051" s="2" t="s">
        <v>225</v>
      </c>
    </row>
    <row r="15052" spans="1:1" ht="12.75">
      <c r="A15052" s="2" t="s">
        <v>171</v>
      </c>
    </row>
    <row r="15053" spans="1:1" ht="12.75">
      <c r="A15053" s="2" t="s">
        <v>161</v>
      </c>
    </row>
    <row r="15054" spans="1:1" ht="12.75">
      <c r="A15054" s="2" t="s">
        <v>161</v>
      </c>
    </row>
    <row r="15055" spans="1:1" ht="12.75">
      <c r="A15055" s="2" t="s">
        <v>161</v>
      </c>
    </row>
    <row r="15057" spans="1:1" ht="12.75">
      <c r="A15057" s="2" t="s">
        <v>165</v>
      </c>
    </row>
    <row r="15058" spans="1:1" ht="12.75">
      <c r="A15058" s="2" t="s">
        <v>176</v>
      </c>
    </row>
    <row r="15059" spans="1:1" ht="12.75">
      <c r="A15059" s="2" t="s">
        <v>165</v>
      </c>
    </row>
    <row r="15060" spans="1:1" ht="12.75">
      <c r="A15060" s="2" t="s">
        <v>176</v>
      </c>
    </row>
    <row r="15061" spans="1:1" ht="12.75">
      <c r="A15061" s="2" t="s">
        <v>165</v>
      </c>
    </row>
    <row r="15062" spans="1:1" ht="12.75">
      <c r="A15062" s="2" t="s">
        <v>176</v>
      </c>
    </row>
    <row r="15063" spans="1:1" ht="12.75">
      <c r="A15063" s="2" t="s">
        <v>168</v>
      </c>
    </row>
    <row r="15064" spans="1:1" ht="12.75">
      <c r="A15064" s="2" t="s">
        <v>172</v>
      </c>
    </row>
    <row r="15065" spans="1:1" ht="12.75">
      <c r="A15065" s="2" t="s">
        <v>168</v>
      </c>
    </row>
    <row r="15066" spans="1:1" ht="12.75">
      <c r="A15066" s="2" t="s">
        <v>173</v>
      </c>
    </row>
    <row r="15067" spans="1:1" ht="12.75">
      <c r="A15067" s="2" t="s">
        <v>172</v>
      </c>
    </row>
    <row r="15068" spans="1:1" ht="12.75">
      <c r="A15068" s="2" t="s">
        <v>183</v>
      </c>
    </row>
    <row r="15069" spans="1:1" ht="12.75">
      <c r="A15069" s="2" t="s">
        <v>172</v>
      </c>
    </row>
    <row r="15070" spans="1:1" ht="12.75">
      <c r="A15070" s="2" t="s">
        <v>183</v>
      </c>
    </row>
    <row r="15071" spans="1:1" ht="12.75">
      <c r="A15071" s="2" t="s">
        <v>182</v>
      </c>
    </row>
    <row r="15072" spans="1:1" ht="12.75">
      <c r="A15072" s="2" t="s">
        <v>182</v>
      </c>
    </row>
    <row r="15074" spans="1:1" ht="12.75">
      <c r="A15074" s="2" t="s">
        <v>182</v>
      </c>
    </row>
    <row r="15075" spans="1:1" ht="12.75">
      <c r="A15075" s="2" t="s">
        <v>181</v>
      </c>
    </row>
    <row r="15076" spans="1:1" ht="12.75">
      <c r="A15076" s="2" t="s">
        <v>163</v>
      </c>
    </row>
    <row r="15077" spans="1:1" ht="12.75">
      <c r="A15077" s="2" t="s">
        <v>181</v>
      </c>
    </row>
    <row r="15079" spans="1:1" ht="12.75">
      <c r="A15079" s="2" t="s">
        <v>163</v>
      </c>
    </row>
    <row r="15081" spans="1:1" ht="12.75">
      <c r="A15081" s="2" t="s">
        <v>163</v>
      </c>
    </row>
    <row r="15082" spans="1:1" ht="12.75">
      <c r="A15082" s="2" t="s">
        <v>173</v>
      </c>
    </row>
    <row r="15083" spans="1:1" ht="12.75">
      <c r="A15083" s="2" t="s">
        <v>168</v>
      </c>
    </row>
    <row r="15084" spans="1:1" ht="12.75">
      <c r="A15084" s="2" t="s">
        <v>189</v>
      </c>
    </row>
    <row r="15085" spans="1:1" ht="12.75">
      <c r="A15085" s="2" t="s">
        <v>168</v>
      </c>
    </row>
    <row r="15086" spans="1:1" ht="12.75">
      <c r="A15086" s="2" t="s">
        <v>173</v>
      </c>
    </row>
    <row r="15088" spans="1:1" ht="12.75">
      <c r="A15088" s="2" t="s">
        <v>161</v>
      </c>
    </row>
    <row r="15090" spans="1:1" ht="12.75">
      <c r="A15090" s="2" t="s">
        <v>161</v>
      </c>
    </row>
    <row r="15093" spans="1:1" ht="12.75">
      <c r="A15093" s="2" t="s">
        <v>165</v>
      </c>
    </row>
    <row r="15094" spans="1:1" ht="12.75">
      <c r="A15094" s="2" t="s">
        <v>176</v>
      </c>
    </row>
    <row r="15095" spans="1:1" ht="12.75">
      <c r="A15095" s="2" t="s">
        <v>165</v>
      </c>
    </row>
    <row r="15096" spans="1:1" ht="12.75">
      <c r="A15096" s="2" t="s">
        <v>191</v>
      </c>
    </row>
    <row r="15097" spans="1:1" ht="12.75">
      <c r="A15097" s="2" t="s">
        <v>176</v>
      </c>
    </row>
    <row r="15098" spans="1:1" ht="12.75">
      <c r="A15098" s="2" t="s">
        <v>183</v>
      </c>
    </row>
    <row r="15099" spans="1:1" ht="12.75">
      <c r="A15099" s="2" t="s">
        <v>176</v>
      </c>
    </row>
    <row r="15100" spans="1:1" ht="12.75">
      <c r="A15100" s="2" t="s">
        <v>183</v>
      </c>
    </row>
    <row r="15107" spans="1:1" ht="12.75">
      <c r="A15107" s="2" t="s">
        <v>233</v>
      </c>
    </row>
    <row r="15108" spans="1:1" ht="12.75">
      <c r="A15108" s="2" t="s">
        <v>233</v>
      </c>
    </row>
    <row r="15109" spans="1:1" ht="12.75">
      <c r="A15109" s="2" t="s">
        <v>199</v>
      </c>
    </row>
    <row r="15111" spans="1:1" ht="12.75">
      <c r="A15111" s="2" t="s">
        <v>199</v>
      </c>
    </row>
    <row r="15113" spans="1:1" ht="12.75">
      <c r="A15113" s="2" t="s">
        <v>199</v>
      </c>
    </row>
    <row r="15115" spans="1:1" ht="12.75">
      <c r="A15115" s="2" t="s">
        <v>235</v>
      </c>
    </row>
    <row r="15116" spans="1:1" ht="12.75">
      <c r="A15116" s="2" t="s">
        <v>235</v>
      </c>
    </row>
    <row r="15117" spans="1:1" ht="12.75">
      <c r="A15117" s="2" t="s">
        <v>235</v>
      </c>
    </row>
    <row r="15118" spans="1:1" ht="12.75">
      <c r="A15118" s="2" t="s">
        <v>235</v>
      </c>
    </row>
    <row r="15119" spans="1:1" ht="12.75">
      <c r="A15119" s="2" t="s">
        <v>235</v>
      </c>
    </row>
    <row r="15120" spans="1:1" ht="12.75">
      <c r="A15120" s="2" t="s">
        <v>235</v>
      </c>
    </row>
    <row r="15121" spans="1:1" ht="12.75">
      <c r="A15121" s="2" t="s">
        <v>235</v>
      </c>
    </row>
    <row r="15122" spans="1:1" ht="12.75">
      <c r="A15122" s="2" t="s">
        <v>233</v>
      </c>
    </row>
    <row r="15123" spans="1:1" ht="12.75">
      <c r="A15123" s="2" t="s">
        <v>686</v>
      </c>
    </row>
    <row r="15124" spans="1:1" ht="12.75">
      <c r="A15124" s="2" t="s">
        <v>234</v>
      </c>
    </row>
    <row r="15125" spans="1:1" ht="12.75">
      <c r="A15125" s="2" t="s">
        <v>234</v>
      </c>
    </row>
    <row r="15126" spans="1:1" ht="12.75">
      <c r="A15126" s="2" t="s">
        <v>199</v>
      </c>
    </row>
    <row r="15127" spans="1:1" ht="12.75">
      <c r="A15127" s="2" t="s">
        <v>199</v>
      </c>
    </row>
    <row r="15128" spans="1:1" ht="12.75">
      <c r="A15128" s="2" t="s">
        <v>199</v>
      </c>
    </row>
    <row r="15129" spans="1:1" ht="12.75">
      <c r="A15129" s="2" t="s">
        <v>235</v>
      </c>
    </row>
    <row r="15130" spans="1:1" ht="12.75">
      <c r="A15130" s="2" t="s">
        <v>199</v>
      </c>
    </row>
    <row r="15131" spans="1:1" ht="12.75">
      <c r="A15131" s="2" t="s">
        <v>235</v>
      </c>
    </row>
    <row r="15132" spans="1:1" ht="12.75">
      <c r="A15132" s="2" t="s">
        <v>199</v>
      </c>
    </row>
    <row r="15133" spans="1:1" ht="12.75">
      <c r="A15133" s="2" t="s">
        <v>234</v>
      </c>
    </row>
    <row r="15134" spans="1:1" ht="12.75">
      <c r="A15134" s="2" t="s">
        <v>234</v>
      </c>
    </row>
    <row r="15135" spans="1:1" ht="12.75">
      <c r="A15135" s="2" t="s">
        <v>234</v>
      </c>
    </row>
    <row r="15136" spans="1:1" ht="12.75">
      <c r="A15136" s="2" t="s">
        <v>234</v>
      </c>
    </row>
    <row r="15137" spans="1:1" ht="12.75">
      <c r="A15137" s="2" t="s">
        <v>234</v>
      </c>
    </row>
    <row r="15138" spans="1:1" ht="12.75">
      <c r="A15138" s="2" t="s">
        <v>234</v>
      </c>
    </row>
    <row r="15139" spans="1:1" ht="12.75">
      <c r="A15139" s="2" t="s">
        <v>233</v>
      </c>
    </row>
    <row r="15140" spans="1:1" ht="12.75">
      <c r="A15140" s="2" t="s">
        <v>199</v>
      </c>
    </row>
    <row r="15141" spans="1:1" ht="12.75">
      <c r="A15141" s="2" t="s">
        <v>233</v>
      </c>
    </row>
    <row r="15143" spans="1:1" ht="12.75">
      <c r="A15143" s="2" t="s">
        <v>234</v>
      </c>
    </row>
    <row r="15144" spans="1:1" ht="12.75">
      <c r="A15144" s="2" t="s">
        <v>233</v>
      </c>
    </row>
    <row r="15145" spans="1:1" ht="12.75">
      <c r="A15145" s="2" t="s">
        <v>234</v>
      </c>
    </row>
    <row r="15146" spans="1:1" ht="12.75">
      <c r="A15146" s="2" t="s">
        <v>234</v>
      </c>
    </row>
    <row r="15147" spans="1:1" ht="12.75">
      <c r="A15147" s="2" t="s">
        <v>234</v>
      </c>
    </row>
    <row r="15148" spans="1:1" ht="12.75">
      <c r="A15148" s="2" t="s">
        <v>234</v>
      </c>
    </row>
    <row r="15149" spans="1:1" ht="12.75">
      <c r="A15149" s="2" t="s">
        <v>234</v>
      </c>
    </row>
    <row r="15150" spans="1:1" ht="12.75">
      <c r="A15150" s="2" t="s">
        <v>234</v>
      </c>
    </row>
    <row r="15151" spans="1:1" ht="12.75">
      <c r="A15151" s="2" t="s">
        <v>234</v>
      </c>
    </row>
    <row r="15152" spans="1:1" ht="12.75">
      <c r="A15152" s="2" t="s">
        <v>234</v>
      </c>
    </row>
    <row r="15153" spans="1:1" ht="12.75">
      <c r="A15153" s="2" t="s">
        <v>234</v>
      </c>
    </row>
    <row r="15154" spans="1:1" ht="12.75">
      <c r="A15154" s="2" t="s">
        <v>234</v>
      </c>
    </row>
    <row r="15155" spans="1:1" ht="12.75">
      <c r="A15155" s="2" t="s">
        <v>234</v>
      </c>
    </row>
    <row r="15156" spans="1:1" ht="12.75">
      <c r="A15156" s="2" t="s">
        <v>234</v>
      </c>
    </row>
    <row r="15157" spans="1:1" ht="12.75">
      <c r="A15157" s="2" t="s">
        <v>234</v>
      </c>
    </row>
    <row r="15158" spans="1:1" ht="12.75">
      <c r="A15158" s="2" t="s">
        <v>199</v>
      </c>
    </row>
    <row r="15159" spans="1:1" ht="12.75">
      <c r="A15159" s="2" t="s">
        <v>234</v>
      </c>
    </row>
    <row r="15160" spans="1:1" ht="12.75">
      <c r="A15160" s="2" t="s">
        <v>199</v>
      </c>
    </row>
    <row r="15161" spans="1:1" ht="12.75">
      <c r="A15161" s="2" t="s">
        <v>235</v>
      </c>
    </row>
    <row r="15162" spans="1:1" ht="12.75">
      <c r="A15162" s="2" t="s">
        <v>235</v>
      </c>
    </row>
    <row r="15163" spans="1:1" ht="12.75">
      <c r="A15163" s="2" t="s">
        <v>199</v>
      </c>
    </row>
    <row r="15164" spans="1:1" ht="12.75">
      <c r="A15164" s="2" t="s">
        <v>199</v>
      </c>
    </row>
    <row r="15165" spans="1:1" ht="12.75">
      <c r="A15165" s="2" t="s">
        <v>235</v>
      </c>
    </row>
    <row r="15166" spans="1:1" ht="12.75">
      <c r="A15166" s="2" t="s">
        <v>235</v>
      </c>
    </row>
    <row r="15167" spans="1:1" ht="12.75">
      <c r="A15167" s="2" t="s">
        <v>233</v>
      </c>
    </row>
    <row r="15168" spans="1:1" ht="12.75">
      <c r="A15168" s="2" t="s">
        <v>233</v>
      </c>
    </row>
    <row r="15169" spans="1:1" ht="12.75">
      <c r="A15169" s="2" t="s">
        <v>199</v>
      </c>
    </row>
    <row r="15170" spans="1:1" ht="12.75">
      <c r="A15170" s="2" t="s">
        <v>235</v>
      </c>
    </row>
    <row r="15172" spans="1:1" ht="12.75">
      <c r="A15172" s="2" t="s">
        <v>199</v>
      </c>
    </row>
    <row r="15173" spans="1:1" ht="12.75">
      <c r="A15173" s="2" t="s">
        <v>199</v>
      </c>
    </row>
    <row r="15174" spans="1:1" ht="12.75">
      <c r="A15174" s="2" t="s">
        <v>199</v>
      </c>
    </row>
    <row r="15175" spans="1:1" ht="12.75">
      <c r="A15175" s="2" t="s">
        <v>199</v>
      </c>
    </row>
    <row r="15176" spans="1:1" ht="12.75">
      <c r="A15176" s="2" t="s">
        <v>199</v>
      </c>
    </row>
    <row r="15177" spans="1:1" ht="12.75">
      <c r="A15177" s="2" t="s">
        <v>199</v>
      </c>
    </row>
    <row r="15178" spans="1:1" ht="12.75">
      <c r="A15178" s="2" t="s">
        <v>199</v>
      </c>
    </row>
    <row r="15179" spans="1:1" ht="12.75">
      <c r="A15179" s="2" t="s">
        <v>234</v>
      </c>
    </row>
    <row r="15180" spans="1:1" ht="12.75">
      <c r="A15180" s="2" t="s">
        <v>234</v>
      </c>
    </row>
    <row r="15181" spans="1:1" ht="12.75">
      <c r="A15181" s="2" t="s">
        <v>234</v>
      </c>
    </row>
    <row r="15182" spans="1:1" ht="12.75">
      <c r="A15182" s="2" t="s">
        <v>234</v>
      </c>
    </row>
    <row r="15183" spans="1:1" ht="12.75">
      <c r="A15183" s="2" t="s">
        <v>234</v>
      </c>
    </row>
    <row r="15184" spans="1:1" ht="12.75">
      <c r="A15184" s="2" t="s">
        <v>234</v>
      </c>
    </row>
    <row r="15185" spans="1:1" ht="12.75">
      <c r="A15185" s="2" t="s">
        <v>234</v>
      </c>
    </row>
    <row r="15186" spans="1:1" ht="12.75">
      <c r="A15186" s="2" t="s">
        <v>234</v>
      </c>
    </row>
    <row r="15187" spans="1:1" ht="12.75">
      <c r="A15187" s="2" t="s">
        <v>235</v>
      </c>
    </row>
    <row r="15188" spans="1:1" ht="12.75">
      <c r="A15188" s="2" t="s">
        <v>235</v>
      </c>
    </row>
    <row r="15189" spans="1:1" ht="12.75">
      <c r="A15189" s="2" t="s">
        <v>235</v>
      </c>
    </row>
    <row r="15190" spans="1:1" ht="12.75">
      <c r="A15190" s="2" t="s">
        <v>235</v>
      </c>
    </row>
    <row r="15191" spans="1:1" ht="12.75">
      <c r="A15191" s="2" t="s">
        <v>235</v>
      </c>
    </row>
    <row r="15192" spans="1:1" ht="12.75">
      <c r="A15192" s="2" t="s">
        <v>233</v>
      </c>
    </row>
    <row r="15193" spans="1:1" ht="12.75">
      <c r="A15193" s="2" t="s">
        <v>233</v>
      </c>
    </row>
    <row r="15194" spans="1:1" ht="12.75">
      <c r="A15194" s="2" t="s">
        <v>233</v>
      </c>
    </row>
    <row r="15195" spans="1:1" ht="12.75">
      <c r="A15195" s="2" t="s">
        <v>233</v>
      </c>
    </row>
    <row r="15196" spans="1:1" ht="12.75">
      <c r="A15196" s="2" t="s">
        <v>233</v>
      </c>
    </row>
    <row r="15197" spans="1:1" ht="12.75">
      <c r="A15197" s="2" t="s">
        <v>199</v>
      </c>
    </row>
    <row r="15198" spans="1:1" ht="12.75">
      <c r="A15198" s="2" t="s">
        <v>199</v>
      </c>
    </row>
    <row r="15199" spans="1:1" ht="12.75">
      <c r="A15199" s="2" t="s">
        <v>234</v>
      </c>
    </row>
    <row r="15200" spans="1:1" ht="12.75">
      <c r="A15200" s="2" t="s">
        <v>234</v>
      </c>
    </row>
    <row r="15201" spans="1:1" ht="12.75">
      <c r="A15201" s="2" t="s">
        <v>234</v>
      </c>
    </row>
    <row r="15202" spans="1:1" ht="12.75">
      <c r="A15202" s="2" t="s">
        <v>234</v>
      </c>
    </row>
    <row r="15203" spans="1:1" ht="12.75">
      <c r="A15203" s="2" t="s">
        <v>234</v>
      </c>
    </row>
    <row r="15204" spans="1:1" ht="12.75">
      <c r="A15204" s="2" t="s">
        <v>234</v>
      </c>
    </row>
    <row r="15205" spans="1:1" ht="12.75">
      <c r="A15205" s="2" t="s">
        <v>233</v>
      </c>
    </row>
    <row r="15206" spans="1:1" ht="12.75">
      <c r="A15206" s="2" t="s">
        <v>235</v>
      </c>
    </row>
    <row r="15207" spans="1:1" ht="12.75">
      <c r="A15207" s="2" t="s">
        <v>279</v>
      </c>
    </row>
    <row r="15210" spans="1:1" ht="12.75">
      <c r="A15210" s="2" t="s">
        <v>279</v>
      </c>
    </row>
    <row r="15222" spans="1:1" ht="12.75">
      <c r="A15222" s="2" t="s">
        <v>168</v>
      </c>
    </row>
    <row r="15223" spans="1:1" ht="12.75">
      <c r="A15223" s="2" t="s">
        <v>165</v>
      </c>
    </row>
    <row r="15224" spans="1:1" ht="12.75">
      <c r="A15224" s="2" t="s">
        <v>161</v>
      </c>
    </row>
    <row r="15225" spans="1:1" ht="12.75">
      <c r="A15225" s="2" t="s">
        <v>176</v>
      </c>
    </row>
    <row r="15226" spans="1:1" ht="12.75">
      <c r="A15226" s="2" t="s">
        <v>176</v>
      </c>
    </row>
    <row r="15227" spans="1:1" ht="12.75">
      <c r="A15227" s="2" t="s">
        <v>161</v>
      </c>
    </row>
    <row r="15228" spans="1:1" ht="12.75">
      <c r="A15228" s="2" t="s">
        <v>191</v>
      </c>
    </row>
    <row r="15229" spans="1:1" ht="12.75">
      <c r="A15229" s="2" t="s">
        <v>179</v>
      </c>
    </row>
    <row r="15230" spans="1:1" ht="12.75">
      <c r="A15230" s="2" t="s">
        <v>171</v>
      </c>
    </row>
    <row r="15231" spans="1:1" ht="12.75">
      <c r="A15231" s="2" t="s">
        <v>182</v>
      </c>
    </row>
    <row r="15233" spans="1:1" ht="12.75">
      <c r="A15233" s="2" t="s">
        <v>183</v>
      </c>
    </row>
    <row r="15234" spans="1:1" ht="12.75">
      <c r="A15234" s="2" t="s">
        <v>165</v>
      </c>
    </row>
    <row r="15235" spans="1:1" ht="12.75">
      <c r="A15235" s="2" t="s">
        <v>161</v>
      </c>
    </row>
    <row r="15236" spans="1:1" ht="12.75">
      <c r="A15236" s="2" t="s">
        <v>168</v>
      </c>
    </row>
    <row r="15237" spans="1:1" ht="12.75">
      <c r="A15237" s="2" t="s">
        <v>165</v>
      </c>
    </row>
    <row r="15238" spans="1:1" ht="12.75">
      <c r="A15238" s="2" t="s">
        <v>181</v>
      </c>
    </row>
    <row r="15241" spans="1:1" ht="12.75">
      <c r="A15241" s="2" t="s">
        <v>290</v>
      </c>
    </row>
    <row r="15242" spans="1:1" ht="12.75">
      <c r="A15242" s="2" t="s">
        <v>290</v>
      </c>
    </row>
    <row r="15243" spans="1:1" ht="12.75">
      <c r="A15243" s="2" t="s">
        <v>297</v>
      </c>
    </row>
    <row r="15244" spans="1:1" ht="12.75">
      <c r="A15244" s="2" t="s">
        <v>297</v>
      </c>
    </row>
    <row r="15245" spans="1:1" ht="12.75">
      <c r="A15245" s="2" t="s">
        <v>280</v>
      </c>
    </row>
    <row r="15246" spans="1:1" ht="12.75">
      <c r="A15246" s="2" t="s">
        <v>280</v>
      </c>
    </row>
    <row r="15247" spans="1:1" ht="12.75">
      <c r="A15247" s="2" t="s">
        <v>280</v>
      </c>
    </row>
    <row r="15248" spans="1:1" ht="12.75">
      <c r="A15248" s="2" t="s">
        <v>280</v>
      </c>
    </row>
    <row r="15249" spans="1:1" ht="12.75">
      <c r="A15249" s="2" t="s">
        <v>280</v>
      </c>
    </row>
    <row r="15250" spans="1:1" ht="12.75">
      <c r="A15250" s="2" t="s">
        <v>687</v>
      </c>
    </row>
    <row r="15252" spans="1:1" ht="12.75">
      <c r="A15252" s="2" t="s">
        <v>687</v>
      </c>
    </row>
    <row r="15253" spans="1:1" ht="12.75">
      <c r="A15253" s="2" t="s">
        <v>687</v>
      </c>
    </row>
    <row r="15254" spans="1:1" ht="12.75">
      <c r="A15254" s="2" t="s">
        <v>687</v>
      </c>
    </row>
    <row r="15255" spans="1:1" ht="12.75">
      <c r="A15255" s="2" t="s">
        <v>687</v>
      </c>
    </row>
    <row r="15256" spans="1:1" ht="12.75">
      <c r="A15256" s="2" t="s">
        <v>687</v>
      </c>
    </row>
    <row r="15257" spans="1:1" ht="12.75">
      <c r="A15257" s="2" t="s">
        <v>687</v>
      </c>
    </row>
    <row r="15258" spans="1:1" ht="12.75">
      <c r="A15258" s="2" t="s">
        <v>687</v>
      </c>
    </row>
    <row r="15259" spans="1:1" ht="12.75">
      <c r="A15259" s="2" t="s">
        <v>687</v>
      </c>
    </row>
    <row r="15260" spans="1:1" ht="12.75">
      <c r="A15260" s="2" t="s">
        <v>687</v>
      </c>
    </row>
    <row r="15261" spans="1:1" ht="12.75">
      <c r="A15261" s="2" t="s">
        <v>687</v>
      </c>
    </row>
    <row r="15262" spans="1:1" ht="12.75">
      <c r="A15262" s="2" t="s">
        <v>687</v>
      </c>
    </row>
    <row r="15263" spans="1:1" ht="12.75">
      <c r="A15263" s="2" t="s">
        <v>687</v>
      </c>
    </row>
    <row r="15264" spans="1:1" ht="12.75">
      <c r="A15264" s="2" t="s">
        <v>688</v>
      </c>
    </row>
    <row r="15265" spans="1:1" ht="12.75">
      <c r="A15265" s="2" t="s">
        <v>688</v>
      </c>
    </row>
    <row r="15279" spans="1:1" ht="12.75">
      <c r="A15279" s="2" t="s">
        <v>689</v>
      </c>
    </row>
    <row r="15283" spans="1:1" ht="12.75">
      <c r="A15283" s="2" t="s">
        <v>363</v>
      </c>
    </row>
    <row r="15285" spans="1:1" ht="12.75">
      <c r="A15285" s="2" t="s">
        <v>689</v>
      </c>
    </row>
    <row r="15287" spans="1:1" ht="12.75">
      <c r="A15287" s="2" t="s">
        <v>363</v>
      </c>
    </row>
    <row r="15288" spans="1:1" ht="12.75">
      <c r="A15288" s="2" t="s">
        <v>363</v>
      </c>
    </row>
    <row r="15306" spans="1:1" ht="12.75">
      <c r="A15306" s="2">
        <v>493</v>
      </c>
    </row>
    <row r="15307" spans="1:1" ht="12.75">
      <c r="A15307" s="2" t="s">
        <v>334</v>
      </c>
    </row>
    <row r="15308" spans="1:1" ht="12.75">
      <c r="A15308" s="2" t="s">
        <v>593</v>
      </c>
    </row>
    <row r="15311" spans="1:1" ht="12.75">
      <c r="A15311" s="2" t="s">
        <v>690</v>
      </c>
    </row>
    <row r="15314" spans="1:1" ht="12.75">
      <c r="A15314" s="2" t="s">
        <v>591</v>
      </c>
    </row>
    <row r="15316" spans="1:1" ht="12.75">
      <c r="A15316" s="2" t="s">
        <v>691</v>
      </c>
    </row>
    <row r="15318" spans="1:1" ht="12.75">
      <c r="A15318" s="2" t="s">
        <v>428</v>
      </c>
    </row>
    <row r="15323" spans="1:1" ht="12.75">
      <c r="A15323" s="2" t="s">
        <v>152</v>
      </c>
    </row>
    <row r="15324" spans="1:1" ht="12.75">
      <c r="A15324" s="2" t="s">
        <v>197</v>
      </c>
    </row>
    <row r="15325" spans="1:1" ht="12.75">
      <c r="A15325" s="2" t="s">
        <v>152</v>
      </c>
    </row>
    <row r="15326" spans="1:1" ht="12.75">
      <c r="A15326" s="2" t="s">
        <v>152</v>
      </c>
    </row>
    <row r="15327" spans="1:1" ht="12.75">
      <c r="A15327" s="2" t="s">
        <v>152</v>
      </c>
    </row>
    <row r="15328" spans="1:1" ht="12.75">
      <c r="A15328" s="2" t="s">
        <v>152</v>
      </c>
    </row>
    <row r="15329" spans="1:1" ht="12.75">
      <c r="A15329" s="2" t="s">
        <v>152</v>
      </c>
    </row>
    <row r="15330" spans="1:1" ht="12.75">
      <c r="A15330" s="2" t="s">
        <v>152</v>
      </c>
    </row>
    <row r="15331" spans="1:1" ht="12.75">
      <c r="A15331" s="2" t="s">
        <v>152</v>
      </c>
    </row>
    <row r="15332" spans="1:1" ht="12.75">
      <c r="A15332" s="2" t="s">
        <v>152</v>
      </c>
    </row>
    <row r="15333" spans="1:1" ht="12.75">
      <c r="A15333" s="2" t="s">
        <v>152</v>
      </c>
    </row>
    <row r="15334" spans="1:1" ht="12.75">
      <c r="A15334" s="2" t="s">
        <v>152</v>
      </c>
    </row>
    <row r="15335" spans="1:1" ht="12.75">
      <c r="A15335" s="2" t="s">
        <v>152</v>
      </c>
    </row>
    <row r="15336" spans="1:1" ht="12.75">
      <c r="A15336" s="2" t="s">
        <v>152</v>
      </c>
    </row>
    <row r="15337" spans="1:1" ht="12.75">
      <c r="A15337" s="2" t="s">
        <v>152</v>
      </c>
    </row>
    <row r="15338" spans="1:1" ht="12.75">
      <c r="A15338" s="2" t="s">
        <v>692</v>
      </c>
    </row>
    <row r="15339" spans="1:1" ht="12.75">
      <c r="A15339" s="2" t="s">
        <v>482</v>
      </c>
    </row>
    <row r="15340" spans="1:1" ht="12.75">
      <c r="A15340" s="2" t="s">
        <v>269</v>
      </c>
    </row>
    <row r="15341" spans="1:1" ht="12.75">
      <c r="A15341" s="2" t="s">
        <v>269</v>
      </c>
    </row>
    <row r="15342" spans="1:1" ht="12.75">
      <c r="A15342" s="2" t="s">
        <v>273</v>
      </c>
    </row>
    <row r="15343" spans="1:1" ht="12.75">
      <c r="A15343" s="2" t="s">
        <v>271</v>
      </c>
    </row>
    <row r="15344" spans="1:1" ht="12.75">
      <c r="A15344" s="2" t="s">
        <v>273</v>
      </c>
    </row>
    <row r="15345" spans="1:1" ht="12.75">
      <c r="A15345" s="2" t="s">
        <v>272</v>
      </c>
    </row>
    <row r="15346" spans="1:1" ht="12.75">
      <c r="A15346" s="2" t="s">
        <v>270</v>
      </c>
    </row>
    <row r="15347" spans="1:1" ht="12.75">
      <c r="A15347" s="2" t="s">
        <v>273</v>
      </c>
    </row>
    <row r="15348" spans="1:1" ht="12.75">
      <c r="A15348" s="2" t="s">
        <v>268</v>
      </c>
    </row>
    <row r="15349" spans="1:1" ht="12.75">
      <c r="A15349" s="2" t="s">
        <v>270</v>
      </c>
    </row>
    <row r="15350" spans="1:1" ht="12.75">
      <c r="A15350" s="2" t="s">
        <v>271</v>
      </c>
    </row>
    <row r="15351" spans="1:1" ht="12.75">
      <c r="A15351" s="2" t="s">
        <v>268</v>
      </c>
    </row>
    <row r="15352" spans="1:1" ht="12.75">
      <c r="A15352" s="2" t="s">
        <v>272</v>
      </c>
    </row>
    <row r="15353" spans="1:1" ht="12.75">
      <c r="A15353" s="2" t="s">
        <v>272</v>
      </c>
    </row>
    <row r="15354" spans="1:1" ht="12.75">
      <c r="A15354" s="2" t="s">
        <v>272</v>
      </c>
    </row>
    <row r="15355" spans="1:1" ht="12.75">
      <c r="A15355" s="2" t="s">
        <v>269</v>
      </c>
    </row>
    <row r="15356" spans="1:1" ht="12.75">
      <c r="A15356" s="2" t="s">
        <v>271</v>
      </c>
    </row>
    <row r="15357" spans="1:1" ht="12.75">
      <c r="A15357" s="2" t="s">
        <v>272</v>
      </c>
    </row>
    <row r="15358" spans="1:1" ht="12.75">
      <c r="A15358" s="2" t="s">
        <v>271</v>
      </c>
    </row>
    <row r="15359" spans="1:1" ht="12.75">
      <c r="A15359" s="2" t="s">
        <v>272</v>
      </c>
    </row>
    <row r="15360" spans="1:1" ht="12.75">
      <c r="A15360" s="2" t="s">
        <v>271</v>
      </c>
    </row>
    <row r="15361" spans="1:1" ht="12.75">
      <c r="A15361" s="2" t="s">
        <v>272</v>
      </c>
    </row>
    <row r="15362" spans="1:1" ht="12.75">
      <c r="A15362" s="2" t="s">
        <v>268</v>
      </c>
    </row>
    <row r="15363" spans="1:1" ht="12.75">
      <c r="A15363" s="2" t="s">
        <v>271</v>
      </c>
    </row>
    <row r="15364" spans="1:1" ht="12.75">
      <c r="A15364" s="2" t="s">
        <v>269</v>
      </c>
    </row>
    <row r="15365" spans="1:1" ht="12.75">
      <c r="A15365" s="2" t="s">
        <v>268</v>
      </c>
    </row>
    <row r="15366" spans="1:1" ht="12.75">
      <c r="A15366" s="2" t="s">
        <v>268</v>
      </c>
    </row>
    <row r="15367" spans="1:1" ht="12.75">
      <c r="A15367" s="2" t="s">
        <v>269</v>
      </c>
    </row>
    <row r="15368" spans="1:1" ht="12.75">
      <c r="A15368" s="2" t="s">
        <v>271</v>
      </c>
    </row>
    <row r="15369" spans="1:1" ht="12.75">
      <c r="A15369" s="2" t="s">
        <v>268</v>
      </c>
    </row>
    <row r="15370" spans="1:1" ht="12.75">
      <c r="A15370" s="2" t="s">
        <v>272</v>
      </c>
    </row>
    <row r="15371" spans="1:1" ht="12.75">
      <c r="A15371" s="2" t="s">
        <v>273</v>
      </c>
    </row>
    <row r="15372" spans="1:1" ht="12.75">
      <c r="A15372" s="2" t="s">
        <v>273</v>
      </c>
    </row>
    <row r="15373" spans="1:1" ht="12.75">
      <c r="A15373" s="2" t="s">
        <v>272</v>
      </c>
    </row>
    <row r="15374" spans="1:1" ht="12.75">
      <c r="A15374" s="2" t="s">
        <v>273</v>
      </c>
    </row>
    <row r="15375" spans="1:1" ht="12.75">
      <c r="A15375" s="2" t="s">
        <v>270</v>
      </c>
    </row>
    <row r="15376" spans="1:1" ht="12.75">
      <c r="A15376" s="2" t="s">
        <v>268</v>
      </c>
    </row>
    <row r="15377" spans="1:1" ht="12.75">
      <c r="A15377" s="2" t="s">
        <v>268</v>
      </c>
    </row>
    <row r="15378" spans="1:1" ht="12.75">
      <c r="A15378" s="2" t="s">
        <v>269</v>
      </c>
    </row>
    <row r="15379" spans="1:1" ht="12.75">
      <c r="A15379" s="2" t="s">
        <v>270</v>
      </c>
    </row>
    <row r="15393" spans="1:1" ht="12.75">
      <c r="A15393" s="2" t="s">
        <v>271</v>
      </c>
    </row>
    <row r="15394" spans="1:1" ht="12.75">
      <c r="A15394" s="2" t="s">
        <v>269</v>
      </c>
    </row>
    <row r="15395" spans="1:1" ht="12.75">
      <c r="A15395" s="2" t="s">
        <v>272</v>
      </c>
    </row>
    <row r="15396" spans="1:1" ht="12.75">
      <c r="A15396" s="2" t="s">
        <v>270</v>
      </c>
    </row>
    <row r="15397" spans="1:1" ht="12.75">
      <c r="A15397" s="2" t="s">
        <v>270</v>
      </c>
    </row>
    <row r="15398" spans="1:1" ht="12.75">
      <c r="A15398" s="2" t="s">
        <v>268</v>
      </c>
    </row>
    <row r="15399" spans="1:1" ht="12.75">
      <c r="A15399" s="2" t="s">
        <v>269</v>
      </c>
    </row>
    <row r="15400" spans="1:1" ht="12.75">
      <c r="A15400" s="2" t="s">
        <v>271</v>
      </c>
    </row>
    <row r="15401" spans="1:1" ht="12.75">
      <c r="A15401" s="2" t="s">
        <v>272</v>
      </c>
    </row>
    <row r="15402" spans="1:1" ht="12.75">
      <c r="A15402" s="2" t="s">
        <v>272</v>
      </c>
    </row>
    <row r="15403" spans="1:1" ht="12.75">
      <c r="A15403" s="2" t="s">
        <v>270</v>
      </c>
    </row>
    <row r="15404" spans="1:1" ht="12.75">
      <c r="A15404" s="2" t="s">
        <v>269</v>
      </c>
    </row>
    <row r="15405" spans="1:1" ht="12.75">
      <c r="A15405" s="2" t="s">
        <v>270</v>
      </c>
    </row>
    <row r="15406" spans="1:1" ht="12.75">
      <c r="A15406" s="2" t="s">
        <v>268</v>
      </c>
    </row>
    <row r="15407" spans="1:1" ht="12.75">
      <c r="A15407" s="2" t="s">
        <v>273</v>
      </c>
    </row>
    <row r="15408" spans="1:1" ht="12.75">
      <c r="A15408" s="2" t="s">
        <v>268</v>
      </c>
    </row>
    <row r="15409" spans="1:1" ht="12.75">
      <c r="A15409" s="2" t="s">
        <v>273</v>
      </c>
    </row>
    <row r="15410" spans="1:1" ht="12.75">
      <c r="A15410" s="2" t="s">
        <v>272</v>
      </c>
    </row>
    <row r="15411" spans="1:1" ht="12.75">
      <c r="A15411" s="2" t="s">
        <v>271</v>
      </c>
    </row>
    <row r="15412" spans="1:1" ht="12.75">
      <c r="A15412" s="2" t="s">
        <v>273</v>
      </c>
    </row>
    <row r="15413" spans="1:1" ht="12.75">
      <c r="A15413" s="2" t="s">
        <v>269</v>
      </c>
    </row>
    <row r="15414" spans="1:1" ht="12.75">
      <c r="A15414" s="2" t="s">
        <v>270</v>
      </c>
    </row>
    <row r="15415" spans="1:1" ht="12.75">
      <c r="A15415" s="2" t="s">
        <v>268</v>
      </c>
    </row>
    <row r="15416" spans="1:1" ht="12.75">
      <c r="A15416" s="2" t="s">
        <v>693</v>
      </c>
    </row>
    <row r="15417" spans="1:1" ht="12.75">
      <c r="A15417" s="2" t="s">
        <v>268</v>
      </c>
    </row>
    <row r="15418" spans="1:1" ht="12.75">
      <c r="A15418" s="2" t="s">
        <v>268</v>
      </c>
    </row>
    <row r="15419" spans="1:1" ht="12.75">
      <c r="A15419" s="2" t="s">
        <v>268</v>
      </c>
    </row>
    <row r="15420" spans="1:1" ht="12.75">
      <c r="A15420" s="2" t="s">
        <v>268</v>
      </c>
    </row>
    <row r="15421" spans="1:1" ht="12.75">
      <c r="A15421" s="2" t="s">
        <v>273</v>
      </c>
    </row>
    <row r="15422" spans="1:1" ht="12.75">
      <c r="A15422" s="2" t="s">
        <v>269</v>
      </c>
    </row>
    <row r="15423" spans="1:1" ht="12.75">
      <c r="A15423" s="2" t="s">
        <v>271</v>
      </c>
    </row>
    <row r="15424" spans="1:1" ht="12.75">
      <c r="A15424" s="2" t="s">
        <v>269</v>
      </c>
    </row>
    <row r="15425" spans="1:1" ht="12.75">
      <c r="A15425" s="2" t="s">
        <v>268</v>
      </c>
    </row>
    <row r="15426" spans="1:1" ht="12.75">
      <c r="A15426" s="2" t="s">
        <v>270</v>
      </c>
    </row>
    <row r="15427" spans="1:1" ht="12.75">
      <c r="A15427" s="2" t="s">
        <v>273</v>
      </c>
    </row>
    <row r="15428" spans="1:1" ht="12.75">
      <c r="A15428" s="2" t="s">
        <v>268</v>
      </c>
    </row>
    <row r="15429" spans="1:1" ht="12.75">
      <c r="A15429" s="2" t="s">
        <v>271</v>
      </c>
    </row>
    <row r="15430" spans="1:1" ht="12.75">
      <c r="A15430" s="2" t="s">
        <v>272</v>
      </c>
    </row>
    <row r="15431" spans="1:1" ht="12.75">
      <c r="A15431" s="2" t="s">
        <v>268</v>
      </c>
    </row>
    <row r="15432" spans="1:1" ht="12.75">
      <c r="A15432" s="2" t="s">
        <v>269</v>
      </c>
    </row>
    <row r="15433" spans="1:1" ht="12.75">
      <c r="A15433" s="2" t="s">
        <v>272</v>
      </c>
    </row>
    <row r="15434" spans="1:1" ht="12.75">
      <c r="A15434" s="2" t="s">
        <v>273</v>
      </c>
    </row>
    <row r="15435" spans="1:1" ht="12.75">
      <c r="A15435" s="2" t="s">
        <v>273</v>
      </c>
    </row>
    <row r="15436" spans="1:1" ht="12.75">
      <c r="A15436" s="2" t="s">
        <v>270</v>
      </c>
    </row>
    <row r="15437" spans="1:1" ht="12.75">
      <c r="A15437" s="2" t="s">
        <v>270</v>
      </c>
    </row>
    <row r="15438" spans="1:1" ht="12.75">
      <c r="A15438" s="2" t="s">
        <v>269</v>
      </c>
    </row>
    <row r="15439" spans="1:1" ht="12.75">
      <c r="A15439" s="2" t="s">
        <v>694</v>
      </c>
    </row>
    <row r="15450" spans="1:1" ht="12.75">
      <c r="A15450" s="2" t="s">
        <v>393</v>
      </c>
    </row>
    <row r="15451" spans="1:1" ht="12.75">
      <c r="A15451" s="2" t="s">
        <v>393</v>
      </c>
    </row>
    <row r="15452" spans="1:1" ht="12.75">
      <c r="A15452" s="2" t="s">
        <v>393</v>
      </c>
    </row>
    <row r="15453" spans="1:1" ht="12.75">
      <c r="A15453" s="2" t="s">
        <v>393</v>
      </c>
    </row>
    <row r="15454" spans="1:1" ht="12.75">
      <c r="A15454" s="2" t="s">
        <v>393</v>
      </c>
    </row>
    <row r="15455" spans="1:1" ht="12.75">
      <c r="A15455" s="2" t="s">
        <v>470</v>
      </c>
    </row>
    <row r="15457" spans="1:1" ht="12.75">
      <c r="A15457" s="2" t="s">
        <v>470</v>
      </c>
    </row>
    <row r="15458" spans="1:1" ht="12.75">
      <c r="A15458" s="2" t="s">
        <v>470</v>
      </c>
    </row>
    <row r="15459" spans="1:1" ht="12.75">
      <c r="A15459" s="2" t="s">
        <v>470</v>
      </c>
    </row>
    <row r="15768" spans="1:1" ht="12.75">
      <c r="A15768" s="2" t="s">
        <v>273</v>
      </c>
    </row>
    <row r="15887" spans="1:1" ht="12.75">
      <c r="A15887" s="2" t="s">
        <v>446</v>
      </c>
    </row>
    <row r="15919" spans="1:1" ht="12.75">
      <c r="A15919" s="2" t="s">
        <v>671</v>
      </c>
    </row>
    <row r="15920" spans="1:1" ht="12.75">
      <c r="A15920" s="2" t="s">
        <v>671</v>
      </c>
    </row>
    <row r="15921" spans="1:1" ht="12.75">
      <c r="A15921" s="2" t="s">
        <v>673</v>
      </c>
    </row>
    <row r="15922" spans="1:1" ht="12.75">
      <c r="A15922" s="2" t="s">
        <v>673</v>
      </c>
    </row>
    <row r="15923" spans="1:1" ht="12.75">
      <c r="A15923" s="2" t="s">
        <v>670</v>
      </c>
    </row>
    <row r="15924" spans="1:1" ht="12.75">
      <c r="A15924" s="2" t="s">
        <v>670</v>
      </c>
    </row>
    <row r="15925" spans="1:1" ht="12.75">
      <c r="A15925" s="2" t="s">
        <v>673</v>
      </c>
    </row>
    <row r="15926" spans="1:1" ht="12.75">
      <c r="A15926" s="2" t="s">
        <v>671</v>
      </c>
    </row>
    <row r="15927" spans="1:1" ht="12.75">
      <c r="A15927" s="2" t="s">
        <v>673</v>
      </c>
    </row>
    <row r="15928" spans="1:1" ht="12.75">
      <c r="A15928" s="2" t="s">
        <v>673</v>
      </c>
    </row>
    <row r="15929" spans="1:1" ht="12.75">
      <c r="A15929" s="2" t="s">
        <v>673</v>
      </c>
    </row>
    <row r="15930" spans="1:1" ht="12.75">
      <c r="A15930" s="2" t="s">
        <v>670</v>
      </c>
    </row>
    <row r="15931" spans="1:1" ht="12.75">
      <c r="A15931" s="2" t="s">
        <v>670</v>
      </c>
    </row>
    <row r="15932" spans="1:1" ht="12.75">
      <c r="A15932" s="2" t="s">
        <v>670</v>
      </c>
    </row>
    <row r="15933" spans="1:1" ht="12.75">
      <c r="A15933" s="2" t="s">
        <v>673</v>
      </c>
    </row>
    <row r="15934" spans="1:1" ht="12.75">
      <c r="A15934" s="2" t="s">
        <v>673</v>
      </c>
    </row>
    <row r="15935" spans="1:1" ht="12.75">
      <c r="A15935" s="2" t="s">
        <v>671</v>
      </c>
    </row>
    <row r="15936" spans="1:1" ht="12.75">
      <c r="A15936" s="2" t="s">
        <v>671</v>
      </c>
    </row>
    <row r="15937" spans="1:1" ht="12.75">
      <c r="A15937" s="2" t="s">
        <v>673</v>
      </c>
    </row>
    <row r="15938" spans="1:1" ht="12.75">
      <c r="A15938" s="2" t="s">
        <v>671</v>
      </c>
    </row>
    <row r="15939" spans="1:1" ht="12.75">
      <c r="A15939" s="2" t="s">
        <v>673</v>
      </c>
    </row>
    <row r="15940" spans="1:1" ht="12.75">
      <c r="A15940" s="2" t="s">
        <v>670</v>
      </c>
    </row>
    <row r="15941" spans="1:1" ht="12.75">
      <c r="A15941" s="2" t="s">
        <v>673</v>
      </c>
    </row>
    <row r="15942" spans="1:1" ht="12.75">
      <c r="A15942" s="2" t="s">
        <v>670</v>
      </c>
    </row>
    <row r="15943" spans="1:1" ht="12.75">
      <c r="A15943" s="2" t="s">
        <v>671</v>
      </c>
    </row>
    <row r="15944" spans="1:1" ht="12.75">
      <c r="A15944" s="2" t="s">
        <v>673</v>
      </c>
    </row>
    <row r="15945" spans="1:1" ht="12.75">
      <c r="A15945" s="2" t="s">
        <v>673</v>
      </c>
    </row>
    <row r="15946" spans="1:1" ht="12.75">
      <c r="A15946" s="2" t="s">
        <v>670</v>
      </c>
    </row>
    <row r="15947" spans="1:1" ht="12.75">
      <c r="A15947" s="2" t="s">
        <v>670</v>
      </c>
    </row>
    <row r="15948" spans="1:1" ht="12.75">
      <c r="A15948" s="2" t="s">
        <v>673</v>
      </c>
    </row>
    <row r="15961" spans="1:1" ht="12.75">
      <c r="A15961" s="2" t="s">
        <v>667</v>
      </c>
    </row>
    <row r="15962" spans="1:1" ht="12.75">
      <c r="A15962" s="2" t="s">
        <v>662</v>
      </c>
    </row>
    <row r="15963" spans="1:1" ht="12.75">
      <c r="A15963" s="2" t="s">
        <v>664</v>
      </c>
    </row>
    <row r="15964" spans="1:1" ht="12.75">
      <c r="A15964" s="2" t="s">
        <v>667</v>
      </c>
    </row>
    <row r="15965" spans="1:1" ht="12.75">
      <c r="A15965" s="2" t="s">
        <v>662</v>
      </c>
    </row>
    <row r="15966" spans="1:1" ht="12.75">
      <c r="A15966" s="2" t="s">
        <v>664</v>
      </c>
    </row>
    <row r="15967" spans="1:1" ht="12.75">
      <c r="A15967" s="2" t="s">
        <v>664</v>
      </c>
    </row>
    <row r="15968" spans="1:1" ht="12.75">
      <c r="A15968" s="2" t="s">
        <v>667</v>
      </c>
    </row>
    <row r="15970" spans="1:1" ht="12.75">
      <c r="A15970" s="2" t="s">
        <v>664</v>
      </c>
    </row>
    <row r="15971" spans="1:1" ht="12.75">
      <c r="A15971" s="2" t="s">
        <v>662</v>
      </c>
    </row>
    <row r="15972" spans="1:1" ht="12.75">
      <c r="A15972" s="2" t="s">
        <v>666</v>
      </c>
    </row>
    <row r="15973" spans="1:1" ht="12.75">
      <c r="A15973" s="2" t="s">
        <v>665</v>
      </c>
    </row>
    <row r="15974" spans="1:1" ht="12.75">
      <c r="A15974" s="2" t="s">
        <v>665</v>
      </c>
    </row>
    <row r="15975" spans="1:1" ht="12.75">
      <c r="A15975" s="2" t="s">
        <v>664</v>
      </c>
    </row>
    <row r="15976" spans="1:1" ht="12.75">
      <c r="A15976" s="2" t="s">
        <v>664</v>
      </c>
    </row>
    <row r="15977" spans="1:1" ht="12.75">
      <c r="A15977" s="2" t="s">
        <v>665</v>
      </c>
    </row>
    <row r="15978" spans="1:1" ht="12.75">
      <c r="A15978" s="2" t="s">
        <v>662</v>
      </c>
    </row>
    <row r="15979" spans="1:1" ht="12.75">
      <c r="A15979" s="2" t="s">
        <v>664</v>
      </c>
    </row>
    <row r="15980" spans="1:1" ht="12.75">
      <c r="A15980" s="2" t="s">
        <v>664</v>
      </c>
    </row>
    <row r="15981" spans="1:1" ht="12.75">
      <c r="A15981" s="2" t="s">
        <v>664</v>
      </c>
    </row>
    <row r="15982" spans="1:1" ht="12.75">
      <c r="A15982" s="2" t="s">
        <v>662</v>
      </c>
    </row>
    <row r="15983" spans="1:1" ht="12.75">
      <c r="A15983" s="2" t="s">
        <v>662</v>
      </c>
    </row>
    <row r="15984" spans="1:1" ht="12.75">
      <c r="A15984" s="2" t="s">
        <v>664</v>
      </c>
    </row>
    <row r="15985" spans="1:1" ht="12.75">
      <c r="A15985" s="2" t="s">
        <v>667</v>
      </c>
    </row>
    <row r="15986" spans="1:1" ht="12.75">
      <c r="A15986" s="2" t="s">
        <v>662</v>
      </c>
    </row>
    <row r="15987" spans="1:1" ht="12.75">
      <c r="A15987" s="2" t="s">
        <v>666</v>
      </c>
    </row>
    <row r="15990" spans="1:1" ht="12.75">
      <c r="A15990" s="2" t="s">
        <v>666</v>
      </c>
    </row>
    <row r="15991" spans="1:1" ht="12.75">
      <c r="A15991" s="2" t="s">
        <v>667</v>
      </c>
    </row>
    <row r="15992" spans="1:1" ht="12.75">
      <c r="A15992" s="2" t="s">
        <v>667</v>
      </c>
    </row>
    <row r="15993" spans="1:1" ht="12.75">
      <c r="A15993" s="2" t="s">
        <v>666</v>
      </c>
    </row>
    <row r="15994" spans="1:1" ht="12.75">
      <c r="A15994" s="2" t="s">
        <v>666</v>
      </c>
    </row>
    <row r="15995" spans="1:1" ht="12.75">
      <c r="A15995" s="2" t="s">
        <v>665</v>
      </c>
    </row>
    <row r="15996" spans="1:1" ht="12.75">
      <c r="A15996" s="2" t="s">
        <v>662</v>
      </c>
    </row>
    <row r="15997" spans="1:1" ht="12.75">
      <c r="A15997" s="2" t="s">
        <v>666</v>
      </c>
    </row>
    <row r="15998" spans="1:1" ht="12.75">
      <c r="A15998" s="2" t="s">
        <v>665</v>
      </c>
    </row>
    <row r="15999" spans="1:1" ht="12.75">
      <c r="A15999" s="2" t="s">
        <v>662</v>
      </c>
    </row>
    <row r="16000" spans="1:1" ht="12.75">
      <c r="A16000" s="2" t="s">
        <v>666</v>
      </c>
    </row>
    <row r="16001" spans="1:1" ht="12.75">
      <c r="A16001" s="2" t="s">
        <v>665</v>
      </c>
    </row>
    <row r="16002" spans="1:1" ht="12.75">
      <c r="A16002" s="2" t="s">
        <v>662</v>
      </c>
    </row>
    <row r="16003" spans="1:1" ht="12.75">
      <c r="A16003" s="2" t="s">
        <v>664</v>
      </c>
    </row>
    <row r="16004" spans="1:1" ht="12.75">
      <c r="A16004" s="2" t="s">
        <v>665</v>
      </c>
    </row>
    <row r="16005" spans="1:1" ht="12.75">
      <c r="A16005" s="2" t="s">
        <v>664</v>
      </c>
    </row>
    <row r="16006" spans="1:1" ht="12.75">
      <c r="A16006" s="2" t="s">
        <v>664</v>
      </c>
    </row>
    <row r="16007" spans="1:1" ht="12.75">
      <c r="A16007" s="2" t="s">
        <v>664</v>
      </c>
    </row>
    <row r="16059" spans="1:1" ht="12.75">
      <c r="A16059" s="2" t="s">
        <v>695</v>
      </c>
    </row>
    <row r="16060" spans="1:1" ht="12.75">
      <c r="A16060" s="2" t="s">
        <v>695</v>
      </c>
    </row>
    <row r="16061" spans="1:1" ht="12.75">
      <c r="A16061" s="2" t="s">
        <v>459</v>
      </c>
    </row>
    <row r="16062" spans="1:1" ht="12.75">
      <c r="A16062" s="2" t="s">
        <v>458</v>
      </c>
    </row>
    <row r="16063" spans="1:1" ht="12.75">
      <c r="A16063" s="2" t="s">
        <v>459</v>
      </c>
    </row>
    <row r="16064" spans="1:1" ht="12.75">
      <c r="A16064" s="2" t="s">
        <v>458</v>
      </c>
    </row>
    <row r="16065" spans="1:1" ht="12.75">
      <c r="A16065" s="2" t="s">
        <v>458</v>
      </c>
    </row>
    <row r="16066" spans="1:1" ht="12.75">
      <c r="A16066" s="2" t="s">
        <v>696</v>
      </c>
    </row>
    <row r="16067" spans="1:1" ht="12.75">
      <c r="A16067" s="2" t="s">
        <v>458</v>
      </c>
    </row>
    <row r="16068" spans="1:1" ht="12.75">
      <c r="A16068" s="2" t="s">
        <v>458</v>
      </c>
    </row>
    <row r="16069" spans="1:1" ht="12.75">
      <c r="A16069" s="2" t="s">
        <v>458</v>
      </c>
    </row>
    <row r="16070" spans="1:1" ht="12.75">
      <c r="A16070" s="2" t="s">
        <v>458</v>
      </c>
    </row>
    <row r="16071" spans="1:1" ht="12.75">
      <c r="A16071" s="2" t="s">
        <v>458</v>
      </c>
    </row>
    <row r="16072" spans="1:1" ht="12.75">
      <c r="A16072" s="2" t="s">
        <v>458</v>
      </c>
    </row>
    <row r="16073" spans="1:1" ht="12.75">
      <c r="A16073" s="2" t="s">
        <v>458</v>
      </c>
    </row>
    <row r="16074" spans="1:1" ht="12.75">
      <c r="A16074" s="2" t="s">
        <v>458</v>
      </c>
    </row>
    <row r="16075" spans="1:1" ht="12.75">
      <c r="A16075" s="2" t="s">
        <v>458</v>
      </c>
    </row>
    <row r="16076" spans="1:1" ht="12.75">
      <c r="A16076" s="2" t="s">
        <v>284</v>
      </c>
    </row>
    <row r="16078" spans="1:1" ht="12.75">
      <c r="A16078" s="2" t="s">
        <v>284</v>
      </c>
    </row>
    <row r="16079" spans="1:1" ht="12.75">
      <c r="A16079" s="2" t="s">
        <v>284</v>
      </c>
    </row>
    <row r="16080" spans="1:1" ht="12.75">
      <c r="A16080" s="2" t="s">
        <v>284</v>
      </c>
    </row>
    <row r="16081" spans="1:1" ht="12.75">
      <c r="A16081" s="2" t="s">
        <v>284</v>
      </c>
    </row>
    <row r="16083" spans="1:1" ht="12.75">
      <c r="A16083" s="2" t="s">
        <v>284</v>
      </c>
    </row>
    <row r="16084" spans="1:1" ht="12.75">
      <c r="A16084" s="2" t="s">
        <v>284</v>
      </c>
    </row>
    <row r="16085" spans="1:1" ht="12.75">
      <c r="A16085" s="2" t="s">
        <v>284</v>
      </c>
    </row>
    <row r="16115" spans="1:1" ht="12.75">
      <c r="A16115" s="2" t="s">
        <v>284</v>
      </c>
    </row>
    <row r="16119" spans="1:1" ht="12.75">
      <c r="A16119" s="2" t="s">
        <v>697</v>
      </c>
    </row>
    <row r="16142" spans="1:1" ht="12.75">
      <c r="A16142" s="2" t="s">
        <v>581</v>
      </c>
    </row>
    <row r="16144" spans="1:1" ht="12.75">
      <c r="A16144" s="2" t="s">
        <v>251</v>
      </c>
    </row>
    <row r="16145" spans="1:1" ht="12.75">
      <c r="A16145" s="2" t="s">
        <v>251</v>
      </c>
    </row>
    <row r="16146" spans="1:1" ht="12.75">
      <c r="A16146" s="2" t="s">
        <v>251</v>
      </c>
    </row>
    <row r="16147" spans="1:1" ht="12.75">
      <c r="A16147" s="2" t="s">
        <v>251</v>
      </c>
    </row>
    <row r="16209" spans="1:1" ht="12.75">
      <c r="A16209" s="2" t="s">
        <v>698</v>
      </c>
    </row>
    <row r="16215" spans="1:1" ht="12.75">
      <c r="A16215" s="2" t="s">
        <v>699</v>
      </c>
    </row>
    <row r="16218" spans="1:1" ht="12.75">
      <c r="A16218" s="2" t="s">
        <v>528</v>
      </c>
    </row>
    <row r="16219" spans="1:1" ht="12.75">
      <c r="A16219" s="2" t="s">
        <v>529</v>
      </c>
    </row>
    <row r="16220" spans="1:1" ht="12.75">
      <c r="A16220" s="2" t="s">
        <v>528</v>
      </c>
    </row>
    <row r="16221" spans="1:1" ht="12.75">
      <c r="A16221" s="2" t="s">
        <v>529</v>
      </c>
    </row>
    <row r="16222" spans="1:1" ht="12.75">
      <c r="A16222" s="2" t="s">
        <v>636</v>
      </c>
    </row>
    <row r="16223" spans="1:1" ht="12.75">
      <c r="A16223" s="2" t="s">
        <v>576</v>
      </c>
    </row>
    <row r="16225" spans="1:1" ht="12.75">
      <c r="A16225" s="2" t="s">
        <v>576</v>
      </c>
    </row>
    <row r="16226" spans="1:1" ht="12.75">
      <c r="A16226" s="2" t="s">
        <v>576</v>
      </c>
    </row>
    <row r="16227" spans="1:1" ht="12.75">
      <c r="A16227" s="2" t="s">
        <v>514</v>
      </c>
    </row>
    <row r="16228" spans="1:1" ht="12.75">
      <c r="A16228" s="2" t="s">
        <v>514</v>
      </c>
    </row>
    <row r="16230" spans="1:1" ht="12.75">
      <c r="A16230" s="2" t="s">
        <v>514</v>
      </c>
    </row>
    <row r="16231" spans="1:1" ht="12.75">
      <c r="A16231" s="2" t="s">
        <v>528</v>
      </c>
    </row>
    <row r="16232" spans="1:1" ht="12.75">
      <c r="A16232" s="2" t="s">
        <v>528</v>
      </c>
    </row>
    <row r="16233" spans="1:1" ht="12.75">
      <c r="A16233" s="2" t="s">
        <v>529</v>
      </c>
    </row>
    <row r="16234" spans="1:1" ht="12.75">
      <c r="A16234" s="2" t="s">
        <v>576</v>
      </c>
    </row>
    <row r="16235" spans="1:1" ht="12.75">
      <c r="A16235" s="2" t="s">
        <v>576</v>
      </c>
    </row>
    <row r="16236" spans="1:1" ht="12.75">
      <c r="A16236" s="2" t="s">
        <v>576</v>
      </c>
    </row>
    <row r="16237" spans="1:1" ht="12.75">
      <c r="A16237" s="2" t="s">
        <v>576</v>
      </c>
    </row>
    <row r="16238" spans="1:1" ht="12.75">
      <c r="A16238" s="2" t="s">
        <v>576</v>
      </c>
    </row>
    <row r="16239" spans="1:1" ht="12.75">
      <c r="A16239" s="2" t="s">
        <v>514</v>
      </c>
    </row>
    <row r="16240" spans="1:1" ht="12.75">
      <c r="A16240" s="2" t="s">
        <v>576</v>
      </c>
    </row>
    <row r="16241" spans="1:1" ht="12.75">
      <c r="A16241" s="2" t="s">
        <v>700</v>
      </c>
    </row>
    <row r="16242" spans="1:1" ht="12.75">
      <c r="A16242" s="2" t="s">
        <v>528</v>
      </c>
    </row>
    <row r="16243" spans="1:1" ht="12.75">
      <c r="A16243" s="2" t="s">
        <v>528</v>
      </c>
    </row>
    <row r="16244" spans="1:1" ht="12.75">
      <c r="A16244" s="2" t="s">
        <v>528</v>
      </c>
    </row>
    <row r="16245" spans="1:1" ht="12.75">
      <c r="A16245" s="2" t="s">
        <v>530</v>
      </c>
    </row>
    <row r="16246" spans="1:1" ht="12.75">
      <c r="A16246" s="2" t="s">
        <v>530</v>
      </c>
    </row>
    <row r="16247" spans="1:1" ht="12.75">
      <c r="A16247" s="2" t="s">
        <v>532</v>
      </c>
    </row>
    <row r="16248" spans="1:1" ht="12.75">
      <c r="A16248" s="2" t="s">
        <v>532</v>
      </c>
    </row>
    <row r="16249" spans="1:1" ht="12.75">
      <c r="A16249" s="2" t="s">
        <v>528</v>
      </c>
    </row>
    <row r="16250" spans="1:1" ht="12.75">
      <c r="A16250" s="2" t="s">
        <v>528</v>
      </c>
    </row>
    <row r="16251" spans="1:1" ht="12.75">
      <c r="A16251" s="2" t="s">
        <v>528</v>
      </c>
    </row>
    <row r="16252" spans="1:1" ht="12.75">
      <c r="A16252" s="2" t="s">
        <v>528</v>
      </c>
    </row>
    <row r="16253" spans="1:1" ht="12.75">
      <c r="A16253" s="2" t="s">
        <v>532</v>
      </c>
    </row>
    <row r="16255" spans="1:1" ht="12.75">
      <c r="A16255" s="2" t="s">
        <v>528</v>
      </c>
    </row>
    <row r="16256" spans="1:1" ht="12.75">
      <c r="A16256" s="2" t="s">
        <v>530</v>
      </c>
    </row>
    <row r="16257" spans="1:1" ht="12.75">
      <c r="A16257" s="2" t="s">
        <v>529</v>
      </c>
    </row>
    <row r="16258" spans="1:1" ht="12.75">
      <c r="A16258" s="2" t="s">
        <v>529</v>
      </c>
    </row>
    <row r="16259" spans="1:1" ht="12.75">
      <c r="A16259" s="2" t="s">
        <v>528</v>
      </c>
    </row>
    <row r="16260" spans="1:1" ht="12.75">
      <c r="A16260" s="2" t="s">
        <v>512</v>
      </c>
    </row>
    <row r="16261" spans="1:1" ht="12.75">
      <c r="A16261" s="2" t="s">
        <v>530</v>
      </c>
    </row>
    <row r="16263" spans="1:1" ht="12.75">
      <c r="A16263" s="2" t="s">
        <v>512</v>
      </c>
    </row>
    <row r="16319" spans="1:1" ht="12.75">
      <c r="A16319" s="2" t="s">
        <v>528</v>
      </c>
    </row>
    <row r="16320" spans="1:1" ht="12.75">
      <c r="A16320" s="2" t="s">
        <v>528</v>
      </c>
    </row>
    <row r="16321" spans="1:1" ht="12.75">
      <c r="A16321" s="2" t="s">
        <v>529</v>
      </c>
    </row>
    <row r="16322" spans="1:1" ht="12.75">
      <c r="A16322" s="2" t="s">
        <v>529</v>
      </c>
    </row>
    <row r="16323" spans="1:1" ht="12.75">
      <c r="A16323" s="2" t="s">
        <v>530</v>
      </c>
    </row>
    <row r="16325" spans="1:1" ht="12.75">
      <c r="A16325" s="2" t="s">
        <v>512</v>
      </c>
    </row>
    <row r="16326" spans="1:1" ht="12.75">
      <c r="A16326" s="2" t="s">
        <v>512</v>
      </c>
    </row>
    <row r="16327" spans="1:1" ht="12.75">
      <c r="A16327" s="2" t="s">
        <v>528</v>
      </c>
    </row>
    <row r="16328" spans="1:1" ht="12.75">
      <c r="A16328" s="2" t="s">
        <v>528</v>
      </c>
    </row>
    <row r="16329" spans="1:1" ht="12.75">
      <c r="A16329" s="2" t="s">
        <v>529</v>
      </c>
    </row>
    <row r="16330" spans="1:1" ht="12.75">
      <c r="A16330" s="2" t="s">
        <v>529</v>
      </c>
    </row>
    <row r="16331" spans="1:1" ht="12.75">
      <c r="A16331" s="2" t="s">
        <v>530</v>
      </c>
    </row>
    <row r="16334" spans="1:1" ht="12.75">
      <c r="A16334" s="2" t="s">
        <v>514</v>
      </c>
    </row>
    <row r="16335" spans="1:1" ht="12.75">
      <c r="A16335" s="2" t="s">
        <v>514</v>
      </c>
    </row>
    <row r="16343" spans="1:1" ht="12.75">
      <c r="A16343" s="2" t="s">
        <v>701</v>
      </c>
    </row>
    <row r="16344" spans="1:1" ht="12.75">
      <c r="A16344" s="2" t="s">
        <v>428</v>
      </c>
    </row>
    <row r="16346" spans="1:1" ht="12.75">
      <c r="A16346" s="2" t="s">
        <v>261</v>
      </c>
    </row>
    <row r="16347" spans="1:1" ht="12.75">
      <c r="A16347" s="2" t="s">
        <v>261</v>
      </c>
    </row>
    <row r="16348" spans="1:1" ht="12.75">
      <c r="A16348" s="2" t="s">
        <v>581</v>
      </c>
    </row>
    <row r="16349" spans="1:1" ht="12.75">
      <c r="A16349" s="2" t="s">
        <v>261</v>
      </c>
    </row>
    <row r="16350" spans="1:1" ht="12.75">
      <c r="A16350" s="2" t="s">
        <v>261</v>
      </c>
    </row>
    <row r="16351" spans="1:1" ht="12.75">
      <c r="A16351" s="2" t="s">
        <v>538</v>
      </c>
    </row>
    <row r="16352" spans="1:1" ht="12.75">
      <c r="A16352" s="2" t="s">
        <v>280</v>
      </c>
    </row>
    <row r="16357" spans="1:1" ht="12.75">
      <c r="A16357" s="2" t="s">
        <v>280</v>
      </c>
    </row>
    <row r="16360" spans="1:1" ht="12.75">
      <c r="A16360" s="2" t="s">
        <v>280</v>
      </c>
    </row>
    <row r="16362" spans="1:1" ht="12.75">
      <c r="A16362" s="2" t="s">
        <v>702</v>
      </c>
    </row>
    <row r="16363" spans="1:1" ht="12.75">
      <c r="A16363" s="2" t="s">
        <v>472</v>
      </c>
    </row>
    <row r="16364" spans="1:1" ht="12.75">
      <c r="A16364" s="2" t="s">
        <v>472</v>
      </c>
    </row>
    <row r="16369" spans="1:1" ht="12.75">
      <c r="A16369" s="2" t="s">
        <v>155</v>
      </c>
    </row>
    <row r="16370" spans="1:1" ht="12.75">
      <c r="A16370" s="2" t="s">
        <v>155</v>
      </c>
    </row>
    <row r="16371" spans="1:1" ht="12.75">
      <c r="A16371" s="2" t="s">
        <v>155</v>
      </c>
    </row>
    <row r="16372" spans="1:1" ht="12.75">
      <c r="A16372" s="2" t="s">
        <v>155</v>
      </c>
    </row>
    <row r="16373" spans="1:1" ht="12.75">
      <c r="A16373" s="2" t="s">
        <v>489</v>
      </c>
    </row>
    <row r="16374" spans="1:1" ht="12.75">
      <c r="A16374" s="2" t="s">
        <v>489</v>
      </c>
    </row>
    <row r="16375" spans="1:1" ht="12.75">
      <c r="A16375" s="2" t="s">
        <v>489</v>
      </c>
    </row>
    <row r="16426" spans="1:1" ht="12.75">
      <c r="A16426" s="2" t="s">
        <v>254</v>
      </c>
    </row>
    <row r="16427" spans="1:1" ht="12.75">
      <c r="A16427" s="2" t="s">
        <v>254</v>
      </c>
    </row>
    <row r="16430" spans="1:1" ht="12.75">
      <c r="A16430" s="2" t="s">
        <v>254</v>
      </c>
    </row>
    <row r="16431" spans="1:1" ht="12.75">
      <c r="A16431" s="2" t="s">
        <v>256</v>
      </c>
    </row>
    <row r="16432" spans="1:1" ht="12.75">
      <c r="A16432" s="2" t="s">
        <v>254</v>
      </c>
    </row>
    <row r="16433" spans="1:1" ht="12.75">
      <c r="A16433" s="2" t="s">
        <v>256</v>
      </c>
    </row>
    <row r="16434" spans="1:1" ht="12.75">
      <c r="A16434" s="2" t="s">
        <v>254</v>
      </c>
    </row>
    <row r="16435" spans="1:1" ht="12.75">
      <c r="A16435" s="2" t="s">
        <v>256</v>
      </c>
    </row>
    <row r="16436" spans="1:1" ht="12.75">
      <c r="A16436" s="2" t="s">
        <v>252</v>
      </c>
    </row>
    <row r="16437" spans="1:1" ht="12.75">
      <c r="A16437" s="2" t="s">
        <v>252</v>
      </c>
    </row>
    <row r="16438" spans="1:1" ht="12.75">
      <c r="A16438" s="2" t="s">
        <v>254</v>
      </c>
    </row>
    <row r="16439" spans="1:1" ht="12.75">
      <c r="A16439" s="2" t="s">
        <v>256</v>
      </c>
    </row>
    <row r="16440" spans="1:1" ht="12.75">
      <c r="A16440" s="2" t="s">
        <v>252</v>
      </c>
    </row>
    <row r="16441" spans="1:1" ht="12.75">
      <c r="A16441" s="2" t="s">
        <v>252</v>
      </c>
    </row>
    <row r="16442" spans="1:1" ht="12.75">
      <c r="A16442" s="2" t="s">
        <v>256</v>
      </c>
    </row>
    <row r="16443" spans="1:1" ht="12.75">
      <c r="A16443" s="2" t="s">
        <v>254</v>
      </c>
    </row>
    <row r="16444" spans="1:1" ht="12.75">
      <c r="A16444" s="2" t="s">
        <v>252</v>
      </c>
    </row>
    <row r="16445" spans="1:1" ht="12.75">
      <c r="A16445" s="2" t="s">
        <v>252</v>
      </c>
    </row>
    <row r="16446" spans="1:1" ht="12.75">
      <c r="A16446" s="2" t="s">
        <v>254</v>
      </c>
    </row>
    <row r="16447" spans="1:1" ht="12.75">
      <c r="A16447" s="2" t="s">
        <v>256</v>
      </c>
    </row>
    <row r="16448" spans="1:1" ht="12.75">
      <c r="A16448" s="2" t="s">
        <v>252</v>
      </c>
    </row>
    <row r="16449" spans="1:1" ht="12.75">
      <c r="A16449" s="2" t="s">
        <v>252</v>
      </c>
    </row>
    <row r="16474" spans="1:1" ht="12.75">
      <c r="A16474" s="2" t="s">
        <v>256</v>
      </c>
    </row>
    <row r="16475" spans="1:1" ht="12.75">
      <c r="A16475" s="2" t="s">
        <v>256</v>
      </c>
    </row>
    <row r="16481" spans="1:1" ht="12.75">
      <c r="A16481" s="2" t="s">
        <v>186</v>
      </c>
    </row>
    <row r="16483" spans="1:1" ht="12.75">
      <c r="A16483" s="2" t="s">
        <v>186</v>
      </c>
    </row>
    <row r="16484" spans="1:1" ht="12.75">
      <c r="A16484" s="2" t="s">
        <v>186</v>
      </c>
    </row>
    <row r="16485" spans="1:1" ht="12.75">
      <c r="A16485" s="2" t="s">
        <v>186</v>
      </c>
    </row>
    <row r="16486" spans="1:1" ht="12.75">
      <c r="A16486" s="2" t="s">
        <v>186</v>
      </c>
    </row>
    <row r="16487" spans="1:1" ht="12.75">
      <c r="A16487" s="2" t="s">
        <v>186</v>
      </c>
    </row>
    <row r="16488" spans="1:1" ht="12.75">
      <c r="A16488" s="2" t="s">
        <v>186</v>
      </c>
    </row>
    <row r="16489" spans="1:1" ht="12.75">
      <c r="A16489" s="2" t="s">
        <v>703</v>
      </c>
    </row>
    <row r="16490" spans="1:1" ht="12.75">
      <c r="A16490" s="2" t="s">
        <v>704</v>
      </c>
    </row>
    <row r="16491" spans="1:1" ht="12.75">
      <c r="A16491" s="2" t="s">
        <v>705</v>
      </c>
    </row>
    <row r="16493" spans="1:1" ht="12.75">
      <c r="A16493" s="2" t="s">
        <v>706</v>
      </c>
    </row>
    <row r="16497" spans="1:1" ht="12.75">
      <c r="A16497" s="2" t="s">
        <v>509</v>
      </c>
    </row>
    <row r="16498" spans="1:1" ht="12.75">
      <c r="A16498" s="2" t="s">
        <v>509</v>
      </c>
    </row>
    <row r="16499" spans="1:1" ht="12.75">
      <c r="A16499" s="2" t="s">
        <v>707</v>
      </c>
    </row>
    <row r="16500" spans="1:1" ht="12.75">
      <c r="A16500" s="2" t="s">
        <v>485</v>
      </c>
    </row>
    <row r="16501" spans="1:1" ht="12.75">
      <c r="A16501" s="2" t="s">
        <v>482</v>
      </c>
    </row>
    <row r="16502" spans="1:1" ht="12.75">
      <c r="A16502" s="2" t="s">
        <v>297</v>
      </c>
    </row>
    <row r="16503" spans="1:1" ht="12.75">
      <c r="A16503" s="2" t="s">
        <v>291</v>
      </c>
    </row>
    <row r="16504" spans="1:1" ht="12.75">
      <c r="A16504" s="2" t="s">
        <v>292</v>
      </c>
    </row>
    <row r="16505" spans="1:1" ht="12.75">
      <c r="A16505" s="2" t="s">
        <v>297</v>
      </c>
    </row>
    <row r="16506" spans="1:1" ht="12.75">
      <c r="A16506" s="2" t="s">
        <v>291</v>
      </c>
    </row>
    <row r="16507" spans="1:1" ht="12.75">
      <c r="A16507" s="2" t="s">
        <v>291</v>
      </c>
    </row>
    <row r="16508" spans="1:1" ht="12.75">
      <c r="A16508" s="2" t="s">
        <v>289</v>
      </c>
    </row>
    <row r="16509" spans="1:1" ht="12.75">
      <c r="A16509" s="2" t="s">
        <v>289</v>
      </c>
    </row>
    <row r="16510" spans="1:1" ht="12.75">
      <c r="A16510" s="2" t="s">
        <v>290</v>
      </c>
    </row>
    <row r="16511" spans="1:1" ht="12.75">
      <c r="A16511" s="2" t="s">
        <v>290</v>
      </c>
    </row>
    <row r="16512" spans="1:1" ht="12.75">
      <c r="A16512" s="2" t="s">
        <v>297</v>
      </c>
    </row>
    <row r="16513" spans="1:1" ht="12.75">
      <c r="A16513" s="2" t="s">
        <v>297</v>
      </c>
    </row>
    <row r="16514" spans="1:1" ht="12.75">
      <c r="A16514" s="2" t="s">
        <v>291</v>
      </c>
    </row>
    <row r="16515" spans="1:1" ht="12.75">
      <c r="A16515" s="2" t="s">
        <v>289</v>
      </c>
    </row>
    <row r="16516" spans="1:1" ht="12.75">
      <c r="A16516" s="2" t="s">
        <v>289</v>
      </c>
    </row>
    <row r="16517" spans="1:1" ht="12.75">
      <c r="A16517" s="2" t="s">
        <v>291</v>
      </c>
    </row>
    <row r="16518" spans="1:1" ht="12.75">
      <c r="A16518" s="2" t="s">
        <v>292</v>
      </c>
    </row>
    <row r="16519" spans="1:1" ht="12.75">
      <c r="A16519" s="2" t="s">
        <v>289</v>
      </c>
    </row>
    <row r="16520" spans="1:1" ht="12.75">
      <c r="A16520" s="2" t="s">
        <v>291</v>
      </c>
    </row>
    <row r="16521" spans="1:1" ht="12.75">
      <c r="A16521" s="2" t="s">
        <v>291</v>
      </c>
    </row>
    <row r="16522" spans="1:1" ht="12.75">
      <c r="A16522" s="2" t="s">
        <v>289</v>
      </c>
    </row>
    <row r="16523" spans="1:1" ht="12.75">
      <c r="A16523" s="2" t="s">
        <v>291</v>
      </c>
    </row>
    <row r="16525" spans="1:1" ht="12.75">
      <c r="A16525" s="2" t="s">
        <v>289</v>
      </c>
    </row>
    <row r="16526" spans="1:1" ht="12.75">
      <c r="A16526" s="2" t="s">
        <v>297</v>
      </c>
    </row>
    <row r="16527" spans="1:1" ht="12.75">
      <c r="A16527" s="2" t="s">
        <v>289</v>
      </c>
    </row>
    <row r="16528" spans="1:1" ht="12.75">
      <c r="A16528" s="2" t="s">
        <v>290</v>
      </c>
    </row>
    <row r="16529" spans="1:1" ht="12.75">
      <c r="A16529" s="2" t="s">
        <v>290</v>
      </c>
    </row>
    <row r="16530" spans="1:1" ht="12.75">
      <c r="A16530" s="2" t="s">
        <v>289</v>
      </c>
    </row>
    <row r="16531" spans="1:1" ht="12.75">
      <c r="A16531" s="2" t="s">
        <v>289</v>
      </c>
    </row>
    <row r="16532" spans="1:1" ht="12.75">
      <c r="A16532" s="2" t="s">
        <v>291</v>
      </c>
    </row>
    <row r="16533" spans="1:1" ht="12.75">
      <c r="A16533" s="2" t="s">
        <v>291</v>
      </c>
    </row>
    <row r="16534" spans="1:1" ht="12.75">
      <c r="A16534" s="2" t="s">
        <v>297</v>
      </c>
    </row>
    <row r="16535" spans="1:1" ht="12.75">
      <c r="A16535" s="2" t="s">
        <v>297</v>
      </c>
    </row>
    <row r="16538" spans="1:1" ht="12.75">
      <c r="A16538" s="2" t="s">
        <v>299</v>
      </c>
    </row>
    <row r="16539" spans="1:1" ht="12.75">
      <c r="A16539" s="2" t="s">
        <v>299</v>
      </c>
    </row>
    <row r="16540" spans="1:1" ht="12.75">
      <c r="A16540" s="2" t="s">
        <v>290</v>
      </c>
    </row>
    <row r="16541" spans="1:1" ht="12.75">
      <c r="A16541" s="2" t="s">
        <v>290</v>
      </c>
    </row>
    <row r="16542" spans="1:1" ht="12.75">
      <c r="A16542" s="2" t="s">
        <v>299</v>
      </c>
    </row>
    <row r="16543" spans="1:1" ht="12.75">
      <c r="A16543" s="2" t="s">
        <v>299</v>
      </c>
    </row>
    <row r="16544" spans="1:1" ht="12.75">
      <c r="A16544" s="2" t="s">
        <v>289</v>
      </c>
    </row>
    <row r="16545" spans="1:1" ht="12.75">
      <c r="A16545" s="2" t="s">
        <v>289</v>
      </c>
    </row>
    <row r="16547" spans="1:1" ht="12.75">
      <c r="A16547" s="2" t="s">
        <v>291</v>
      </c>
    </row>
    <row r="16548" spans="1:1" ht="12.75">
      <c r="A16548" s="2" t="s">
        <v>290</v>
      </c>
    </row>
    <row r="16549" spans="1:1" ht="12.75">
      <c r="A16549" s="2" t="s">
        <v>290</v>
      </c>
    </row>
    <row r="16550" spans="1:1" ht="12.75">
      <c r="A16550" s="2" t="s">
        <v>291</v>
      </c>
    </row>
    <row r="16551" spans="1:1" ht="12.75">
      <c r="A16551" s="2" t="s">
        <v>291</v>
      </c>
    </row>
    <row r="16554" spans="1:1" ht="12.75">
      <c r="A16554" s="2" t="s">
        <v>299</v>
      </c>
    </row>
    <row r="16556" spans="1:1" ht="12.75">
      <c r="A16556" s="2" t="s">
        <v>297</v>
      </c>
    </row>
    <row r="16569" spans="1:1" ht="12.75">
      <c r="A16569" s="2" t="s">
        <v>297</v>
      </c>
    </row>
    <row r="16570" spans="1:1" ht="12.75">
      <c r="A16570" s="2" t="s">
        <v>708</v>
      </c>
    </row>
    <row r="16572" spans="1:1" ht="12.75">
      <c r="A16572" s="2" t="s">
        <v>291</v>
      </c>
    </row>
    <row r="16573" spans="1:1" ht="12.75">
      <c r="A16573" s="2" t="s">
        <v>297</v>
      </c>
    </row>
    <row r="16574" spans="1:1" ht="12.75">
      <c r="A16574" s="2" t="s">
        <v>289</v>
      </c>
    </row>
    <row r="16575" spans="1:1" ht="12.75">
      <c r="A16575" s="2" t="s">
        <v>291</v>
      </c>
    </row>
    <row r="16576" spans="1:1" ht="12.75">
      <c r="A16576" s="2" t="s">
        <v>290</v>
      </c>
    </row>
    <row r="16577" spans="1:1" ht="12.75">
      <c r="A16577" s="2" t="s">
        <v>289</v>
      </c>
    </row>
    <row r="16579" spans="1:1" ht="12.75">
      <c r="A16579" s="2" t="s">
        <v>290</v>
      </c>
    </row>
    <row r="16581" spans="1:1" ht="12.75">
      <c r="A16581" s="2" t="s">
        <v>299</v>
      </c>
    </row>
    <row r="16582" spans="1:1" ht="12.75">
      <c r="A16582" s="2" t="s">
        <v>289</v>
      </c>
    </row>
    <row r="16583" spans="1:1" ht="12.75">
      <c r="A16583" s="2" t="s">
        <v>291</v>
      </c>
    </row>
    <row r="16584" spans="1:1" ht="12.75">
      <c r="A16584" s="2" t="s">
        <v>290</v>
      </c>
    </row>
    <row r="16585" spans="1:1" ht="12.75">
      <c r="A16585" s="2" t="s">
        <v>289</v>
      </c>
    </row>
    <row r="16586" spans="1:1" ht="12.75">
      <c r="A16586" s="2" t="s">
        <v>299</v>
      </c>
    </row>
    <row r="16587" spans="1:1" ht="12.75">
      <c r="A16587" s="2" t="s">
        <v>299</v>
      </c>
    </row>
    <row r="16588" spans="1:1" ht="12.75">
      <c r="A16588" s="2" t="s">
        <v>299</v>
      </c>
    </row>
    <row r="16589" spans="1:1" ht="12.75">
      <c r="A16589" s="2" t="s">
        <v>299</v>
      </c>
    </row>
    <row r="16590" spans="1:1" ht="12.75">
      <c r="A16590" s="2" t="s">
        <v>290</v>
      </c>
    </row>
    <row r="16591" spans="1:1" ht="12.75">
      <c r="A16591" s="2" t="s">
        <v>290</v>
      </c>
    </row>
    <row r="16592" spans="1:1" ht="12.75">
      <c r="A16592" s="2" t="s">
        <v>291</v>
      </c>
    </row>
    <row r="16593" spans="1:1" ht="12.75">
      <c r="A16593" s="2" t="s">
        <v>289</v>
      </c>
    </row>
    <row r="16594" spans="1:1" ht="12.75">
      <c r="A16594" s="2" t="s">
        <v>297</v>
      </c>
    </row>
    <row r="16595" spans="1:1" ht="12.75">
      <c r="A16595" s="2" t="s">
        <v>291</v>
      </c>
    </row>
    <row r="16596" spans="1:1" ht="12.75">
      <c r="A16596" s="2" t="s">
        <v>291</v>
      </c>
    </row>
    <row r="16597" spans="1:1" ht="12.75">
      <c r="A16597" s="2" t="s">
        <v>292</v>
      </c>
    </row>
    <row r="16598" spans="1:1" ht="12.75">
      <c r="A16598" s="2" t="s">
        <v>290</v>
      </c>
    </row>
    <row r="16599" spans="1:1" ht="12.75">
      <c r="A16599" s="2" t="s">
        <v>290</v>
      </c>
    </row>
    <row r="16600" spans="1:1" ht="12.75">
      <c r="A16600" s="2" t="s">
        <v>289</v>
      </c>
    </row>
    <row r="16601" spans="1:1" ht="12.75">
      <c r="A16601" s="2" t="s">
        <v>289</v>
      </c>
    </row>
    <row r="16606" spans="1:1" ht="12.75">
      <c r="A16606" s="2" t="s">
        <v>709</v>
      </c>
    </row>
    <row r="16611" spans="1:1" ht="12.75">
      <c r="A16611" s="2" t="s">
        <v>710</v>
      </c>
    </row>
    <row r="16612" spans="1:1" ht="12.75">
      <c r="A16612" s="2" t="s">
        <v>710</v>
      </c>
    </row>
    <row r="16629" spans="1:1" ht="12.75">
      <c r="A16629" s="2" t="s">
        <v>320</v>
      </c>
    </row>
    <row r="16630" spans="1:1" ht="12.75">
      <c r="A16630" s="2" t="s">
        <v>320</v>
      </c>
    </row>
    <row r="16631" spans="1:1" ht="12.75">
      <c r="A16631" s="2" t="s">
        <v>320</v>
      </c>
    </row>
    <row r="16632" spans="1:1" ht="12.75">
      <c r="A16632" s="2" t="s">
        <v>320</v>
      </c>
    </row>
    <row r="16653" spans="1:1" ht="12.75">
      <c r="A16653" s="2" t="s">
        <v>249</v>
      </c>
    </row>
    <row r="16654" spans="1:1" ht="12.75">
      <c r="A16654" s="2" t="s">
        <v>249</v>
      </c>
    </row>
    <row r="16663" spans="1:1" ht="12.75">
      <c r="A16663" s="2" t="s">
        <v>448</v>
      </c>
    </row>
    <row r="16675" spans="1:1" ht="12.75">
      <c r="A16675" s="2" t="s">
        <v>472</v>
      </c>
    </row>
    <row r="16676" spans="1:1" ht="12.75">
      <c r="A16676" s="2" t="s">
        <v>472</v>
      </c>
    </row>
    <row r="16677" spans="1:1" ht="12.75">
      <c r="A16677" s="2" t="s">
        <v>472</v>
      </c>
    </row>
    <row r="16678" spans="1:1" ht="12.75">
      <c r="A16678" s="2" t="s">
        <v>472</v>
      </c>
    </row>
    <row r="16679" spans="1:1" ht="12.75">
      <c r="A16679" s="2" t="s">
        <v>711</v>
      </c>
    </row>
    <row r="16680" spans="1:1" ht="12.75">
      <c r="A16680" s="2" t="s">
        <v>472</v>
      </c>
    </row>
    <row r="16689" spans="1:1" ht="12.75">
      <c r="A16689" s="2" t="s">
        <v>712</v>
      </c>
    </row>
    <row r="16691" spans="1:1" ht="12.75">
      <c r="A16691" s="2" t="s">
        <v>713</v>
      </c>
    </row>
    <row r="16692" spans="1:1" ht="12.75">
      <c r="A16692" s="2" t="s">
        <v>713</v>
      </c>
    </row>
    <row r="16693" spans="1:1" ht="12.75">
      <c r="A16693" s="2" t="s">
        <v>712</v>
      </c>
    </row>
    <row r="16694" spans="1:1" ht="12.75">
      <c r="A16694" s="2" t="s">
        <v>411</v>
      </c>
    </row>
    <row r="16695" spans="1:1" ht="12.75">
      <c r="A16695" s="2" t="s">
        <v>713</v>
      </c>
    </row>
    <row r="16696" spans="1:1" ht="12.75">
      <c r="A16696" s="2" t="s">
        <v>412</v>
      </c>
    </row>
    <row r="16697" spans="1:1" ht="12.75">
      <c r="A16697" s="2" t="s">
        <v>713</v>
      </c>
    </row>
    <row r="16698" spans="1:1" ht="12.75">
      <c r="A16698" s="2" t="s">
        <v>411</v>
      </c>
    </row>
    <row r="16699" spans="1:1" ht="12.75">
      <c r="A16699" s="2" t="s">
        <v>411</v>
      </c>
    </row>
    <row r="16700" spans="1:1" ht="12.75">
      <c r="A16700" s="2" t="s">
        <v>412</v>
      </c>
    </row>
    <row r="16701" spans="1:1" ht="12.75">
      <c r="A16701" s="2" t="s">
        <v>712</v>
      </c>
    </row>
    <row r="16704" spans="1:1" ht="12.75">
      <c r="A16704" s="2" t="s">
        <v>712</v>
      </c>
    </row>
    <row r="16705" spans="1:1" ht="12.75">
      <c r="A16705" s="2" t="s">
        <v>412</v>
      </c>
    </row>
    <row r="16706" spans="1:1" ht="12.75">
      <c r="A16706" s="2" t="s">
        <v>238</v>
      </c>
    </row>
    <row r="16707" spans="1:1" ht="12.75">
      <c r="A16707" s="2" t="s">
        <v>238</v>
      </c>
    </row>
    <row r="16708" spans="1:1" ht="12.75">
      <c r="A16708" s="2" t="s">
        <v>239</v>
      </c>
    </row>
    <row r="16709" spans="1:1" ht="12.75">
      <c r="A16709" s="2" t="s">
        <v>238</v>
      </c>
    </row>
    <row r="16710" spans="1:1" ht="12.75">
      <c r="A16710" s="2" t="s">
        <v>238</v>
      </c>
    </row>
    <row r="16711" spans="1:1" ht="12.75">
      <c r="A16711" s="2" t="s">
        <v>238</v>
      </c>
    </row>
    <row r="16737" spans="1:1" ht="12.75">
      <c r="A16737" s="2" t="s">
        <v>233</v>
      </c>
    </row>
    <row r="16748" spans="1:1" ht="12.75">
      <c r="A16748" s="2" t="s">
        <v>235</v>
      </c>
    </row>
    <row r="16749" spans="1:1" ht="12.75">
      <c r="A16749" s="2" t="s">
        <v>234</v>
      </c>
    </row>
    <row r="16750" spans="1:1" ht="12.75">
      <c r="A16750" s="2" t="s">
        <v>234</v>
      </c>
    </row>
    <row r="16752" spans="1:1" ht="12.75">
      <c r="A16752" s="2" t="s">
        <v>235</v>
      </c>
    </row>
    <row r="16753" spans="1:1" ht="12.75">
      <c r="A16753" s="2" t="s">
        <v>199</v>
      </c>
    </row>
    <row r="16754" spans="1:1" ht="12.75">
      <c r="A16754" s="2" t="s">
        <v>234</v>
      </c>
    </row>
    <row r="16755" spans="1:1" ht="12.75">
      <c r="A16755" s="2" t="s">
        <v>234</v>
      </c>
    </row>
    <row r="16756" spans="1:1" ht="12.75">
      <c r="A16756" s="2" t="s">
        <v>234</v>
      </c>
    </row>
    <row r="16757" spans="1:1" ht="12.75">
      <c r="A16757" s="2" t="s">
        <v>234</v>
      </c>
    </row>
    <row r="16758" spans="1:1" ht="12.75">
      <c r="A16758" s="2" t="s">
        <v>235</v>
      </c>
    </row>
    <row r="16759" spans="1:1" ht="12.75">
      <c r="A16759" s="2" t="s">
        <v>235</v>
      </c>
    </row>
    <row r="16760" spans="1:1" ht="12.75">
      <c r="A16760" s="2" t="s">
        <v>199</v>
      </c>
    </row>
    <row r="16761" spans="1:1" ht="12.75">
      <c r="A16761" s="2" t="s">
        <v>199</v>
      </c>
    </row>
    <row r="16762" spans="1:1" ht="12.75">
      <c r="A16762" s="2" t="s">
        <v>199</v>
      </c>
    </row>
    <row r="16763" spans="1:1" ht="12.75">
      <c r="A16763" s="2" t="s">
        <v>233</v>
      </c>
    </row>
    <row r="16764" spans="1:1" ht="12.75">
      <c r="A16764" s="2" t="s">
        <v>235</v>
      </c>
    </row>
    <row r="16765" spans="1:1" ht="12.75">
      <c r="A16765" s="2" t="s">
        <v>235</v>
      </c>
    </row>
    <row r="16766" spans="1:1" ht="12.75">
      <c r="A16766" s="2" t="s">
        <v>199</v>
      </c>
    </row>
    <row r="16767" spans="1:1" ht="12.75">
      <c r="A16767" s="2" t="s">
        <v>199</v>
      </c>
    </row>
    <row r="16768" spans="1:1" ht="12.75">
      <c r="A16768" s="2" t="s">
        <v>233</v>
      </c>
    </row>
    <row r="16769" spans="1:1" ht="12.75">
      <c r="A16769" s="2" t="s">
        <v>233</v>
      </c>
    </row>
    <row r="16770" spans="1:1" ht="12.75">
      <c r="A16770" s="2" t="s">
        <v>233</v>
      </c>
    </row>
    <row r="16771" spans="1:1" ht="12.75">
      <c r="A16771" s="2" t="s">
        <v>233</v>
      </c>
    </row>
    <row r="16772" spans="1:1" ht="12.75">
      <c r="A16772" s="2" t="s">
        <v>234</v>
      </c>
    </row>
    <row r="16773" spans="1:1" ht="12.75">
      <c r="A16773" s="2" t="s">
        <v>234</v>
      </c>
    </row>
    <row r="16774" spans="1:1" ht="12.75">
      <c r="A16774" s="2" t="s">
        <v>199</v>
      </c>
    </row>
    <row r="16775" spans="1:1" ht="12.75">
      <c r="A16775" s="2" t="s">
        <v>199</v>
      </c>
    </row>
    <row r="16776" spans="1:1" ht="12.75">
      <c r="A16776" s="2" t="s">
        <v>235</v>
      </c>
    </row>
    <row r="16777" spans="1:1" ht="12.75">
      <c r="A16777" s="2" t="s">
        <v>235</v>
      </c>
    </row>
    <row r="16778" spans="1:1" ht="12.75">
      <c r="A16778" s="2" t="s">
        <v>233</v>
      </c>
    </row>
    <row r="16779" spans="1:1" ht="12.75">
      <c r="A16779" s="2" t="s">
        <v>233</v>
      </c>
    </row>
    <row r="16782" spans="1:1" ht="12.75">
      <c r="A16782" s="2" t="s">
        <v>235</v>
      </c>
    </row>
    <row r="16783" spans="1:1" ht="12.75">
      <c r="A16783" s="2" t="s">
        <v>235</v>
      </c>
    </row>
    <row r="16784" spans="1:1" ht="12.75">
      <c r="A16784" s="2" t="s">
        <v>234</v>
      </c>
    </row>
    <row r="16785" spans="1:1" ht="12.75">
      <c r="A16785" s="2" t="s">
        <v>199</v>
      </c>
    </row>
    <row r="16786" spans="1:1" ht="12.75">
      <c r="A16786" s="2" t="s">
        <v>199</v>
      </c>
    </row>
    <row r="16787" spans="1:1" ht="12.75">
      <c r="A16787" s="2" t="s">
        <v>233</v>
      </c>
    </row>
    <row r="16788" spans="1:1" ht="12.75">
      <c r="A16788" s="2" t="s">
        <v>199</v>
      </c>
    </row>
    <row r="16789" spans="1:1" ht="12.75">
      <c r="A16789" s="2" t="s">
        <v>233</v>
      </c>
    </row>
    <row r="16790" spans="1:1" ht="12.75">
      <c r="A16790" s="2" t="s">
        <v>714</v>
      </c>
    </row>
    <row r="16791" spans="1:1" ht="12.75">
      <c r="A16791" s="2" t="s">
        <v>233</v>
      </c>
    </row>
    <row r="16792" spans="1:1" ht="12.75">
      <c r="A16792" s="2" t="s">
        <v>714</v>
      </c>
    </row>
    <row r="16793" spans="1:1" ht="12.75">
      <c r="A16793" s="2" t="s">
        <v>199</v>
      </c>
    </row>
    <row r="16848" spans="1:1" ht="12.75">
      <c r="A16848" s="2" t="s">
        <v>415</v>
      </c>
    </row>
    <row r="16856" spans="1:1" ht="12.75">
      <c r="A16856" s="2" t="s">
        <v>416</v>
      </c>
    </row>
    <row r="16896" spans="1:1" ht="12.75">
      <c r="A16896" s="2" t="s">
        <v>414</v>
      </c>
    </row>
    <row r="16897" spans="1:1" ht="12.75">
      <c r="A16897" s="2" t="s">
        <v>416</v>
      </c>
    </row>
    <row r="16900" spans="1:1" ht="12.75">
      <c r="A16900" s="2" t="s">
        <v>414</v>
      </c>
    </row>
    <row r="16901" spans="1:1" ht="12.75">
      <c r="A16901" s="2" t="s">
        <v>415</v>
      </c>
    </row>
    <row r="16936" spans="1:1" ht="12.75">
      <c r="A16936" s="2" t="s">
        <v>415</v>
      </c>
    </row>
    <row r="16937" spans="1:1" ht="12.75">
      <c r="A16937" s="2" t="s">
        <v>415</v>
      </c>
    </row>
    <row r="16938" spans="1:1" ht="12.75">
      <c r="A16938" s="2" t="s">
        <v>415</v>
      </c>
    </row>
    <row r="16939" spans="1:1" ht="12.75">
      <c r="A16939" s="2" t="s">
        <v>416</v>
      </c>
    </row>
    <row r="16942" spans="1:1" ht="12.75">
      <c r="A16942" s="2" t="s">
        <v>415</v>
      </c>
    </row>
    <row r="16943" spans="1:1" ht="12.75">
      <c r="A16943" s="2" t="s">
        <v>417</v>
      </c>
    </row>
    <row r="16946" spans="1:1" ht="12.75">
      <c r="A16946" s="2" t="s">
        <v>533</v>
      </c>
    </row>
    <row r="16961" spans="1:1" ht="12.75">
      <c r="A16961" s="2" t="s">
        <v>715</v>
      </c>
    </row>
    <row r="16971" spans="1:1" ht="12.75">
      <c r="A16971" s="2" t="s">
        <v>716</v>
      </c>
    </row>
    <row r="16977" spans="1:1" ht="12.75">
      <c r="A16977" s="2" t="s">
        <v>716</v>
      </c>
    </row>
    <row r="16993" spans="1:1" ht="12.75">
      <c r="A16993" s="2" t="s">
        <v>152</v>
      </c>
    </row>
    <row r="16994" spans="1:1" ht="12.75">
      <c r="A16994" s="2" t="s">
        <v>152</v>
      </c>
    </row>
    <row r="16995" spans="1:1" ht="12.75">
      <c r="A16995" s="2" t="s">
        <v>152</v>
      </c>
    </row>
    <row r="17004" spans="1:1" ht="12.75">
      <c r="A17004" s="2" t="s">
        <v>152</v>
      </c>
    </row>
    <row r="17005" spans="1:1" ht="12.75">
      <c r="A17005" s="2" t="s">
        <v>152</v>
      </c>
    </row>
    <row r="17008" spans="1:1" ht="12.75">
      <c r="A17008" s="2" t="s">
        <v>378</v>
      </c>
    </row>
    <row r="17009" spans="1:1" ht="12.75">
      <c r="A17009" s="2" t="s">
        <v>378</v>
      </c>
    </row>
    <row r="17010" spans="1:1" ht="12.75">
      <c r="A17010" s="2" t="s">
        <v>378</v>
      </c>
    </row>
    <row r="17011" spans="1:1" ht="12.75">
      <c r="A17011" s="2" t="s">
        <v>717</v>
      </c>
    </row>
    <row r="17014" spans="1:1" ht="12.75">
      <c r="A17014" s="2" t="s">
        <v>264</v>
      </c>
    </row>
    <row r="17015" spans="1:1" ht="12.75">
      <c r="A17015" s="2" t="s">
        <v>378</v>
      </c>
    </row>
    <row r="17016" spans="1:1" ht="12.75">
      <c r="A17016" s="2" t="s">
        <v>506</v>
      </c>
    </row>
    <row r="17017" spans="1:1" ht="12.75">
      <c r="A17017" s="2" t="s">
        <v>506</v>
      </c>
    </row>
    <row r="17020" spans="1:1" ht="12.75">
      <c r="A17020" s="2" t="s">
        <v>259</v>
      </c>
    </row>
    <row r="17021" spans="1:1" ht="12.75">
      <c r="A17021" s="2" t="s">
        <v>259</v>
      </c>
    </row>
    <row r="17022" spans="1:1" ht="12.75">
      <c r="A17022" s="2" t="s">
        <v>259</v>
      </c>
    </row>
    <row r="17023" spans="1:1" ht="12.75">
      <c r="A17023" s="2" t="s">
        <v>259</v>
      </c>
    </row>
    <row r="17025" spans="1:1" ht="12.75">
      <c r="A17025" s="2" t="s">
        <v>301</v>
      </c>
    </row>
    <row r="17026" spans="1:1" ht="12.75">
      <c r="A17026" s="2" t="s">
        <v>301</v>
      </c>
    </row>
    <row r="17027" spans="1:1" ht="12.75">
      <c r="A17027" s="2" t="s">
        <v>301</v>
      </c>
    </row>
    <row r="17030" spans="1:1" ht="12.75">
      <c r="A17030" s="2" t="s">
        <v>257</v>
      </c>
    </row>
    <row r="17031" spans="1:1" ht="12.75">
      <c r="A17031" s="2" t="s">
        <v>257</v>
      </c>
    </row>
    <row r="17032" spans="1:1" ht="12.75">
      <c r="A17032" s="2" t="s">
        <v>257</v>
      </c>
    </row>
    <row r="17034" spans="1:1" ht="12.75">
      <c r="A17034" s="2" t="s">
        <v>258</v>
      </c>
    </row>
    <row r="17052" spans="1:1" ht="12.75">
      <c r="A17052" s="2" t="s">
        <v>148</v>
      </c>
    </row>
    <row r="17054" spans="1:1" ht="12.75">
      <c r="A17054" s="2" t="s">
        <v>148</v>
      </c>
    </row>
    <row r="17055" spans="1:1" ht="12.75">
      <c r="A17055" s="2" t="s">
        <v>366</v>
      </c>
    </row>
    <row r="17056" spans="1:1" ht="12.75">
      <c r="A17056" s="2" t="s">
        <v>211</v>
      </c>
    </row>
    <row r="17057" spans="1:1" ht="12.75">
      <c r="A17057" s="2" t="s">
        <v>486</v>
      </c>
    </row>
    <row r="17065" spans="1:1" ht="12.75">
      <c r="A17065" s="2" t="s">
        <v>364</v>
      </c>
    </row>
    <row r="17066" spans="1:1" ht="12.75">
      <c r="A17066" s="2" t="s">
        <v>364</v>
      </c>
    </row>
    <row r="17067" spans="1:1" ht="12.75">
      <c r="A17067" s="2" t="s">
        <v>718</v>
      </c>
    </row>
    <row r="17068" spans="1:1" ht="12.75">
      <c r="A17068" s="2" t="s">
        <v>718</v>
      </c>
    </row>
    <row r="17069" spans="1:1" ht="12.75">
      <c r="A17069" s="2" t="s">
        <v>718</v>
      </c>
    </row>
    <row r="17070" spans="1:1" ht="12.75">
      <c r="A17070" s="2" t="s">
        <v>718</v>
      </c>
    </row>
    <row r="17071" spans="1:1" ht="12.75">
      <c r="A17071" s="2" t="s">
        <v>212</v>
      </c>
    </row>
    <row r="17072" spans="1:1" ht="12.75">
      <c r="A17072" s="2" t="s">
        <v>212</v>
      </c>
    </row>
    <row r="17075" spans="1:1" ht="12.75">
      <c r="A17075" s="2" t="s">
        <v>212</v>
      </c>
    </row>
    <row r="17076" spans="1:1" ht="12.75">
      <c r="A17076" s="2" t="s">
        <v>212</v>
      </c>
    </row>
    <row r="17077" spans="1:1" ht="12.75">
      <c r="A17077" s="2" t="s">
        <v>212</v>
      </c>
    </row>
    <row r="17078" spans="1:1" ht="12.75">
      <c r="A17078" s="2" t="s">
        <v>212</v>
      </c>
    </row>
    <row r="17080" spans="1:1" ht="12.75">
      <c r="A17080" s="2" t="s">
        <v>211</v>
      </c>
    </row>
    <row r="17102" spans="1:1" ht="12.75">
      <c r="A17102" s="2" t="s">
        <v>719</v>
      </c>
    </row>
    <row r="17111" spans="1:1" ht="12.75">
      <c r="A17111" s="2" t="s">
        <v>304</v>
      </c>
    </row>
    <row r="17112" spans="1:1" ht="12.75">
      <c r="A17112" s="2" t="s">
        <v>304</v>
      </c>
    </row>
    <row r="17114" spans="1:1" ht="12.75">
      <c r="A17114" s="2" t="s">
        <v>304</v>
      </c>
    </row>
    <row r="17115" spans="1:1" ht="12.75">
      <c r="A17115" s="2" t="s">
        <v>304</v>
      </c>
    </row>
    <row r="17124" spans="1:1" ht="12.75">
      <c r="A17124" s="2" t="s">
        <v>304</v>
      </c>
    </row>
    <row r="17125" spans="1:1" ht="12.75">
      <c r="A17125" s="2" t="s">
        <v>304</v>
      </c>
    </row>
    <row r="17166" spans="1:1" ht="12.75">
      <c r="A17166" s="2" t="s">
        <v>151</v>
      </c>
    </row>
    <row r="17168" spans="1:1" ht="12.75">
      <c r="A17168" s="2" t="s">
        <v>151</v>
      </c>
    </row>
    <row r="17170" spans="1:1" ht="12.75">
      <c r="A17170" s="2" t="s">
        <v>151</v>
      </c>
    </row>
    <row r="17172" spans="1:1" ht="12.75">
      <c r="A17172" s="2" t="s">
        <v>188</v>
      </c>
    </row>
    <row r="17173" spans="1:1" ht="12.75">
      <c r="A17173" s="2" t="s">
        <v>188</v>
      </c>
    </row>
    <row r="17174" spans="1:1" ht="12.75">
      <c r="A17174" s="2" t="s">
        <v>188</v>
      </c>
    </row>
    <row r="17175" spans="1:1" ht="12.75">
      <c r="A17175" s="2" t="s">
        <v>188</v>
      </c>
    </row>
    <row r="17192" spans="1:1" ht="12.75">
      <c r="A17192" s="2" t="s">
        <v>321</v>
      </c>
    </row>
    <row r="17193" spans="1:1" ht="12.75">
      <c r="A17193" s="2" t="s">
        <v>321</v>
      </c>
    </row>
    <row r="17194" spans="1:1" ht="12.75">
      <c r="A17194" s="2" t="s">
        <v>321</v>
      </c>
    </row>
    <row r="17195" spans="1:1" ht="12.75">
      <c r="A17195" s="2" t="s">
        <v>321</v>
      </c>
    </row>
    <row r="17196" spans="1:1" ht="12.75">
      <c r="A17196" s="2" t="s">
        <v>153</v>
      </c>
    </row>
    <row r="17198" spans="1:1" ht="12.75">
      <c r="A17198" s="2" t="s">
        <v>153</v>
      </c>
    </row>
    <row r="17202" spans="1:1" ht="12.75">
      <c r="A17202" s="2" t="s">
        <v>566</v>
      </c>
    </row>
    <row r="17203" spans="1:1" ht="12.75">
      <c r="A17203" s="2" t="s">
        <v>566</v>
      </c>
    </row>
    <row r="17205" spans="1:1" ht="12.75">
      <c r="A17205" s="2" t="s">
        <v>720</v>
      </c>
    </row>
    <row r="17207" spans="1:1" ht="12.75">
      <c r="A17207" s="2" t="s">
        <v>720</v>
      </c>
    </row>
    <row r="17208" spans="1:1" ht="12.75">
      <c r="A17208" s="2" t="s">
        <v>566</v>
      </c>
    </row>
    <row r="17209" spans="1:1" ht="12.75">
      <c r="A17209" s="2" t="s">
        <v>566</v>
      </c>
    </row>
    <row r="17211" spans="1:1" ht="12.75">
      <c r="A17211" s="2" t="s">
        <v>566</v>
      </c>
    </row>
    <row r="17213" spans="1:1" ht="12.75">
      <c r="A17213" s="2" t="s">
        <v>566</v>
      </c>
    </row>
    <row r="17215" spans="1:1" ht="12.75">
      <c r="A17215" s="2" t="s">
        <v>566</v>
      </c>
    </row>
    <row r="17216" spans="1:1" ht="12.75">
      <c r="A17216" s="2" t="s">
        <v>720</v>
      </c>
    </row>
    <row r="17217" spans="1:1" ht="12.75">
      <c r="A17217" s="2" t="s">
        <v>720</v>
      </c>
    </row>
    <row r="17218" spans="1:1" ht="12.75">
      <c r="A17218" s="2" t="s">
        <v>720</v>
      </c>
    </row>
    <row r="17219" spans="1:1" ht="12.75">
      <c r="A17219" s="2" t="s">
        <v>720</v>
      </c>
    </row>
    <row r="17220" spans="1:1" ht="12.75">
      <c r="A17220" s="2" t="s">
        <v>566</v>
      </c>
    </row>
    <row r="17222" spans="1:1" ht="12.75">
      <c r="A17222" s="2" t="s">
        <v>566</v>
      </c>
    </row>
    <row r="17223" spans="1:1" ht="12.75">
      <c r="A17223" s="2" t="s">
        <v>566</v>
      </c>
    </row>
    <row r="17224" spans="1:1" ht="12.75">
      <c r="A17224" s="2" t="s">
        <v>566</v>
      </c>
    </row>
    <row r="17225" spans="1:1" ht="12.75">
      <c r="A17225" s="2" t="s">
        <v>566</v>
      </c>
    </row>
    <row r="17226" spans="1:1" ht="12.75">
      <c r="A17226" s="2" t="s">
        <v>203</v>
      </c>
    </row>
    <row r="17227" spans="1:1" ht="12.75">
      <c r="A17227" s="2" t="s">
        <v>203</v>
      </c>
    </row>
    <row r="17228" spans="1:1" ht="12.75">
      <c r="A17228" s="2" t="s">
        <v>203</v>
      </c>
    </row>
    <row r="17229" spans="1:1" ht="12.75">
      <c r="A17229" s="2" t="s">
        <v>203</v>
      </c>
    </row>
    <row r="17232" spans="1:1" ht="12.75">
      <c r="A17232" s="2" t="s">
        <v>200</v>
      </c>
    </row>
    <row r="17233" spans="1:1" ht="12.75">
      <c r="A17233" s="2" t="s">
        <v>200</v>
      </c>
    </row>
    <row r="17234" spans="1:1" ht="12.75">
      <c r="A17234" s="2" t="s">
        <v>200</v>
      </c>
    </row>
    <row r="17235" spans="1:1" ht="12.75">
      <c r="A17235" s="2" t="s">
        <v>200</v>
      </c>
    </row>
    <row r="17236" spans="1:1" ht="12.75">
      <c r="A17236" s="2" t="s">
        <v>200</v>
      </c>
    </row>
    <row r="17237" spans="1:1" ht="12.75">
      <c r="A17237" s="2" t="s">
        <v>200</v>
      </c>
    </row>
    <row r="17239" spans="1:1" ht="12.75">
      <c r="A17239" s="2" t="s">
        <v>200</v>
      </c>
    </row>
    <row r="17241" spans="1:1" ht="12.75">
      <c r="A17241" s="2" t="s">
        <v>200</v>
      </c>
    </row>
    <row r="17248" spans="1:1" ht="12.75">
      <c r="A17248" s="2" t="s">
        <v>201</v>
      </c>
    </row>
    <row r="17249" spans="1:1" ht="12.75">
      <c r="A17249" s="2" t="s">
        <v>201</v>
      </c>
    </row>
    <row r="17254" spans="1:1" ht="12.75">
      <c r="A17254" s="2" t="s">
        <v>206</v>
      </c>
    </row>
    <row r="17255" spans="1:1" ht="12.75">
      <c r="A17255" s="2" t="s">
        <v>206</v>
      </c>
    </row>
    <row r="17256" spans="1:1" ht="12.75">
      <c r="A17256" s="2" t="s">
        <v>206</v>
      </c>
    </row>
    <row r="17257" spans="1:1" ht="12.75">
      <c r="A17257" s="2" t="s">
        <v>206</v>
      </c>
    </row>
    <row r="17276" spans="1:1" ht="12.75">
      <c r="A17276" s="2" t="s">
        <v>203</v>
      </c>
    </row>
    <row r="17278" spans="1:1" ht="12.75">
      <c r="A17278" s="2" t="s">
        <v>203</v>
      </c>
    </row>
    <row r="17280" spans="1:1" ht="12.75">
      <c r="A17280" s="2" t="s">
        <v>203</v>
      </c>
    </row>
    <row r="17282" spans="1:1" ht="12.75">
      <c r="A17282" s="2" t="s">
        <v>203</v>
      </c>
    </row>
    <row r="17284" spans="1:1" ht="12.75">
      <c r="A17284" s="2" t="s">
        <v>203</v>
      </c>
    </row>
    <row r="17290" spans="1:1" ht="12.75">
      <c r="A17290" s="2" t="s">
        <v>721</v>
      </c>
    </row>
    <row r="17291" spans="1:1" ht="12.75">
      <c r="A17291" s="2" t="s">
        <v>721</v>
      </c>
    </row>
    <row r="17300" spans="1:1" ht="12.75">
      <c r="A17300" s="2" t="s">
        <v>722</v>
      </c>
    </row>
    <row r="17302" spans="1:1" ht="12.75">
      <c r="A17302" s="2" t="s">
        <v>406</v>
      </c>
    </row>
    <row r="17321" spans="1:1" ht="12.75">
      <c r="A17321" s="2" t="s">
        <v>723</v>
      </c>
    </row>
    <row r="17322" spans="1:1" ht="12.75">
      <c r="A17322" s="2" t="s">
        <v>724</v>
      </c>
    </row>
    <row r="17324" spans="1:1" ht="12.75">
      <c r="A17324" s="2" t="s">
        <v>268</v>
      </c>
    </row>
    <row r="17326" spans="1:1" ht="12.75">
      <c r="A17326" s="2" t="s">
        <v>269</v>
      </c>
    </row>
    <row r="17327" spans="1:1" ht="12.75">
      <c r="A17327" s="2" t="s">
        <v>272</v>
      </c>
    </row>
    <row r="17328" spans="1:1" ht="12.75">
      <c r="A17328" s="2" t="s">
        <v>269</v>
      </c>
    </row>
    <row r="17330" spans="1:1" ht="12.75">
      <c r="A17330" s="2" t="s">
        <v>272</v>
      </c>
    </row>
    <row r="17331" spans="1:1" ht="12.75">
      <c r="A17331" s="2" t="s">
        <v>269</v>
      </c>
    </row>
    <row r="17332" spans="1:1" ht="12.75">
      <c r="A17332" s="2" t="s">
        <v>272</v>
      </c>
    </row>
    <row r="17333" spans="1:1" ht="12.75">
      <c r="A17333" s="2" t="s">
        <v>270</v>
      </c>
    </row>
    <row r="17334" spans="1:1" ht="12.75">
      <c r="A17334" s="2" t="s">
        <v>273</v>
      </c>
    </row>
    <row r="17336" spans="1:1" ht="12.75">
      <c r="A17336" s="2" t="s">
        <v>273</v>
      </c>
    </row>
    <row r="17337" spans="1:1" ht="12.75">
      <c r="A17337" s="2" t="s">
        <v>272</v>
      </c>
    </row>
    <row r="17338" spans="1:1" ht="12.75">
      <c r="A17338" s="2" t="s">
        <v>268</v>
      </c>
    </row>
    <row r="17342" spans="1:1" ht="12.75">
      <c r="A17342" s="2" t="s">
        <v>271</v>
      </c>
    </row>
    <row r="17343" spans="1:1" ht="12.75">
      <c r="A17343" s="2" t="s">
        <v>269</v>
      </c>
    </row>
    <row r="17344" spans="1:1" ht="12.75">
      <c r="A17344" s="2" t="s">
        <v>273</v>
      </c>
    </row>
    <row r="17345" spans="1:1" ht="12.75">
      <c r="A17345" s="2" t="s">
        <v>271</v>
      </c>
    </row>
    <row r="17346" spans="1:1" ht="12.75">
      <c r="A17346" s="2" t="s">
        <v>273</v>
      </c>
    </row>
    <row r="17347" spans="1:1" ht="12.75">
      <c r="A17347" s="2" t="s">
        <v>270</v>
      </c>
    </row>
    <row r="17348" spans="1:1" ht="12.75">
      <c r="A17348" s="2" t="s">
        <v>268</v>
      </c>
    </row>
    <row r="17383" spans="1:1" ht="12.75">
      <c r="A17383" s="2" t="s">
        <v>228</v>
      </c>
    </row>
    <row r="17384" spans="1:1" ht="12.75">
      <c r="A17384" s="2" t="s">
        <v>228</v>
      </c>
    </row>
    <row r="17403" spans="1:1" ht="12.75">
      <c r="A17403" s="2" t="s">
        <v>203</v>
      </c>
    </row>
    <row r="17405" spans="1:1" ht="12.75">
      <c r="A17405" s="2" t="s">
        <v>725</v>
      </c>
    </row>
    <row r="17409" spans="1:1" ht="12.75">
      <c r="A17409" s="2" t="s">
        <v>726</v>
      </c>
    </row>
    <row r="17410" spans="1:1" ht="12.75">
      <c r="A17410" s="2" t="s">
        <v>315</v>
      </c>
    </row>
    <row r="17411" spans="1:1" ht="12.75">
      <c r="A17411" s="2" t="s">
        <v>315</v>
      </c>
    </row>
    <row r="17413" spans="1:1" ht="12.75">
      <c r="A17413" s="2" t="s">
        <v>376</v>
      </c>
    </row>
    <row r="17414" spans="1:1" ht="12.75">
      <c r="A17414" s="2" t="s">
        <v>724</v>
      </c>
    </row>
    <row r="17415" spans="1:1" ht="12.75">
      <c r="A17415" s="2" t="s">
        <v>707</v>
      </c>
    </row>
    <row r="17416" spans="1:1" ht="12.75">
      <c r="A17416" s="2" t="s">
        <v>706</v>
      </c>
    </row>
    <row r="17417" spans="1:1" ht="12.75">
      <c r="A17417" s="2" t="s">
        <v>485</v>
      </c>
    </row>
    <row r="17418" spans="1:1" ht="12.75">
      <c r="A17418" s="2" t="s">
        <v>397</v>
      </c>
    </row>
    <row r="17421" spans="1:1" ht="12.75">
      <c r="A17421" s="2" t="s">
        <v>397</v>
      </c>
    </row>
    <row r="17482" spans="1:1" ht="12.75">
      <c r="A17482" s="2" t="s">
        <v>727</v>
      </c>
    </row>
    <row r="17483" spans="1:1" ht="12.75">
      <c r="A17483" s="2" t="s">
        <v>727</v>
      </c>
    </row>
    <row r="17484" spans="1:1" ht="12.75">
      <c r="A17484" s="2" t="s">
        <v>727</v>
      </c>
    </row>
    <row r="17485" spans="1:1" ht="12.75">
      <c r="A17485" s="2" t="s">
        <v>727</v>
      </c>
    </row>
    <row r="17517" spans="1:1" ht="12.75">
      <c r="A17517" s="2" t="s">
        <v>214</v>
      </c>
    </row>
    <row r="17518" spans="1:1" ht="12.75">
      <c r="A17518" s="2" t="s">
        <v>155</v>
      </c>
    </row>
    <row r="17519" spans="1:1" ht="12.75">
      <c r="A17519" s="2" t="s">
        <v>155</v>
      </c>
    </row>
    <row r="17520" spans="1:1" ht="12.75">
      <c r="A17520" s="2" t="s">
        <v>451</v>
      </c>
    </row>
    <row r="17521" spans="1:1" ht="12.75">
      <c r="A17521" s="2" t="s">
        <v>151</v>
      </c>
    </row>
    <row r="17522" spans="1:1" ht="12.75">
      <c r="A17522" s="2" t="s">
        <v>447</v>
      </c>
    </row>
    <row r="17523" spans="1:1" ht="12.75">
      <c r="A17523" s="2" t="s">
        <v>728</v>
      </c>
    </row>
    <row r="17524" spans="1:1" ht="12.75">
      <c r="A17524" s="2" t="s">
        <v>446</v>
      </c>
    </row>
    <row r="17525" spans="1:1" ht="12.75">
      <c r="A17525" s="2" t="s">
        <v>197</v>
      </c>
    </row>
    <row r="17526" spans="1:1" ht="12.75">
      <c r="A17526" s="2" t="s">
        <v>152</v>
      </c>
    </row>
    <row r="17527" spans="1:1" ht="12.75">
      <c r="A17527" s="2" t="s">
        <v>152</v>
      </c>
    </row>
    <row r="17528" spans="1:1" ht="12.75">
      <c r="A17528" s="2" t="s">
        <v>152</v>
      </c>
    </row>
    <row r="17529" spans="1:1" ht="12.75">
      <c r="A17529" s="2" t="s">
        <v>152</v>
      </c>
    </row>
    <row r="17530" spans="1:1" ht="12.75">
      <c r="A17530" s="2" t="s">
        <v>152</v>
      </c>
    </row>
    <row r="17533" spans="1:1" ht="12.75">
      <c r="A17533" s="2" t="s">
        <v>152</v>
      </c>
    </row>
    <row r="17534" spans="1:1" ht="12.75">
      <c r="A17534" s="2" t="s">
        <v>152</v>
      </c>
    </row>
    <row r="17535" spans="1:1" ht="12.75">
      <c r="A17535" s="2" t="s">
        <v>729</v>
      </c>
    </row>
    <row r="17536" spans="1:1" ht="12.75">
      <c r="A17536" s="2" t="s">
        <v>730</v>
      </c>
    </row>
    <row r="17537" spans="1:1" ht="12.75">
      <c r="A17537" s="2" t="s">
        <v>731</v>
      </c>
    </row>
    <row r="17538" spans="1:1" ht="12.75">
      <c r="A17538" s="2" t="s">
        <v>732</v>
      </c>
    </row>
    <row r="17539" spans="1:1" ht="12.75">
      <c r="A17539" s="2" t="s">
        <v>181</v>
      </c>
    </row>
    <row r="17540" spans="1:1" ht="12.75">
      <c r="A17540" s="2" t="s">
        <v>161</v>
      </c>
    </row>
    <row r="17651" spans="1:1" ht="12.75">
      <c r="A17651" s="2" t="s">
        <v>166</v>
      </c>
    </row>
    <row r="17652" spans="1:1" ht="12.75">
      <c r="A17652" s="2" t="s">
        <v>172</v>
      </c>
    </row>
    <row r="17653" spans="1:1" ht="12.75">
      <c r="A17653" s="2" t="s">
        <v>166</v>
      </c>
    </row>
    <row r="17654" spans="1:1" ht="12.75">
      <c r="A17654" s="2" t="s">
        <v>170</v>
      </c>
    </row>
    <row r="17655" spans="1:1" ht="12.75">
      <c r="A17655" s="2" t="s">
        <v>225</v>
      </c>
    </row>
    <row r="17656" spans="1:1" ht="12.75">
      <c r="A17656" s="2" t="s">
        <v>165</v>
      </c>
    </row>
    <row r="17657" spans="1:1" ht="12.75">
      <c r="A17657" s="2" t="s">
        <v>172</v>
      </c>
    </row>
    <row r="17658" spans="1:1" ht="12.75">
      <c r="A17658" s="2" t="s">
        <v>225</v>
      </c>
    </row>
    <row r="17659" spans="1:1" ht="12.75">
      <c r="A17659" s="2" t="s">
        <v>165</v>
      </c>
    </row>
    <row r="17660" spans="1:1" ht="12.75">
      <c r="A17660" s="2" t="s">
        <v>176</v>
      </c>
    </row>
    <row r="17661" spans="1:1" ht="12.75">
      <c r="A17661" s="2" t="s">
        <v>165</v>
      </c>
    </row>
    <row r="17662" spans="1:1" ht="12.75">
      <c r="A17662" s="2" t="s">
        <v>176</v>
      </c>
    </row>
    <row r="17663" spans="1:1" ht="12.75">
      <c r="A17663" s="2" t="s">
        <v>733</v>
      </c>
    </row>
    <row r="17664" spans="1:1" ht="12.75">
      <c r="A17664" s="2" t="s">
        <v>168</v>
      </c>
    </row>
    <row r="17665" spans="1:1" ht="12.75">
      <c r="A17665" s="2" t="s">
        <v>179</v>
      </c>
    </row>
    <row r="17666" spans="1:1" ht="12.75">
      <c r="A17666" s="2" t="s">
        <v>168</v>
      </c>
    </row>
    <row r="17667" spans="1:1" ht="12.75">
      <c r="A17667" s="2" t="s">
        <v>176</v>
      </c>
    </row>
    <row r="17668" spans="1:1" ht="12.75">
      <c r="A17668" s="2" t="s">
        <v>167</v>
      </c>
    </row>
    <row r="17669" spans="1:1" ht="12.75">
      <c r="A17669" s="2" t="s">
        <v>194</v>
      </c>
    </row>
    <row r="17670" spans="1:1" ht="12.75">
      <c r="A17670" s="2" t="s">
        <v>160</v>
      </c>
    </row>
    <row r="17671" spans="1:1" ht="12.75">
      <c r="A17671" s="2" t="s">
        <v>189</v>
      </c>
    </row>
    <row r="17672" spans="1:1" ht="12.75">
      <c r="A17672" s="2" t="s">
        <v>160</v>
      </c>
    </row>
    <row r="17673" spans="1:1" ht="12.75">
      <c r="A17673" s="2" t="s">
        <v>734</v>
      </c>
    </row>
    <row r="17674" spans="1:1" ht="12.75">
      <c r="A17674" s="2" t="s">
        <v>160</v>
      </c>
    </row>
    <row r="17675" spans="1:1" ht="12.75">
      <c r="A17675" s="2" t="s">
        <v>734</v>
      </c>
    </row>
    <row r="17676" spans="1:1" ht="12.75">
      <c r="A17676" s="2" t="s">
        <v>189</v>
      </c>
    </row>
    <row r="17677" spans="1:1" ht="12.75">
      <c r="A17677" s="2" t="s">
        <v>166</v>
      </c>
    </row>
    <row r="17678" spans="1:1" ht="12.75">
      <c r="A17678" s="2" t="s">
        <v>165</v>
      </c>
    </row>
    <row r="17679" spans="1:1" ht="12.75">
      <c r="A17679" s="2" t="s">
        <v>166</v>
      </c>
    </row>
    <row r="17680" spans="1:1" ht="12.75">
      <c r="A17680" s="2" t="s">
        <v>170</v>
      </c>
    </row>
    <row r="17681" spans="1:1" ht="12.75">
      <c r="A17681" s="2" t="s">
        <v>166</v>
      </c>
    </row>
    <row r="17682" spans="1:1" ht="12.75">
      <c r="A17682" s="2" t="s">
        <v>161</v>
      </c>
    </row>
    <row r="17683" spans="1:1" ht="12.75">
      <c r="A17683" s="2" t="s">
        <v>166</v>
      </c>
    </row>
    <row r="17684" spans="1:1" ht="12.75">
      <c r="A17684" s="2" t="s">
        <v>168</v>
      </c>
    </row>
    <row r="17685" spans="1:1" ht="12.75">
      <c r="A17685" s="2" t="s">
        <v>167</v>
      </c>
    </row>
    <row r="17686" spans="1:1" ht="12.75">
      <c r="A17686" s="2" t="s">
        <v>176</v>
      </c>
    </row>
    <row r="17687" spans="1:1" ht="12.75">
      <c r="A17687" s="2" t="s">
        <v>167</v>
      </c>
    </row>
    <row r="17688" spans="1:1" ht="12.75">
      <c r="A17688" s="2" t="s">
        <v>176</v>
      </c>
    </row>
    <row r="17689" spans="1:1" ht="12.75">
      <c r="A17689" s="2" t="s">
        <v>165</v>
      </c>
    </row>
    <row r="17690" spans="1:1" ht="12.75">
      <c r="A17690" s="2" t="s">
        <v>176</v>
      </c>
    </row>
    <row r="17691" spans="1:1" ht="12.75">
      <c r="A17691" s="2" t="s">
        <v>165</v>
      </c>
    </row>
    <row r="17692" spans="1:1" ht="12.75">
      <c r="A17692" s="2" t="s">
        <v>167</v>
      </c>
    </row>
    <row r="17693" spans="1:1" ht="12.75">
      <c r="A17693" s="2" t="s">
        <v>172</v>
      </c>
    </row>
    <row r="17694" spans="1:1" ht="12.75">
      <c r="A17694" s="2" t="s">
        <v>183</v>
      </c>
    </row>
    <row r="17695" spans="1:1" ht="12.75">
      <c r="A17695" s="2" t="s">
        <v>172</v>
      </c>
    </row>
    <row r="17696" spans="1:1" ht="12.75">
      <c r="A17696" s="2" t="s">
        <v>172</v>
      </c>
    </row>
    <row r="17697" spans="1:1" ht="12.75">
      <c r="A17697" s="2" t="s">
        <v>182</v>
      </c>
    </row>
    <row r="17698" spans="1:1" ht="12.75">
      <c r="A17698" s="2" t="s">
        <v>164</v>
      </c>
    </row>
    <row r="17699" spans="1:1" ht="12.75">
      <c r="A17699" s="2" t="s">
        <v>170</v>
      </c>
    </row>
    <row r="17700" spans="1:1" ht="12.75">
      <c r="A17700" s="2" t="s">
        <v>182</v>
      </c>
    </row>
    <row r="17701" spans="1:1" ht="12.75">
      <c r="A17701" s="2" t="s">
        <v>183</v>
      </c>
    </row>
    <row r="17702" spans="1:1" ht="12.75">
      <c r="A17702" s="2" t="s">
        <v>182</v>
      </c>
    </row>
    <row r="17703" spans="1:1" ht="12.75">
      <c r="A17703" s="2" t="s">
        <v>164</v>
      </c>
    </row>
    <row r="17704" spans="1:1" ht="12.75">
      <c r="A17704" s="2" t="s">
        <v>179</v>
      </c>
    </row>
    <row r="17705" spans="1:1" ht="12.75">
      <c r="A17705" s="2" t="s">
        <v>164</v>
      </c>
    </row>
    <row r="17706" spans="1:1" ht="12.75">
      <c r="A17706" s="2" t="s">
        <v>179</v>
      </c>
    </row>
    <row r="17707" spans="1:1" ht="12.75">
      <c r="A17707" s="2" t="s">
        <v>162</v>
      </c>
    </row>
    <row r="17708" spans="1:1" ht="12.75">
      <c r="A17708" s="2" t="s">
        <v>163</v>
      </c>
    </row>
    <row r="17709" spans="1:1" ht="12.75">
      <c r="A17709" s="2" t="s">
        <v>162</v>
      </c>
    </row>
    <row r="17710" spans="1:1" ht="12.75">
      <c r="A17710" s="2" t="s">
        <v>163</v>
      </c>
    </row>
    <row r="17711" spans="1:1" ht="12.75">
      <c r="A17711" s="2" t="s">
        <v>196</v>
      </c>
    </row>
    <row r="17712" spans="1:1" ht="12.75">
      <c r="A17712" s="2" t="s">
        <v>162</v>
      </c>
    </row>
    <row r="17713" spans="1:1" ht="12.75">
      <c r="A17713" s="2" t="s">
        <v>170</v>
      </c>
    </row>
    <row r="17714" spans="1:1" ht="12.75">
      <c r="A17714" s="2" t="s">
        <v>194</v>
      </c>
    </row>
    <row r="17715" spans="1:1" ht="12.75">
      <c r="A17715" s="2" t="s">
        <v>175</v>
      </c>
    </row>
    <row r="17716" spans="1:1" ht="12.75">
      <c r="A17716" s="2" t="s">
        <v>194</v>
      </c>
    </row>
    <row r="17717" spans="1:1" ht="12.75">
      <c r="A17717" s="2" t="s">
        <v>163</v>
      </c>
    </row>
    <row r="17718" spans="1:1" ht="12.75">
      <c r="A17718" s="2" t="s">
        <v>175</v>
      </c>
    </row>
    <row r="17719" spans="1:1" ht="12.75">
      <c r="A17719" s="2" t="s">
        <v>173</v>
      </c>
    </row>
    <row r="17720" spans="1:1" ht="12.75">
      <c r="A17720" s="2" t="s">
        <v>173</v>
      </c>
    </row>
    <row r="17721" spans="1:1" ht="12.75">
      <c r="A17721" s="2" t="s">
        <v>161</v>
      </c>
    </row>
    <row r="17722" spans="1:1" ht="12.75">
      <c r="A17722" s="2" t="s">
        <v>173</v>
      </c>
    </row>
    <row r="17724" spans="1:1" ht="12.75">
      <c r="A17724" s="2" t="s">
        <v>161</v>
      </c>
    </row>
    <row r="17726" spans="1:1" ht="12.75">
      <c r="A17726" s="2" t="s">
        <v>191</v>
      </c>
    </row>
    <row r="17727" spans="1:1" ht="12.75">
      <c r="A17727" s="2" t="s">
        <v>225</v>
      </c>
    </row>
    <row r="17728" spans="1:1" ht="12.75">
      <c r="A17728" s="2" t="s">
        <v>191</v>
      </c>
    </row>
    <row r="17729" spans="1:1" ht="12.75">
      <c r="A17729" s="2" t="s">
        <v>225</v>
      </c>
    </row>
    <row r="17730" spans="1:1" ht="12.75">
      <c r="A17730" s="2" t="s">
        <v>191</v>
      </c>
    </row>
    <row r="17731" spans="1:1" ht="12.75">
      <c r="A17731" s="2" t="s">
        <v>171</v>
      </c>
    </row>
    <row r="17732" spans="1:1" ht="12.75">
      <c r="A17732" s="2" t="s">
        <v>193</v>
      </c>
    </row>
    <row r="17733" spans="1:1" ht="12.75">
      <c r="A17733" s="2" t="s">
        <v>170</v>
      </c>
    </row>
    <row r="17734" spans="1:1" ht="12.75">
      <c r="A17734" s="2" t="s">
        <v>175</v>
      </c>
    </row>
    <row r="17735" spans="1:1" ht="12.75">
      <c r="A17735" s="2" t="s">
        <v>224</v>
      </c>
    </row>
    <row r="17736" spans="1:1" ht="12.75">
      <c r="A17736" s="2" t="s">
        <v>189</v>
      </c>
    </row>
    <row r="17737" spans="1:1" ht="12.75">
      <c r="A17737" s="2" t="s">
        <v>224</v>
      </c>
    </row>
    <row r="17738" spans="1:1" ht="12.75">
      <c r="A17738" s="2" t="s">
        <v>735</v>
      </c>
    </row>
    <row r="17739" spans="1:1" ht="12.75">
      <c r="A17739" s="2" t="s">
        <v>193</v>
      </c>
    </row>
    <row r="17740" spans="1:1" ht="12.75">
      <c r="A17740" s="2" t="s">
        <v>734</v>
      </c>
    </row>
    <row r="17741" spans="1:1" ht="12.75">
      <c r="A17741" s="2" t="s">
        <v>225</v>
      </c>
    </row>
    <row r="17742" spans="1:1" ht="12.75">
      <c r="A17742" s="2" t="s">
        <v>168</v>
      </c>
    </row>
    <row r="17743" spans="1:1" ht="12.75">
      <c r="A17743" s="2" t="s">
        <v>225</v>
      </c>
    </row>
    <row r="17744" spans="1:1" ht="12.75">
      <c r="A17744" s="2" t="s">
        <v>225</v>
      </c>
    </row>
    <row r="17745" spans="1:1" ht="12.75">
      <c r="A17745" s="2" t="s">
        <v>168</v>
      </c>
    </row>
    <row r="17746" spans="1:1" ht="12.75">
      <c r="A17746" s="2" t="s">
        <v>184</v>
      </c>
    </row>
    <row r="17748" spans="1:1" ht="12.75">
      <c r="A17748" s="2" t="s">
        <v>184</v>
      </c>
    </row>
    <row r="17749" spans="1:1" ht="12.75">
      <c r="A17749" s="2" t="s">
        <v>173</v>
      </c>
    </row>
    <row r="17750" spans="1:1" ht="12.75">
      <c r="A17750" s="2" t="s">
        <v>173</v>
      </c>
    </row>
    <row r="17751" spans="1:1" ht="12.75">
      <c r="A17751" s="2" t="s">
        <v>170</v>
      </c>
    </row>
    <row r="17752" spans="1:1" ht="12.75">
      <c r="A17752" s="2" t="s">
        <v>173</v>
      </c>
    </row>
    <row r="17753" spans="1:1" ht="12.75">
      <c r="A17753" s="2" t="s">
        <v>175</v>
      </c>
    </row>
    <row r="17754" spans="1:1" ht="12.75">
      <c r="A17754" s="2" t="s">
        <v>163</v>
      </c>
    </row>
    <row r="17755" spans="1:1" ht="12.75">
      <c r="A17755" s="2" t="s">
        <v>185</v>
      </c>
    </row>
    <row r="17756" spans="1:1" ht="12.75">
      <c r="A17756" s="2" t="s">
        <v>163</v>
      </c>
    </row>
    <row r="17757" spans="1:1" ht="12.75">
      <c r="A17757" s="2" t="s">
        <v>185</v>
      </c>
    </row>
    <row r="17758" spans="1:1" ht="12.75">
      <c r="A17758" s="2" t="s">
        <v>175</v>
      </c>
    </row>
    <row r="17759" spans="1:1" ht="12.75">
      <c r="A17759" s="2" t="s">
        <v>185</v>
      </c>
    </row>
    <row r="17760" spans="1:1" ht="12.75">
      <c r="A17760" s="2" t="s">
        <v>175</v>
      </c>
    </row>
    <row r="17761" spans="1:1" ht="12.75">
      <c r="A17761" s="2" t="s">
        <v>162</v>
      </c>
    </row>
    <row r="17762" spans="1:1" ht="12.75">
      <c r="A17762" s="2" t="s">
        <v>179</v>
      </c>
    </row>
    <row r="17763" spans="1:1" ht="12.75">
      <c r="A17763" s="2" t="s">
        <v>162</v>
      </c>
    </row>
    <row r="17764" spans="1:1" ht="12.75">
      <c r="A17764" s="2" t="s">
        <v>172</v>
      </c>
    </row>
    <row r="17765" spans="1:1" ht="12.75">
      <c r="A17765" s="2" t="s">
        <v>163</v>
      </c>
    </row>
    <row r="17766" spans="1:1" ht="12.75">
      <c r="A17766" s="2" t="s">
        <v>162</v>
      </c>
    </row>
    <row r="17767" spans="1:1" ht="12.75">
      <c r="A17767" s="2" t="s">
        <v>736</v>
      </c>
    </row>
    <row r="17768" spans="1:1" ht="12.75">
      <c r="A17768" s="2" t="s">
        <v>177</v>
      </c>
    </row>
    <row r="17769" spans="1:1" ht="12.75">
      <c r="A17769" s="2" t="s">
        <v>179</v>
      </c>
    </row>
    <row r="17771" spans="1:1" ht="12.75">
      <c r="A17771" s="2" t="s">
        <v>182</v>
      </c>
    </row>
    <row r="17772" spans="1:1" ht="12.75">
      <c r="A17772" s="2" t="s">
        <v>183</v>
      </c>
    </row>
    <row r="17773" spans="1:1" ht="12.75">
      <c r="A17773" s="2" t="s">
        <v>182</v>
      </c>
    </row>
    <row r="17774" spans="1:1" ht="12.75">
      <c r="A17774" s="2" t="s">
        <v>182</v>
      </c>
    </row>
    <row r="17775" spans="1:1" ht="12.75">
      <c r="A17775" s="2" t="s">
        <v>185</v>
      </c>
    </row>
    <row r="17776" spans="1:1" ht="12.75">
      <c r="A17776" s="2" t="s">
        <v>165</v>
      </c>
    </row>
    <row r="17777" spans="1:1" ht="12.75">
      <c r="A17777" s="2" t="s">
        <v>183</v>
      </c>
    </row>
    <row r="17778" spans="1:1" ht="12.75">
      <c r="A17778" s="2" t="s">
        <v>165</v>
      </c>
    </row>
    <row r="17779" spans="1:1" ht="12.75">
      <c r="A17779" s="2" t="s">
        <v>189</v>
      </c>
    </row>
    <row r="17780" spans="1:1" ht="12.75">
      <c r="A17780" s="2" t="s">
        <v>735</v>
      </c>
    </row>
    <row r="17781" spans="1:1" ht="12.75">
      <c r="A17781" s="2" t="s">
        <v>193</v>
      </c>
    </row>
    <row r="17782" spans="1:1" ht="12.75">
      <c r="A17782" s="2" t="s">
        <v>734</v>
      </c>
    </row>
    <row r="17783" spans="1:1" ht="12.75">
      <c r="A17783" s="2" t="s">
        <v>196</v>
      </c>
    </row>
    <row r="17784" spans="1:1" ht="12.75">
      <c r="A17784" s="2" t="s">
        <v>161</v>
      </c>
    </row>
    <row r="17785" spans="1:1" ht="12.75">
      <c r="A17785" s="2" t="s">
        <v>167</v>
      </c>
    </row>
    <row r="17786" spans="1:1" ht="12.75">
      <c r="A17786" s="2" t="s">
        <v>184</v>
      </c>
    </row>
    <row r="17787" spans="1:1" ht="12.75">
      <c r="A17787" s="2" t="s">
        <v>167</v>
      </c>
    </row>
    <row r="17788" spans="1:1" ht="12.75">
      <c r="A17788" s="2" t="s">
        <v>167</v>
      </c>
    </row>
    <row r="17789" spans="1:1" ht="12.75">
      <c r="A17789" s="2" t="s">
        <v>161</v>
      </c>
    </row>
    <row r="17790" spans="1:1" ht="12.75">
      <c r="A17790" s="2" t="s">
        <v>177</v>
      </c>
    </row>
    <row r="17791" spans="1:1" ht="12.75">
      <c r="A17791" s="2" t="s">
        <v>170</v>
      </c>
    </row>
    <row r="17792" spans="1:1" ht="12.75">
      <c r="A17792" s="2" t="s">
        <v>161</v>
      </c>
    </row>
    <row r="17793" spans="1:1" ht="12.75">
      <c r="A17793" s="2" t="s">
        <v>184</v>
      </c>
    </row>
    <row r="17794" spans="1:1" ht="12.75">
      <c r="A17794" s="2" t="s">
        <v>161</v>
      </c>
    </row>
    <row r="17795" spans="1:1" ht="12.75">
      <c r="A17795" s="2" t="s">
        <v>193</v>
      </c>
    </row>
    <row r="17796" spans="1:1" ht="12.75">
      <c r="A17796" s="2" t="s">
        <v>225</v>
      </c>
    </row>
    <row r="17798" spans="1:1" ht="12.75">
      <c r="A17798" s="2" t="s">
        <v>404</v>
      </c>
    </row>
    <row r="17799" spans="1:1" ht="12.75">
      <c r="A17799" s="2" t="s">
        <v>177</v>
      </c>
    </row>
    <row r="17800" spans="1:1" ht="12.75">
      <c r="A17800" s="2" t="s">
        <v>193</v>
      </c>
    </row>
    <row r="17801" spans="1:1" ht="12.75">
      <c r="A17801" s="2" t="s">
        <v>191</v>
      </c>
    </row>
    <row r="17802" spans="1:1" ht="12.75">
      <c r="A17802" s="2" t="s">
        <v>172</v>
      </c>
    </row>
    <row r="17803" spans="1:1" ht="12.75">
      <c r="A17803" s="2" t="s">
        <v>225</v>
      </c>
    </row>
    <row r="17804" spans="1:1" ht="12.75">
      <c r="A17804" s="2" t="s">
        <v>191</v>
      </c>
    </row>
    <row r="17805" spans="1:1" ht="12.75">
      <c r="A17805" s="2" t="s">
        <v>168</v>
      </c>
    </row>
    <row r="17806" spans="1:1" ht="12.75">
      <c r="A17806" s="2" t="s">
        <v>176</v>
      </c>
    </row>
    <row r="17807" spans="1:1" ht="12.75">
      <c r="A17807" s="2" t="s">
        <v>172</v>
      </c>
    </row>
    <row r="17808" spans="1:1" ht="12.75">
      <c r="A17808" s="2" t="s">
        <v>168</v>
      </c>
    </row>
    <row r="17809" spans="1:1" ht="12.75">
      <c r="A17809" s="2" t="s">
        <v>176</v>
      </c>
    </row>
    <row r="17810" spans="1:1" ht="12.75">
      <c r="A17810" s="2" t="s">
        <v>173</v>
      </c>
    </row>
    <row r="17811" spans="1:1" ht="12.75">
      <c r="A17811" s="2" t="s">
        <v>176</v>
      </c>
    </row>
    <row r="17812" spans="1:1" ht="12.75">
      <c r="A17812" s="2" t="s">
        <v>171</v>
      </c>
    </row>
    <row r="17813" spans="1:1" ht="12.75">
      <c r="A17813" s="2" t="s">
        <v>173</v>
      </c>
    </row>
    <row r="17814" spans="1:1" ht="12.75">
      <c r="A17814" s="2" t="s">
        <v>175</v>
      </c>
    </row>
    <row r="17815" spans="1:1" ht="12.75">
      <c r="A17815" s="2" t="s">
        <v>173</v>
      </c>
    </row>
    <row r="17816" spans="1:1" ht="12.75">
      <c r="A17816" s="2" t="s">
        <v>175</v>
      </c>
    </row>
    <row r="17817" spans="1:1" ht="12.75">
      <c r="A17817" s="2" t="s">
        <v>163</v>
      </c>
    </row>
    <row r="17818" spans="1:1" ht="12.75">
      <c r="A17818" s="2" t="s">
        <v>163</v>
      </c>
    </row>
    <row r="17820" spans="1:1" ht="12.75">
      <c r="A17820" s="2" t="s">
        <v>163</v>
      </c>
    </row>
    <row r="17821" spans="1:1" ht="12.75">
      <c r="A17821" s="2" t="s">
        <v>162</v>
      </c>
    </row>
    <row r="17822" spans="1:1" ht="12.75">
      <c r="A17822" s="2" t="s">
        <v>179</v>
      </c>
    </row>
    <row r="17823" spans="1:1" ht="12.75">
      <c r="A17823" s="2" t="s">
        <v>162</v>
      </c>
    </row>
    <row r="17824" spans="1:1" ht="12.75">
      <c r="A17824" s="2" t="s">
        <v>179</v>
      </c>
    </row>
    <row r="17825" spans="1:1" ht="12.75">
      <c r="A17825" s="2" t="s">
        <v>162</v>
      </c>
    </row>
    <row r="17826" spans="1:1" ht="12.75">
      <c r="A17826" s="2" t="s">
        <v>179</v>
      </c>
    </row>
    <row r="17827" spans="1:1" ht="12.75">
      <c r="A17827" s="2" t="s">
        <v>164</v>
      </c>
    </row>
    <row r="17828" spans="1:1" ht="12.75">
      <c r="A17828" s="2" t="s">
        <v>182</v>
      </c>
    </row>
    <row r="17829" spans="1:1" ht="12.75">
      <c r="A17829" s="2" t="s">
        <v>164</v>
      </c>
    </row>
    <row r="17830" spans="1:1" ht="12.75">
      <c r="A17830" s="2" t="s">
        <v>164</v>
      </c>
    </row>
    <row r="17831" spans="1:1" ht="12.75">
      <c r="A17831" s="2" t="s">
        <v>182</v>
      </c>
    </row>
    <row r="17832" spans="1:1" ht="12.75">
      <c r="A17832" s="2" t="s">
        <v>183</v>
      </c>
    </row>
    <row r="17833" spans="1:1" ht="12.75">
      <c r="A17833" s="2" t="s">
        <v>182</v>
      </c>
    </row>
    <row r="17834" spans="1:1" ht="12.75">
      <c r="A17834" s="2" t="s">
        <v>183</v>
      </c>
    </row>
    <row r="17835" spans="1:1" ht="12.75">
      <c r="A17835" s="2" t="s">
        <v>165</v>
      </c>
    </row>
    <row r="17836" spans="1:1" ht="12.75">
      <c r="A17836" s="2" t="s">
        <v>178</v>
      </c>
    </row>
    <row r="17837" spans="1:1" ht="12.75">
      <c r="A17837" s="2" t="s">
        <v>183</v>
      </c>
    </row>
    <row r="17838" spans="1:1" ht="12.75">
      <c r="A17838" s="2" t="s">
        <v>178</v>
      </c>
    </row>
    <row r="17839" spans="1:1" ht="12.75">
      <c r="A17839" s="2" t="s">
        <v>179</v>
      </c>
    </row>
    <row r="17840" spans="1:1" ht="12.75">
      <c r="A17840" s="2" t="s">
        <v>178</v>
      </c>
    </row>
    <row r="17841" spans="1:1" ht="12.75">
      <c r="A17841" s="2" t="s">
        <v>172</v>
      </c>
    </row>
    <row r="17842" spans="1:1" ht="12.75">
      <c r="A17842" s="2" t="s">
        <v>176</v>
      </c>
    </row>
    <row r="17843" spans="1:1" ht="12.75">
      <c r="A17843" s="2" t="s">
        <v>172</v>
      </c>
    </row>
    <row r="17844" spans="1:1" ht="12.75">
      <c r="A17844" s="2" t="s">
        <v>172</v>
      </c>
    </row>
    <row r="17845" spans="1:1" ht="12.75">
      <c r="A17845" s="2" t="s">
        <v>176</v>
      </c>
    </row>
    <row r="17846" spans="1:1" ht="12.75">
      <c r="A17846" s="2" t="s">
        <v>167</v>
      </c>
    </row>
    <row r="17847" spans="1:1" ht="12.75">
      <c r="A17847" s="2" t="s">
        <v>176</v>
      </c>
    </row>
    <row r="17848" spans="1:1" ht="12.75">
      <c r="A17848" s="2" t="s">
        <v>167</v>
      </c>
    </row>
    <row r="17849" spans="1:1" ht="12.75">
      <c r="A17849" s="2" t="s">
        <v>164</v>
      </c>
    </row>
    <row r="17850" spans="1:1" ht="12.75">
      <c r="A17850" s="2" t="s">
        <v>164</v>
      </c>
    </row>
    <row r="17851" spans="1:1" ht="12.75">
      <c r="A17851" s="2" t="s">
        <v>167</v>
      </c>
    </row>
    <row r="17852" spans="1:1" ht="12.75">
      <c r="A17852" s="2" t="s">
        <v>164</v>
      </c>
    </row>
    <row r="17853" spans="1:1" ht="12.75">
      <c r="A17853" s="2" t="s">
        <v>160</v>
      </c>
    </row>
    <row r="17854" spans="1:1" ht="12.75">
      <c r="A17854" s="2" t="s">
        <v>224</v>
      </c>
    </row>
    <row r="17855" spans="1:1" ht="12.75">
      <c r="A17855" s="2" t="s">
        <v>160</v>
      </c>
    </row>
    <row r="17856" spans="1:1" ht="12.75">
      <c r="A17856" s="2" t="s">
        <v>160</v>
      </c>
    </row>
    <row r="17857" spans="1:1" ht="12.75">
      <c r="A17857" s="2" t="s">
        <v>183</v>
      </c>
    </row>
    <row r="17858" spans="1:1" ht="12.75">
      <c r="A17858" s="2" t="s">
        <v>734</v>
      </c>
    </row>
    <row r="17859" spans="1:1" ht="12.75">
      <c r="A17859" s="2" t="s">
        <v>183</v>
      </c>
    </row>
    <row r="17860" spans="1:1" ht="12.75">
      <c r="A17860" s="2" t="s">
        <v>176</v>
      </c>
    </row>
    <row r="17861" spans="1:1" ht="12.75">
      <c r="A17861" s="2" t="s">
        <v>224</v>
      </c>
    </row>
    <row r="17862" spans="1:1" ht="12.75">
      <c r="A17862" s="2" t="s">
        <v>182</v>
      </c>
    </row>
    <row r="17863" spans="1:1" ht="12.75">
      <c r="A17863" s="2" t="s">
        <v>193</v>
      </c>
    </row>
    <row r="17864" spans="1:1" ht="12.75">
      <c r="A17864" s="2" t="s">
        <v>160</v>
      </c>
    </row>
    <row r="17865" spans="1:1" ht="12.75">
      <c r="A17865" s="2" t="s">
        <v>334</v>
      </c>
    </row>
    <row r="17866" spans="1:1" ht="12.75">
      <c r="A17866" s="2" t="s">
        <v>737</v>
      </c>
    </row>
    <row r="17867" spans="1:1" ht="12.75">
      <c r="A17867" s="2" t="s">
        <v>734</v>
      </c>
    </row>
    <row r="17868" spans="1:1" ht="12.75">
      <c r="A17868" s="2" t="s">
        <v>161</v>
      </c>
    </row>
    <row r="17869" spans="1:1" ht="12.75">
      <c r="A17869" s="2" t="s">
        <v>185</v>
      </c>
    </row>
    <row r="17870" spans="1:1" ht="12.75">
      <c r="A17870" s="2" t="s">
        <v>174</v>
      </c>
    </row>
    <row r="17871" spans="1:1" ht="12.75">
      <c r="A17871" s="2" t="s">
        <v>160</v>
      </c>
    </row>
    <row r="17872" spans="1:1" ht="12.75">
      <c r="A17872" s="2" t="s">
        <v>167</v>
      </c>
    </row>
    <row r="17873" spans="1:1" ht="12.75">
      <c r="A17873" s="2" t="s">
        <v>160</v>
      </c>
    </row>
    <row r="17874" spans="1:1" ht="12.75">
      <c r="A17874" s="2" t="s">
        <v>167</v>
      </c>
    </row>
    <row r="17875" spans="1:1" ht="12.75">
      <c r="A17875" s="2" t="s">
        <v>174</v>
      </c>
    </row>
    <row r="17876" spans="1:1" ht="12.75">
      <c r="A17876" s="2" t="s">
        <v>160</v>
      </c>
    </row>
    <row r="17877" spans="1:1" ht="12.75">
      <c r="A17877" s="2" t="s">
        <v>176</v>
      </c>
    </row>
    <row r="17878" spans="1:1" ht="12.75">
      <c r="A17878" s="2" t="s">
        <v>176</v>
      </c>
    </row>
    <row r="17879" spans="1:1" ht="12.75">
      <c r="A17879" s="2" t="s">
        <v>167</v>
      </c>
    </row>
    <row r="17880" spans="1:1" ht="12.75">
      <c r="A17880" s="2" t="s">
        <v>176</v>
      </c>
    </row>
    <row r="17881" spans="1:1" ht="12.75">
      <c r="A17881" s="2" t="s">
        <v>168</v>
      </c>
    </row>
    <row r="17882" spans="1:1" ht="12.75">
      <c r="A17882" s="2" t="s">
        <v>172</v>
      </c>
    </row>
    <row r="17883" spans="1:1" ht="12.75">
      <c r="A17883" s="2" t="s">
        <v>176</v>
      </c>
    </row>
    <row r="17884" spans="1:1" ht="12.75">
      <c r="A17884" s="2" t="s">
        <v>172</v>
      </c>
    </row>
    <row r="17885" spans="1:1" ht="12.75">
      <c r="A17885" s="2" t="s">
        <v>176</v>
      </c>
    </row>
    <row r="17886" spans="1:1" ht="12.75">
      <c r="A17886" s="2" t="s">
        <v>168</v>
      </c>
    </row>
    <row r="17887" spans="1:1" ht="12.75">
      <c r="A17887" s="2" t="s">
        <v>183</v>
      </c>
    </row>
    <row r="17888" spans="1:1" ht="12.75">
      <c r="A17888" s="2" t="s">
        <v>181</v>
      </c>
    </row>
    <row r="17889" spans="1:1" ht="12.75">
      <c r="A17889" s="2" t="s">
        <v>183</v>
      </c>
    </row>
    <row r="17890" spans="1:1" ht="12.75">
      <c r="A17890" s="2" t="s">
        <v>181</v>
      </c>
    </row>
    <row r="17891" spans="1:1" ht="12.75">
      <c r="A17891" s="2" t="s">
        <v>172</v>
      </c>
    </row>
    <row r="17892" spans="1:1" ht="12.75">
      <c r="A17892" s="2" t="s">
        <v>196</v>
      </c>
    </row>
    <row r="17893" spans="1:1" ht="12.75">
      <c r="A17893" s="2" t="s">
        <v>162</v>
      </c>
    </row>
    <row r="17894" spans="1:1" ht="12.75">
      <c r="A17894" s="2" t="s">
        <v>163</v>
      </c>
    </row>
    <row r="17895" spans="1:1" ht="12.75">
      <c r="A17895" s="2" t="s">
        <v>162</v>
      </c>
    </row>
    <row r="17896" spans="1:1" ht="12.75">
      <c r="A17896" s="2" t="s">
        <v>163</v>
      </c>
    </row>
    <row r="17898" spans="1:1" ht="12.75">
      <c r="A17898" s="2" t="s">
        <v>162</v>
      </c>
    </row>
    <row r="17899" spans="1:1" ht="12.75">
      <c r="A17899" s="2" t="s">
        <v>173</v>
      </c>
    </row>
    <row r="17900" spans="1:1" ht="12.75">
      <c r="A17900" s="2" t="s">
        <v>225</v>
      </c>
    </row>
    <row r="17901" spans="1:1" ht="12.75">
      <c r="A17901" s="2" t="s">
        <v>173</v>
      </c>
    </row>
    <row r="17902" spans="1:1" ht="12.75">
      <c r="A17902" s="2" t="s">
        <v>225</v>
      </c>
    </row>
    <row r="17903" spans="1:1" ht="12.75">
      <c r="A17903" s="2" t="s">
        <v>163</v>
      </c>
    </row>
    <row r="17904" spans="1:1" ht="12.75">
      <c r="A17904" s="2" t="s">
        <v>173</v>
      </c>
    </row>
    <row r="17905" spans="1:1" ht="12.75">
      <c r="A17905" s="2" t="s">
        <v>177</v>
      </c>
    </row>
    <row r="17906" spans="1:1" ht="12.75">
      <c r="A17906" s="2" t="s">
        <v>184</v>
      </c>
    </row>
    <row r="17907" spans="1:1" ht="12.75">
      <c r="A17907" s="2" t="s">
        <v>171</v>
      </c>
    </row>
    <row r="17908" spans="1:1" ht="12.75">
      <c r="A17908" s="2" t="s">
        <v>177</v>
      </c>
    </row>
    <row r="17909" spans="1:1" ht="12.75">
      <c r="A17909" s="2" t="s">
        <v>184</v>
      </c>
    </row>
    <row r="17910" spans="1:1" ht="12.75">
      <c r="A17910" s="2" t="s">
        <v>182</v>
      </c>
    </row>
    <row r="17911" spans="1:1" ht="12.75">
      <c r="A17911" s="2" t="s">
        <v>184</v>
      </c>
    </row>
    <row r="17912" spans="1:1" ht="12.75">
      <c r="A17912" s="2" t="s">
        <v>184</v>
      </c>
    </row>
    <row r="17913" spans="1:1" ht="12.75">
      <c r="A17913" s="2" t="s">
        <v>182</v>
      </c>
    </row>
    <row r="17914" spans="1:1" ht="12.75">
      <c r="A17914" s="2" t="s">
        <v>164</v>
      </c>
    </row>
    <row r="17915" spans="1:1" ht="12.75">
      <c r="A17915" s="2" t="s">
        <v>182</v>
      </c>
    </row>
    <row r="17916" spans="1:1" ht="12.75">
      <c r="A17916" s="2" t="s">
        <v>164</v>
      </c>
    </row>
    <row r="17918" spans="1:1" ht="12.75">
      <c r="A17918" s="2" t="s">
        <v>175</v>
      </c>
    </row>
    <row r="17919" spans="1:1" ht="12.75">
      <c r="A17919" s="2" t="s">
        <v>164</v>
      </c>
    </row>
    <row r="17920" spans="1:1" ht="12.75">
      <c r="A17920" s="2" t="s">
        <v>175</v>
      </c>
    </row>
    <row r="17921" spans="1:1" ht="12.75">
      <c r="A17921" s="2" t="s">
        <v>175</v>
      </c>
    </row>
    <row r="17922" spans="1:1" ht="12.75">
      <c r="A17922" s="2" t="s">
        <v>185</v>
      </c>
    </row>
    <row r="17923" spans="1:1" ht="12.75">
      <c r="A17923" s="2" t="s">
        <v>258</v>
      </c>
    </row>
    <row r="17924" spans="1:1" ht="12.75">
      <c r="A17924" s="2" t="s">
        <v>258</v>
      </c>
    </row>
    <row r="17925" spans="1:1" ht="12.75">
      <c r="A17925" s="2" t="s">
        <v>258</v>
      </c>
    </row>
    <row r="17926" spans="1:1" ht="12.75">
      <c r="A17926" s="2" t="s">
        <v>301</v>
      </c>
    </row>
    <row r="17927" spans="1:1" ht="12.75">
      <c r="A17927" s="2" t="s">
        <v>301</v>
      </c>
    </row>
    <row r="17928" spans="1:1" ht="12.75">
      <c r="A17928" s="2" t="s">
        <v>301</v>
      </c>
    </row>
    <row r="17929" spans="1:1" ht="12.75">
      <c r="A17929" s="2" t="s">
        <v>301</v>
      </c>
    </row>
    <row r="17930" spans="1:1" ht="12.75">
      <c r="A17930" s="2" t="s">
        <v>257</v>
      </c>
    </row>
    <row r="17931" spans="1:1" ht="12.75">
      <c r="A17931" s="2" t="s">
        <v>257</v>
      </c>
    </row>
    <row r="17932" spans="1:1" ht="12.75">
      <c r="A17932" s="2" t="s">
        <v>257</v>
      </c>
    </row>
    <row r="17933" spans="1:1" ht="12.75">
      <c r="A17933" s="2" t="s">
        <v>301</v>
      </c>
    </row>
    <row r="17934" spans="1:1" ht="12.75">
      <c r="A17934" s="2" t="s">
        <v>301</v>
      </c>
    </row>
    <row r="17935" spans="1:1" ht="12.75">
      <c r="A17935" s="2" t="s">
        <v>301</v>
      </c>
    </row>
    <row r="17936" spans="1:1" ht="12.75">
      <c r="A17936" s="2" t="s">
        <v>258</v>
      </c>
    </row>
    <row r="17937" spans="1:1" ht="12.75">
      <c r="A17937" s="2" t="s">
        <v>274</v>
      </c>
    </row>
    <row r="17938" spans="1:1" ht="12.75">
      <c r="A17938" s="2" t="s">
        <v>274</v>
      </c>
    </row>
    <row r="17939" spans="1:1" ht="12.75">
      <c r="A17939" s="2" t="s">
        <v>274</v>
      </c>
    </row>
    <row r="17940" spans="1:1" ht="12.75">
      <c r="A17940" s="2" t="s">
        <v>274</v>
      </c>
    </row>
    <row r="17941" spans="1:1" ht="12.75">
      <c r="A17941" s="2" t="s">
        <v>274</v>
      </c>
    </row>
    <row r="17942" spans="1:1" ht="12.75">
      <c r="A17942" s="2" t="s">
        <v>274</v>
      </c>
    </row>
    <row r="17943" spans="1:1" ht="12.75">
      <c r="A17943" s="2" t="s">
        <v>274</v>
      </c>
    </row>
    <row r="17944" spans="1:1" ht="12.75">
      <c r="A17944" s="2" t="s">
        <v>274</v>
      </c>
    </row>
    <row r="17945" spans="1:1" ht="12.75">
      <c r="A17945" s="2" t="s">
        <v>274</v>
      </c>
    </row>
    <row r="17946" spans="1:1" ht="12.75">
      <c r="A17946" s="2" t="s">
        <v>274</v>
      </c>
    </row>
    <row r="17947" spans="1:1" ht="12.75">
      <c r="A17947" s="2" t="s">
        <v>274</v>
      </c>
    </row>
    <row r="17948" spans="1:1" ht="12.75">
      <c r="A17948" s="2" t="s">
        <v>274</v>
      </c>
    </row>
    <row r="17949" spans="1:1" ht="12.75">
      <c r="A17949" s="2" t="s">
        <v>274</v>
      </c>
    </row>
    <row r="17950" spans="1:1" ht="12.75">
      <c r="A17950" s="2" t="s">
        <v>274</v>
      </c>
    </row>
    <row r="17951" spans="1:1" ht="12.75">
      <c r="A17951" s="2" t="s">
        <v>227</v>
      </c>
    </row>
    <row r="17952" spans="1:1" ht="12.75">
      <c r="A17952" s="2" t="s">
        <v>227</v>
      </c>
    </row>
    <row r="17953" spans="1:1" ht="12.75">
      <c r="A17953" s="2" t="s">
        <v>228</v>
      </c>
    </row>
    <row r="17954" spans="1:1" ht="12.75">
      <c r="A17954" s="2" t="s">
        <v>228</v>
      </c>
    </row>
    <row r="17955" spans="1:1" ht="12.75">
      <c r="A17955" s="2" t="s">
        <v>227</v>
      </c>
    </row>
    <row r="17956" spans="1:1" ht="12.75">
      <c r="A17956" s="2" t="s">
        <v>228</v>
      </c>
    </row>
    <row r="17957" spans="1:1" ht="12.75">
      <c r="A17957" s="2" t="s">
        <v>227</v>
      </c>
    </row>
    <row r="17958" spans="1:1" ht="12.75">
      <c r="A17958" s="2" t="s">
        <v>227</v>
      </c>
    </row>
    <row r="17959" spans="1:1" ht="12.75">
      <c r="A17959" s="2" t="s">
        <v>228</v>
      </c>
    </row>
    <row r="17960" spans="1:1" ht="12.75">
      <c r="A17960" s="2" t="s">
        <v>228</v>
      </c>
    </row>
    <row r="17961" spans="1:1" ht="12.75">
      <c r="A17961" s="2" t="s">
        <v>227</v>
      </c>
    </row>
    <row r="17962" spans="1:1" ht="12.75">
      <c r="A17962" s="2" t="s">
        <v>227</v>
      </c>
    </row>
    <row r="17963" spans="1:1" ht="12.75">
      <c r="A17963" s="2" t="s">
        <v>228</v>
      </c>
    </row>
    <row r="17964" spans="1:1" ht="12.75">
      <c r="A17964" s="2" t="s">
        <v>228</v>
      </c>
    </row>
    <row r="17965" spans="1:1" ht="12.75">
      <c r="A17965" s="2" t="s">
        <v>228</v>
      </c>
    </row>
    <row r="17966" spans="1:1" ht="12.75">
      <c r="A17966" s="2" t="s">
        <v>228</v>
      </c>
    </row>
    <row r="17967" spans="1:1" ht="12.75">
      <c r="A17967" s="2" t="s">
        <v>307</v>
      </c>
    </row>
    <row r="17968" spans="1:1" ht="12.75">
      <c r="A17968" s="2" t="s">
        <v>307</v>
      </c>
    </row>
    <row r="17969" spans="1:1" ht="12.75">
      <c r="A17969" s="2" t="s">
        <v>307</v>
      </c>
    </row>
    <row r="17970" spans="1:1" ht="12.75">
      <c r="A17970" s="2" t="s">
        <v>307</v>
      </c>
    </row>
    <row r="17975" spans="1:1" ht="12.75">
      <c r="A17975" s="2" t="s">
        <v>738</v>
      </c>
    </row>
    <row r="17976" spans="1:1" ht="12.75">
      <c r="A17976" s="2" t="s">
        <v>738</v>
      </c>
    </row>
    <row r="17977" spans="1:1" ht="12.75">
      <c r="A17977" s="2" t="s">
        <v>738</v>
      </c>
    </row>
    <row r="17978" spans="1:1" ht="12.75">
      <c r="A17978" s="2" t="s">
        <v>738</v>
      </c>
    </row>
    <row r="17979" spans="1:1" ht="12.75">
      <c r="A17979" s="2" t="s">
        <v>738</v>
      </c>
    </row>
    <row r="17980" spans="1:1" ht="12.75">
      <c r="A17980" s="2" t="s">
        <v>738</v>
      </c>
    </row>
    <row r="17981" spans="1:1" ht="12.75">
      <c r="A17981" s="2" t="s">
        <v>739</v>
      </c>
    </row>
    <row r="17982" spans="1:1" ht="12.75">
      <c r="A17982" s="2" t="s">
        <v>740</v>
      </c>
    </row>
    <row r="17983" spans="1:1" ht="12.75">
      <c r="A17983" s="2" t="s">
        <v>738</v>
      </c>
    </row>
    <row r="17984" spans="1:1" ht="12.75">
      <c r="A17984" s="2" t="s">
        <v>738</v>
      </c>
    </row>
    <row r="17985" spans="1:1" ht="12.75">
      <c r="A17985" s="2" t="s">
        <v>251</v>
      </c>
    </row>
    <row r="17987" spans="1:1" ht="12.75">
      <c r="A17987" s="2" t="s">
        <v>251</v>
      </c>
    </row>
    <row r="17988" spans="1:1" ht="12.75">
      <c r="A17988" s="2" t="s">
        <v>509</v>
      </c>
    </row>
    <row r="17989" spans="1:1" ht="12.75">
      <c r="A17989" s="2" t="s">
        <v>251</v>
      </c>
    </row>
    <row r="17990" spans="1:1" ht="12.75">
      <c r="A17990" s="2" t="s">
        <v>251</v>
      </c>
    </row>
    <row r="17991" spans="1:1" ht="12.75">
      <c r="A17991" s="2" t="s">
        <v>741</v>
      </c>
    </row>
    <row r="17992" spans="1:1" ht="12.75">
      <c r="A17992" s="2" t="s">
        <v>741</v>
      </c>
    </row>
    <row r="17993" spans="1:1" ht="12.75">
      <c r="A17993" s="2" t="s">
        <v>742</v>
      </c>
    </row>
    <row r="17994" spans="1:1" ht="12.75">
      <c r="A17994" s="2" t="s">
        <v>743</v>
      </c>
    </row>
    <row r="17996" spans="1:1" ht="12.75">
      <c r="A17996" s="2" t="s">
        <v>744</v>
      </c>
    </row>
    <row r="17998" spans="1:1" ht="12.75">
      <c r="A17998" s="2" t="s">
        <v>274</v>
      </c>
    </row>
    <row r="18000" spans="1:1" ht="12.75">
      <c r="A18000" s="2" t="s">
        <v>343</v>
      </c>
    </row>
    <row r="18002" spans="1:1" ht="12.75">
      <c r="A18002" s="2" t="s">
        <v>343</v>
      </c>
    </row>
    <row r="18003" spans="1:1" ht="12.75">
      <c r="A18003" s="2" t="s">
        <v>307</v>
      </c>
    </row>
    <row r="18004" spans="1:1" ht="12.75">
      <c r="A18004" s="2" t="s">
        <v>343</v>
      </c>
    </row>
    <row r="18005" spans="1:1" ht="12.75">
      <c r="A18005" s="2" t="s">
        <v>307</v>
      </c>
    </row>
    <row r="18006" spans="1:1" ht="12.75">
      <c r="A18006" s="2" t="s">
        <v>343</v>
      </c>
    </row>
    <row r="18007" spans="1:1" ht="12.75">
      <c r="A18007" s="2" t="s">
        <v>274</v>
      </c>
    </row>
    <row r="18008" spans="1:1" ht="12.75">
      <c r="A18008" s="2" t="s">
        <v>161</v>
      </c>
    </row>
    <row r="18009" spans="1:1" ht="12.75">
      <c r="A18009" s="2" t="s">
        <v>274</v>
      </c>
    </row>
    <row r="18010" spans="1:1" ht="12.75">
      <c r="A18010" s="2" t="s">
        <v>161</v>
      </c>
    </row>
    <row r="18011" spans="1:1" ht="12.75">
      <c r="A18011" s="2" t="s">
        <v>274</v>
      </c>
    </row>
    <row r="18012" spans="1:1" ht="12.75">
      <c r="A18012" s="2" t="s">
        <v>196</v>
      </c>
    </row>
    <row r="18013" spans="1:1" ht="12.75">
      <c r="A18013" s="2" t="s">
        <v>274</v>
      </c>
    </row>
    <row r="18014" spans="1:1" ht="12.75">
      <c r="A18014" s="2" t="s">
        <v>196</v>
      </c>
    </row>
    <row r="18015" spans="1:1" ht="12.75">
      <c r="A18015" s="2" t="s">
        <v>259</v>
      </c>
    </row>
    <row r="18016" spans="1:1" ht="12.75">
      <c r="A18016" s="2" t="s">
        <v>251</v>
      </c>
    </row>
    <row r="18017" spans="1:1" ht="12.75">
      <c r="A18017" s="2" t="s">
        <v>259</v>
      </c>
    </row>
    <row r="18018" spans="1:1" ht="12.75">
      <c r="A18018" s="2" t="s">
        <v>251</v>
      </c>
    </row>
    <row r="18019" spans="1:1" ht="12.75">
      <c r="A18019" s="2" t="s">
        <v>259</v>
      </c>
    </row>
    <row r="18020" spans="1:1" ht="12.75">
      <c r="A18020" s="2" t="s">
        <v>251</v>
      </c>
    </row>
    <row r="18021" spans="1:1" ht="12.75">
      <c r="A18021" s="2" t="s">
        <v>257</v>
      </c>
    </row>
    <row r="18022" spans="1:1" ht="12.75">
      <c r="A18022" s="2" t="s">
        <v>251</v>
      </c>
    </row>
    <row r="18023" spans="1:1" ht="12.75">
      <c r="A18023" s="2" t="s">
        <v>259</v>
      </c>
    </row>
    <row r="18024" spans="1:1" ht="12.75">
      <c r="A18024" s="2" t="s">
        <v>274</v>
      </c>
    </row>
    <row r="18025" spans="1:1" ht="12.75">
      <c r="A18025" s="2" t="s">
        <v>258</v>
      </c>
    </row>
    <row r="18027" spans="1:1" ht="12.75">
      <c r="A18027" s="2" t="s">
        <v>258</v>
      </c>
    </row>
    <row r="18028" spans="1:1" ht="12.75">
      <c r="A18028" s="2" t="s">
        <v>164</v>
      </c>
    </row>
    <row r="18029" spans="1:1" ht="12.75">
      <c r="A18029" s="2" t="s">
        <v>257</v>
      </c>
    </row>
    <row r="18030" spans="1:1" ht="12.75">
      <c r="A18030" s="2" t="s">
        <v>742</v>
      </c>
    </row>
    <row r="18031" spans="1:1" ht="12.75">
      <c r="A18031" s="2" t="s">
        <v>745</v>
      </c>
    </row>
    <row r="18032" spans="1:1" ht="12.75">
      <c r="A18032" s="2" t="s">
        <v>257</v>
      </c>
    </row>
    <row r="18033" spans="1:1" ht="12.75">
      <c r="A18033" s="2" t="s">
        <v>184</v>
      </c>
    </row>
    <row r="18034" spans="1:1" ht="12.75">
      <c r="A18034" s="2" t="s">
        <v>189</v>
      </c>
    </row>
    <row r="18035" spans="1:1" ht="12.75">
      <c r="A18035" s="2" t="s">
        <v>164</v>
      </c>
    </row>
    <row r="18036" spans="1:1" ht="12.75">
      <c r="A18036" s="2" t="s">
        <v>518</v>
      </c>
    </row>
    <row r="18037" spans="1:1" ht="12.75">
      <c r="A18037" s="2" t="s">
        <v>175</v>
      </c>
    </row>
    <row r="18038" spans="1:1" ht="12.75">
      <c r="A18038" s="2" t="s">
        <v>167</v>
      </c>
    </row>
    <row r="18039" spans="1:1" ht="12.75">
      <c r="A18039" s="2" t="s">
        <v>175</v>
      </c>
    </row>
    <row r="18040" spans="1:1" ht="12.75">
      <c r="A18040" s="2" t="s">
        <v>167</v>
      </c>
    </row>
    <row r="18041" spans="1:1" ht="12.75">
      <c r="A18041" s="2" t="s">
        <v>175</v>
      </c>
    </row>
    <row r="18042" spans="1:1" ht="12.75">
      <c r="A18042" s="2" t="s">
        <v>167</v>
      </c>
    </row>
    <row r="18043" spans="1:1" ht="12.75">
      <c r="A18043" s="2" t="s">
        <v>225</v>
      </c>
    </row>
    <row r="18044" spans="1:1" ht="12.75">
      <c r="A18044" s="2" t="s">
        <v>162</v>
      </c>
    </row>
    <row r="18045" spans="1:1" ht="12.75">
      <c r="A18045" s="2" t="s">
        <v>225</v>
      </c>
    </row>
    <row r="18046" spans="1:1" ht="12.75">
      <c r="A18046" s="2" t="s">
        <v>162</v>
      </c>
    </row>
    <row r="18047" spans="1:1" ht="12.75">
      <c r="A18047" s="2" t="s">
        <v>225</v>
      </c>
    </row>
    <row r="18048" spans="1:1" ht="12.75">
      <c r="A18048" s="2" t="s">
        <v>162</v>
      </c>
    </row>
    <row r="18049" spans="1:1" ht="12.75">
      <c r="A18049" s="2" t="s">
        <v>173</v>
      </c>
    </row>
    <row r="18050" spans="1:1" ht="12.75">
      <c r="A18050" s="2" t="s">
        <v>164</v>
      </c>
    </row>
    <row r="18051" spans="1:1" ht="12.75">
      <c r="A18051" s="2" t="s">
        <v>173</v>
      </c>
    </row>
    <row r="18052" spans="1:1" ht="12.75">
      <c r="A18052" s="2" t="s">
        <v>164</v>
      </c>
    </row>
    <row r="18053" spans="1:1" ht="12.75">
      <c r="A18053" s="2" t="s">
        <v>184</v>
      </c>
    </row>
    <row r="18054" spans="1:1" ht="12.75">
      <c r="A18054" s="2" t="s">
        <v>171</v>
      </c>
    </row>
    <row r="18055" spans="1:1" ht="12.75">
      <c r="A18055" s="2" t="s">
        <v>184</v>
      </c>
    </row>
    <row r="18057" spans="1:1" ht="12.75">
      <c r="A18057" s="2" t="s">
        <v>184</v>
      </c>
    </row>
    <row r="18059" spans="1:1" ht="12.75">
      <c r="A18059" s="2" t="s">
        <v>160</v>
      </c>
    </row>
    <row r="18060" spans="1:1" ht="12.75">
      <c r="A18060" s="2" t="s">
        <v>191</v>
      </c>
    </row>
    <row r="18061" spans="1:1" ht="12.75">
      <c r="A18061" s="2" t="s">
        <v>160</v>
      </c>
    </row>
    <row r="18062" spans="1:1" ht="12.75">
      <c r="A18062" s="2" t="s">
        <v>165</v>
      </c>
    </row>
    <row r="18063" spans="1:1" ht="12.75">
      <c r="A18063" s="2" t="s">
        <v>160</v>
      </c>
    </row>
    <row r="18064" spans="1:1" ht="12.75">
      <c r="A18064" s="2" t="s">
        <v>193</v>
      </c>
    </row>
    <row r="18066" spans="1:1" ht="12.75">
      <c r="A18066" s="2" t="s">
        <v>165</v>
      </c>
    </row>
    <row r="18068" spans="1:1" ht="12.75">
      <c r="A18068" s="2" t="s">
        <v>173</v>
      </c>
    </row>
    <row r="18069" spans="1:1" ht="12.75">
      <c r="A18069" s="2" t="s">
        <v>179</v>
      </c>
    </row>
    <row r="18070" spans="1:1" ht="12.75">
      <c r="A18070" s="2" t="s">
        <v>181</v>
      </c>
    </row>
    <row r="18071" spans="1:1" ht="12.75">
      <c r="A18071" s="2" t="s">
        <v>179</v>
      </c>
    </row>
    <row r="18072" spans="1:1" ht="12.75">
      <c r="A18072" s="2" t="s">
        <v>170</v>
      </c>
    </row>
    <row r="18073" spans="1:1" ht="12.75">
      <c r="A18073" s="2" t="s">
        <v>176</v>
      </c>
    </row>
    <row r="18074" spans="1:1" ht="12.75">
      <c r="A18074" s="2" t="s">
        <v>170</v>
      </c>
    </row>
    <row r="18075" spans="1:1" ht="12.75">
      <c r="A18075" s="2" t="s">
        <v>746</v>
      </c>
    </row>
    <row r="18076" spans="1:1" ht="12.75">
      <c r="A18076" s="2" t="s">
        <v>196</v>
      </c>
    </row>
    <row r="18077" spans="1:1" ht="12.75">
      <c r="A18077" s="2" t="s">
        <v>176</v>
      </c>
    </row>
    <row r="18078" spans="1:1" ht="12.75">
      <c r="A18078" s="2" t="s">
        <v>172</v>
      </c>
    </row>
    <row r="18079" spans="1:1" ht="12.75">
      <c r="A18079" s="2" t="s">
        <v>183</v>
      </c>
    </row>
    <row r="18080" spans="1:1" ht="12.75">
      <c r="A18080" s="2" t="s">
        <v>172</v>
      </c>
    </row>
    <row r="18081" spans="1:1" ht="12.75">
      <c r="A18081" s="2" t="s">
        <v>183</v>
      </c>
    </row>
    <row r="18082" spans="1:1" ht="12.75">
      <c r="A18082" s="2" t="s">
        <v>172</v>
      </c>
    </row>
    <row r="18083" spans="1:1" ht="12.75">
      <c r="A18083" s="2" t="s">
        <v>183</v>
      </c>
    </row>
    <row r="18085" spans="1:1" ht="12.75">
      <c r="A18085" s="2" t="s">
        <v>181</v>
      </c>
    </row>
    <row r="18086" spans="1:1" ht="12.75">
      <c r="A18086" s="2" t="s">
        <v>168</v>
      </c>
    </row>
    <row r="18087" spans="1:1" ht="12.75">
      <c r="A18087" s="2" t="s">
        <v>181</v>
      </c>
    </row>
    <row r="18088" spans="1:1" ht="12.75">
      <c r="A18088" s="2" t="s">
        <v>168</v>
      </c>
    </row>
    <row r="18089" spans="1:1" ht="12.75">
      <c r="A18089" s="2" t="s">
        <v>159</v>
      </c>
    </row>
    <row r="18090" spans="1:1" ht="12.75">
      <c r="A18090" s="2" t="s">
        <v>227</v>
      </c>
    </row>
    <row r="18091" spans="1:1" ht="12.75">
      <c r="A18091" s="2" t="s">
        <v>159</v>
      </c>
    </row>
    <row r="18092" spans="1:1" ht="12.75">
      <c r="A18092" s="2" t="s">
        <v>176</v>
      </c>
    </row>
    <row r="18093" spans="1:1" ht="12.75">
      <c r="A18093" s="2" t="s">
        <v>345</v>
      </c>
    </row>
    <row r="18094" spans="1:1" ht="12.75">
      <c r="A18094" s="2" t="s">
        <v>170</v>
      </c>
    </row>
    <row r="18095" spans="1:1" ht="12.75">
      <c r="A18095" s="2" t="s">
        <v>345</v>
      </c>
    </row>
    <row r="18096" spans="1:1" ht="12.75">
      <c r="A18096" s="2" t="s">
        <v>196</v>
      </c>
    </row>
    <row r="18097" spans="1:1" ht="12.75">
      <c r="A18097" s="2" t="s">
        <v>228</v>
      </c>
    </row>
    <row r="18098" spans="1:1" ht="12.75">
      <c r="A18098" s="2" t="s">
        <v>196</v>
      </c>
    </row>
    <row r="18099" spans="1:1" ht="12.75">
      <c r="A18099" s="2" t="s">
        <v>228</v>
      </c>
    </row>
    <row r="18100" spans="1:1" ht="12.75">
      <c r="A18100" s="2" t="s">
        <v>170</v>
      </c>
    </row>
    <row r="18101" spans="1:1" ht="12.75">
      <c r="A18101" s="2" t="s">
        <v>228</v>
      </c>
    </row>
    <row r="18102" spans="1:1" ht="12.75">
      <c r="A18102" s="2" t="s">
        <v>170</v>
      </c>
    </row>
    <row r="18103" spans="1:1" ht="12.75">
      <c r="A18103" s="2" t="s">
        <v>228</v>
      </c>
    </row>
    <row r="18104" spans="1:1" ht="12.75">
      <c r="A18104" s="2" t="s">
        <v>182</v>
      </c>
    </row>
    <row r="18105" spans="1:1" ht="12.75">
      <c r="A18105" s="2" t="s">
        <v>228</v>
      </c>
    </row>
    <row r="18106" spans="1:1" ht="12.75">
      <c r="A18106" s="2" t="s">
        <v>182</v>
      </c>
    </row>
    <row r="18107" spans="1:1" ht="12.75">
      <c r="A18107" s="2" t="s">
        <v>228</v>
      </c>
    </row>
    <row r="18108" spans="1:1" ht="12.75">
      <c r="A18108" s="2" t="s">
        <v>747</v>
      </c>
    </row>
    <row r="18109" spans="1:1" ht="12.75">
      <c r="A18109" s="2" t="s">
        <v>228</v>
      </c>
    </row>
    <row r="18110" spans="1:1" ht="12.75">
      <c r="A18110" s="2" t="s">
        <v>179</v>
      </c>
    </row>
    <row r="18111" spans="1:1" ht="12.75">
      <c r="A18111" s="2" t="s">
        <v>345</v>
      </c>
    </row>
    <row r="18112" spans="1:1" ht="12.75">
      <c r="A18112" s="2" t="s">
        <v>159</v>
      </c>
    </row>
    <row r="18113" spans="1:1" ht="12.75">
      <c r="A18113" s="2" t="s">
        <v>159</v>
      </c>
    </row>
    <row r="18114" spans="1:1" ht="12.75">
      <c r="A18114" s="2" t="s">
        <v>159</v>
      </c>
    </row>
    <row r="18115" spans="1:1" ht="12.75">
      <c r="A18115" s="2" t="s">
        <v>159</v>
      </c>
    </row>
    <row r="18116" spans="1:1" ht="12.75">
      <c r="A18116" s="2" t="s">
        <v>159</v>
      </c>
    </row>
    <row r="18117" spans="1:1" ht="12.75">
      <c r="A18117" s="2" t="s">
        <v>345</v>
      </c>
    </row>
    <row r="18118" spans="1:1" ht="12.75">
      <c r="A18118" s="2" t="s">
        <v>748</v>
      </c>
    </row>
    <row r="18119" spans="1:1" ht="12.75">
      <c r="A18119" s="2" t="s">
        <v>159</v>
      </c>
    </row>
    <row r="18120" spans="1:1" ht="12.75">
      <c r="A18120" s="2" t="s">
        <v>345</v>
      </c>
    </row>
    <row r="18121" spans="1:1" ht="12.75">
      <c r="A18121" s="2" t="s">
        <v>748</v>
      </c>
    </row>
    <row r="18122" spans="1:1" ht="12.75">
      <c r="A18122" s="2" t="s">
        <v>345</v>
      </c>
    </row>
    <row r="18123" spans="1:1" ht="12.75">
      <c r="A18123" s="2" t="s">
        <v>257</v>
      </c>
    </row>
    <row r="18124" spans="1:1" ht="12.75">
      <c r="A18124" s="2" t="s">
        <v>258</v>
      </c>
    </row>
    <row r="18125" spans="1:1" ht="12.75">
      <c r="A18125" s="2" t="s">
        <v>258</v>
      </c>
    </row>
    <row r="18126" spans="1:1" ht="12.75">
      <c r="A18126" s="2" t="s">
        <v>159</v>
      </c>
    </row>
    <row r="18127" spans="1:1" ht="12.75">
      <c r="A18127" s="2" t="s">
        <v>301</v>
      </c>
    </row>
    <row r="18128" spans="1:1" ht="12.75">
      <c r="A18128" s="2" t="s">
        <v>749</v>
      </c>
    </row>
    <row r="18129" spans="1:1" ht="12.75">
      <c r="A18129" s="2" t="s">
        <v>301</v>
      </c>
    </row>
    <row r="18130" spans="1:1" ht="12.75">
      <c r="A18130" s="2" t="s">
        <v>159</v>
      </c>
    </row>
    <row r="18131" spans="1:1" ht="12.75">
      <c r="A18131" s="2" t="s">
        <v>301</v>
      </c>
    </row>
    <row r="18132" spans="1:1" ht="12.75">
      <c r="A18132" s="2" t="s">
        <v>345</v>
      </c>
    </row>
    <row r="18133" spans="1:1" ht="12.75">
      <c r="A18133" s="2" t="s">
        <v>259</v>
      </c>
    </row>
    <row r="18134" spans="1:1" ht="12.75">
      <c r="A18134" s="2" t="s">
        <v>259</v>
      </c>
    </row>
    <row r="18135" spans="1:1" ht="12.75">
      <c r="A18135" s="2" t="s">
        <v>258</v>
      </c>
    </row>
    <row r="18136" spans="1:1" ht="12.75">
      <c r="A18136" s="2" t="s">
        <v>258</v>
      </c>
    </row>
    <row r="18137" spans="1:1" ht="12.75">
      <c r="A18137" s="2" t="s">
        <v>257</v>
      </c>
    </row>
    <row r="18138" spans="1:1" ht="12.75">
      <c r="A18138" s="2" t="s">
        <v>257</v>
      </c>
    </row>
    <row r="18139" spans="1:1" ht="12.75">
      <c r="A18139" s="2" t="s">
        <v>257</v>
      </c>
    </row>
    <row r="18140" spans="1:1" ht="12.75">
      <c r="A18140" s="2" t="s">
        <v>257</v>
      </c>
    </row>
    <row r="18141" spans="1:1" ht="12.75">
      <c r="A18141" s="2" t="s">
        <v>258</v>
      </c>
    </row>
    <row r="18142" spans="1:1" ht="12.75">
      <c r="A18142" s="2" t="s">
        <v>258</v>
      </c>
    </row>
    <row r="18143" spans="1:1" ht="12.75">
      <c r="A18143" s="2" t="s">
        <v>258</v>
      </c>
    </row>
    <row r="18144" spans="1:1" ht="12.75">
      <c r="A18144" s="2" t="s">
        <v>259</v>
      </c>
    </row>
    <row r="18145" spans="1:1" ht="12.75">
      <c r="A18145" s="2" t="s">
        <v>307</v>
      </c>
    </row>
    <row r="18146" spans="1:1" ht="12.75">
      <c r="A18146" s="2" t="s">
        <v>307</v>
      </c>
    </row>
    <row r="18147" spans="1:1" ht="12.75">
      <c r="A18147" s="2" t="s">
        <v>307</v>
      </c>
    </row>
    <row r="18148" spans="1:1" ht="12.75">
      <c r="A18148" s="2" t="s">
        <v>257</v>
      </c>
    </row>
    <row r="18149" spans="1:1" ht="12.75">
      <c r="A18149" s="2" t="s">
        <v>307</v>
      </c>
    </row>
    <row r="18150" spans="1:1" ht="12.75">
      <c r="A18150" s="2" t="s">
        <v>257</v>
      </c>
    </row>
    <row r="18151" spans="1:1" ht="12.75">
      <c r="A18151" s="2" t="s">
        <v>750</v>
      </c>
    </row>
    <row r="18152" spans="1:1" ht="12.75">
      <c r="A18152" s="2" t="s">
        <v>694</v>
      </c>
    </row>
    <row r="18153" spans="1:1" ht="12.75">
      <c r="A18153" s="2" t="s">
        <v>750</v>
      </c>
    </row>
    <row r="18154" spans="1:1" ht="12.75">
      <c r="A18154" s="2" t="s">
        <v>750</v>
      </c>
    </row>
    <row r="18155" spans="1:1" ht="12.75">
      <c r="A18155" s="2" t="s">
        <v>750</v>
      </c>
    </row>
    <row r="18156" spans="1:1" ht="12.75">
      <c r="A18156" s="2" t="s">
        <v>750</v>
      </c>
    </row>
    <row r="18157" spans="1:1" ht="12.75">
      <c r="A18157" s="2" t="s">
        <v>750</v>
      </c>
    </row>
    <row r="18158" spans="1:1" ht="12.75">
      <c r="A18158" s="2" t="s">
        <v>750</v>
      </c>
    </row>
    <row r="18159" spans="1:1" ht="12.75">
      <c r="A18159" s="2" t="s">
        <v>750</v>
      </c>
    </row>
    <row r="18160" spans="1:1" ht="12.75">
      <c r="A18160" s="2" t="s">
        <v>750</v>
      </c>
    </row>
    <row r="18163" spans="1:1" ht="12.75">
      <c r="A18163" s="2" t="s">
        <v>296</v>
      </c>
    </row>
    <row r="18164" spans="1:1" ht="12.75">
      <c r="A18164" s="2" t="s">
        <v>296</v>
      </c>
    </row>
    <row r="18165" spans="1:1" ht="12.75">
      <c r="A18165" s="2" t="s">
        <v>298</v>
      </c>
    </row>
    <row r="18166" spans="1:1" ht="12.75">
      <c r="A18166" s="2" t="s">
        <v>298</v>
      </c>
    </row>
    <row r="18170" spans="1:1" ht="12.75">
      <c r="A18170" s="2" t="s">
        <v>265</v>
      </c>
    </row>
    <row r="18171" spans="1:1" ht="12.75">
      <c r="A18171" s="2" t="s">
        <v>694</v>
      </c>
    </row>
    <row r="18172" spans="1:1" ht="12.75">
      <c r="A18172" s="2" t="s">
        <v>694</v>
      </c>
    </row>
    <row r="18173" spans="1:1" ht="12.75">
      <c r="A18173" s="2" t="s">
        <v>694</v>
      </c>
    </row>
    <row r="18174" spans="1:1" ht="12.75">
      <c r="A18174" s="2" t="s">
        <v>694</v>
      </c>
    </row>
    <row r="18175" spans="1:1" ht="12.75">
      <c r="A18175" s="2" t="s">
        <v>694</v>
      </c>
    </row>
    <row r="18176" spans="1:1" ht="12.75">
      <c r="A18176" s="2" t="s">
        <v>694</v>
      </c>
    </row>
    <row r="18177" spans="1:1" ht="12.75">
      <c r="A18177" s="2" t="s">
        <v>750</v>
      </c>
    </row>
    <row r="18178" spans="1:1" ht="12.75">
      <c r="A18178" s="2" t="s">
        <v>750</v>
      </c>
    </row>
    <row r="18179" spans="1:1" ht="12.75">
      <c r="A18179" s="2" t="s">
        <v>694</v>
      </c>
    </row>
    <row r="18180" spans="1:1" ht="12.75">
      <c r="A18180" s="2" t="s">
        <v>694</v>
      </c>
    </row>
    <row r="18181" spans="1:1" ht="12.75">
      <c r="A18181" s="2" t="s">
        <v>201</v>
      </c>
    </row>
    <row r="18182" spans="1:1" ht="12.75">
      <c r="A18182" s="2" t="s">
        <v>201</v>
      </c>
    </row>
    <row r="18183" spans="1:1" ht="12.75">
      <c r="A18183" s="2" t="s">
        <v>201</v>
      </c>
    </row>
    <row r="18184" spans="1:1" ht="12.75">
      <c r="A18184" s="2" t="s">
        <v>201</v>
      </c>
    </row>
    <row r="18185" spans="1:1" ht="12.75">
      <c r="A18185" s="2" t="s">
        <v>201</v>
      </c>
    </row>
    <row r="18186" spans="1:1" ht="12.75">
      <c r="A18186" s="2" t="s">
        <v>201</v>
      </c>
    </row>
    <row r="18187" spans="1:1" ht="12.75">
      <c r="A18187" s="2" t="s">
        <v>201</v>
      </c>
    </row>
    <row r="18188" spans="1:1" ht="12.75">
      <c r="A18188" s="2" t="s">
        <v>201</v>
      </c>
    </row>
    <row r="18189" spans="1:1" ht="12.75">
      <c r="A18189" s="2" t="s">
        <v>203</v>
      </c>
    </row>
    <row r="18190" spans="1:1" ht="12.75">
      <c r="A18190" s="2" t="s">
        <v>203</v>
      </c>
    </row>
    <row r="18191" spans="1:1" ht="12.75">
      <c r="A18191" s="2" t="s">
        <v>200</v>
      </c>
    </row>
    <row r="18192" spans="1:1" ht="12.75">
      <c r="A18192" s="2" t="s">
        <v>200</v>
      </c>
    </row>
    <row r="18193" spans="1:1" ht="12.75">
      <c r="A18193" s="2" t="s">
        <v>147</v>
      </c>
    </row>
    <row r="18194" spans="1:1" ht="12.75">
      <c r="A18194" s="2" t="s">
        <v>200</v>
      </c>
    </row>
    <row r="18195" spans="1:1" ht="12.75">
      <c r="A18195" s="2" t="s">
        <v>200</v>
      </c>
    </row>
    <row r="18196" spans="1:1" ht="12.75">
      <c r="A18196" s="2" t="s">
        <v>200</v>
      </c>
    </row>
    <row r="18197" spans="1:1" ht="12.75">
      <c r="A18197" s="2" t="s">
        <v>200</v>
      </c>
    </row>
    <row r="18198" spans="1:1" ht="12.75">
      <c r="A18198" s="2" t="s">
        <v>200</v>
      </c>
    </row>
    <row r="18199" spans="1:1" ht="12.75">
      <c r="A18199" s="2" t="s">
        <v>201</v>
      </c>
    </row>
    <row r="18200" spans="1:1" ht="12.75">
      <c r="A18200" s="2" t="s">
        <v>201</v>
      </c>
    </row>
    <row r="18201" spans="1:1" ht="12.75">
      <c r="A18201" s="2" t="s">
        <v>203</v>
      </c>
    </row>
    <row r="18202" spans="1:1" ht="12.75">
      <c r="A18202" s="2" t="s">
        <v>203</v>
      </c>
    </row>
    <row r="18203" spans="1:1" ht="12.75">
      <c r="A18203" s="2" t="s">
        <v>203</v>
      </c>
    </row>
    <row r="18204" spans="1:1" ht="12.75">
      <c r="A18204" s="2" t="s">
        <v>203</v>
      </c>
    </row>
    <row r="18205" spans="1:1" ht="12.75">
      <c r="A18205" s="2" t="s">
        <v>203</v>
      </c>
    </row>
    <row r="18206" spans="1:1" ht="12.75">
      <c r="A18206" s="2" t="s">
        <v>203</v>
      </c>
    </row>
    <row r="18207" spans="1:1" ht="12.75">
      <c r="A18207" s="2" t="s">
        <v>203</v>
      </c>
    </row>
    <row r="18208" spans="1:1" ht="12.75">
      <c r="A18208" s="2" t="s">
        <v>203</v>
      </c>
    </row>
    <row r="18209" spans="1:1" ht="12.75">
      <c r="A18209" s="2" t="s">
        <v>203</v>
      </c>
    </row>
    <row r="18210" spans="1:1" ht="12.75">
      <c r="A18210" s="2" t="s">
        <v>203</v>
      </c>
    </row>
    <row r="18211" spans="1:1" ht="12.75">
      <c r="A18211" s="2" t="s">
        <v>207</v>
      </c>
    </row>
    <row r="18213" spans="1:1" ht="12.75">
      <c r="A18213" s="2" t="s">
        <v>206</v>
      </c>
    </row>
    <row r="18214" spans="1:1" ht="12.75">
      <c r="A18214" s="2" t="s">
        <v>206</v>
      </c>
    </row>
    <row r="18215" spans="1:1" ht="12.75">
      <c r="A18215" s="2" t="s">
        <v>206</v>
      </c>
    </row>
    <row r="18216" spans="1:1" ht="12.75">
      <c r="A18216" s="2" t="s">
        <v>206</v>
      </c>
    </row>
    <row r="18217" spans="1:1" ht="12.75">
      <c r="A18217" s="2" t="s">
        <v>206</v>
      </c>
    </row>
    <row r="18218" spans="1:1" ht="12.75">
      <c r="A18218" s="2" t="s">
        <v>206</v>
      </c>
    </row>
    <row r="18219" spans="1:1" ht="12.75">
      <c r="A18219" s="2" t="s">
        <v>206</v>
      </c>
    </row>
    <row r="18220" spans="1:1" ht="12.75">
      <c r="A18220" s="2" t="s">
        <v>206</v>
      </c>
    </row>
    <row r="18221" spans="1:1" ht="12.75">
      <c r="A18221" s="2" t="s">
        <v>206</v>
      </c>
    </row>
    <row r="18222" spans="1:1" ht="12.75">
      <c r="A18222" s="2" t="s">
        <v>206</v>
      </c>
    </row>
    <row r="18223" spans="1:1" ht="12.75">
      <c r="A18223" s="2" t="s">
        <v>201</v>
      </c>
    </row>
    <row r="18224" spans="1:1" ht="12.75">
      <c r="A18224" s="2" t="s">
        <v>201</v>
      </c>
    </row>
    <row r="18225" spans="1:1" ht="12.75">
      <c r="A18225" s="2" t="s">
        <v>206</v>
      </c>
    </row>
    <row r="18226" spans="1:1" ht="12.75">
      <c r="A18226" s="2" t="s">
        <v>201</v>
      </c>
    </row>
    <row r="18227" spans="1:1" ht="12.75">
      <c r="A18227" s="2" t="s">
        <v>201</v>
      </c>
    </row>
    <row r="18228" spans="1:1" ht="12.75">
      <c r="A18228" s="2" t="s">
        <v>201</v>
      </c>
    </row>
    <row r="18229" spans="1:1" ht="12.75">
      <c r="A18229" s="2" t="s">
        <v>203</v>
      </c>
    </row>
    <row r="18230" spans="1:1" ht="12.75">
      <c r="A18230" s="2" t="s">
        <v>203</v>
      </c>
    </row>
    <row r="18231" spans="1:1" ht="12.75">
      <c r="A18231" s="2" t="s">
        <v>203</v>
      </c>
    </row>
    <row r="18232" spans="1:1" ht="12.75">
      <c r="A18232" s="2" t="s">
        <v>203</v>
      </c>
    </row>
    <row r="18233" spans="1:1" ht="12.75">
      <c r="A18233" s="2" t="s">
        <v>203</v>
      </c>
    </row>
    <row r="18234" spans="1:1" ht="12.75">
      <c r="A18234" s="2" t="s">
        <v>203</v>
      </c>
    </row>
    <row r="18235" spans="1:1" ht="12.75">
      <c r="A18235" s="2" t="s">
        <v>202</v>
      </c>
    </row>
    <row r="18236" spans="1:1" ht="12.75">
      <c r="A18236" s="2" t="s">
        <v>202</v>
      </c>
    </row>
    <row r="18237" spans="1:1" ht="12.75">
      <c r="A18237" s="2" t="s">
        <v>200</v>
      </c>
    </row>
    <row r="18238" spans="1:1" ht="12.75">
      <c r="A18238" s="2" t="s">
        <v>200</v>
      </c>
    </row>
    <row r="18239" spans="1:1" ht="12.75">
      <c r="A18239" s="2" t="s">
        <v>751</v>
      </c>
    </row>
    <row r="18240" spans="1:1" ht="12.75">
      <c r="A18240" s="2" t="s">
        <v>200</v>
      </c>
    </row>
    <row r="18241" spans="1:1" ht="12.75">
      <c r="A18241" s="2" t="s">
        <v>200</v>
      </c>
    </row>
    <row r="18242" spans="1:1" ht="12.75">
      <c r="A18242" s="2" t="s">
        <v>200</v>
      </c>
    </row>
    <row r="18243" spans="1:1" ht="12.75">
      <c r="A18243" s="2" t="s">
        <v>200</v>
      </c>
    </row>
    <row r="18244" spans="1:1" ht="12.75">
      <c r="A18244" s="2" t="s">
        <v>200</v>
      </c>
    </row>
    <row r="18246" spans="1:1" ht="12.75">
      <c r="A18246" s="2" t="s">
        <v>206</v>
      </c>
    </row>
    <row r="18247" spans="1:1" ht="12.75">
      <c r="A18247" s="2" t="s">
        <v>206</v>
      </c>
    </row>
    <row r="18248" spans="1:1" ht="12.75">
      <c r="A18248" s="2" t="s">
        <v>206</v>
      </c>
    </row>
    <row r="18249" spans="1:1" ht="12.75">
      <c r="A18249" s="2" t="s">
        <v>752</v>
      </c>
    </row>
    <row r="18250" spans="1:1" ht="12.75">
      <c r="A18250" s="2" t="s">
        <v>752</v>
      </c>
    </row>
    <row r="18251" spans="1:1" ht="12.75">
      <c r="A18251" s="2" t="s">
        <v>752</v>
      </c>
    </row>
    <row r="18252" spans="1:1" ht="12.75">
      <c r="A18252" s="2" t="s">
        <v>753</v>
      </c>
    </row>
    <row r="18253" spans="1:1" ht="12.75">
      <c r="A18253" s="2" t="s">
        <v>752</v>
      </c>
    </row>
    <row r="18254" spans="1:1" ht="12.75">
      <c r="A18254" s="2" t="s">
        <v>753</v>
      </c>
    </row>
    <row r="18255" spans="1:1" ht="12.75">
      <c r="A18255" s="2" t="s">
        <v>752</v>
      </c>
    </row>
    <row r="18256" spans="1:1" ht="12.75">
      <c r="A18256" s="2" t="s">
        <v>752</v>
      </c>
    </row>
    <row r="18257" spans="1:1" ht="12.75">
      <c r="A18257" s="2" t="s">
        <v>752</v>
      </c>
    </row>
    <row r="18258" spans="1:1" ht="12.75">
      <c r="A18258" s="2" t="s">
        <v>752</v>
      </c>
    </row>
    <row r="18259" spans="1:1" ht="12.75">
      <c r="A18259" s="2" t="s">
        <v>754</v>
      </c>
    </row>
    <row r="18260" spans="1:1" ht="12.75">
      <c r="A18260" s="2" t="s">
        <v>753</v>
      </c>
    </row>
    <row r="18261" spans="1:1" ht="12.75">
      <c r="A18261" s="2" t="s">
        <v>753</v>
      </c>
    </row>
    <row r="18262" spans="1:1" ht="12.75">
      <c r="A18262" s="2" t="s">
        <v>753</v>
      </c>
    </row>
    <row r="18265" spans="1:1" ht="12.75">
      <c r="A18265" s="2" t="s">
        <v>753</v>
      </c>
    </row>
    <row r="18266" spans="1:1" ht="12.75">
      <c r="A18266" s="2" t="s">
        <v>753</v>
      </c>
    </row>
    <row r="18267" spans="1:1" ht="12.75">
      <c r="A18267" s="2" t="s">
        <v>752</v>
      </c>
    </row>
    <row r="18268" spans="1:1" ht="12.75">
      <c r="A18268" s="2" t="s">
        <v>752</v>
      </c>
    </row>
    <row r="18271" spans="1:1" ht="12.75">
      <c r="A18271" s="2" t="s">
        <v>754</v>
      </c>
    </row>
    <row r="18272" spans="1:1" ht="12.75">
      <c r="A18272" s="2" t="s">
        <v>754</v>
      </c>
    </row>
    <row r="18273" spans="1:1" ht="12.75">
      <c r="A18273" s="2" t="s">
        <v>291</v>
      </c>
    </row>
    <row r="18274" spans="1:1" ht="12.75">
      <c r="A18274" s="2" t="s">
        <v>291</v>
      </c>
    </row>
    <row r="18275" spans="1:1" ht="12.75">
      <c r="A18275" s="2" t="s">
        <v>289</v>
      </c>
    </row>
    <row r="18276" spans="1:1" ht="12.75">
      <c r="A18276" s="2" t="s">
        <v>289</v>
      </c>
    </row>
    <row r="18277" spans="1:1" ht="12.75">
      <c r="A18277" s="2" t="s">
        <v>755</v>
      </c>
    </row>
    <row r="18278" spans="1:1" ht="12.75">
      <c r="A18278" s="2" t="s">
        <v>289</v>
      </c>
    </row>
    <row r="18279" spans="1:1" ht="12.75">
      <c r="A18279" s="2" t="s">
        <v>756</v>
      </c>
    </row>
    <row r="18280" spans="1:1" ht="12.75">
      <c r="A18280" s="2" t="s">
        <v>756</v>
      </c>
    </row>
    <row r="18281" spans="1:1" ht="12.75">
      <c r="A18281" s="2" t="s">
        <v>750</v>
      </c>
    </row>
    <row r="18282" spans="1:1" ht="12.75">
      <c r="A18282" s="2" t="s">
        <v>694</v>
      </c>
    </row>
    <row r="18283" spans="1:1" ht="12.75">
      <c r="A18283" s="2" t="s">
        <v>750</v>
      </c>
    </row>
    <row r="18284" spans="1:1" ht="12.75">
      <c r="A18284" s="2" t="s">
        <v>694</v>
      </c>
    </row>
    <row r="18285" spans="1:1" ht="12.75">
      <c r="A18285" s="2" t="s">
        <v>694</v>
      </c>
    </row>
    <row r="18286" spans="1:1" ht="12.75">
      <c r="A18286" s="2" t="s">
        <v>694</v>
      </c>
    </row>
    <row r="18287" spans="1:1" ht="12.75">
      <c r="A18287" s="2" t="s">
        <v>202</v>
      </c>
    </row>
    <row r="18288" spans="1:1" ht="12.75">
      <c r="A18288" s="2" t="s">
        <v>202</v>
      </c>
    </row>
    <row r="18289" spans="1:1" ht="12.75">
      <c r="A18289" s="2" t="s">
        <v>202</v>
      </c>
    </row>
    <row r="18290" spans="1:1" ht="12.75">
      <c r="A18290" s="2" t="s">
        <v>202</v>
      </c>
    </row>
    <row r="18291" spans="1:1" ht="12.75">
      <c r="A18291" s="2" t="s">
        <v>202</v>
      </c>
    </row>
    <row r="18292" spans="1:1" ht="12.75">
      <c r="A18292" s="2" t="s">
        <v>201</v>
      </c>
    </row>
    <row r="18293" spans="1:1" ht="12.75">
      <c r="A18293" s="2" t="s">
        <v>203</v>
      </c>
    </row>
    <row r="18294" spans="1:1" ht="12.75">
      <c r="A18294" s="2" t="s">
        <v>203</v>
      </c>
    </row>
    <row r="18295" spans="1:1" ht="12.75">
      <c r="A18295" s="2" t="s">
        <v>201</v>
      </c>
    </row>
    <row r="18296" spans="1:1" ht="12.75">
      <c r="A18296" s="2" t="s">
        <v>201</v>
      </c>
    </row>
    <row r="18297" spans="1:1" ht="12.75">
      <c r="A18297" s="2" t="s">
        <v>201</v>
      </c>
    </row>
    <row r="18298" spans="1:1" ht="12.75">
      <c r="A18298" s="2" t="s">
        <v>201</v>
      </c>
    </row>
    <row r="18299" spans="1:1" ht="12.75">
      <c r="A18299" s="2" t="s">
        <v>200</v>
      </c>
    </row>
    <row r="18300" spans="1:1" ht="12.75">
      <c r="A18300" s="2" t="s">
        <v>200</v>
      </c>
    </row>
    <row r="18301" spans="1:1" ht="12.75">
      <c r="A18301" s="2" t="s">
        <v>200</v>
      </c>
    </row>
    <row r="18302" spans="1:1" ht="12.75">
      <c r="A18302" s="2" t="s">
        <v>200</v>
      </c>
    </row>
    <row r="18303" spans="1:1" ht="12.75">
      <c r="A18303" s="2" t="s">
        <v>200</v>
      </c>
    </row>
    <row r="18304" spans="1:1" ht="12.75">
      <c r="A18304" s="2" t="s">
        <v>200</v>
      </c>
    </row>
    <row r="18305" spans="1:1" ht="12.75">
      <c r="A18305" s="2" t="s">
        <v>200</v>
      </c>
    </row>
    <row r="18306" spans="1:1" ht="12.75">
      <c r="A18306" s="2" t="s">
        <v>200</v>
      </c>
    </row>
    <row r="18307" spans="1:1" ht="12.75">
      <c r="A18307" s="2" t="s">
        <v>200</v>
      </c>
    </row>
    <row r="18308" spans="1:1" ht="12.75">
      <c r="A18308" s="2" t="s">
        <v>200</v>
      </c>
    </row>
    <row r="18309" spans="1:1" ht="12.75">
      <c r="A18309" s="2" t="s">
        <v>200</v>
      </c>
    </row>
    <row r="18310" spans="1:1" ht="12.75">
      <c r="A18310" s="2" t="s">
        <v>200</v>
      </c>
    </row>
    <row r="18311" spans="1:1" ht="12.75">
      <c r="A18311" s="2" t="s">
        <v>757</v>
      </c>
    </row>
    <row r="18312" spans="1:1" ht="12.75">
      <c r="A18312" s="2" t="s">
        <v>757</v>
      </c>
    </row>
    <row r="18313" spans="1:1" ht="12.75">
      <c r="A18313" s="2" t="s">
        <v>758</v>
      </c>
    </row>
    <row r="18314" spans="1:1" ht="12.75">
      <c r="A18314" s="2" t="s">
        <v>758</v>
      </c>
    </row>
    <row r="18315" spans="1:1" ht="12.75">
      <c r="A18315" s="2" t="s">
        <v>758</v>
      </c>
    </row>
    <row r="18316" spans="1:1" ht="12.75">
      <c r="A18316" s="2" t="s">
        <v>758</v>
      </c>
    </row>
    <row r="18317" spans="1:1" ht="12.75">
      <c r="A18317" s="2" t="s">
        <v>758</v>
      </c>
    </row>
    <row r="18318" spans="1:1" ht="12.75">
      <c r="A18318" s="2" t="s">
        <v>758</v>
      </c>
    </row>
    <row r="18319" spans="1:1" ht="12.75">
      <c r="A18319" s="2" t="s">
        <v>757</v>
      </c>
    </row>
    <row r="18320" spans="1:1" ht="12.75">
      <c r="A18320" s="2" t="s">
        <v>757</v>
      </c>
    </row>
    <row r="18321" spans="1:1" ht="12.75">
      <c r="A18321" s="2" t="s">
        <v>759</v>
      </c>
    </row>
    <row r="18322" spans="1:1" ht="12.75">
      <c r="A18322" s="2" t="s">
        <v>760</v>
      </c>
    </row>
    <row r="18323" spans="1:1" ht="12.75">
      <c r="A18323" s="2" t="s">
        <v>761</v>
      </c>
    </row>
    <row r="18324" spans="1:1" ht="12.75">
      <c r="A18324" s="2" t="s">
        <v>761</v>
      </c>
    </row>
    <row r="18325" spans="1:1" ht="12.75">
      <c r="A18325" s="2" t="s">
        <v>296</v>
      </c>
    </row>
    <row r="18326" spans="1:1" ht="12.75">
      <c r="A18326" s="2" t="s">
        <v>289</v>
      </c>
    </row>
    <row r="18327" spans="1:1" ht="12.75">
      <c r="A18327" s="2" t="s">
        <v>762</v>
      </c>
    </row>
    <row r="18328" spans="1:1" ht="12.75">
      <c r="A18328" s="2" t="s">
        <v>292</v>
      </c>
    </row>
    <row r="18329" spans="1:1" ht="12.75">
      <c r="A18329" s="2" t="s">
        <v>293</v>
      </c>
    </row>
    <row r="18330" spans="1:1" ht="12.75">
      <c r="A18330" s="2" t="s">
        <v>299</v>
      </c>
    </row>
    <row r="18331" spans="1:1" ht="12.75">
      <c r="A18331" s="2" t="s">
        <v>299</v>
      </c>
    </row>
    <row r="18332" spans="1:1" ht="12.75">
      <c r="A18332" s="2" t="s">
        <v>298</v>
      </c>
    </row>
    <row r="18333" spans="1:1" ht="12.75">
      <c r="A18333" s="2" t="s">
        <v>298</v>
      </c>
    </row>
    <row r="18334" spans="1:1" ht="12.75">
      <c r="A18334" s="2" t="s">
        <v>298</v>
      </c>
    </row>
    <row r="18335" spans="1:1" ht="12.75">
      <c r="A18335" s="2" t="s">
        <v>763</v>
      </c>
    </row>
    <row r="18336" spans="1:1" ht="12.75">
      <c r="A18336" s="2" t="s">
        <v>298</v>
      </c>
    </row>
    <row r="18337" spans="1:1" ht="12.75">
      <c r="A18337" s="2" t="s">
        <v>290</v>
      </c>
    </row>
    <row r="18338" spans="1:1" ht="12.75">
      <c r="A18338" s="2" t="s">
        <v>290</v>
      </c>
    </row>
    <row r="18339" spans="1:1" ht="12.75">
      <c r="A18339" s="2" t="s">
        <v>289</v>
      </c>
    </row>
    <row r="18340" spans="1:1" ht="12.75">
      <c r="A18340" s="2" t="s">
        <v>298</v>
      </c>
    </row>
    <row r="18341" spans="1:1" ht="12.75">
      <c r="A18341" s="2" t="s">
        <v>289</v>
      </c>
    </row>
    <row r="18342" spans="1:1" ht="12.75">
      <c r="A18342" s="2" t="s">
        <v>289</v>
      </c>
    </row>
    <row r="18343" spans="1:1" ht="12.75">
      <c r="A18343" s="2" t="s">
        <v>296</v>
      </c>
    </row>
    <row r="18344" spans="1:1" ht="12.75">
      <c r="A18344" s="2" t="s">
        <v>763</v>
      </c>
    </row>
    <row r="18345" spans="1:1" ht="12.75">
      <c r="A18345" s="2" t="s">
        <v>762</v>
      </c>
    </row>
    <row r="18346" spans="1:1" ht="12.75">
      <c r="A18346" s="2" t="s">
        <v>762</v>
      </c>
    </row>
    <row r="18347" spans="1:1" ht="12.75">
      <c r="A18347" s="2" t="s">
        <v>761</v>
      </c>
    </row>
    <row r="18348" spans="1:1" ht="12.75">
      <c r="A18348" s="2" t="s">
        <v>761</v>
      </c>
    </row>
    <row r="18349" spans="1:1" ht="12.75">
      <c r="A18349" s="2" t="s">
        <v>290</v>
      </c>
    </row>
    <row r="18350" spans="1:1" ht="12.75">
      <c r="A18350" s="2" t="s">
        <v>290</v>
      </c>
    </row>
    <row r="18351" spans="1:1" ht="12.75">
      <c r="A18351" s="2" t="s">
        <v>299</v>
      </c>
    </row>
    <row r="18352" spans="1:1" ht="12.75">
      <c r="A18352" s="2" t="s">
        <v>299</v>
      </c>
    </row>
    <row r="18353" spans="1:1" ht="12.75">
      <c r="A18353" s="2" t="s">
        <v>291</v>
      </c>
    </row>
    <row r="18354" spans="1:1" ht="12.75">
      <c r="A18354" s="2" t="s">
        <v>291</v>
      </c>
    </row>
    <row r="18355" spans="1:1" ht="12.75">
      <c r="A18355" s="2" t="s">
        <v>752</v>
      </c>
    </row>
    <row r="18356" spans="1:1" ht="12.75">
      <c r="A18356" s="2" t="s">
        <v>752</v>
      </c>
    </row>
    <row r="18357" spans="1:1" ht="12.75">
      <c r="A18357" s="2" t="s">
        <v>752</v>
      </c>
    </row>
    <row r="18358" spans="1:1" ht="12.75">
      <c r="A18358" s="2" t="s">
        <v>752</v>
      </c>
    </row>
    <row r="18359" spans="1:1" ht="12.75">
      <c r="A18359" s="2" t="s">
        <v>752</v>
      </c>
    </row>
    <row r="18360" spans="1:1" ht="12.75">
      <c r="A18360" s="2" t="s">
        <v>752</v>
      </c>
    </row>
    <row r="18361" spans="1:1" ht="12.75">
      <c r="A18361" s="2" t="s">
        <v>752</v>
      </c>
    </row>
    <row r="18362" spans="1:1" ht="12.75">
      <c r="A18362" s="2" t="s">
        <v>752</v>
      </c>
    </row>
    <row r="18363" spans="1:1" ht="12.75">
      <c r="A18363" s="2" t="s">
        <v>753</v>
      </c>
    </row>
    <row r="18364" spans="1:1" ht="12.75">
      <c r="A18364" s="2" t="s">
        <v>753</v>
      </c>
    </row>
    <row r="18365" spans="1:1" ht="12.75">
      <c r="A18365" s="2" t="s">
        <v>764</v>
      </c>
    </row>
    <row r="18366" spans="1:1" ht="12.75">
      <c r="A18366" s="2" t="s">
        <v>752</v>
      </c>
    </row>
    <row r="18367" spans="1:1" ht="12.75">
      <c r="A18367" s="2" t="s">
        <v>753</v>
      </c>
    </row>
    <row r="18368" spans="1:1" ht="12.75">
      <c r="A18368" s="2" t="s">
        <v>753</v>
      </c>
    </row>
    <row r="18369" spans="1:1" ht="12.75">
      <c r="A18369" s="2" t="s">
        <v>752</v>
      </c>
    </row>
    <row r="18370" spans="1:1" ht="12.75">
      <c r="A18370" s="2" t="s">
        <v>752</v>
      </c>
    </row>
    <row r="18371" spans="1:1" ht="12.75">
      <c r="A18371" s="2" t="s">
        <v>753</v>
      </c>
    </row>
    <row r="18372" spans="1:1" ht="12.75">
      <c r="A18372" s="2" t="s">
        <v>753</v>
      </c>
    </row>
    <row r="18373" spans="1:1" ht="12.75">
      <c r="A18373" s="2" t="s">
        <v>752</v>
      </c>
    </row>
    <row r="18374" spans="1:1" ht="12.75">
      <c r="A18374" s="2" t="s">
        <v>752</v>
      </c>
    </row>
    <row r="18375" spans="1:1" ht="12.75">
      <c r="A18375" s="2" t="s">
        <v>752</v>
      </c>
    </row>
    <row r="18376" spans="1:1" ht="12.75">
      <c r="A18376" s="2" t="s">
        <v>753</v>
      </c>
    </row>
    <row r="18377" spans="1:1" ht="12.75">
      <c r="A18377" s="2" t="s">
        <v>765</v>
      </c>
    </row>
    <row r="18378" spans="1:1" ht="12.75">
      <c r="A18378" s="2" t="s">
        <v>753</v>
      </c>
    </row>
    <row r="18379" spans="1:1" ht="12.75">
      <c r="A18379" s="2" t="s">
        <v>757</v>
      </c>
    </row>
    <row r="18380" spans="1:1" ht="12.75">
      <c r="A18380" s="2" t="s">
        <v>757</v>
      </c>
    </row>
    <row r="18381" spans="1:1" ht="12.75">
      <c r="A18381" s="2" t="s">
        <v>757</v>
      </c>
    </row>
    <row r="18382" spans="1:1" ht="12.75">
      <c r="A18382" s="2" t="s">
        <v>757</v>
      </c>
    </row>
    <row r="18383" spans="1:1" ht="12.75">
      <c r="A18383" s="2" t="s">
        <v>758</v>
      </c>
    </row>
    <row r="18384" spans="1:1" ht="12.75">
      <c r="A18384" s="2" t="s">
        <v>758</v>
      </c>
    </row>
    <row r="18385" spans="1:1" ht="12.75">
      <c r="A18385" s="2" t="s">
        <v>766</v>
      </c>
    </row>
    <row r="18386" spans="1:1" ht="12.75">
      <c r="A18386" s="2" t="s">
        <v>767</v>
      </c>
    </row>
    <row r="18387" spans="1:1" ht="12.75">
      <c r="A18387" s="2" t="s">
        <v>758</v>
      </c>
    </row>
    <row r="18388" spans="1:1" ht="12.75">
      <c r="A18388" s="2" t="s">
        <v>766</v>
      </c>
    </row>
    <row r="18389" spans="1:1" ht="12.75">
      <c r="A18389" s="2" t="s">
        <v>762</v>
      </c>
    </row>
    <row r="18390" spans="1:1" ht="12.75">
      <c r="A18390" s="2" t="s">
        <v>761</v>
      </c>
    </row>
    <row r="18391" spans="1:1" ht="12.75">
      <c r="A18391" s="2" t="s">
        <v>296</v>
      </c>
    </row>
    <row r="18392" spans="1:1" ht="12.75">
      <c r="A18392" s="2" t="s">
        <v>761</v>
      </c>
    </row>
    <row r="18393" spans="1:1" ht="12.75">
      <c r="A18393" s="2" t="s">
        <v>762</v>
      </c>
    </row>
    <row r="18394" spans="1:1" ht="12.75">
      <c r="A18394" s="2" t="s">
        <v>762</v>
      </c>
    </row>
    <row r="18395" spans="1:1" ht="12.75">
      <c r="A18395" s="2" t="s">
        <v>289</v>
      </c>
    </row>
    <row r="18396" spans="1:1" ht="12.75">
      <c r="A18396" s="2" t="s">
        <v>289</v>
      </c>
    </row>
    <row r="18397" spans="1:1" ht="12.75">
      <c r="A18397" s="2" t="s">
        <v>768</v>
      </c>
    </row>
    <row r="18398" spans="1:1" ht="12.75">
      <c r="A18398" s="2" t="s">
        <v>768</v>
      </c>
    </row>
    <row r="18399" spans="1:1" ht="12.75">
      <c r="A18399" s="2" t="s">
        <v>768</v>
      </c>
    </row>
    <row r="18400" spans="1:1" ht="12.75">
      <c r="A18400" s="2" t="s">
        <v>768</v>
      </c>
    </row>
    <row r="18401" spans="1:1" ht="12.75">
      <c r="A18401" s="2" t="s">
        <v>768</v>
      </c>
    </row>
    <row r="18402" spans="1:1" ht="12.75">
      <c r="A18402" s="2" t="s">
        <v>768</v>
      </c>
    </row>
    <row r="18403" spans="1:1" ht="12.75">
      <c r="A18403" s="2" t="s">
        <v>768</v>
      </c>
    </row>
    <row r="18404" spans="1:1" ht="12.75">
      <c r="A18404" s="2" t="s">
        <v>768</v>
      </c>
    </row>
    <row r="18405" spans="1:1" ht="12.75">
      <c r="A18405" s="2" t="s">
        <v>768</v>
      </c>
    </row>
    <row r="18406" spans="1:1" ht="12.75">
      <c r="A18406" s="2" t="s">
        <v>768</v>
      </c>
    </row>
    <row r="18407" spans="1:1" ht="12.75">
      <c r="A18407" s="2" t="s">
        <v>768</v>
      </c>
    </row>
    <row r="18408" spans="1:1" ht="12.75">
      <c r="A18408" s="2" t="s">
        <v>768</v>
      </c>
    </row>
    <row r="18409" spans="1:1" ht="12.75">
      <c r="A18409" s="2" t="s">
        <v>768</v>
      </c>
    </row>
    <row r="18410" spans="1:1" ht="12.75">
      <c r="A18410" s="2" t="s">
        <v>768</v>
      </c>
    </row>
    <row r="18411" spans="1:1" ht="12.75">
      <c r="A18411" s="2" t="s">
        <v>768</v>
      </c>
    </row>
    <row r="18412" spans="1:1" ht="12.75">
      <c r="A18412" s="2" t="s">
        <v>768</v>
      </c>
    </row>
    <row r="18413" spans="1:1" ht="12.75">
      <c r="A18413" s="2" t="s">
        <v>768</v>
      </c>
    </row>
    <row r="18414" spans="1:1" ht="12.75">
      <c r="A18414" s="2" t="s">
        <v>768</v>
      </c>
    </row>
    <row r="18415" spans="1:1" ht="12.75">
      <c r="A18415" s="2" t="s">
        <v>768</v>
      </c>
    </row>
    <row r="18416" spans="1:1" ht="12.75">
      <c r="A18416" s="2" t="s">
        <v>768</v>
      </c>
    </row>
    <row r="18417" spans="1:1" ht="12.75">
      <c r="A18417" s="2" t="s">
        <v>298</v>
      </c>
    </row>
    <row r="18418" spans="1:1" ht="12.75">
      <c r="A18418" s="2" t="s">
        <v>289</v>
      </c>
    </row>
    <row r="18419" spans="1:1" ht="12.75">
      <c r="A18419" s="2" t="s">
        <v>291</v>
      </c>
    </row>
    <row r="18420" spans="1:1" ht="12.75">
      <c r="A18420" s="2" t="s">
        <v>298</v>
      </c>
    </row>
    <row r="18421" spans="1:1" ht="12.75">
      <c r="A18421" s="2" t="s">
        <v>291</v>
      </c>
    </row>
    <row r="18422" spans="1:1" ht="12.75">
      <c r="A18422" s="2" t="s">
        <v>291</v>
      </c>
    </row>
    <row r="18423" spans="1:1" ht="12.75">
      <c r="A18423" s="2" t="s">
        <v>299</v>
      </c>
    </row>
    <row r="18424" spans="1:1" ht="12.75">
      <c r="A18424" s="2" t="s">
        <v>299</v>
      </c>
    </row>
    <row r="18425" spans="1:1" ht="12.75">
      <c r="A18425" s="2" t="s">
        <v>289</v>
      </c>
    </row>
    <row r="18426" spans="1:1" ht="12.75">
      <c r="A18426" s="2" t="s">
        <v>292</v>
      </c>
    </row>
    <row r="18427" spans="1:1" ht="12.75">
      <c r="A18427" s="2" t="s">
        <v>753</v>
      </c>
    </row>
    <row r="18428" spans="1:1" ht="12.75">
      <c r="A18428" s="2" t="s">
        <v>753</v>
      </c>
    </row>
    <row r="18429" spans="1:1" ht="12.75">
      <c r="A18429" s="2" t="s">
        <v>292</v>
      </c>
    </row>
    <row r="18430" spans="1:1" ht="12.75">
      <c r="A18430" s="2" t="s">
        <v>293</v>
      </c>
    </row>
    <row r="18431" spans="1:1" ht="12.75">
      <c r="A18431" s="2" t="s">
        <v>292</v>
      </c>
    </row>
    <row r="18432" spans="1:1" ht="12.75">
      <c r="A18432" s="2" t="s">
        <v>292</v>
      </c>
    </row>
    <row r="18433" spans="1:1" ht="12.75">
      <c r="A18433" s="2" t="s">
        <v>290</v>
      </c>
    </row>
    <row r="18434" spans="1:1" ht="12.75">
      <c r="A18434" s="2" t="s">
        <v>290</v>
      </c>
    </row>
    <row r="18435" spans="1:1" ht="12.75">
      <c r="A18435" s="2" t="s">
        <v>291</v>
      </c>
    </row>
    <row r="18436" spans="1:1" ht="12.75">
      <c r="A18436" s="2" t="s">
        <v>290</v>
      </c>
    </row>
    <row r="18437" spans="1:1" ht="12.75">
      <c r="A18437" s="2" t="s">
        <v>291</v>
      </c>
    </row>
    <row r="18438" spans="1:1" ht="12.75">
      <c r="A18438" s="2" t="s">
        <v>296</v>
      </c>
    </row>
    <row r="18439" spans="1:1" ht="12.75">
      <c r="A18439" s="2" t="s">
        <v>213</v>
      </c>
    </row>
    <row r="18440" spans="1:1" ht="12.75">
      <c r="A18440" s="2" t="s">
        <v>213</v>
      </c>
    </row>
    <row r="18448" spans="1:1" ht="12.75">
      <c r="A18448" s="2" t="s">
        <v>151</v>
      </c>
    </row>
    <row r="18451" spans="1:1" ht="12.75">
      <c r="A18451" s="2" t="s">
        <v>769</v>
      </c>
    </row>
    <row r="18452" spans="1:1" ht="12.75">
      <c r="A18452" s="2" t="s">
        <v>769</v>
      </c>
    </row>
    <row r="18453" spans="1:1" ht="12.75">
      <c r="A18453" s="2" t="s">
        <v>256</v>
      </c>
    </row>
    <row r="18454" spans="1:1" ht="12.75">
      <c r="A18454" s="2" t="s">
        <v>256</v>
      </c>
    </row>
    <row r="18455" spans="1:1" ht="12.75">
      <c r="A18455" s="2" t="s">
        <v>252</v>
      </c>
    </row>
    <row r="18456" spans="1:1" ht="12.75">
      <c r="A18456" s="2" t="s">
        <v>252</v>
      </c>
    </row>
    <row r="18457" spans="1:1" ht="12.75">
      <c r="A18457" s="2" t="s">
        <v>254</v>
      </c>
    </row>
    <row r="18458" spans="1:1" ht="12.75">
      <c r="A18458" s="2" t="s">
        <v>254</v>
      </c>
    </row>
    <row r="18459" spans="1:1" ht="12.75">
      <c r="A18459" s="2" t="s">
        <v>254</v>
      </c>
    </row>
    <row r="18460" spans="1:1" ht="12.75">
      <c r="A18460" s="2" t="s">
        <v>254</v>
      </c>
    </row>
    <row r="18461" spans="1:1" ht="12.75">
      <c r="A18461" s="2" t="s">
        <v>769</v>
      </c>
    </row>
    <row r="18462" spans="1:1" ht="12.75">
      <c r="A18462" s="2" t="s">
        <v>769</v>
      </c>
    </row>
    <row r="18463" spans="1:1" ht="12.75">
      <c r="A18463" s="2" t="s">
        <v>253</v>
      </c>
    </row>
    <row r="18464" spans="1:1" ht="12.75">
      <c r="A18464" s="2" t="s">
        <v>253</v>
      </c>
    </row>
    <row r="18465" spans="1:1" ht="12.75">
      <c r="A18465" s="2" t="s">
        <v>769</v>
      </c>
    </row>
    <row r="18466" spans="1:1" ht="12.75">
      <c r="A18466" s="2" t="s">
        <v>769</v>
      </c>
    </row>
    <row r="18467" spans="1:1" ht="12.75">
      <c r="A18467" s="2" t="s">
        <v>256</v>
      </c>
    </row>
    <row r="18468" spans="1:1" ht="12.75">
      <c r="A18468" s="2" t="s">
        <v>256</v>
      </c>
    </row>
    <row r="18469" spans="1:1" ht="12.75">
      <c r="A18469" s="2" t="s">
        <v>151</v>
      </c>
    </row>
    <row r="18470" spans="1:1" ht="12.75">
      <c r="A18470" s="2" t="s">
        <v>151</v>
      </c>
    </row>
    <row r="18471" spans="1:1" ht="12.75">
      <c r="A18471" s="2" t="s">
        <v>151</v>
      </c>
    </row>
    <row r="18472" spans="1:1" ht="12.75">
      <c r="A18472" s="2" t="s">
        <v>151</v>
      </c>
    </row>
    <row r="18473" spans="1:1" ht="12.75">
      <c r="A18473" s="2" t="s">
        <v>151</v>
      </c>
    </row>
    <row r="18474" spans="1:1" ht="12.75">
      <c r="A18474" s="2" t="s">
        <v>151</v>
      </c>
    </row>
    <row r="18475" spans="1:1" ht="12.75">
      <c r="A18475" s="2" t="s">
        <v>151</v>
      </c>
    </row>
    <row r="18476" spans="1:1" ht="12.75">
      <c r="A18476" s="2" t="s">
        <v>151</v>
      </c>
    </row>
    <row r="18477" spans="1:1" ht="12.75">
      <c r="A18477" s="2" t="s">
        <v>265</v>
      </c>
    </row>
    <row r="18478" spans="1:1" ht="12.75">
      <c r="A18478" s="2" t="s">
        <v>151</v>
      </c>
    </row>
    <row r="18479" spans="1:1" ht="12.75">
      <c r="A18479" s="2" t="s">
        <v>319</v>
      </c>
    </row>
    <row r="18480" spans="1:1" ht="12.75">
      <c r="A18480" s="2" t="s">
        <v>319</v>
      </c>
    </row>
    <row r="18481" spans="1:1" ht="12.75">
      <c r="A18481" s="2" t="s">
        <v>516</v>
      </c>
    </row>
    <row r="18482" spans="1:1" ht="12.75">
      <c r="A18482" s="2" t="s">
        <v>253</v>
      </c>
    </row>
    <row r="18483" spans="1:1" ht="12.75">
      <c r="A18483" s="2" t="s">
        <v>769</v>
      </c>
    </row>
    <row r="18484" spans="1:1" ht="12.75">
      <c r="A18484" s="2" t="s">
        <v>769</v>
      </c>
    </row>
    <row r="18485" spans="1:1" ht="12.75">
      <c r="A18485" s="2" t="s">
        <v>253</v>
      </c>
    </row>
    <row r="18486" spans="1:1" ht="12.75">
      <c r="A18486" s="2" t="s">
        <v>253</v>
      </c>
    </row>
    <row r="18487" spans="1:1" ht="12.75">
      <c r="A18487" s="2" t="s">
        <v>256</v>
      </c>
    </row>
    <row r="18488" spans="1:1" ht="12.75">
      <c r="A18488" s="2" t="s">
        <v>256</v>
      </c>
    </row>
    <row r="18489" spans="1:1" ht="12.75">
      <c r="A18489" s="2" t="s">
        <v>254</v>
      </c>
    </row>
    <row r="18490" spans="1:1" ht="12.75">
      <c r="A18490" s="2" t="s">
        <v>254</v>
      </c>
    </row>
    <row r="18491" spans="1:1" ht="12.75">
      <c r="A18491" s="2" t="s">
        <v>256</v>
      </c>
    </row>
    <row r="18492" spans="1:1" ht="12.75">
      <c r="A18492" s="2" t="s">
        <v>256</v>
      </c>
    </row>
    <row r="18494" spans="1:1" ht="12.75">
      <c r="A18494" s="2" t="s">
        <v>238</v>
      </c>
    </row>
    <row r="18495" spans="1:1" ht="12.75">
      <c r="A18495" s="2" t="s">
        <v>768</v>
      </c>
    </row>
    <row r="18496" spans="1:1" ht="12.75">
      <c r="A18496" s="2" t="s">
        <v>768</v>
      </c>
    </row>
    <row r="18497" spans="1:1" ht="12.75">
      <c r="A18497" s="2" t="s">
        <v>761</v>
      </c>
    </row>
    <row r="18498" spans="1:1" ht="12.75">
      <c r="A18498" s="2" t="s">
        <v>242</v>
      </c>
    </row>
    <row r="18499" spans="1:1" ht="12.75">
      <c r="A18499" s="2" t="s">
        <v>761</v>
      </c>
    </row>
    <row r="18500" spans="1:1" ht="12.75">
      <c r="A18500" s="2" t="s">
        <v>762</v>
      </c>
    </row>
    <row r="18501" spans="1:1" ht="12.75">
      <c r="A18501" s="2" t="s">
        <v>762</v>
      </c>
    </row>
    <row r="18502" spans="1:1" ht="12.75">
      <c r="A18502" s="2" t="s">
        <v>762</v>
      </c>
    </row>
    <row r="18503" spans="1:1" ht="12.75">
      <c r="A18503" s="2" t="s">
        <v>290</v>
      </c>
    </row>
    <row r="18504" spans="1:1" ht="12.75">
      <c r="A18504" s="2" t="s">
        <v>293</v>
      </c>
    </row>
    <row r="18505" spans="1:1" ht="12.75">
      <c r="A18505" s="2" t="s">
        <v>289</v>
      </c>
    </row>
    <row r="18506" spans="1:1" ht="12.75">
      <c r="A18506" s="2" t="s">
        <v>289</v>
      </c>
    </row>
    <row r="18507" spans="1:1" ht="12.75">
      <c r="A18507" s="2" t="s">
        <v>298</v>
      </c>
    </row>
    <row r="18508" spans="1:1" ht="12.75">
      <c r="A18508" s="2" t="s">
        <v>242</v>
      </c>
    </row>
    <row r="18509" spans="1:1" ht="12.75">
      <c r="A18509" s="2" t="s">
        <v>292</v>
      </c>
    </row>
    <row r="18510" spans="1:1" ht="12.75">
      <c r="A18510" s="2" t="s">
        <v>292</v>
      </c>
    </row>
    <row r="18511" spans="1:1" ht="12.75">
      <c r="A18511" s="2" t="s">
        <v>297</v>
      </c>
    </row>
    <row r="18512" spans="1:1" ht="12.75">
      <c r="A18512" s="2" t="s">
        <v>297</v>
      </c>
    </row>
    <row r="18513" spans="1:1" ht="12.75">
      <c r="A18513" s="2" t="s">
        <v>297</v>
      </c>
    </row>
    <row r="18514" spans="1:1" ht="12.75">
      <c r="A18514" s="2" t="s">
        <v>292</v>
      </c>
    </row>
    <row r="18515" spans="1:1" ht="12.75">
      <c r="A18515" s="2" t="s">
        <v>290</v>
      </c>
    </row>
    <row r="18516" spans="1:1" ht="12.75">
      <c r="A18516" s="2" t="s">
        <v>290</v>
      </c>
    </row>
    <row r="18517" spans="1:1" ht="12.75">
      <c r="A18517" s="2" t="s">
        <v>289</v>
      </c>
    </row>
    <row r="18518" spans="1:1" ht="12.75">
      <c r="A18518" s="2" t="s">
        <v>289</v>
      </c>
    </row>
    <row r="18519" spans="1:1" ht="12.75">
      <c r="A18519" s="2" t="s">
        <v>293</v>
      </c>
    </row>
    <row r="18520" spans="1:1" ht="12.75">
      <c r="A18520" s="2" t="s">
        <v>762</v>
      </c>
    </row>
    <row r="18521" spans="1:1" ht="12.75">
      <c r="A18521" s="2" t="s">
        <v>299</v>
      </c>
    </row>
    <row r="18522" spans="1:1" ht="12.75">
      <c r="A18522" s="2" t="s">
        <v>299</v>
      </c>
    </row>
    <row r="18523" spans="1:1" ht="12.75">
      <c r="A18523" s="2" t="s">
        <v>293</v>
      </c>
    </row>
    <row r="18524" spans="1:1" ht="12.75">
      <c r="A18524" s="2" t="s">
        <v>299</v>
      </c>
    </row>
    <row r="18525" spans="1:1" ht="12.75">
      <c r="A18525" s="2" t="s">
        <v>290</v>
      </c>
    </row>
    <row r="18526" spans="1:1" ht="12.75">
      <c r="A18526" s="2" t="s">
        <v>293</v>
      </c>
    </row>
    <row r="18527" spans="1:1" ht="12.75">
      <c r="A18527" s="2" t="s">
        <v>293</v>
      </c>
    </row>
    <row r="18528" spans="1:1" ht="12.75">
      <c r="A18528" s="2" t="s">
        <v>292</v>
      </c>
    </row>
    <row r="18529" spans="1:1" ht="12.75">
      <c r="A18529" s="2" t="s">
        <v>292</v>
      </c>
    </row>
    <row r="18530" spans="1:1" ht="12.75">
      <c r="A18530" s="2" t="s">
        <v>292</v>
      </c>
    </row>
    <row r="18531" spans="1:1" ht="12.75">
      <c r="A18531" s="2" t="s">
        <v>291</v>
      </c>
    </row>
    <row r="18532" spans="1:1" ht="12.75">
      <c r="A18532" s="2" t="s">
        <v>291</v>
      </c>
    </row>
    <row r="18533" spans="1:1" ht="12.75">
      <c r="A18533" s="2" t="s">
        <v>762</v>
      </c>
    </row>
    <row r="18534" spans="1:1" ht="12.75">
      <c r="A18534" s="2" t="s">
        <v>762</v>
      </c>
    </row>
    <row r="18535" spans="1:1" ht="12.75">
      <c r="A18535" s="2" t="s">
        <v>289</v>
      </c>
    </row>
    <row r="18536" spans="1:1" ht="12.75">
      <c r="A18536" s="2" t="s">
        <v>296</v>
      </c>
    </row>
    <row r="18537" spans="1:1" ht="12.75">
      <c r="A18537" s="2" t="s">
        <v>289</v>
      </c>
    </row>
    <row r="18538" spans="1:1" ht="12.75">
      <c r="A18538" s="2" t="s">
        <v>289</v>
      </c>
    </row>
    <row r="18539" spans="1:1" ht="12.75">
      <c r="A18539" s="2" t="s">
        <v>770</v>
      </c>
    </row>
    <row r="18540" spans="1:1" ht="12.75">
      <c r="A18540" s="2" t="s">
        <v>297</v>
      </c>
    </row>
    <row r="18541" spans="1:1" ht="12.75">
      <c r="A18541" s="2" t="s">
        <v>291</v>
      </c>
    </row>
    <row r="18542" spans="1:1" ht="12.75">
      <c r="A18542" s="2" t="s">
        <v>291</v>
      </c>
    </row>
    <row r="18543" spans="1:1" ht="12.75">
      <c r="A18543" s="2" t="s">
        <v>297</v>
      </c>
    </row>
    <row r="18544" spans="1:1" ht="12.75">
      <c r="A18544" s="2" t="s">
        <v>290</v>
      </c>
    </row>
    <row r="18545" spans="1:1" ht="12.75">
      <c r="A18545" s="2" t="s">
        <v>298</v>
      </c>
    </row>
    <row r="18546" spans="1:1" ht="12.75">
      <c r="A18546" s="2" t="s">
        <v>298</v>
      </c>
    </row>
    <row r="18548" spans="1:1" ht="12.75">
      <c r="A18548" s="2" t="s">
        <v>290</v>
      </c>
    </row>
    <row r="18549" spans="1:1" ht="12.75">
      <c r="A18549" s="2" t="s">
        <v>290</v>
      </c>
    </row>
    <row r="18550" spans="1:1" ht="12.75">
      <c r="A18550" s="2" t="s">
        <v>290</v>
      </c>
    </row>
    <row r="18551" spans="1:1" ht="12.75">
      <c r="A18551" s="2" t="s">
        <v>254</v>
      </c>
    </row>
    <row r="18552" spans="1:1" ht="12.75">
      <c r="A18552" s="2" t="s">
        <v>254</v>
      </c>
    </row>
    <row r="18553" spans="1:1" ht="12.75">
      <c r="A18553" s="2" t="s">
        <v>256</v>
      </c>
    </row>
    <row r="18554" spans="1:1" ht="12.75">
      <c r="A18554" s="2" t="s">
        <v>256</v>
      </c>
    </row>
    <row r="18555" spans="1:1" ht="12.75">
      <c r="A18555" s="2" t="s">
        <v>516</v>
      </c>
    </row>
    <row r="18556" spans="1:1" ht="12.75">
      <c r="A18556" s="2" t="s">
        <v>516</v>
      </c>
    </row>
    <row r="18557" spans="1:1" ht="12.75">
      <c r="A18557" s="2" t="s">
        <v>769</v>
      </c>
    </row>
    <row r="18558" spans="1:1" ht="12.75">
      <c r="A18558" s="2" t="s">
        <v>769</v>
      </c>
    </row>
    <row r="18559" spans="1:1" ht="12.75">
      <c r="A18559" s="2" t="s">
        <v>284</v>
      </c>
    </row>
    <row r="18560" spans="1:1" ht="12.75">
      <c r="A18560" s="2" t="s">
        <v>284</v>
      </c>
    </row>
    <row r="18561" spans="1:1" ht="12.75">
      <c r="A18561" s="2" t="s">
        <v>284</v>
      </c>
    </row>
    <row r="18562" spans="1:1" ht="12.75">
      <c r="A18562" s="2" t="s">
        <v>284</v>
      </c>
    </row>
    <row r="18563" spans="1:1" ht="12.75">
      <c r="A18563" s="2" t="s">
        <v>284</v>
      </c>
    </row>
    <row r="18564" spans="1:1" ht="12.75">
      <c r="A18564" s="2" t="s">
        <v>284</v>
      </c>
    </row>
    <row r="18565" spans="1:1" ht="12.75">
      <c r="A18565" s="2" t="s">
        <v>284</v>
      </c>
    </row>
    <row r="18566" spans="1:1" ht="12.75">
      <c r="A18566" s="2" t="s">
        <v>284</v>
      </c>
    </row>
    <row r="18567" spans="1:1" ht="12.75">
      <c r="A18567" s="2" t="s">
        <v>771</v>
      </c>
    </row>
    <row r="18568" spans="1:1" ht="12.75">
      <c r="A18568" s="2" t="s">
        <v>213</v>
      </c>
    </row>
    <row r="18569" spans="1:1" ht="12.75">
      <c r="A18569" s="2" t="s">
        <v>754</v>
      </c>
    </row>
    <row r="18570" spans="1:1" ht="12.75">
      <c r="A18570" s="2" t="s">
        <v>754</v>
      </c>
    </row>
    <row r="18572" spans="1:1" ht="12.75">
      <c r="A18572" s="2" t="s">
        <v>754</v>
      </c>
    </row>
    <row r="18575" spans="1:1" ht="12.75">
      <c r="A18575" s="2" t="s">
        <v>252</v>
      </c>
    </row>
    <row r="18576" spans="1:1" ht="12.75">
      <c r="A18576" s="2" t="s">
        <v>252</v>
      </c>
    </row>
    <row r="18577" spans="1:1" ht="12.75">
      <c r="A18577" s="2" t="s">
        <v>516</v>
      </c>
    </row>
    <row r="18578" spans="1:1" ht="12.75">
      <c r="A18578" s="2" t="s">
        <v>516</v>
      </c>
    </row>
    <row r="18579" spans="1:1" ht="12.75">
      <c r="A18579" s="2" t="s">
        <v>769</v>
      </c>
    </row>
    <row r="18580" spans="1:1" ht="12.75">
      <c r="A18580" s="2" t="s">
        <v>769</v>
      </c>
    </row>
    <row r="18581" spans="1:1" ht="12.75">
      <c r="A18581" s="2" t="s">
        <v>254</v>
      </c>
    </row>
    <row r="18582" spans="1:1" ht="12.75">
      <c r="A18582" s="2" t="s">
        <v>254</v>
      </c>
    </row>
    <row r="18583" spans="1:1" ht="12.75">
      <c r="A18583" s="2" t="s">
        <v>256</v>
      </c>
    </row>
    <row r="18584" spans="1:1" ht="12.75">
      <c r="A18584" s="2" t="s">
        <v>256</v>
      </c>
    </row>
    <row r="18585" spans="1:1" ht="12.75">
      <c r="A18585" s="2" t="s">
        <v>213</v>
      </c>
    </row>
    <row r="18586" spans="1:1" ht="12.75">
      <c r="A18586" s="2" t="s">
        <v>771</v>
      </c>
    </row>
    <row r="18587" spans="1:1" ht="12.75">
      <c r="A18587" s="2" t="s">
        <v>516</v>
      </c>
    </row>
    <row r="18588" spans="1:1" ht="12.75">
      <c r="A18588" s="2" t="s">
        <v>516</v>
      </c>
    </row>
    <row r="18589" spans="1:1" ht="12.75">
      <c r="A18589" s="2" t="s">
        <v>252</v>
      </c>
    </row>
    <row r="18590" spans="1:1" ht="12.75">
      <c r="A18590" s="2" t="s">
        <v>252</v>
      </c>
    </row>
    <row r="18591" spans="1:1" ht="12.75">
      <c r="A18591" s="2" t="s">
        <v>254</v>
      </c>
    </row>
    <row r="18592" spans="1:1" ht="12.75">
      <c r="A18592" s="2" t="s">
        <v>254</v>
      </c>
    </row>
    <row r="18593" spans="1:1" ht="12.75">
      <c r="A18593" s="2" t="s">
        <v>252</v>
      </c>
    </row>
    <row r="18594" spans="1:1" ht="12.75">
      <c r="A18594" s="2" t="s">
        <v>252</v>
      </c>
    </row>
    <row r="18595" spans="1:1" ht="12.75">
      <c r="A18595" s="2" t="s">
        <v>772</v>
      </c>
    </row>
    <row r="18596" spans="1:1" ht="12.75">
      <c r="A18596" s="2" t="s">
        <v>254</v>
      </c>
    </row>
    <row r="18597" spans="1:1" ht="12.75">
      <c r="A18597" s="2" t="s">
        <v>203</v>
      </c>
    </row>
    <row r="18598" spans="1:1" ht="12.75">
      <c r="A18598" s="2" t="s">
        <v>203</v>
      </c>
    </row>
    <row r="18599" spans="1:1" ht="12.75">
      <c r="A18599" s="2" t="s">
        <v>516</v>
      </c>
    </row>
    <row r="18600" spans="1:1" ht="12.75">
      <c r="A18600" s="2" t="s">
        <v>516</v>
      </c>
    </row>
    <row r="18601" spans="1:1" ht="12.75">
      <c r="A18601" s="2" t="s">
        <v>516</v>
      </c>
    </row>
    <row r="18602" spans="1:1" ht="12.75">
      <c r="A18602" s="2" t="s">
        <v>516</v>
      </c>
    </row>
    <row r="18603" spans="1:1" ht="12.75">
      <c r="A18603" s="2" t="s">
        <v>769</v>
      </c>
    </row>
    <row r="18604" spans="1:1" ht="12.75">
      <c r="A18604" s="2" t="s">
        <v>769</v>
      </c>
    </row>
    <row r="18605" spans="1:1" ht="12.75">
      <c r="A18605" s="2" t="s">
        <v>254</v>
      </c>
    </row>
    <row r="18606" spans="1:1" ht="12.75">
      <c r="A18606" s="2" t="s">
        <v>254</v>
      </c>
    </row>
    <row r="18607" spans="1:1" ht="12.75">
      <c r="A18607" s="2" t="s">
        <v>256</v>
      </c>
    </row>
    <row r="18608" spans="1:1" ht="12.75">
      <c r="A18608" s="2" t="s">
        <v>773</v>
      </c>
    </row>
    <row r="18609" spans="1:1" ht="12.75">
      <c r="A18609" s="2" t="s">
        <v>252</v>
      </c>
    </row>
    <row r="18610" spans="1:1" ht="12.75">
      <c r="A18610" s="2" t="s">
        <v>252</v>
      </c>
    </row>
    <row r="18611" spans="1:1" ht="12.75">
      <c r="A18611" s="2" t="s">
        <v>516</v>
      </c>
    </row>
    <row r="18612" spans="1:1" ht="12.75">
      <c r="A18612" s="2" t="s">
        <v>516</v>
      </c>
    </row>
    <row r="18613" spans="1:1" ht="12.75">
      <c r="A18613" s="2" t="s">
        <v>516</v>
      </c>
    </row>
    <row r="18614" spans="1:1" ht="12.75">
      <c r="A18614" s="2" t="s">
        <v>516</v>
      </c>
    </row>
    <row r="18615" spans="1:1" ht="12.75">
      <c r="A18615" s="2" t="s">
        <v>769</v>
      </c>
    </row>
    <row r="18616" spans="1:1" ht="12.75">
      <c r="A18616" s="2" t="s">
        <v>769</v>
      </c>
    </row>
    <row r="18617" spans="1:1" ht="12.75">
      <c r="A18617" s="2" t="s">
        <v>254</v>
      </c>
    </row>
    <row r="18618" spans="1:1" ht="12.75">
      <c r="A18618" s="2" t="s">
        <v>254</v>
      </c>
    </row>
    <row r="18619" spans="1:1" ht="12.75">
      <c r="A18619" s="2" t="s">
        <v>256</v>
      </c>
    </row>
    <row r="18620" spans="1:1" ht="12.75">
      <c r="A18620" s="2" t="s">
        <v>256</v>
      </c>
    </row>
    <row r="18621" spans="1:1" ht="12.75">
      <c r="A18621" s="2" t="s">
        <v>264</v>
      </c>
    </row>
    <row r="18622" spans="1:1" ht="12.75">
      <c r="A18622" s="2" t="s">
        <v>378</v>
      </c>
    </row>
    <row r="18623" spans="1:1" ht="12.75">
      <c r="A18623" s="2" t="s">
        <v>378</v>
      </c>
    </row>
    <row r="18624" spans="1:1" ht="12.75">
      <c r="A18624" s="2" t="s">
        <v>378</v>
      </c>
    </row>
    <row r="18625" spans="1:1" ht="12.75">
      <c r="A18625" s="2" t="s">
        <v>378</v>
      </c>
    </row>
    <row r="18626" spans="1:1" ht="12.75">
      <c r="A18626" s="2" t="s">
        <v>378</v>
      </c>
    </row>
    <row r="18627" spans="1:1" ht="12.75">
      <c r="A18627" s="2" t="s">
        <v>378</v>
      </c>
    </row>
    <row r="18628" spans="1:1" ht="12.75">
      <c r="A18628" s="2" t="s">
        <v>378</v>
      </c>
    </row>
    <row r="18629" spans="1:1" ht="12.75">
      <c r="A18629" s="2" t="s">
        <v>264</v>
      </c>
    </row>
    <row r="18630" spans="1:1" ht="12.75">
      <c r="A18630" s="2" t="s">
        <v>264</v>
      </c>
    </row>
    <row r="18631" spans="1:1" ht="12.75">
      <c r="A18631" s="2" t="s">
        <v>264</v>
      </c>
    </row>
    <row r="18632" spans="1:1" ht="12.75">
      <c r="A18632" s="2" t="s">
        <v>264</v>
      </c>
    </row>
    <row r="18633" spans="1:1" ht="12.75">
      <c r="A18633" s="2" t="s">
        <v>213</v>
      </c>
    </row>
    <row r="18634" spans="1:1" ht="12.75">
      <c r="A18634" s="2" t="s">
        <v>771</v>
      </c>
    </row>
    <row r="18635" spans="1:1" ht="12.75">
      <c r="A18635" s="2" t="s">
        <v>378</v>
      </c>
    </row>
    <row r="18636" spans="1:1" ht="12.75">
      <c r="A18636" s="2" t="s">
        <v>378</v>
      </c>
    </row>
    <row r="18637" spans="1:1" ht="12.75">
      <c r="A18637" s="2" t="s">
        <v>264</v>
      </c>
    </row>
    <row r="18638" spans="1:1" ht="12.75">
      <c r="A18638" s="2" t="s">
        <v>264</v>
      </c>
    </row>
    <row r="18639" spans="1:1" ht="12.75">
      <c r="A18639" s="2" t="s">
        <v>378</v>
      </c>
    </row>
    <row r="18640" spans="1:1" ht="12.75">
      <c r="A18640" s="2" t="s">
        <v>378</v>
      </c>
    </row>
    <row r="18641" spans="1:1" ht="12.75">
      <c r="A18641" s="2" t="s">
        <v>264</v>
      </c>
    </row>
    <row r="18642" spans="1:1" ht="12.75">
      <c r="A18642" s="2" t="s">
        <v>264</v>
      </c>
    </row>
    <row r="18643" spans="1:1" ht="12.75">
      <c r="A18643" s="2" t="s">
        <v>378</v>
      </c>
    </row>
    <row r="18644" spans="1:1" ht="12.75">
      <c r="A18644" s="2" t="s">
        <v>378</v>
      </c>
    </row>
    <row r="18645" spans="1:1" ht="12.75">
      <c r="A18645" s="2" t="s">
        <v>197</v>
      </c>
    </row>
    <row r="18646" spans="1:1" ht="12.75">
      <c r="A18646" s="2" t="s">
        <v>152</v>
      </c>
    </row>
    <row r="18647" spans="1:1" ht="12.75">
      <c r="A18647" s="2" t="s">
        <v>264</v>
      </c>
    </row>
    <row r="18648" spans="1:1" ht="12.75">
      <c r="A18648" s="2" t="s">
        <v>264</v>
      </c>
    </row>
    <row r="18649" spans="1:1" ht="12.75">
      <c r="A18649" s="2" t="s">
        <v>284</v>
      </c>
    </row>
    <row r="18650" spans="1:1" ht="12.75">
      <c r="A18650" s="2" t="s">
        <v>284</v>
      </c>
    </row>
    <row r="18743" spans="1:1" ht="12.75">
      <c r="A18743" s="2" t="s">
        <v>284</v>
      </c>
    </row>
    <row r="18744" spans="1:1" ht="12.75">
      <c r="A18744" s="2" t="s">
        <v>284</v>
      </c>
    </row>
    <row r="18745" spans="1:1" ht="12.75">
      <c r="A18745" s="2" t="s">
        <v>284</v>
      </c>
    </row>
    <row r="18746" spans="1:1" ht="12.75">
      <c r="A18746" s="2" t="s">
        <v>284</v>
      </c>
    </row>
    <row r="18747" spans="1:1" ht="12.75">
      <c r="A18747" s="2" t="s">
        <v>284</v>
      </c>
    </row>
    <row r="18748" spans="1:1" ht="12.75">
      <c r="A18748" s="2" t="s">
        <v>284</v>
      </c>
    </row>
    <row r="18749" spans="1:1" ht="12.75">
      <c r="A18749" s="2" t="s">
        <v>252</v>
      </c>
    </row>
    <row r="18750" spans="1:1" ht="12.75">
      <c r="A18750" s="2" t="s">
        <v>252</v>
      </c>
    </row>
    <row r="18751" spans="1:1" ht="12.75">
      <c r="A18751" s="2" t="s">
        <v>313</v>
      </c>
    </row>
    <row r="18752" spans="1:1" ht="12.75">
      <c r="A18752" s="2" t="s">
        <v>310</v>
      </c>
    </row>
    <row r="18753" spans="1:1" ht="12.75">
      <c r="A18753" s="2" t="s">
        <v>312</v>
      </c>
    </row>
    <row r="18754" spans="1:1" ht="12.75">
      <c r="A18754" s="2" t="s">
        <v>313</v>
      </c>
    </row>
    <row r="18755" spans="1:1" ht="12.75">
      <c r="A18755" s="2" t="s">
        <v>774</v>
      </c>
    </row>
    <row r="18756" spans="1:1" ht="12.75">
      <c r="A18756" s="2" t="s">
        <v>774</v>
      </c>
    </row>
    <row r="18757" spans="1:1" ht="12.75">
      <c r="A18757" s="2" t="s">
        <v>309</v>
      </c>
    </row>
    <row r="18758" spans="1:1" ht="12.75">
      <c r="A18758" s="2" t="s">
        <v>774</v>
      </c>
    </row>
    <row r="18759" spans="1:1" ht="12.75">
      <c r="A18759" s="2" t="s">
        <v>309</v>
      </c>
    </row>
    <row r="18760" spans="1:1" ht="12.75">
      <c r="A18760" s="2" t="s">
        <v>312</v>
      </c>
    </row>
    <row r="18761" spans="1:1" ht="12.75">
      <c r="A18761" s="2" t="s">
        <v>311</v>
      </c>
    </row>
    <row r="18762" spans="1:1" ht="12.75">
      <c r="A18762" s="2" t="s">
        <v>312</v>
      </c>
    </row>
    <row r="18763" spans="1:1" ht="12.75">
      <c r="A18763" s="2" t="s">
        <v>313</v>
      </c>
    </row>
    <row r="18764" spans="1:1" ht="12.75">
      <c r="A18764" s="2" t="s">
        <v>774</v>
      </c>
    </row>
    <row r="18765" spans="1:1" ht="12.75">
      <c r="A18765" s="2" t="s">
        <v>313</v>
      </c>
    </row>
    <row r="18766" spans="1:1" ht="12.75">
      <c r="A18766" s="2" t="s">
        <v>775</v>
      </c>
    </row>
    <row r="18767" spans="1:1" ht="12.75">
      <c r="A18767" s="2" t="s">
        <v>190</v>
      </c>
    </row>
    <row r="18768" spans="1:1" ht="12.75">
      <c r="A18768" s="2" t="s">
        <v>313</v>
      </c>
    </row>
    <row r="18769" spans="1:1" ht="12.75">
      <c r="A18769" s="2" t="s">
        <v>309</v>
      </c>
    </row>
    <row r="18770" spans="1:1" ht="12.75">
      <c r="A18770" s="2" t="s">
        <v>313</v>
      </c>
    </row>
    <row r="18771" spans="1:1" ht="12.75">
      <c r="A18771" s="2" t="s">
        <v>309</v>
      </c>
    </row>
    <row r="18772" spans="1:1" ht="12.75">
      <c r="A18772" s="2" t="s">
        <v>774</v>
      </c>
    </row>
    <row r="18773" spans="1:1" ht="12.75">
      <c r="A18773" s="2" t="s">
        <v>311</v>
      </c>
    </row>
    <row r="18774" spans="1:1" ht="12.75">
      <c r="A18774" s="2" t="s">
        <v>774</v>
      </c>
    </row>
    <row r="18775" spans="1:1" ht="12.75">
      <c r="A18775" s="2" t="s">
        <v>313</v>
      </c>
    </row>
    <row r="18776" spans="1:1" ht="12.75">
      <c r="A18776" s="2" t="s">
        <v>312</v>
      </c>
    </row>
    <row r="18777" spans="1:1" ht="12.75">
      <c r="A18777" s="2" t="s">
        <v>313</v>
      </c>
    </row>
    <row r="18778" spans="1:1" ht="12.75">
      <c r="A18778" s="2" t="s">
        <v>312</v>
      </c>
    </row>
    <row r="18779" spans="1:1" ht="12.75">
      <c r="A18779" s="2" t="s">
        <v>313</v>
      </c>
    </row>
    <row r="18780" spans="1:1" ht="12.75">
      <c r="A18780" s="2" t="s">
        <v>669</v>
      </c>
    </row>
    <row r="18781" spans="1:1" ht="12.75">
      <c r="A18781" s="2" t="s">
        <v>776</v>
      </c>
    </row>
    <row r="18782" spans="1:1" ht="12.75">
      <c r="A18782" s="2" t="s">
        <v>775</v>
      </c>
    </row>
    <row r="18783" spans="1:1" ht="12.75">
      <c r="A18783" s="2" t="s">
        <v>205</v>
      </c>
    </row>
    <row r="18784" spans="1:1" ht="12.75">
      <c r="A18784" s="2" t="s">
        <v>190</v>
      </c>
    </row>
    <row r="18785" spans="1:1" ht="12.75">
      <c r="A18785" s="2" t="s">
        <v>312</v>
      </c>
    </row>
    <row r="18786" spans="1:1" ht="12.75">
      <c r="A18786" s="2" t="s">
        <v>190</v>
      </c>
    </row>
    <row r="18787" spans="1:1" ht="12.75">
      <c r="A18787" s="2" t="s">
        <v>777</v>
      </c>
    </row>
    <row r="18788" spans="1:1" ht="12.75">
      <c r="A18788" s="2" t="s">
        <v>190</v>
      </c>
    </row>
    <row r="18789" spans="1:1" ht="12.75">
      <c r="A18789" s="2" t="s">
        <v>778</v>
      </c>
    </row>
    <row r="18790" spans="1:1" ht="12.75">
      <c r="A18790" s="2" t="s">
        <v>190</v>
      </c>
    </row>
    <row r="18791" spans="1:1" ht="12.75">
      <c r="A18791" s="2" t="s">
        <v>775</v>
      </c>
    </row>
    <row r="18792" spans="1:1" ht="12.75">
      <c r="A18792" s="2" t="s">
        <v>309</v>
      </c>
    </row>
    <row r="18793" spans="1:1" ht="12.75">
      <c r="A18793" s="2" t="s">
        <v>774</v>
      </c>
    </row>
    <row r="18794" spans="1:1" ht="12.75">
      <c r="A18794" s="2" t="s">
        <v>311</v>
      </c>
    </row>
    <row r="18795" spans="1:1" ht="12.75">
      <c r="A18795" s="2" t="s">
        <v>661</v>
      </c>
    </row>
    <row r="18796" spans="1:1" ht="12.75">
      <c r="A18796" s="2" t="s">
        <v>309</v>
      </c>
    </row>
    <row r="18797" spans="1:1" ht="12.75">
      <c r="A18797" s="2" t="s">
        <v>190</v>
      </c>
    </row>
    <row r="18798" spans="1:1" ht="12.75">
      <c r="A18798" s="2" t="s">
        <v>313</v>
      </c>
    </row>
    <row r="18799" spans="1:1" ht="12.75">
      <c r="A18799" s="2" t="s">
        <v>311</v>
      </c>
    </row>
    <row r="18800" spans="1:1" ht="12.75">
      <c r="A18800" s="2" t="s">
        <v>312</v>
      </c>
    </row>
    <row r="18801" spans="1:1" ht="12.75">
      <c r="A18801" s="2" t="s">
        <v>779</v>
      </c>
    </row>
    <row r="18802" spans="1:1" ht="12.75">
      <c r="A18802" s="2" t="s">
        <v>669</v>
      </c>
    </row>
    <row r="18803" spans="1:1" ht="12.75">
      <c r="A18803" s="2" t="s">
        <v>779</v>
      </c>
    </row>
    <row r="18804" spans="1:1" ht="12.75">
      <c r="A18804" s="2" t="s">
        <v>669</v>
      </c>
    </row>
    <row r="18805" spans="1:1" ht="12.75">
      <c r="A18805" s="2" t="s">
        <v>774</v>
      </c>
    </row>
    <row r="18806" spans="1:1" ht="12.75">
      <c r="A18806" s="2" t="s">
        <v>669</v>
      </c>
    </row>
    <row r="18807" spans="1:1" ht="12.75">
      <c r="A18807" s="2" t="s">
        <v>774</v>
      </c>
    </row>
    <row r="18808" spans="1:1" ht="12.75">
      <c r="A18808" s="2" t="s">
        <v>774</v>
      </c>
    </row>
    <row r="18809" spans="1:1" ht="12.75">
      <c r="A18809" s="2" t="s">
        <v>312</v>
      </c>
    </row>
    <row r="18810" spans="1:1" ht="12.75">
      <c r="A18810" s="2" t="s">
        <v>313</v>
      </c>
    </row>
    <row r="18811" spans="1:1" ht="12.75">
      <c r="A18811" s="2" t="s">
        <v>313</v>
      </c>
    </row>
    <row r="18812" spans="1:1" ht="12.75">
      <c r="A18812" s="2" t="s">
        <v>312</v>
      </c>
    </row>
    <row r="18813" spans="1:1" ht="12.75">
      <c r="A18813" s="2" t="s">
        <v>313</v>
      </c>
    </row>
    <row r="18814" spans="1:1" ht="12.75">
      <c r="A18814" s="2" t="s">
        <v>312</v>
      </c>
    </row>
    <row r="18815" spans="1:1" ht="12.75">
      <c r="A18815" s="2" t="s">
        <v>147</v>
      </c>
    </row>
    <row r="18816" spans="1:1" ht="12.75">
      <c r="A18816" s="2" t="s">
        <v>777</v>
      </c>
    </row>
    <row r="18817" spans="1:1" ht="12.75">
      <c r="A18817" s="2" t="s">
        <v>778</v>
      </c>
    </row>
    <row r="18818" spans="1:1" ht="12.75">
      <c r="A18818" s="2" t="s">
        <v>310</v>
      </c>
    </row>
    <row r="18819" spans="1:1" ht="12.75">
      <c r="A18819" s="2" t="s">
        <v>775</v>
      </c>
    </row>
    <row r="18820" spans="1:1" ht="12.75">
      <c r="A18820" s="2" t="s">
        <v>310</v>
      </c>
    </row>
    <row r="18821" spans="1:1" ht="12.75">
      <c r="A18821" s="2" t="s">
        <v>661</v>
      </c>
    </row>
    <row r="18822" spans="1:1" ht="12.75">
      <c r="A18822" s="2" t="s">
        <v>309</v>
      </c>
    </row>
    <row r="18823" spans="1:1" ht="12.75">
      <c r="A18823" s="2" t="s">
        <v>313</v>
      </c>
    </row>
    <row r="18824" spans="1:1" ht="12.75">
      <c r="A18824" s="2" t="s">
        <v>312</v>
      </c>
    </row>
    <row r="18825" spans="1:1" ht="12.75">
      <c r="A18825" s="2" t="s">
        <v>669</v>
      </c>
    </row>
    <row r="18826" spans="1:1" ht="12.75">
      <c r="A18826" s="2" t="s">
        <v>312</v>
      </c>
    </row>
    <row r="18827" spans="1:1" ht="12.75">
      <c r="A18827" s="2" t="s">
        <v>669</v>
      </c>
    </row>
    <row r="18828" spans="1:1" ht="12.75">
      <c r="A18828" s="2" t="s">
        <v>311</v>
      </c>
    </row>
    <row r="18829" spans="1:1" ht="12.75">
      <c r="A18829" s="2" t="s">
        <v>775</v>
      </c>
    </row>
    <row r="18830" spans="1:1" ht="12.75">
      <c r="A18830" s="2" t="s">
        <v>774</v>
      </c>
    </row>
    <row r="18831" spans="1:1" ht="12.75">
      <c r="A18831" s="2" t="s">
        <v>661</v>
      </c>
    </row>
    <row r="18832" spans="1:1" ht="12.75">
      <c r="A18832" s="2" t="s">
        <v>774</v>
      </c>
    </row>
    <row r="18833" spans="1:1" ht="12.75">
      <c r="A18833" s="2" t="s">
        <v>661</v>
      </c>
    </row>
    <row r="18834" spans="1:1" ht="12.75">
      <c r="A18834" s="2" t="s">
        <v>313</v>
      </c>
    </row>
    <row r="18835" spans="1:1" ht="12.75">
      <c r="A18835" s="2" t="s">
        <v>309</v>
      </c>
    </row>
    <row r="18836" spans="1:1" ht="12.75">
      <c r="A18836" s="2" t="s">
        <v>313</v>
      </c>
    </row>
    <row r="18837" spans="1:1" ht="12.75">
      <c r="A18837" s="2" t="s">
        <v>661</v>
      </c>
    </row>
    <row r="18838" spans="1:1" ht="12.75">
      <c r="A18838" s="2" t="s">
        <v>313</v>
      </c>
    </row>
    <row r="18840" spans="1:1" ht="12.75">
      <c r="A18840" s="2" t="s">
        <v>313</v>
      </c>
    </row>
    <row r="18841" spans="1:1" ht="12.75">
      <c r="A18841" s="2" t="s">
        <v>310</v>
      </c>
    </row>
    <row r="18842" spans="1:1" ht="12.75">
      <c r="A18842" s="2" t="s">
        <v>774</v>
      </c>
    </row>
    <row r="18843" spans="1:1" ht="12.75">
      <c r="A18843" s="2" t="s">
        <v>310</v>
      </c>
    </row>
    <row r="18844" spans="1:1" ht="12.75">
      <c r="A18844" s="2" t="s">
        <v>774</v>
      </c>
    </row>
    <row r="18845" spans="1:1" ht="12.75">
      <c r="A18845" s="2" t="s">
        <v>309</v>
      </c>
    </row>
    <row r="18846" spans="1:1" ht="12.75">
      <c r="A18846" s="2" t="s">
        <v>312</v>
      </c>
    </row>
    <row r="18847" spans="1:1" ht="12.75">
      <c r="A18847" s="2" t="s">
        <v>309</v>
      </c>
    </row>
    <row r="18848" spans="1:1" ht="12.75">
      <c r="A18848" s="2" t="s">
        <v>312</v>
      </c>
    </row>
    <row r="18849" spans="1:1" ht="12.75">
      <c r="A18849" s="2" t="s">
        <v>311</v>
      </c>
    </row>
    <row r="18850" spans="1:1" ht="12.75">
      <c r="A18850" s="2" t="s">
        <v>310</v>
      </c>
    </row>
    <row r="18851" spans="1:1" ht="12.75">
      <c r="A18851" s="2" t="s">
        <v>774</v>
      </c>
    </row>
    <row r="18853" spans="1:1" ht="12.75">
      <c r="A18853" s="2" t="s">
        <v>774</v>
      </c>
    </row>
    <row r="18854" spans="1:1" ht="12.75">
      <c r="A18854" s="2" t="s">
        <v>669</v>
      </c>
    </row>
    <row r="18855" spans="1:1" ht="12.75">
      <c r="A18855" s="2" t="s">
        <v>774</v>
      </c>
    </row>
    <row r="18856" spans="1:1" ht="12.75">
      <c r="A18856" s="2" t="s">
        <v>669</v>
      </c>
    </row>
    <row r="18857" spans="1:1" ht="12.75">
      <c r="A18857" s="2" t="s">
        <v>313</v>
      </c>
    </row>
    <row r="18858" spans="1:1" ht="12.75">
      <c r="A18858" s="2" t="s">
        <v>775</v>
      </c>
    </row>
    <row r="18859" spans="1:1" ht="12.75">
      <c r="A18859" s="2" t="s">
        <v>313</v>
      </c>
    </row>
    <row r="18860" spans="1:1" ht="12.75">
      <c r="A18860" s="2" t="s">
        <v>312</v>
      </c>
    </row>
    <row r="18861" spans="1:1" ht="12.75">
      <c r="A18861" s="2" t="s">
        <v>313</v>
      </c>
    </row>
    <row r="18862" spans="1:1" ht="12.75">
      <c r="A18862" s="2" t="s">
        <v>312</v>
      </c>
    </row>
    <row r="18863" spans="1:1" ht="12.75">
      <c r="A18863" s="2" t="s">
        <v>669</v>
      </c>
    </row>
    <row r="18864" spans="1:1" ht="12.75">
      <c r="A18864" s="2" t="s">
        <v>311</v>
      </c>
    </row>
    <row r="18865" spans="1:1" ht="12.75">
      <c r="A18865" s="2" t="s">
        <v>309</v>
      </c>
    </row>
    <row r="18866" spans="1:1" ht="12.75">
      <c r="A18866" s="2" t="s">
        <v>313</v>
      </c>
    </row>
    <row r="18867" spans="1:1" ht="12.75">
      <c r="A18867" s="2" t="s">
        <v>669</v>
      </c>
    </row>
    <row r="18868" spans="1:1" ht="12.75">
      <c r="A18868" s="2" t="s">
        <v>313</v>
      </c>
    </row>
    <row r="18869" spans="1:1" ht="12.75">
      <c r="A18869" s="2" t="s">
        <v>774</v>
      </c>
    </row>
    <row r="18870" spans="1:1" ht="12.75">
      <c r="A18870" s="2" t="s">
        <v>313</v>
      </c>
    </row>
    <row r="18871" spans="1:1" ht="12.75">
      <c r="A18871" s="2" t="s">
        <v>313</v>
      </c>
    </row>
    <row r="18872" spans="1:1" ht="12.75">
      <c r="A18872" s="2" t="s">
        <v>659</v>
      </c>
    </row>
    <row r="18873" spans="1:1" ht="12.75">
      <c r="A18873" s="2" t="s">
        <v>311</v>
      </c>
    </row>
    <row r="18874" spans="1:1" ht="12.75">
      <c r="A18874" s="2" t="s">
        <v>659</v>
      </c>
    </row>
    <row r="18875" spans="1:1" ht="12.75">
      <c r="A18875" s="2" t="s">
        <v>310</v>
      </c>
    </row>
    <row r="18876" spans="1:1" ht="12.75">
      <c r="A18876" s="2" t="s">
        <v>312</v>
      </c>
    </row>
    <row r="18877" spans="1:1" ht="12.75">
      <c r="A18877" s="2" t="s">
        <v>310</v>
      </c>
    </row>
    <row r="18878" spans="1:1" ht="12.75">
      <c r="A18878" s="2" t="s">
        <v>312</v>
      </c>
    </row>
    <row r="18879" spans="1:1" ht="12.75">
      <c r="A18879" s="2" t="s">
        <v>661</v>
      </c>
    </row>
    <row r="18880" spans="1:1" ht="12.75">
      <c r="A18880" s="2" t="s">
        <v>310</v>
      </c>
    </row>
    <row r="18881" spans="1:1" ht="12.75">
      <c r="A18881" s="2" t="s">
        <v>775</v>
      </c>
    </row>
    <row r="18882" spans="1:1" ht="12.75">
      <c r="A18882" s="2" t="s">
        <v>310</v>
      </c>
    </row>
    <row r="18883" spans="1:1" ht="12.75">
      <c r="A18883" s="2" t="s">
        <v>310</v>
      </c>
    </row>
    <row r="18884" spans="1:1" ht="12.75">
      <c r="A18884" s="2" t="s">
        <v>312</v>
      </c>
    </row>
    <row r="18885" spans="1:1" ht="12.75">
      <c r="A18885" s="2" t="s">
        <v>310</v>
      </c>
    </row>
    <row r="18886" spans="1:1" ht="12.75">
      <c r="A18886" s="2" t="s">
        <v>309</v>
      </c>
    </row>
    <row r="18887" spans="1:1" ht="12.75">
      <c r="A18887" s="2" t="s">
        <v>309</v>
      </c>
    </row>
    <row r="18888" spans="1:1" ht="12.75">
      <c r="A18888" s="2" t="s">
        <v>309</v>
      </c>
    </row>
    <row r="18889" spans="1:1" ht="12.75">
      <c r="A18889" s="2" t="s">
        <v>309</v>
      </c>
    </row>
    <row r="18890" spans="1:1" ht="12.75">
      <c r="A18890" s="2" t="s">
        <v>661</v>
      </c>
    </row>
    <row r="18891" spans="1:1" ht="12.75">
      <c r="A18891" s="2" t="s">
        <v>309</v>
      </c>
    </row>
    <row r="18892" spans="1:1" ht="12.75">
      <c r="A18892" s="2" t="s">
        <v>669</v>
      </c>
    </row>
    <row r="18893" spans="1:1" ht="12.75">
      <c r="A18893" s="2" t="s">
        <v>311</v>
      </c>
    </row>
    <row r="18894" spans="1:1" ht="12.75">
      <c r="A18894" s="2" t="s">
        <v>659</v>
      </c>
    </row>
    <row r="18895" spans="1:1" ht="12.75">
      <c r="A18895" s="2" t="s">
        <v>313</v>
      </c>
    </row>
    <row r="18896" spans="1:1" ht="12.75">
      <c r="A18896" s="2" t="s">
        <v>659</v>
      </c>
    </row>
    <row r="18897" spans="1:1" ht="12.75">
      <c r="A18897" s="2" t="s">
        <v>718</v>
      </c>
    </row>
    <row r="18898" spans="1:1" ht="12.75">
      <c r="A18898" s="2" t="s">
        <v>718</v>
      </c>
    </row>
    <row r="18901" spans="1:1" ht="12.75">
      <c r="A18901" s="2" t="s">
        <v>673</v>
      </c>
    </row>
    <row r="18902" spans="1:1" ht="12.75">
      <c r="A18902" s="2" t="s">
        <v>780</v>
      </c>
    </row>
    <row r="18903" spans="1:1" ht="12.75">
      <c r="A18903" s="2" t="s">
        <v>665</v>
      </c>
    </row>
    <row r="18904" spans="1:1" ht="12.75">
      <c r="A18904" s="2" t="s">
        <v>665</v>
      </c>
    </row>
    <row r="18905" spans="1:1" ht="12.75">
      <c r="A18905" s="2" t="s">
        <v>664</v>
      </c>
    </row>
    <row r="18906" spans="1:1" ht="12.75">
      <c r="A18906" s="2" t="s">
        <v>664</v>
      </c>
    </row>
    <row r="18907" spans="1:1" ht="12.75">
      <c r="A18907" s="2" t="s">
        <v>670</v>
      </c>
    </row>
    <row r="18908" spans="1:1" ht="12.75">
      <c r="A18908" s="2" t="s">
        <v>780</v>
      </c>
    </row>
    <row r="18909" spans="1:1" ht="12.75">
      <c r="A18909" s="2" t="s">
        <v>781</v>
      </c>
    </row>
    <row r="18910" spans="1:1" ht="12.75">
      <c r="A18910" s="2" t="s">
        <v>670</v>
      </c>
    </row>
    <row r="18911" spans="1:1" ht="12.75">
      <c r="A18911" s="2" t="s">
        <v>673</v>
      </c>
    </row>
    <row r="18912" spans="1:1" ht="12.75">
      <c r="A18912" s="2" t="s">
        <v>666</v>
      </c>
    </row>
    <row r="18913" spans="1:1" ht="12.75">
      <c r="A18913" s="2" t="s">
        <v>664</v>
      </c>
    </row>
    <row r="18914" spans="1:1" ht="12.75">
      <c r="A18914" s="2" t="s">
        <v>673</v>
      </c>
    </row>
    <row r="18915" spans="1:1" ht="12.75">
      <c r="A18915" s="2" t="s">
        <v>780</v>
      </c>
    </row>
    <row r="18916" spans="1:1" ht="12.75">
      <c r="A18916" s="2" t="s">
        <v>664</v>
      </c>
    </row>
    <row r="18917" spans="1:1" ht="12.75">
      <c r="A18917" s="2" t="s">
        <v>673</v>
      </c>
    </row>
    <row r="18918" spans="1:1" ht="12.75">
      <c r="A18918" s="2" t="s">
        <v>671</v>
      </c>
    </row>
    <row r="18919" spans="1:1" ht="12.75">
      <c r="A18919" s="2" t="s">
        <v>664</v>
      </c>
    </row>
    <row r="18920" spans="1:1" ht="12.75">
      <c r="A18920" s="2" t="s">
        <v>662</v>
      </c>
    </row>
    <row r="18921" spans="1:1" ht="12.75">
      <c r="A18921" s="2" t="s">
        <v>665</v>
      </c>
    </row>
    <row r="18922" spans="1:1" ht="12.75">
      <c r="A18922" s="2" t="s">
        <v>664</v>
      </c>
    </row>
    <row r="18923" spans="1:1" ht="12.75">
      <c r="A18923" s="2" t="s">
        <v>662</v>
      </c>
    </row>
    <row r="18924" spans="1:1" ht="12.75">
      <c r="A18924" s="2" t="s">
        <v>782</v>
      </c>
    </row>
    <row r="18925" spans="1:1" ht="12.75">
      <c r="A18925" s="2" t="s">
        <v>671</v>
      </c>
    </row>
    <row r="18926" spans="1:1" ht="12.75">
      <c r="A18926" s="2" t="s">
        <v>664</v>
      </c>
    </row>
    <row r="18927" spans="1:1" ht="12.75">
      <c r="A18927" s="2" t="s">
        <v>673</v>
      </c>
    </row>
    <row r="18928" spans="1:1" ht="12.75">
      <c r="A18928" s="2" t="s">
        <v>662</v>
      </c>
    </row>
    <row r="18929" spans="1:1" ht="12.75">
      <c r="A18929" s="2" t="s">
        <v>664</v>
      </c>
    </row>
    <row r="18930" spans="1:1" ht="12.75">
      <c r="A18930" s="2" t="s">
        <v>667</v>
      </c>
    </row>
    <row r="18931" spans="1:1" ht="12.75">
      <c r="A18931" s="2" t="s">
        <v>664</v>
      </c>
    </row>
    <row r="18932" spans="1:1" ht="12.75">
      <c r="A18932" s="2" t="s">
        <v>664</v>
      </c>
    </row>
    <row r="18933" spans="1:1" ht="12.75">
      <c r="A18933" s="2" t="s">
        <v>664</v>
      </c>
    </row>
    <row r="18934" spans="1:1" ht="12.75">
      <c r="A18934" s="2" t="s">
        <v>667</v>
      </c>
    </row>
    <row r="18935" spans="1:1" ht="12.75">
      <c r="A18935" s="2" t="s">
        <v>673</v>
      </c>
    </row>
    <row r="18936" spans="1:1" ht="12.75">
      <c r="A18936" s="2" t="s">
        <v>662</v>
      </c>
    </row>
    <row r="18937" spans="1:1" ht="12.75">
      <c r="A18937" s="2" t="s">
        <v>662</v>
      </c>
    </row>
    <row r="18938" spans="1:1" ht="12.75">
      <c r="A18938" s="2" t="s">
        <v>671</v>
      </c>
    </row>
    <row r="18939" spans="1:1" ht="12.75">
      <c r="A18939" s="2" t="s">
        <v>670</v>
      </c>
    </row>
    <row r="18940" spans="1:1" ht="12.75">
      <c r="A18940" s="2" t="s">
        <v>670</v>
      </c>
    </row>
    <row r="18941" spans="1:1" ht="12.75">
      <c r="A18941" s="2" t="s">
        <v>666</v>
      </c>
    </row>
    <row r="18942" spans="1:1" ht="12.75">
      <c r="A18942" s="2" t="s">
        <v>666</v>
      </c>
    </row>
    <row r="18943" spans="1:1" ht="12.75">
      <c r="A18943" s="2" t="s">
        <v>665</v>
      </c>
    </row>
    <row r="18944" spans="1:1" ht="12.75">
      <c r="A18944" s="2" t="s">
        <v>665</v>
      </c>
    </row>
    <row r="18945" spans="1:1" ht="12.75">
      <c r="A18945" s="2" t="s">
        <v>664</v>
      </c>
    </row>
    <row r="18946" spans="1:1" ht="12.75">
      <c r="A18946" s="2" t="s">
        <v>666</v>
      </c>
    </row>
    <row r="18947" spans="1:1" ht="12.75">
      <c r="A18947" s="2" t="s">
        <v>666</v>
      </c>
    </row>
    <row r="18948" spans="1:1" ht="12.75">
      <c r="A18948" s="2" t="s">
        <v>670</v>
      </c>
    </row>
    <row r="18949" spans="1:1" ht="12.75">
      <c r="A18949" s="2" t="s">
        <v>666</v>
      </c>
    </row>
    <row r="18950" spans="1:1" ht="12.75">
      <c r="A18950" s="2" t="s">
        <v>662</v>
      </c>
    </row>
    <row r="18951" spans="1:1" ht="12.75">
      <c r="A18951" s="2" t="s">
        <v>664</v>
      </c>
    </row>
    <row r="18952" spans="1:1" ht="12.75">
      <c r="A18952" s="2" t="s">
        <v>664</v>
      </c>
    </row>
    <row r="18953" spans="1:1" ht="12.75">
      <c r="A18953" s="2" t="s">
        <v>666</v>
      </c>
    </row>
    <row r="18954" spans="1:1" ht="12.75">
      <c r="A18954" s="2" t="s">
        <v>664</v>
      </c>
    </row>
    <row r="18955" spans="1:1" ht="12.75">
      <c r="A18955" s="2" t="s">
        <v>664</v>
      </c>
    </row>
    <row r="18956" spans="1:1" ht="12.75">
      <c r="A18956" s="2" t="s">
        <v>664</v>
      </c>
    </row>
    <row r="18957" spans="1:1" ht="12.75">
      <c r="A18957" s="2" t="s">
        <v>665</v>
      </c>
    </row>
    <row r="18958" spans="1:1" ht="12.75">
      <c r="A18958" s="2" t="s">
        <v>665</v>
      </c>
    </row>
    <row r="18959" spans="1:1" ht="12.75">
      <c r="A18959" s="2" t="s">
        <v>780</v>
      </c>
    </row>
    <row r="18960" spans="1:1" ht="12.75">
      <c r="A18960" s="2" t="s">
        <v>782</v>
      </c>
    </row>
    <row r="18986" spans="1:1" ht="12.75">
      <c r="A18986" s="2" t="s">
        <v>664</v>
      </c>
    </row>
    <row r="18988" spans="1:1" ht="12.75">
      <c r="A18988" s="2" t="s">
        <v>664</v>
      </c>
    </row>
    <row r="18990" spans="1:1" ht="12.75">
      <c r="A18990" s="2" t="s">
        <v>783</v>
      </c>
    </row>
    <row r="18992" spans="1:1" ht="12.75">
      <c r="A18992" s="2" t="s">
        <v>667</v>
      </c>
    </row>
    <row r="18994" spans="1:1" ht="12.75">
      <c r="A18994" s="2" t="s">
        <v>667</v>
      </c>
    </row>
    <row r="18997" spans="1:1" ht="12.75">
      <c r="A18997" s="2" t="s">
        <v>312</v>
      </c>
    </row>
    <row r="18998" spans="1:1" ht="12.75">
      <c r="A18998" s="2" t="s">
        <v>309</v>
      </c>
    </row>
    <row r="19000" spans="1:1" ht="12.75">
      <c r="A19000" s="2" t="s">
        <v>311</v>
      </c>
    </row>
    <row r="19001" spans="1:1" ht="12.75">
      <c r="A19001" s="2" t="s">
        <v>661</v>
      </c>
    </row>
    <row r="19002" spans="1:1" ht="12.75">
      <c r="A19002" s="2" t="s">
        <v>779</v>
      </c>
    </row>
    <row r="19003" spans="1:1" ht="12.75">
      <c r="A19003" s="2" t="s">
        <v>190</v>
      </c>
    </row>
    <row r="19004" spans="1:1" ht="12.75">
      <c r="A19004" s="2" t="s">
        <v>779</v>
      </c>
    </row>
    <row r="19005" spans="1:1" ht="12.75">
      <c r="A19005" s="2" t="s">
        <v>190</v>
      </c>
    </row>
    <row r="19006" spans="1:1" ht="12.75">
      <c r="A19006" s="2" t="s">
        <v>774</v>
      </c>
    </row>
    <row r="19007" spans="1:1" ht="12.75">
      <c r="A19007" s="2" t="s">
        <v>309</v>
      </c>
    </row>
    <row r="19008" spans="1:1" ht="12.75">
      <c r="A19008" s="2" t="s">
        <v>774</v>
      </c>
    </row>
    <row r="19009" spans="1:1" ht="12.75">
      <c r="A19009" s="2" t="s">
        <v>309</v>
      </c>
    </row>
    <row r="19010" spans="1:1" ht="12.75">
      <c r="A19010" s="2" t="s">
        <v>312</v>
      </c>
    </row>
    <row r="19011" spans="1:1" ht="12.75">
      <c r="A19011" s="2" t="s">
        <v>313</v>
      </c>
    </row>
    <row r="19012" spans="1:1" ht="12.75">
      <c r="A19012" s="2" t="s">
        <v>774</v>
      </c>
    </row>
    <row r="19013" spans="1:1" ht="12.75">
      <c r="A19013" s="2" t="s">
        <v>784</v>
      </c>
    </row>
    <row r="19014" spans="1:1" ht="12.75">
      <c r="A19014" s="2" t="s">
        <v>313</v>
      </c>
    </row>
    <row r="19015" spans="1:1" ht="12.75">
      <c r="A19015" s="2" t="s">
        <v>784</v>
      </c>
    </row>
    <row r="19016" spans="1:1" ht="12.75">
      <c r="A19016" s="2" t="s">
        <v>313</v>
      </c>
    </row>
    <row r="19017" spans="1:1" ht="12.75">
      <c r="A19017" s="2" t="s">
        <v>775</v>
      </c>
    </row>
    <row r="19018" spans="1:1" ht="12.75">
      <c r="A19018" s="2" t="s">
        <v>311</v>
      </c>
    </row>
    <row r="19019" spans="1:1" ht="12.75">
      <c r="A19019" s="2" t="s">
        <v>661</v>
      </c>
    </row>
    <row r="19020" spans="1:1" ht="12.75">
      <c r="A19020" s="2" t="s">
        <v>312</v>
      </c>
    </row>
    <row r="19021" spans="1:1" ht="12.75">
      <c r="A19021" s="2" t="s">
        <v>661</v>
      </c>
    </row>
    <row r="19022" spans="1:1" ht="12.75">
      <c r="A19022" s="2" t="s">
        <v>309</v>
      </c>
    </row>
    <row r="19023" spans="1:1" ht="12.75">
      <c r="A19023" s="2" t="s">
        <v>190</v>
      </c>
    </row>
    <row r="19024" spans="1:1" ht="12.75">
      <c r="A19024" s="2" t="s">
        <v>309</v>
      </c>
    </row>
    <row r="19025" spans="1:1" ht="12.75">
      <c r="A19025" s="2" t="s">
        <v>190</v>
      </c>
    </row>
    <row r="19026" spans="1:1" ht="12.75">
      <c r="A19026" s="2" t="s">
        <v>190</v>
      </c>
    </row>
    <row r="19027" spans="1:1" ht="12.75">
      <c r="A19027" s="2" t="s">
        <v>190</v>
      </c>
    </row>
    <row r="19028" spans="1:1" ht="12.75">
      <c r="A19028" s="2" t="s">
        <v>190</v>
      </c>
    </row>
    <row r="19029" spans="1:1" ht="12.75">
      <c r="A19029" s="2" t="s">
        <v>309</v>
      </c>
    </row>
    <row r="19030" spans="1:1" ht="12.75">
      <c r="A19030" s="2" t="s">
        <v>190</v>
      </c>
    </row>
    <row r="19031" spans="1:1" ht="12.75">
      <c r="A19031" s="2" t="s">
        <v>190</v>
      </c>
    </row>
    <row r="19032" spans="1:1" ht="12.75">
      <c r="A19032" s="2" t="s">
        <v>313</v>
      </c>
    </row>
    <row r="19033" spans="1:1" ht="12.75">
      <c r="A19033" s="2" t="s">
        <v>190</v>
      </c>
    </row>
    <row r="19034" spans="1:1" ht="12.75">
      <c r="A19034" s="2" t="s">
        <v>313</v>
      </c>
    </row>
    <row r="19035" spans="1:1" ht="12.75">
      <c r="A19035" s="2" t="s">
        <v>312</v>
      </c>
    </row>
    <row r="19036" spans="1:1" ht="12.75">
      <c r="A19036" s="2" t="s">
        <v>311</v>
      </c>
    </row>
    <row r="19037" spans="1:1" ht="12.75">
      <c r="A19037" s="2" t="s">
        <v>312</v>
      </c>
    </row>
    <row r="19038" spans="1:1" ht="12.75">
      <c r="A19038" s="2" t="s">
        <v>309</v>
      </c>
    </row>
    <row r="19039" spans="1:1" ht="12.75">
      <c r="A19039" s="2" t="s">
        <v>776</v>
      </c>
    </row>
    <row r="19040" spans="1:1" ht="12.75">
      <c r="A19040" s="2" t="s">
        <v>309</v>
      </c>
    </row>
    <row r="19041" spans="1:1" ht="12.75">
      <c r="A19041" s="2" t="s">
        <v>661</v>
      </c>
    </row>
    <row r="19042" spans="1:1" ht="12.75">
      <c r="A19042" s="2" t="s">
        <v>311</v>
      </c>
    </row>
    <row r="19043" spans="1:1" ht="12.75">
      <c r="A19043" s="2" t="s">
        <v>312</v>
      </c>
    </row>
    <row r="19044" spans="1:1" ht="12.75">
      <c r="A19044" s="2" t="s">
        <v>309</v>
      </c>
    </row>
    <row r="19045" spans="1:1" ht="12.75">
      <c r="A19045" s="2" t="s">
        <v>778</v>
      </c>
    </row>
    <row r="19046" spans="1:1" ht="12.75">
      <c r="A19046" s="2" t="s">
        <v>310</v>
      </c>
    </row>
    <row r="19047" spans="1:1" ht="12.75">
      <c r="A19047" s="2" t="s">
        <v>778</v>
      </c>
    </row>
    <row r="19048" spans="1:1" ht="12.75">
      <c r="A19048" s="2" t="s">
        <v>310</v>
      </c>
    </row>
    <row r="19049" spans="1:1" ht="12.75">
      <c r="A19049" s="2" t="s">
        <v>774</v>
      </c>
    </row>
    <row r="19050" spans="1:1" ht="12.75">
      <c r="A19050" s="2" t="s">
        <v>309</v>
      </c>
    </row>
    <row r="19051" spans="1:1" ht="12.75">
      <c r="A19051" s="2" t="s">
        <v>364</v>
      </c>
    </row>
    <row r="19052" spans="1:1" ht="12.75">
      <c r="A19052" s="2" t="s">
        <v>364</v>
      </c>
    </row>
    <row r="19053" spans="1:1" ht="12.75">
      <c r="A19053" s="2" t="s">
        <v>366</v>
      </c>
    </row>
    <row r="19054" spans="1:1" ht="12.75">
      <c r="A19054" s="2" t="s">
        <v>211</v>
      </c>
    </row>
    <row r="19055" spans="1:1" ht="12.75">
      <c r="A19055" s="2" t="s">
        <v>718</v>
      </c>
    </row>
    <row r="19056" spans="1:1" ht="12.75">
      <c r="A19056" s="2" t="s">
        <v>718</v>
      </c>
    </row>
    <row r="19057" spans="1:1" ht="12.75">
      <c r="A19057" s="2" t="s">
        <v>211</v>
      </c>
    </row>
    <row r="19058" spans="1:1" ht="12.75">
      <c r="A19058" s="2" t="s">
        <v>366</v>
      </c>
    </row>
    <row r="19059" spans="1:1" ht="12.75">
      <c r="A19059" s="2" t="s">
        <v>148</v>
      </c>
    </row>
    <row r="19060" spans="1:1" ht="12.75">
      <c r="A19060" s="2" t="s">
        <v>785</v>
      </c>
    </row>
    <row r="19061" spans="1:1" ht="12.75">
      <c r="A19061" s="2" t="s">
        <v>148</v>
      </c>
    </row>
    <row r="19062" spans="1:1" ht="12.75">
      <c r="A19062" s="2" t="s">
        <v>786</v>
      </c>
    </row>
    <row r="19063" spans="1:1" ht="12.75">
      <c r="A19063" s="2" t="s">
        <v>718</v>
      </c>
    </row>
    <row r="19064" spans="1:1" ht="12.75">
      <c r="A19064" s="2" t="s">
        <v>718</v>
      </c>
    </row>
    <row r="19065" spans="1:1" ht="12.75">
      <c r="A19065" s="2" t="s">
        <v>364</v>
      </c>
    </row>
    <row r="19066" spans="1:1" ht="12.75">
      <c r="A19066" s="2" t="s">
        <v>148</v>
      </c>
    </row>
    <row r="19067" spans="1:1" ht="12.75">
      <c r="A19067" s="2" t="s">
        <v>486</v>
      </c>
    </row>
    <row r="19068" spans="1:1" ht="12.75">
      <c r="A19068" s="2" t="s">
        <v>718</v>
      </c>
    </row>
    <row r="19069" spans="1:1" ht="12.75">
      <c r="A19069" s="2" t="s">
        <v>364</v>
      </c>
    </row>
    <row r="19070" spans="1:1" ht="12.75">
      <c r="A19070" s="2" t="s">
        <v>148</v>
      </c>
    </row>
    <row r="19071" spans="1:1" ht="12.75">
      <c r="A19071" s="2" t="s">
        <v>364</v>
      </c>
    </row>
    <row r="19072" spans="1:1" ht="12.75">
      <c r="A19072" s="2" t="s">
        <v>364</v>
      </c>
    </row>
    <row r="19073" spans="1:1" ht="12.75">
      <c r="A19073" s="2" t="s">
        <v>364</v>
      </c>
    </row>
    <row r="19074" spans="1:1" ht="12.75">
      <c r="A19074" s="2" t="s">
        <v>718</v>
      </c>
    </row>
    <row r="19075" spans="1:1" ht="12.75">
      <c r="A19075" s="2" t="s">
        <v>148</v>
      </c>
    </row>
    <row r="19076" spans="1:1" ht="12.75">
      <c r="A19076" s="2" t="s">
        <v>148</v>
      </c>
    </row>
    <row r="19077" spans="1:1" ht="12.75">
      <c r="A19077" s="2" t="s">
        <v>148</v>
      </c>
    </row>
    <row r="19078" spans="1:1" ht="12.75">
      <c r="A19078" s="2" t="s">
        <v>148</v>
      </c>
    </row>
    <row r="19079" spans="1:1" ht="12.75">
      <c r="A19079" s="2" t="s">
        <v>212</v>
      </c>
    </row>
    <row r="19080" spans="1:1" ht="12.75">
      <c r="A19080" s="2" t="s">
        <v>212</v>
      </c>
    </row>
    <row r="19081" spans="1:1" ht="12.75">
      <c r="A19081" s="2" t="s">
        <v>212</v>
      </c>
    </row>
    <row r="19082" spans="1:1" ht="12.75">
      <c r="A19082" s="2" t="s">
        <v>212</v>
      </c>
    </row>
    <row r="19083" spans="1:1" ht="12.75">
      <c r="A19083" s="2" t="s">
        <v>211</v>
      </c>
    </row>
    <row r="19084" spans="1:1" ht="12.75">
      <c r="A19084" s="2" t="s">
        <v>211</v>
      </c>
    </row>
    <row r="19085" spans="1:1" ht="12.75">
      <c r="A19085" s="2" t="s">
        <v>209</v>
      </c>
    </row>
    <row r="19086" spans="1:1" ht="12.75">
      <c r="A19086" s="2" t="s">
        <v>209</v>
      </c>
    </row>
    <row r="19087" spans="1:1" ht="12.75">
      <c r="A19087" s="2" t="s">
        <v>209</v>
      </c>
    </row>
    <row r="19088" spans="1:1" ht="12.75">
      <c r="A19088" s="2" t="s">
        <v>209</v>
      </c>
    </row>
    <row r="19089" spans="1:1" ht="12.75">
      <c r="A19089" s="2" t="s">
        <v>148</v>
      </c>
    </row>
    <row r="19090" spans="1:1" ht="12.75">
      <c r="A19090" s="2" t="s">
        <v>148</v>
      </c>
    </row>
    <row r="19091" spans="1:1" ht="12.75">
      <c r="A19091" s="2" t="s">
        <v>148</v>
      </c>
    </row>
    <row r="19092" spans="1:1" ht="12.75">
      <c r="A19092" s="2" t="s">
        <v>148</v>
      </c>
    </row>
    <row r="19093" spans="1:1" ht="12.75">
      <c r="A19093" s="2" t="s">
        <v>211</v>
      </c>
    </row>
    <row r="19094" spans="1:1" ht="12.75">
      <c r="A19094" s="2" t="s">
        <v>209</v>
      </c>
    </row>
    <row r="19095" spans="1:1" ht="12.75">
      <c r="A19095" s="2" t="s">
        <v>209</v>
      </c>
    </row>
    <row r="19096" spans="1:1" ht="12.75">
      <c r="A19096" s="2" t="s">
        <v>209</v>
      </c>
    </row>
    <row r="19097" spans="1:1" ht="12.75">
      <c r="A19097" s="2" t="s">
        <v>364</v>
      </c>
    </row>
    <row r="19098" spans="1:1" ht="12.75">
      <c r="A19098" s="2" t="s">
        <v>364</v>
      </c>
    </row>
    <row r="19099" spans="1:1" ht="12.75">
      <c r="A19099" s="2" t="s">
        <v>364</v>
      </c>
    </row>
    <row r="19100" spans="1:1" ht="12.75">
      <c r="A19100" s="2" t="s">
        <v>364</v>
      </c>
    </row>
    <row r="19101" spans="1:1" ht="12.75">
      <c r="A19101" s="2" t="s">
        <v>787</v>
      </c>
    </row>
    <row r="19102" spans="1:1" ht="12.75">
      <c r="A19102" s="2" t="s">
        <v>788</v>
      </c>
    </row>
    <row r="19103" spans="1:1" ht="12.75">
      <c r="A19103" s="2" t="s">
        <v>212</v>
      </c>
    </row>
    <row r="19104" spans="1:1" ht="12.75">
      <c r="A19104" s="2" t="s">
        <v>212</v>
      </c>
    </row>
    <row r="19105" spans="1:1" ht="12.75">
      <c r="A19105" s="2" t="s">
        <v>212</v>
      </c>
    </row>
    <row r="19106" spans="1:1" ht="12.75">
      <c r="A19106" s="2" t="s">
        <v>212</v>
      </c>
    </row>
    <row r="19107" spans="1:1" ht="12.75">
      <c r="A19107" s="2" t="s">
        <v>212</v>
      </c>
    </row>
    <row r="19108" spans="1:1" ht="12.75">
      <c r="A19108" s="2" t="s">
        <v>212</v>
      </c>
    </row>
    <row r="19109" spans="1:1" ht="12.75">
      <c r="A19109" s="2" t="s">
        <v>212</v>
      </c>
    </row>
    <row r="19110" spans="1:1" ht="12.75">
      <c r="A19110" s="2" t="s">
        <v>212</v>
      </c>
    </row>
    <row r="19111" spans="1:1" ht="12.75">
      <c r="A19111" s="2" t="s">
        <v>486</v>
      </c>
    </row>
    <row r="19112" spans="1:1" ht="12.75">
      <c r="A19112" s="2" t="s">
        <v>486</v>
      </c>
    </row>
    <row r="19113" spans="1:1" ht="12.75">
      <c r="A19113" s="2" t="s">
        <v>211</v>
      </c>
    </row>
    <row r="19114" spans="1:1" ht="12.75">
      <c r="A19114" s="2" t="s">
        <v>366</v>
      </c>
    </row>
    <row r="19115" spans="1:1" ht="12.75">
      <c r="A19115" s="2" t="s">
        <v>486</v>
      </c>
    </row>
    <row r="19116" spans="1:1" ht="12.75">
      <c r="A19116" s="2" t="s">
        <v>486</v>
      </c>
    </row>
    <row r="19117" spans="1:1" ht="12.75">
      <c r="A19117" s="2" t="s">
        <v>209</v>
      </c>
    </row>
    <row r="19118" spans="1:1" ht="12.75">
      <c r="A19118" s="2" t="s">
        <v>718</v>
      </c>
    </row>
    <row r="19119" spans="1:1" ht="12.75">
      <c r="A19119" s="2" t="s">
        <v>364</v>
      </c>
    </row>
    <row r="19120" spans="1:1" ht="12.75">
      <c r="A19120" s="2" t="s">
        <v>364</v>
      </c>
    </row>
    <row r="19121" spans="1:1" ht="12.75">
      <c r="A19121" s="2" t="s">
        <v>364</v>
      </c>
    </row>
    <row r="19122" spans="1:1" ht="12.75">
      <c r="A19122" s="2" t="s">
        <v>364</v>
      </c>
    </row>
    <row r="19123" spans="1:1" ht="12.75">
      <c r="A19123" s="2" t="s">
        <v>212</v>
      </c>
    </row>
    <row r="19124" spans="1:1" ht="12.75">
      <c r="A19124" s="2" t="s">
        <v>212</v>
      </c>
    </row>
    <row r="19125" spans="1:1" ht="12.75">
      <c r="A19125" s="2" t="s">
        <v>212</v>
      </c>
    </row>
    <row r="19126" spans="1:1" ht="12.75">
      <c r="A19126" s="2" t="s">
        <v>212</v>
      </c>
    </row>
    <row r="19127" spans="1:1" ht="12.75">
      <c r="A19127" s="2" t="s">
        <v>486</v>
      </c>
    </row>
    <row r="19128" spans="1:1" ht="12.75">
      <c r="A19128" s="2" t="s">
        <v>486</v>
      </c>
    </row>
    <row r="19129" spans="1:1" ht="12.75">
      <c r="A19129" s="2" t="s">
        <v>718</v>
      </c>
    </row>
    <row r="19130" spans="1:1" ht="12.75">
      <c r="A19130" s="2" t="s">
        <v>718</v>
      </c>
    </row>
    <row r="19131" spans="1:1" ht="12.75">
      <c r="A19131" s="2" t="s">
        <v>718</v>
      </c>
    </row>
    <row r="19132" spans="1:1" ht="12.75">
      <c r="A19132" s="2" t="s">
        <v>718</v>
      </c>
    </row>
    <row r="19133" spans="1:1" ht="12.75">
      <c r="A19133" s="2" t="s">
        <v>212</v>
      </c>
    </row>
    <row r="19134" spans="1:1" ht="12.75">
      <c r="A19134" s="2" t="s">
        <v>212</v>
      </c>
    </row>
    <row r="19135" spans="1:1" ht="12.75">
      <c r="A19135" s="2" t="s">
        <v>212</v>
      </c>
    </row>
    <row r="19136" spans="1:1" ht="12.75">
      <c r="A19136" s="2" t="s">
        <v>212</v>
      </c>
    </row>
    <row r="19137" spans="1:1" ht="12.75">
      <c r="A19137" s="2" t="s">
        <v>364</v>
      </c>
    </row>
    <row r="19138" spans="1:1" ht="12.75">
      <c r="A19138" s="2" t="s">
        <v>718</v>
      </c>
    </row>
    <row r="19139" spans="1:1" ht="12.75">
      <c r="A19139" s="2" t="s">
        <v>364</v>
      </c>
    </row>
    <row r="19140" spans="1:1" ht="12.75">
      <c r="A19140" s="2" t="s">
        <v>364</v>
      </c>
    </row>
    <row r="19141" spans="1:1" ht="12.75">
      <c r="A19141" s="2" t="s">
        <v>486</v>
      </c>
    </row>
    <row r="19142" spans="1:1" ht="12.75">
      <c r="A19142" s="2" t="s">
        <v>486</v>
      </c>
    </row>
    <row r="19143" spans="1:1" ht="12.75">
      <c r="A19143" s="2" t="s">
        <v>785</v>
      </c>
    </row>
    <row r="19144" spans="1:1" ht="12.75">
      <c r="A19144" s="2" t="s">
        <v>366</v>
      </c>
    </row>
    <row r="19145" spans="1:1" ht="12.75">
      <c r="A19145" s="2" t="s">
        <v>718</v>
      </c>
    </row>
    <row r="19146" spans="1:1" ht="12.75">
      <c r="A19146" s="2" t="s">
        <v>364</v>
      </c>
    </row>
    <row r="19148" spans="1:1" ht="12.75">
      <c r="A19148" s="2" t="s">
        <v>666</v>
      </c>
    </row>
    <row r="19150" spans="1:1" ht="12.75">
      <c r="A19150" s="2" t="s">
        <v>673</v>
      </c>
    </row>
    <row r="19154" spans="1:1" ht="12.75">
      <c r="A19154" s="2" t="s">
        <v>662</v>
      </c>
    </row>
    <row r="19156" spans="1:1" ht="12.75">
      <c r="A19156" s="2" t="s">
        <v>662</v>
      </c>
    </row>
    <row r="19158" spans="1:1" ht="12.75">
      <c r="A19158" s="2" t="s">
        <v>671</v>
      </c>
    </row>
    <row r="19160" spans="1:1" ht="12.75">
      <c r="A19160" s="2" t="s">
        <v>671</v>
      </c>
    </row>
    <row r="19166" spans="1:1" ht="12.75">
      <c r="A19166" s="2" t="s">
        <v>664</v>
      </c>
    </row>
    <row r="19168" spans="1:1" ht="12.75">
      <c r="A19168" s="2" t="s">
        <v>789</v>
      </c>
    </row>
    <row r="19170" spans="1:1" ht="12.75">
      <c r="A19170" s="2" t="s">
        <v>666</v>
      </c>
    </row>
    <row r="19172" spans="1:1" ht="12.75">
      <c r="A19172" s="2" t="s">
        <v>664</v>
      </c>
    </row>
    <row r="19174" spans="1:1" ht="12.75">
      <c r="A19174" s="2" t="s">
        <v>671</v>
      </c>
    </row>
    <row r="19187" spans="1:1" ht="12.75">
      <c r="A19187" s="2" t="s">
        <v>662</v>
      </c>
    </row>
    <row r="19188" spans="1:1" ht="12.75">
      <c r="A19188" s="2" t="s">
        <v>673</v>
      </c>
    </row>
    <row r="19189" spans="1:1" ht="12.75">
      <c r="A19189" s="2" t="s">
        <v>662</v>
      </c>
    </row>
    <row r="19190" spans="1:1" ht="12.75">
      <c r="A19190" s="2" t="s">
        <v>673</v>
      </c>
    </row>
    <row r="19191" spans="1:1" ht="12.75">
      <c r="A19191" s="2" t="s">
        <v>664</v>
      </c>
    </row>
    <row r="19192" spans="1:1" ht="12.75">
      <c r="A19192" s="2" t="s">
        <v>664</v>
      </c>
    </row>
    <row r="19193" spans="1:1" ht="12.75">
      <c r="A19193" s="2" t="s">
        <v>665</v>
      </c>
    </row>
    <row r="19194" spans="1:1" ht="12.75">
      <c r="A19194" s="2" t="s">
        <v>665</v>
      </c>
    </row>
    <row r="19195" spans="1:1" ht="12.75">
      <c r="A19195" s="2" t="s">
        <v>671</v>
      </c>
    </row>
    <row r="19196" spans="1:1" ht="12.75">
      <c r="A19196" s="2" t="s">
        <v>671</v>
      </c>
    </row>
    <row r="19197" spans="1:1" ht="12.75">
      <c r="A19197" s="2" t="s">
        <v>782</v>
      </c>
    </row>
    <row r="19198" spans="1:1" ht="12.75">
      <c r="A19198" s="2" t="s">
        <v>671</v>
      </c>
    </row>
    <row r="19199" spans="1:1" ht="12.75">
      <c r="A19199" s="2" t="s">
        <v>664</v>
      </c>
    </row>
    <row r="19200" spans="1:1" ht="12.75">
      <c r="A19200" s="2" t="s">
        <v>673</v>
      </c>
    </row>
    <row r="19202" spans="1:1" ht="12.75">
      <c r="A19202" s="2" t="s">
        <v>662</v>
      </c>
    </row>
    <row r="19203" spans="1:1" ht="12.75">
      <c r="A19203" s="2" t="s">
        <v>673</v>
      </c>
    </row>
    <row r="19204" spans="1:1" ht="12.75">
      <c r="A19204" s="2" t="s">
        <v>667</v>
      </c>
    </row>
    <row r="19205" spans="1:1" ht="12.75">
      <c r="A19205" s="2" t="s">
        <v>667</v>
      </c>
    </row>
    <row r="19206" spans="1:1" ht="12.75">
      <c r="A19206" s="2" t="s">
        <v>782</v>
      </c>
    </row>
    <row r="19207" spans="1:1" ht="12.75">
      <c r="A19207" s="2" t="s">
        <v>782</v>
      </c>
    </row>
    <row r="19208" spans="1:1" ht="12.75">
      <c r="A19208" s="2" t="s">
        <v>671</v>
      </c>
    </row>
    <row r="19209" spans="1:1" ht="12.75">
      <c r="A19209" s="2" t="s">
        <v>671</v>
      </c>
    </row>
    <row r="19210" spans="1:1" ht="12.75">
      <c r="A19210" s="2" t="s">
        <v>673</v>
      </c>
    </row>
    <row r="19211" spans="1:1" ht="12.75">
      <c r="A19211" s="2" t="s">
        <v>664</v>
      </c>
    </row>
    <row r="19212" spans="1:1" ht="12.75">
      <c r="A19212" s="2" t="s">
        <v>664</v>
      </c>
    </row>
    <row r="19213" spans="1:1" ht="12.75">
      <c r="A19213" s="2" t="s">
        <v>667</v>
      </c>
    </row>
    <row r="19214" spans="1:1" ht="12.75">
      <c r="A19214" s="2" t="s">
        <v>671</v>
      </c>
    </row>
    <row r="19215" spans="1:1" ht="12.75">
      <c r="A19215" s="2" t="s">
        <v>673</v>
      </c>
    </row>
    <row r="19216" spans="1:1" ht="12.75">
      <c r="A19216" s="2" t="s">
        <v>662</v>
      </c>
    </row>
    <row r="19217" spans="1:1" ht="12.75">
      <c r="A19217" s="2" t="s">
        <v>662</v>
      </c>
    </row>
    <row r="19218" spans="1:1" ht="12.75">
      <c r="A19218" s="2" t="s">
        <v>667</v>
      </c>
    </row>
    <row r="19219" spans="1:1" ht="12.75">
      <c r="A19219" s="2" t="s">
        <v>662</v>
      </c>
    </row>
    <row r="19220" spans="1:1" ht="12.75">
      <c r="A19220" s="2" t="s">
        <v>782</v>
      </c>
    </row>
    <row r="19221" spans="1:1" ht="12.75">
      <c r="A19221" s="2" t="s">
        <v>667</v>
      </c>
    </row>
    <row r="19222" spans="1:1" ht="12.75">
      <c r="A19222" s="2" t="s">
        <v>790</v>
      </c>
    </row>
    <row r="19223" spans="1:1" ht="12.75">
      <c r="A19223" s="2" t="s">
        <v>664</v>
      </c>
    </row>
    <row r="19224" spans="1:1" ht="12.75">
      <c r="A19224" s="2" t="s">
        <v>664</v>
      </c>
    </row>
    <row r="19225" spans="1:1" ht="12.75">
      <c r="A19225" s="2" t="s">
        <v>664</v>
      </c>
    </row>
    <row r="19226" spans="1:1" ht="12.75">
      <c r="A19226" s="2" t="s">
        <v>532</v>
      </c>
    </row>
    <row r="19227" spans="1:1" ht="12.75">
      <c r="A19227" s="2" t="s">
        <v>665</v>
      </c>
    </row>
    <row r="19228" spans="1:1" ht="12.75">
      <c r="A19228" s="2" t="s">
        <v>782</v>
      </c>
    </row>
    <row r="19229" spans="1:1" ht="12.75">
      <c r="A19229" s="2" t="s">
        <v>782</v>
      </c>
    </row>
    <row r="19230" spans="1:1" ht="12.75">
      <c r="A19230" s="2" t="s">
        <v>670</v>
      </c>
    </row>
    <row r="19231" spans="1:1" ht="12.75">
      <c r="A19231" s="2" t="s">
        <v>670</v>
      </c>
    </row>
    <row r="19232" spans="1:1" ht="12.75">
      <c r="A19232" s="2" t="s">
        <v>662</v>
      </c>
    </row>
    <row r="19233" spans="1:1" ht="12.75">
      <c r="A19233" s="2" t="s">
        <v>662</v>
      </c>
    </row>
    <row r="19234" spans="1:1" ht="12.75">
      <c r="A19234" s="2" t="s">
        <v>673</v>
      </c>
    </row>
    <row r="19235" spans="1:1" ht="12.75">
      <c r="A19235" s="2" t="s">
        <v>673</v>
      </c>
    </row>
    <row r="19236" spans="1:1" ht="12.75">
      <c r="A19236" s="2" t="s">
        <v>664</v>
      </c>
    </row>
    <row r="19237" spans="1:1" ht="12.75">
      <c r="A19237" s="2" t="s">
        <v>312</v>
      </c>
    </row>
    <row r="19238" spans="1:1" ht="12.75">
      <c r="A19238" s="2" t="s">
        <v>312</v>
      </c>
    </row>
    <row r="19239" spans="1:1" ht="12.75">
      <c r="A19239" s="2" t="s">
        <v>313</v>
      </c>
    </row>
    <row r="19240" spans="1:1" ht="12.75">
      <c r="A19240" s="2" t="s">
        <v>311</v>
      </c>
    </row>
    <row r="19241" spans="1:1" ht="12.75">
      <c r="A19241" s="2" t="s">
        <v>313</v>
      </c>
    </row>
    <row r="19242" spans="1:1" ht="12.75">
      <c r="A19242" s="2" t="s">
        <v>313</v>
      </c>
    </row>
    <row r="19243" spans="1:1" ht="12.75">
      <c r="A19243" s="2" t="s">
        <v>310</v>
      </c>
    </row>
    <row r="19244" spans="1:1" ht="12.75">
      <c r="A19244" s="2" t="s">
        <v>310</v>
      </c>
    </row>
    <row r="19245" spans="1:1" ht="12.75">
      <c r="A19245" s="2" t="s">
        <v>669</v>
      </c>
    </row>
    <row r="19246" spans="1:1" ht="12.75">
      <c r="A19246" s="2" t="s">
        <v>775</v>
      </c>
    </row>
    <row r="19247" spans="1:1" ht="12.75">
      <c r="A19247" s="2" t="s">
        <v>659</v>
      </c>
    </row>
    <row r="19248" spans="1:1" ht="12.75">
      <c r="A19248" s="2" t="s">
        <v>659</v>
      </c>
    </row>
    <row r="19249" spans="1:1" ht="12.75">
      <c r="A19249" s="2" t="s">
        <v>309</v>
      </c>
    </row>
    <row r="19250" spans="1:1" ht="12.75">
      <c r="A19250" s="2" t="s">
        <v>309</v>
      </c>
    </row>
    <row r="19251" spans="1:1" ht="12.75">
      <c r="A19251" s="2" t="s">
        <v>530</v>
      </c>
    </row>
    <row r="19252" spans="1:1" ht="12.75">
      <c r="A19252" s="2" t="s">
        <v>530</v>
      </c>
    </row>
    <row r="19253" spans="1:1" ht="12.75">
      <c r="A19253" s="2" t="s">
        <v>529</v>
      </c>
    </row>
    <row r="19254" spans="1:1" ht="12.75">
      <c r="A19254" s="2" t="s">
        <v>529</v>
      </c>
    </row>
    <row r="19255" spans="1:1" ht="12.75">
      <c r="A19255" s="2" t="s">
        <v>532</v>
      </c>
    </row>
    <row r="19256" spans="1:1" ht="12.75">
      <c r="A19256" s="2" t="s">
        <v>532</v>
      </c>
    </row>
    <row r="19257" spans="1:1" ht="12.75">
      <c r="A19257" s="2" t="s">
        <v>528</v>
      </c>
    </row>
    <row r="19258" spans="1:1" ht="12.75">
      <c r="A19258" s="2" t="s">
        <v>528</v>
      </c>
    </row>
    <row r="19259" spans="1:1" ht="12.75">
      <c r="A19259" s="2" t="s">
        <v>528</v>
      </c>
    </row>
    <row r="19260" spans="1:1" ht="12.75">
      <c r="A19260" s="2" t="s">
        <v>528</v>
      </c>
    </row>
    <row r="19261" spans="1:1" ht="12.75">
      <c r="A19261" s="2" t="s">
        <v>513</v>
      </c>
    </row>
    <row r="19262" spans="1:1" ht="12.75">
      <c r="A19262" s="2" t="s">
        <v>513</v>
      </c>
    </row>
    <row r="19263" spans="1:1" ht="12.75">
      <c r="A19263" s="2" t="s">
        <v>576</v>
      </c>
    </row>
    <row r="19264" spans="1:1" ht="12.75">
      <c r="A19264" s="2" t="s">
        <v>576</v>
      </c>
    </row>
    <row r="19265" spans="1:1" ht="12.75">
      <c r="A19265" s="2" t="s">
        <v>576</v>
      </c>
    </row>
    <row r="19266" spans="1:1" ht="12.75">
      <c r="A19266" s="2" t="s">
        <v>576</v>
      </c>
    </row>
    <row r="19267" spans="1:1" ht="12.75">
      <c r="A19267" s="2" t="s">
        <v>576</v>
      </c>
    </row>
    <row r="19268" spans="1:1" ht="12.75">
      <c r="A19268" s="2" t="s">
        <v>576</v>
      </c>
    </row>
    <row r="19269" spans="1:1" ht="12.75">
      <c r="A19269" s="2" t="s">
        <v>531</v>
      </c>
    </row>
    <row r="19270" spans="1:1" ht="12.75">
      <c r="A19270" s="2" t="s">
        <v>791</v>
      </c>
    </row>
    <row r="19271" spans="1:1" ht="12.75">
      <c r="A19271" s="2" t="s">
        <v>514</v>
      </c>
    </row>
    <row r="19272" spans="1:1" ht="12.75">
      <c r="A19272" s="2" t="s">
        <v>514</v>
      </c>
    </row>
    <row r="19273" spans="1:1" ht="12.75">
      <c r="A19273" s="2" t="s">
        <v>514</v>
      </c>
    </row>
    <row r="19274" spans="1:1" ht="12.75">
      <c r="A19274" s="2" t="s">
        <v>514</v>
      </c>
    </row>
    <row r="19275" spans="1:1" ht="12.75">
      <c r="A19275" s="2" t="s">
        <v>532</v>
      </c>
    </row>
    <row r="19276" spans="1:1" ht="12.75">
      <c r="A19276" s="2" t="s">
        <v>513</v>
      </c>
    </row>
    <row r="19277" spans="1:1" ht="12.75">
      <c r="A19277" s="2" t="s">
        <v>529</v>
      </c>
    </row>
    <row r="19278" spans="1:1" ht="12.75">
      <c r="A19278" s="2" t="s">
        <v>513</v>
      </c>
    </row>
    <row r="19279" spans="1:1" ht="12.75">
      <c r="A19279" s="2" t="s">
        <v>529</v>
      </c>
    </row>
    <row r="19280" spans="1:1" ht="12.75">
      <c r="A19280" s="2" t="s">
        <v>532</v>
      </c>
    </row>
    <row r="19281" spans="1:1" ht="12.75">
      <c r="A19281" s="2" t="s">
        <v>528</v>
      </c>
    </row>
    <row r="19282" spans="1:1" ht="12.75">
      <c r="A19282" s="2" t="s">
        <v>528</v>
      </c>
    </row>
    <row r="19283" spans="1:1" ht="12.75">
      <c r="A19283" s="2" t="s">
        <v>528</v>
      </c>
    </row>
    <row r="19284" spans="1:1" ht="12.75">
      <c r="A19284" s="2" t="s">
        <v>530</v>
      </c>
    </row>
    <row r="19285" spans="1:1" ht="12.75">
      <c r="A19285" s="2" t="s">
        <v>530</v>
      </c>
    </row>
    <row r="19286" spans="1:1" ht="12.75">
      <c r="A19286" s="2" t="s">
        <v>514</v>
      </c>
    </row>
    <row r="19287" spans="1:1" ht="12.75">
      <c r="A19287" s="2" t="s">
        <v>576</v>
      </c>
    </row>
    <row r="19288" spans="1:1" ht="12.75">
      <c r="A19288" s="2" t="s">
        <v>514</v>
      </c>
    </row>
    <row r="19289" spans="1:1" ht="12.75">
      <c r="A19289" s="2" t="s">
        <v>674</v>
      </c>
    </row>
    <row r="19290" spans="1:1" ht="12.75">
      <c r="A19290" s="2" t="s">
        <v>546</v>
      </c>
    </row>
    <row r="19291" spans="1:1" ht="12.75">
      <c r="A19291" s="2" t="s">
        <v>528</v>
      </c>
    </row>
    <row r="19292" spans="1:1" ht="12.75">
      <c r="A19292" s="2" t="s">
        <v>512</v>
      </c>
    </row>
    <row r="19293" spans="1:1" ht="12.75">
      <c r="A19293" s="2" t="s">
        <v>512</v>
      </c>
    </row>
    <row r="19294" spans="1:1" ht="12.75">
      <c r="A19294" s="2" t="s">
        <v>512</v>
      </c>
    </row>
    <row r="19295" spans="1:1" ht="12.75">
      <c r="A19295" s="2" t="s">
        <v>514</v>
      </c>
    </row>
    <row r="19296" spans="1:1" ht="12.75">
      <c r="A19296" s="2" t="s">
        <v>576</v>
      </c>
    </row>
    <row r="19297" spans="1:1" ht="12.75">
      <c r="A19297" s="2" t="s">
        <v>513</v>
      </c>
    </row>
    <row r="19298" spans="1:1" ht="12.75">
      <c r="A19298" s="2" t="s">
        <v>546</v>
      </c>
    </row>
    <row r="19299" spans="1:1" ht="12.75">
      <c r="A19299" s="2" t="s">
        <v>513</v>
      </c>
    </row>
    <row r="19300" spans="1:1" ht="12.75">
      <c r="A19300" s="2" t="s">
        <v>792</v>
      </c>
    </row>
    <row r="19301" spans="1:1" ht="12.75">
      <c r="A19301" s="2" t="s">
        <v>530</v>
      </c>
    </row>
    <row r="19302" spans="1:1" ht="12.75">
      <c r="A19302" s="2" t="s">
        <v>532</v>
      </c>
    </row>
    <row r="19303" spans="1:1" ht="12.75">
      <c r="A19303" s="2" t="s">
        <v>528</v>
      </c>
    </row>
    <row r="19304" spans="1:1" ht="12.75">
      <c r="A19304" s="2" t="s">
        <v>530</v>
      </c>
    </row>
    <row r="19305" spans="1:1" ht="12.75">
      <c r="A19305" s="2" t="s">
        <v>546</v>
      </c>
    </row>
    <row r="19306" spans="1:1" ht="12.75">
      <c r="A19306" s="2" t="s">
        <v>530</v>
      </c>
    </row>
    <row r="19307" spans="1:1" ht="12.75">
      <c r="A19307" s="2" t="s">
        <v>532</v>
      </c>
    </row>
    <row r="19308" spans="1:1" ht="12.75">
      <c r="A19308" s="2" t="s">
        <v>528</v>
      </c>
    </row>
    <row r="19309" spans="1:1" ht="12.75">
      <c r="A19309" s="2" t="s">
        <v>512</v>
      </c>
    </row>
    <row r="19310" spans="1:1" ht="12.75">
      <c r="A19310" s="2" t="s">
        <v>512</v>
      </c>
    </row>
    <row r="19311" spans="1:1" ht="12.75">
      <c r="A19311" s="2" t="s">
        <v>793</v>
      </c>
    </row>
    <row r="19312" spans="1:1" ht="12.75">
      <c r="A19312" s="2" t="s">
        <v>529</v>
      </c>
    </row>
    <row r="19313" spans="1:1" ht="12.75">
      <c r="A19313" s="2" t="s">
        <v>530</v>
      </c>
    </row>
    <row r="19314" spans="1:1" ht="12.75">
      <c r="A19314" s="2" t="s">
        <v>530</v>
      </c>
    </row>
    <row r="19315" spans="1:1" ht="12.75">
      <c r="A19315" s="2" t="s">
        <v>576</v>
      </c>
    </row>
    <row r="19316" spans="1:1" ht="12.75">
      <c r="A19316" s="2" t="s">
        <v>576</v>
      </c>
    </row>
    <row r="19317" spans="1:1" ht="12.75">
      <c r="A19317" s="2" t="s">
        <v>576</v>
      </c>
    </row>
    <row r="19318" spans="1:1" ht="12.75">
      <c r="A19318" s="2" t="s">
        <v>514</v>
      </c>
    </row>
    <row r="19319" spans="1:1" ht="12.75">
      <c r="A19319" s="2" t="s">
        <v>530</v>
      </c>
    </row>
    <row r="19320" spans="1:1" ht="12.75">
      <c r="A19320" s="2" t="s">
        <v>528</v>
      </c>
    </row>
    <row r="19321" spans="1:1" ht="12.75">
      <c r="A19321" s="2" t="s">
        <v>529</v>
      </c>
    </row>
    <row r="19322" spans="1:1" ht="12.75">
      <c r="A19322" s="2" t="s">
        <v>514</v>
      </c>
    </row>
    <row r="19323" spans="1:1" ht="12.75">
      <c r="A19323" s="2" t="s">
        <v>531</v>
      </c>
    </row>
    <row r="19324" spans="1:1" ht="12.75">
      <c r="A19324" s="2" t="s">
        <v>514</v>
      </c>
    </row>
    <row r="19325" spans="1:1" ht="12.75">
      <c r="A19325" s="2" t="s">
        <v>531</v>
      </c>
    </row>
    <row r="19326" spans="1:1" ht="12.75">
      <c r="A19326" s="2" t="s">
        <v>514</v>
      </c>
    </row>
    <row r="19327" spans="1:1" ht="12.75">
      <c r="A19327" s="2" t="s">
        <v>529</v>
      </c>
    </row>
    <row r="19328" spans="1:1" ht="12.75">
      <c r="A19328" s="2" t="s">
        <v>514</v>
      </c>
    </row>
    <row r="19329" spans="1:1" ht="12.75">
      <c r="A19329" s="2" t="s">
        <v>529</v>
      </c>
    </row>
    <row r="19330" spans="1:1" ht="12.75">
      <c r="A19330" s="2" t="s">
        <v>530</v>
      </c>
    </row>
    <row r="19331" spans="1:1" ht="12.75">
      <c r="A19331" s="2" t="s">
        <v>532</v>
      </c>
    </row>
    <row r="19332" spans="1:1" ht="12.75">
      <c r="A19332" s="2" t="s">
        <v>576</v>
      </c>
    </row>
    <row r="19333" spans="1:1" ht="12.75">
      <c r="A19333" s="2" t="s">
        <v>512</v>
      </c>
    </row>
    <row r="19334" spans="1:1" ht="12.75">
      <c r="A19334" s="2" t="s">
        <v>512</v>
      </c>
    </row>
    <row r="19335" spans="1:1" ht="12.75">
      <c r="A19335" s="2" t="s">
        <v>530</v>
      </c>
    </row>
    <row r="19336" spans="1:1" ht="12.75">
      <c r="A19336" s="2" t="s">
        <v>513</v>
      </c>
    </row>
    <row r="19337" spans="1:1" ht="12.75">
      <c r="A19337" s="2" t="s">
        <v>513</v>
      </c>
    </row>
    <row r="19338" spans="1:1" ht="12.75">
      <c r="A19338" s="2" t="s">
        <v>530</v>
      </c>
    </row>
    <row r="19339" spans="1:1" ht="12.75">
      <c r="A19339" s="2" t="s">
        <v>512</v>
      </c>
    </row>
    <row r="19340" spans="1:1" ht="12.75">
      <c r="A19340" s="2" t="s">
        <v>530</v>
      </c>
    </row>
    <row r="19341" spans="1:1" ht="12.75">
      <c r="A19341" s="2" t="s">
        <v>512</v>
      </c>
    </row>
    <row r="19342" spans="1:1" ht="12.75">
      <c r="A19342" s="2" t="s">
        <v>528</v>
      </c>
    </row>
    <row r="19343" spans="1:1" ht="12.75">
      <c r="A19343" s="2" t="s">
        <v>512</v>
      </c>
    </row>
    <row r="19344" spans="1:1" ht="12.75">
      <c r="A19344" s="2" t="s">
        <v>512</v>
      </c>
    </row>
    <row r="19345" spans="1:1" ht="12.75">
      <c r="A19345" s="2" t="s">
        <v>513</v>
      </c>
    </row>
    <row r="19346" spans="1:1" ht="12.75">
      <c r="A19346" s="2" t="s">
        <v>512</v>
      </c>
    </row>
    <row r="19347" spans="1:1" ht="12.75">
      <c r="A19347" s="2" t="s">
        <v>528</v>
      </c>
    </row>
    <row r="19348" spans="1:1" ht="12.75">
      <c r="A19348" s="2" t="s">
        <v>514</v>
      </c>
    </row>
    <row r="19349" spans="1:1" ht="12.75">
      <c r="A19349" s="2" t="s">
        <v>530</v>
      </c>
    </row>
    <row r="19350" spans="1:1" ht="12.75">
      <c r="A19350" s="2" t="s">
        <v>530</v>
      </c>
    </row>
    <row r="19351" spans="1:1" ht="12.75">
      <c r="A19351" s="2" t="s">
        <v>513</v>
      </c>
    </row>
    <row r="19352" spans="1:1" ht="12.75">
      <c r="A19352" s="2" t="s">
        <v>513</v>
      </c>
    </row>
    <row r="19353" spans="1:1" ht="12.75">
      <c r="A19353" s="2" t="s">
        <v>531</v>
      </c>
    </row>
    <row r="19354" spans="1:1" ht="12.75">
      <c r="A19354" s="2" t="s">
        <v>531</v>
      </c>
    </row>
    <row r="19355" spans="1:1" ht="12.75">
      <c r="A19355" s="2" t="s">
        <v>528</v>
      </c>
    </row>
    <row r="19356" spans="1:1" ht="12.75">
      <c r="A19356" s="2" t="s">
        <v>528</v>
      </c>
    </row>
    <row r="19357" spans="1:1" ht="12.75">
      <c r="A19357" s="2" t="s">
        <v>529</v>
      </c>
    </row>
    <row r="19358" spans="1:1" ht="12.75">
      <c r="A19358" s="2" t="s">
        <v>529</v>
      </c>
    </row>
    <row r="19359" spans="1:1" ht="12.75">
      <c r="A19359" s="2" t="s">
        <v>512</v>
      </c>
    </row>
    <row r="19360" spans="1:1" ht="12.75">
      <c r="A19360" s="2" t="s">
        <v>512</v>
      </c>
    </row>
    <row r="19361" spans="1:1" ht="12.75">
      <c r="A19361" s="2" t="s">
        <v>514</v>
      </c>
    </row>
    <row r="19362" spans="1:1" ht="12.75">
      <c r="A19362" s="2" t="s">
        <v>530</v>
      </c>
    </row>
    <row r="19363" spans="1:1" ht="12.75">
      <c r="A19363" s="2" t="s">
        <v>514</v>
      </c>
    </row>
    <row r="19364" spans="1:1" ht="12.75">
      <c r="A19364" s="2" t="s">
        <v>514</v>
      </c>
    </row>
    <row r="19365" spans="1:1" ht="12.75">
      <c r="A19365" s="2" t="s">
        <v>513</v>
      </c>
    </row>
    <row r="19366" spans="1:1" ht="12.75">
      <c r="A19366" s="2" t="s">
        <v>513</v>
      </c>
    </row>
    <row r="19367" spans="1:1" ht="12.75">
      <c r="A19367" s="2" t="s">
        <v>528</v>
      </c>
    </row>
    <row r="19368" spans="1:1" ht="12.75">
      <c r="A19368" s="2" t="s">
        <v>528</v>
      </c>
    </row>
    <row r="19369" spans="1:1" ht="12.75">
      <c r="A19369" s="2" t="s">
        <v>531</v>
      </c>
    </row>
    <row r="19370" spans="1:1" ht="12.75">
      <c r="A19370" s="2" t="s">
        <v>512</v>
      </c>
    </row>
    <row r="19371" spans="1:1" ht="12.75">
      <c r="A19371" s="2" t="s">
        <v>530</v>
      </c>
    </row>
    <row r="19372" spans="1:1" ht="12.75">
      <c r="A19372" s="2" t="s">
        <v>514</v>
      </c>
    </row>
    <row r="19373" spans="1:1" ht="12.75">
      <c r="A19373" s="2" t="s">
        <v>530</v>
      </c>
    </row>
    <row r="19374" spans="1:1" ht="12.75">
      <c r="A19374" s="2" t="s">
        <v>514</v>
      </c>
    </row>
    <row r="19375" spans="1:1" ht="12.75">
      <c r="A19375" s="2" t="s">
        <v>528</v>
      </c>
    </row>
    <row r="19376" spans="1:1" ht="12.75">
      <c r="A19376" s="2" t="s">
        <v>531</v>
      </c>
    </row>
    <row r="19377" spans="1:1" ht="12.75">
      <c r="A19377" s="2" t="s">
        <v>532</v>
      </c>
    </row>
    <row r="19378" spans="1:1" ht="12.75">
      <c r="A19378" s="2" t="s">
        <v>529</v>
      </c>
    </row>
    <row r="19379" spans="1:1" ht="12.75">
      <c r="A19379" s="2" t="s">
        <v>532</v>
      </c>
    </row>
    <row r="19380" spans="1:1" ht="12.75">
      <c r="A19380" s="2" t="s">
        <v>529</v>
      </c>
    </row>
    <row r="19381" spans="1:1" ht="12.75">
      <c r="A19381" s="2" t="s">
        <v>546</v>
      </c>
    </row>
    <row r="19382" spans="1:1" ht="12.75">
      <c r="A19382" s="2" t="s">
        <v>528</v>
      </c>
    </row>
    <row r="19383" spans="1:1" ht="12.75">
      <c r="A19383" s="2" t="s">
        <v>513</v>
      </c>
    </row>
    <row r="19384" spans="1:1" ht="12.75">
      <c r="A19384" s="2" t="s">
        <v>513</v>
      </c>
    </row>
    <row r="19385" spans="1:1" ht="12.75">
      <c r="A19385" s="2" t="s">
        <v>513</v>
      </c>
    </row>
    <row r="19386" spans="1:1" ht="12.75">
      <c r="A19386" s="2" t="s">
        <v>532</v>
      </c>
    </row>
    <row r="19387" spans="1:1" ht="12.75">
      <c r="A19387" s="2" t="s">
        <v>546</v>
      </c>
    </row>
    <row r="19388" spans="1:1" ht="12.75">
      <c r="A19388" s="2" t="s">
        <v>530</v>
      </c>
    </row>
    <row r="19389" spans="1:1" ht="12.75">
      <c r="A19389" s="2" t="s">
        <v>546</v>
      </c>
    </row>
    <row r="19390" spans="1:1" ht="12.75">
      <c r="A19390" s="2" t="s">
        <v>530</v>
      </c>
    </row>
    <row r="19391" spans="1:1" ht="12.75">
      <c r="A19391" s="2" t="s">
        <v>529</v>
      </c>
    </row>
    <row r="19392" spans="1:1" ht="12.75">
      <c r="A19392" s="2" t="s">
        <v>531</v>
      </c>
    </row>
    <row r="19393" spans="1:1" ht="12.75">
      <c r="A19393" s="2" t="s">
        <v>531</v>
      </c>
    </row>
    <row r="19394" spans="1:1" ht="12.75">
      <c r="A19394" s="2" t="s">
        <v>528</v>
      </c>
    </row>
    <row r="19395" spans="1:1" ht="12.75">
      <c r="A19395" s="2" t="s">
        <v>794</v>
      </c>
    </row>
    <row r="19396" spans="1:1" ht="12.75">
      <c r="A19396" s="2" t="s">
        <v>529</v>
      </c>
    </row>
    <row r="19397" spans="1:1" ht="12.75">
      <c r="A19397" s="2" t="s">
        <v>531</v>
      </c>
    </row>
    <row r="19398" spans="1:1" ht="12.75">
      <c r="A19398" s="2" t="s">
        <v>529</v>
      </c>
    </row>
    <row r="19399" spans="1:1" ht="12.75">
      <c r="A19399" s="2" t="s">
        <v>794</v>
      </c>
    </row>
    <row r="19400" spans="1:1" ht="12.75">
      <c r="A19400" s="2" t="s">
        <v>529</v>
      </c>
    </row>
    <row r="19401" spans="1:1" ht="12.75">
      <c r="A19401" s="2" t="s">
        <v>795</v>
      </c>
    </row>
    <row r="19402" spans="1:1" ht="12.75">
      <c r="A19402" s="2" t="s">
        <v>514</v>
      </c>
    </row>
    <row r="19403" spans="1:1" ht="12.75">
      <c r="A19403" s="2" t="s">
        <v>514</v>
      </c>
    </row>
    <row r="19404" spans="1:1" ht="12.75">
      <c r="A19404" s="2" t="s">
        <v>514</v>
      </c>
    </row>
    <row r="19405" spans="1:1" ht="12.75">
      <c r="A19405" s="2" t="s">
        <v>514</v>
      </c>
    </row>
    <row r="19406" spans="1:1" ht="12.75">
      <c r="A19406" s="2" t="s">
        <v>514</v>
      </c>
    </row>
    <row r="19407" spans="1:1" ht="12.75">
      <c r="A19407" s="2" t="s">
        <v>513</v>
      </c>
    </row>
    <row r="19408" spans="1:1" ht="12.75">
      <c r="A19408" s="2" t="s">
        <v>529</v>
      </c>
    </row>
    <row r="19409" spans="1:1" ht="12.75">
      <c r="A19409" s="2" t="s">
        <v>528</v>
      </c>
    </row>
    <row r="19410" spans="1:1" ht="12.75">
      <c r="A19410" s="2" t="s">
        <v>528</v>
      </c>
    </row>
    <row r="19411" spans="1:1" ht="12.75">
      <c r="A19411" s="2" t="s">
        <v>512</v>
      </c>
    </row>
    <row r="19412" spans="1:1" ht="12.75">
      <c r="A19412" s="2" t="s">
        <v>514</v>
      </c>
    </row>
    <row r="19413" spans="1:1" ht="12.75">
      <c r="A19413" s="2" t="s">
        <v>796</v>
      </c>
    </row>
    <row r="19414" spans="1:1" ht="12.75">
      <c r="A19414" s="2" t="s">
        <v>514</v>
      </c>
    </row>
    <row r="19415" spans="1:1" ht="12.75">
      <c r="A19415" s="2" t="s">
        <v>513</v>
      </c>
    </row>
    <row r="19416" spans="1:1" ht="12.75">
      <c r="A19416" s="2" t="s">
        <v>529</v>
      </c>
    </row>
    <row r="19417" spans="1:1" ht="12.75">
      <c r="A19417" s="2" t="s">
        <v>532</v>
      </c>
    </row>
    <row r="19418" spans="1:1" ht="12.75">
      <c r="A19418" s="2" t="s">
        <v>529</v>
      </c>
    </row>
    <row r="19419" spans="1:1" ht="12.75">
      <c r="A19419" s="2" t="s">
        <v>532</v>
      </c>
    </row>
    <row r="19420" spans="1:1" ht="12.75">
      <c r="A19420" s="2" t="s">
        <v>528</v>
      </c>
    </row>
    <row r="19421" spans="1:1" ht="12.75">
      <c r="A19421" s="2" t="s">
        <v>530</v>
      </c>
    </row>
    <row r="19422" spans="1:1" ht="12.75">
      <c r="A19422" s="2" t="s">
        <v>529</v>
      </c>
    </row>
    <row r="19423" spans="1:1" ht="12.75">
      <c r="A19423" s="2" t="s">
        <v>530</v>
      </c>
    </row>
    <row r="19424" spans="1:1" ht="12.75">
      <c r="A19424" s="2" t="s">
        <v>528</v>
      </c>
    </row>
    <row r="19425" spans="1:1" ht="12.75">
      <c r="A19425" s="2" t="s">
        <v>532</v>
      </c>
    </row>
    <row r="19426" spans="1:1" ht="12.75">
      <c r="A19426" s="2" t="s">
        <v>528</v>
      </c>
    </row>
    <row r="19427" spans="1:1" ht="12.75">
      <c r="A19427" s="2" t="s">
        <v>532</v>
      </c>
    </row>
    <row r="19429" spans="1:1" ht="12.75">
      <c r="A19429" s="2" t="s">
        <v>529</v>
      </c>
    </row>
    <row r="19431" spans="1:1" ht="12.75">
      <c r="A19431" s="2" t="s">
        <v>512</v>
      </c>
    </row>
    <row r="19433" spans="1:1" ht="12.75">
      <c r="A19433" s="2" t="s">
        <v>512</v>
      </c>
    </row>
    <row r="19434" spans="1:1" ht="12.75">
      <c r="A19434" s="2" t="s">
        <v>797</v>
      </c>
    </row>
    <row r="19435" spans="1:1" ht="12.75">
      <c r="A19435" s="2" t="s">
        <v>797</v>
      </c>
    </row>
    <row r="19436" spans="1:1" ht="12.75">
      <c r="A19436" s="2" t="s">
        <v>797</v>
      </c>
    </row>
    <row r="19437" spans="1:1" ht="12.75">
      <c r="A19437" s="2" t="s">
        <v>513</v>
      </c>
    </row>
    <row r="19438" spans="1:1" ht="12.75">
      <c r="A19438" s="2" t="s">
        <v>528</v>
      </c>
    </row>
    <row r="19439" spans="1:1" ht="12.75">
      <c r="A19439" s="2" t="s">
        <v>532</v>
      </c>
    </row>
    <row r="19440" spans="1:1" ht="12.75">
      <c r="A19440" s="2" t="s">
        <v>528</v>
      </c>
    </row>
    <row r="19441" spans="1:1" ht="12.75">
      <c r="A19441" s="2" t="s">
        <v>532</v>
      </c>
    </row>
    <row r="19442" spans="1:1" ht="12.75">
      <c r="A19442" s="2" t="s">
        <v>528</v>
      </c>
    </row>
    <row r="19443" spans="1:1" ht="12.75">
      <c r="A19443" s="2" t="s">
        <v>514</v>
      </c>
    </row>
    <row r="19444" spans="1:1" ht="12.75">
      <c r="A19444" s="2" t="s">
        <v>532</v>
      </c>
    </row>
    <row r="19445" spans="1:1" ht="12.75">
      <c r="A19445" s="2" t="s">
        <v>514</v>
      </c>
    </row>
    <row r="19446" spans="1:1" ht="12.75">
      <c r="A19446" s="2" t="s">
        <v>514</v>
      </c>
    </row>
    <row r="19447" spans="1:1" ht="12.75">
      <c r="A19447" s="2" t="s">
        <v>514</v>
      </c>
    </row>
    <row r="19448" spans="1:1" ht="12.75">
      <c r="A19448" s="2" t="s">
        <v>514</v>
      </c>
    </row>
    <row r="19449" spans="1:1" ht="12.75">
      <c r="A19449" s="2" t="s">
        <v>798</v>
      </c>
    </row>
    <row r="19450" spans="1:1" ht="12.75">
      <c r="A19450" s="2" t="s">
        <v>514</v>
      </c>
    </row>
    <row r="19451" spans="1:1" ht="12.75">
      <c r="A19451" s="2" t="s">
        <v>514</v>
      </c>
    </row>
    <row r="19452" spans="1:1" ht="12.75">
      <c r="A19452" s="2" t="s">
        <v>514</v>
      </c>
    </row>
    <row r="19453" spans="1:1" ht="12.75">
      <c r="A19453" s="2" t="s">
        <v>529</v>
      </c>
    </row>
    <row r="19454" spans="1:1" ht="12.75">
      <c r="A19454" s="2" t="s">
        <v>797</v>
      </c>
    </row>
    <row r="19455" spans="1:1" ht="12.75">
      <c r="A19455" s="2" t="s">
        <v>799</v>
      </c>
    </row>
    <row r="19456" spans="1:1" ht="12.75">
      <c r="A19456" s="2" t="s">
        <v>546</v>
      </c>
    </row>
    <row r="19457" spans="1:1" ht="12.75">
      <c r="A19457" s="2" t="s">
        <v>528</v>
      </c>
    </row>
    <row r="19458" spans="1:1" ht="12.75">
      <c r="A19458" s="2" t="s">
        <v>546</v>
      </c>
    </row>
    <row r="19459" spans="1:1" ht="12.75">
      <c r="A19459" s="2" t="s">
        <v>547</v>
      </c>
    </row>
    <row r="19460" spans="1:1" ht="12.75">
      <c r="A19460" s="2" t="s">
        <v>797</v>
      </c>
    </row>
    <row r="19461" spans="1:1" ht="12.75">
      <c r="A19461" s="2" t="s">
        <v>530</v>
      </c>
    </row>
    <row r="19462" spans="1:1" ht="12.75">
      <c r="A19462" s="2" t="s">
        <v>513</v>
      </c>
    </row>
    <row r="19463" spans="1:1" ht="12.75">
      <c r="A19463" s="2" t="s">
        <v>530</v>
      </c>
    </row>
    <row r="19464" spans="1:1" ht="12.75">
      <c r="A19464" s="2" t="s">
        <v>513</v>
      </c>
    </row>
    <row r="19465" spans="1:1" ht="12.75">
      <c r="A19465" s="2" t="s">
        <v>528</v>
      </c>
    </row>
    <row r="19466" spans="1:1" ht="12.75">
      <c r="A19466" s="2" t="s">
        <v>799</v>
      </c>
    </row>
    <row r="19467" spans="1:1" ht="12.75">
      <c r="A19467" s="2" t="s">
        <v>532</v>
      </c>
    </row>
    <row r="19468" spans="1:1" ht="12.75">
      <c r="A19468" s="2" t="s">
        <v>514</v>
      </c>
    </row>
    <row r="19469" spans="1:1" ht="12.75">
      <c r="A19469" s="2" t="s">
        <v>528</v>
      </c>
    </row>
    <row r="19470" spans="1:1" ht="12.75">
      <c r="A19470" s="2" t="s">
        <v>514</v>
      </c>
    </row>
    <row r="19471" spans="1:1" ht="12.75">
      <c r="A19471" s="2" t="s">
        <v>528</v>
      </c>
    </row>
    <row r="19472" spans="1:1" ht="12.75">
      <c r="A19472" s="2" t="s">
        <v>514</v>
      </c>
    </row>
    <row r="19473" spans="1:1" ht="12.75">
      <c r="A19473" s="2" t="s">
        <v>514</v>
      </c>
    </row>
    <row r="19474" spans="1:1" ht="12.75">
      <c r="A19474" s="2" t="s">
        <v>800</v>
      </c>
    </row>
    <row r="19475" spans="1:1" ht="12.75">
      <c r="A19475" s="2" t="s">
        <v>512</v>
      </c>
    </row>
    <row r="19476" spans="1:1" ht="12.75">
      <c r="A19476" s="2" t="s">
        <v>799</v>
      </c>
    </row>
    <row r="19477" spans="1:1" ht="12.75">
      <c r="A19477" s="2" t="s">
        <v>530</v>
      </c>
    </row>
    <row r="19478" spans="1:1" ht="12.75">
      <c r="A19478" s="2" t="s">
        <v>532</v>
      </c>
    </row>
    <row r="19479" spans="1:1" ht="12.75">
      <c r="A19479" s="2" t="s">
        <v>530</v>
      </c>
    </row>
    <row r="19480" spans="1:1" ht="12.75">
      <c r="A19480" s="2" t="s">
        <v>532</v>
      </c>
    </row>
    <row r="19481" spans="1:1" ht="12.75">
      <c r="A19481" s="2" t="s">
        <v>512</v>
      </c>
    </row>
    <row r="19482" spans="1:1" ht="12.75">
      <c r="A19482" s="2" t="s">
        <v>531</v>
      </c>
    </row>
    <row r="19483" spans="1:1" ht="12.75">
      <c r="A19483" s="2" t="s">
        <v>512</v>
      </c>
    </row>
    <row r="19484" spans="1:1" ht="12.75">
      <c r="A19484" s="2" t="s">
        <v>531</v>
      </c>
    </row>
    <row r="19485" spans="1:1" ht="12.75">
      <c r="A19485" s="2" t="s">
        <v>513</v>
      </c>
    </row>
    <row r="19486" spans="1:1" ht="12.75">
      <c r="A19486" s="2" t="s">
        <v>514</v>
      </c>
    </row>
    <row r="19487" spans="1:1" ht="12.75">
      <c r="A19487" s="2" t="s">
        <v>513</v>
      </c>
    </row>
    <row r="19488" spans="1:1" ht="12.75">
      <c r="A19488" s="2" t="s">
        <v>797</v>
      </c>
    </row>
    <row r="19489" spans="1:1" ht="12.75">
      <c r="A19489" s="2" t="s">
        <v>528</v>
      </c>
    </row>
    <row r="19490" spans="1:1" ht="12.75">
      <c r="A19490" s="2" t="s">
        <v>530</v>
      </c>
    </row>
    <row r="19491" spans="1:1" ht="12.75">
      <c r="A19491" s="2" t="s">
        <v>528</v>
      </c>
    </row>
    <row r="19492" spans="1:1" ht="12.75">
      <c r="A19492" s="2" t="s">
        <v>529</v>
      </c>
    </row>
    <row r="19493" spans="1:1" ht="12.75">
      <c r="A19493" s="2" t="s">
        <v>512</v>
      </c>
    </row>
    <row r="19494" spans="1:1" ht="12.75">
      <c r="A19494" s="2" t="s">
        <v>514</v>
      </c>
    </row>
    <row r="19495" spans="1:1" ht="12.75">
      <c r="A19495" s="2" t="s">
        <v>799</v>
      </c>
    </row>
    <row r="19496" spans="1:1" ht="12.75">
      <c r="A19496" s="2" t="s">
        <v>531</v>
      </c>
    </row>
    <row r="19497" spans="1:1" ht="12.75">
      <c r="A19497" s="2" t="s">
        <v>514</v>
      </c>
    </row>
    <row r="19498" spans="1:1" ht="12.75">
      <c r="A19498" s="2" t="s">
        <v>514</v>
      </c>
    </row>
    <row r="19499" spans="1:1" ht="12.75">
      <c r="A19499" s="2" t="s">
        <v>514</v>
      </c>
    </row>
    <row r="19500" spans="1:1" ht="12.75">
      <c r="A19500" s="2" t="s">
        <v>799</v>
      </c>
    </row>
    <row r="19501" spans="1:1" ht="12.75">
      <c r="A19501" s="2" t="s">
        <v>512</v>
      </c>
    </row>
    <row r="19502" spans="1:1" ht="12.75">
      <c r="A19502" s="2" t="s">
        <v>531</v>
      </c>
    </row>
    <row r="19503" spans="1:1" ht="12.75">
      <c r="A19503" s="2" t="s">
        <v>512</v>
      </c>
    </row>
    <row r="19504" spans="1:1" ht="12.75">
      <c r="A19504" s="2" t="s">
        <v>532</v>
      </c>
    </row>
    <row r="19505" spans="1:1" ht="12.75">
      <c r="A19505" s="2" t="s">
        <v>512</v>
      </c>
    </row>
    <row r="19506" spans="1:1" ht="12.75">
      <c r="A19506" s="2" t="s">
        <v>532</v>
      </c>
    </row>
    <row r="19507" spans="1:1" ht="12.75">
      <c r="A19507" s="2" t="s">
        <v>513</v>
      </c>
    </row>
    <row r="19508" spans="1:1" ht="12.75">
      <c r="A19508" s="2" t="s">
        <v>528</v>
      </c>
    </row>
    <row r="19509" spans="1:1" ht="12.75">
      <c r="A19509" s="2" t="s">
        <v>513</v>
      </c>
    </row>
    <row r="19510" spans="1:1" ht="12.75">
      <c r="A19510" s="2" t="s">
        <v>528</v>
      </c>
    </row>
    <row r="19511" spans="1:1" ht="12.75">
      <c r="A19511" s="2" t="s">
        <v>530</v>
      </c>
    </row>
    <row r="19512" spans="1:1" ht="12.75">
      <c r="A19512" s="2" t="s">
        <v>514</v>
      </c>
    </row>
    <row r="19513" spans="1:1" ht="12.75">
      <c r="A19513" s="2" t="s">
        <v>530</v>
      </c>
    </row>
    <row r="19514" spans="1:1" ht="12.75">
      <c r="A19514" s="2" t="s">
        <v>797</v>
      </c>
    </row>
    <row r="19515" spans="1:1" ht="12.75">
      <c r="A19515" s="2" t="s">
        <v>531</v>
      </c>
    </row>
    <row r="19516" spans="1:1" ht="12.75">
      <c r="A19516" s="2" t="s">
        <v>530</v>
      </c>
    </row>
    <row r="19517" spans="1:1" ht="12.75">
      <c r="A19517" s="2" t="s">
        <v>531</v>
      </c>
    </row>
    <row r="19518" spans="1:1" ht="12.75">
      <c r="A19518" s="2" t="s">
        <v>530</v>
      </c>
    </row>
    <row r="19519" spans="1:1" ht="12.75">
      <c r="A19519" s="2" t="s">
        <v>529</v>
      </c>
    </row>
    <row r="19520" spans="1:1" ht="12.75">
      <c r="A19520" s="2" t="s">
        <v>796</v>
      </c>
    </row>
    <row r="19521" spans="1:1" ht="12.75">
      <c r="A19521" s="2" t="s">
        <v>512</v>
      </c>
    </row>
    <row r="19522" spans="1:1" ht="12.75">
      <c r="A19522" s="2" t="s">
        <v>530</v>
      </c>
    </row>
    <row r="19523" spans="1:1" ht="12.75">
      <c r="A19523" s="2" t="s">
        <v>512</v>
      </c>
    </row>
    <row r="19524" spans="1:1" ht="12.75">
      <c r="A19524" s="2" t="s">
        <v>529</v>
      </c>
    </row>
    <row r="19525" spans="1:1" ht="12.75">
      <c r="A19525" s="2" t="s">
        <v>799</v>
      </c>
    </row>
    <row r="19526" spans="1:1" ht="12.75">
      <c r="A19526" s="2" t="s">
        <v>529</v>
      </c>
    </row>
    <row r="19527" spans="1:1" ht="12.75">
      <c r="A19527" s="2" t="s">
        <v>799</v>
      </c>
    </row>
    <row r="19528" spans="1:1" ht="12.75">
      <c r="A19528" s="2" t="s">
        <v>512</v>
      </c>
    </row>
    <row r="19529" spans="1:1" ht="12.75">
      <c r="A19529" s="2" t="s">
        <v>531</v>
      </c>
    </row>
    <row r="19530" spans="1:1" ht="12.75">
      <c r="A19530" s="2" t="s">
        <v>528</v>
      </c>
    </row>
    <row r="19531" spans="1:1" ht="12.75">
      <c r="A19531" s="2" t="s">
        <v>513</v>
      </c>
    </row>
    <row r="19532" spans="1:1" ht="12.75">
      <c r="A19532" s="2" t="s">
        <v>528</v>
      </c>
    </row>
    <row r="19533" spans="1:1" ht="12.75">
      <c r="A19533" s="2" t="s">
        <v>801</v>
      </c>
    </row>
    <row r="19534" spans="1:1" ht="12.75">
      <c r="A19534" s="2" t="s">
        <v>528</v>
      </c>
    </row>
    <row r="19535" spans="1:1" ht="12.75">
      <c r="A19535" s="2" t="s">
        <v>530</v>
      </c>
    </row>
    <row r="19536" spans="1:1" ht="12.75">
      <c r="A19536" s="2" t="s">
        <v>531</v>
      </c>
    </row>
    <row r="19537" spans="1:1" ht="12.75">
      <c r="A19537" s="2" t="s">
        <v>528</v>
      </c>
    </row>
    <row r="19538" spans="1:1" ht="12.75">
      <c r="A19538" s="2" t="s">
        <v>530</v>
      </c>
    </row>
    <row r="19539" spans="1:1" ht="12.75">
      <c r="A19539" s="2" t="s">
        <v>530</v>
      </c>
    </row>
    <row r="19540" spans="1:1" ht="12.75">
      <c r="A19540" s="2" t="s">
        <v>531</v>
      </c>
    </row>
    <row r="19541" spans="1:1" ht="12.75">
      <c r="A19541" s="2" t="s">
        <v>514</v>
      </c>
    </row>
    <row r="19542" spans="1:1" ht="12.75">
      <c r="A19542" s="2" t="s">
        <v>528</v>
      </c>
    </row>
    <row r="19543" spans="1:1" ht="12.75">
      <c r="A19543" s="2" t="s">
        <v>797</v>
      </c>
    </row>
    <row r="19544" spans="1:1" ht="12.75">
      <c r="A19544" s="2" t="s">
        <v>514</v>
      </c>
    </row>
    <row r="19545" spans="1:1" ht="12.75">
      <c r="A19545" s="2" t="s">
        <v>531</v>
      </c>
    </row>
    <row r="19546" spans="1:1" ht="12.75">
      <c r="A19546" s="2" t="s">
        <v>529</v>
      </c>
    </row>
    <row r="19547" spans="1:1" ht="12.75">
      <c r="A19547" s="2" t="s">
        <v>528</v>
      </c>
    </row>
    <row r="19548" spans="1:1" ht="12.75">
      <c r="A19548" s="2" t="s">
        <v>797</v>
      </c>
    </row>
    <row r="19549" spans="1:1" ht="12.75">
      <c r="A19549" s="2" t="s">
        <v>799</v>
      </c>
    </row>
    <row r="19550" spans="1:1" ht="12.75">
      <c r="A19550" s="2" t="s">
        <v>546</v>
      </c>
    </row>
    <row r="19551" spans="1:1" ht="12.75">
      <c r="A19551" s="2" t="s">
        <v>531</v>
      </c>
    </row>
    <row r="19552" spans="1:1" ht="12.75">
      <c r="A19552" s="2" t="s">
        <v>532</v>
      </c>
    </row>
    <row r="19553" spans="1:1" ht="12.75">
      <c r="A19553" s="2" t="s">
        <v>532</v>
      </c>
    </row>
    <row r="19554" spans="1:1" ht="12.75">
      <c r="A19554" s="2" t="s">
        <v>794</v>
      </c>
    </row>
    <row r="19555" spans="1:1" ht="12.75">
      <c r="A19555" s="2" t="s">
        <v>794</v>
      </c>
    </row>
    <row r="19556" spans="1:1" ht="12.75">
      <c r="A19556" s="2" t="s">
        <v>529</v>
      </c>
    </row>
    <row r="19557" spans="1:1" ht="12.75">
      <c r="A19557" s="2" t="s">
        <v>528</v>
      </c>
    </row>
    <row r="19558" spans="1:1" ht="12.75">
      <c r="A19558" s="2" t="s">
        <v>797</v>
      </c>
    </row>
    <row r="19559" spans="1:1" ht="12.75">
      <c r="A19559" s="2" t="s">
        <v>528</v>
      </c>
    </row>
    <row r="19560" spans="1:1" ht="12.75">
      <c r="A19560" s="2" t="s">
        <v>798</v>
      </c>
    </row>
    <row r="19561" spans="1:1" ht="12.75">
      <c r="A19561" s="2" t="s">
        <v>798</v>
      </c>
    </row>
    <row r="19562" spans="1:1" ht="12.75">
      <c r="A19562" s="2" t="s">
        <v>531</v>
      </c>
    </row>
    <row r="19563" spans="1:1" ht="12.75">
      <c r="A19563" s="2" t="s">
        <v>529</v>
      </c>
    </row>
    <row r="19564" spans="1:1" ht="12.75">
      <c r="A19564" s="2" t="s">
        <v>798</v>
      </c>
    </row>
    <row r="19565" spans="1:1" ht="12.75">
      <c r="A19565" s="2" t="s">
        <v>546</v>
      </c>
    </row>
    <row r="19566" spans="1:1" ht="12.75">
      <c r="A19566" s="2" t="s">
        <v>546</v>
      </c>
    </row>
    <row r="19567" spans="1:1" ht="12.75">
      <c r="A19567" s="2" t="s">
        <v>529</v>
      </c>
    </row>
    <row r="19568" spans="1:1" ht="12.75">
      <c r="A19568" s="2" t="s">
        <v>531</v>
      </c>
    </row>
    <row r="19569" spans="1:1" ht="12.75">
      <c r="A19569" s="2" t="s">
        <v>514</v>
      </c>
    </row>
    <row r="19570" spans="1:1" ht="12.75">
      <c r="A19570" s="2" t="s">
        <v>512</v>
      </c>
    </row>
    <row r="19571" spans="1:1" ht="12.75">
      <c r="A19571" s="2" t="s">
        <v>532</v>
      </c>
    </row>
    <row r="19572" spans="1:1" ht="12.75">
      <c r="A19572" s="2" t="s">
        <v>531</v>
      </c>
    </row>
    <row r="19573" spans="1:1" ht="12.75">
      <c r="A19573" s="2" t="s">
        <v>532</v>
      </c>
    </row>
    <row r="19574" spans="1:1" ht="12.75">
      <c r="A19574" s="2" t="s">
        <v>532</v>
      </c>
    </row>
    <row r="19575" spans="1:1" ht="12.75">
      <c r="A19575" s="2" t="s">
        <v>513</v>
      </c>
    </row>
    <row r="19576" spans="1:1" ht="12.75">
      <c r="A19576" s="2" t="s">
        <v>532</v>
      </c>
    </row>
    <row r="19577" spans="1:1" ht="12.75">
      <c r="A19577" s="2" t="s">
        <v>513</v>
      </c>
    </row>
    <row r="19578" spans="1:1" ht="12.75">
      <c r="A19578" s="2" t="s">
        <v>528</v>
      </c>
    </row>
    <row r="19579" spans="1:1" ht="12.75">
      <c r="A19579" s="2" t="s">
        <v>794</v>
      </c>
    </row>
    <row r="19580" spans="1:1" ht="12.75">
      <c r="A19580" s="2" t="s">
        <v>528</v>
      </c>
    </row>
    <row r="19581" spans="1:1" ht="12.75">
      <c r="A19581" s="2" t="s">
        <v>530</v>
      </c>
    </row>
    <row r="19582" spans="1:1" ht="12.75">
      <c r="A19582" s="2" t="s">
        <v>528</v>
      </c>
    </row>
    <row r="19583" spans="1:1" ht="12.75">
      <c r="A19583" s="2" t="s">
        <v>531</v>
      </c>
    </row>
    <row r="19584" spans="1:1" ht="12.75">
      <c r="A19584" s="2" t="s">
        <v>512</v>
      </c>
    </row>
    <row r="19585" spans="1:1" ht="12.75">
      <c r="A19585" s="2" t="s">
        <v>530</v>
      </c>
    </row>
    <row r="19586" spans="1:1" ht="12.75">
      <c r="A19586" s="2" t="s">
        <v>532</v>
      </c>
    </row>
    <row r="19587" spans="1:1" ht="12.75">
      <c r="A19587" s="2" t="s">
        <v>531</v>
      </c>
    </row>
    <row r="19588" spans="1:1" ht="12.75">
      <c r="A19588" s="2" t="s">
        <v>528</v>
      </c>
    </row>
    <row r="19589" spans="1:1" ht="12.75">
      <c r="A19589" s="2" t="s">
        <v>531</v>
      </c>
    </row>
    <row r="19590" spans="1:1" ht="12.75">
      <c r="A19590" s="2" t="s">
        <v>802</v>
      </c>
    </row>
    <row r="19591" spans="1:1" ht="12.75">
      <c r="A19591" s="2" t="s">
        <v>528</v>
      </c>
    </row>
    <row r="19592" spans="1:1" ht="12.75">
      <c r="A19592" s="2" t="s">
        <v>797</v>
      </c>
    </row>
    <row r="19593" spans="1:1" ht="12.75">
      <c r="A19593" s="2" t="s">
        <v>531</v>
      </c>
    </row>
    <row r="19594" spans="1:1" ht="12.75">
      <c r="A19594" s="2" t="s">
        <v>531</v>
      </c>
    </row>
    <row r="19595" spans="1:1" ht="12.75">
      <c r="A19595" s="2" t="s">
        <v>531</v>
      </c>
    </row>
    <row r="19596" spans="1:1" ht="12.75">
      <c r="A19596" s="2" t="s">
        <v>528</v>
      </c>
    </row>
    <row r="19597" spans="1:1" ht="12.75">
      <c r="A19597" s="2" t="s">
        <v>530</v>
      </c>
    </row>
    <row r="19599" spans="1:1" ht="12.75">
      <c r="A19599" s="2" t="s">
        <v>530</v>
      </c>
    </row>
    <row r="19600" spans="1:1" ht="12.75">
      <c r="A19600" s="2" t="s">
        <v>529</v>
      </c>
    </row>
    <row r="19601" spans="1:1" ht="12.75">
      <c r="A19601" s="2" t="s">
        <v>528</v>
      </c>
    </row>
    <row r="19602" spans="1:1" ht="12.75">
      <c r="A19602" s="2" t="s">
        <v>530</v>
      </c>
    </row>
    <row r="19603" spans="1:1" ht="12.75">
      <c r="A19603" s="2" t="s">
        <v>531</v>
      </c>
    </row>
    <row r="19604" spans="1:1" ht="12.75">
      <c r="A19604" s="2" t="s">
        <v>513</v>
      </c>
    </row>
    <row r="19605" spans="1:1" ht="12.75">
      <c r="A19605" s="2" t="s">
        <v>529</v>
      </c>
    </row>
    <row r="19606" spans="1:1" ht="12.75">
      <c r="A19606" s="2" t="s">
        <v>531</v>
      </c>
    </row>
    <row r="19608" spans="1:1" ht="12.75">
      <c r="A19608" s="2" t="s">
        <v>514</v>
      </c>
    </row>
    <row r="19609" spans="1:1" ht="12.75">
      <c r="A19609" s="2" t="s">
        <v>530</v>
      </c>
    </row>
    <row r="19610" spans="1:1" ht="12.75">
      <c r="A19610" s="2" t="s">
        <v>514</v>
      </c>
    </row>
    <row r="19611" spans="1:1" ht="12.75">
      <c r="A19611" s="2" t="s">
        <v>513</v>
      </c>
    </row>
    <row r="19612" spans="1:1" ht="12.75">
      <c r="A19612" s="2" t="s">
        <v>514</v>
      </c>
    </row>
    <row r="19613" spans="1:1" ht="12.75">
      <c r="A19613" s="2" t="s">
        <v>532</v>
      </c>
    </row>
    <row r="19614" spans="1:1" ht="12.75">
      <c r="A19614" s="2" t="s">
        <v>513</v>
      </c>
    </row>
    <row r="19615" spans="1:1" ht="12.75">
      <c r="A19615" s="2" t="s">
        <v>532</v>
      </c>
    </row>
    <row r="19616" spans="1:1" ht="12.75">
      <c r="A19616" s="2" t="s">
        <v>513</v>
      </c>
    </row>
    <row r="19617" spans="1:1" ht="12.75">
      <c r="A19617" s="2" t="s">
        <v>530</v>
      </c>
    </row>
    <row r="19618" spans="1:1" ht="12.75">
      <c r="A19618" s="2" t="s">
        <v>531</v>
      </c>
    </row>
    <row r="19619" spans="1:1" ht="12.75">
      <c r="A19619" s="2" t="s">
        <v>530</v>
      </c>
    </row>
    <row r="19620" spans="1:1" ht="12.75">
      <c r="A19620" s="2" t="s">
        <v>531</v>
      </c>
    </row>
    <row r="19621" spans="1:1" ht="12.75">
      <c r="A19621" s="2" t="s">
        <v>528</v>
      </c>
    </row>
    <row r="19622" spans="1:1" ht="12.75">
      <c r="A19622" s="2" t="s">
        <v>514</v>
      </c>
    </row>
    <row r="19623" spans="1:1" ht="12.75">
      <c r="A19623" s="2" t="s">
        <v>530</v>
      </c>
    </row>
    <row r="19624" spans="1:1" ht="12.75">
      <c r="A19624" s="2" t="s">
        <v>528</v>
      </c>
    </row>
    <row r="19625" spans="1:1" ht="12.75">
      <c r="A19625" s="2" t="s">
        <v>532</v>
      </c>
    </row>
    <row r="19626" spans="1:1" ht="12.75">
      <c r="A19626" s="2" t="s">
        <v>531</v>
      </c>
    </row>
    <row r="19627" spans="1:1" ht="12.75">
      <c r="A19627" s="2" t="s">
        <v>797</v>
      </c>
    </row>
    <row r="19628" spans="1:1" ht="12.75">
      <c r="A19628" s="2" t="s">
        <v>514</v>
      </c>
    </row>
    <row r="19629" spans="1:1" ht="12.75">
      <c r="A19629" s="2" t="s">
        <v>797</v>
      </c>
    </row>
    <row r="19630" spans="1:1" ht="12.75">
      <c r="A19630" s="2" t="s">
        <v>514</v>
      </c>
    </row>
    <row r="19631" spans="1:1" ht="12.75">
      <c r="A19631" s="2" t="s">
        <v>531</v>
      </c>
    </row>
    <row r="19632" spans="1:1" ht="12.75">
      <c r="A19632" s="2" t="s">
        <v>530</v>
      </c>
    </row>
    <row r="19633" spans="1:1" ht="12.75">
      <c r="A19633" s="2" t="s">
        <v>529</v>
      </c>
    </row>
    <row r="19634" spans="1:1" ht="12.75">
      <c r="A19634" s="2" t="s">
        <v>513</v>
      </c>
    </row>
    <row r="19635" spans="1:1" ht="12.75">
      <c r="A19635" s="2" t="s">
        <v>529</v>
      </c>
    </row>
    <row r="19636" spans="1:1" ht="12.75">
      <c r="A19636" s="2" t="s">
        <v>513</v>
      </c>
    </row>
    <row r="19637" spans="1:1" ht="12.75">
      <c r="A19637" s="2" t="s">
        <v>532</v>
      </c>
    </row>
    <row r="19638" spans="1:1" ht="12.75">
      <c r="A19638" s="2" t="s">
        <v>531</v>
      </c>
    </row>
    <row r="19639" spans="1:1" ht="12.75">
      <c r="A19639" s="2" t="s">
        <v>528</v>
      </c>
    </row>
    <row r="19640" spans="1:1" ht="12.75">
      <c r="A19640" s="2" t="s">
        <v>528</v>
      </c>
    </row>
    <row r="19641" spans="1:1" ht="12.75">
      <c r="A19641" s="2" t="s">
        <v>530</v>
      </c>
    </row>
    <row r="19642" spans="1:1" ht="12.75">
      <c r="A19642" s="2" t="s">
        <v>528</v>
      </c>
    </row>
    <row r="19643" spans="1:1" ht="12.75">
      <c r="A19643" s="2" t="s">
        <v>528</v>
      </c>
    </row>
    <row r="19644" spans="1:1" ht="12.75">
      <c r="A19644" s="2" t="s">
        <v>513</v>
      </c>
    </row>
    <row r="19651" spans="1:1" ht="12.75">
      <c r="A19651" s="2" t="s">
        <v>797</v>
      </c>
    </row>
    <row r="19652" spans="1:1" ht="12.75">
      <c r="A19652" s="2" t="s">
        <v>513</v>
      </c>
    </row>
    <row r="19653" spans="1:1" ht="12.75">
      <c r="A19653" s="2" t="s">
        <v>514</v>
      </c>
    </row>
    <row r="19654" spans="1:1" ht="12.75">
      <c r="A19654" s="2" t="s">
        <v>514</v>
      </c>
    </row>
    <row r="19655" spans="1:1" ht="12.75">
      <c r="A19655" s="2" t="s">
        <v>530</v>
      </c>
    </row>
    <row r="19656" spans="1:1" ht="12.75">
      <c r="A19656" s="2" t="s">
        <v>512</v>
      </c>
    </row>
    <row r="19657" spans="1:1" ht="12.75">
      <c r="A19657" s="2" t="s">
        <v>799</v>
      </c>
    </row>
    <row r="19658" spans="1:1" ht="12.75">
      <c r="A19658" s="2" t="s">
        <v>514</v>
      </c>
    </row>
    <row r="19659" spans="1:1" ht="12.75">
      <c r="A19659" s="2" t="s">
        <v>799</v>
      </c>
    </row>
    <row r="19660" spans="1:1" ht="12.75">
      <c r="A19660" s="2" t="s">
        <v>530</v>
      </c>
    </row>
    <row r="19661" spans="1:1" ht="12.75">
      <c r="A19661" s="2" t="s">
        <v>531</v>
      </c>
    </row>
    <row r="19662" spans="1:1" ht="12.75">
      <c r="A19662" s="2" t="s">
        <v>530</v>
      </c>
    </row>
    <row r="19663" spans="1:1" ht="12.75">
      <c r="A19663" s="2" t="s">
        <v>530</v>
      </c>
    </row>
    <row r="19664" spans="1:1" ht="12.75">
      <c r="A19664" s="2" t="s">
        <v>546</v>
      </c>
    </row>
    <row r="19665" spans="1:1" ht="12.75">
      <c r="A19665" s="2" t="s">
        <v>530</v>
      </c>
    </row>
    <row r="19666" spans="1:1" ht="12.75">
      <c r="A19666" s="2" t="s">
        <v>514</v>
      </c>
    </row>
    <row r="19667" spans="1:1" ht="12.75">
      <c r="A19667" s="2" t="s">
        <v>528</v>
      </c>
    </row>
    <row r="19668" spans="1:1" ht="12.75">
      <c r="A19668" s="2" t="s">
        <v>531</v>
      </c>
    </row>
    <row r="19669" spans="1:1" ht="12.75">
      <c r="A19669" s="2" t="s">
        <v>529</v>
      </c>
    </row>
    <row r="19670" spans="1:1" ht="12.75">
      <c r="A19670" s="2" t="s">
        <v>528</v>
      </c>
    </row>
    <row r="19671" spans="1:1" ht="12.75">
      <c r="A19671" s="2" t="s">
        <v>531</v>
      </c>
    </row>
    <row r="19672" spans="1:1" ht="12.75">
      <c r="A19672" s="2" t="s">
        <v>532</v>
      </c>
    </row>
    <row r="19673" spans="1:1" ht="12.75">
      <c r="A19673" s="2" t="s">
        <v>531</v>
      </c>
    </row>
    <row r="19674" spans="1:1" ht="12.75">
      <c r="A19674" s="2" t="s">
        <v>529</v>
      </c>
    </row>
    <row r="19675" spans="1:1" ht="12.75">
      <c r="A19675" s="2" t="s">
        <v>530</v>
      </c>
    </row>
    <row r="19676" spans="1:1" ht="12.75">
      <c r="A19676" s="2" t="s">
        <v>529</v>
      </c>
    </row>
    <row r="19677" spans="1:1" ht="12.75">
      <c r="A19677" s="2" t="s">
        <v>529</v>
      </c>
    </row>
    <row r="19679" spans="1:1" ht="12.75">
      <c r="A19679" s="2" t="s">
        <v>797</v>
      </c>
    </row>
    <row r="19680" spans="1:1" ht="12.75">
      <c r="A19680" s="2" t="s">
        <v>528</v>
      </c>
    </row>
    <row r="19681" spans="1:1" ht="12.75">
      <c r="A19681" s="2" t="s">
        <v>528</v>
      </c>
    </row>
    <row r="19682" spans="1:1" ht="12.75">
      <c r="A19682" s="2" t="s">
        <v>528</v>
      </c>
    </row>
    <row r="19683" spans="1:1" ht="12.75">
      <c r="A19683" s="2" t="s">
        <v>512</v>
      </c>
    </row>
    <row r="19685" spans="1:1" ht="12.75">
      <c r="A19685" s="2" t="s">
        <v>514</v>
      </c>
    </row>
    <row r="19687" spans="1:1" ht="12.75">
      <c r="A19687" s="2" t="s">
        <v>799</v>
      </c>
    </row>
    <row r="19688" spans="1:1" ht="12.75">
      <c r="A19688" s="2" t="s">
        <v>514</v>
      </c>
    </row>
    <row r="19689" spans="1:1" ht="12.75">
      <c r="A19689" s="2" t="s">
        <v>799</v>
      </c>
    </row>
    <row r="19690" spans="1:1" ht="12.75">
      <c r="A19690" s="2" t="s">
        <v>514</v>
      </c>
    </row>
    <row r="19691" spans="1:1" ht="12.75">
      <c r="A19691" s="2" t="s">
        <v>532</v>
      </c>
    </row>
    <row r="19692" spans="1:1" ht="12.75">
      <c r="A19692" s="2" t="s">
        <v>514</v>
      </c>
    </row>
    <row r="19693" spans="1:1" ht="12.75">
      <c r="A19693" s="2" t="s">
        <v>528</v>
      </c>
    </row>
    <row r="19694" spans="1:1" ht="12.75">
      <c r="A19694" s="2" t="s">
        <v>797</v>
      </c>
    </row>
    <row r="19695" spans="1:1" ht="12.75">
      <c r="A19695" s="2" t="s">
        <v>532</v>
      </c>
    </row>
    <row r="19696" spans="1:1" ht="12.75">
      <c r="A19696" s="2" t="s">
        <v>514</v>
      </c>
    </row>
    <row r="19697" spans="1:1" ht="12.75">
      <c r="A19697" s="2" t="s">
        <v>532</v>
      </c>
    </row>
    <row r="19698" spans="1:1" ht="12.75">
      <c r="A19698" s="2" t="s">
        <v>514</v>
      </c>
    </row>
    <row r="19700" spans="1:1" ht="12.75">
      <c r="A19700" s="2" t="s">
        <v>531</v>
      </c>
    </row>
    <row r="19701" spans="1:1" ht="12.75">
      <c r="A19701" s="2" t="s">
        <v>530</v>
      </c>
    </row>
    <row r="19702" spans="1:1" ht="12.75">
      <c r="A19702" s="2" t="s">
        <v>794</v>
      </c>
    </row>
    <row r="19703" spans="1:1" ht="12.75">
      <c r="A19703" s="2" t="s">
        <v>530</v>
      </c>
    </row>
    <row r="19704" spans="1:1" ht="12.75">
      <c r="A19704" s="2" t="s">
        <v>529</v>
      </c>
    </row>
    <row r="19705" spans="1:1" ht="12.75">
      <c r="A19705" s="2" t="s">
        <v>531</v>
      </c>
    </row>
    <row r="19706" spans="1:1" ht="12.75">
      <c r="A19706" s="2" t="s">
        <v>528</v>
      </c>
    </row>
    <row r="19707" spans="1:1" ht="12.75">
      <c r="A19707" s="2" t="s">
        <v>799</v>
      </c>
    </row>
    <row r="19708" spans="1:1" ht="12.75">
      <c r="A19708" s="2" t="s">
        <v>547</v>
      </c>
    </row>
    <row r="19709" spans="1:1" ht="12.75">
      <c r="A19709" s="2" t="s">
        <v>799</v>
      </c>
    </row>
    <row r="19711" spans="1:1" ht="12.75">
      <c r="A19711" s="2" t="s">
        <v>797</v>
      </c>
    </row>
    <row r="19713" spans="1:1" ht="12.75">
      <c r="A19713" s="2" t="s">
        <v>547</v>
      </c>
    </row>
    <row r="19715" spans="1:1" ht="12.75">
      <c r="A19715" s="2" t="s">
        <v>528</v>
      </c>
    </row>
    <row r="19716" spans="1:1" ht="12.75">
      <c r="A19716" s="2" t="s">
        <v>799</v>
      </c>
    </row>
    <row r="19717" spans="1:1" ht="12.75">
      <c r="A19717" s="2" t="s">
        <v>532</v>
      </c>
    </row>
    <row r="19718" spans="1:1" ht="12.75">
      <c r="A19718" s="2" t="s">
        <v>514</v>
      </c>
    </row>
    <row r="19719" spans="1:1" ht="12.75">
      <c r="A19719" s="2" t="s">
        <v>532</v>
      </c>
    </row>
    <row r="19720" spans="1:1" ht="12.75">
      <c r="A19720" s="2" t="s">
        <v>512</v>
      </c>
    </row>
    <row r="19721" spans="1:1" ht="12.75">
      <c r="A19721" s="2" t="s">
        <v>799</v>
      </c>
    </row>
    <row r="19722" spans="1:1" ht="12.75">
      <c r="A19722" s="2" t="s">
        <v>799</v>
      </c>
    </row>
    <row r="19723" spans="1:1" ht="12.75">
      <c r="A19723" s="2" t="s">
        <v>530</v>
      </c>
    </row>
    <row r="19724" spans="1:1" ht="12.75">
      <c r="A19724" s="2" t="s">
        <v>529</v>
      </c>
    </row>
    <row r="19725" spans="1:1" ht="12.75">
      <c r="A19725" s="2" t="s">
        <v>531</v>
      </c>
    </row>
    <row r="19726" spans="1:1" ht="12.75">
      <c r="A19726" s="2" t="s">
        <v>529</v>
      </c>
    </row>
    <row r="19727" spans="1:1" ht="12.75">
      <c r="A19727" s="2" t="s">
        <v>531</v>
      </c>
    </row>
    <row r="19728" spans="1:1" ht="12.75">
      <c r="A19728" s="2" t="s">
        <v>528</v>
      </c>
    </row>
    <row r="19729" spans="1:1" ht="12.75">
      <c r="A19729" s="2" t="s">
        <v>514</v>
      </c>
    </row>
    <row r="19730" spans="1:1" ht="12.75">
      <c r="A19730" s="2" t="s">
        <v>512</v>
      </c>
    </row>
    <row r="19731" spans="1:1" ht="12.75">
      <c r="A19731" s="2" t="s">
        <v>794</v>
      </c>
    </row>
    <row r="19732" spans="1:1" ht="12.75">
      <c r="A19732" s="2" t="s">
        <v>512</v>
      </c>
    </row>
    <row r="19733" spans="1:1" ht="12.75">
      <c r="A19733" s="2" t="s">
        <v>512</v>
      </c>
    </row>
    <row r="19734" spans="1:1" ht="12.75">
      <c r="A19734" s="2" t="s">
        <v>530</v>
      </c>
    </row>
    <row r="19735" spans="1:1" ht="12.75">
      <c r="A19735" s="2" t="s">
        <v>513</v>
      </c>
    </row>
    <row r="19736" spans="1:1" ht="12.75">
      <c r="A19736" s="2" t="s">
        <v>529</v>
      </c>
    </row>
    <row r="19737" spans="1:1" ht="12.75">
      <c r="A19737" s="2" t="s">
        <v>529</v>
      </c>
    </row>
    <row r="19738" spans="1:1" ht="12.75">
      <c r="A19738" s="2" t="s">
        <v>514</v>
      </c>
    </row>
    <row r="19739" spans="1:1" ht="12.75">
      <c r="A19739" s="2" t="s">
        <v>528</v>
      </c>
    </row>
    <row r="19740" spans="1:1" ht="12.75">
      <c r="A19740" s="2" t="s">
        <v>514</v>
      </c>
    </row>
    <row r="19742" spans="1:1" ht="12.75">
      <c r="A19742" s="2" t="s">
        <v>514</v>
      </c>
    </row>
    <row r="19743" spans="1:1" ht="12.75">
      <c r="A19743" s="2" t="s">
        <v>530</v>
      </c>
    </row>
    <row r="19744" spans="1:1" ht="12.75">
      <c r="A19744" s="2" t="s">
        <v>528</v>
      </c>
    </row>
    <row r="19745" spans="1:1" ht="12.75">
      <c r="A19745" s="2" t="s">
        <v>530</v>
      </c>
    </row>
    <row r="19746" spans="1:1" ht="12.75">
      <c r="A19746" s="2" t="s">
        <v>528</v>
      </c>
    </row>
    <row r="19747" spans="1:1" ht="12.75">
      <c r="A19747" s="2" t="s">
        <v>529</v>
      </c>
    </row>
    <row r="19748" spans="1:1" ht="12.75">
      <c r="A19748" s="2" t="s">
        <v>528</v>
      </c>
    </row>
    <row r="19749" spans="1:1" ht="12.75">
      <c r="A19749" s="2" t="s">
        <v>529</v>
      </c>
    </row>
    <row r="19750" spans="1:1" ht="12.75">
      <c r="A19750" s="2" t="s">
        <v>513</v>
      </c>
    </row>
    <row r="19751" spans="1:1" ht="12.75">
      <c r="A19751" s="2" t="s">
        <v>233</v>
      </c>
    </row>
    <row r="19752" spans="1:1" ht="12.75">
      <c r="A19752" s="2" t="s">
        <v>233</v>
      </c>
    </row>
    <row r="19753" spans="1:1" ht="12.75">
      <c r="A19753" s="2" t="s">
        <v>236</v>
      </c>
    </row>
    <row r="19754" spans="1:1" ht="12.75">
      <c r="A19754" s="2" t="s">
        <v>236</v>
      </c>
    </row>
    <row r="19755" spans="1:1" ht="12.75">
      <c r="A19755" s="2" t="s">
        <v>234</v>
      </c>
    </row>
    <row r="19756" spans="1:1" ht="12.75">
      <c r="A19756" s="2" t="s">
        <v>234</v>
      </c>
    </row>
    <row r="19757" spans="1:1" ht="12.75">
      <c r="A19757" s="2" t="s">
        <v>234</v>
      </c>
    </row>
    <row r="19758" spans="1:1" ht="12.75">
      <c r="A19758" s="2" t="s">
        <v>234</v>
      </c>
    </row>
    <row r="19759" spans="1:1" ht="12.75">
      <c r="A19759" s="2" t="s">
        <v>199</v>
      </c>
    </row>
    <row r="19760" spans="1:1" ht="12.75">
      <c r="A19760" s="2" t="s">
        <v>199</v>
      </c>
    </row>
    <row r="19761" spans="1:1" ht="12.75">
      <c r="A19761" s="2" t="s">
        <v>234</v>
      </c>
    </row>
    <row r="19762" spans="1:1" ht="12.75">
      <c r="A19762" s="2" t="s">
        <v>234</v>
      </c>
    </row>
    <row r="19763" spans="1:1" ht="12.75">
      <c r="A19763" s="2" t="s">
        <v>234</v>
      </c>
    </row>
    <row r="19764" spans="1:1" ht="12.75">
      <c r="A19764" s="2" t="s">
        <v>234</v>
      </c>
    </row>
    <row r="19765" spans="1:1" ht="12.75">
      <c r="A19765" s="2" t="s">
        <v>236</v>
      </c>
    </row>
    <row r="19766" spans="1:1" ht="12.75">
      <c r="A19766" s="2" t="s">
        <v>236</v>
      </c>
    </row>
    <row r="19767" spans="1:1" ht="12.75">
      <c r="A19767" s="2" t="s">
        <v>235</v>
      </c>
    </row>
    <row r="19768" spans="1:1" ht="12.75">
      <c r="A19768" s="2" t="s">
        <v>235</v>
      </c>
    </row>
    <row r="19769" spans="1:1" ht="12.75">
      <c r="A19769" s="2">
        <v>237</v>
      </c>
    </row>
    <row r="19770" spans="1:1" ht="12.75">
      <c r="A19770" s="2" t="s">
        <v>235</v>
      </c>
    </row>
    <row r="19771" spans="1:1" ht="12.75">
      <c r="A19771" s="2" t="s">
        <v>199</v>
      </c>
    </row>
    <row r="19772" spans="1:1" ht="12.75">
      <c r="A19772" s="2" t="s">
        <v>199</v>
      </c>
    </row>
    <row r="19773" spans="1:1" ht="12.75">
      <c r="A19773" s="2" t="s">
        <v>234</v>
      </c>
    </row>
    <row r="19774" spans="1:1" ht="12.75">
      <c r="A19774" s="2" t="s">
        <v>234</v>
      </c>
    </row>
    <row r="19775" spans="1:1" ht="12.75">
      <c r="A19775" s="2" t="s">
        <v>236</v>
      </c>
    </row>
    <row r="19776" spans="1:1" ht="12.75">
      <c r="A19776" s="2" t="s">
        <v>803</v>
      </c>
    </row>
    <row r="19777" spans="1:1" ht="12.75">
      <c r="A19777" s="2" t="s">
        <v>235</v>
      </c>
    </row>
    <row r="19778" spans="1:1" ht="12.75">
      <c r="A19778" s="2" t="s">
        <v>234</v>
      </c>
    </row>
    <row r="19779" spans="1:1" ht="12.75">
      <c r="A19779" s="2" t="s">
        <v>234</v>
      </c>
    </row>
    <row r="19780" spans="1:1" ht="12.75">
      <c r="A19780" s="2" t="s">
        <v>234</v>
      </c>
    </row>
    <row r="19781" spans="1:1" ht="12.75">
      <c r="A19781" s="2" t="s">
        <v>236</v>
      </c>
    </row>
    <row r="19782" spans="1:1" ht="12.75">
      <c r="A19782" s="2" t="s">
        <v>236</v>
      </c>
    </row>
    <row r="19783" spans="1:1" ht="12.75">
      <c r="A19783" s="2" t="s">
        <v>235</v>
      </c>
    </row>
    <row r="19784" spans="1:1" ht="12.75">
      <c r="A19784" s="2" t="s">
        <v>235</v>
      </c>
    </row>
    <row r="19785" spans="1:1" ht="12.75">
      <c r="A19785" s="2" t="s">
        <v>199</v>
      </c>
    </row>
    <row r="19786" spans="1:1" ht="12.75">
      <c r="A19786" s="2" t="s">
        <v>235</v>
      </c>
    </row>
    <row r="19787" spans="1:1" ht="12.75">
      <c r="A19787" s="2" t="s">
        <v>199</v>
      </c>
    </row>
    <row r="19788" spans="1:1" ht="12.75">
      <c r="A19788" s="2" t="s">
        <v>199</v>
      </c>
    </row>
    <row r="19789" spans="1:1" ht="12.75">
      <c r="A19789" s="2" t="s">
        <v>234</v>
      </c>
    </row>
    <row r="19790" spans="1:1" ht="12.75">
      <c r="A19790" s="2" t="s">
        <v>234</v>
      </c>
    </row>
    <row r="19791" spans="1:1" ht="12.75">
      <c r="A19791" s="2" t="s">
        <v>234</v>
      </c>
    </row>
    <row r="19792" spans="1:1" ht="12.75">
      <c r="A19792" s="2" t="s">
        <v>234</v>
      </c>
    </row>
    <row r="19793" spans="1:1" ht="12.75">
      <c r="A19793" s="2" t="s">
        <v>236</v>
      </c>
    </row>
    <row r="19794" spans="1:1" ht="12.75">
      <c r="A19794" s="2" t="s">
        <v>236</v>
      </c>
    </row>
    <row r="19795" spans="1:1" ht="12.75">
      <c r="A19795" s="2" t="s">
        <v>235</v>
      </c>
    </row>
    <row r="19796" spans="1:1" ht="12.75">
      <c r="A19796" s="2" t="s">
        <v>235</v>
      </c>
    </row>
    <row r="19797" spans="1:1" ht="12.75">
      <c r="A19797" s="2" t="s">
        <v>804</v>
      </c>
    </row>
    <row r="19798" spans="1:1" ht="12.75">
      <c r="A19798" s="2" t="s">
        <v>804</v>
      </c>
    </row>
    <row r="19799" spans="1:1" ht="12.75">
      <c r="A19799" s="2" t="s">
        <v>199</v>
      </c>
    </row>
    <row r="19800" spans="1:1" ht="12.75">
      <c r="A19800" s="2" t="s">
        <v>235</v>
      </c>
    </row>
    <row r="19801" spans="1:1" ht="12.75">
      <c r="A19801" s="2" t="s">
        <v>199</v>
      </c>
    </row>
    <row r="19802" spans="1:1" ht="12.75">
      <c r="A19802" s="2" t="s">
        <v>199</v>
      </c>
    </row>
    <row r="19803" spans="1:1" ht="12.75">
      <c r="A19803" s="2" t="s">
        <v>199</v>
      </c>
    </row>
    <row r="19804" spans="1:1" ht="12.75">
      <c r="A19804" s="2" t="s">
        <v>199</v>
      </c>
    </row>
    <row r="19805" spans="1:1" ht="12.75">
      <c r="A19805" s="2" t="s">
        <v>236</v>
      </c>
    </row>
    <row r="19806" spans="1:1" ht="12.75">
      <c r="A19806" s="2" t="s">
        <v>803</v>
      </c>
    </row>
    <row r="19807" spans="1:1" ht="12.75">
      <c r="A19807" s="2" t="s">
        <v>236</v>
      </c>
    </row>
    <row r="19808" spans="1:1" ht="12.75">
      <c r="A19808" s="2" t="s">
        <v>236</v>
      </c>
    </row>
    <row r="19809" spans="1:1" ht="12.75">
      <c r="A19809" s="2" t="s">
        <v>235</v>
      </c>
    </row>
    <row r="19810" spans="1:1" ht="12.75">
      <c r="A19810" s="2" t="s">
        <v>235</v>
      </c>
    </row>
    <row r="19811" spans="1:1" ht="12.75">
      <c r="A19811" s="2" t="s">
        <v>235</v>
      </c>
    </row>
    <row r="19812" spans="1:1" ht="12.75">
      <c r="A19812" s="2" t="s">
        <v>235</v>
      </c>
    </row>
    <row r="19813" spans="1:1" ht="12.75">
      <c r="A19813" s="2" t="s">
        <v>235</v>
      </c>
    </row>
    <row r="19814" spans="1:1" ht="12.75">
      <c r="A19814" s="2" t="s">
        <v>235</v>
      </c>
    </row>
    <row r="19815" spans="1:1" ht="12.75">
      <c r="A19815" s="2" t="s">
        <v>236</v>
      </c>
    </row>
    <row r="19816" spans="1:1" ht="12.75">
      <c r="A19816" s="2" t="s">
        <v>236</v>
      </c>
    </row>
    <row r="19817" spans="1:1" ht="12.75">
      <c r="A19817" s="2" t="s">
        <v>199</v>
      </c>
    </row>
    <row r="19818" spans="1:1" ht="12.75">
      <c r="A19818" s="2" t="s">
        <v>199</v>
      </c>
    </row>
    <row r="19819" spans="1:1" ht="12.75">
      <c r="A19819" s="2" t="s">
        <v>199</v>
      </c>
    </row>
    <row r="19820" spans="1:1" ht="12.75">
      <c r="A19820" s="2" t="s">
        <v>199</v>
      </c>
    </row>
    <row r="19821" spans="1:1" ht="12.75">
      <c r="A19821" s="2" t="s">
        <v>199</v>
      </c>
    </row>
    <row r="19822" spans="1:1" ht="12.75">
      <c r="A19822" s="2" t="s">
        <v>199</v>
      </c>
    </row>
    <row r="19823" spans="1:1" ht="12.75">
      <c r="A19823" s="2" t="s">
        <v>236</v>
      </c>
    </row>
    <row r="19824" spans="1:1" ht="12.75">
      <c r="A19824" s="2" t="s">
        <v>235</v>
      </c>
    </row>
    <row r="19825" spans="1:1" ht="12.75">
      <c r="A19825" s="2" t="s">
        <v>234</v>
      </c>
    </row>
    <row r="19826" spans="1:1" ht="12.75">
      <c r="A19826" s="2" t="s">
        <v>199</v>
      </c>
    </row>
    <row r="19827" spans="1:1" ht="12.75">
      <c r="A19827" s="2" t="s">
        <v>234</v>
      </c>
    </row>
    <row r="19828" spans="1:1" ht="12.75">
      <c r="A19828" s="2" t="s">
        <v>234</v>
      </c>
    </row>
    <row r="19829" spans="1:1" ht="12.75">
      <c r="A19829" s="2" t="s">
        <v>234</v>
      </c>
    </row>
    <row r="19830" spans="1:1" ht="12.75">
      <c r="A19830" s="2" t="s">
        <v>234</v>
      </c>
    </row>
    <row r="19831" spans="1:1" ht="12.75">
      <c r="A19831" s="2" t="s">
        <v>234</v>
      </c>
    </row>
    <row r="19832" spans="1:1" ht="12.75">
      <c r="A19832" s="2" t="s">
        <v>234</v>
      </c>
    </row>
    <row r="19833" spans="1:1" ht="12.75">
      <c r="A19833" s="2" t="s">
        <v>234</v>
      </c>
    </row>
    <row r="19834" spans="1:1" ht="12.75">
      <c r="A19834" s="2" t="s">
        <v>234</v>
      </c>
    </row>
    <row r="19835" spans="1:1" ht="12.75">
      <c r="A19835" s="2" t="s">
        <v>234</v>
      </c>
    </row>
    <row r="19836" spans="1:1" ht="12.75">
      <c r="A19836" s="2" t="s">
        <v>234</v>
      </c>
    </row>
    <row r="19837" spans="1:1" ht="12.75">
      <c r="A19837" s="2" t="s">
        <v>234</v>
      </c>
    </row>
    <row r="19838" spans="1:1" ht="12.75">
      <c r="A19838" s="2" t="s">
        <v>805</v>
      </c>
    </row>
    <row r="19839" spans="1:1" ht="12.75">
      <c r="A19839" s="2" t="s">
        <v>236</v>
      </c>
    </row>
    <row r="19840" spans="1:1" ht="12.75">
      <c r="A19840" s="2" t="s">
        <v>236</v>
      </c>
    </row>
    <row r="19841" spans="1:1" ht="12.75">
      <c r="A19841" s="2" t="s">
        <v>235</v>
      </c>
    </row>
    <row r="19842" spans="1:1" ht="12.75">
      <c r="A19842" s="2" t="s">
        <v>235</v>
      </c>
    </row>
    <row r="19843" spans="1:1" ht="12.75">
      <c r="A19843" s="2" t="s">
        <v>234</v>
      </c>
    </row>
    <row r="19844" spans="1:1" ht="12.75">
      <c r="A19844" s="2" t="s">
        <v>199</v>
      </c>
    </row>
    <row r="19845" spans="1:1" ht="12.75">
      <c r="A19845" s="2" t="s">
        <v>235</v>
      </c>
    </row>
    <row r="19846" spans="1:1" ht="12.75">
      <c r="A19846" s="2" t="s">
        <v>235</v>
      </c>
    </row>
    <row r="19847" spans="1:1" ht="12.75">
      <c r="A19847" s="2" t="s">
        <v>805</v>
      </c>
    </row>
    <row r="19848" spans="1:1" ht="12.75">
      <c r="A19848" s="2" t="s">
        <v>805</v>
      </c>
    </row>
    <row r="19849" spans="1:1" ht="12.75">
      <c r="A19849" s="2" t="s">
        <v>234</v>
      </c>
    </row>
    <row r="19850" spans="1:1" ht="12.75">
      <c r="A19850" s="2" t="s">
        <v>234</v>
      </c>
    </row>
    <row r="19852" spans="1:1" ht="12.75">
      <c r="A19852" s="2" t="s">
        <v>199</v>
      </c>
    </row>
    <row r="19853" spans="1:1" ht="12.75">
      <c r="A19853" s="2" t="s">
        <v>199</v>
      </c>
    </row>
    <row r="19854" spans="1:1" ht="12.75">
      <c r="A19854" s="2" t="s">
        <v>199</v>
      </c>
    </row>
    <row r="19855" spans="1:1" ht="12.75">
      <c r="A19855" s="2" t="s">
        <v>199</v>
      </c>
    </row>
    <row r="19856" spans="1:1" ht="12.75">
      <c r="A19856" s="2" t="s">
        <v>199</v>
      </c>
    </row>
    <row r="19857" spans="1:1" ht="12.75">
      <c r="A19857" s="2" t="s">
        <v>234</v>
      </c>
    </row>
    <row r="19858" spans="1:1" ht="12.75">
      <c r="A19858" s="2" t="s">
        <v>234</v>
      </c>
    </row>
    <row r="19859" spans="1:1" ht="12.75">
      <c r="A19859" s="2" t="s">
        <v>234</v>
      </c>
    </row>
    <row r="19861" spans="1:1" ht="12.75">
      <c r="A19861" s="2" t="s">
        <v>234</v>
      </c>
    </row>
    <row r="19862" spans="1:1" ht="12.75">
      <c r="A19862" s="2" t="s">
        <v>234</v>
      </c>
    </row>
    <row r="19863" spans="1:1" ht="12.75">
      <c r="A19863" s="2" t="s">
        <v>234</v>
      </c>
    </row>
    <row r="19864" spans="1:1" ht="12.75">
      <c r="A19864" s="2" t="s">
        <v>234</v>
      </c>
    </row>
    <row r="19865" spans="1:1" ht="12.75">
      <c r="A19865" s="2" t="s">
        <v>234</v>
      </c>
    </row>
    <row r="19866" spans="1:1" ht="12.75">
      <c r="A19866" s="2" t="s">
        <v>234</v>
      </c>
    </row>
    <row r="19867" spans="1:1" ht="12.75">
      <c r="A19867" s="2" t="s">
        <v>234</v>
      </c>
    </row>
    <row r="19868" spans="1:1" ht="12.75">
      <c r="A19868" s="2" t="s">
        <v>234</v>
      </c>
    </row>
    <row r="19869" spans="1:1" ht="12.75">
      <c r="A19869" s="2" t="s">
        <v>806</v>
      </c>
    </row>
    <row r="19871" spans="1:1" ht="12.75">
      <c r="A19871" s="2" t="s">
        <v>605</v>
      </c>
    </row>
    <row r="19873" spans="1:1" ht="12.75">
      <c r="A19873" s="2" t="s">
        <v>234</v>
      </c>
    </row>
    <row r="19874" spans="1:1" ht="12.75">
      <c r="A19874" s="2" t="s">
        <v>234</v>
      </c>
    </row>
    <row r="19876" spans="1:1" ht="12.75">
      <c r="A19876" s="2" t="s">
        <v>234</v>
      </c>
    </row>
    <row r="19878" spans="1:1" ht="12.75">
      <c r="A19878" s="2" t="s">
        <v>234</v>
      </c>
    </row>
    <row r="19879" spans="1:1" ht="12.75">
      <c r="A19879" s="2" t="s">
        <v>234</v>
      </c>
    </row>
    <row r="19880" spans="1:1" ht="12.75">
      <c r="A19880" s="2" t="s">
        <v>234</v>
      </c>
    </row>
    <row r="19881" spans="1:1" ht="12.75">
      <c r="A19881" s="2" t="s">
        <v>234</v>
      </c>
    </row>
    <row r="19883" spans="1:1" ht="12.75">
      <c r="A19883" s="2" t="s">
        <v>234</v>
      </c>
    </row>
    <row r="19884" spans="1:1" ht="12.75">
      <c r="A19884" s="2" t="s">
        <v>234</v>
      </c>
    </row>
    <row r="19885" spans="1:1" ht="12.75">
      <c r="A19885" s="2" t="s">
        <v>236</v>
      </c>
    </row>
    <row r="19886" spans="1:1" ht="12.75">
      <c r="A19886" s="2" t="s">
        <v>803</v>
      </c>
    </row>
    <row r="19888" spans="1:1" ht="12.75">
      <c r="A19888" s="2" t="s">
        <v>235</v>
      </c>
    </row>
    <row r="19889" spans="1:1" ht="12.75">
      <c r="A19889" s="2" t="s">
        <v>235</v>
      </c>
    </row>
    <row r="19891" spans="1:1" ht="12.75">
      <c r="A19891" s="2" t="s">
        <v>234</v>
      </c>
    </row>
    <row r="19892" spans="1:1" ht="12.75">
      <c r="A19892" s="2" t="s">
        <v>234</v>
      </c>
    </row>
    <row r="19893" spans="1:1" ht="12.75">
      <c r="A19893" s="2" t="s">
        <v>234</v>
      </c>
    </row>
    <row r="19894" spans="1:1" ht="12.75">
      <c r="A19894" s="2" t="s">
        <v>234</v>
      </c>
    </row>
    <row r="19897" spans="1:1" ht="12.75">
      <c r="A19897" s="2" t="s">
        <v>234</v>
      </c>
    </row>
    <row r="19905" spans="1:1" ht="12.75">
      <c r="A19905" s="2" t="s">
        <v>236</v>
      </c>
    </row>
    <row r="19906" spans="1:1" ht="12.75">
      <c r="A19906" s="2" t="s">
        <v>236</v>
      </c>
    </row>
    <row r="19907" spans="1:1" ht="12.75">
      <c r="A19907" s="2" t="s">
        <v>236</v>
      </c>
    </row>
    <row r="19908" spans="1:1" ht="12.75">
      <c r="A19908" s="2" t="s">
        <v>236</v>
      </c>
    </row>
    <row r="19909" spans="1:1" ht="12.75">
      <c r="A19909" s="2" t="s">
        <v>803</v>
      </c>
    </row>
    <row r="19910" spans="1:1" ht="12.75">
      <c r="A19910" s="2" t="s">
        <v>236</v>
      </c>
    </row>
    <row r="19911" spans="1:1" ht="12.75">
      <c r="A19911" s="2" t="s">
        <v>233</v>
      </c>
    </row>
    <row r="19912" spans="1:1" ht="12.75">
      <c r="A19912" s="2" t="s">
        <v>233</v>
      </c>
    </row>
    <row r="19913" spans="1:1" ht="12.75">
      <c r="A19913" s="2" t="s">
        <v>233</v>
      </c>
    </row>
    <row r="19914" spans="1:1" ht="12.75">
      <c r="A19914" s="2" t="s">
        <v>233</v>
      </c>
    </row>
    <row r="19915" spans="1:1" ht="12.75">
      <c r="A19915" s="2" t="s">
        <v>233</v>
      </c>
    </row>
    <row r="19916" spans="1:1" ht="12.75">
      <c r="A19916" s="2" t="s">
        <v>233</v>
      </c>
    </row>
    <row r="19917" spans="1:1" ht="12.75">
      <c r="A19917" s="2" t="s">
        <v>234</v>
      </c>
    </row>
    <row r="19918" spans="1:1" ht="12.75">
      <c r="A19918" s="2" t="s">
        <v>234</v>
      </c>
    </row>
    <row r="19919" spans="1:1" ht="12.75">
      <c r="A19919" s="2" t="s">
        <v>234</v>
      </c>
    </row>
    <row r="19920" spans="1:1" ht="12.75">
      <c r="A19920" s="2" t="s">
        <v>234</v>
      </c>
    </row>
    <row r="19921" spans="1:1" ht="12.75">
      <c r="A19921" s="2" t="s">
        <v>236</v>
      </c>
    </row>
    <row r="19922" spans="1:1" ht="12.75">
      <c r="A19922" s="2" t="s">
        <v>236</v>
      </c>
    </row>
    <row r="19923" spans="1:1" ht="12.75">
      <c r="A19923" s="2" t="s">
        <v>234</v>
      </c>
    </row>
    <row r="19924" spans="1:1" ht="12.75">
      <c r="A19924" s="2" t="s">
        <v>234</v>
      </c>
    </row>
    <row r="19927" spans="1:1" ht="12.75">
      <c r="A19927" s="2" t="s">
        <v>234</v>
      </c>
    </row>
    <row r="19928" spans="1:1" ht="12.75">
      <c r="A19928" s="2" t="s">
        <v>234</v>
      </c>
    </row>
    <row r="19930" spans="1:1" ht="12.75">
      <c r="A19930" s="2" t="s">
        <v>235</v>
      </c>
    </row>
    <row r="19931" spans="1:1" ht="12.75">
      <c r="A19931" s="2" t="s">
        <v>235</v>
      </c>
    </row>
    <row r="19936" spans="1:1" ht="12.75">
      <c r="A19936" s="2" t="s">
        <v>803</v>
      </c>
    </row>
    <row r="19938" spans="1:1" ht="12.75">
      <c r="A19938" s="2" t="s">
        <v>235</v>
      </c>
    </row>
    <row r="19940" spans="1:1" ht="12.75">
      <c r="A19940" s="2" t="s">
        <v>233</v>
      </c>
    </row>
    <row r="19942" spans="1:1" ht="12.75">
      <c r="A19942" s="2" t="s">
        <v>233</v>
      </c>
    </row>
    <row r="19943" spans="1:1" ht="12.75">
      <c r="A19943" s="2" t="s">
        <v>234</v>
      </c>
    </row>
    <row r="19944" spans="1:1" ht="12.75">
      <c r="A19944" s="2" t="s">
        <v>234</v>
      </c>
    </row>
    <row r="19945" spans="1:1" ht="12.75">
      <c r="A19945" s="2" t="s">
        <v>234</v>
      </c>
    </row>
    <row r="19946" spans="1:1" ht="12.75">
      <c r="A19946" s="2" t="s">
        <v>234</v>
      </c>
    </row>
    <row r="19948" spans="1:1" ht="12.75">
      <c r="A19948" s="2" t="s">
        <v>234</v>
      </c>
    </row>
    <row r="19949" spans="1:1" ht="12.75">
      <c r="A19949" s="2" t="s">
        <v>234</v>
      </c>
    </row>
    <row r="19950" spans="1:1" ht="12.75">
      <c r="A19950" s="2" t="s">
        <v>234</v>
      </c>
    </row>
    <row r="19951" spans="1:1" ht="12.75">
      <c r="A19951" s="2" t="s">
        <v>235</v>
      </c>
    </row>
    <row r="19952" spans="1:1" ht="12.75">
      <c r="A19952" s="2" t="s">
        <v>235</v>
      </c>
    </row>
    <row r="19953" spans="1:1" ht="12.75">
      <c r="A19953" s="2" t="s">
        <v>235</v>
      </c>
    </row>
    <row r="19954" spans="1:1" ht="12.75">
      <c r="A19954" s="2" t="s">
        <v>199</v>
      </c>
    </row>
    <row r="19955" spans="1:1" ht="12.75">
      <c r="A19955" s="2" t="s">
        <v>235</v>
      </c>
    </row>
    <row r="19956" spans="1:1" ht="12.75">
      <c r="A19956" s="2" t="s">
        <v>235</v>
      </c>
    </row>
    <row r="19958" spans="1:1" ht="12.75">
      <c r="A19958" s="2" t="s">
        <v>199</v>
      </c>
    </row>
    <row r="19959" spans="1:1" ht="12.75">
      <c r="A19959" s="2" t="s">
        <v>805</v>
      </c>
    </row>
    <row r="19960" spans="1:1" ht="12.75">
      <c r="A19960" s="2" t="s">
        <v>807</v>
      </c>
    </row>
    <row r="19961" spans="1:1" ht="12.75">
      <c r="A19961" s="2" t="s">
        <v>236</v>
      </c>
    </row>
    <row r="19962" spans="1:1" ht="12.75">
      <c r="A19962" s="2" t="s">
        <v>235</v>
      </c>
    </row>
    <row r="19963" spans="1:1" ht="12.75">
      <c r="A19963" s="2" t="s">
        <v>234</v>
      </c>
    </row>
    <row r="19964" spans="1:1" ht="12.75">
      <c r="A19964" s="2" t="s">
        <v>234</v>
      </c>
    </row>
    <row r="19965" spans="1:1" ht="12.75">
      <c r="A19965" s="2" t="s">
        <v>234</v>
      </c>
    </row>
    <row r="19967" spans="1:1" ht="12.75">
      <c r="A19967" s="2" t="s">
        <v>234</v>
      </c>
    </row>
    <row r="19968" spans="1:1" ht="12.75">
      <c r="A19968" s="2" t="s">
        <v>234</v>
      </c>
    </row>
    <row r="19969" spans="1:1" ht="12.75">
      <c r="A19969" s="2" t="s">
        <v>235</v>
      </c>
    </row>
    <row r="19970" spans="1:1" ht="12.75">
      <c r="A19970" s="2" t="s">
        <v>235</v>
      </c>
    </row>
    <row r="19971" spans="1:1" ht="12.75">
      <c r="A19971" s="2" t="s">
        <v>235</v>
      </c>
    </row>
    <row r="19972" spans="1:1" ht="12.75">
      <c r="A19972" s="2" t="s">
        <v>235</v>
      </c>
    </row>
    <row r="19973" spans="1:1" ht="12.75">
      <c r="A19973" s="2" t="s">
        <v>236</v>
      </c>
    </row>
    <row r="19974" spans="1:1" ht="12.75">
      <c r="A19974" s="2" t="s">
        <v>236</v>
      </c>
    </row>
    <row r="19975" spans="1:1" ht="12.75">
      <c r="A19975" s="2" t="s">
        <v>236</v>
      </c>
    </row>
    <row r="19976" spans="1:1" ht="12.75">
      <c r="A19976" s="2" t="s">
        <v>803</v>
      </c>
    </row>
    <row r="19977" spans="1:1" ht="12.75">
      <c r="A19977" s="2" t="s">
        <v>233</v>
      </c>
    </row>
    <row r="19978" spans="1:1" ht="12.75">
      <c r="A19978" s="2" t="s">
        <v>236</v>
      </c>
    </row>
    <row r="19979" spans="1:1" ht="12.75">
      <c r="A19979" s="2" t="s">
        <v>233</v>
      </c>
    </row>
    <row r="19980" spans="1:1" ht="12.75">
      <c r="A19980" s="2" t="s">
        <v>233</v>
      </c>
    </row>
    <row r="19981" spans="1:1" ht="12.75">
      <c r="A19981" s="2" t="s">
        <v>199</v>
      </c>
    </row>
    <row r="19982" spans="1:1" ht="12.75">
      <c r="A19982" s="2" t="s">
        <v>233</v>
      </c>
    </row>
    <row r="19983" spans="1:1" ht="12.75">
      <c r="A19983" s="2" t="s">
        <v>236</v>
      </c>
    </row>
    <row r="19984" spans="1:1" ht="12.75">
      <c r="A19984" s="2" t="s">
        <v>236</v>
      </c>
    </row>
    <row r="19985" spans="1:1" ht="12.75">
      <c r="A19985" s="2" t="s">
        <v>236</v>
      </c>
    </row>
    <row r="19986" spans="1:1" ht="12.75">
      <c r="A19986" s="2" t="s">
        <v>199</v>
      </c>
    </row>
    <row r="19987" spans="1:1" ht="12.75">
      <c r="A19987" s="2" t="s">
        <v>234</v>
      </c>
    </row>
    <row r="19988" spans="1:1" ht="12.75">
      <c r="A19988" s="2" t="s">
        <v>234</v>
      </c>
    </row>
    <row r="19989" spans="1:1" ht="12.75">
      <c r="A19989" s="2" t="s">
        <v>234</v>
      </c>
    </row>
    <row r="19990" spans="1:1" ht="12.75">
      <c r="A19990" s="2" t="s">
        <v>234</v>
      </c>
    </row>
    <row r="19996" spans="1:1" ht="12.75">
      <c r="A19996" s="2" t="s">
        <v>234</v>
      </c>
    </row>
    <row r="19999" spans="1:1" ht="12.75">
      <c r="A19999" s="2" t="s">
        <v>234</v>
      </c>
    </row>
    <row r="20000" spans="1:1" ht="12.75">
      <c r="A20000" s="2" t="s">
        <v>234</v>
      </c>
    </row>
    <row r="20001" spans="1:1" ht="12.75">
      <c r="A20001" s="2" t="s">
        <v>234</v>
      </c>
    </row>
    <row r="20002" spans="1:1" ht="12.75">
      <c r="A20002" s="2" t="s">
        <v>234</v>
      </c>
    </row>
    <row r="20003" spans="1:1" ht="12.75">
      <c r="A20003" s="2" t="s">
        <v>803</v>
      </c>
    </row>
    <row r="20004" spans="1:1" ht="12.75">
      <c r="A20004" s="2" t="s">
        <v>199</v>
      </c>
    </row>
    <row r="20005" spans="1:1" ht="12.75">
      <c r="A20005" s="2" t="s">
        <v>199</v>
      </c>
    </row>
    <row r="20006" spans="1:1" ht="12.75">
      <c r="A20006" s="2" t="s">
        <v>199</v>
      </c>
    </row>
    <row r="20007" spans="1:1" ht="12.75">
      <c r="A20007" s="2" t="s">
        <v>234</v>
      </c>
    </row>
    <row r="20008" spans="1:1" ht="12.75">
      <c r="A20008" s="2" t="s">
        <v>234</v>
      </c>
    </row>
    <row r="20009" spans="1:1" ht="12.75">
      <c r="A20009" s="2" t="s">
        <v>234</v>
      </c>
    </row>
    <row r="20010" spans="1:1" ht="12.75">
      <c r="A20010" s="2" t="s">
        <v>234</v>
      </c>
    </row>
    <row r="20011" spans="1:1" ht="12.75">
      <c r="A20011" s="2" t="s">
        <v>199</v>
      </c>
    </row>
    <row r="20012" spans="1:1" ht="12.75">
      <c r="A20012" s="2" t="s">
        <v>199</v>
      </c>
    </row>
    <row r="20013" spans="1:1" ht="12.75">
      <c r="A20013" s="2" t="s">
        <v>234</v>
      </c>
    </row>
    <row r="20014" spans="1:1" ht="12.75">
      <c r="A20014" s="2" t="s">
        <v>234</v>
      </c>
    </row>
    <row r="20015" spans="1:1" ht="12.75">
      <c r="A20015" s="2" t="s">
        <v>236</v>
      </c>
    </row>
    <row r="20016" spans="1:1" ht="12.75">
      <c r="A20016" s="2" t="s">
        <v>236</v>
      </c>
    </row>
    <row r="20017" spans="1:1" ht="12.75">
      <c r="A20017" s="2" t="s">
        <v>235</v>
      </c>
    </row>
    <row r="20018" spans="1:1" ht="12.75">
      <c r="A20018" s="2" t="s">
        <v>235</v>
      </c>
    </row>
    <row r="20019" spans="1:1" ht="12.75">
      <c r="A20019" s="2" t="s">
        <v>236</v>
      </c>
    </row>
    <row r="20020" spans="1:1" ht="12.75">
      <c r="A20020" s="2" t="s">
        <v>236</v>
      </c>
    </row>
    <row r="20021" spans="1:1" ht="12.75">
      <c r="A20021" s="2" t="s">
        <v>808</v>
      </c>
    </row>
    <row r="20022" spans="1:1" ht="12.75">
      <c r="A20022" s="2" t="s">
        <v>808</v>
      </c>
    </row>
    <row r="20023" spans="1:1" ht="12.75">
      <c r="A20023" s="2" t="s">
        <v>234</v>
      </c>
    </row>
    <row r="20024" spans="1:1" ht="12.75">
      <c r="A20024" s="2" t="s">
        <v>234</v>
      </c>
    </row>
    <row r="20025" spans="1:1" ht="12.75">
      <c r="A20025" s="2" t="s">
        <v>199</v>
      </c>
    </row>
    <row r="20026" spans="1:1" ht="12.75">
      <c r="A20026" s="2" t="s">
        <v>199</v>
      </c>
    </row>
    <row r="20027" spans="1:1" ht="12.75">
      <c r="A20027" s="2" t="s">
        <v>809</v>
      </c>
    </row>
    <row r="20028" spans="1:1" ht="12.75">
      <c r="A20028" s="2" t="s">
        <v>236</v>
      </c>
    </row>
    <row r="20029" spans="1:1" ht="12.75">
      <c r="A20029" s="2" t="s">
        <v>236</v>
      </c>
    </row>
    <row r="20030" spans="1:1" ht="12.75">
      <c r="A20030" s="2" t="s">
        <v>236</v>
      </c>
    </row>
    <row r="20031" spans="1:1" ht="12.75">
      <c r="A20031" s="2" t="s">
        <v>199</v>
      </c>
    </row>
    <row r="20032" spans="1:1" ht="12.75">
      <c r="A20032" s="2" t="s">
        <v>199</v>
      </c>
    </row>
    <row r="20033" spans="1:1" ht="12.75">
      <c r="A20033" s="2" t="s">
        <v>234</v>
      </c>
    </row>
    <row r="20034" spans="1:1" ht="12.75">
      <c r="A20034" s="2" t="s">
        <v>199</v>
      </c>
    </row>
    <row r="20035" spans="1:1" ht="12.75">
      <c r="A20035" s="2" t="s">
        <v>199</v>
      </c>
    </row>
    <row r="20036" spans="1:1" ht="12.75">
      <c r="A20036" s="2" t="s">
        <v>199</v>
      </c>
    </row>
    <row r="20037" spans="1:1" ht="12.75">
      <c r="A20037" s="2" t="s">
        <v>233</v>
      </c>
    </row>
    <row r="20038" spans="1:1" ht="12.75">
      <c r="A20038" s="2" t="s">
        <v>233</v>
      </c>
    </row>
    <row r="20039" spans="1:1" ht="12.75">
      <c r="A20039" s="2" t="s">
        <v>805</v>
      </c>
    </row>
    <row r="20040" spans="1:1" ht="12.75">
      <c r="A20040" s="2" t="s">
        <v>805</v>
      </c>
    </row>
    <row r="20041" spans="1:1" ht="12.75">
      <c r="A20041" s="2" t="s">
        <v>805</v>
      </c>
    </row>
    <row r="20042" spans="1:1" ht="12.75">
      <c r="A20042" s="2" t="s">
        <v>805</v>
      </c>
    </row>
    <row r="20043" spans="1:1" ht="12.75">
      <c r="A20043" s="2" t="s">
        <v>233</v>
      </c>
    </row>
    <row r="20044" spans="1:1" ht="12.75">
      <c r="A20044" s="2" t="s">
        <v>233</v>
      </c>
    </row>
    <row r="20045" spans="1:1" ht="12.75">
      <c r="A20045" s="2" t="s">
        <v>234</v>
      </c>
    </row>
    <row r="20046" spans="1:1" ht="12.75">
      <c r="A20046" s="2" t="s">
        <v>234</v>
      </c>
    </row>
    <row r="20047" spans="1:1" ht="12.75">
      <c r="A20047" s="2" t="s">
        <v>234</v>
      </c>
    </row>
    <row r="20048" spans="1:1" ht="12.75">
      <c r="A20048" s="2" t="s">
        <v>234</v>
      </c>
    </row>
    <row r="20049" spans="1:1" ht="12.75">
      <c r="A20049" s="2" t="s">
        <v>235</v>
      </c>
    </row>
    <row r="20050" spans="1:1" ht="12.75">
      <c r="A20050" s="2" t="s">
        <v>199</v>
      </c>
    </row>
    <row r="20051" spans="1:1" ht="12.75">
      <c r="A20051" s="2" t="s">
        <v>234</v>
      </c>
    </row>
    <row r="20052" spans="1:1" ht="12.75">
      <c r="A20052" s="2" t="s">
        <v>234</v>
      </c>
    </row>
    <row r="20053" spans="1:1" ht="12.75">
      <c r="A20053" s="2" t="s">
        <v>234</v>
      </c>
    </row>
    <row r="20054" spans="1:1" ht="12.75">
      <c r="A20054" s="2" t="s">
        <v>234</v>
      </c>
    </row>
    <row r="20055" spans="1:1" ht="12.75">
      <c r="A20055" s="2" t="s">
        <v>235</v>
      </c>
    </row>
    <row r="20056" spans="1:1" ht="12.75">
      <c r="A20056" s="2" t="s">
        <v>235</v>
      </c>
    </row>
    <row r="20057" spans="1:1" ht="12.75">
      <c r="A20057" s="2" t="s">
        <v>235</v>
      </c>
    </row>
    <row r="20058" spans="1:1" ht="12.75">
      <c r="A20058" s="2" t="s">
        <v>235</v>
      </c>
    </row>
    <row r="20059" spans="1:1" ht="12.75">
      <c r="A20059" s="2" t="s">
        <v>808</v>
      </c>
    </row>
    <row r="20060" spans="1:1" ht="12.75">
      <c r="A20060" s="2" t="s">
        <v>234</v>
      </c>
    </row>
    <row r="20061" spans="1:1" ht="12.75">
      <c r="A20061" s="2" t="s">
        <v>234</v>
      </c>
    </row>
    <row r="20062" spans="1:1" ht="12.75">
      <c r="A20062" s="2" t="s">
        <v>234</v>
      </c>
    </row>
    <row r="20063" spans="1:1" ht="12.75">
      <c r="A20063" s="2" t="s">
        <v>234</v>
      </c>
    </row>
    <row r="20064" spans="1:1" ht="12.75">
      <c r="A20064" s="2" t="s">
        <v>234</v>
      </c>
    </row>
    <row r="20065" spans="1:1" ht="12.75">
      <c r="A20065" s="2" t="s">
        <v>234</v>
      </c>
    </row>
    <row r="20066" spans="1:1" ht="12.75">
      <c r="A20066" s="2" t="s">
        <v>234</v>
      </c>
    </row>
    <row r="20069" spans="1:1" ht="12.75">
      <c r="A20069" s="2" t="s">
        <v>234</v>
      </c>
    </row>
    <row r="20070" spans="1:1" ht="12.75">
      <c r="A20070" s="2" t="s">
        <v>234</v>
      </c>
    </row>
    <row r="20071" spans="1:1" ht="12.75">
      <c r="A20071" s="2" t="s">
        <v>199</v>
      </c>
    </row>
    <row r="20072" spans="1:1" ht="12.75">
      <c r="A20072" s="2" t="s">
        <v>233</v>
      </c>
    </row>
    <row r="20073" spans="1:1" ht="12.75">
      <c r="A20073" s="2" t="s">
        <v>235</v>
      </c>
    </row>
    <row r="20074" spans="1:1" ht="12.75">
      <c r="A20074" s="2" t="s">
        <v>235</v>
      </c>
    </row>
    <row r="20075" spans="1:1" ht="12.75">
      <c r="A20075" s="2" t="s">
        <v>236</v>
      </c>
    </row>
    <row r="20076" spans="1:1" ht="12.75">
      <c r="A20076" s="2" t="s">
        <v>236</v>
      </c>
    </row>
    <row r="20077" spans="1:1" ht="12.75">
      <c r="A20077" s="2" t="s">
        <v>234</v>
      </c>
    </row>
    <row r="20078" spans="1:1" ht="12.75">
      <c r="A20078" s="2" t="s">
        <v>234</v>
      </c>
    </row>
    <row r="20079" spans="1:1" ht="12.75">
      <c r="A20079" s="2" t="s">
        <v>234</v>
      </c>
    </row>
    <row r="20080" spans="1:1" ht="12.75">
      <c r="A20080" s="2" t="s">
        <v>234</v>
      </c>
    </row>
    <row r="20081" spans="1:1" ht="12.75">
      <c r="A20081" s="2" t="s">
        <v>805</v>
      </c>
    </row>
    <row r="20082" spans="1:1" ht="12.75">
      <c r="A20082" s="2" t="s">
        <v>805</v>
      </c>
    </row>
    <row r="20083" spans="1:1" ht="12.75">
      <c r="A20083" s="2" t="s">
        <v>236</v>
      </c>
    </row>
    <row r="20084" spans="1:1" ht="12.75">
      <c r="A20084" s="2" t="s">
        <v>236</v>
      </c>
    </row>
    <row r="20085" spans="1:1" ht="12.75">
      <c r="A20085" s="2" t="s">
        <v>235</v>
      </c>
    </row>
    <row r="20086" spans="1:1" ht="12.75">
      <c r="A20086" s="2" t="s">
        <v>199</v>
      </c>
    </row>
    <row r="20087" spans="1:1" ht="12.75">
      <c r="A20087" s="2" t="s">
        <v>235</v>
      </c>
    </row>
    <row r="20088" spans="1:1" ht="12.75">
      <c r="A20088" s="2" t="s">
        <v>235</v>
      </c>
    </row>
    <row r="20089" spans="1:1" ht="12.75">
      <c r="A20089" s="2" t="s">
        <v>805</v>
      </c>
    </row>
    <row r="20090" spans="1:1" ht="12.75">
      <c r="A20090" s="2" t="s">
        <v>805</v>
      </c>
    </row>
    <row r="20091" spans="1:1" ht="12.75">
      <c r="A20091" s="2" t="s">
        <v>234</v>
      </c>
    </row>
    <row r="20092" spans="1:1" ht="12.75">
      <c r="A20092" s="2" t="s">
        <v>199</v>
      </c>
    </row>
    <row r="20093" spans="1:1" ht="12.75">
      <c r="A20093" s="2" t="s">
        <v>234</v>
      </c>
    </row>
    <row r="20094" spans="1:1" ht="12.75">
      <c r="A20094" s="2" t="s">
        <v>234</v>
      </c>
    </row>
    <row r="20095" spans="1:1" ht="12.75">
      <c r="A20095" s="2" t="s">
        <v>234</v>
      </c>
    </row>
    <row r="20096" spans="1:1" ht="12.75">
      <c r="A20096" s="2" t="s">
        <v>234</v>
      </c>
    </row>
    <row r="20097" spans="1:1" ht="12.75">
      <c r="A20097" s="2" t="s">
        <v>234</v>
      </c>
    </row>
    <row r="20098" spans="1:1" ht="12.75">
      <c r="A20098" s="2" t="s">
        <v>234</v>
      </c>
    </row>
    <row r="20099" spans="1:1" ht="12.75">
      <c r="A20099" s="2" t="s">
        <v>236</v>
      </c>
    </row>
    <row r="20100" spans="1:1" ht="12.75">
      <c r="A20100" s="2" t="s">
        <v>236</v>
      </c>
    </row>
    <row r="20101" spans="1:1" ht="12.75">
      <c r="A20101" s="2" t="s">
        <v>233</v>
      </c>
    </row>
    <row r="20103" spans="1:1" ht="12.75">
      <c r="A20103" s="2" t="s">
        <v>235</v>
      </c>
    </row>
    <row r="20104" spans="1:1" ht="12.75">
      <c r="A20104" s="2" t="s">
        <v>235</v>
      </c>
    </row>
    <row r="20105" spans="1:1" ht="12.75">
      <c r="A20105" s="2" t="s">
        <v>235</v>
      </c>
    </row>
    <row r="20106" spans="1:1" ht="12.75">
      <c r="A20106" s="2" t="s">
        <v>235</v>
      </c>
    </row>
    <row r="20107" spans="1:1" ht="12.75">
      <c r="A20107" s="2" t="s">
        <v>235</v>
      </c>
    </row>
    <row r="20108" spans="1:1" ht="12.75">
      <c r="A20108" s="2" t="s">
        <v>235</v>
      </c>
    </row>
    <row r="20109" spans="1:1" ht="12.75">
      <c r="A20109" s="2" t="s">
        <v>235</v>
      </c>
    </row>
    <row r="20110" spans="1:1" ht="12.75">
      <c r="A20110" s="2" t="s">
        <v>199</v>
      </c>
    </row>
    <row r="20111" spans="1:1" ht="12.75">
      <c r="A20111" s="2" t="s">
        <v>235</v>
      </c>
    </row>
    <row r="20112" spans="1:1" ht="12.75">
      <c r="A20112" s="2" t="s">
        <v>235</v>
      </c>
    </row>
    <row r="20113" spans="1:1" ht="12.75">
      <c r="A20113" s="2" t="s">
        <v>236</v>
      </c>
    </row>
    <row r="20114" spans="1:1" ht="12.75">
      <c r="A20114" s="2" t="s">
        <v>236</v>
      </c>
    </row>
    <row r="20115" spans="1:1" ht="12.75">
      <c r="A20115" s="2" t="s">
        <v>234</v>
      </c>
    </row>
    <row r="20116" spans="1:1" ht="12.75">
      <c r="A20116" s="2" t="s">
        <v>234</v>
      </c>
    </row>
    <row r="20117" spans="1:1" ht="12.75">
      <c r="A20117" s="2" t="s">
        <v>234</v>
      </c>
    </row>
    <row r="20118" spans="1:1" ht="12.75">
      <c r="A20118" s="2" t="s">
        <v>234</v>
      </c>
    </row>
    <row r="20119" spans="1:1" ht="12.75">
      <c r="A20119" s="2" t="s">
        <v>199</v>
      </c>
    </row>
    <row r="20120" spans="1:1" ht="12.75">
      <c r="A20120" s="2" t="s">
        <v>236</v>
      </c>
    </row>
    <row r="20121" spans="1:1" ht="12.75">
      <c r="A20121" s="2" t="s">
        <v>235</v>
      </c>
    </row>
    <row r="20122" spans="1:1" ht="12.75">
      <c r="A20122" s="2" t="s">
        <v>199</v>
      </c>
    </row>
    <row r="20123" spans="1:1" ht="12.75">
      <c r="A20123" s="2" t="s">
        <v>235</v>
      </c>
    </row>
    <row r="20124" spans="1:1" ht="12.75">
      <c r="A20124" s="2" t="s">
        <v>235</v>
      </c>
    </row>
    <row r="20125" spans="1:1" ht="12.75">
      <c r="A20125" s="2" t="s">
        <v>803</v>
      </c>
    </row>
    <row r="20126" spans="1:1" ht="12.75">
      <c r="A20126" s="2" t="s">
        <v>236</v>
      </c>
    </row>
    <row r="20127" spans="1:1" ht="12.75">
      <c r="A20127" s="2" t="s">
        <v>235</v>
      </c>
    </row>
    <row r="20128" spans="1:1" ht="12.75">
      <c r="A20128" s="2" t="s">
        <v>235</v>
      </c>
    </row>
    <row r="20129" spans="1:1" ht="12.75">
      <c r="A20129" s="2" t="s">
        <v>199</v>
      </c>
    </row>
    <row r="20130" spans="1:1" ht="12.75">
      <c r="A20130" s="2" t="s">
        <v>235</v>
      </c>
    </row>
    <row r="20131" spans="1:1" ht="12.75">
      <c r="A20131" s="2" t="s">
        <v>233</v>
      </c>
    </row>
    <row r="20132" spans="1:1" ht="12.75">
      <c r="A20132" s="2" t="s">
        <v>233</v>
      </c>
    </row>
    <row r="20133" spans="1:1" ht="12.75">
      <c r="A20133" s="2" t="s">
        <v>199</v>
      </c>
    </row>
    <row r="20134" spans="1:1" ht="12.75">
      <c r="A20134" s="2" t="s">
        <v>234</v>
      </c>
    </row>
    <row r="20135" spans="1:1" ht="12.75">
      <c r="A20135" s="2" t="s">
        <v>234</v>
      </c>
    </row>
    <row r="20136" spans="1:1" ht="12.75">
      <c r="A20136" s="2" t="s">
        <v>234</v>
      </c>
    </row>
    <row r="20137" spans="1:1" ht="12.75">
      <c r="A20137" s="2" t="s">
        <v>235</v>
      </c>
    </row>
    <row r="20138" spans="1:1" ht="12.75">
      <c r="A20138" s="2" t="s">
        <v>235</v>
      </c>
    </row>
    <row r="20139" spans="1:1" ht="12.75">
      <c r="A20139" s="2" t="s">
        <v>235</v>
      </c>
    </row>
    <row r="20140" spans="1:1" ht="12.75">
      <c r="A20140" s="2" t="s">
        <v>235</v>
      </c>
    </row>
    <row r="20141" spans="1:1" ht="12.75">
      <c r="A20141" s="2" t="s">
        <v>235</v>
      </c>
    </row>
    <row r="20142" spans="1:1" ht="12.75">
      <c r="A20142" s="2" t="s">
        <v>235</v>
      </c>
    </row>
    <row r="20143" spans="1:1" ht="12.75">
      <c r="A20143" s="2" t="s">
        <v>235</v>
      </c>
    </row>
    <row r="20144" spans="1:1" ht="12.75">
      <c r="A20144" s="2" t="s">
        <v>199</v>
      </c>
    </row>
    <row r="20145" spans="1:1" ht="12.75">
      <c r="A20145" s="2" t="s">
        <v>810</v>
      </c>
    </row>
    <row r="20146" spans="1:1" ht="12.75">
      <c r="A20146" s="2" t="s">
        <v>236</v>
      </c>
    </row>
    <row r="20147" spans="1:1" ht="12.75">
      <c r="A20147" s="2" t="s">
        <v>236</v>
      </c>
    </row>
    <row r="20148" spans="1:1" ht="12.75">
      <c r="A20148" s="2" t="s">
        <v>236</v>
      </c>
    </row>
    <row r="20149" spans="1:1" ht="12.75">
      <c r="A20149" s="2" t="s">
        <v>233</v>
      </c>
    </row>
    <row r="20150" spans="1:1" ht="12.75">
      <c r="A20150" s="2" t="s">
        <v>236</v>
      </c>
    </row>
    <row r="20151" spans="1:1" ht="12.75">
      <c r="A20151" s="2" t="s">
        <v>234</v>
      </c>
    </row>
    <row r="20152" spans="1:1" ht="12.75">
      <c r="A20152" s="2" t="s">
        <v>234</v>
      </c>
    </row>
    <row r="20153" spans="1:1" ht="12.75">
      <c r="A20153" s="2" t="s">
        <v>234</v>
      </c>
    </row>
    <row r="20154" spans="1:1" ht="12.75">
      <c r="A20154" s="2" t="s">
        <v>234</v>
      </c>
    </row>
    <row r="20164" spans="1:1" ht="12.75">
      <c r="A20164" s="2" t="s">
        <v>805</v>
      </c>
    </row>
    <row r="20167" spans="1:1" ht="12.75">
      <c r="A20167" s="2" t="s">
        <v>234</v>
      </c>
    </row>
    <row r="20177" spans="1:1" ht="12.75">
      <c r="A20177" s="2" t="s">
        <v>806</v>
      </c>
    </row>
    <row r="20178" spans="1:1" ht="12.75">
      <c r="A20178" s="2" t="s">
        <v>806</v>
      </c>
    </row>
    <row r="20180" spans="1:1" ht="12.75">
      <c r="A20180" s="2" t="s">
        <v>806</v>
      </c>
    </row>
    <row r="20181" spans="1:1" ht="12.75">
      <c r="A20181" s="2" t="s">
        <v>806</v>
      </c>
    </row>
    <row r="20184" spans="1:1" ht="12.75">
      <c r="A20184" s="2" t="s">
        <v>806</v>
      </c>
    </row>
    <row r="20185" spans="1:1" ht="12.75">
      <c r="A20185" s="2" t="s">
        <v>805</v>
      </c>
    </row>
    <row r="20187" spans="1:1" ht="12.75">
      <c r="A20187" s="2" t="s">
        <v>805</v>
      </c>
    </row>
    <row r="20192" spans="1:1" ht="12.75">
      <c r="A20192" s="2" t="s">
        <v>233</v>
      </c>
    </row>
    <row r="20195" spans="1:1" ht="12.75">
      <c r="A20195" s="2" t="s">
        <v>236</v>
      </c>
    </row>
    <row r="20196" spans="1:1" ht="12.75">
      <c r="A20196" s="2" t="s">
        <v>236</v>
      </c>
    </row>
    <row r="20208" spans="1:1" ht="12.75">
      <c r="A20208" s="2" t="s">
        <v>648</v>
      </c>
    </row>
    <row r="20212" spans="1:1" ht="12.75">
      <c r="A20212" s="2" t="s">
        <v>235</v>
      </c>
    </row>
    <row r="20215" spans="1:1" ht="12.75">
      <c r="A20215" s="2" t="s">
        <v>233</v>
      </c>
    </row>
    <row r="20216" spans="1:1" ht="12.75">
      <c r="A20216" s="2" t="s">
        <v>233</v>
      </c>
    </row>
    <row r="20217" spans="1:1" ht="12.75">
      <c r="A20217" s="2" t="s">
        <v>234</v>
      </c>
    </row>
    <row r="20218" spans="1:1" ht="12.75">
      <c r="A20218" s="2" t="s">
        <v>236</v>
      </c>
    </row>
    <row r="20219" spans="1:1" ht="12.75">
      <c r="A20219" s="2" t="s">
        <v>811</v>
      </c>
    </row>
    <row r="20220" spans="1:1" ht="12.75">
      <c r="A20220" s="2" t="s">
        <v>234</v>
      </c>
    </row>
    <row r="20221" spans="1:1" ht="12.75">
      <c r="A20221" s="2" t="s">
        <v>235</v>
      </c>
    </row>
    <row r="20222" spans="1:1" ht="12.75">
      <c r="A20222" s="2" t="s">
        <v>235</v>
      </c>
    </row>
    <row r="20223" spans="1:1" ht="12.75">
      <c r="A20223" s="2" t="s">
        <v>812</v>
      </c>
    </row>
    <row r="20224" spans="1:1" ht="12.75">
      <c r="A20224" s="2" t="s">
        <v>199</v>
      </c>
    </row>
    <row r="20225" spans="1:1" ht="12.75">
      <c r="A20225" s="2" t="s">
        <v>810</v>
      </c>
    </row>
    <row r="20226" spans="1:1" ht="12.75">
      <c r="A20226" s="2" t="s">
        <v>803</v>
      </c>
    </row>
    <row r="20227" spans="1:1" ht="12.75">
      <c r="A20227" s="2" t="s">
        <v>234</v>
      </c>
    </row>
    <row r="20228" spans="1:1" ht="12.75">
      <c r="A20228" s="2" t="s">
        <v>234</v>
      </c>
    </row>
    <row r="20229" spans="1:1" ht="12.75">
      <c r="A20229" s="2" t="s">
        <v>234</v>
      </c>
    </row>
    <row r="20230" spans="1:1" ht="12.75">
      <c r="A20230" s="2" t="s">
        <v>234</v>
      </c>
    </row>
    <row r="20231" spans="1:1" ht="12.75">
      <c r="A20231" s="2" t="s">
        <v>199</v>
      </c>
    </row>
    <row r="20232" spans="1:1" ht="12.75">
      <c r="A20232" s="2" t="s">
        <v>813</v>
      </c>
    </row>
    <row r="20233" spans="1:1" ht="12.75">
      <c r="A20233" s="2" t="s">
        <v>235</v>
      </c>
    </row>
    <row r="20234" spans="1:1" ht="12.75">
      <c r="A20234" s="2" t="s">
        <v>235</v>
      </c>
    </row>
    <row r="20235" spans="1:1" ht="12.75">
      <c r="A20235" s="2" t="s">
        <v>236</v>
      </c>
    </row>
    <row r="20236" spans="1:1" ht="12.75">
      <c r="A20236" s="2" t="s">
        <v>236</v>
      </c>
    </row>
    <row r="20237" spans="1:1" ht="12.75">
      <c r="A20237" s="2" t="s">
        <v>236</v>
      </c>
    </row>
    <row r="20238" spans="1:1" ht="12.75">
      <c r="A20238" s="2" t="s">
        <v>236</v>
      </c>
    </row>
    <row r="20239" spans="1:1" ht="12.75">
      <c r="A20239" s="2" t="s">
        <v>234</v>
      </c>
    </row>
    <row r="20240" spans="1:1" ht="12.75">
      <c r="A20240" s="2" t="s">
        <v>199</v>
      </c>
    </row>
    <row r="20241" spans="1:1" ht="12.75">
      <c r="A20241" s="2" t="s">
        <v>199</v>
      </c>
    </row>
    <row r="20242" spans="1:1" ht="12.75">
      <c r="A20242" s="2" t="s">
        <v>199</v>
      </c>
    </row>
    <row r="20243" spans="1:1" ht="12.75">
      <c r="A20243" s="2" t="s">
        <v>199</v>
      </c>
    </row>
    <row r="20244" spans="1:1" ht="12.75">
      <c r="A20244" s="2" t="s">
        <v>235</v>
      </c>
    </row>
    <row r="20245" spans="1:1" ht="12.75">
      <c r="A20245" s="2" t="s">
        <v>235</v>
      </c>
    </row>
    <row r="20246" spans="1:1" ht="12.75">
      <c r="A20246" s="2" t="s">
        <v>235</v>
      </c>
    </row>
    <row r="20247" spans="1:1" ht="12.75">
      <c r="A20247" s="2" t="s">
        <v>233</v>
      </c>
    </row>
    <row r="20248" spans="1:1" ht="12.75">
      <c r="A20248" s="2" t="s">
        <v>233</v>
      </c>
    </row>
    <row r="20249" spans="1:1" ht="12.75">
      <c r="A20249" s="2" t="s">
        <v>233</v>
      </c>
    </row>
    <row r="20250" spans="1:1" ht="12.75">
      <c r="A20250" s="2" t="s">
        <v>235</v>
      </c>
    </row>
    <row r="20251" spans="1:1" ht="12.75">
      <c r="A20251" s="2" t="s">
        <v>452</v>
      </c>
    </row>
    <row r="20252" spans="1:1" ht="12.75">
      <c r="A20252" s="2" t="s">
        <v>452</v>
      </c>
    </row>
    <row r="20253" spans="1:1" ht="12.75">
      <c r="A20253" s="2" t="s">
        <v>433</v>
      </c>
    </row>
    <row r="20254" spans="1:1" ht="12.75">
      <c r="A20254" s="2" t="s">
        <v>433</v>
      </c>
    </row>
    <row r="20255" spans="1:1" ht="12.75">
      <c r="A20255" s="2" t="s">
        <v>465</v>
      </c>
    </row>
    <row r="20256" spans="1:1" ht="12.75">
      <c r="A20256" s="2" t="s">
        <v>465</v>
      </c>
    </row>
    <row r="20257" spans="1:1" ht="12.75">
      <c r="A20257" s="2" t="s">
        <v>466</v>
      </c>
    </row>
    <row r="20258" spans="1:1" ht="12.75">
      <c r="A20258" s="2" t="s">
        <v>434</v>
      </c>
    </row>
    <row r="20259" spans="1:1" ht="12.75">
      <c r="A20259" s="2" t="s">
        <v>434</v>
      </c>
    </row>
    <row r="20260" spans="1:1" ht="12.75">
      <c r="A20260" s="2" t="s">
        <v>465</v>
      </c>
    </row>
    <row r="20261" spans="1:1" ht="12.75">
      <c r="A20261" s="2" t="s">
        <v>452</v>
      </c>
    </row>
    <row r="20262" spans="1:1" ht="12.75">
      <c r="A20262" s="2" t="s">
        <v>432</v>
      </c>
    </row>
    <row r="20263" spans="1:1" ht="12.75">
      <c r="A20263" s="2" t="s">
        <v>437</v>
      </c>
    </row>
    <row r="20264" spans="1:1" ht="12.75">
      <c r="A20264" s="2" t="s">
        <v>437</v>
      </c>
    </row>
    <row r="20265" spans="1:1" ht="12.75">
      <c r="A20265" s="2" t="s">
        <v>437</v>
      </c>
    </row>
    <row r="20266" spans="1:1" ht="12.75">
      <c r="A20266" s="2" t="s">
        <v>477</v>
      </c>
    </row>
    <row r="20267" spans="1:1" ht="12.75">
      <c r="A20267" s="2" t="s">
        <v>452</v>
      </c>
    </row>
    <row r="20268" spans="1:1" ht="12.75">
      <c r="A20268" s="2" t="s">
        <v>452</v>
      </c>
    </row>
    <row r="20269" spans="1:1" ht="12.75">
      <c r="A20269" s="2" t="s">
        <v>404</v>
      </c>
    </row>
    <row r="20270" spans="1:1" ht="12.75">
      <c r="A20270" s="2" t="s">
        <v>404</v>
      </c>
    </row>
    <row r="20271" spans="1:1" ht="12.75">
      <c r="A20271" s="2" t="s">
        <v>404</v>
      </c>
    </row>
    <row r="20272" spans="1:1" ht="12.75">
      <c r="A20272" s="2" t="s">
        <v>404</v>
      </c>
    </row>
    <row r="20273" spans="1:1" ht="12.75">
      <c r="A20273" s="2" t="s">
        <v>814</v>
      </c>
    </row>
    <row r="20274" spans="1:1" ht="12.75">
      <c r="A20274" s="2" t="s">
        <v>445</v>
      </c>
    </row>
    <row r="20275" spans="1:1" ht="12.75">
      <c r="A20275" s="2" t="s">
        <v>445</v>
      </c>
    </row>
    <row r="20276" spans="1:1" ht="12.75">
      <c r="A20276" s="2" t="s">
        <v>815</v>
      </c>
    </row>
    <row r="20277" spans="1:1" ht="12.75">
      <c r="A20277" s="2" t="s">
        <v>446</v>
      </c>
    </row>
    <row r="20278" spans="1:1" ht="12.75">
      <c r="A20278" s="2" t="s">
        <v>446</v>
      </c>
    </row>
    <row r="20279" spans="1:1" ht="12.75">
      <c r="A20279" s="2" t="s">
        <v>452</v>
      </c>
    </row>
    <row r="20280" spans="1:1" ht="12.75">
      <c r="A20280" s="2" t="s">
        <v>452</v>
      </c>
    </row>
    <row r="20281" spans="1:1" ht="12.75">
      <c r="A20281" s="2" t="s">
        <v>452</v>
      </c>
    </row>
    <row r="20282" spans="1:1" ht="12.75">
      <c r="A20282" s="2" t="s">
        <v>432</v>
      </c>
    </row>
    <row r="20283" spans="1:1" ht="12.75">
      <c r="A20283" s="2" t="s">
        <v>437</v>
      </c>
    </row>
    <row r="20284" spans="1:1" ht="12.75">
      <c r="A20284" s="2" t="s">
        <v>437</v>
      </c>
    </row>
    <row r="20285" spans="1:1" ht="12.75">
      <c r="A20285" s="2" t="s">
        <v>477</v>
      </c>
    </row>
    <row r="20286" spans="1:1" ht="12.75">
      <c r="A20286" s="2" t="s">
        <v>477</v>
      </c>
    </row>
    <row r="20287" spans="1:1" ht="12.75">
      <c r="A20287" s="2" t="s">
        <v>437</v>
      </c>
    </row>
    <row r="20288" spans="1:1" ht="12.75">
      <c r="A20288" s="2" t="s">
        <v>816</v>
      </c>
    </row>
    <row r="20289" spans="1:1" ht="12.75">
      <c r="A20289" s="2" t="s">
        <v>477</v>
      </c>
    </row>
    <row r="20290" spans="1:1" ht="12.75">
      <c r="A20290" s="2" t="s">
        <v>437</v>
      </c>
    </row>
    <row r="20291" spans="1:1" ht="12.75">
      <c r="A20291" s="2" t="s">
        <v>270</v>
      </c>
    </row>
    <row r="20292" spans="1:1" ht="12.75">
      <c r="A20292" s="2" t="s">
        <v>477</v>
      </c>
    </row>
    <row r="20293" spans="1:1" ht="12.75">
      <c r="A20293" s="2" t="s">
        <v>404</v>
      </c>
    </row>
    <row r="20294" spans="1:1" ht="12.75">
      <c r="A20294" s="2" t="s">
        <v>404</v>
      </c>
    </row>
    <row r="20295" spans="1:1" ht="12.75">
      <c r="A20295" s="2" t="s">
        <v>452</v>
      </c>
    </row>
    <row r="20296" spans="1:1" ht="12.75">
      <c r="A20296" s="2" t="s">
        <v>452</v>
      </c>
    </row>
    <row r="20297" spans="1:1" ht="12.75">
      <c r="A20297" s="2" t="s">
        <v>623</v>
      </c>
    </row>
    <row r="20298" spans="1:1" ht="12.75">
      <c r="A20298" s="2" t="s">
        <v>618</v>
      </c>
    </row>
    <row r="20299" spans="1:1" ht="12.75">
      <c r="A20299" s="2" t="s">
        <v>465</v>
      </c>
    </row>
    <row r="20300" spans="1:1" ht="12.75">
      <c r="A20300" s="2" t="s">
        <v>465</v>
      </c>
    </row>
    <row r="20301" spans="1:1" ht="12.75">
      <c r="A20301" s="2" t="s">
        <v>477</v>
      </c>
    </row>
    <row r="20302" spans="1:1" ht="12.75">
      <c r="A20302" s="2" t="s">
        <v>477</v>
      </c>
    </row>
    <row r="20303" spans="1:1" ht="12.75">
      <c r="A20303" s="2" t="s">
        <v>452</v>
      </c>
    </row>
    <row r="20304" spans="1:1" ht="12.75">
      <c r="A20304" s="2" t="s">
        <v>452</v>
      </c>
    </row>
    <row r="20305" spans="1:1" ht="12.75">
      <c r="A20305" s="2" t="s">
        <v>817</v>
      </c>
    </row>
    <row r="20306" spans="1:1" ht="12.75">
      <c r="A20306" s="2" t="s">
        <v>817</v>
      </c>
    </row>
    <row r="20307" spans="1:1" ht="12.75">
      <c r="A20307" s="2" t="s">
        <v>434</v>
      </c>
    </row>
    <row r="20308" spans="1:1" ht="12.75">
      <c r="A20308" s="2" t="s">
        <v>434</v>
      </c>
    </row>
    <row r="20309" spans="1:1" ht="12.75">
      <c r="A20309" s="2" t="s">
        <v>434</v>
      </c>
    </row>
    <row r="20310" spans="1:1" ht="12.75">
      <c r="A20310" s="2" t="s">
        <v>434</v>
      </c>
    </row>
    <row r="20311" spans="1:1" ht="12.75">
      <c r="A20311" s="2" t="s">
        <v>434</v>
      </c>
    </row>
    <row r="20312" spans="1:1" ht="12.75">
      <c r="A20312" s="2" t="s">
        <v>434</v>
      </c>
    </row>
    <row r="20313" spans="1:1" ht="12.75">
      <c r="A20313" s="2" t="s">
        <v>433</v>
      </c>
    </row>
    <row r="20314" spans="1:1" ht="12.75">
      <c r="A20314" s="2" t="s">
        <v>433</v>
      </c>
    </row>
    <row r="20315" spans="1:1" ht="12.75">
      <c r="A20315" s="2" t="s">
        <v>404</v>
      </c>
    </row>
    <row r="20316" spans="1:1" ht="12.75">
      <c r="A20316" s="2" t="s">
        <v>404</v>
      </c>
    </row>
    <row r="20317" spans="1:1" ht="12.75">
      <c r="A20317" s="2" t="s">
        <v>404</v>
      </c>
    </row>
    <row r="20318" spans="1:1" ht="12.75">
      <c r="A20318" s="2" t="s">
        <v>404</v>
      </c>
    </row>
    <row r="20319" spans="1:1" ht="12.75">
      <c r="A20319" s="2" t="s">
        <v>477</v>
      </c>
    </row>
    <row r="20320" spans="1:1" ht="12.75">
      <c r="A20320" s="2" t="s">
        <v>477</v>
      </c>
    </row>
    <row r="20321" spans="1:1" ht="12.75">
      <c r="A20321" s="2" t="s">
        <v>452</v>
      </c>
    </row>
    <row r="20322" spans="1:1" ht="12.75">
      <c r="A20322" s="2" t="s">
        <v>452</v>
      </c>
    </row>
    <row r="20323" spans="1:1" ht="12.75">
      <c r="A20323" s="2" t="s">
        <v>452</v>
      </c>
    </row>
    <row r="20324" spans="1:1" ht="12.75">
      <c r="A20324" s="2" t="s">
        <v>452</v>
      </c>
    </row>
    <row r="20325" spans="1:1" ht="12.75">
      <c r="A20325" s="2" t="s">
        <v>479</v>
      </c>
    </row>
    <row r="20326" spans="1:1" ht="12.75">
      <c r="A20326" s="2" t="s">
        <v>479</v>
      </c>
    </row>
    <row r="20327" spans="1:1" ht="12.75">
      <c r="A20327" s="2" t="s">
        <v>479</v>
      </c>
    </row>
    <row r="20328" spans="1:1" ht="12.75">
      <c r="A20328" s="2" t="s">
        <v>479</v>
      </c>
    </row>
    <row r="20329" spans="1:1" ht="12.75">
      <c r="A20329" s="2" t="s">
        <v>466</v>
      </c>
    </row>
    <row r="20330" spans="1:1" ht="12.75">
      <c r="A20330" s="2" t="s">
        <v>432</v>
      </c>
    </row>
    <row r="20331" spans="1:1" ht="12.75">
      <c r="A20331" s="2" t="s">
        <v>818</v>
      </c>
    </row>
    <row r="20332" spans="1:1" ht="12.75">
      <c r="A20332" s="2" t="s">
        <v>432</v>
      </c>
    </row>
    <row r="20333" spans="1:1" ht="12.75">
      <c r="A20333" s="2" t="s">
        <v>818</v>
      </c>
    </row>
    <row r="20334" spans="1:1" ht="12.75">
      <c r="A20334" s="2" t="s">
        <v>618</v>
      </c>
    </row>
    <row r="20335" spans="1:1" ht="12.75">
      <c r="A20335" s="2" t="s">
        <v>432</v>
      </c>
    </row>
    <row r="20336" spans="1:1" ht="12.75">
      <c r="A20336" s="2" t="s">
        <v>432</v>
      </c>
    </row>
    <row r="20337" spans="1:1" ht="12.75">
      <c r="A20337" s="2" t="s">
        <v>432</v>
      </c>
    </row>
    <row r="20338" spans="1:1" ht="12.75">
      <c r="A20338" s="2" t="s">
        <v>432</v>
      </c>
    </row>
    <row r="20339" spans="1:1" ht="12.75">
      <c r="A20339" s="2" t="s">
        <v>477</v>
      </c>
    </row>
    <row r="20340" spans="1:1" ht="12.75">
      <c r="A20340" s="2" t="s">
        <v>477</v>
      </c>
    </row>
    <row r="20341" spans="1:1" ht="12.75">
      <c r="A20341" s="2" t="s">
        <v>477</v>
      </c>
    </row>
    <row r="20342" spans="1:1" ht="12.75">
      <c r="A20342" s="2" t="s">
        <v>477</v>
      </c>
    </row>
    <row r="20343" spans="1:1" ht="12.75">
      <c r="A20343" s="2" t="s">
        <v>818</v>
      </c>
    </row>
    <row r="20344" spans="1:1" ht="12.75">
      <c r="A20344" s="2" t="s">
        <v>818</v>
      </c>
    </row>
    <row r="20345" spans="1:1" ht="12.75">
      <c r="A20345" s="2" t="s">
        <v>477</v>
      </c>
    </row>
    <row r="20346" spans="1:1" ht="12.75">
      <c r="A20346" s="2" t="s">
        <v>477</v>
      </c>
    </row>
    <row r="20347" spans="1:1" ht="12.75">
      <c r="A20347" s="2" t="s">
        <v>477</v>
      </c>
    </row>
    <row r="20348" spans="1:1" ht="12.75">
      <c r="A20348" s="2" t="s">
        <v>818</v>
      </c>
    </row>
    <row r="20349" spans="1:1" ht="12.75">
      <c r="A20349" s="2" t="s">
        <v>432</v>
      </c>
    </row>
    <row r="20350" spans="1:1" ht="12.75">
      <c r="A20350" s="2" t="s">
        <v>432</v>
      </c>
    </row>
    <row r="20351" spans="1:1" ht="12.75">
      <c r="A20351" s="2" t="s">
        <v>446</v>
      </c>
    </row>
    <row r="20352" spans="1:1" ht="12.75">
      <c r="A20352" s="2" t="s">
        <v>453</v>
      </c>
    </row>
    <row r="20353" spans="1:1" ht="12.75">
      <c r="A20353" s="2" t="s">
        <v>446</v>
      </c>
    </row>
    <row r="20354" spans="1:1" ht="12.75">
      <c r="A20354" s="2" t="s">
        <v>446</v>
      </c>
    </row>
    <row r="20355" spans="1:1" ht="12.75">
      <c r="A20355" s="2" t="s">
        <v>446</v>
      </c>
    </row>
    <row r="20356" spans="1:1" ht="12.75">
      <c r="A20356" s="2" t="s">
        <v>446</v>
      </c>
    </row>
    <row r="20357" spans="1:1" ht="12.75">
      <c r="A20357" s="2" t="s">
        <v>446</v>
      </c>
    </row>
    <row r="20358" spans="1:1" ht="12.75">
      <c r="A20358" s="2" t="s">
        <v>446</v>
      </c>
    </row>
    <row r="20359" spans="1:1" ht="12.75">
      <c r="A20359" s="2" t="s">
        <v>447</v>
      </c>
    </row>
    <row r="20360" spans="1:1" ht="12.75">
      <c r="A20360" s="2" t="s">
        <v>447</v>
      </c>
    </row>
    <row r="20361" spans="1:1" ht="12.75">
      <c r="A20361" s="2" t="s">
        <v>447</v>
      </c>
    </row>
    <row r="20362" spans="1:1" ht="12.75">
      <c r="A20362" s="2" t="s">
        <v>447</v>
      </c>
    </row>
    <row r="20363" spans="1:1" ht="12.75">
      <c r="A20363" s="2" t="s">
        <v>448</v>
      </c>
    </row>
    <row r="20364" spans="1:1" ht="12.75">
      <c r="A20364" s="2" t="s">
        <v>448</v>
      </c>
    </row>
    <row r="20365" spans="1:1" ht="12.75">
      <c r="A20365" s="2" t="s">
        <v>450</v>
      </c>
    </row>
    <row r="20366" spans="1:1" ht="12.75">
      <c r="A20366" s="2" t="s">
        <v>450</v>
      </c>
    </row>
    <row r="20367" spans="1:1" ht="12.75">
      <c r="A20367" s="2" t="s">
        <v>447</v>
      </c>
    </row>
    <row r="20368" spans="1:1" ht="12.75">
      <c r="A20368" s="2" t="s">
        <v>447</v>
      </c>
    </row>
    <row r="20369" spans="1:1" ht="12.75">
      <c r="A20369" s="2" t="s">
        <v>446</v>
      </c>
    </row>
    <row r="20370" spans="1:1" ht="12.75">
      <c r="A20370" s="2" t="s">
        <v>446</v>
      </c>
    </row>
    <row r="20371" spans="1:1" ht="12.75">
      <c r="A20371" s="2" t="s">
        <v>446</v>
      </c>
    </row>
    <row r="20372" spans="1:1" ht="12.75">
      <c r="A20372" s="2" t="s">
        <v>446</v>
      </c>
    </row>
    <row r="20373" spans="1:1" ht="12.75">
      <c r="A20373" s="2" t="s">
        <v>448</v>
      </c>
    </row>
    <row r="20374" spans="1:1" ht="12.75">
      <c r="A20374" s="2" t="s">
        <v>444</v>
      </c>
    </row>
    <row r="20375" spans="1:1" ht="12.75">
      <c r="A20375" s="2" t="s">
        <v>447</v>
      </c>
    </row>
    <row r="20376" spans="1:1" ht="12.75">
      <c r="A20376" s="2" t="s">
        <v>473</v>
      </c>
    </row>
    <row r="20377" spans="1:1" ht="12.75">
      <c r="A20377" s="2" t="s">
        <v>447</v>
      </c>
    </row>
    <row r="20378" spans="1:1" ht="12.75">
      <c r="A20378" s="2" t="s">
        <v>447</v>
      </c>
    </row>
    <row r="20379" spans="1:1" ht="12.75">
      <c r="A20379" s="2" t="s">
        <v>446</v>
      </c>
    </row>
    <row r="20380" spans="1:1" ht="12.75">
      <c r="A20380" s="2" t="s">
        <v>447</v>
      </c>
    </row>
    <row r="20381" spans="1:1" ht="12.75">
      <c r="A20381" s="2" t="s">
        <v>446</v>
      </c>
    </row>
    <row r="20382" spans="1:1" ht="12.75">
      <c r="A20382" s="2" t="s">
        <v>446</v>
      </c>
    </row>
    <row r="20383" spans="1:1" ht="12.75">
      <c r="A20383" s="2" t="s">
        <v>473</v>
      </c>
    </row>
    <row r="20384" spans="1:1" ht="12.75">
      <c r="A20384" s="2" t="s">
        <v>473</v>
      </c>
    </row>
    <row r="20385" spans="1:1" ht="12.75">
      <c r="A20385" s="2" t="s">
        <v>446</v>
      </c>
    </row>
    <row r="20386" spans="1:1" ht="12.75">
      <c r="A20386" s="2" t="s">
        <v>446</v>
      </c>
    </row>
    <row r="20387" spans="1:1" ht="12.75">
      <c r="A20387" s="2" t="s">
        <v>448</v>
      </c>
    </row>
    <row r="20388" spans="1:1" ht="12.75">
      <c r="A20388" s="2" t="s">
        <v>448</v>
      </c>
    </row>
    <row r="20389" spans="1:1" ht="12.75">
      <c r="A20389" s="2" t="s">
        <v>473</v>
      </c>
    </row>
    <row r="20390" spans="1:1" ht="12.75">
      <c r="A20390" s="2" t="s">
        <v>473</v>
      </c>
    </row>
    <row r="20391" spans="1:1" ht="12.75">
      <c r="A20391" s="2" t="s">
        <v>447</v>
      </c>
    </row>
    <row r="20392" spans="1:1" ht="12.75">
      <c r="A20392" s="2" t="s">
        <v>473</v>
      </c>
    </row>
    <row r="20393" spans="1:1" ht="12.75">
      <c r="A20393" s="2" t="s">
        <v>447</v>
      </c>
    </row>
    <row r="20394" spans="1:1" ht="12.75">
      <c r="A20394" s="2" t="s">
        <v>447</v>
      </c>
    </row>
    <row r="20395" spans="1:1" ht="12.75">
      <c r="A20395" s="2" t="s">
        <v>446</v>
      </c>
    </row>
    <row r="20396" spans="1:1" ht="12.75">
      <c r="A20396" s="2" t="s">
        <v>447</v>
      </c>
    </row>
    <row r="20397" spans="1:1" ht="12.75">
      <c r="A20397" s="2" t="s">
        <v>446</v>
      </c>
    </row>
    <row r="20398" spans="1:1" ht="12.75">
      <c r="A20398" s="2" t="s">
        <v>446</v>
      </c>
    </row>
    <row r="20399" spans="1:1" ht="12.75">
      <c r="A20399" s="2" t="s">
        <v>446</v>
      </c>
    </row>
    <row r="20400" spans="1:1" ht="12.75">
      <c r="A20400" s="2" t="s">
        <v>446</v>
      </c>
    </row>
    <row r="20401" spans="1:1" ht="12.75">
      <c r="A20401" s="2" t="s">
        <v>448</v>
      </c>
    </row>
    <row r="20402" spans="1:1" ht="12.75">
      <c r="A20402" s="2" t="s">
        <v>448</v>
      </c>
    </row>
    <row r="20403" spans="1:1" ht="12.75">
      <c r="A20403" s="2" t="s">
        <v>819</v>
      </c>
    </row>
    <row r="20404" spans="1:1" ht="12.75">
      <c r="A20404" s="2" t="s">
        <v>819</v>
      </c>
    </row>
    <row r="20405" spans="1:1" ht="12.75">
      <c r="A20405" s="2" t="s">
        <v>820</v>
      </c>
    </row>
    <row r="20406" spans="1:1" ht="12.75">
      <c r="A20406" s="2" t="s">
        <v>819</v>
      </c>
    </row>
    <row r="20407" spans="1:1" ht="12.75">
      <c r="A20407" s="2" t="s">
        <v>821</v>
      </c>
    </row>
    <row r="20408" spans="1:1" ht="12.75">
      <c r="A20408" s="2" t="s">
        <v>822</v>
      </c>
    </row>
    <row r="20409" spans="1:1" ht="12.75">
      <c r="A20409" s="2" t="s">
        <v>446</v>
      </c>
    </row>
    <row r="20410" spans="1:1" ht="12.75">
      <c r="A20410" s="2" t="s">
        <v>446</v>
      </c>
    </row>
    <row r="20411" spans="1:1" ht="12.75">
      <c r="A20411" s="2" t="s">
        <v>446</v>
      </c>
    </row>
    <row r="20412" spans="1:1" ht="12.75">
      <c r="A20412" s="2" t="s">
        <v>473</v>
      </c>
    </row>
    <row r="20413" spans="1:1" ht="12.75">
      <c r="A20413" s="2" t="s">
        <v>473</v>
      </c>
    </row>
    <row r="20414" spans="1:1" ht="12.75">
      <c r="A20414" s="2" t="s">
        <v>447</v>
      </c>
    </row>
    <row r="20415" spans="1:1" ht="12.75">
      <c r="A20415" s="2" t="s">
        <v>447</v>
      </c>
    </row>
    <row r="20416" spans="1:1" ht="12.75">
      <c r="A20416" s="2" t="s">
        <v>447</v>
      </c>
    </row>
    <row r="20417" spans="1:1" ht="12.75">
      <c r="A20417" s="2" t="s">
        <v>447</v>
      </c>
    </row>
    <row r="20418" spans="1:1" ht="12.75">
      <c r="A20418" s="2" t="s">
        <v>448</v>
      </c>
    </row>
    <row r="20419" spans="1:1" ht="12.75">
      <c r="A20419" s="2" t="s">
        <v>448</v>
      </c>
    </row>
    <row r="20420" spans="1:1" ht="12.75">
      <c r="A20420" s="2" t="s">
        <v>446</v>
      </c>
    </row>
    <row r="20421" spans="1:1" ht="12.75">
      <c r="A20421" s="2" t="s">
        <v>446</v>
      </c>
    </row>
    <row r="20422" spans="1:1" ht="12.75">
      <c r="A20422" s="2" t="s">
        <v>823</v>
      </c>
    </row>
    <row r="20423" spans="1:1" ht="12.75">
      <c r="A20423" s="2" t="s">
        <v>448</v>
      </c>
    </row>
    <row r="20424" spans="1:1" ht="12.75">
      <c r="A20424" s="2" t="s">
        <v>448</v>
      </c>
    </row>
    <row r="20425" spans="1:1" ht="12.75">
      <c r="A20425" s="2" t="s">
        <v>473</v>
      </c>
    </row>
    <row r="20426" spans="1:1" ht="12.75">
      <c r="A20426" s="2" t="s">
        <v>473</v>
      </c>
    </row>
    <row r="20427" spans="1:1" ht="12.75">
      <c r="A20427" s="2" t="s">
        <v>446</v>
      </c>
    </row>
    <row r="20428" spans="1:1" ht="12.75">
      <c r="A20428" s="2" t="s">
        <v>446</v>
      </c>
    </row>
    <row r="20429" spans="1:1" ht="12.75">
      <c r="A20429" s="2" t="s">
        <v>446</v>
      </c>
    </row>
    <row r="20430" spans="1:1" ht="12.75">
      <c r="A20430" s="2" t="s">
        <v>446</v>
      </c>
    </row>
    <row r="20431" spans="1:1" ht="12.75">
      <c r="A20431" s="2" t="s">
        <v>446</v>
      </c>
    </row>
    <row r="20432" spans="1:1" ht="12.75">
      <c r="A20432" s="2" t="s">
        <v>446</v>
      </c>
    </row>
    <row r="20433" spans="1:1" ht="12.75">
      <c r="A20433" s="2" t="s">
        <v>446</v>
      </c>
    </row>
    <row r="20434" spans="1:1" ht="12.75">
      <c r="A20434" s="2" t="s">
        <v>447</v>
      </c>
    </row>
    <row r="20435" spans="1:1" ht="12.75">
      <c r="A20435" s="2" t="s">
        <v>447</v>
      </c>
    </row>
    <row r="20436" spans="1:1" ht="12.75">
      <c r="A20436" s="2" t="s">
        <v>447</v>
      </c>
    </row>
    <row r="20437" spans="1:1" ht="12.75">
      <c r="A20437" s="2" t="s">
        <v>447</v>
      </c>
    </row>
    <row r="20438" spans="1:1" ht="12.75">
      <c r="A20438" s="2" t="s">
        <v>448</v>
      </c>
    </row>
    <row r="20439" spans="1:1" ht="12.75">
      <c r="A20439" s="2" t="s">
        <v>448</v>
      </c>
    </row>
    <row r="20440" spans="1:1" ht="12.75">
      <c r="A20440" s="2" t="s">
        <v>446</v>
      </c>
    </row>
    <row r="20441" spans="1:1" ht="12.75">
      <c r="A20441" s="2" t="s">
        <v>446</v>
      </c>
    </row>
    <row r="20442" spans="1:1" ht="12.75">
      <c r="A20442" s="2" t="s">
        <v>446</v>
      </c>
    </row>
    <row r="20443" spans="1:1" ht="12.75">
      <c r="A20443" s="2" t="s">
        <v>446</v>
      </c>
    </row>
    <row r="20444" spans="1:1" ht="12.75">
      <c r="A20444" s="2" t="s">
        <v>473</v>
      </c>
    </row>
    <row r="20445" spans="1:1" ht="12.75">
      <c r="A20445" s="2" t="s">
        <v>473</v>
      </c>
    </row>
    <row r="20446" spans="1:1" ht="12.75">
      <c r="A20446" s="2" t="s">
        <v>447</v>
      </c>
    </row>
    <row r="20447" spans="1:1" ht="12.75">
      <c r="A20447" s="2" t="s">
        <v>447</v>
      </c>
    </row>
    <row r="20448" spans="1:1" ht="12.75">
      <c r="A20448" s="2" t="s">
        <v>447</v>
      </c>
    </row>
    <row r="20449" spans="1:1" ht="12.75">
      <c r="A20449" s="2" t="s">
        <v>448</v>
      </c>
    </row>
    <row r="20450" spans="1:1" ht="12.75">
      <c r="A20450" s="2" t="s">
        <v>448</v>
      </c>
    </row>
    <row r="20451" spans="1:1" ht="12.75">
      <c r="A20451" s="2" t="s">
        <v>824</v>
      </c>
    </row>
    <row r="20452" spans="1:1" ht="12.75">
      <c r="A20452" s="2" t="s">
        <v>824</v>
      </c>
    </row>
    <row r="20453" spans="1:1" ht="12.75">
      <c r="A20453" s="2" t="s">
        <v>820</v>
      </c>
    </row>
    <row r="20454" spans="1:1" ht="12.75">
      <c r="A20454" s="2" t="s">
        <v>820</v>
      </c>
    </row>
    <row r="20455" spans="1:1" ht="12.75">
      <c r="A20455" s="2" t="s">
        <v>825</v>
      </c>
    </row>
    <row r="20456" spans="1:1" ht="12.75">
      <c r="A20456" s="2" t="s">
        <v>825</v>
      </c>
    </row>
    <row r="20457" spans="1:1" ht="12.75">
      <c r="A20457" s="2" t="s">
        <v>826</v>
      </c>
    </row>
    <row r="20458" spans="1:1" ht="12.75">
      <c r="A20458" s="2" t="s">
        <v>827</v>
      </c>
    </row>
    <row r="20459" spans="1:1" ht="12.75">
      <c r="A20459" s="2" t="s">
        <v>483</v>
      </c>
    </row>
    <row r="20460" spans="1:1" ht="12.75">
      <c r="A20460" s="2" t="s">
        <v>483</v>
      </c>
    </row>
    <row r="20461" spans="1:1" ht="12.75">
      <c r="A20461" s="2" t="s">
        <v>824</v>
      </c>
    </row>
    <row r="20462" spans="1:1" ht="12.75">
      <c r="A20462" s="2" t="s">
        <v>828</v>
      </c>
    </row>
    <row r="20463" spans="1:1" ht="12.75">
      <c r="A20463" s="2" t="s">
        <v>829</v>
      </c>
    </row>
    <row r="20464" spans="1:1" ht="12.75">
      <c r="A20464" s="2" t="s">
        <v>829</v>
      </c>
    </row>
    <row r="20465" spans="1:1" ht="12.75">
      <c r="A20465" s="2" t="s">
        <v>819</v>
      </c>
    </row>
    <row r="20466" spans="1:1" ht="12.75">
      <c r="A20466" s="2" t="s">
        <v>819</v>
      </c>
    </row>
    <row r="20467" spans="1:1" ht="12.75">
      <c r="A20467" s="2" t="s">
        <v>821</v>
      </c>
    </row>
    <row r="20468" spans="1:1" ht="12.75">
      <c r="A20468" s="2" t="s">
        <v>830</v>
      </c>
    </row>
    <row r="20469" spans="1:1" ht="12.75">
      <c r="A20469" s="2" t="s">
        <v>825</v>
      </c>
    </row>
    <row r="20470" spans="1:1" ht="12.75">
      <c r="A20470" s="2" t="s">
        <v>825</v>
      </c>
    </row>
    <row r="20471" spans="1:1" ht="12.75">
      <c r="A20471" s="2" t="s">
        <v>820</v>
      </c>
    </row>
    <row r="20472" spans="1:1" ht="12.75">
      <c r="A20472" s="2" t="s">
        <v>831</v>
      </c>
    </row>
    <row r="20473" spans="1:1" ht="12.75">
      <c r="A20473" s="2" t="s">
        <v>824</v>
      </c>
    </row>
    <row r="20474" spans="1:1" ht="12.75">
      <c r="A20474" s="2" t="s">
        <v>832</v>
      </c>
    </row>
    <row r="20475" spans="1:1" ht="12.75">
      <c r="A20475" s="2" t="s">
        <v>833</v>
      </c>
    </row>
    <row r="20476" spans="1:1" ht="12.75">
      <c r="A20476" s="2" t="s">
        <v>834</v>
      </c>
    </row>
    <row r="20477" spans="1:1" ht="12.75">
      <c r="A20477" s="2" t="s">
        <v>833</v>
      </c>
    </row>
    <row r="20478" spans="1:1" ht="12.75">
      <c r="A20478" s="2" t="s">
        <v>835</v>
      </c>
    </row>
    <row r="20479" spans="1:1" ht="12.75">
      <c r="A20479" s="2" t="s">
        <v>836</v>
      </c>
    </row>
    <row r="20480" spans="1:1" ht="12.75">
      <c r="A20480" s="2" t="s">
        <v>836</v>
      </c>
    </row>
    <row r="20481" spans="1:1" ht="12.75">
      <c r="A20481" s="2" t="s">
        <v>819</v>
      </c>
    </row>
    <row r="20482" spans="1:1" ht="12.75">
      <c r="A20482" s="2" t="s">
        <v>819</v>
      </c>
    </row>
    <row r="20483" spans="1:1" ht="12.75">
      <c r="A20483" s="2" t="s">
        <v>820</v>
      </c>
    </row>
    <row r="20484" spans="1:1" ht="12.75">
      <c r="A20484" s="2" t="s">
        <v>821</v>
      </c>
    </row>
    <row r="20485" spans="1:1" ht="12.75">
      <c r="A20485" s="2" t="s">
        <v>837</v>
      </c>
    </row>
    <row r="20486" spans="1:1" ht="12.75">
      <c r="A20486" s="2" t="s">
        <v>837</v>
      </c>
    </row>
    <row r="20487" spans="1:1" ht="12.75">
      <c r="A20487" s="2" t="s">
        <v>819</v>
      </c>
    </row>
    <row r="20488" spans="1:1" ht="12.75">
      <c r="A20488" s="2" t="s">
        <v>819</v>
      </c>
    </row>
    <row r="20489" spans="1:1" ht="12.75">
      <c r="A20489" s="2" t="s">
        <v>829</v>
      </c>
    </row>
    <row r="20490" spans="1:1" ht="12.75">
      <c r="A20490" s="2" t="s">
        <v>838</v>
      </c>
    </row>
    <row r="20491" spans="1:1" ht="12.75">
      <c r="A20491" s="2" t="s">
        <v>839</v>
      </c>
    </row>
    <row r="20492" spans="1:1" ht="12.75">
      <c r="A20492" s="2" t="s">
        <v>836</v>
      </c>
    </row>
    <row r="20493" spans="1:1" ht="12.75">
      <c r="A20493" s="2" t="s">
        <v>827</v>
      </c>
    </row>
    <row r="20494" spans="1:1" ht="12.75">
      <c r="A20494" s="2" t="s">
        <v>825</v>
      </c>
    </row>
    <row r="20495" spans="1:1" ht="12.75">
      <c r="A20495" s="2" t="s">
        <v>836</v>
      </c>
    </row>
    <row r="20496" spans="1:1" ht="12.75">
      <c r="A20496" s="2" t="s">
        <v>820</v>
      </c>
    </row>
    <row r="20497" spans="1:1" ht="12.75">
      <c r="A20497" s="2" t="s">
        <v>825</v>
      </c>
    </row>
    <row r="20498" spans="1:1" ht="12.75">
      <c r="A20498" s="2" t="s">
        <v>840</v>
      </c>
    </row>
    <row r="20499" spans="1:1" ht="12.75">
      <c r="A20499" s="2" t="s">
        <v>822</v>
      </c>
    </row>
    <row r="20500" spans="1:1" ht="12.75">
      <c r="A20500" s="2" t="s">
        <v>836</v>
      </c>
    </row>
    <row r="20501" spans="1:1" ht="12.75">
      <c r="A20501" s="2" t="s">
        <v>825</v>
      </c>
    </row>
    <row r="20502" spans="1:1" ht="12.75">
      <c r="A20502" s="2" t="s">
        <v>821</v>
      </c>
    </row>
    <row r="20503" spans="1:1" ht="12.75">
      <c r="A20503" s="2" t="s">
        <v>824</v>
      </c>
    </row>
    <row r="20504" spans="1:1" ht="12.75">
      <c r="A20504" s="2" t="s">
        <v>825</v>
      </c>
    </row>
    <row r="20505" spans="1:1" ht="12.75">
      <c r="A20505" s="2" t="s">
        <v>819</v>
      </c>
    </row>
    <row r="20506" spans="1:1" ht="12.75">
      <c r="A20506" s="2" t="s">
        <v>824</v>
      </c>
    </row>
    <row r="20507" spans="1:1" ht="12.75">
      <c r="A20507" s="2" t="s">
        <v>820</v>
      </c>
    </row>
    <row r="20508" spans="1:1" ht="12.75">
      <c r="A20508" s="2" t="s">
        <v>819</v>
      </c>
    </row>
    <row r="20509" spans="1:1" ht="12.75">
      <c r="A20509" s="2" t="s">
        <v>836</v>
      </c>
    </row>
    <row r="20510" spans="1:1" ht="12.75">
      <c r="A20510" s="2" t="s">
        <v>820</v>
      </c>
    </row>
    <row r="20511" spans="1:1" ht="12.75">
      <c r="A20511" s="2" t="s">
        <v>822</v>
      </c>
    </row>
    <row r="20512" spans="1:1" ht="12.75">
      <c r="A20512" s="2" t="s">
        <v>822</v>
      </c>
    </row>
    <row r="20513" spans="1:1" ht="12.75">
      <c r="A20513" s="2" t="s">
        <v>440</v>
      </c>
    </row>
    <row r="20514" spans="1:1" ht="12.75">
      <c r="A20514" s="2" t="s">
        <v>438</v>
      </c>
    </row>
    <row r="20515" spans="1:1" ht="12.75">
      <c r="A20515" s="2" t="s">
        <v>822</v>
      </c>
    </row>
    <row r="20516" spans="1:1" ht="12.75">
      <c r="A20516" s="2" t="s">
        <v>825</v>
      </c>
    </row>
    <row r="20517" spans="1:1" ht="12.75">
      <c r="A20517" s="2" t="s">
        <v>824</v>
      </c>
    </row>
    <row r="20518" spans="1:1" ht="12.75">
      <c r="A20518" s="2" t="s">
        <v>825</v>
      </c>
    </row>
    <row r="20519" spans="1:1" ht="12.75">
      <c r="A20519" s="2" t="s">
        <v>824</v>
      </c>
    </row>
    <row r="20520" spans="1:1" ht="12.75">
      <c r="A20520" s="2" t="s">
        <v>821</v>
      </c>
    </row>
    <row r="20521" spans="1:1" ht="12.75">
      <c r="A20521" s="2" t="s">
        <v>820</v>
      </c>
    </row>
    <row r="20522" spans="1:1" ht="12.75">
      <c r="A20522" s="2" t="s">
        <v>820</v>
      </c>
    </row>
    <row r="20523" spans="1:1" ht="12.75">
      <c r="A20523" s="2" t="s">
        <v>820</v>
      </c>
    </row>
    <row r="20524" spans="1:1" ht="12.75">
      <c r="A20524" s="2" t="s">
        <v>820</v>
      </c>
    </row>
    <row r="20525" spans="1:1" ht="12.75">
      <c r="A20525" s="2" t="s">
        <v>819</v>
      </c>
    </row>
    <row r="20526" spans="1:1" ht="12.75">
      <c r="A20526" s="2" t="s">
        <v>822</v>
      </c>
    </row>
    <row r="20527" spans="1:1" ht="12.75">
      <c r="A20527" s="2" t="s">
        <v>836</v>
      </c>
    </row>
    <row r="20528" spans="1:1" ht="12.75">
      <c r="A20528" s="2" t="s">
        <v>841</v>
      </c>
    </row>
    <row r="20529" spans="1:1" ht="12.75">
      <c r="A20529" s="2" t="s">
        <v>824</v>
      </c>
    </row>
    <row r="20530" spans="1:1" ht="12.75">
      <c r="A20530" s="2" t="s">
        <v>842</v>
      </c>
    </row>
    <row r="20531" spans="1:1" ht="12.75">
      <c r="A20531" s="2" t="s">
        <v>824</v>
      </c>
    </row>
    <row r="20532" spans="1:1" ht="12.75">
      <c r="A20532" s="2" t="s">
        <v>821</v>
      </c>
    </row>
    <row r="20533" spans="1:1" ht="12.75">
      <c r="A20533" s="2" t="s">
        <v>829</v>
      </c>
    </row>
    <row r="20534" spans="1:1" ht="12.75">
      <c r="A20534" s="2" t="s">
        <v>821</v>
      </c>
    </row>
    <row r="20535" spans="1:1" ht="12.75">
      <c r="A20535" s="2" t="s">
        <v>843</v>
      </c>
    </row>
    <row r="20536" spans="1:1" ht="12.75">
      <c r="A20536" s="2" t="s">
        <v>835</v>
      </c>
    </row>
    <row r="20537" spans="1:1" ht="12.75">
      <c r="A20537" s="2" t="s">
        <v>835</v>
      </c>
    </row>
    <row r="20538" spans="1:1" ht="12.75">
      <c r="A20538" s="2" t="s">
        <v>835</v>
      </c>
    </row>
    <row r="20539" spans="1:1" ht="12.75">
      <c r="A20539" s="2" t="s">
        <v>836</v>
      </c>
    </row>
    <row r="20540" spans="1:1" ht="12.75">
      <c r="A20540" s="2" t="s">
        <v>824</v>
      </c>
    </row>
    <row r="20541" spans="1:1" ht="12.75">
      <c r="A20541" s="2" t="s">
        <v>820</v>
      </c>
    </row>
    <row r="20542" spans="1:1" ht="12.75">
      <c r="A20542" s="2" t="s">
        <v>824</v>
      </c>
    </row>
    <row r="20543" spans="1:1" ht="12.75">
      <c r="A20543" s="2" t="s">
        <v>820</v>
      </c>
    </row>
    <row r="20544" spans="1:1" ht="12.75">
      <c r="A20544" s="2" t="s">
        <v>819</v>
      </c>
    </row>
    <row r="20545" spans="1:1" ht="12.75">
      <c r="A20545" s="2" t="s">
        <v>829</v>
      </c>
    </row>
    <row r="20546" spans="1:1" ht="12.75">
      <c r="A20546" s="2" t="s">
        <v>819</v>
      </c>
    </row>
    <row r="20547" spans="1:1" ht="12.75">
      <c r="A20547" s="2" t="s">
        <v>827</v>
      </c>
    </row>
    <row r="20548" spans="1:1" ht="12.75">
      <c r="A20548" s="2" t="s">
        <v>821</v>
      </c>
    </row>
    <row r="20549" spans="1:1" ht="12.75">
      <c r="A20549" s="2" t="s">
        <v>844</v>
      </c>
    </row>
    <row r="20550" spans="1:1" ht="12.75">
      <c r="A20550" s="2" t="s">
        <v>821</v>
      </c>
    </row>
    <row r="20551" spans="1:1" ht="12.75">
      <c r="A20551" s="2" t="s">
        <v>845</v>
      </c>
    </row>
    <row r="20552" spans="1:1" ht="12.75">
      <c r="A20552" s="2" t="s">
        <v>845</v>
      </c>
    </row>
    <row r="20553" spans="1:1" ht="12.75">
      <c r="A20553" s="2" t="s">
        <v>846</v>
      </c>
    </row>
    <row r="20554" spans="1:1" ht="12.75">
      <c r="A20554" s="2" t="s">
        <v>845</v>
      </c>
    </row>
    <row r="20555" spans="1:1" ht="12.75">
      <c r="A20555" s="2" t="s">
        <v>483</v>
      </c>
    </row>
    <row r="20556" spans="1:1" ht="12.75">
      <c r="A20556" s="2" t="s">
        <v>483</v>
      </c>
    </row>
    <row r="20557" spans="1:1" ht="12.75">
      <c r="A20557" s="2" t="s">
        <v>483</v>
      </c>
    </row>
    <row r="20558" spans="1:1" ht="12.75">
      <c r="A20558" s="2" t="s">
        <v>845</v>
      </c>
    </row>
    <row r="20559" spans="1:1" ht="12.75">
      <c r="A20559" s="2" t="s">
        <v>483</v>
      </c>
    </row>
    <row r="20560" spans="1:1" ht="12.75">
      <c r="A20560" s="2" t="s">
        <v>483</v>
      </c>
    </row>
    <row r="20561" spans="1:1" ht="12.75">
      <c r="A20561" s="2" t="s">
        <v>846</v>
      </c>
    </row>
    <row r="20562" spans="1:1" ht="12.75">
      <c r="A20562" s="2" t="s">
        <v>846</v>
      </c>
    </row>
    <row r="20563" spans="1:1" ht="12.75">
      <c r="A20563" s="2" t="s">
        <v>561</v>
      </c>
    </row>
    <row r="20564" spans="1:1" ht="12.75">
      <c r="A20564" s="2" t="s">
        <v>561</v>
      </c>
    </row>
    <row r="20565" spans="1:1" ht="12.75">
      <c r="A20565" s="2" t="s">
        <v>561</v>
      </c>
    </row>
    <row r="20566" spans="1:1" ht="12.75">
      <c r="A20566" s="2" t="s">
        <v>561</v>
      </c>
    </row>
    <row r="20567" spans="1:1" ht="12.75">
      <c r="A20567" s="2" t="s">
        <v>843</v>
      </c>
    </row>
    <row r="20568" spans="1:1" ht="12.75">
      <c r="A20568" s="2" t="s">
        <v>847</v>
      </c>
    </row>
    <row r="20569" spans="1:1" ht="12.75">
      <c r="A20569" s="2" t="s">
        <v>483</v>
      </c>
    </row>
    <row r="20570" spans="1:1" ht="12.75">
      <c r="A20570" s="2" t="s">
        <v>846</v>
      </c>
    </row>
    <row r="20571" spans="1:1" ht="12.75">
      <c r="A20571" s="2" t="s">
        <v>561</v>
      </c>
    </row>
    <row r="20572" spans="1:1" ht="12.75">
      <c r="A20572" s="2" t="s">
        <v>561</v>
      </c>
    </row>
    <row r="20573" spans="1:1" ht="12.75">
      <c r="A20573" s="2" t="s">
        <v>561</v>
      </c>
    </row>
    <row r="20574" spans="1:1" ht="12.75">
      <c r="A20574" s="2" t="s">
        <v>561</v>
      </c>
    </row>
    <row r="20575" spans="1:1" ht="12.75">
      <c r="A20575" s="2" t="s">
        <v>845</v>
      </c>
    </row>
    <row r="20576" spans="1:1" ht="12.75">
      <c r="A20576" s="2" t="s">
        <v>845</v>
      </c>
    </row>
    <row r="20577" spans="1:1" ht="12.75">
      <c r="A20577" s="2" t="s">
        <v>845</v>
      </c>
    </row>
    <row r="20578" spans="1:1" ht="12.75">
      <c r="A20578" s="2" t="s">
        <v>845</v>
      </c>
    </row>
    <row r="20579" spans="1:1" ht="12.75">
      <c r="A20579" s="2" t="s">
        <v>848</v>
      </c>
    </row>
    <row r="20580" spans="1:1" ht="12.75">
      <c r="A20580" s="2" t="s">
        <v>848</v>
      </c>
    </row>
    <row r="20581" spans="1:1" ht="12.75">
      <c r="A20581" s="2" t="s">
        <v>849</v>
      </c>
    </row>
    <row r="20582" spans="1:1" ht="12.75">
      <c r="A20582" s="2" t="s">
        <v>849</v>
      </c>
    </row>
    <row r="20583" spans="1:1" ht="12.75">
      <c r="A20583" s="2" t="s">
        <v>849</v>
      </c>
    </row>
    <row r="20584" spans="1:1" ht="12.75">
      <c r="A20584" s="2" t="s">
        <v>483</v>
      </c>
    </row>
    <row r="20585" spans="1:1" ht="12.75">
      <c r="A20585" s="2" t="s">
        <v>849</v>
      </c>
    </row>
    <row r="20586" spans="1:1" ht="12.75">
      <c r="A20586" s="2" t="s">
        <v>849</v>
      </c>
    </row>
    <row r="20587" spans="1:1" ht="12.75">
      <c r="A20587" s="2" t="s">
        <v>849</v>
      </c>
    </row>
    <row r="20588" spans="1:1" ht="12.75">
      <c r="A20588" s="2" t="s">
        <v>849</v>
      </c>
    </row>
    <row r="20589" spans="1:1" ht="12.75">
      <c r="A20589" s="2" t="s">
        <v>849</v>
      </c>
    </row>
    <row r="20590" spans="1:1" ht="12.75">
      <c r="A20590" s="2" t="s">
        <v>849</v>
      </c>
    </row>
    <row r="20591" spans="1:1" ht="12.75">
      <c r="A20591" s="2" t="s">
        <v>481</v>
      </c>
    </row>
    <row r="20592" spans="1:1" ht="12.75">
      <c r="A20592" s="2" t="s">
        <v>481</v>
      </c>
    </row>
    <row r="20593" spans="1:1" ht="12.75">
      <c r="A20593" s="2" t="s">
        <v>612</v>
      </c>
    </row>
    <row r="20594" spans="1:1" ht="12.75">
      <c r="A20594" s="2" t="s">
        <v>491</v>
      </c>
    </row>
    <row r="20595" spans="1:1" ht="12.75">
      <c r="A20595" s="2" t="s">
        <v>439</v>
      </c>
    </row>
    <row r="20596" spans="1:1" ht="12.75">
      <c r="A20596" s="2" t="s">
        <v>439</v>
      </c>
    </row>
    <row r="20597" spans="1:1" ht="12.75">
      <c r="A20597" s="2" t="s">
        <v>439</v>
      </c>
    </row>
    <row r="20598" spans="1:1" ht="12.75">
      <c r="A20598" s="2" t="s">
        <v>439</v>
      </c>
    </row>
    <row r="20599" spans="1:1" ht="12.75">
      <c r="A20599" s="2" t="s">
        <v>612</v>
      </c>
    </row>
    <row r="20600" spans="1:1" ht="12.75">
      <c r="A20600" s="2" t="s">
        <v>443</v>
      </c>
    </row>
    <row r="20601" spans="1:1" ht="12.75">
      <c r="A20601" s="2" t="s">
        <v>613</v>
      </c>
    </row>
    <row r="20602" spans="1:1" ht="12.75">
      <c r="A20602" s="2" t="s">
        <v>613</v>
      </c>
    </row>
    <row r="20603" spans="1:1" ht="12.75">
      <c r="A20603" s="2" t="s">
        <v>439</v>
      </c>
    </row>
    <row r="20604" spans="1:1" ht="12.75">
      <c r="A20604" s="2" t="s">
        <v>439</v>
      </c>
    </row>
    <row r="20605" spans="1:1" ht="12.75">
      <c r="A20605" s="2" t="s">
        <v>483</v>
      </c>
    </row>
    <row r="20606" spans="1:1" ht="12.75">
      <c r="A20606" s="2" t="s">
        <v>483</v>
      </c>
    </row>
    <row r="20607" spans="1:1" ht="12.75">
      <c r="A20607" s="2" t="s">
        <v>849</v>
      </c>
    </row>
    <row r="20608" spans="1:1" ht="12.75">
      <c r="A20608" s="2" t="s">
        <v>849</v>
      </c>
    </row>
    <row r="20609" spans="1:1" ht="12.75">
      <c r="A20609" s="2" t="s">
        <v>849</v>
      </c>
    </row>
    <row r="20610" spans="1:1" ht="12.75">
      <c r="A20610" s="2" t="s">
        <v>849</v>
      </c>
    </row>
    <row r="20611" spans="1:1" ht="12.75">
      <c r="A20611" s="2" t="s">
        <v>849</v>
      </c>
    </row>
    <row r="20612" spans="1:1" ht="12.75">
      <c r="A20612" s="2" t="s">
        <v>848</v>
      </c>
    </row>
    <row r="20613" spans="1:1" ht="12.75">
      <c r="A20613" s="2" t="s">
        <v>621</v>
      </c>
    </row>
    <row r="20614" spans="1:1" ht="12.75">
      <c r="A20614" s="2" t="s">
        <v>850</v>
      </c>
    </row>
    <row r="20615" spans="1:1" ht="12.75">
      <c r="A20615" s="2" t="s">
        <v>851</v>
      </c>
    </row>
    <row r="20616" spans="1:1" ht="12.75">
      <c r="A20616" s="2" t="s">
        <v>851</v>
      </c>
    </row>
    <row r="20617" spans="1:1" ht="12.75">
      <c r="A20617" s="2" t="s">
        <v>483</v>
      </c>
    </row>
    <row r="20618" spans="1:1" ht="12.75">
      <c r="A20618" s="2" t="s">
        <v>483</v>
      </c>
    </row>
    <row r="20619" spans="1:1" ht="12.75">
      <c r="A20619" s="2" t="s">
        <v>852</v>
      </c>
    </row>
    <row r="20620" spans="1:1" ht="12.75">
      <c r="A20620" s="2" t="s">
        <v>852</v>
      </c>
    </row>
    <row r="20621" spans="1:1" ht="12.75">
      <c r="A20621" s="2" t="s">
        <v>439</v>
      </c>
    </row>
    <row r="20622" spans="1:1" ht="12.75">
      <c r="A20622" s="2" t="s">
        <v>439</v>
      </c>
    </row>
    <row r="20623" spans="1:1" ht="12.75">
      <c r="A20623" s="2" t="s">
        <v>438</v>
      </c>
    </row>
    <row r="20624" spans="1:1" ht="12.75">
      <c r="A20624" s="2" t="s">
        <v>491</v>
      </c>
    </row>
    <row r="20625" spans="1:1" ht="12.75">
      <c r="A20625" s="2" t="s">
        <v>438</v>
      </c>
    </row>
    <row r="20626" spans="1:1" ht="12.75">
      <c r="A20626" s="2" t="s">
        <v>612</v>
      </c>
    </row>
    <row r="20627" spans="1:1" ht="12.75">
      <c r="A20627" s="2" t="s">
        <v>439</v>
      </c>
    </row>
    <row r="20628" spans="1:1" ht="12.75">
      <c r="A20628" s="2" t="s">
        <v>439</v>
      </c>
    </row>
    <row r="20629" spans="1:1" ht="12.75">
      <c r="A20629" s="2" t="s">
        <v>612</v>
      </c>
    </row>
    <row r="20630" spans="1:1" ht="12.75">
      <c r="A20630" s="2" t="s">
        <v>853</v>
      </c>
    </row>
    <row r="20631" spans="1:1" ht="12.75">
      <c r="A20631" s="2" t="s">
        <v>438</v>
      </c>
    </row>
    <row r="20632" spans="1:1" ht="12.75">
      <c r="A20632" s="2" t="s">
        <v>491</v>
      </c>
    </row>
    <row r="20633" spans="1:1" ht="12.75">
      <c r="A20633" s="2" t="s">
        <v>439</v>
      </c>
    </row>
    <row r="20634" spans="1:1" ht="12.75">
      <c r="A20634" s="2" t="s">
        <v>439</v>
      </c>
    </row>
    <row r="20635" spans="1:1" ht="12.75">
      <c r="A20635" s="2" t="s">
        <v>439</v>
      </c>
    </row>
    <row r="20636" spans="1:1" ht="12.75">
      <c r="A20636" s="2" t="s">
        <v>439</v>
      </c>
    </row>
    <row r="20637" spans="1:1" ht="12.75">
      <c r="A20637" s="2" t="s">
        <v>491</v>
      </c>
    </row>
    <row r="20638" spans="1:1" ht="12.75">
      <c r="A20638" s="2" t="s">
        <v>443</v>
      </c>
    </row>
    <row r="20639" spans="1:1" ht="12.75">
      <c r="A20639" s="2" t="s">
        <v>845</v>
      </c>
    </row>
    <row r="20640" spans="1:1" ht="12.75">
      <c r="A20640" s="2" t="s">
        <v>845</v>
      </c>
    </row>
    <row r="20641" spans="1:1" ht="12.75">
      <c r="A20641" s="2" t="s">
        <v>483</v>
      </c>
    </row>
    <row r="20642" spans="1:1" ht="12.75">
      <c r="A20642" s="2" t="s">
        <v>845</v>
      </c>
    </row>
    <row r="20643" spans="1:1" ht="12.75">
      <c r="A20643" s="2" t="s">
        <v>561</v>
      </c>
    </row>
    <row r="20644" spans="1:1" ht="12.75">
      <c r="A20644" s="2" t="s">
        <v>561</v>
      </c>
    </row>
    <row r="20645" spans="1:1" ht="12.75">
      <c r="A20645" s="2" t="s">
        <v>561</v>
      </c>
    </row>
    <row r="20646" spans="1:1" ht="12.75">
      <c r="A20646" s="2" t="s">
        <v>561</v>
      </c>
    </row>
    <row r="20647" spans="1:1" ht="12.75">
      <c r="A20647" s="2" t="s">
        <v>483</v>
      </c>
    </row>
    <row r="20648" spans="1:1" ht="12.75">
      <c r="A20648" s="2" t="s">
        <v>483</v>
      </c>
    </row>
    <row r="20649" spans="1:1" ht="12.75">
      <c r="A20649" s="2" t="s">
        <v>561</v>
      </c>
    </row>
    <row r="20650" spans="1:1" ht="12.75">
      <c r="A20650" s="2" t="s">
        <v>561</v>
      </c>
    </row>
    <row r="20651" spans="1:1" ht="12.75">
      <c r="A20651" s="2" t="s">
        <v>439</v>
      </c>
    </row>
    <row r="20652" spans="1:1" ht="12.75">
      <c r="A20652" s="2" t="s">
        <v>439</v>
      </c>
    </row>
    <row r="20653" spans="1:1" ht="12.75">
      <c r="A20653" s="2" t="s">
        <v>443</v>
      </c>
    </row>
    <row r="20654" spans="1:1" ht="12.75">
      <c r="A20654" s="2" t="s">
        <v>491</v>
      </c>
    </row>
    <row r="20655" spans="1:1" ht="12.75">
      <c r="A20655" s="2" t="s">
        <v>612</v>
      </c>
    </row>
    <row r="20656" spans="1:1" ht="12.75">
      <c r="A20656" s="2" t="s">
        <v>438</v>
      </c>
    </row>
    <row r="20657" spans="1:1" ht="12.75">
      <c r="A20657" s="2" t="s">
        <v>613</v>
      </c>
    </row>
    <row r="20658" spans="1:1" ht="12.75">
      <c r="A20658" s="2" t="s">
        <v>613</v>
      </c>
    </row>
    <row r="20659" spans="1:1" ht="12.75">
      <c r="A20659" s="2" t="s">
        <v>443</v>
      </c>
    </row>
    <row r="20660" spans="1:1" ht="12.75">
      <c r="A20660" s="2" t="s">
        <v>491</v>
      </c>
    </row>
    <row r="20661" spans="1:1" ht="12.75">
      <c r="A20661" s="2" t="s">
        <v>443</v>
      </c>
    </row>
    <row r="20662" spans="1:1" ht="12.75">
      <c r="A20662" s="2" t="s">
        <v>491</v>
      </c>
    </row>
    <row r="20663" spans="1:1" ht="12.75">
      <c r="A20663" s="2" t="s">
        <v>824</v>
      </c>
    </row>
    <row r="20664" spans="1:1" ht="12.75">
      <c r="A20664" s="2" t="s">
        <v>824</v>
      </c>
    </row>
    <row r="20665" spans="1:1" ht="12.75">
      <c r="A20665" s="2" t="s">
        <v>825</v>
      </c>
    </row>
    <row r="20666" spans="1:1" ht="12.75">
      <c r="A20666" s="2" t="s">
        <v>825</v>
      </c>
    </row>
    <row r="20667" spans="1:1" ht="12.75">
      <c r="A20667" s="2" t="s">
        <v>829</v>
      </c>
    </row>
    <row r="20668" spans="1:1" ht="12.75">
      <c r="A20668" s="2" t="s">
        <v>829</v>
      </c>
    </row>
    <row r="20669" spans="1:1" ht="12.75">
      <c r="A20669" s="2" t="s">
        <v>822</v>
      </c>
    </row>
    <row r="20670" spans="1:1" ht="12.75">
      <c r="A20670" s="2" t="s">
        <v>836</v>
      </c>
    </row>
    <row r="20671" spans="1:1" ht="12.75">
      <c r="A20671" s="2" t="s">
        <v>837</v>
      </c>
    </row>
    <row r="20672" spans="1:1" ht="12.75">
      <c r="A20672" s="2" t="s">
        <v>822</v>
      </c>
    </row>
    <row r="20673" spans="1:1" ht="12.75">
      <c r="A20673" s="2" t="s">
        <v>854</v>
      </c>
    </row>
    <row r="20674" spans="1:1" ht="12.75">
      <c r="A20674" s="2" t="s">
        <v>837</v>
      </c>
    </row>
    <row r="20675" spans="1:1" ht="12.75">
      <c r="A20675" s="2" t="s">
        <v>834</v>
      </c>
    </row>
    <row r="20676" spans="1:1" ht="12.75">
      <c r="A20676" s="2" t="s">
        <v>855</v>
      </c>
    </row>
    <row r="20677" spans="1:1" ht="12.75">
      <c r="A20677" s="2" t="s">
        <v>856</v>
      </c>
    </row>
    <row r="20678" spans="1:1" ht="12.75">
      <c r="A20678" s="2" t="s">
        <v>835</v>
      </c>
    </row>
    <row r="20679" spans="1:1" ht="12.75">
      <c r="A20679" s="2" t="s">
        <v>819</v>
      </c>
    </row>
    <row r="20680" spans="1:1" ht="12.75">
      <c r="A20680" s="2" t="s">
        <v>843</v>
      </c>
    </row>
    <row r="20681" spans="1:1" ht="12.75">
      <c r="A20681" s="2" t="s">
        <v>821</v>
      </c>
    </row>
    <row r="20682" spans="1:1" ht="12.75">
      <c r="A20682" s="2" t="s">
        <v>819</v>
      </c>
    </row>
    <row r="20683" spans="1:1" ht="12.75">
      <c r="A20683" s="2" t="s">
        <v>857</v>
      </c>
    </row>
    <row r="20684" spans="1:1" ht="12.75">
      <c r="A20684" s="2" t="s">
        <v>829</v>
      </c>
    </row>
    <row r="20685" spans="1:1" ht="12.75">
      <c r="A20685" s="2" t="s">
        <v>452</v>
      </c>
    </row>
    <row r="20686" spans="1:1" ht="12.75">
      <c r="A20686" s="2" t="s">
        <v>452</v>
      </c>
    </row>
    <row r="20687" spans="1:1" ht="12.75">
      <c r="A20687" s="2" t="s">
        <v>477</v>
      </c>
    </row>
    <row r="20688" spans="1:1" ht="12.75">
      <c r="A20688" s="2" t="s">
        <v>477</v>
      </c>
    </row>
    <row r="20689" spans="1:1" ht="12.75">
      <c r="A20689" s="2" t="s">
        <v>477</v>
      </c>
    </row>
    <row r="20690" spans="1:1" ht="12.75">
      <c r="A20690" s="2" t="s">
        <v>477</v>
      </c>
    </row>
    <row r="20691" spans="1:1" ht="12.75">
      <c r="A20691" s="2" t="s">
        <v>836</v>
      </c>
    </row>
    <row r="20692" spans="1:1" ht="12.75">
      <c r="A20692" s="2" t="s">
        <v>820</v>
      </c>
    </row>
    <row r="20693" spans="1:1" ht="12.75">
      <c r="A20693" s="2" t="s">
        <v>836</v>
      </c>
    </row>
    <row r="20694" spans="1:1" ht="12.75">
      <c r="A20694" s="2" t="s">
        <v>822</v>
      </c>
    </row>
    <row r="20695" spans="1:1" ht="12.75">
      <c r="A20695" s="2" t="s">
        <v>825</v>
      </c>
    </row>
    <row r="20696" spans="1:1" ht="12.75">
      <c r="A20696" s="2" t="s">
        <v>822</v>
      </c>
    </row>
    <row r="20697" spans="1:1" ht="12.75">
      <c r="A20697" s="2" t="s">
        <v>824</v>
      </c>
    </row>
    <row r="20698" spans="1:1" ht="12.75">
      <c r="A20698" s="2" t="s">
        <v>821</v>
      </c>
    </row>
    <row r="20699" spans="1:1" ht="12.75">
      <c r="A20699" s="2" t="s">
        <v>824</v>
      </c>
    </row>
    <row r="20700" spans="1:1" ht="12.75">
      <c r="A20700" s="2" t="s">
        <v>819</v>
      </c>
    </row>
    <row r="20701" spans="1:1" ht="12.75">
      <c r="A20701" s="2" t="s">
        <v>825</v>
      </c>
    </row>
    <row r="20702" spans="1:1" ht="12.75">
      <c r="A20702" s="2" t="s">
        <v>820</v>
      </c>
    </row>
    <row r="20703" spans="1:1" ht="12.75">
      <c r="A20703" s="2" t="s">
        <v>825</v>
      </c>
    </row>
    <row r="20704" spans="1:1" ht="12.75">
      <c r="A20704" s="2" t="s">
        <v>820</v>
      </c>
    </row>
    <row r="20705" spans="1:1" ht="12.75">
      <c r="A20705" s="2" t="s">
        <v>822</v>
      </c>
    </row>
    <row r="20706" spans="1:1" ht="12.75">
      <c r="A20706" s="2" t="s">
        <v>857</v>
      </c>
    </row>
    <row r="20707" spans="1:1" ht="12.75">
      <c r="A20707" s="2" t="s">
        <v>854</v>
      </c>
    </row>
    <row r="20708" spans="1:1" ht="12.75">
      <c r="A20708" s="2" t="s">
        <v>836</v>
      </c>
    </row>
    <row r="20709" spans="1:1" ht="12.75">
      <c r="A20709" s="2" t="s">
        <v>822</v>
      </c>
    </row>
    <row r="20710" spans="1:1" ht="12.75">
      <c r="A20710" s="2" t="s">
        <v>825</v>
      </c>
    </row>
    <row r="20711" spans="1:1" ht="12.75">
      <c r="A20711" s="2" t="s">
        <v>856</v>
      </c>
    </row>
    <row r="20712" spans="1:1" ht="12.75">
      <c r="A20712" s="2" t="s">
        <v>819</v>
      </c>
    </row>
    <row r="20713" spans="1:1" ht="12.75">
      <c r="A20713" s="2" t="s">
        <v>856</v>
      </c>
    </row>
    <row r="20714" spans="1:1" ht="12.75">
      <c r="A20714" s="2" t="s">
        <v>829</v>
      </c>
    </row>
    <row r="20715" spans="1:1" ht="12.75">
      <c r="A20715" s="2" t="s">
        <v>843</v>
      </c>
    </row>
    <row r="20716" spans="1:1" ht="12.75">
      <c r="A20716" s="2" t="s">
        <v>829</v>
      </c>
    </row>
    <row r="20717" spans="1:1" ht="12.75">
      <c r="A20717" s="2" t="s">
        <v>834</v>
      </c>
    </row>
    <row r="20718" spans="1:1" ht="12.75">
      <c r="A20718" s="2" t="s">
        <v>857</v>
      </c>
    </row>
    <row r="20720" spans="1:1" ht="12.75">
      <c r="A20720" s="2" t="s">
        <v>836</v>
      </c>
    </row>
    <row r="20721" spans="1:1" ht="12.75">
      <c r="A20721" s="2" t="s">
        <v>835</v>
      </c>
    </row>
    <row r="20722" spans="1:1" ht="12.75">
      <c r="A20722" s="2" t="s">
        <v>858</v>
      </c>
    </row>
    <row r="20723" spans="1:1" ht="12.75">
      <c r="A20723" s="2" t="s">
        <v>824</v>
      </c>
    </row>
    <row r="20724" spans="1:1" ht="12.75">
      <c r="A20724" s="2" t="s">
        <v>835</v>
      </c>
    </row>
    <row r="20725" spans="1:1" ht="12.75">
      <c r="A20725" s="2" t="s">
        <v>853</v>
      </c>
    </row>
    <row r="20726" spans="1:1" ht="12.75">
      <c r="A20726" s="2" t="s">
        <v>612</v>
      </c>
    </row>
    <row r="20727" spans="1:1" ht="12.75">
      <c r="A20727" s="2" t="s">
        <v>438</v>
      </c>
    </row>
    <row r="20728" spans="1:1" ht="12.75">
      <c r="A20728" s="2" t="s">
        <v>443</v>
      </c>
    </row>
    <row r="20729" spans="1:1" ht="12.75">
      <c r="A20729" s="2" t="s">
        <v>491</v>
      </c>
    </row>
    <row r="20730" spans="1:1" ht="12.75">
      <c r="A20730" s="2" t="s">
        <v>439</v>
      </c>
    </row>
    <row r="20731" spans="1:1" ht="12.75">
      <c r="A20731" s="2" t="s">
        <v>612</v>
      </c>
    </row>
    <row r="20732" spans="1:1" ht="12.75">
      <c r="A20732" s="2" t="s">
        <v>443</v>
      </c>
    </row>
    <row r="20733" spans="1:1" ht="12.75">
      <c r="A20733" s="2" t="s">
        <v>439</v>
      </c>
    </row>
    <row r="20734" spans="1:1" ht="12.75">
      <c r="A20734" s="2" t="s">
        <v>439</v>
      </c>
    </row>
    <row r="20735" spans="1:1" ht="12.75">
      <c r="A20735" s="2" t="s">
        <v>613</v>
      </c>
    </row>
    <row r="20736" spans="1:1" ht="12.75">
      <c r="A20736" s="2" t="s">
        <v>438</v>
      </c>
    </row>
    <row r="20737" spans="1:1" ht="12.75">
      <c r="A20737" s="2" t="s">
        <v>612</v>
      </c>
    </row>
    <row r="20738" spans="1:1" ht="12.75">
      <c r="A20738" s="2" t="s">
        <v>439</v>
      </c>
    </row>
    <row r="20739" spans="1:1" ht="12.75">
      <c r="A20739" s="2" t="s">
        <v>438</v>
      </c>
    </row>
    <row r="20740" spans="1:1" ht="12.75">
      <c r="A20740" s="2" t="s">
        <v>853</v>
      </c>
    </row>
    <row r="20741" spans="1:1" ht="12.75">
      <c r="A20741" s="2" t="s">
        <v>612</v>
      </c>
    </row>
    <row r="20742" spans="1:1" ht="12.75">
      <c r="A20742" s="2" t="s">
        <v>491</v>
      </c>
    </row>
    <row r="20743" spans="1:1" ht="12.75">
      <c r="A20743" s="2" t="s">
        <v>438</v>
      </c>
    </row>
    <row r="20744" spans="1:1" ht="12.75">
      <c r="A20744" s="2" t="s">
        <v>491</v>
      </c>
    </row>
    <row r="20745" spans="1:1" ht="12.75">
      <c r="A20745" s="2" t="s">
        <v>443</v>
      </c>
    </row>
    <row r="20746" spans="1:1" ht="12.75">
      <c r="A20746" s="2" t="s">
        <v>439</v>
      </c>
    </row>
    <row r="20747" spans="1:1" ht="12.75">
      <c r="A20747" s="2" t="s">
        <v>613</v>
      </c>
    </row>
    <row r="20748" spans="1:1" ht="12.75">
      <c r="A20748" s="2" t="s">
        <v>613</v>
      </c>
    </row>
    <row r="20749" spans="1:1" ht="12.75">
      <c r="A20749" s="2" t="s">
        <v>438</v>
      </c>
    </row>
    <row r="20750" spans="1:1" ht="12.75">
      <c r="A20750" s="2" t="s">
        <v>491</v>
      </c>
    </row>
    <row r="20751" spans="1:1" ht="12.75">
      <c r="A20751" s="2" t="s">
        <v>272</v>
      </c>
    </row>
    <row r="20752" spans="1:1" ht="12.75">
      <c r="A20752" s="2" t="s">
        <v>859</v>
      </c>
    </row>
    <row r="20753" spans="1:1" ht="12.75">
      <c r="A20753" s="2" t="s">
        <v>859</v>
      </c>
    </row>
    <row r="20754" spans="1:1" ht="12.75">
      <c r="A20754" s="2" t="s">
        <v>860</v>
      </c>
    </row>
    <row r="20755" spans="1:1" ht="12.75">
      <c r="A20755" s="2" t="s">
        <v>861</v>
      </c>
    </row>
    <row r="20756" spans="1:1" ht="12.75">
      <c r="A20756" s="2" t="s">
        <v>860</v>
      </c>
    </row>
    <row r="20757" spans="1:1" ht="12.75">
      <c r="A20757" s="2" t="s">
        <v>861</v>
      </c>
    </row>
    <row r="20758" spans="1:1" ht="12.75">
      <c r="A20758" s="2" t="s">
        <v>272</v>
      </c>
    </row>
    <row r="20759" spans="1:1" ht="12.75">
      <c r="A20759" s="2" t="s">
        <v>271</v>
      </c>
    </row>
    <row r="20760" spans="1:1" ht="12.75">
      <c r="A20760" s="2" t="s">
        <v>273</v>
      </c>
    </row>
    <row r="20761" spans="1:1" ht="12.75">
      <c r="A20761" s="2" t="s">
        <v>270</v>
      </c>
    </row>
    <row r="20762" spans="1:1" ht="12.75">
      <c r="A20762" s="2" t="s">
        <v>272</v>
      </c>
    </row>
    <row r="20769" spans="1:1" ht="12.75">
      <c r="A20769" s="2" t="s">
        <v>862</v>
      </c>
    </row>
    <row r="20775" spans="1:1" ht="12.75">
      <c r="A20775" s="2" t="s">
        <v>860</v>
      </c>
    </row>
    <row r="20780" spans="1:1" ht="12.75">
      <c r="A20780" s="2">
        <v>4897</v>
      </c>
    </row>
    <row r="20783" spans="1:1" ht="12.75">
      <c r="A20783" s="2">
        <v>4897</v>
      </c>
    </row>
    <row r="20785" spans="1:1" ht="12.75">
      <c r="A20785" s="2" t="s">
        <v>269</v>
      </c>
    </row>
    <row r="20787" spans="1:1" ht="12.75">
      <c r="A20787" s="2" t="s">
        <v>268</v>
      </c>
    </row>
    <row r="20788" spans="1:1" ht="12.75">
      <c r="A20788" s="2" t="s">
        <v>860</v>
      </c>
    </row>
    <row r="20789" spans="1:1" ht="12.75">
      <c r="A20789" s="2" t="s">
        <v>268</v>
      </c>
    </row>
    <row r="20913" spans="1:1" ht="12.75">
      <c r="A20913" s="2" t="s">
        <v>863</v>
      </c>
    </row>
    <row r="20914" spans="1:1" ht="12.75">
      <c r="A20914" s="2" t="s">
        <v>268</v>
      </c>
    </row>
    <row r="20915" spans="1:1" ht="12.75">
      <c r="A20915" s="2" t="s">
        <v>271</v>
      </c>
    </row>
    <row r="20916" spans="1:1" ht="12.75">
      <c r="A20916" s="2" t="s">
        <v>864</v>
      </c>
    </row>
    <row r="20917" spans="1:1" ht="12.75">
      <c r="A20917" s="2" t="s">
        <v>273</v>
      </c>
    </row>
    <row r="20918" spans="1:1" ht="12.75">
      <c r="A20918" s="2" t="s">
        <v>273</v>
      </c>
    </row>
    <row r="20919" spans="1:1" ht="12.75">
      <c r="A20919" s="2" t="s">
        <v>269</v>
      </c>
    </row>
    <row r="20920" spans="1:1" ht="12.75">
      <c r="A20920" s="2" t="s">
        <v>269</v>
      </c>
    </row>
    <row r="20921" spans="1:1" ht="12.75">
      <c r="A20921" s="2" t="s">
        <v>270</v>
      </c>
    </row>
    <row r="20922" spans="1:1" ht="12.75">
      <c r="A20922" s="2" t="s">
        <v>865</v>
      </c>
    </row>
    <row r="20923" spans="1:1" ht="12.75">
      <c r="A20923" s="2" t="s">
        <v>272</v>
      </c>
    </row>
    <row r="20924" spans="1:1" ht="12.75">
      <c r="A20924" s="2" t="s">
        <v>272</v>
      </c>
    </row>
    <row r="20925" spans="1:1" ht="12.75">
      <c r="A20925" s="2" t="s">
        <v>272</v>
      </c>
    </row>
    <row r="20926" spans="1:1" ht="12.75">
      <c r="A20926" s="2" t="s">
        <v>866</v>
      </c>
    </row>
    <row r="20927" spans="1:1" ht="12.75">
      <c r="A20927" s="2" t="s">
        <v>271</v>
      </c>
    </row>
    <row r="20928" spans="1:1" ht="12.75">
      <c r="A20928" s="2" t="s">
        <v>269</v>
      </c>
    </row>
    <row r="20929" spans="1:1" ht="12.75">
      <c r="A20929" s="2" t="s">
        <v>269</v>
      </c>
    </row>
    <row r="20930" spans="1:1" ht="12.75">
      <c r="A20930" s="2" t="s">
        <v>270</v>
      </c>
    </row>
    <row r="20931" spans="1:1" ht="12.75">
      <c r="A20931" s="2" t="s">
        <v>270</v>
      </c>
    </row>
    <row r="20932" spans="1:1" ht="12.75">
      <c r="A20932" s="2" t="s">
        <v>273</v>
      </c>
    </row>
    <row r="21139" spans="1:1" ht="12.75">
      <c r="A21139" s="2" t="s">
        <v>271</v>
      </c>
    </row>
    <row r="21140" spans="1:1" ht="12.75">
      <c r="A21140" s="2" t="s">
        <v>271</v>
      </c>
    </row>
    <row r="21141" spans="1:1" ht="12.75">
      <c r="A21141" s="2" t="s">
        <v>268</v>
      </c>
    </row>
    <row r="21142" spans="1:1" ht="12.75">
      <c r="A21142" s="2" t="s">
        <v>273</v>
      </c>
    </row>
    <row r="21143" spans="1:1" ht="12.75">
      <c r="A21143" s="2" t="s">
        <v>272</v>
      </c>
    </row>
    <row r="21144" spans="1:1" ht="12.75">
      <c r="A21144" s="2" t="s">
        <v>272</v>
      </c>
    </row>
    <row r="21145" spans="1:1" ht="12.75">
      <c r="A21145" s="2" t="s">
        <v>269</v>
      </c>
    </row>
    <row r="21146" spans="1:1" ht="12.75">
      <c r="A21146" s="2" t="s">
        <v>269</v>
      </c>
    </row>
    <row r="21147" spans="1:1" ht="12.75">
      <c r="A21147" s="2" t="s">
        <v>273</v>
      </c>
    </row>
    <row r="21148" spans="1:1" ht="12.75">
      <c r="A21148" s="2" t="s">
        <v>268</v>
      </c>
    </row>
    <row r="21149" spans="1:1" ht="12.75">
      <c r="A21149" s="2" t="s">
        <v>865</v>
      </c>
    </row>
    <row r="21150" spans="1:1" ht="12.75">
      <c r="A21150" s="2" t="s">
        <v>270</v>
      </c>
    </row>
    <row r="21354" spans="1:1" ht="12.75">
      <c r="A21354" s="2" t="s">
        <v>341</v>
      </c>
    </row>
    <row r="21356" spans="1:1" ht="12.75">
      <c r="A21356" s="2" t="s">
        <v>867</v>
      </c>
    </row>
    <row r="21357" spans="1:1" ht="12.75">
      <c r="A21357" s="2" t="s">
        <v>867</v>
      </c>
    </row>
    <row r="21358" spans="1:1" ht="12.75">
      <c r="A21358" s="2" t="s">
        <v>868</v>
      </c>
    </row>
    <row r="21364" spans="1:1" ht="12.75">
      <c r="A21364" s="2" t="s">
        <v>869</v>
      </c>
    </row>
    <row r="21365" spans="1:1" ht="12.75">
      <c r="A21365" s="2" t="s">
        <v>869</v>
      </c>
    </row>
    <row r="21366" spans="1:1" ht="12.75">
      <c r="A21366" s="2" t="s">
        <v>869</v>
      </c>
    </row>
    <row r="21367" spans="1:1" ht="12.75">
      <c r="A21367" s="2" t="s">
        <v>869</v>
      </c>
    </row>
    <row r="21368" spans="1:1" ht="12.75">
      <c r="A21368" s="2" t="s">
        <v>869</v>
      </c>
    </row>
    <row r="21402" spans="1:1" ht="12.75">
      <c r="A21402" s="2" t="s">
        <v>675</v>
      </c>
    </row>
    <row r="21403" spans="1:1" ht="12.75">
      <c r="A21403" s="2" t="s">
        <v>675</v>
      </c>
    </row>
    <row r="21404" spans="1:1" ht="12.75">
      <c r="A21404" s="2" t="s">
        <v>675</v>
      </c>
    </row>
    <row r="21405" spans="1:1" ht="12.75">
      <c r="A21405" s="2" t="s">
        <v>675</v>
      </c>
    </row>
    <row r="21406" spans="1:1" ht="12.75">
      <c r="A21406" s="2" t="s">
        <v>675</v>
      </c>
    </row>
    <row r="21407" spans="1:1" ht="12.75">
      <c r="A21407" s="2" t="s">
        <v>675</v>
      </c>
    </row>
    <row r="21408" spans="1:1" ht="12.75">
      <c r="A21408" s="2" t="s">
        <v>547</v>
      </c>
    </row>
    <row r="21409" spans="1:1" ht="12.75">
      <c r="A21409" s="2" t="s">
        <v>547</v>
      </c>
    </row>
    <row r="21410" spans="1:1" ht="12.75">
      <c r="A21410" s="2" t="s">
        <v>547</v>
      </c>
    </row>
    <row r="21411" spans="1:1" ht="12.75">
      <c r="A21411" s="2" t="s">
        <v>547</v>
      </c>
    </row>
    <row r="21412" spans="1:1" ht="12.75">
      <c r="A21412" s="2" t="s">
        <v>547</v>
      </c>
    </row>
    <row r="21413" spans="1:1" ht="12.75">
      <c r="A21413" s="2" t="s">
        <v>547</v>
      </c>
    </row>
    <row r="21414" spans="1:1" ht="12.75">
      <c r="A21414" s="2" t="s">
        <v>547</v>
      </c>
    </row>
    <row r="21415" spans="1:1" ht="12.75">
      <c r="A21415" s="2" t="s">
        <v>675</v>
      </c>
    </row>
    <row r="21416" spans="1:1" ht="12.75">
      <c r="A21416" s="2" t="s">
        <v>514</v>
      </c>
    </row>
    <row r="21417" spans="1:1" ht="12.75">
      <c r="A21417" s="2" t="s">
        <v>514</v>
      </c>
    </row>
    <row r="21418" spans="1:1" ht="12.75">
      <c r="A21418" s="2" t="s">
        <v>576</v>
      </c>
    </row>
    <row r="21419" spans="1:1" ht="12.75">
      <c r="A21419" s="2" t="s">
        <v>576</v>
      </c>
    </row>
    <row r="21420" spans="1:1" ht="12.75">
      <c r="A21420" s="2" t="s">
        <v>576</v>
      </c>
    </row>
    <row r="21421" spans="1:1" ht="12.75">
      <c r="A21421" s="2" t="s">
        <v>870</v>
      </c>
    </row>
    <row r="21422" spans="1:1" ht="12.75">
      <c r="A21422" s="2" t="s">
        <v>576</v>
      </c>
    </row>
    <row r="21423" spans="1:1" ht="12.75">
      <c r="A21423" s="2" t="s">
        <v>675</v>
      </c>
    </row>
    <row r="21424" spans="1:1" ht="12.75">
      <c r="A21424" s="2" t="s">
        <v>675</v>
      </c>
    </row>
    <row r="21425" spans="1:1" ht="12.75">
      <c r="A21425" s="2" t="s">
        <v>675</v>
      </c>
    </row>
    <row r="21426" spans="1:1" ht="12.75">
      <c r="A21426" s="2" t="s">
        <v>514</v>
      </c>
    </row>
    <row r="21427" spans="1:1" ht="12.75">
      <c r="A21427" s="2" t="s">
        <v>514</v>
      </c>
    </row>
    <row r="21428" spans="1:1" ht="12.75">
      <c r="A21428" s="2" t="s">
        <v>547</v>
      </c>
    </row>
    <row r="21429" spans="1:1" ht="12.75">
      <c r="A21429" s="2" t="s">
        <v>547</v>
      </c>
    </row>
    <row r="21430" spans="1:1" ht="12.75">
      <c r="A21430" s="2" t="s">
        <v>547</v>
      </c>
    </row>
    <row r="21431" spans="1:1" ht="12.75">
      <c r="A21431" s="2" t="s">
        <v>547</v>
      </c>
    </row>
    <row r="21432" spans="1:1" ht="12.75">
      <c r="A21432" s="2" t="s">
        <v>576</v>
      </c>
    </row>
    <row r="21433" spans="1:1" ht="12.75">
      <c r="A21433" s="2" t="s">
        <v>547</v>
      </c>
    </row>
    <row r="21434" spans="1:1" ht="12.75">
      <c r="A21434" s="2" t="s">
        <v>576</v>
      </c>
    </row>
    <row r="21435" spans="1:1" ht="12.75">
      <c r="A21435" s="2" t="s">
        <v>576</v>
      </c>
    </row>
    <row r="21436" spans="1:1" ht="12.75">
      <c r="A21436" s="2" t="s">
        <v>547</v>
      </c>
    </row>
    <row r="21437" spans="1:1" ht="12.75">
      <c r="A21437" s="2" t="s">
        <v>547</v>
      </c>
    </row>
    <row r="21438" spans="1:1" ht="12.75">
      <c r="A21438" s="2" t="s">
        <v>675</v>
      </c>
    </row>
    <row r="21439" spans="1:1" ht="12.75">
      <c r="A21439" s="2" t="s">
        <v>675</v>
      </c>
    </row>
    <row r="21440" spans="1:1" ht="12.75">
      <c r="A21440" s="2" t="s">
        <v>675</v>
      </c>
    </row>
    <row r="21441" spans="1:1" ht="12.75">
      <c r="A21441" s="2" t="s">
        <v>675</v>
      </c>
    </row>
    <row r="21442" spans="1:1" ht="12.75">
      <c r="A21442" s="2" t="s">
        <v>799</v>
      </c>
    </row>
    <row r="21443" spans="1:1" ht="12.75">
      <c r="A21443" s="2" t="s">
        <v>512</v>
      </c>
    </row>
    <row r="21444" spans="1:1" ht="12.75">
      <c r="A21444" s="2" t="s">
        <v>547</v>
      </c>
    </row>
    <row r="21445" spans="1:1" ht="12.75">
      <c r="A21445" s="2" t="s">
        <v>547</v>
      </c>
    </row>
    <row r="21446" spans="1:1" ht="12.75">
      <c r="A21446" s="2" t="s">
        <v>547</v>
      </c>
    </row>
    <row r="21447" spans="1:1" ht="12.75">
      <c r="A21447" s="2" t="s">
        <v>547</v>
      </c>
    </row>
    <row r="21448" spans="1:1" ht="12.75">
      <c r="A21448" s="2" t="s">
        <v>871</v>
      </c>
    </row>
    <row r="21449" spans="1:1" ht="12.75">
      <c r="A21449" s="2" t="s">
        <v>796</v>
      </c>
    </row>
    <row r="21450" spans="1:1" ht="12.75">
      <c r="A21450" s="2" t="s">
        <v>514</v>
      </c>
    </row>
    <row r="21451" spans="1:1" ht="12.75">
      <c r="A21451" s="2" t="s">
        <v>576</v>
      </c>
    </row>
    <row r="21452" spans="1:1" ht="12.75">
      <c r="A21452" s="2" t="s">
        <v>547</v>
      </c>
    </row>
    <row r="21453" spans="1:1" ht="12.75">
      <c r="A21453" s="2" t="s">
        <v>512</v>
      </c>
    </row>
    <row r="21454" spans="1:1" ht="12.75">
      <c r="A21454" s="2" t="s">
        <v>512</v>
      </c>
    </row>
    <row r="21455" spans="1:1" ht="12.75">
      <c r="A21455" s="2" t="s">
        <v>570</v>
      </c>
    </row>
    <row r="21456" spans="1:1" ht="12.75">
      <c r="A21456" s="2" t="s">
        <v>512</v>
      </c>
    </row>
    <row r="21457" spans="1:1" ht="12.75">
      <c r="A21457" s="2" t="s">
        <v>799</v>
      </c>
    </row>
    <row r="21458" spans="1:1" ht="12.75">
      <c r="A21458" s="2" t="s">
        <v>512</v>
      </c>
    </row>
    <row r="21459" spans="1:1" ht="12.75">
      <c r="A21459" s="2" t="s">
        <v>512</v>
      </c>
    </row>
    <row r="21460" spans="1:1" ht="12.75">
      <c r="A21460" s="2" t="s">
        <v>547</v>
      </c>
    </row>
    <row r="21461" spans="1:1" ht="12.75">
      <c r="A21461" s="2" t="s">
        <v>512</v>
      </c>
    </row>
    <row r="21462" spans="1:1" ht="12.75">
      <c r="A21462" s="2" t="s">
        <v>547</v>
      </c>
    </row>
    <row r="21463" spans="1:1" ht="12.75">
      <c r="A21463" s="2" t="s">
        <v>512</v>
      </c>
    </row>
    <row r="21464" spans="1:1" ht="12.75">
      <c r="A21464" s="2" t="s">
        <v>547</v>
      </c>
    </row>
    <row r="21465" spans="1:1" ht="12.75">
      <c r="A21465" s="2" t="s">
        <v>512</v>
      </c>
    </row>
    <row r="21466" spans="1:1" ht="12.75">
      <c r="A21466" s="2" t="s">
        <v>675</v>
      </c>
    </row>
    <row r="21467" spans="1:1" ht="12.75">
      <c r="A21467" s="2" t="s">
        <v>547</v>
      </c>
    </row>
    <row r="21468" spans="1:1" ht="12.75">
      <c r="A21468" s="2" t="s">
        <v>675</v>
      </c>
    </row>
    <row r="21469" spans="1:1" ht="12.75">
      <c r="A21469" s="2" t="s">
        <v>547</v>
      </c>
    </row>
    <row r="21470" spans="1:1" ht="12.75">
      <c r="A21470" s="2" t="s">
        <v>514</v>
      </c>
    </row>
    <row r="21471" spans="1:1" ht="12.75">
      <c r="A21471" s="2" t="s">
        <v>675</v>
      </c>
    </row>
    <row r="21472" spans="1:1" ht="12.75">
      <c r="A21472" s="2" t="s">
        <v>799</v>
      </c>
    </row>
    <row r="21473" spans="1:1" ht="12.75">
      <c r="A21473" s="2" t="s">
        <v>547</v>
      </c>
    </row>
    <row r="21474" spans="1:1" ht="12.75">
      <c r="A21474" s="2" t="s">
        <v>675</v>
      </c>
    </row>
    <row r="21475" spans="1:1" ht="12.75">
      <c r="A21475" s="2" t="s">
        <v>512</v>
      </c>
    </row>
    <row r="21476" spans="1:1" ht="12.75">
      <c r="A21476" s="2" t="s">
        <v>675</v>
      </c>
    </row>
    <row r="21477" spans="1:1" ht="12.75">
      <c r="A21477" s="2" t="s">
        <v>512</v>
      </c>
    </row>
    <row r="21479" spans="1:1" ht="12.75">
      <c r="A21479" s="2" t="s">
        <v>796</v>
      </c>
    </row>
    <row r="21480" spans="1:1" ht="12.75">
      <c r="A21480" s="2" t="s">
        <v>512</v>
      </c>
    </row>
    <row r="21481" spans="1:1" ht="12.75">
      <c r="A21481" s="2" t="s">
        <v>675</v>
      </c>
    </row>
    <row r="21483" spans="1:1" ht="12.75">
      <c r="A21483" s="2" t="s">
        <v>675</v>
      </c>
    </row>
    <row r="21484" spans="1:1" ht="12.75">
      <c r="A21484" s="2" t="s">
        <v>512</v>
      </c>
    </row>
    <row r="21485" spans="1:1" ht="12.75">
      <c r="A21485" s="2" t="s">
        <v>512</v>
      </c>
    </row>
    <row r="21486" spans="1:1" ht="12.75">
      <c r="A21486" s="2" t="s">
        <v>799</v>
      </c>
    </row>
    <row r="21487" spans="1:1" ht="12.75">
      <c r="A21487" s="2" t="s">
        <v>514</v>
      </c>
    </row>
    <row r="21488" spans="1:1" ht="12.75">
      <c r="A21488" s="2" t="s">
        <v>512</v>
      </c>
    </row>
    <row r="21489" spans="1:1" ht="12.75">
      <c r="A21489" s="2" t="s">
        <v>547</v>
      </c>
    </row>
    <row r="21490" spans="1:1" ht="12.75">
      <c r="A21490" s="2" t="s">
        <v>675</v>
      </c>
    </row>
    <row r="21491" spans="1:1" ht="12.75">
      <c r="A21491" s="2" t="s">
        <v>547</v>
      </c>
    </row>
    <row r="21492" spans="1:1" ht="12.75">
      <c r="A21492" s="2" t="s">
        <v>675</v>
      </c>
    </row>
    <row r="21493" spans="1:1" ht="12.75">
      <c r="A21493" s="2" t="s">
        <v>547</v>
      </c>
    </row>
    <row r="21494" spans="1:1" ht="12.75">
      <c r="A21494" s="2" t="s">
        <v>675</v>
      </c>
    </row>
    <row r="21495" spans="1:1" ht="12.75">
      <c r="A21495" s="2" t="s">
        <v>547</v>
      </c>
    </row>
    <row r="21496" spans="1:1" ht="12.75">
      <c r="A21496" s="2" t="s">
        <v>512</v>
      </c>
    </row>
    <row r="21497" spans="1:1" ht="12.75">
      <c r="A21497" s="2" t="s">
        <v>675</v>
      </c>
    </row>
    <row r="21498" spans="1:1" ht="12.75">
      <c r="A21498" s="2" t="s">
        <v>547</v>
      </c>
    </row>
    <row r="21499" spans="1:1" ht="12.75">
      <c r="A21499" s="2" t="s">
        <v>547</v>
      </c>
    </row>
    <row r="21500" spans="1:1" ht="12.75">
      <c r="A21500" s="2" t="s">
        <v>547</v>
      </c>
    </row>
    <row r="21501" spans="1:1" ht="12.75">
      <c r="A21501" s="2" t="s">
        <v>675</v>
      </c>
    </row>
    <row r="21502" spans="1:1" ht="12.75">
      <c r="A21502" s="2" t="s">
        <v>296</v>
      </c>
    </row>
    <row r="21503" spans="1:1" ht="12.75">
      <c r="A21503" s="2" t="s">
        <v>296</v>
      </c>
    </row>
    <row r="21504" spans="1:1" ht="12.75">
      <c r="A21504" s="2" t="s">
        <v>288</v>
      </c>
    </row>
    <row r="21505" spans="1:1" ht="12.75">
      <c r="A21505" s="2" t="s">
        <v>288</v>
      </c>
    </row>
    <row r="21506" spans="1:1" ht="12.75">
      <c r="A21506" s="2" t="s">
        <v>288</v>
      </c>
    </row>
    <row r="21507" spans="1:1" ht="12.75">
      <c r="A21507" s="2" t="s">
        <v>288</v>
      </c>
    </row>
    <row r="21508" spans="1:1" ht="12.75">
      <c r="A21508" s="2" t="s">
        <v>288</v>
      </c>
    </row>
    <row r="21509" spans="1:1" ht="12.75">
      <c r="A21509" s="2" t="s">
        <v>288</v>
      </c>
    </row>
    <row r="21510" spans="1:1" ht="12.75">
      <c r="A21510" s="2" t="s">
        <v>288</v>
      </c>
    </row>
    <row r="21511" spans="1:1" ht="12.75">
      <c r="A21511" s="2" t="s">
        <v>296</v>
      </c>
    </row>
    <row r="21512" spans="1:1" ht="12.75">
      <c r="A21512" s="2" t="s">
        <v>288</v>
      </c>
    </row>
    <row r="21513" spans="1:1" ht="12.75">
      <c r="A21513" s="2" t="s">
        <v>288</v>
      </c>
    </row>
    <row r="21514" spans="1:1" ht="12.75">
      <c r="A21514" s="2" t="s">
        <v>288</v>
      </c>
    </row>
    <row r="21515" spans="1:1" ht="12.75">
      <c r="A21515" s="2" t="s">
        <v>288</v>
      </c>
    </row>
    <row r="21516" spans="1:1" ht="12.75">
      <c r="A21516" s="2" t="s">
        <v>288</v>
      </c>
    </row>
    <row r="21517" spans="1:1" ht="12.75">
      <c r="A21517" s="2" t="s">
        <v>288</v>
      </c>
    </row>
    <row r="21518" spans="1:1" ht="12.75">
      <c r="A21518" s="2" t="s">
        <v>296</v>
      </c>
    </row>
    <row r="21519" spans="1:1" ht="12.75">
      <c r="A21519" s="2" t="s">
        <v>288</v>
      </c>
    </row>
    <row r="21520" spans="1:1" ht="12.75">
      <c r="A21520" s="2" t="s">
        <v>296</v>
      </c>
    </row>
    <row r="21521" spans="1:1" ht="12.75">
      <c r="A21521" s="2" t="s">
        <v>296</v>
      </c>
    </row>
    <row r="21522" spans="1:1" ht="12.75">
      <c r="A21522" s="2" t="s">
        <v>288</v>
      </c>
    </row>
    <row r="21523" spans="1:1" ht="12.75">
      <c r="A21523" s="2" t="s">
        <v>288</v>
      </c>
    </row>
    <row r="21524" spans="1:1" ht="12.75">
      <c r="A21524" s="2" t="s">
        <v>296</v>
      </c>
    </row>
    <row r="21525" spans="1:1" ht="12.75">
      <c r="A21525" s="2" t="s">
        <v>296</v>
      </c>
    </row>
    <row r="21526" spans="1:1" ht="12.75">
      <c r="A21526" s="2" t="s">
        <v>288</v>
      </c>
    </row>
    <row r="21527" spans="1:1" ht="12.75">
      <c r="A21527" s="2" t="s">
        <v>288</v>
      </c>
    </row>
    <row r="21528" spans="1:1" ht="12.75">
      <c r="A21528" s="2" t="s">
        <v>288</v>
      </c>
    </row>
    <row r="21529" spans="1:1" ht="12.75">
      <c r="A21529" s="2" t="s">
        <v>288</v>
      </c>
    </row>
    <row r="21530" spans="1:1" ht="12.75">
      <c r="A21530" s="2" t="s">
        <v>288</v>
      </c>
    </row>
    <row r="21531" spans="1:1" ht="12.75">
      <c r="A21531" s="2" t="s">
        <v>288</v>
      </c>
    </row>
    <row r="21532" spans="1:1" ht="12.75">
      <c r="A21532" s="2" t="s">
        <v>288</v>
      </c>
    </row>
    <row r="21533" spans="1:1" ht="12.75">
      <c r="A21533" s="2" t="s">
        <v>288</v>
      </c>
    </row>
    <row r="21534" spans="1:1" ht="12.75">
      <c r="A21534" s="2" t="s">
        <v>288</v>
      </c>
    </row>
    <row r="21535" spans="1:1" ht="12.75">
      <c r="A21535" s="2" t="s">
        <v>288</v>
      </c>
    </row>
    <row r="21536" spans="1:1" ht="12.75">
      <c r="A21536" s="2" t="s">
        <v>288</v>
      </c>
    </row>
    <row r="21537" spans="1:1" ht="12.75">
      <c r="A21537" s="2" t="s">
        <v>288</v>
      </c>
    </row>
    <row r="21538" spans="1:1" ht="12.75">
      <c r="A21538" s="2" t="s">
        <v>872</v>
      </c>
    </row>
    <row r="21539" spans="1:1" ht="12.75">
      <c r="A21539" s="2" t="s">
        <v>288</v>
      </c>
    </row>
    <row r="21541" spans="1:1" ht="12.75">
      <c r="A21541" s="2" t="s">
        <v>296</v>
      </c>
    </row>
    <row r="21542" spans="1:1" ht="12.75">
      <c r="A21542" s="2" t="s">
        <v>288</v>
      </c>
    </row>
    <row r="21543" spans="1:1" ht="12.75">
      <c r="A21543" s="2" t="s">
        <v>288</v>
      </c>
    </row>
    <row r="21544" spans="1:1" ht="12.75">
      <c r="A21544" s="2" t="s">
        <v>288</v>
      </c>
    </row>
    <row r="21545" spans="1:1" ht="12.75">
      <c r="A21545" s="2" t="s">
        <v>288</v>
      </c>
    </row>
    <row r="21546" spans="1:1" ht="12.75">
      <c r="A21546" s="2" t="s">
        <v>288</v>
      </c>
    </row>
    <row r="21548" spans="1:1" ht="12.75">
      <c r="A21548" s="2" t="s">
        <v>288</v>
      </c>
    </row>
    <row r="21549" spans="1:1" ht="12.75">
      <c r="A21549" s="2" t="s">
        <v>288</v>
      </c>
    </row>
    <row r="21550" spans="1:1" ht="12.75">
      <c r="A21550" s="2" t="s">
        <v>288</v>
      </c>
    </row>
    <row r="21551" spans="1:1" ht="12.75">
      <c r="A21551" s="2" t="s">
        <v>288</v>
      </c>
    </row>
    <row r="21602" spans="1:1" ht="12.75">
      <c r="A21602" s="2" t="s">
        <v>873</v>
      </c>
    </row>
    <row r="21606" spans="1:1" ht="12.75">
      <c r="A21606" s="2" t="s">
        <v>341</v>
      </c>
    </row>
    <row r="21607" spans="1:1" ht="12.75">
      <c r="A21607" s="2" t="s">
        <v>342</v>
      </c>
    </row>
    <row r="21608" spans="1:1" ht="12.75">
      <c r="A21608" s="2" t="s">
        <v>341</v>
      </c>
    </row>
    <row r="21610" spans="1:1" ht="12.75">
      <c r="A21610" s="2" t="s">
        <v>874</v>
      </c>
    </row>
    <row r="21611" spans="1:1" ht="12.75">
      <c r="A21611" s="2" t="s">
        <v>874</v>
      </c>
    </row>
    <row r="21612" spans="1:1" ht="12.75">
      <c r="A21612" s="2" t="s">
        <v>341</v>
      </c>
    </row>
    <row r="21614" spans="1:1" ht="12.75">
      <c r="A21614" s="2" t="s">
        <v>698</v>
      </c>
    </row>
    <row r="21615" spans="1:1" ht="12.75">
      <c r="A21615" s="2" t="s">
        <v>222</v>
      </c>
    </row>
    <row r="21616" spans="1:1" ht="12.75">
      <c r="A21616" s="2" t="s">
        <v>222</v>
      </c>
    </row>
    <row r="21617" spans="1:1" ht="12.75">
      <c r="A21617" s="2" t="s">
        <v>875</v>
      </c>
    </row>
    <row r="21618" spans="1:1" ht="12.75">
      <c r="A21618" s="2" t="s">
        <v>222</v>
      </c>
    </row>
    <row r="21619" spans="1:1" ht="12.75">
      <c r="A21619" s="2">
        <v>8304</v>
      </c>
    </row>
    <row r="21620" spans="1:1" ht="12.75">
      <c r="A21620" s="2" t="s">
        <v>222</v>
      </c>
    </row>
    <row r="21621" spans="1:1" ht="12.75">
      <c r="A21621" s="2" t="s">
        <v>222</v>
      </c>
    </row>
    <row r="21622" spans="1:1" ht="12.75">
      <c r="A21622" s="2" t="s">
        <v>222</v>
      </c>
    </row>
    <row r="21623" spans="1:1" ht="12.75">
      <c r="A21623" s="2" t="s">
        <v>222</v>
      </c>
    </row>
    <row r="21624" spans="1:1" ht="12.75">
      <c r="A21624" s="2" t="s">
        <v>222</v>
      </c>
    </row>
    <row r="21625" spans="1:1" ht="12.75">
      <c r="A21625" s="2" t="s">
        <v>226</v>
      </c>
    </row>
    <row r="21626" spans="1:1" ht="12.75">
      <c r="A21626" s="2" t="s">
        <v>226</v>
      </c>
    </row>
    <row r="21627" spans="1:1" ht="12.75">
      <c r="A21627" s="2" t="s">
        <v>226</v>
      </c>
    </row>
    <row r="21628" spans="1:1" ht="12.75">
      <c r="A21628" s="2" t="s">
        <v>226</v>
      </c>
    </row>
    <row r="21629" spans="1:1" ht="12.75">
      <c r="A21629" s="2" t="s">
        <v>226</v>
      </c>
    </row>
    <row r="21630" spans="1:1" ht="12.75">
      <c r="A21630" s="2" t="s">
        <v>226</v>
      </c>
    </row>
    <row r="21631" spans="1:1" ht="12.75">
      <c r="A21631" s="2" t="s">
        <v>552</v>
      </c>
    </row>
    <row r="21632" spans="1:1" ht="12.75">
      <c r="A21632" s="2" t="s">
        <v>876</v>
      </c>
    </row>
    <row r="21633" spans="1:1" ht="12.75">
      <c r="A21633" s="2" t="s">
        <v>226</v>
      </c>
    </row>
    <row r="21634" spans="1:1" ht="12.75">
      <c r="A21634" s="2" t="s">
        <v>226</v>
      </c>
    </row>
    <row r="21636" spans="1:1" ht="12.75">
      <c r="A21636" s="2" t="s">
        <v>226</v>
      </c>
    </row>
    <row r="21637" spans="1:1" ht="12.75">
      <c r="A21637" s="2" t="s">
        <v>876</v>
      </c>
    </row>
    <row r="21638" spans="1:1" ht="12.75">
      <c r="A21638" s="2" t="s">
        <v>552</v>
      </c>
    </row>
    <row r="21639" spans="1:1" ht="12.75">
      <c r="A21639" s="2" t="s">
        <v>226</v>
      </c>
    </row>
    <row r="21640" spans="1:1" ht="12.75">
      <c r="A21640" s="2" t="s">
        <v>226</v>
      </c>
    </row>
    <row r="21641" spans="1:1" ht="12.75">
      <c r="A21641" s="2" t="s">
        <v>876</v>
      </c>
    </row>
    <row r="21642" spans="1:1" ht="12.75">
      <c r="A21642" s="2" t="s">
        <v>876</v>
      </c>
    </row>
    <row r="21643" spans="1:1" ht="12.75">
      <c r="A21643" s="2" t="s">
        <v>877</v>
      </c>
    </row>
    <row r="21644" spans="1:1" ht="12.75">
      <c r="A21644" s="2" t="s">
        <v>226</v>
      </c>
    </row>
    <row r="21646" spans="1:1" ht="12.75">
      <c r="A21646" s="2" t="s">
        <v>878</v>
      </c>
    </row>
    <row r="21648" spans="1:1" ht="12.75">
      <c r="A21648" s="2" t="s">
        <v>294</v>
      </c>
    </row>
    <row r="21649" spans="1:1" ht="12.75">
      <c r="A21649" s="2" t="s">
        <v>294</v>
      </c>
    </row>
    <row r="21650" spans="1:1" ht="12.75">
      <c r="A21650" s="2" t="s">
        <v>294</v>
      </c>
    </row>
    <row r="21651" spans="1:1" ht="12.75">
      <c r="A21651" s="2" t="s">
        <v>879</v>
      </c>
    </row>
    <row r="21652" spans="1:1" ht="12.75">
      <c r="A21652" s="2" t="s">
        <v>294</v>
      </c>
    </row>
    <row r="21653" spans="1:1" ht="12.75">
      <c r="A21653" s="2" t="s">
        <v>294</v>
      </c>
    </row>
    <row r="21655" spans="1:1" ht="12.75">
      <c r="A21655" s="2" t="s">
        <v>880</v>
      </c>
    </row>
    <row r="21657" spans="1:1" ht="12.75">
      <c r="A21657" s="2" t="s">
        <v>881</v>
      </c>
    </row>
    <row r="21658" spans="1:1" ht="12.75">
      <c r="A21658" s="2" t="s">
        <v>882</v>
      </c>
    </row>
    <row r="21659" spans="1:1" ht="12.75">
      <c r="A21659" s="2" t="s">
        <v>883</v>
      </c>
    </row>
    <row r="21660" spans="1:1" ht="12.75">
      <c r="A21660" s="2" t="s">
        <v>883</v>
      </c>
    </row>
    <row r="21662" spans="1:1" ht="12.75">
      <c r="A21662" s="2" t="s">
        <v>884</v>
      </c>
    </row>
    <row r="21663" spans="1:1" ht="12.75">
      <c r="A21663" s="2" t="s">
        <v>558</v>
      </c>
    </row>
    <row r="21664" spans="1:1" ht="12.75">
      <c r="A21664" s="2" t="s">
        <v>885</v>
      </c>
    </row>
    <row r="21665" spans="1:1" ht="12.75">
      <c r="A21665" s="2" t="s">
        <v>558</v>
      </c>
    </row>
    <row r="21666" spans="1:1" ht="12.75">
      <c r="A21666" s="2" t="s">
        <v>558</v>
      </c>
    </row>
    <row r="21667" spans="1:1" ht="12.75">
      <c r="A21667" s="2" t="s">
        <v>886</v>
      </c>
    </row>
    <row r="21668" spans="1:1" ht="12.75">
      <c r="A21668" s="2" t="s">
        <v>887</v>
      </c>
    </row>
    <row r="21669" spans="1:1" ht="12.75">
      <c r="A21669" s="2" t="s">
        <v>558</v>
      </c>
    </row>
    <row r="21670" spans="1:1" ht="12.75">
      <c r="A21670" s="2" t="s">
        <v>884</v>
      </c>
    </row>
    <row r="21671" spans="1:1" ht="12.75">
      <c r="A21671" s="2" t="s">
        <v>888</v>
      </c>
    </row>
    <row r="21672" spans="1:1" ht="12.75">
      <c r="A21672" s="2" t="s">
        <v>558</v>
      </c>
    </row>
    <row r="21673" spans="1:1" ht="12.75">
      <c r="A21673" s="2" t="s">
        <v>558</v>
      </c>
    </row>
    <row r="21674" spans="1:1" ht="12.75">
      <c r="A21674" s="2" t="s">
        <v>886</v>
      </c>
    </row>
    <row r="21675" spans="1:1" ht="12.75">
      <c r="A21675" s="2" t="s">
        <v>888</v>
      </c>
    </row>
    <row r="21676" spans="1:1" ht="12.75">
      <c r="A21676" s="2" t="s">
        <v>885</v>
      </c>
    </row>
    <row r="21677" spans="1:1" ht="12.75">
      <c r="A21677" s="2" t="s">
        <v>886</v>
      </c>
    </row>
    <row r="21678" spans="1:1" ht="12.75">
      <c r="A21678" s="2" t="s">
        <v>888</v>
      </c>
    </row>
    <row r="21679" spans="1:1" ht="12.75">
      <c r="A21679" s="2" t="s">
        <v>558</v>
      </c>
    </row>
    <row r="21680" spans="1:1" ht="12.75">
      <c r="A21680" s="2" t="s">
        <v>558</v>
      </c>
    </row>
    <row r="21681" spans="1:1" ht="12.75">
      <c r="A21681" s="2" t="s">
        <v>886</v>
      </c>
    </row>
    <row r="21682" spans="1:1" ht="12.75">
      <c r="A21682" s="2" t="s">
        <v>885</v>
      </c>
    </row>
    <row r="21683" spans="1:1" ht="12.75">
      <c r="A21683" s="2" t="s">
        <v>885</v>
      </c>
    </row>
    <row r="21684" spans="1:1" ht="12.75">
      <c r="A21684" s="2" t="s">
        <v>558</v>
      </c>
    </row>
    <row r="21685" spans="1:1" ht="12.75">
      <c r="A21685" s="2" t="s">
        <v>558</v>
      </c>
    </row>
    <row r="21686" spans="1:1" ht="12.75">
      <c r="A21686" s="2" t="s">
        <v>889</v>
      </c>
    </row>
    <row r="21687" spans="1:1" ht="12.75">
      <c r="A21687" s="2" t="s">
        <v>884</v>
      </c>
    </row>
    <row r="21688" spans="1:1" ht="12.75">
      <c r="A21688" s="2" t="s">
        <v>886</v>
      </c>
    </row>
    <row r="21690" spans="1:1" ht="12.75">
      <c r="A21690" s="2" t="s">
        <v>888</v>
      </c>
    </row>
    <row r="21692" spans="1:1" ht="12.75">
      <c r="A21692" s="2" t="s">
        <v>888</v>
      </c>
    </row>
    <row r="21693" spans="1:1" ht="12.75">
      <c r="A21693" s="2" t="s">
        <v>558</v>
      </c>
    </row>
    <row r="21694" spans="1:1" ht="12.75">
      <c r="A21694" s="2" t="s">
        <v>558</v>
      </c>
    </row>
    <row r="21695" spans="1:1" ht="12.75">
      <c r="A21695" s="2" t="s">
        <v>651</v>
      </c>
    </row>
    <row r="21696" spans="1:1" ht="12.75">
      <c r="A21696" s="2" t="s">
        <v>558</v>
      </c>
    </row>
    <row r="21697" spans="1:1" ht="12.75">
      <c r="A21697" s="2" t="s">
        <v>884</v>
      </c>
    </row>
    <row r="21698" spans="1:1" ht="12.75">
      <c r="A21698" s="2" t="s">
        <v>558</v>
      </c>
    </row>
    <row r="21703" spans="1:1" ht="12.75">
      <c r="A21703" s="2" t="s">
        <v>558</v>
      </c>
    </row>
    <row r="21704" spans="1:1" ht="12.75">
      <c r="A21704" s="2" t="s">
        <v>888</v>
      </c>
    </row>
    <row r="21705" spans="1:1" ht="12.75">
      <c r="A21705" s="2" t="s">
        <v>888</v>
      </c>
    </row>
    <row r="21706" spans="1:1" ht="12.75">
      <c r="A21706" s="2" t="s">
        <v>888</v>
      </c>
    </row>
    <row r="21707" spans="1:1" ht="12.75">
      <c r="A21707" s="2" t="s">
        <v>890</v>
      </c>
    </row>
    <row r="21717" spans="1:1" ht="12.75">
      <c r="A21717" s="2" t="s">
        <v>257</v>
      </c>
    </row>
    <row r="21718" spans="1:1" ht="12.75">
      <c r="A21718" s="2" t="s">
        <v>258</v>
      </c>
    </row>
    <row r="21719" spans="1:1" ht="12.75">
      <c r="A21719" s="2" t="s">
        <v>258</v>
      </c>
    </row>
    <row r="21720" spans="1:1" ht="12.75">
      <c r="A21720" s="2" t="s">
        <v>257</v>
      </c>
    </row>
    <row r="21721" spans="1:1" ht="12.75">
      <c r="A21721" s="2" t="s">
        <v>260</v>
      </c>
    </row>
    <row r="21722" spans="1:1" ht="12.75">
      <c r="A21722" s="2" t="s">
        <v>257</v>
      </c>
    </row>
    <row r="21723" spans="1:1" ht="12.75">
      <c r="A21723" s="2" t="s">
        <v>258</v>
      </c>
    </row>
    <row r="21724" spans="1:1" ht="12.75">
      <c r="A21724" s="2" t="s">
        <v>258</v>
      </c>
    </row>
    <row r="21725" spans="1:1" ht="12.75">
      <c r="A21725" s="2" t="s">
        <v>258</v>
      </c>
    </row>
    <row r="21726" spans="1:1" ht="12.75">
      <c r="A21726" s="2" t="s">
        <v>257</v>
      </c>
    </row>
    <row r="21727" spans="1:1" ht="12.75">
      <c r="A21727" s="2" t="s">
        <v>260</v>
      </c>
    </row>
    <row r="21748" spans="1:1" ht="12.75">
      <c r="A21748" s="2" t="s">
        <v>222</v>
      </c>
    </row>
    <row r="21749" spans="1:1" ht="12.75">
      <c r="A21749" s="2" t="s">
        <v>222</v>
      </c>
    </row>
    <row r="21750" spans="1:1" ht="12.75">
      <c r="A21750" s="2" t="s">
        <v>222</v>
      </c>
    </row>
    <row r="21751" spans="1:1" ht="12.75">
      <c r="A21751" s="2" t="s">
        <v>222</v>
      </c>
    </row>
    <row r="21752" spans="1:1" ht="12.75">
      <c r="A21752" s="2" t="s">
        <v>222</v>
      </c>
    </row>
    <row r="21753" spans="1:1" ht="12.75">
      <c r="A21753" s="2" t="s">
        <v>222</v>
      </c>
    </row>
    <row r="21754" spans="1:1" ht="12.75">
      <c r="A21754" s="2" t="s">
        <v>222</v>
      </c>
    </row>
    <row r="21755" spans="1:1" ht="12.75">
      <c r="A21755" s="2" t="s">
        <v>222</v>
      </c>
    </row>
    <row r="21756" spans="1:1" ht="12.75">
      <c r="A21756" s="2" t="s">
        <v>222</v>
      </c>
    </row>
    <row r="21757" spans="1:1" ht="12.75">
      <c r="A21757" s="2" t="s">
        <v>222</v>
      </c>
    </row>
    <row r="21758" spans="1:1" ht="12.75">
      <c r="A21758" s="2" t="s">
        <v>222</v>
      </c>
    </row>
    <row r="21759" spans="1:1" ht="12.75">
      <c r="A21759" s="2" t="s">
        <v>222</v>
      </c>
    </row>
    <row r="21760" spans="1:1" ht="12.75">
      <c r="A21760" s="2" t="s">
        <v>222</v>
      </c>
    </row>
    <row r="21761" spans="1:1" ht="12.75">
      <c r="A21761" s="2" t="s">
        <v>222</v>
      </c>
    </row>
    <row r="21762" spans="1:1" ht="12.75">
      <c r="A21762" s="2" t="s">
        <v>222</v>
      </c>
    </row>
    <row r="21763" spans="1:1" ht="12.75">
      <c r="A21763" s="2" t="s">
        <v>222</v>
      </c>
    </row>
    <row r="21764" spans="1:1" ht="12.75">
      <c r="A21764" s="2" t="s">
        <v>222</v>
      </c>
    </row>
    <row r="21765" spans="1:1" ht="12.75">
      <c r="A21765" s="2" t="s">
        <v>222</v>
      </c>
    </row>
    <row r="21766" spans="1:1" ht="12.75">
      <c r="A21766" s="2" t="s">
        <v>222</v>
      </c>
    </row>
    <row r="21767" spans="1:1" ht="12.75">
      <c r="A21767" s="2" t="s">
        <v>222</v>
      </c>
    </row>
    <row r="21768" spans="1:1" ht="12.75">
      <c r="A21768" s="2" t="s">
        <v>222</v>
      </c>
    </row>
    <row r="21769" spans="1:1" ht="12.75">
      <c r="A21769" s="2" t="s">
        <v>222</v>
      </c>
    </row>
    <row r="21770" spans="1:1" ht="12.75">
      <c r="A21770" s="2" t="s">
        <v>222</v>
      </c>
    </row>
    <row r="21771" spans="1:1" ht="12.75">
      <c r="A21771" s="2" t="s">
        <v>222</v>
      </c>
    </row>
    <row r="21772" spans="1:1" ht="12.75">
      <c r="A21772" s="2" t="s">
        <v>222</v>
      </c>
    </row>
    <row r="21773" spans="1:1" ht="12.75">
      <c r="A21773" s="2" t="s">
        <v>222</v>
      </c>
    </row>
    <row r="21774" spans="1:1" ht="12.75">
      <c r="A21774" s="2" t="s">
        <v>222</v>
      </c>
    </row>
    <row r="21775" spans="1:1" ht="12.75">
      <c r="A21775" s="2" t="s">
        <v>222</v>
      </c>
    </row>
    <row r="21776" spans="1:1" ht="12.75">
      <c r="A21776" s="2" t="s">
        <v>222</v>
      </c>
    </row>
    <row r="21777" spans="1:1" ht="12.75">
      <c r="A21777" s="2" t="s">
        <v>222</v>
      </c>
    </row>
    <row r="21778" spans="1:1" ht="12.75">
      <c r="A21778" s="2" t="s">
        <v>222</v>
      </c>
    </row>
    <row r="21779" spans="1:1" ht="12.75">
      <c r="A21779" s="2" t="s">
        <v>222</v>
      </c>
    </row>
    <row r="21780" spans="1:1" ht="12.75">
      <c r="A21780" s="2" t="s">
        <v>222</v>
      </c>
    </row>
    <row r="21781" spans="1:1" ht="12.75">
      <c r="A21781" s="2" t="s">
        <v>222</v>
      </c>
    </row>
    <row r="21782" spans="1:1" ht="12.75">
      <c r="A21782" s="2" t="s">
        <v>222</v>
      </c>
    </row>
    <row r="21783" spans="1:1" ht="12.75">
      <c r="A21783" s="2" t="s">
        <v>222</v>
      </c>
    </row>
    <row r="21784" spans="1:1" ht="12.75">
      <c r="A21784" s="2" t="s">
        <v>222</v>
      </c>
    </row>
    <row r="21785" spans="1:1" ht="12.75">
      <c r="A21785" s="2" t="s">
        <v>222</v>
      </c>
    </row>
    <row r="21786" spans="1:1" ht="12.75">
      <c r="A21786" s="2" t="s">
        <v>222</v>
      </c>
    </row>
    <row r="21787" spans="1:1" ht="12.75">
      <c r="A21787" s="2">
        <v>8304</v>
      </c>
    </row>
    <row r="21788" spans="1:1" ht="12.75">
      <c r="A21788" s="2" t="s">
        <v>222</v>
      </c>
    </row>
    <row r="21789" spans="1:1" ht="12.75">
      <c r="A21789" s="2" t="s">
        <v>222</v>
      </c>
    </row>
    <row r="21790" spans="1:1" ht="12.75">
      <c r="A21790" s="2" t="s">
        <v>222</v>
      </c>
    </row>
    <row r="21791" spans="1:1" ht="12.75">
      <c r="A21791" s="2" t="s">
        <v>222</v>
      </c>
    </row>
    <row r="21792" spans="1:1" ht="12.75">
      <c r="A21792" s="2" t="s">
        <v>222</v>
      </c>
    </row>
    <row r="21793" spans="1:1" ht="12.75">
      <c r="A21793" s="2" t="s">
        <v>222</v>
      </c>
    </row>
    <row r="21794" spans="1:1" ht="12.75">
      <c r="A21794" s="2" t="s">
        <v>222</v>
      </c>
    </row>
    <row r="21795" spans="1:1" ht="12.75">
      <c r="A21795" s="2" t="s">
        <v>222</v>
      </c>
    </row>
    <row r="21796" spans="1:1" ht="12.75">
      <c r="A21796" s="2" t="s">
        <v>222</v>
      </c>
    </row>
    <row r="21797" spans="1:1" ht="12.75">
      <c r="A21797" s="2" t="s">
        <v>222</v>
      </c>
    </row>
    <row r="21798" spans="1:1" ht="12.75">
      <c r="A21798" s="2" t="s">
        <v>217</v>
      </c>
    </row>
    <row r="21799" spans="1:1" ht="12.75">
      <c r="A21799" s="2" t="s">
        <v>217</v>
      </c>
    </row>
    <row r="21800" spans="1:1" ht="12.75">
      <c r="A21800" s="2" t="s">
        <v>891</v>
      </c>
    </row>
    <row r="21801" spans="1:1" ht="12.75">
      <c r="A21801" s="2" t="s">
        <v>388</v>
      </c>
    </row>
    <row r="21802" spans="1:1" ht="12.75">
      <c r="A21802" s="2" t="s">
        <v>388</v>
      </c>
    </row>
    <row r="21803" spans="1:1" ht="12.75">
      <c r="A21803" s="2" t="s">
        <v>388</v>
      </c>
    </row>
    <row r="21804" spans="1:1" ht="12.75">
      <c r="A21804" s="2" t="s">
        <v>388</v>
      </c>
    </row>
    <row r="21805" spans="1:1" ht="12.75">
      <c r="A21805" s="2" t="s">
        <v>388</v>
      </c>
    </row>
    <row r="21806" spans="1:1" ht="12.75">
      <c r="A21806" s="2" t="s">
        <v>892</v>
      </c>
    </row>
    <row r="21807" spans="1:1" ht="12.75">
      <c r="A21807" s="2" t="s">
        <v>388</v>
      </c>
    </row>
    <row r="21808" spans="1:1" ht="12.75">
      <c r="A21808" s="2" t="s">
        <v>388</v>
      </c>
    </row>
    <row r="21809" spans="1:1" ht="12.75">
      <c r="A21809" s="2" t="s">
        <v>388</v>
      </c>
    </row>
    <row r="21811" spans="1:1" ht="12.75">
      <c r="A21811" s="2" t="s">
        <v>893</v>
      </c>
    </row>
    <row r="21813" spans="1:1" ht="12.75">
      <c r="A21813" s="2" t="s">
        <v>198</v>
      </c>
    </row>
    <row r="21814" spans="1:1" ht="12.75">
      <c r="A21814" s="2" t="s">
        <v>281</v>
      </c>
    </row>
    <row r="21815" spans="1:1" ht="12.75">
      <c r="A21815" s="2" t="s">
        <v>283</v>
      </c>
    </row>
    <row r="21816" spans="1:1" ht="12.75">
      <c r="A21816" s="2" t="s">
        <v>281</v>
      </c>
    </row>
    <row r="21817" spans="1:1" ht="12.75">
      <c r="A21817" s="2" t="s">
        <v>281</v>
      </c>
    </row>
    <row r="21818" spans="1:1" ht="12.75">
      <c r="A21818" s="2" t="s">
        <v>894</v>
      </c>
    </row>
    <row r="21819" spans="1:1" ht="12.75">
      <c r="A21819" s="2" t="s">
        <v>894</v>
      </c>
    </row>
    <row r="21820" spans="1:1" ht="12.75">
      <c r="A21820" s="2" t="s">
        <v>428</v>
      </c>
    </row>
    <row r="21821" spans="1:1" ht="12.75">
      <c r="A21821" s="2" t="s">
        <v>701</v>
      </c>
    </row>
    <row r="21822" spans="1:1" ht="12.75">
      <c r="A21822" s="2" t="s">
        <v>581</v>
      </c>
    </row>
    <row r="21823" spans="1:1" ht="12.75">
      <c r="A21823" s="2" t="s">
        <v>895</v>
      </c>
    </row>
    <row r="21824" spans="1:1" ht="12.75">
      <c r="A21824" s="2" t="s">
        <v>331</v>
      </c>
    </row>
    <row r="21825" spans="1:1" ht="12.75">
      <c r="A21825" s="2" t="s">
        <v>331</v>
      </c>
    </row>
    <row r="21826" spans="1:1" ht="12.75">
      <c r="A21826" s="2" t="s">
        <v>331</v>
      </c>
    </row>
    <row r="21827" spans="1:1" ht="12.75">
      <c r="A21827" s="2" t="s">
        <v>331</v>
      </c>
    </row>
    <row r="21828" spans="1:1" ht="12.75">
      <c r="A21828" s="2" t="s">
        <v>331</v>
      </c>
    </row>
    <row r="21829" spans="1:1" ht="12.75">
      <c r="A21829" s="2" t="s">
        <v>331</v>
      </c>
    </row>
    <row r="21830" spans="1:1" ht="12.75">
      <c r="A21830" s="2" t="s">
        <v>896</v>
      </c>
    </row>
    <row r="21831" spans="1:1" ht="12.75">
      <c r="A21831" s="2" t="s">
        <v>331</v>
      </c>
    </row>
    <row r="21832" spans="1:1" ht="12.75">
      <c r="A21832" s="2" t="s">
        <v>897</v>
      </c>
    </row>
    <row r="21833" spans="1:1" ht="12.75">
      <c r="A21833" s="2" t="s">
        <v>331</v>
      </c>
    </row>
    <row r="21834" spans="1:1" ht="12.75">
      <c r="A21834" s="2" t="s">
        <v>331</v>
      </c>
    </row>
    <row r="21835" spans="1:1" ht="12.75">
      <c r="A21835" s="2" t="s">
        <v>331</v>
      </c>
    </row>
    <row r="21836" spans="1:1" ht="12.75">
      <c r="A21836" s="2" t="s">
        <v>331</v>
      </c>
    </row>
    <row r="21837" spans="1:1" ht="12.75">
      <c r="A21837" s="2" t="s">
        <v>331</v>
      </c>
    </row>
    <row r="21838" spans="1:1" ht="12.75">
      <c r="A21838" s="2" t="s">
        <v>331</v>
      </c>
    </row>
    <row r="21839" spans="1:1" ht="12.75">
      <c r="A21839" s="2" t="s">
        <v>331</v>
      </c>
    </row>
    <row r="21840" spans="1:1" ht="12.75">
      <c r="A21840" s="2" t="s">
        <v>331</v>
      </c>
    </row>
    <row r="21841" spans="1:1" ht="12.75">
      <c r="A21841" s="2" t="s">
        <v>331</v>
      </c>
    </row>
    <row r="21842" spans="1:1" ht="12.75">
      <c r="A21842" s="2" t="s">
        <v>331</v>
      </c>
    </row>
    <row r="21843" spans="1:1" ht="12.75">
      <c r="A21843" s="2" t="s">
        <v>331</v>
      </c>
    </row>
    <row r="21845" spans="1:1" ht="12.75">
      <c r="A21845" s="2" t="s">
        <v>592</v>
      </c>
    </row>
    <row r="21846" spans="1:1" ht="12.75">
      <c r="A21846" s="2" t="s">
        <v>898</v>
      </c>
    </row>
    <row r="21847" spans="1:1" ht="12.75">
      <c r="A21847" s="2" t="s">
        <v>155</v>
      </c>
    </row>
    <row r="21848" spans="1:1" ht="12.75">
      <c r="A21848" s="2" t="s">
        <v>676</v>
      </c>
    </row>
    <row r="21849" spans="1:1" ht="12.75">
      <c r="A21849" s="2" t="s">
        <v>155</v>
      </c>
    </row>
    <row r="21850" spans="1:1" ht="12.75">
      <c r="A21850" s="2" t="s">
        <v>155</v>
      </c>
    </row>
    <row r="21851" spans="1:1" ht="12.75">
      <c r="A21851" s="2" t="s">
        <v>217</v>
      </c>
    </row>
    <row r="21852" spans="1:1" ht="12.75">
      <c r="A21852" s="2" t="s">
        <v>217</v>
      </c>
    </row>
    <row r="21853" spans="1:1" ht="12.75">
      <c r="A21853" s="2" t="s">
        <v>217</v>
      </c>
    </row>
    <row r="21854" spans="1:1" ht="12.75">
      <c r="A21854" s="2" t="s">
        <v>217</v>
      </c>
    </row>
    <row r="21855" spans="1:1" ht="12.75">
      <c r="A21855" s="2" t="s">
        <v>216</v>
      </c>
    </row>
    <row r="21856" spans="1:1" ht="12.75">
      <c r="A21856" s="2" t="s">
        <v>651</v>
      </c>
    </row>
    <row r="21857" spans="1:1" ht="12.75">
      <c r="A21857" s="2" t="s">
        <v>651</v>
      </c>
    </row>
    <row r="21858" spans="1:1" ht="12.75">
      <c r="A21858" s="2" t="s">
        <v>651</v>
      </c>
    </row>
    <row r="21859" spans="1:1" ht="12.75">
      <c r="A21859" s="2" t="s">
        <v>651</v>
      </c>
    </row>
    <row r="21860" spans="1:1" ht="12.75">
      <c r="A21860" s="2" t="s">
        <v>651</v>
      </c>
    </row>
    <row r="21861" spans="1:1" ht="12.75">
      <c r="A21861" s="2" t="s">
        <v>651</v>
      </c>
    </row>
    <row r="21862" spans="1:1" ht="12.75">
      <c r="A21862" s="2" t="s">
        <v>651</v>
      </c>
    </row>
    <row r="21863" spans="1:1" ht="12.75">
      <c r="A21863" s="2" t="s">
        <v>651</v>
      </c>
    </row>
    <row r="21864" spans="1:1" ht="12.75">
      <c r="A21864" s="2" t="s">
        <v>651</v>
      </c>
    </row>
    <row r="21865" spans="1:1" ht="12.75">
      <c r="A21865" s="2" t="s">
        <v>651</v>
      </c>
    </row>
    <row r="21866" spans="1:1" ht="12.75">
      <c r="A21866" s="2" t="s">
        <v>568</v>
      </c>
    </row>
    <row r="21868" spans="1:1" ht="12.75">
      <c r="A21868" s="2" t="s">
        <v>234</v>
      </c>
    </row>
    <row r="21869" spans="1:1" ht="12.75">
      <c r="A21869" s="2" t="s">
        <v>234</v>
      </c>
    </row>
    <row r="21870" spans="1:1" ht="12.75">
      <c r="A21870" s="2" t="s">
        <v>234</v>
      </c>
    </row>
    <row r="21873" spans="1:1" ht="12.75">
      <c r="A21873" s="2" t="s">
        <v>804</v>
      </c>
    </row>
    <row r="21874" spans="1:1" ht="12.75">
      <c r="A21874" s="2" t="s">
        <v>804</v>
      </c>
    </row>
    <row r="21875" spans="1:1" ht="12.75">
      <c r="A21875" s="2" t="s">
        <v>899</v>
      </c>
    </row>
    <row r="21876" spans="1:1" ht="12.75">
      <c r="A21876" s="2" t="s">
        <v>900</v>
      </c>
    </row>
    <row r="21878" spans="1:1" ht="12.75">
      <c r="A21878" s="2" t="s">
        <v>804</v>
      </c>
    </row>
    <row r="21879" spans="1:1" ht="12.75">
      <c r="A21879" s="2" t="s">
        <v>901</v>
      </c>
    </row>
    <row r="21880" spans="1:1" ht="12.75">
      <c r="A21880" s="2" t="s">
        <v>900</v>
      </c>
    </row>
    <row r="21881" spans="1:1" ht="12.75">
      <c r="A21881" s="2" t="s">
        <v>899</v>
      </c>
    </row>
    <row r="21882" spans="1:1" ht="12.75">
      <c r="A21882" s="2" t="s">
        <v>900</v>
      </c>
    </row>
    <row r="21885" spans="1:1" ht="12.75">
      <c r="A21885" s="2" t="s">
        <v>688</v>
      </c>
    </row>
    <row r="21889" spans="1:1" ht="12.75">
      <c r="A21889" s="2" t="s">
        <v>900</v>
      </c>
    </row>
    <row r="21890" spans="1:1" ht="12.75">
      <c r="A21890" s="2" t="s">
        <v>902</v>
      </c>
    </row>
    <row r="21891" spans="1:1" ht="12.75">
      <c r="A21891" s="2" t="s">
        <v>900</v>
      </c>
    </row>
    <row r="21895" spans="1:1" ht="12.75">
      <c r="A21895" s="2" t="s">
        <v>899</v>
      </c>
    </row>
    <row r="21897" spans="1:1" ht="12.75">
      <c r="A21897" s="2" t="s">
        <v>899</v>
      </c>
    </row>
    <row r="21898" spans="1:1" ht="12.75">
      <c r="A21898" s="2" t="s">
        <v>903</v>
      </c>
    </row>
    <row r="21963" spans="1:1" ht="12.75">
      <c r="A21963" s="2" t="s">
        <v>234</v>
      </c>
    </row>
    <row r="21964" spans="1:1" ht="12.75">
      <c r="A21964" s="2" t="s">
        <v>234</v>
      </c>
    </row>
    <row r="21965" spans="1:1" ht="12.75">
      <c r="A21965" s="2" t="s">
        <v>234</v>
      </c>
    </row>
    <row r="21966" spans="1:1" ht="12.75">
      <c r="A21966" s="2" t="s">
        <v>234</v>
      </c>
    </row>
    <row r="21967" spans="1:1" ht="12.75">
      <c r="A21967" s="2" t="s">
        <v>587</v>
      </c>
    </row>
    <row r="21969" spans="1:1" ht="12.75">
      <c r="A21969" s="2" t="s">
        <v>587</v>
      </c>
    </row>
    <row r="21970" spans="1:1" ht="12.75">
      <c r="A21970" s="2" t="s">
        <v>587</v>
      </c>
    </row>
    <row r="21971" spans="1:1" ht="12.75">
      <c r="A21971" s="2" t="s">
        <v>587</v>
      </c>
    </row>
    <row r="21972" spans="1:1" ht="12.75">
      <c r="A21972" s="2" t="s">
        <v>587</v>
      </c>
    </row>
    <row r="21973" spans="1:1" ht="12.75">
      <c r="A21973" s="2" t="s">
        <v>587</v>
      </c>
    </row>
    <row r="21974" spans="1:1" ht="12.75">
      <c r="A21974" s="2" t="s">
        <v>587</v>
      </c>
    </row>
    <row r="21975" spans="1:1" ht="12.75">
      <c r="A21975" s="2" t="s">
        <v>587</v>
      </c>
    </row>
    <row r="21976" spans="1:1" ht="12.75">
      <c r="A21976" s="2" t="s">
        <v>587</v>
      </c>
    </row>
    <row r="21987" spans="1:1" ht="12.75">
      <c r="A21987" s="2" t="s">
        <v>904</v>
      </c>
    </row>
    <row r="21988" spans="1:1" ht="12.75">
      <c r="A21988" s="2" t="s">
        <v>904</v>
      </c>
    </row>
    <row r="21991" spans="1:1" ht="12.75">
      <c r="A21991" s="2" t="s">
        <v>904</v>
      </c>
    </row>
    <row r="21992" spans="1:1" ht="12.75">
      <c r="A21992" s="2" t="s">
        <v>904</v>
      </c>
    </row>
    <row r="21993" spans="1:1" ht="12.75">
      <c r="A21993" s="2" t="s">
        <v>904</v>
      </c>
    </row>
    <row r="21994" spans="1:1" ht="12.75">
      <c r="A21994" s="2" t="s">
        <v>904</v>
      </c>
    </row>
    <row r="21995" spans="1:1" ht="12.75">
      <c r="A21995" s="2" t="s">
        <v>904</v>
      </c>
    </row>
    <row r="21996" spans="1:1" ht="12.75">
      <c r="A21996" s="2" t="s">
        <v>904</v>
      </c>
    </row>
    <row r="21997" spans="1:1" ht="12.75">
      <c r="A21997" s="2" t="s">
        <v>339</v>
      </c>
    </row>
    <row r="21998" spans="1:1" ht="12.75">
      <c r="A21998" s="2" t="s">
        <v>339</v>
      </c>
    </row>
    <row r="21999" spans="1:1" ht="12.75">
      <c r="A21999" s="2" t="s">
        <v>339</v>
      </c>
    </row>
    <row r="22000" spans="1:1" ht="12.75">
      <c r="A22000" s="2" t="s">
        <v>339</v>
      </c>
    </row>
    <row r="22001" spans="1:1" ht="12.75">
      <c r="A22001" s="2" t="s">
        <v>339</v>
      </c>
    </row>
    <row r="22002" spans="1:1" ht="12.75">
      <c r="A22002" s="2" t="s">
        <v>905</v>
      </c>
    </row>
    <row r="22003" spans="1:1" ht="12.75">
      <c r="A22003" s="2" t="s">
        <v>905</v>
      </c>
    </row>
    <row r="22004" spans="1:1" ht="12.75">
      <c r="A22004" s="2" t="s">
        <v>905</v>
      </c>
    </row>
    <row r="22005" spans="1:1" ht="12.75">
      <c r="A22005" s="2" t="s">
        <v>905</v>
      </c>
    </row>
    <row r="22006" spans="1:1" ht="12.75">
      <c r="A22006" s="2" t="s">
        <v>906</v>
      </c>
    </row>
    <row r="22007" spans="1:1" ht="12.75">
      <c r="A22007" s="2" t="s">
        <v>726</v>
      </c>
    </row>
    <row r="22019" spans="1:1" ht="12.75">
      <c r="A22019" s="2" t="s">
        <v>907</v>
      </c>
    </row>
    <row r="22020" spans="1:1" ht="12.75">
      <c r="A22020" s="2" t="s">
        <v>907</v>
      </c>
    </row>
    <row r="22021" spans="1:1" ht="12.75">
      <c r="A22021" s="2" t="s">
        <v>581</v>
      </c>
    </row>
    <row r="22022" spans="1:1" ht="12.75">
      <c r="A22022" s="2" t="s">
        <v>701</v>
      </c>
    </row>
    <row r="22023" spans="1:1" ht="12.75">
      <c r="A22023" s="2" t="s">
        <v>701</v>
      </c>
    </row>
    <row r="22025" spans="1:1" ht="12.75">
      <c r="A22025" s="2" t="s">
        <v>522</v>
      </c>
    </row>
    <row r="22026" spans="1:1" ht="12.75">
      <c r="A22026" s="2" t="s">
        <v>522</v>
      </c>
    </row>
    <row r="22027" spans="1:1" ht="12.75">
      <c r="A22027" s="2" t="s">
        <v>522</v>
      </c>
    </row>
    <row r="22028" spans="1:1" ht="12.75">
      <c r="A22028" s="2" t="s">
        <v>522</v>
      </c>
    </row>
    <row r="22029" spans="1:1" ht="12.75">
      <c r="A22029" s="2" t="s">
        <v>522</v>
      </c>
    </row>
    <row r="22031" spans="1:1" ht="12.75">
      <c r="A22031" s="2" t="s">
        <v>282</v>
      </c>
    </row>
    <row r="22032" spans="1:1" ht="12.75">
      <c r="A22032" s="2" t="s">
        <v>282</v>
      </c>
    </row>
    <row r="22033" spans="1:1" ht="12.75">
      <c r="A22033" s="2" t="s">
        <v>908</v>
      </c>
    </row>
    <row r="22034" spans="1:1" ht="12.75">
      <c r="A22034" s="2" t="s">
        <v>655</v>
      </c>
    </row>
    <row r="22039" spans="1:1" ht="12.75">
      <c r="A22039" s="2" t="s">
        <v>829</v>
      </c>
    </row>
    <row r="22040" spans="1:1" ht="12.75">
      <c r="A22040" s="2" t="s">
        <v>829</v>
      </c>
    </row>
    <row r="22041" spans="1:1" ht="12.75">
      <c r="A22041" s="2" t="s">
        <v>836</v>
      </c>
    </row>
    <row r="22042" spans="1:1" ht="12.75">
      <c r="A22042" s="2" t="s">
        <v>836</v>
      </c>
    </row>
    <row r="22043" spans="1:1" ht="12.75">
      <c r="A22043" s="2" t="s">
        <v>824</v>
      </c>
    </row>
    <row r="22044" spans="1:1" ht="12.75">
      <c r="A22044" s="2" t="s">
        <v>824</v>
      </c>
    </row>
    <row r="22045" spans="1:1" ht="12.75">
      <c r="A22045" s="2" t="s">
        <v>820</v>
      </c>
    </row>
    <row r="22046" spans="1:1" ht="12.75">
      <c r="A22046" s="2" t="s">
        <v>820</v>
      </c>
    </row>
    <row r="22047" spans="1:1" ht="12.75">
      <c r="A22047" s="2" t="s">
        <v>836</v>
      </c>
    </row>
    <row r="22048" spans="1:1" ht="12.75">
      <c r="A22048" s="2" t="s">
        <v>829</v>
      </c>
    </row>
    <row r="22049" spans="1:1" ht="12.75">
      <c r="A22049" s="2" t="s">
        <v>829</v>
      </c>
    </row>
    <row r="22050" spans="1:1" ht="12.75">
      <c r="A22050" s="2" t="s">
        <v>824</v>
      </c>
    </row>
    <row r="22051" spans="1:1" ht="12.75">
      <c r="A22051" s="2" t="s">
        <v>824</v>
      </c>
    </row>
    <row r="22052" spans="1:1" ht="12.75">
      <c r="A22052" s="2" t="s">
        <v>841</v>
      </c>
    </row>
    <row r="22053" spans="1:1" ht="12.75">
      <c r="A22053" s="2" t="s">
        <v>824</v>
      </c>
    </row>
    <row r="22054" spans="1:1" ht="12.75">
      <c r="A22054" s="2" t="s">
        <v>825</v>
      </c>
    </row>
    <row r="22055" spans="1:1" ht="12.75">
      <c r="A22055" s="2" t="s">
        <v>821</v>
      </c>
    </row>
    <row r="22056" spans="1:1" ht="12.75">
      <c r="A22056" s="2" t="s">
        <v>825</v>
      </c>
    </row>
    <row r="22057" spans="1:1" ht="12.75">
      <c r="A22057" s="2" t="s">
        <v>820</v>
      </c>
    </row>
    <row r="22058" spans="1:1" ht="12.75">
      <c r="A22058" s="2" t="s">
        <v>825</v>
      </c>
    </row>
    <row r="22059" spans="1:1" ht="12.75">
      <c r="A22059" s="2" t="s">
        <v>820</v>
      </c>
    </row>
    <row r="22060" spans="1:1" ht="12.75">
      <c r="A22060" s="2" t="s">
        <v>825</v>
      </c>
    </row>
    <row r="22061" spans="1:1" ht="12.75">
      <c r="A22061" s="2" t="s">
        <v>822</v>
      </c>
    </row>
    <row r="22062" spans="1:1" ht="12.75">
      <c r="A22062" s="2" t="s">
        <v>820</v>
      </c>
    </row>
    <row r="22063" spans="1:1" ht="12.75">
      <c r="A22063" s="2" t="s">
        <v>824</v>
      </c>
    </row>
    <row r="22064" spans="1:1" ht="12.75">
      <c r="A22064" s="2" t="s">
        <v>821</v>
      </c>
    </row>
    <row r="22065" spans="1:1" ht="12.75">
      <c r="A22065" s="2" t="s">
        <v>820</v>
      </c>
    </row>
    <row r="22066" spans="1:1" ht="12.75">
      <c r="A22066" s="2" t="s">
        <v>821</v>
      </c>
    </row>
    <row r="22067" spans="1:1" ht="12.75">
      <c r="A22067" s="2" t="s">
        <v>820</v>
      </c>
    </row>
    <row r="22068" spans="1:1" ht="12.75">
      <c r="A22068" s="2" t="s">
        <v>824</v>
      </c>
    </row>
    <row r="22069" spans="1:1" ht="12.75">
      <c r="A22069" s="2" t="s">
        <v>825</v>
      </c>
    </row>
    <row r="22070" spans="1:1" ht="12.75">
      <c r="A22070" s="2" t="s">
        <v>829</v>
      </c>
    </row>
    <row r="22071" spans="1:1" ht="12.75">
      <c r="A22071" s="2" t="s">
        <v>825</v>
      </c>
    </row>
    <row r="22072" spans="1:1" ht="12.75">
      <c r="A22072" s="2" t="s">
        <v>857</v>
      </c>
    </row>
    <row r="22073" spans="1:1" ht="12.75">
      <c r="A22073" s="2" t="s">
        <v>822</v>
      </c>
    </row>
    <row r="22074" spans="1:1" ht="12.75">
      <c r="A22074" s="2" t="s">
        <v>857</v>
      </c>
    </row>
    <row r="22075" spans="1:1" ht="12.75">
      <c r="A22075" s="2" t="s">
        <v>822</v>
      </c>
    </row>
    <row r="22076" spans="1:1" ht="12.75">
      <c r="A22076" s="2" t="s">
        <v>844</v>
      </c>
    </row>
    <row r="22077" spans="1:1" ht="12.75">
      <c r="A22077" s="2" t="s">
        <v>836</v>
      </c>
    </row>
    <row r="22078" spans="1:1" ht="12.75">
      <c r="A22078" s="2" t="s">
        <v>844</v>
      </c>
    </row>
    <row r="22079" spans="1:1" ht="12.75">
      <c r="A22079" s="2" t="s">
        <v>836</v>
      </c>
    </row>
    <row r="22080" spans="1:1" ht="12.75">
      <c r="A22080" s="2" t="s">
        <v>820</v>
      </c>
    </row>
    <row r="22081" spans="1:1" ht="12.75">
      <c r="A22081" s="2" t="s">
        <v>841</v>
      </c>
    </row>
    <row r="22082" spans="1:1" ht="12.75">
      <c r="A22082" s="2" t="s">
        <v>822</v>
      </c>
    </row>
    <row r="22083" spans="1:1" ht="12.75">
      <c r="A22083" s="2" t="s">
        <v>446</v>
      </c>
    </row>
    <row r="22084" spans="1:1" ht="12.75">
      <c r="A22084" s="2" t="s">
        <v>446</v>
      </c>
    </row>
    <row r="22085" spans="1:1" ht="12.75">
      <c r="A22085" s="2" t="s">
        <v>447</v>
      </c>
    </row>
    <row r="22086" spans="1:1" ht="12.75">
      <c r="A22086" s="2" t="s">
        <v>446</v>
      </c>
    </row>
    <row r="22087" spans="1:1" ht="12.75">
      <c r="A22087" s="2" t="s">
        <v>448</v>
      </c>
    </row>
    <row r="22088" spans="1:1" ht="12.75">
      <c r="A22088" s="2" t="s">
        <v>447</v>
      </c>
    </row>
    <row r="22089" spans="1:1" ht="12.75">
      <c r="A22089" s="2" t="s">
        <v>487</v>
      </c>
    </row>
    <row r="22090" spans="1:1" ht="12.75">
      <c r="A22090" s="2" t="s">
        <v>448</v>
      </c>
    </row>
    <row r="22091" spans="1:1" ht="12.75">
      <c r="A22091" s="2" t="s">
        <v>614</v>
      </c>
    </row>
    <row r="22092" spans="1:1" ht="12.75">
      <c r="A22092" s="2" t="s">
        <v>614</v>
      </c>
    </row>
    <row r="22093" spans="1:1" ht="12.75">
      <c r="A22093" s="2" t="s">
        <v>614</v>
      </c>
    </row>
    <row r="22094" spans="1:1" ht="12.75">
      <c r="A22094" s="2" t="s">
        <v>614</v>
      </c>
    </row>
    <row r="22095" spans="1:1" ht="12.75">
      <c r="A22095" s="2" t="s">
        <v>447</v>
      </c>
    </row>
    <row r="22096" spans="1:1" ht="12.75">
      <c r="A22096" s="2" t="s">
        <v>614</v>
      </c>
    </row>
    <row r="22097" spans="1:1" ht="12.75">
      <c r="A22097" s="2" t="s">
        <v>450</v>
      </c>
    </row>
    <row r="22098" spans="1:1" ht="12.75">
      <c r="A22098" s="2" t="s">
        <v>450</v>
      </c>
    </row>
    <row r="22099" spans="1:1" ht="12.75">
      <c r="A22099" s="2" t="s">
        <v>446</v>
      </c>
    </row>
    <row r="22100" spans="1:1" ht="12.75">
      <c r="A22100" s="2" t="s">
        <v>446</v>
      </c>
    </row>
    <row r="22101" spans="1:1" ht="12.75">
      <c r="A22101" s="2" t="s">
        <v>446</v>
      </c>
    </row>
    <row r="22102" spans="1:1" ht="12.75">
      <c r="A22102" s="2" t="s">
        <v>446</v>
      </c>
    </row>
    <row r="22103" spans="1:1" ht="12.75">
      <c r="A22103" s="2" t="s">
        <v>448</v>
      </c>
    </row>
    <row r="22104" spans="1:1" ht="12.75">
      <c r="A22104" s="2" t="s">
        <v>448</v>
      </c>
    </row>
    <row r="22105" spans="1:1" ht="12.75">
      <c r="A22105" s="2" t="s">
        <v>448</v>
      </c>
    </row>
    <row r="22106" spans="1:1" ht="12.75">
      <c r="A22106" s="2" t="s">
        <v>447</v>
      </c>
    </row>
    <row r="22107" spans="1:1" ht="12.75">
      <c r="A22107" s="2" t="s">
        <v>447</v>
      </c>
    </row>
    <row r="22108" spans="1:1" ht="12.75">
      <c r="A22108" s="2" t="s">
        <v>447</v>
      </c>
    </row>
    <row r="22109" spans="1:1" ht="12.75">
      <c r="A22109" s="2" t="s">
        <v>447</v>
      </c>
    </row>
    <row r="22110" spans="1:1" ht="12.75">
      <c r="A22110" s="2" t="s">
        <v>447</v>
      </c>
    </row>
    <row r="22111" spans="1:1" ht="12.75">
      <c r="A22111" s="2" t="s">
        <v>447</v>
      </c>
    </row>
    <row r="22112" spans="1:1" ht="12.75">
      <c r="A22112" s="2" t="s">
        <v>450</v>
      </c>
    </row>
    <row r="22113" spans="1:1" ht="12.75">
      <c r="A22113" s="2" t="s">
        <v>634</v>
      </c>
    </row>
    <row r="22114" spans="1:1" ht="12.75">
      <c r="A22114" s="2" t="s">
        <v>450</v>
      </c>
    </row>
    <row r="22115" spans="1:1" ht="12.75">
      <c r="A22115" s="2" t="s">
        <v>450</v>
      </c>
    </row>
    <row r="22116" spans="1:1" ht="12.75">
      <c r="A22116" s="2" t="s">
        <v>450</v>
      </c>
    </row>
    <row r="22117" spans="1:1" ht="12.75">
      <c r="A22117" s="2" t="s">
        <v>450</v>
      </c>
    </row>
    <row r="22118" spans="1:1" ht="12.75">
      <c r="A22118" s="2" t="s">
        <v>446</v>
      </c>
    </row>
    <row r="22119" spans="1:1" ht="12.75">
      <c r="A22119" s="2" t="s">
        <v>446</v>
      </c>
    </row>
    <row r="22120" spans="1:1" ht="12.75">
      <c r="A22120" s="2" t="s">
        <v>446</v>
      </c>
    </row>
    <row r="22121" spans="1:1" ht="12.75">
      <c r="A22121" s="2" t="s">
        <v>446</v>
      </c>
    </row>
    <row r="22122" spans="1:1" ht="12.75">
      <c r="A22122" s="2" t="s">
        <v>446</v>
      </c>
    </row>
    <row r="22123" spans="1:1" ht="12.75">
      <c r="A22123" s="2" t="s">
        <v>448</v>
      </c>
    </row>
    <row r="22124" spans="1:1" ht="12.75">
      <c r="A22124" s="2" t="s">
        <v>446</v>
      </c>
    </row>
    <row r="22125" spans="1:1" ht="12.75">
      <c r="A22125" s="2" t="s">
        <v>446</v>
      </c>
    </row>
    <row r="22126" spans="1:1" ht="12.75">
      <c r="A22126" s="2" t="s">
        <v>446</v>
      </c>
    </row>
    <row r="22127" spans="1:1" ht="12.75">
      <c r="A22127" s="2" t="s">
        <v>446</v>
      </c>
    </row>
    <row r="22128" spans="1:1" ht="12.75">
      <c r="A22128" s="2" t="s">
        <v>447</v>
      </c>
    </row>
    <row r="22129" spans="1:1" ht="12.75">
      <c r="A22129" s="2" t="s">
        <v>446</v>
      </c>
    </row>
    <row r="22130" spans="1:1" ht="12.75">
      <c r="A22130" s="2" t="s">
        <v>446</v>
      </c>
    </row>
    <row r="22131" spans="1:1" ht="12.75">
      <c r="A22131" s="2" t="s">
        <v>447</v>
      </c>
    </row>
    <row r="22132" spans="1:1" ht="12.75">
      <c r="A22132" s="2" t="s">
        <v>447</v>
      </c>
    </row>
    <row r="22133" spans="1:1" ht="12.75">
      <c r="A22133" s="2" t="s">
        <v>447</v>
      </c>
    </row>
    <row r="22134" spans="1:1" ht="12.75">
      <c r="A22134" s="2" t="s">
        <v>447</v>
      </c>
    </row>
    <row r="22135" spans="1:1" ht="12.75">
      <c r="A22135" s="2" t="s">
        <v>615</v>
      </c>
    </row>
    <row r="22136" spans="1:1" ht="12.75">
      <c r="A22136" s="2" t="s">
        <v>615</v>
      </c>
    </row>
    <row r="22137" spans="1:1" ht="12.75">
      <c r="A22137" s="2" t="s">
        <v>615</v>
      </c>
    </row>
    <row r="22138" spans="1:1" ht="12.75">
      <c r="A22138" s="2" t="s">
        <v>615</v>
      </c>
    </row>
    <row r="22139" spans="1:1" ht="12.75">
      <c r="A22139" s="2" t="s">
        <v>482</v>
      </c>
    </row>
    <row r="22140" spans="1:1" ht="12.75">
      <c r="A22140" s="2" t="s">
        <v>909</v>
      </c>
    </row>
    <row r="22141" spans="1:1" ht="12.75">
      <c r="A22141" s="2" t="s">
        <v>444</v>
      </c>
    </row>
    <row r="22142" spans="1:1" ht="12.75">
      <c r="A22142" s="2" t="s">
        <v>444</v>
      </c>
    </row>
    <row r="22143" spans="1:1" ht="12.75">
      <c r="A22143" s="2" t="s">
        <v>445</v>
      </c>
    </row>
    <row r="22144" spans="1:1" ht="12.75">
      <c r="A22144" s="2" t="s">
        <v>445</v>
      </c>
    </row>
    <row r="22145" spans="1:1" ht="12.75">
      <c r="A22145" s="2" t="s">
        <v>445</v>
      </c>
    </row>
    <row r="22146" spans="1:1" ht="12.75">
      <c r="A22146" s="2" t="s">
        <v>444</v>
      </c>
    </row>
    <row r="22147" spans="1:1" ht="12.75">
      <c r="A22147" s="2" t="s">
        <v>444</v>
      </c>
    </row>
    <row r="22148" spans="1:1" ht="12.75">
      <c r="A22148" s="2" t="s">
        <v>444</v>
      </c>
    </row>
    <row r="22149" spans="1:1" ht="12.75">
      <c r="A22149" s="2" t="s">
        <v>445</v>
      </c>
    </row>
    <row r="22150" spans="1:1" ht="12.75">
      <c r="A22150" s="2" t="s">
        <v>444</v>
      </c>
    </row>
    <row r="22151" spans="1:1" ht="12.75">
      <c r="A22151" s="2" t="s">
        <v>444</v>
      </c>
    </row>
    <row r="22152" spans="1:1" ht="12.75">
      <c r="A22152" s="2" t="s">
        <v>444</v>
      </c>
    </row>
    <row r="22154" spans="1:1" ht="12.75">
      <c r="A22154" s="2" t="s">
        <v>444</v>
      </c>
    </row>
    <row r="22156" spans="1:1" ht="12.75">
      <c r="A22156" s="2" t="s">
        <v>444</v>
      </c>
    </row>
    <row r="22159" spans="1:1" ht="12.75">
      <c r="A22159" s="2" t="s">
        <v>445</v>
      </c>
    </row>
    <row r="22161" spans="1:1" ht="12.75">
      <c r="A22161" s="2" t="s">
        <v>910</v>
      </c>
    </row>
    <row r="22162" spans="1:1" ht="12.75">
      <c r="A22162" s="2" t="s">
        <v>445</v>
      </c>
    </row>
    <row r="22163" spans="1:1" ht="12.75">
      <c r="A22163" s="2" t="s">
        <v>444</v>
      </c>
    </row>
    <row r="22164" spans="1:1" ht="12.75">
      <c r="A22164" s="2" t="s">
        <v>444</v>
      </c>
    </row>
    <row r="22165" spans="1:1" ht="12.75">
      <c r="A22165" s="2" t="s">
        <v>444</v>
      </c>
    </row>
    <row r="22166" spans="1:1" ht="12.75">
      <c r="A22166" s="2" t="s">
        <v>910</v>
      </c>
    </row>
    <row r="22167" spans="1:1" ht="12.75">
      <c r="A22167" s="2" t="s">
        <v>445</v>
      </c>
    </row>
    <row r="22168" spans="1:1" ht="12.75">
      <c r="A22168" s="2" t="s">
        <v>658</v>
      </c>
    </row>
    <row r="22169" spans="1:1" ht="12.75">
      <c r="A22169" s="2" t="s">
        <v>658</v>
      </c>
    </row>
    <row r="22171" spans="1:1" ht="12.75">
      <c r="A22171" s="2" t="s">
        <v>482</v>
      </c>
    </row>
    <row r="22172" spans="1:1" ht="12.75">
      <c r="A22172" s="2" t="s">
        <v>555</v>
      </c>
    </row>
    <row r="22173" spans="1:1" ht="12.75">
      <c r="A22173" s="2" t="s">
        <v>658</v>
      </c>
    </row>
    <row r="22174" spans="1:1" ht="12.75">
      <c r="A22174" s="2" t="s">
        <v>911</v>
      </c>
    </row>
    <row r="22175" spans="1:1" ht="12.75">
      <c r="A22175" s="2" t="s">
        <v>912</v>
      </c>
    </row>
    <row r="22176" spans="1:1" ht="12.75">
      <c r="A22176" s="2" t="s">
        <v>910</v>
      </c>
    </row>
    <row r="22183" spans="1:1" ht="12.75">
      <c r="A22183" s="2" t="s">
        <v>912</v>
      </c>
    </row>
    <row r="22184" spans="1:1" ht="12.75">
      <c r="A22184" s="2" t="s">
        <v>910</v>
      </c>
    </row>
    <row r="22187" spans="1:1" ht="12.75">
      <c r="A22187" s="2" t="s">
        <v>482</v>
      </c>
    </row>
    <row r="22188" spans="1:1" ht="12.75">
      <c r="A22188" s="2" t="s">
        <v>482</v>
      </c>
    </row>
    <row r="22189" spans="1:1" ht="12.75">
      <c r="A22189" s="2" t="s">
        <v>909</v>
      </c>
    </row>
    <row r="22190" spans="1:1" ht="12.75">
      <c r="A22190" s="2" t="s">
        <v>909</v>
      </c>
    </row>
    <row r="22191" spans="1:1" ht="12.75">
      <c r="A22191" s="2" t="s">
        <v>909</v>
      </c>
    </row>
    <row r="22193" spans="1:1" ht="12.75">
      <c r="A22193" s="2" t="s">
        <v>482</v>
      </c>
    </row>
    <row r="22199" spans="1:1" ht="12.75">
      <c r="A22199" s="2" t="s">
        <v>706</v>
      </c>
    </row>
    <row r="22200" spans="1:1" ht="12.75">
      <c r="A22200" s="2" t="s">
        <v>707</v>
      </c>
    </row>
    <row r="22201" spans="1:1" ht="12.75">
      <c r="A22201" s="2" t="s">
        <v>706</v>
      </c>
    </row>
    <row r="22202" spans="1:1" ht="12.75">
      <c r="A22202" s="2" t="s">
        <v>707</v>
      </c>
    </row>
    <row r="22203" spans="1:1" ht="12.75">
      <c r="A22203" s="2" t="s">
        <v>444</v>
      </c>
    </row>
    <row r="22204" spans="1:1" ht="12.75">
      <c r="A22204" s="2" t="s">
        <v>445</v>
      </c>
    </row>
    <row r="22219" spans="1:1" ht="12.75">
      <c r="A22219" s="2" t="s">
        <v>909</v>
      </c>
    </row>
    <row r="22220" spans="1:1" ht="12.75">
      <c r="A22220" s="2" t="s">
        <v>913</v>
      </c>
    </row>
    <row r="22221" spans="1:1" ht="12.75">
      <c r="A22221" s="2" t="s">
        <v>444</v>
      </c>
    </row>
    <row r="22222" spans="1:1" ht="12.75">
      <c r="A22222" s="2" t="s">
        <v>482</v>
      </c>
    </row>
    <row r="22223" spans="1:1" ht="12.75">
      <c r="A22223" s="2" t="s">
        <v>445</v>
      </c>
    </row>
    <row r="22224" spans="1:1" ht="12.75">
      <c r="A22224" s="2" t="s">
        <v>444</v>
      </c>
    </row>
    <row r="22225" spans="1:1" ht="12.75">
      <c r="A22225" s="2" t="s">
        <v>444</v>
      </c>
    </row>
    <row r="22226" spans="1:1" ht="12.75">
      <c r="A22226" s="2" t="s">
        <v>444</v>
      </c>
    </row>
    <row r="22227" spans="1:1" ht="12.75">
      <c r="A22227" s="2" t="s">
        <v>444</v>
      </c>
    </row>
    <row r="22228" spans="1:1" ht="12.75">
      <c r="A22228" s="2" t="s">
        <v>444</v>
      </c>
    </row>
    <row r="22229" spans="1:1" ht="12.75">
      <c r="A22229" s="2" t="s">
        <v>445</v>
      </c>
    </row>
    <row r="22230" spans="1:1" ht="12.75">
      <c r="A22230" s="2" t="s">
        <v>445</v>
      </c>
    </row>
    <row r="22231" spans="1:1" ht="12.75">
      <c r="A22231" s="2" t="s">
        <v>445</v>
      </c>
    </row>
    <row r="22232" spans="1:1" ht="12.75">
      <c r="A22232" s="2" t="s">
        <v>444</v>
      </c>
    </row>
    <row r="22233" spans="1:1" ht="12.75">
      <c r="A22233" s="2" t="s">
        <v>444</v>
      </c>
    </row>
    <row r="22234" spans="1:1" ht="12.75">
      <c r="A22234" s="2" t="s">
        <v>445</v>
      </c>
    </row>
    <row r="22235" spans="1:1" ht="12.75">
      <c r="A22235" s="2" t="s">
        <v>444</v>
      </c>
    </row>
    <row r="22236" spans="1:1" ht="12.75">
      <c r="A22236" s="2" t="s">
        <v>445</v>
      </c>
    </row>
    <row r="22237" spans="1:1" ht="12.75">
      <c r="A22237" s="2" t="s">
        <v>909</v>
      </c>
    </row>
    <row r="22238" spans="1:1" ht="12.75">
      <c r="A22238" s="2" t="s">
        <v>482</v>
      </c>
    </row>
    <row r="22239" spans="1:1" ht="12.75">
      <c r="A22239" s="2" t="s">
        <v>914</v>
      </c>
    </row>
    <row r="22240" spans="1:1" ht="12.75">
      <c r="A22240" s="2" t="s">
        <v>914</v>
      </c>
    </row>
    <row r="22241" spans="1:1" ht="12.75">
      <c r="A22241" s="2" t="s">
        <v>452</v>
      </c>
    </row>
    <row r="22242" spans="1:1" ht="12.75">
      <c r="A22242" s="2" t="s">
        <v>452</v>
      </c>
    </row>
    <row r="22243" spans="1:1" ht="12.75">
      <c r="A22243" s="2" t="s">
        <v>452</v>
      </c>
    </row>
    <row r="22244" spans="1:1" ht="12.75">
      <c r="A22244" s="2" t="s">
        <v>452</v>
      </c>
    </row>
    <row r="22245" spans="1:1" ht="12.75">
      <c r="A22245" s="2" t="s">
        <v>449</v>
      </c>
    </row>
    <row r="22246" spans="1:1" ht="12.75">
      <c r="A22246" s="2" t="s">
        <v>449</v>
      </c>
    </row>
    <row r="22247" spans="1:1" ht="12.75">
      <c r="A22247" s="2" t="s">
        <v>437</v>
      </c>
    </row>
    <row r="22248" spans="1:1" ht="12.75">
      <c r="A22248" s="2" t="s">
        <v>437</v>
      </c>
    </row>
    <row r="22249" spans="1:1" ht="12.75">
      <c r="A22249" s="2" t="s">
        <v>768</v>
      </c>
    </row>
    <row r="22250" spans="1:1" ht="12.75">
      <c r="A22250" s="2" t="s">
        <v>437</v>
      </c>
    </row>
    <row r="22251" spans="1:1" ht="12.75">
      <c r="A22251" s="2" t="s">
        <v>452</v>
      </c>
    </row>
    <row r="22252" spans="1:1" ht="12.75">
      <c r="A22252" s="2" t="s">
        <v>452</v>
      </c>
    </row>
    <row r="22253" spans="1:1" ht="12.75">
      <c r="A22253" s="2" t="s">
        <v>452</v>
      </c>
    </row>
    <row r="22254" spans="1:1" ht="12.75">
      <c r="A22254" s="2" t="s">
        <v>452</v>
      </c>
    </row>
    <row r="22255" spans="1:1" ht="12.75">
      <c r="A22255" s="2" t="s">
        <v>914</v>
      </c>
    </row>
    <row r="22256" spans="1:1" ht="12.75">
      <c r="A22256" s="2" t="s">
        <v>914</v>
      </c>
    </row>
    <row r="22257" spans="1:1" ht="12.75">
      <c r="A22257" s="2" t="s">
        <v>434</v>
      </c>
    </row>
    <row r="22258" spans="1:1" ht="12.75">
      <c r="A22258" s="2" t="s">
        <v>434</v>
      </c>
    </row>
    <row r="22259" spans="1:1" ht="12.75">
      <c r="A22259" s="2" t="s">
        <v>915</v>
      </c>
    </row>
    <row r="22260" spans="1:1" ht="12.75">
      <c r="A22260" s="2" t="s">
        <v>817</v>
      </c>
    </row>
    <row r="22261" spans="1:1" ht="12.75">
      <c r="A22261" s="2" t="s">
        <v>479</v>
      </c>
    </row>
    <row r="22262" spans="1:1" ht="12.75">
      <c r="A22262" s="2" t="s">
        <v>479</v>
      </c>
    </row>
    <row r="22263" spans="1:1" ht="12.75">
      <c r="A22263" s="2" t="s">
        <v>479</v>
      </c>
    </row>
    <row r="22264" spans="1:1" ht="12.75">
      <c r="A22264" s="2" t="s">
        <v>479</v>
      </c>
    </row>
    <row r="22265" spans="1:1" ht="12.75">
      <c r="A22265" s="2" t="s">
        <v>437</v>
      </c>
    </row>
    <row r="22266" spans="1:1" ht="12.75">
      <c r="A22266" s="2" t="s">
        <v>437</v>
      </c>
    </row>
    <row r="22267" spans="1:1" ht="12.75">
      <c r="A22267" s="2" t="s">
        <v>437</v>
      </c>
    </row>
    <row r="22268" spans="1:1" ht="12.75">
      <c r="A22268" s="2" t="s">
        <v>437</v>
      </c>
    </row>
    <row r="22269" spans="1:1" ht="12.75">
      <c r="A22269" s="2" t="s">
        <v>404</v>
      </c>
    </row>
    <row r="22270" spans="1:1" ht="12.75">
      <c r="A22270" s="2" t="s">
        <v>404</v>
      </c>
    </row>
    <row r="22271" spans="1:1" ht="12.75">
      <c r="A22271" s="2" t="s">
        <v>404</v>
      </c>
    </row>
    <row r="22272" spans="1:1" ht="12.75">
      <c r="A22272" s="2" t="s">
        <v>404</v>
      </c>
    </row>
    <row r="22273" spans="1:1" ht="12.75">
      <c r="A22273" s="2" t="s">
        <v>818</v>
      </c>
    </row>
    <row r="22274" spans="1:1" ht="12.75">
      <c r="A22274" s="2" t="s">
        <v>618</v>
      </c>
    </row>
    <row r="22275" spans="1:1" ht="12.75">
      <c r="A22275" s="2" t="s">
        <v>916</v>
      </c>
    </row>
    <row r="22276" spans="1:1" ht="12.75">
      <c r="A22276" s="2" t="s">
        <v>435</v>
      </c>
    </row>
    <row r="22277" spans="1:1" ht="12.75">
      <c r="A22277" s="2" t="s">
        <v>916</v>
      </c>
    </row>
    <row r="22278" spans="1:1" ht="12.75">
      <c r="A22278" s="2" t="s">
        <v>479</v>
      </c>
    </row>
    <row r="22279" spans="1:1" ht="12.75">
      <c r="A22279" s="2" t="s">
        <v>477</v>
      </c>
    </row>
    <row r="22280" spans="1:1" ht="12.75">
      <c r="A22280" s="2" t="s">
        <v>477</v>
      </c>
    </row>
    <row r="22281" spans="1:1" ht="12.75">
      <c r="A22281" s="2" t="s">
        <v>477</v>
      </c>
    </row>
    <row r="22282" spans="1:1" ht="12.75">
      <c r="A22282" s="2" t="s">
        <v>477</v>
      </c>
    </row>
    <row r="22283" spans="1:1" ht="12.75">
      <c r="A22283" s="2" t="s">
        <v>452</v>
      </c>
    </row>
    <row r="22284" spans="1:1" ht="12.75">
      <c r="A22284" s="2" t="s">
        <v>452</v>
      </c>
    </row>
    <row r="22285" spans="1:1" ht="12.75">
      <c r="A22285" s="2" t="s">
        <v>452</v>
      </c>
    </row>
    <row r="22286" spans="1:1" ht="12.75">
      <c r="A22286" s="2" t="s">
        <v>452</v>
      </c>
    </row>
    <row r="22287" spans="1:1" ht="12.75">
      <c r="A22287" s="2" t="s">
        <v>404</v>
      </c>
    </row>
    <row r="22288" spans="1:1" ht="12.75">
      <c r="A22288" s="2" t="s">
        <v>404</v>
      </c>
    </row>
    <row r="22289" spans="1:1" ht="12.75">
      <c r="A22289" s="2" t="s">
        <v>917</v>
      </c>
    </row>
    <row r="22290" spans="1:1" ht="12.75">
      <c r="A22290" s="2" t="s">
        <v>404</v>
      </c>
    </row>
    <row r="22291" spans="1:1" ht="12.75">
      <c r="A22291" s="2" t="s">
        <v>479</v>
      </c>
    </row>
    <row r="22292" spans="1:1" ht="12.75">
      <c r="A22292" s="2" t="s">
        <v>479</v>
      </c>
    </row>
    <row r="22293" spans="1:1" ht="12.75">
      <c r="A22293" s="2" t="s">
        <v>479</v>
      </c>
    </row>
    <row r="22294" spans="1:1" ht="12.75">
      <c r="A22294" s="2" t="s">
        <v>479</v>
      </c>
    </row>
    <row r="22295" spans="1:1" ht="12.75">
      <c r="A22295" s="2" t="s">
        <v>437</v>
      </c>
    </row>
    <row r="22296" spans="1:1" ht="12.75">
      <c r="A22296" s="2" t="s">
        <v>437</v>
      </c>
    </row>
    <row r="22297" spans="1:1" ht="12.75">
      <c r="A22297" s="2" t="s">
        <v>477</v>
      </c>
    </row>
    <row r="22298" spans="1:1" ht="12.75">
      <c r="A22298" s="2" t="s">
        <v>477</v>
      </c>
    </row>
    <row r="22299" spans="1:1" ht="12.75">
      <c r="A22299" s="2" t="s">
        <v>477</v>
      </c>
    </row>
    <row r="22300" spans="1:1" ht="12.75">
      <c r="A22300" s="2" t="s">
        <v>477</v>
      </c>
    </row>
    <row r="22301" spans="1:1" ht="12.75">
      <c r="A22301" s="2" t="s">
        <v>818</v>
      </c>
    </row>
    <row r="22302" spans="1:1" ht="12.75">
      <c r="A22302" s="2" t="s">
        <v>618</v>
      </c>
    </row>
    <row r="22303" spans="1:1" ht="12.75">
      <c r="A22303" s="2" t="s">
        <v>479</v>
      </c>
    </row>
    <row r="22304" spans="1:1" ht="12.75">
      <c r="A22304" s="2" t="s">
        <v>479</v>
      </c>
    </row>
    <row r="22305" spans="1:1" ht="12.75">
      <c r="A22305" s="2" t="s">
        <v>622</v>
      </c>
    </row>
    <row r="22306" spans="1:1" ht="12.75">
      <c r="A22306" s="2" t="s">
        <v>437</v>
      </c>
    </row>
    <row r="22307" spans="1:1" ht="12.75">
      <c r="A22307" s="2" t="s">
        <v>623</v>
      </c>
    </row>
    <row r="22308" spans="1:1" ht="12.75">
      <c r="A22308" s="2" t="s">
        <v>623</v>
      </c>
    </row>
    <row r="22309" spans="1:1" ht="12.75">
      <c r="A22309" s="2" t="s">
        <v>623</v>
      </c>
    </row>
    <row r="22310" spans="1:1" ht="12.75">
      <c r="A22310" s="2" t="s">
        <v>623</v>
      </c>
    </row>
    <row r="22311" spans="1:1" ht="12.75">
      <c r="A22311" s="2" t="s">
        <v>437</v>
      </c>
    </row>
    <row r="22312" spans="1:1" ht="12.75">
      <c r="A22312" s="2" t="s">
        <v>437</v>
      </c>
    </row>
    <row r="22313" spans="1:1" ht="12.75">
      <c r="A22313" s="2" t="s">
        <v>816</v>
      </c>
    </row>
    <row r="22314" spans="1:1" ht="12.75">
      <c r="A22314" s="2" t="s">
        <v>816</v>
      </c>
    </row>
    <row r="22315" spans="1:1" ht="12.75">
      <c r="A22315" s="2" t="s">
        <v>619</v>
      </c>
    </row>
    <row r="22316" spans="1:1" ht="12.75">
      <c r="A22316" s="2" t="s">
        <v>477</v>
      </c>
    </row>
    <row r="22317" spans="1:1" ht="12.75">
      <c r="A22317" s="2" t="s">
        <v>432</v>
      </c>
    </row>
    <row r="22318" spans="1:1" ht="12.75">
      <c r="A22318" s="2" t="s">
        <v>816</v>
      </c>
    </row>
    <row r="22319" spans="1:1" ht="12.75">
      <c r="A22319" s="2" t="s">
        <v>433</v>
      </c>
    </row>
    <row r="22320" spans="1:1" ht="12.75">
      <c r="A22320" s="2" t="s">
        <v>433</v>
      </c>
    </row>
    <row r="22321" spans="1:1" ht="12.75">
      <c r="A22321" s="2" t="s">
        <v>435</v>
      </c>
    </row>
    <row r="22322" spans="1:1" ht="12.75">
      <c r="A22322" s="2" t="s">
        <v>435</v>
      </c>
    </row>
    <row r="22323" spans="1:1" ht="12.75">
      <c r="A22323" s="2" t="s">
        <v>918</v>
      </c>
    </row>
    <row r="22324" spans="1:1" ht="12.75">
      <c r="A22324" s="2" t="s">
        <v>433</v>
      </c>
    </row>
    <row r="22325" spans="1:1" ht="12.75">
      <c r="A22325" s="2" t="s">
        <v>435</v>
      </c>
    </row>
    <row r="22326" spans="1:1" ht="12.75">
      <c r="A22326" s="2" t="s">
        <v>435</v>
      </c>
    </row>
    <row r="22327" spans="1:1" ht="12.75">
      <c r="A22327" s="2" t="s">
        <v>433</v>
      </c>
    </row>
    <row r="22328" spans="1:1" ht="12.75">
      <c r="A22328" s="2" t="s">
        <v>433</v>
      </c>
    </row>
    <row r="22329" spans="1:1" ht="12.75">
      <c r="A22329" s="2" t="s">
        <v>434</v>
      </c>
    </row>
    <row r="22330" spans="1:1" ht="12.75">
      <c r="A22330" s="2" t="s">
        <v>434</v>
      </c>
    </row>
    <row r="22331" spans="1:1" ht="12.75">
      <c r="A22331" s="2" t="s">
        <v>433</v>
      </c>
    </row>
    <row r="22332" spans="1:1" ht="12.75">
      <c r="A22332" s="2" t="s">
        <v>433</v>
      </c>
    </row>
    <row r="22333" spans="1:1" ht="12.75">
      <c r="A22333" s="2" t="s">
        <v>434</v>
      </c>
    </row>
    <row r="22334" spans="1:1" ht="12.75">
      <c r="A22334" s="2" t="s">
        <v>434</v>
      </c>
    </row>
    <row r="22335" spans="1:1" ht="12.75">
      <c r="A22335" s="2" t="s">
        <v>817</v>
      </c>
    </row>
    <row r="22336" spans="1:1" ht="12.75">
      <c r="A22336" s="2" t="s">
        <v>817</v>
      </c>
    </row>
    <row r="22337" spans="1:1" ht="12.75">
      <c r="A22337" s="2" t="s">
        <v>817</v>
      </c>
    </row>
    <row r="22338" spans="1:1" ht="12.75">
      <c r="A22338" s="2" t="s">
        <v>817</v>
      </c>
    </row>
    <row r="22361" spans="1:1" ht="12.75">
      <c r="A22361" s="2" t="s">
        <v>919</v>
      </c>
    </row>
    <row r="22362" spans="1:1" ht="12.75">
      <c r="A22362" s="2" t="s">
        <v>919</v>
      </c>
    </row>
    <row r="22363" spans="1:1" ht="12.75">
      <c r="A22363" s="2" t="s">
        <v>919</v>
      </c>
    </row>
    <row r="22364" spans="1:1" ht="12.75">
      <c r="A22364" s="2" t="s">
        <v>919</v>
      </c>
    </row>
    <row r="22365" spans="1:1" ht="12.75">
      <c r="A22365" s="2" t="s">
        <v>919</v>
      </c>
    </row>
    <row r="22366" spans="1:1" ht="12.75">
      <c r="A22366" s="2" t="s">
        <v>919</v>
      </c>
    </row>
    <row r="22367" spans="1:1" ht="12.75">
      <c r="A22367" s="2" t="s">
        <v>919</v>
      </c>
    </row>
    <row r="22368" spans="1:1" ht="12.75">
      <c r="A22368" s="2" t="s">
        <v>919</v>
      </c>
    </row>
    <row r="22369" spans="1:1" ht="12.75">
      <c r="A22369" s="2" t="s">
        <v>919</v>
      </c>
    </row>
    <row r="22370" spans="1:1" ht="12.75">
      <c r="A22370" s="2" t="s">
        <v>919</v>
      </c>
    </row>
    <row r="22371" spans="1:1" ht="12.75">
      <c r="A22371" s="2" t="s">
        <v>919</v>
      </c>
    </row>
    <row r="22381" spans="1:1" ht="12.75">
      <c r="A22381" s="2" t="s">
        <v>825</v>
      </c>
    </row>
    <row r="22382" spans="1:1" ht="12.75">
      <c r="A22382" s="2" t="s">
        <v>825</v>
      </c>
    </row>
    <row r="22383" spans="1:1" ht="12.75">
      <c r="A22383" s="2" t="s">
        <v>836</v>
      </c>
    </row>
    <row r="22384" spans="1:1" ht="12.75">
      <c r="A22384" s="2" t="s">
        <v>821</v>
      </c>
    </row>
    <row r="22385" spans="1:1" ht="12.75">
      <c r="A22385" s="2" t="s">
        <v>821</v>
      </c>
    </row>
    <row r="22386" spans="1:1" ht="12.75">
      <c r="A22386" s="2" t="s">
        <v>821</v>
      </c>
    </row>
    <row r="22389" spans="1:1" ht="12.75">
      <c r="A22389" s="2" t="s">
        <v>829</v>
      </c>
    </row>
    <row r="22390" spans="1:1" ht="12.75">
      <c r="A22390" s="2" t="s">
        <v>836</v>
      </c>
    </row>
    <row r="22391" spans="1:1" ht="12.75">
      <c r="A22391" s="2" t="s">
        <v>821</v>
      </c>
    </row>
    <row r="22393" spans="1:1" ht="12.75">
      <c r="A22393" s="2" t="s">
        <v>821</v>
      </c>
    </row>
    <row r="22394" spans="1:1" ht="12.75">
      <c r="A22394" s="2" t="s">
        <v>821</v>
      </c>
    </row>
    <row r="22395" spans="1:1" ht="12.75">
      <c r="A22395" s="2" t="s">
        <v>829</v>
      </c>
    </row>
    <row r="22396" spans="1:1" ht="12.75">
      <c r="A22396" s="2" t="s">
        <v>820</v>
      </c>
    </row>
    <row r="22397" spans="1:1" ht="12.75">
      <c r="A22397" s="2" t="s">
        <v>841</v>
      </c>
    </row>
    <row r="22398" spans="1:1" ht="12.75">
      <c r="A22398" s="2" t="s">
        <v>825</v>
      </c>
    </row>
    <row r="22399" spans="1:1" ht="12.75">
      <c r="A22399" s="2" t="s">
        <v>829</v>
      </c>
    </row>
    <row r="22401" spans="1:1" ht="12.75">
      <c r="A22401" s="2" t="s">
        <v>836</v>
      </c>
    </row>
    <row r="22402" spans="1:1" ht="12.75">
      <c r="A22402" s="2" t="s">
        <v>836</v>
      </c>
    </row>
    <row r="22403" spans="1:1" ht="12.75">
      <c r="A22403" s="2" t="s">
        <v>920</v>
      </c>
    </row>
    <row r="22404" spans="1:1" ht="12.75">
      <c r="A22404" s="2" t="s">
        <v>921</v>
      </c>
    </row>
    <row r="22405" spans="1:1" ht="12.75">
      <c r="A22405" s="2" t="s">
        <v>819</v>
      </c>
    </row>
    <row r="22406" spans="1:1" ht="12.75">
      <c r="A22406" s="2" t="s">
        <v>819</v>
      </c>
    </row>
    <row r="22407" spans="1:1" ht="12.75">
      <c r="A22407" s="2" t="s">
        <v>820</v>
      </c>
    </row>
    <row r="22408" spans="1:1" ht="12.75">
      <c r="A22408" s="2" t="s">
        <v>820</v>
      </c>
    </row>
    <row r="22409" spans="1:1" ht="12.75">
      <c r="A22409" s="2" t="s">
        <v>822</v>
      </c>
    </row>
    <row r="22412" spans="1:1" ht="12.75">
      <c r="A22412" s="2" t="s">
        <v>836</v>
      </c>
    </row>
    <row r="22413" spans="1:1" ht="12.75">
      <c r="A22413" s="2" t="s">
        <v>836</v>
      </c>
    </row>
    <row r="22414" spans="1:1" ht="12.75">
      <c r="A22414" s="2" t="s">
        <v>920</v>
      </c>
    </row>
    <row r="22415" spans="1:1" ht="12.75">
      <c r="A22415" s="2" t="s">
        <v>821</v>
      </c>
    </row>
    <row r="22416" spans="1:1" ht="12.75">
      <c r="A22416" s="2" t="s">
        <v>821</v>
      </c>
    </row>
    <row r="22417" spans="1:1" ht="12.75">
      <c r="A22417" s="2" t="s">
        <v>836</v>
      </c>
    </row>
    <row r="22418" spans="1:1" ht="12.75">
      <c r="A22418" s="2" t="s">
        <v>836</v>
      </c>
    </row>
    <row r="22419" spans="1:1" ht="12.75">
      <c r="A22419" s="2" t="s">
        <v>829</v>
      </c>
    </row>
    <row r="22420" spans="1:1" ht="12.75">
      <c r="A22420" s="2" t="s">
        <v>829</v>
      </c>
    </row>
    <row r="22421" spans="1:1" ht="12.75">
      <c r="A22421" s="2" t="s">
        <v>829</v>
      </c>
    </row>
    <row r="22422" spans="1:1" ht="12.75">
      <c r="A22422" s="2" t="s">
        <v>843</v>
      </c>
    </row>
    <row r="22423" spans="1:1" ht="12.75">
      <c r="A22423" s="2" t="s">
        <v>829</v>
      </c>
    </row>
    <row r="22424" spans="1:1" ht="12.75">
      <c r="A22424" s="2" t="s">
        <v>836</v>
      </c>
    </row>
    <row r="22425" spans="1:1" ht="12.75">
      <c r="A22425" s="2" t="s">
        <v>820</v>
      </c>
    </row>
    <row r="22426" spans="1:1" ht="12.75">
      <c r="A22426" s="2" t="s">
        <v>820</v>
      </c>
    </row>
    <row r="22427" spans="1:1" ht="12.75">
      <c r="A22427" s="2" t="s">
        <v>822</v>
      </c>
    </row>
    <row r="22428" spans="1:1" ht="12.75">
      <c r="A22428" s="2" t="s">
        <v>822</v>
      </c>
    </row>
    <row r="22429" spans="1:1" ht="12.75">
      <c r="A22429" s="2" t="s">
        <v>825</v>
      </c>
    </row>
    <row r="22430" spans="1:1" ht="12.75">
      <c r="A22430" s="2" t="s">
        <v>825</v>
      </c>
    </row>
    <row r="22431" spans="1:1" ht="12.75">
      <c r="A22431" s="2" t="s">
        <v>829</v>
      </c>
    </row>
    <row r="22432" spans="1:1" ht="12.75">
      <c r="A22432" s="2" t="s">
        <v>836</v>
      </c>
    </row>
    <row r="22433" spans="1:1" ht="12.75">
      <c r="A22433" s="2" t="s">
        <v>824</v>
      </c>
    </row>
    <row r="22434" spans="1:1" ht="12.75">
      <c r="A22434" s="2" t="s">
        <v>824</v>
      </c>
    </row>
    <row r="22435" spans="1:1" ht="12.75">
      <c r="A22435" s="2" t="s">
        <v>820</v>
      </c>
    </row>
    <row r="22436" spans="1:1" ht="12.75">
      <c r="A22436" s="2" t="s">
        <v>820</v>
      </c>
    </row>
    <row r="22437" spans="1:1" ht="12.75">
      <c r="A22437" s="2" t="s">
        <v>829</v>
      </c>
    </row>
    <row r="22438" spans="1:1" ht="12.75">
      <c r="A22438" s="2" t="s">
        <v>836</v>
      </c>
    </row>
    <row r="22439" spans="1:1" ht="12.75">
      <c r="A22439" s="2" t="s">
        <v>279</v>
      </c>
    </row>
    <row r="22440" spans="1:1" ht="12.75">
      <c r="A22440" s="2" t="s">
        <v>279</v>
      </c>
    </row>
    <row r="22441" spans="1:1" ht="12.75">
      <c r="A22441" s="2" t="s">
        <v>279</v>
      </c>
    </row>
    <row r="22442" spans="1:1" ht="12.75">
      <c r="A22442" s="2" t="s">
        <v>279</v>
      </c>
    </row>
    <row r="22443" spans="1:1" ht="12.75">
      <c r="A22443" s="2" t="s">
        <v>279</v>
      </c>
    </row>
    <row r="22444" spans="1:1" ht="12.75">
      <c r="A22444" s="2" t="s">
        <v>279</v>
      </c>
    </row>
    <row r="22445" spans="1:1" ht="12.75">
      <c r="A22445" s="2" t="s">
        <v>446</v>
      </c>
    </row>
    <row r="22446" spans="1:1" ht="12.75">
      <c r="A22446" s="2" t="s">
        <v>446</v>
      </c>
    </row>
    <row r="22447" spans="1:1" ht="12.75">
      <c r="A22447" s="2" t="s">
        <v>446</v>
      </c>
    </row>
    <row r="22448" spans="1:1" ht="12.75">
      <c r="A22448" s="2" t="s">
        <v>446</v>
      </c>
    </row>
    <row r="22449" spans="1:1" ht="12.75">
      <c r="A22449" s="2" t="s">
        <v>446</v>
      </c>
    </row>
    <row r="22450" spans="1:1" ht="12.75">
      <c r="A22450" s="2" t="s">
        <v>446</v>
      </c>
    </row>
    <row r="22451" spans="1:1" ht="12.75">
      <c r="A22451" s="2" t="s">
        <v>447</v>
      </c>
    </row>
    <row r="22452" spans="1:1" ht="12.75">
      <c r="A22452" s="2" t="s">
        <v>447</v>
      </c>
    </row>
    <row r="22453" spans="1:1" ht="12.75">
      <c r="A22453" s="2" t="s">
        <v>450</v>
      </c>
    </row>
    <row r="22454" spans="1:1" ht="12.75">
      <c r="A22454" s="2" t="s">
        <v>447</v>
      </c>
    </row>
    <row r="22455" spans="1:1" ht="12.75">
      <c r="A22455" s="2" t="s">
        <v>446</v>
      </c>
    </row>
    <row r="22456" spans="1:1" ht="12.75">
      <c r="A22456" s="2" t="s">
        <v>450</v>
      </c>
    </row>
    <row r="22457" spans="1:1" ht="12.75">
      <c r="A22457" s="2" t="s">
        <v>446</v>
      </c>
    </row>
    <row r="22458" spans="1:1" ht="12.75">
      <c r="A22458" s="2" t="s">
        <v>446</v>
      </c>
    </row>
    <row r="22459" spans="1:1" ht="12.75">
      <c r="A22459" s="2" t="s">
        <v>446</v>
      </c>
    </row>
    <row r="22460" spans="1:1" ht="12.75">
      <c r="A22460" s="2" t="s">
        <v>446</v>
      </c>
    </row>
    <row r="22461" spans="1:1" ht="12.75">
      <c r="A22461" s="2" t="s">
        <v>615</v>
      </c>
    </row>
    <row r="22462" spans="1:1" ht="12.75">
      <c r="A22462" s="2" t="s">
        <v>615</v>
      </c>
    </row>
    <row r="22463" spans="1:1" ht="12.75">
      <c r="A22463" s="2" t="s">
        <v>448</v>
      </c>
    </row>
    <row r="22464" spans="1:1" ht="12.75">
      <c r="A22464" s="2" t="s">
        <v>615</v>
      </c>
    </row>
    <row r="22465" spans="1:1" ht="12.75">
      <c r="A22465" s="2" t="s">
        <v>448</v>
      </c>
    </row>
    <row r="22466" spans="1:1" ht="12.75">
      <c r="A22466" s="2" t="s">
        <v>448</v>
      </c>
    </row>
    <row r="22467" spans="1:1" ht="12.75">
      <c r="A22467" s="2" t="s">
        <v>448</v>
      </c>
    </row>
    <row r="22468" spans="1:1" ht="12.75">
      <c r="A22468" s="2" t="s">
        <v>448</v>
      </c>
    </row>
    <row r="22469" spans="1:1" ht="12.75">
      <c r="A22469" s="2" t="s">
        <v>450</v>
      </c>
    </row>
    <row r="22470" spans="1:1" ht="12.75">
      <c r="A22470" s="2" t="s">
        <v>446</v>
      </c>
    </row>
    <row r="22471" spans="1:1" ht="12.75">
      <c r="A22471" s="2" t="s">
        <v>446</v>
      </c>
    </row>
    <row r="22472" spans="1:1" ht="12.75">
      <c r="A22472" s="2" t="s">
        <v>446</v>
      </c>
    </row>
    <row r="22473" spans="1:1" ht="12.75">
      <c r="A22473" s="2" t="s">
        <v>446</v>
      </c>
    </row>
    <row r="22474" spans="1:1" ht="12.75">
      <c r="A22474" s="2" t="s">
        <v>446</v>
      </c>
    </row>
    <row r="22475" spans="1:1" ht="12.75">
      <c r="A22475" s="2" t="s">
        <v>447</v>
      </c>
    </row>
    <row r="22476" spans="1:1" ht="12.75">
      <c r="A22476" s="2" t="s">
        <v>446</v>
      </c>
    </row>
    <row r="22477" spans="1:1" ht="12.75">
      <c r="A22477" s="2" t="s">
        <v>447</v>
      </c>
    </row>
    <row r="22478" spans="1:1" ht="12.75">
      <c r="A22478" s="2" t="s">
        <v>447</v>
      </c>
    </row>
    <row r="22479" spans="1:1" ht="12.75">
      <c r="A22479" s="2" t="s">
        <v>447</v>
      </c>
    </row>
    <row r="22480" spans="1:1" ht="12.75">
      <c r="A22480" s="2" t="s">
        <v>447</v>
      </c>
    </row>
    <row r="22481" spans="1:1" ht="12.75">
      <c r="A22481" s="2" t="s">
        <v>448</v>
      </c>
    </row>
    <row r="22482" spans="1:1" ht="12.75">
      <c r="A22482" s="2" t="s">
        <v>448</v>
      </c>
    </row>
    <row r="22483" spans="1:1" ht="12.75">
      <c r="A22483" s="2" t="s">
        <v>615</v>
      </c>
    </row>
    <row r="22484" spans="1:1" ht="12.75">
      <c r="A22484" s="2" t="s">
        <v>447</v>
      </c>
    </row>
    <row r="22485" spans="1:1" ht="12.75">
      <c r="A22485" s="2" t="s">
        <v>448</v>
      </c>
    </row>
    <row r="22486" spans="1:1" ht="12.75">
      <c r="A22486" s="2" t="s">
        <v>448</v>
      </c>
    </row>
    <row r="22487" spans="1:1" ht="12.75">
      <c r="A22487" s="2" t="s">
        <v>446</v>
      </c>
    </row>
    <row r="22488" spans="1:1" ht="12.75">
      <c r="A22488" s="2" t="s">
        <v>446</v>
      </c>
    </row>
    <row r="22489" spans="1:1" ht="12.75">
      <c r="A22489" s="2" t="s">
        <v>491</v>
      </c>
    </row>
    <row r="22490" spans="1:1" ht="12.75">
      <c r="A22490" s="2" t="s">
        <v>613</v>
      </c>
    </row>
    <row r="22491" spans="1:1" ht="12.75">
      <c r="A22491" s="2" t="s">
        <v>438</v>
      </c>
    </row>
    <row r="22492" spans="1:1" ht="12.75">
      <c r="A22492" s="2" t="s">
        <v>613</v>
      </c>
    </row>
    <row r="22493" spans="1:1" ht="12.75">
      <c r="A22493" s="2" t="s">
        <v>443</v>
      </c>
    </row>
    <row r="22494" spans="1:1" ht="12.75">
      <c r="A22494" s="2" t="s">
        <v>612</v>
      </c>
    </row>
    <row r="22495" spans="1:1" ht="12.75">
      <c r="A22495" s="2" t="s">
        <v>439</v>
      </c>
    </row>
    <row r="22496" spans="1:1" ht="12.75">
      <c r="A22496" s="2" t="s">
        <v>439</v>
      </c>
    </row>
    <row r="22497" spans="1:1" ht="12.75">
      <c r="A22497" s="2" t="s">
        <v>439</v>
      </c>
    </row>
    <row r="22498" spans="1:1" ht="12.75">
      <c r="A22498" s="2" t="s">
        <v>439</v>
      </c>
    </row>
    <row r="22499" spans="1:1" ht="12.75">
      <c r="A22499" s="2" t="s">
        <v>439</v>
      </c>
    </row>
    <row r="22500" spans="1:1" ht="12.75">
      <c r="A22500" s="2" t="s">
        <v>443</v>
      </c>
    </row>
    <row r="22501" spans="1:1" ht="12.75">
      <c r="A22501" s="2" t="s">
        <v>438</v>
      </c>
    </row>
    <row r="22502" spans="1:1" ht="12.75">
      <c r="A22502" s="2" t="s">
        <v>613</v>
      </c>
    </row>
    <row r="22503" spans="1:1" ht="12.75">
      <c r="A22503" s="2" t="s">
        <v>491</v>
      </c>
    </row>
    <row r="22504" spans="1:1" ht="12.75">
      <c r="A22504" s="2" t="s">
        <v>491</v>
      </c>
    </row>
    <row r="22505" spans="1:1" ht="12.75">
      <c r="A22505" s="2" t="s">
        <v>439</v>
      </c>
    </row>
    <row r="22506" spans="1:1" ht="12.75">
      <c r="A22506" s="2" t="s">
        <v>439</v>
      </c>
    </row>
    <row r="22507" spans="1:1" ht="12.75">
      <c r="A22507" s="2" t="s">
        <v>438</v>
      </c>
    </row>
    <row r="22508" spans="1:1" ht="12.75">
      <c r="A22508" s="2" t="s">
        <v>613</v>
      </c>
    </row>
    <row r="22509" spans="1:1" ht="12.75">
      <c r="A22509" s="2" t="s">
        <v>481</v>
      </c>
    </row>
    <row r="22510" spans="1:1" ht="12.75">
      <c r="A22510" s="2" t="s">
        <v>481</v>
      </c>
    </row>
    <row r="22512" spans="1:1" ht="12.75">
      <c r="A22512" s="2" t="s">
        <v>480</v>
      </c>
    </row>
    <row r="22515" spans="1:1" ht="12.75">
      <c r="A22515" s="2" t="s">
        <v>480</v>
      </c>
    </row>
    <row r="22517" spans="1:1" ht="12.75">
      <c r="A22517" s="2" t="s">
        <v>849</v>
      </c>
    </row>
    <row r="22518" spans="1:1" ht="12.75">
      <c r="A22518" s="2" t="s">
        <v>849</v>
      </c>
    </row>
    <row r="22519" spans="1:1" ht="12.75">
      <c r="A22519" s="2" t="s">
        <v>443</v>
      </c>
    </row>
    <row r="22520" spans="1:1" ht="12.75">
      <c r="A22520" s="2" t="s">
        <v>438</v>
      </c>
    </row>
    <row r="22521" spans="1:1" ht="12.75">
      <c r="A22521" s="2" t="s">
        <v>439</v>
      </c>
    </row>
    <row r="22522" spans="1:1" ht="12.75">
      <c r="A22522" s="2" t="s">
        <v>612</v>
      </c>
    </row>
    <row r="22523" spans="1:1" ht="12.75">
      <c r="A22523" s="2" t="s">
        <v>443</v>
      </c>
    </row>
    <row r="22524" spans="1:1" ht="12.75">
      <c r="A22524" s="2" t="s">
        <v>438</v>
      </c>
    </row>
    <row r="22525" spans="1:1" ht="12.75">
      <c r="A22525" s="2" t="s">
        <v>853</v>
      </c>
    </row>
    <row r="22526" spans="1:1" ht="12.75">
      <c r="A22526" s="2" t="s">
        <v>853</v>
      </c>
    </row>
    <row r="22527" spans="1:1" ht="12.75">
      <c r="A22527" s="2" t="s">
        <v>404</v>
      </c>
    </row>
    <row r="22528" spans="1:1" ht="12.75">
      <c r="A22528" s="2" t="s">
        <v>439</v>
      </c>
    </row>
    <row r="22529" spans="1:1" ht="12.75">
      <c r="A22529" s="2" t="s">
        <v>849</v>
      </c>
    </row>
    <row r="22530" spans="1:1" ht="12.75">
      <c r="A22530" s="2" t="s">
        <v>849</v>
      </c>
    </row>
    <row r="22531" spans="1:1" ht="12.75">
      <c r="A22531" s="2" t="s">
        <v>849</v>
      </c>
    </row>
    <row r="22532" spans="1:1" ht="12.75">
      <c r="A22532" s="2" t="s">
        <v>849</v>
      </c>
    </row>
    <row r="22533" spans="1:1" ht="12.75">
      <c r="A22533" s="2" t="s">
        <v>481</v>
      </c>
    </row>
    <row r="22534" spans="1:1" ht="12.75">
      <c r="A22534" s="2" t="s">
        <v>849</v>
      </c>
    </row>
    <row r="22535" spans="1:1" ht="12.75">
      <c r="A22535" s="2" t="s">
        <v>851</v>
      </c>
    </row>
    <row r="22536" spans="1:1" ht="12.75">
      <c r="A22536" s="2" t="s">
        <v>851</v>
      </c>
    </row>
    <row r="22537" spans="1:1" ht="12.75">
      <c r="A22537" s="2" t="s">
        <v>561</v>
      </c>
    </row>
    <row r="22538" spans="1:1" ht="12.75">
      <c r="A22538" s="2" t="s">
        <v>561</v>
      </c>
    </row>
    <row r="22539" spans="1:1" ht="12.75">
      <c r="A22539" s="2" t="s">
        <v>561</v>
      </c>
    </row>
    <row r="22540" spans="1:1" ht="12.75">
      <c r="A22540" s="2" t="s">
        <v>561</v>
      </c>
    </row>
    <row r="22541" spans="1:1" ht="12.75">
      <c r="A22541" s="2" t="s">
        <v>561</v>
      </c>
    </row>
    <row r="22542" spans="1:1" ht="12.75">
      <c r="A22542" s="2" t="s">
        <v>561</v>
      </c>
    </row>
    <row r="22543" spans="1:1" ht="12.75">
      <c r="A22543" s="2" t="s">
        <v>561</v>
      </c>
    </row>
    <row r="22544" spans="1:1" ht="12.75">
      <c r="A22544" s="2" t="s">
        <v>561</v>
      </c>
    </row>
    <row r="22545" spans="1:1" ht="12.75">
      <c r="A22545" s="2" t="s">
        <v>402</v>
      </c>
    </row>
    <row r="22546" spans="1:1" ht="12.75">
      <c r="A22546" s="2" t="s">
        <v>402</v>
      </c>
    </row>
    <row r="22547" spans="1:1" ht="12.75">
      <c r="A22547" s="2" t="s">
        <v>402</v>
      </c>
    </row>
    <row r="22548" spans="1:1" ht="12.75">
      <c r="A22548" s="2" t="s">
        <v>402</v>
      </c>
    </row>
    <row r="22549" spans="1:1" ht="12.75">
      <c r="A22549" s="2" t="s">
        <v>402</v>
      </c>
    </row>
    <row r="22550" spans="1:1" ht="12.75">
      <c r="A22550" s="2" t="s">
        <v>402</v>
      </c>
    </row>
    <row r="22553" spans="1:1" ht="12.75">
      <c r="A22553" s="2" t="s">
        <v>402</v>
      </c>
    </row>
    <row r="22554" spans="1:1" ht="12.75">
      <c r="A22554" s="2" t="s">
        <v>402</v>
      </c>
    </row>
    <row r="22555" spans="1:1" ht="12.75">
      <c r="A22555" s="2" t="s">
        <v>860</v>
      </c>
    </row>
    <row r="22556" spans="1:1" ht="12.75">
      <c r="A22556" s="2" t="s">
        <v>860</v>
      </c>
    </row>
    <row r="22557" spans="1:1" ht="12.75">
      <c r="A22557" s="2" t="s">
        <v>859</v>
      </c>
    </row>
    <row r="22558" spans="1:1" ht="12.75">
      <c r="A22558" s="2" t="s">
        <v>270</v>
      </c>
    </row>
    <row r="22559" spans="1:1" ht="12.75">
      <c r="A22559" s="2" t="s">
        <v>922</v>
      </c>
    </row>
    <row r="22560" spans="1:1" ht="12.75">
      <c r="A22560" s="2" t="s">
        <v>268</v>
      </c>
    </row>
    <row r="22561" spans="1:1" ht="12.75">
      <c r="A22561" s="2" t="s">
        <v>269</v>
      </c>
    </row>
    <row r="22562" spans="1:1" ht="12.75">
      <c r="A22562" s="2" t="s">
        <v>268</v>
      </c>
    </row>
    <row r="22563" spans="1:1" ht="12.75">
      <c r="A22563" s="2" t="s">
        <v>272</v>
      </c>
    </row>
    <row r="22564" spans="1:1" ht="12.75">
      <c r="A22564" s="2" t="s">
        <v>269</v>
      </c>
    </row>
    <row r="22565" spans="1:1" ht="12.75">
      <c r="A22565" s="2" t="s">
        <v>271</v>
      </c>
    </row>
    <row r="22566" spans="1:1" ht="12.75">
      <c r="A22566" s="2" t="s">
        <v>272</v>
      </c>
    </row>
    <row r="22567" spans="1:1" ht="12.75">
      <c r="A22567" s="2" t="s">
        <v>270</v>
      </c>
    </row>
    <row r="22568" spans="1:1" ht="12.75">
      <c r="A22568" s="2" t="s">
        <v>270</v>
      </c>
    </row>
    <row r="22569" spans="1:1" ht="12.75">
      <c r="A22569" s="2" t="s">
        <v>273</v>
      </c>
    </row>
    <row r="22570" spans="1:1" ht="12.75">
      <c r="A22570" s="2" t="s">
        <v>860</v>
      </c>
    </row>
    <row r="22571" spans="1:1" ht="12.75">
      <c r="A22571" s="2" t="s">
        <v>860</v>
      </c>
    </row>
    <row r="22572" spans="1:1" ht="12.75">
      <c r="A22572" s="2" t="s">
        <v>860</v>
      </c>
    </row>
    <row r="22573" spans="1:1" ht="12.75">
      <c r="A22573" s="2" t="s">
        <v>268</v>
      </c>
    </row>
    <row r="22574" spans="1:1" ht="12.75">
      <c r="A22574" s="2" t="s">
        <v>923</v>
      </c>
    </row>
    <row r="22575" spans="1:1" ht="12.75">
      <c r="A22575" s="2" t="s">
        <v>270</v>
      </c>
    </row>
    <row r="22576" spans="1:1" ht="12.75">
      <c r="A22576" s="2" t="s">
        <v>863</v>
      </c>
    </row>
    <row r="22577" spans="1:1" ht="12.75">
      <c r="A22577" s="2" t="s">
        <v>922</v>
      </c>
    </row>
    <row r="22578" spans="1:1" ht="12.75">
      <c r="A22578" s="2" t="s">
        <v>922</v>
      </c>
    </row>
    <row r="22579" spans="1:1" ht="12.75">
      <c r="A22579" s="2" t="s">
        <v>923</v>
      </c>
    </row>
    <row r="22580" spans="1:1" ht="12.75">
      <c r="A22580" s="2" t="s">
        <v>923</v>
      </c>
    </row>
    <row r="22581" spans="1:1" ht="12.75">
      <c r="A22581" s="2" t="s">
        <v>924</v>
      </c>
    </row>
    <row r="22582" spans="1:1" ht="12.75">
      <c r="A22582" s="2" t="s">
        <v>924</v>
      </c>
    </row>
    <row r="22583" spans="1:1" ht="12.75">
      <c r="A22583" s="2" t="s">
        <v>861</v>
      </c>
    </row>
    <row r="22584" spans="1:1" ht="12.75">
      <c r="A22584" s="2" t="s">
        <v>859</v>
      </c>
    </row>
    <row r="22585" spans="1:1" ht="12.75">
      <c r="A22585" s="2" t="s">
        <v>860</v>
      </c>
    </row>
    <row r="22586" spans="1:1" ht="12.75">
      <c r="A22586" s="2" t="s">
        <v>861</v>
      </c>
    </row>
    <row r="22587" spans="1:1" ht="12.75">
      <c r="A22587" s="2" t="s">
        <v>271</v>
      </c>
    </row>
    <row r="22588" spans="1:1" ht="12.75">
      <c r="A22588" s="2" t="s">
        <v>860</v>
      </c>
    </row>
    <row r="22589" spans="1:1" ht="12.75">
      <c r="A22589" s="2" t="s">
        <v>271</v>
      </c>
    </row>
    <row r="22590" spans="1:1" ht="12.75">
      <c r="A22590" s="2" t="s">
        <v>273</v>
      </c>
    </row>
    <row r="22591" spans="1:1" ht="12.75">
      <c r="A22591" s="2" t="s">
        <v>268</v>
      </c>
    </row>
    <row r="22592" spans="1:1" ht="12.75">
      <c r="A22592" s="2" t="s">
        <v>268</v>
      </c>
    </row>
    <row r="22593" spans="1:1" ht="12.75">
      <c r="A22593" s="2" t="s">
        <v>272</v>
      </c>
    </row>
    <row r="22594" spans="1:1" ht="12.75">
      <c r="A22594" s="2" t="s">
        <v>272</v>
      </c>
    </row>
    <row r="22595" spans="1:1" ht="12.75">
      <c r="A22595" s="2" t="s">
        <v>270</v>
      </c>
    </row>
    <row r="22596" spans="1:1" ht="12.75">
      <c r="A22596" s="2" t="s">
        <v>270</v>
      </c>
    </row>
    <row r="22597" spans="1:1" ht="12.75">
      <c r="A22597" s="2" t="s">
        <v>273</v>
      </c>
    </row>
    <row r="22598" spans="1:1" ht="12.75">
      <c r="A22598" s="2" t="s">
        <v>273</v>
      </c>
    </row>
    <row r="22599" spans="1:1" ht="12.75">
      <c r="A22599" s="2" t="s">
        <v>923</v>
      </c>
    </row>
    <row r="22600" spans="1:1" ht="12.75">
      <c r="A22600" s="2" t="s">
        <v>269</v>
      </c>
    </row>
    <row r="22601" spans="1:1" ht="12.75">
      <c r="A22601" s="2" t="s">
        <v>861</v>
      </c>
    </row>
    <row r="22602" spans="1:1" ht="12.75">
      <c r="A22602" s="2" t="s">
        <v>269</v>
      </c>
    </row>
    <row r="22604" spans="1:1" ht="12.75">
      <c r="A22604" s="2" t="s">
        <v>861</v>
      </c>
    </row>
    <row r="22605" spans="1:1" ht="12.75">
      <c r="A22605" s="2" t="s">
        <v>922</v>
      </c>
    </row>
    <row r="22606" spans="1:1" ht="12.75">
      <c r="A22606" s="2" t="s">
        <v>922</v>
      </c>
    </row>
    <row r="22607" spans="1:1" ht="12.75">
      <c r="A22607" s="2" t="s">
        <v>273</v>
      </c>
    </row>
    <row r="22608" spans="1:1" ht="12.75">
      <c r="A22608" s="2" t="s">
        <v>273</v>
      </c>
    </row>
    <row r="22609" spans="1:1" ht="12.75">
      <c r="A22609" s="2" t="s">
        <v>924</v>
      </c>
    </row>
    <row r="22610" spans="1:1" ht="12.75">
      <c r="A22610" s="2" t="s">
        <v>271</v>
      </c>
    </row>
    <row r="22611" spans="1:1" ht="12.75">
      <c r="A22611" s="2" t="s">
        <v>924</v>
      </c>
    </row>
    <row r="22612" spans="1:1" ht="12.75">
      <c r="A22612" s="2" t="s">
        <v>859</v>
      </c>
    </row>
    <row r="22613" spans="1:1" ht="12.75">
      <c r="A22613" s="2" t="s">
        <v>272</v>
      </c>
    </row>
    <row r="22614" spans="1:1" ht="12.75">
      <c r="A22614" s="2" t="s">
        <v>272</v>
      </c>
    </row>
    <row r="22615" spans="1:1" ht="12.75">
      <c r="A22615" s="2" t="s">
        <v>269</v>
      </c>
    </row>
    <row r="22616" spans="1:1" ht="12.75">
      <c r="A22616" s="2" t="s">
        <v>269</v>
      </c>
    </row>
    <row r="22617" spans="1:1" ht="12.75">
      <c r="A22617" s="2" t="s">
        <v>923</v>
      </c>
    </row>
    <row r="22618" spans="1:1" ht="12.75">
      <c r="A22618" s="2" t="s">
        <v>922</v>
      </c>
    </row>
    <row r="22619" spans="1:1" ht="12.75">
      <c r="A22619" s="2" t="s">
        <v>922</v>
      </c>
    </row>
    <row r="22620" spans="1:1" ht="12.75">
      <c r="A22620" s="2" t="s">
        <v>860</v>
      </c>
    </row>
    <row r="22621" spans="1:1" ht="12.75">
      <c r="A22621" s="2" t="s">
        <v>860</v>
      </c>
    </row>
    <row r="22622" spans="1:1" ht="12.75">
      <c r="A22622" s="2" t="s">
        <v>268</v>
      </c>
    </row>
    <row r="22623" spans="1:1" ht="12.75">
      <c r="A22623" s="2" t="s">
        <v>268</v>
      </c>
    </row>
    <row r="22624" spans="1:1" ht="12.75">
      <c r="A22624" s="2" t="s">
        <v>271</v>
      </c>
    </row>
    <row r="22625" spans="1:1" ht="12.75">
      <c r="A22625" s="2" t="s">
        <v>271</v>
      </c>
    </row>
    <row r="22626" spans="1:1" ht="12.75">
      <c r="A22626" s="2" t="s">
        <v>272</v>
      </c>
    </row>
    <row r="22627" spans="1:1" ht="12.75">
      <c r="A22627" s="2" t="s">
        <v>272</v>
      </c>
    </row>
    <row r="22628" spans="1:1" ht="12.75">
      <c r="A22628" s="2" t="s">
        <v>269</v>
      </c>
    </row>
    <row r="22629" spans="1:1" ht="12.75">
      <c r="A22629" s="2" t="s">
        <v>269</v>
      </c>
    </row>
    <row r="22630" spans="1:1" ht="12.75">
      <c r="A22630" s="2" t="s">
        <v>859</v>
      </c>
    </row>
    <row r="22631" spans="1:1" ht="12.75">
      <c r="A22631" s="2" t="s">
        <v>859</v>
      </c>
    </row>
    <row r="22632" spans="1:1" ht="12.75">
      <c r="A22632" s="2" t="s">
        <v>861</v>
      </c>
    </row>
    <row r="22633" spans="1:1" ht="12.75">
      <c r="A22633" s="2" t="s">
        <v>861</v>
      </c>
    </row>
    <row r="22634" spans="1:1" ht="12.75">
      <c r="A22634" s="2" t="s">
        <v>924</v>
      </c>
    </row>
    <row r="22635" spans="1:1" ht="12.75">
      <c r="A22635" s="2" t="s">
        <v>924</v>
      </c>
    </row>
    <row r="22636" spans="1:1" ht="12.75">
      <c r="A22636" s="2" t="s">
        <v>924</v>
      </c>
    </row>
    <row r="22637" spans="1:1" ht="12.75">
      <c r="A22637" s="2" t="s">
        <v>922</v>
      </c>
    </row>
    <row r="22638" spans="1:1" ht="12.75">
      <c r="A22638" s="2" t="s">
        <v>922</v>
      </c>
    </row>
    <row r="22639" spans="1:1" ht="12.75">
      <c r="A22639" s="2" t="s">
        <v>922</v>
      </c>
    </row>
    <row r="22640" spans="1:1" ht="12.75">
      <c r="A22640" s="2" t="s">
        <v>922</v>
      </c>
    </row>
    <row r="22641" spans="1:1" ht="12.75">
      <c r="A22641" s="2" t="s">
        <v>925</v>
      </c>
    </row>
    <row r="22642" spans="1:1" ht="12.75">
      <c r="A22642" s="2" t="s">
        <v>859</v>
      </c>
    </row>
    <row r="22643" spans="1:1" ht="12.75">
      <c r="A22643" s="2" t="s">
        <v>926</v>
      </c>
    </row>
    <row r="22644" spans="1:1" ht="12.75">
      <c r="A22644" s="2" t="s">
        <v>861</v>
      </c>
    </row>
    <row r="22645" spans="1:1" ht="12.75">
      <c r="A22645" s="2" t="s">
        <v>859</v>
      </c>
    </row>
    <row r="22646" spans="1:1" ht="12.75">
      <c r="A22646" s="2" t="s">
        <v>861</v>
      </c>
    </row>
    <row r="22647" spans="1:1" ht="12.75">
      <c r="A22647" s="2" t="s">
        <v>859</v>
      </c>
    </row>
    <row r="22648" spans="1:1" ht="12.75">
      <c r="A22648" s="2" t="s">
        <v>860</v>
      </c>
    </row>
    <row r="22649" spans="1:1" ht="12.75">
      <c r="A22649" s="2" t="s">
        <v>859</v>
      </c>
    </row>
    <row r="22650" spans="1:1" ht="12.75">
      <c r="A22650" s="2" t="s">
        <v>860</v>
      </c>
    </row>
    <row r="22651" spans="1:1" ht="12.75">
      <c r="A22651" s="2" t="s">
        <v>273</v>
      </c>
    </row>
    <row r="22652" spans="1:1" ht="12.75">
      <c r="A22652" s="2" t="s">
        <v>271</v>
      </c>
    </row>
    <row r="22653" spans="1:1" ht="12.75">
      <c r="A22653" s="2" t="s">
        <v>270</v>
      </c>
    </row>
    <row r="22654" spans="1:1" ht="12.75">
      <c r="A22654" s="2" t="s">
        <v>861</v>
      </c>
    </row>
    <row r="22655" spans="1:1" ht="12.75">
      <c r="A22655" s="2" t="s">
        <v>272</v>
      </c>
    </row>
    <row r="22656" spans="1:1" ht="12.75">
      <c r="A22656" s="2" t="s">
        <v>861</v>
      </c>
    </row>
    <row r="22657" spans="1:1" ht="12.75">
      <c r="A22657" s="2" t="s">
        <v>859</v>
      </c>
    </row>
    <row r="22658" spans="1:1" ht="12.75">
      <c r="A22658" s="2" t="s">
        <v>268</v>
      </c>
    </row>
    <row r="22659" spans="1:1" ht="12.75">
      <c r="A22659" s="2" t="s">
        <v>859</v>
      </c>
    </row>
    <row r="22660" spans="1:1" ht="12.75">
      <c r="A22660" s="2" t="s">
        <v>268</v>
      </c>
    </row>
    <row r="22661" spans="1:1" ht="12.75">
      <c r="A22661" s="2" t="s">
        <v>268</v>
      </c>
    </row>
    <row r="22662" spans="1:1" ht="12.75">
      <c r="A22662" s="2" t="s">
        <v>269</v>
      </c>
    </row>
    <row r="22663" spans="1:1" ht="12.75">
      <c r="A22663" s="2" t="s">
        <v>863</v>
      </c>
    </row>
    <row r="22664" spans="1:1" ht="12.75">
      <c r="A22664" s="2" t="s">
        <v>269</v>
      </c>
    </row>
    <row r="22665" spans="1:1" ht="12.75">
      <c r="A22665" s="2" t="s">
        <v>861</v>
      </c>
    </row>
    <row r="22666" spans="1:1" ht="12.75">
      <c r="A22666" s="2" t="s">
        <v>271</v>
      </c>
    </row>
    <row r="22667" spans="1:1" ht="12.75">
      <c r="A22667" s="2" t="s">
        <v>859</v>
      </c>
    </row>
    <row r="22668" spans="1:1" ht="12.75">
      <c r="A22668" s="2" t="s">
        <v>271</v>
      </c>
    </row>
    <row r="22669" spans="1:1" ht="12.75">
      <c r="A22669" s="2" t="s">
        <v>859</v>
      </c>
    </row>
    <row r="22670" spans="1:1" ht="12.75">
      <c r="A22670" s="2" t="s">
        <v>269</v>
      </c>
    </row>
    <row r="22671" spans="1:1" ht="12.75">
      <c r="A22671" s="2" t="s">
        <v>273</v>
      </c>
    </row>
    <row r="22672" spans="1:1" ht="12.75">
      <c r="A22672" s="2" t="s">
        <v>269</v>
      </c>
    </row>
    <row r="22673" spans="1:1" ht="12.75">
      <c r="A22673" s="2" t="s">
        <v>270</v>
      </c>
    </row>
    <row r="22674" spans="1:1" ht="12.75">
      <c r="A22674" s="2" t="s">
        <v>922</v>
      </c>
    </row>
    <row r="22675" spans="1:1" ht="12.75">
      <c r="A22675" s="2" t="s">
        <v>922</v>
      </c>
    </row>
    <row r="22676" spans="1:1" ht="12.75">
      <c r="A22676" s="2" t="s">
        <v>861</v>
      </c>
    </row>
    <row r="22677" spans="1:1" ht="12.75">
      <c r="A22677" s="2" t="s">
        <v>273</v>
      </c>
    </row>
    <row r="22678" spans="1:1" ht="12.75">
      <c r="A22678" s="2" t="s">
        <v>268</v>
      </c>
    </row>
    <row r="22679" spans="1:1" ht="12.75">
      <c r="A22679" s="2" t="s">
        <v>272</v>
      </c>
    </row>
    <row r="22680" spans="1:1" ht="12.75">
      <c r="A22680" s="2" t="s">
        <v>863</v>
      </c>
    </row>
    <row r="22681" spans="1:1" ht="12.75">
      <c r="A22681" s="2" t="s">
        <v>272</v>
      </c>
    </row>
    <row r="22682" spans="1:1" ht="12.75">
      <c r="A22682" s="2" t="s">
        <v>270</v>
      </c>
    </row>
    <row r="22683" spans="1:1" ht="12.75">
      <c r="A22683" s="2" t="s">
        <v>271</v>
      </c>
    </row>
    <row r="22684" spans="1:1" ht="12.75">
      <c r="A22684" s="2" t="s">
        <v>272</v>
      </c>
    </row>
    <row r="22685" spans="1:1" ht="12.75">
      <c r="A22685" s="2" t="s">
        <v>269</v>
      </c>
    </row>
    <row r="22686" spans="1:1" ht="12.75">
      <c r="A22686" s="2" t="s">
        <v>271</v>
      </c>
    </row>
    <row r="22687" spans="1:1" ht="12.75">
      <c r="A22687" s="2" t="s">
        <v>270</v>
      </c>
    </row>
    <row r="22688" spans="1:1" ht="12.75">
      <c r="A22688" s="2" t="s">
        <v>270</v>
      </c>
    </row>
    <row r="22689" spans="1:1" ht="12.75">
      <c r="A22689" s="2" t="s">
        <v>859</v>
      </c>
    </row>
    <row r="22690" spans="1:1" ht="12.75">
      <c r="A22690" s="2" t="s">
        <v>859</v>
      </c>
    </row>
    <row r="22691" spans="1:1" ht="12.75">
      <c r="A22691" s="2" t="s">
        <v>922</v>
      </c>
    </row>
    <row r="22692" spans="1:1" ht="12.75">
      <c r="A22692" s="2" t="s">
        <v>859</v>
      </c>
    </row>
    <row r="22693" spans="1:1" ht="12.75">
      <c r="A22693" s="2" t="s">
        <v>860</v>
      </c>
    </row>
    <row r="22694" spans="1:1" ht="12.75">
      <c r="A22694" s="2" t="s">
        <v>922</v>
      </c>
    </row>
    <row r="22695" spans="1:1" ht="12.75">
      <c r="A22695" s="2" t="s">
        <v>273</v>
      </c>
    </row>
    <row r="22696" spans="1:1" ht="12.75">
      <c r="A22696" s="2" t="s">
        <v>860</v>
      </c>
    </row>
    <row r="22697" spans="1:1" ht="12.75">
      <c r="A22697" s="2" t="s">
        <v>268</v>
      </c>
    </row>
    <row r="22698" spans="1:1" ht="12.75">
      <c r="A22698" s="2" t="s">
        <v>269</v>
      </c>
    </row>
    <row r="22699" spans="1:1" ht="12.75">
      <c r="A22699" s="2" t="s">
        <v>924</v>
      </c>
    </row>
    <row r="22700" spans="1:1" ht="12.75">
      <c r="A22700" s="2" t="s">
        <v>268</v>
      </c>
    </row>
    <row r="22701" spans="1:1" ht="12.75">
      <c r="A22701" s="2" t="s">
        <v>924</v>
      </c>
    </row>
    <row r="22702" spans="1:1" ht="12.75">
      <c r="A22702" s="2" t="s">
        <v>924</v>
      </c>
    </row>
    <row r="22703" spans="1:1" ht="12.75">
      <c r="A22703" s="2" t="s">
        <v>273</v>
      </c>
    </row>
    <row r="22704" spans="1:1" ht="12.75">
      <c r="A22704" s="2" t="s">
        <v>268</v>
      </c>
    </row>
    <row r="22705" spans="1:1" ht="12.75">
      <c r="A22705" s="2" t="s">
        <v>270</v>
      </c>
    </row>
    <row r="22706" spans="1:1" ht="12.75">
      <c r="A22706" s="2" t="s">
        <v>272</v>
      </c>
    </row>
    <row r="22708" spans="1:1" ht="12.75">
      <c r="A22708" s="2" t="s">
        <v>269</v>
      </c>
    </row>
    <row r="22709" spans="1:1" ht="12.75">
      <c r="A22709" s="2" t="s">
        <v>924</v>
      </c>
    </row>
    <row r="22710" spans="1:1" ht="12.75">
      <c r="A22710" s="2" t="s">
        <v>924</v>
      </c>
    </row>
    <row r="22711" spans="1:1" ht="12.75">
      <c r="A22711" s="2" t="s">
        <v>861</v>
      </c>
    </row>
    <row r="22712" spans="1:1" ht="12.75">
      <c r="A22712" s="2" t="s">
        <v>861</v>
      </c>
    </row>
    <row r="22713" spans="1:1" ht="12.75">
      <c r="A22713" s="2" t="s">
        <v>273</v>
      </c>
    </row>
    <row r="22714" spans="1:1" ht="12.75">
      <c r="A22714" s="2" t="s">
        <v>269</v>
      </c>
    </row>
    <row r="22715" spans="1:1" ht="12.75">
      <c r="A22715" s="2" t="s">
        <v>861</v>
      </c>
    </row>
    <row r="22716" spans="1:1" ht="12.75">
      <c r="A22716" s="2" t="s">
        <v>861</v>
      </c>
    </row>
    <row r="22717" spans="1:1" ht="12.75">
      <c r="A22717" s="2" t="s">
        <v>271</v>
      </c>
    </row>
    <row r="22718" spans="1:1" ht="12.75">
      <c r="A22718" s="2" t="s">
        <v>271</v>
      </c>
    </row>
    <row r="22719" spans="1:1" ht="12.75">
      <c r="A22719" s="2" t="s">
        <v>270</v>
      </c>
    </row>
    <row r="22720" spans="1:1" ht="12.75">
      <c r="A22720" s="2" t="s">
        <v>273</v>
      </c>
    </row>
    <row r="22721" spans="1:1" ht="12.75">
      <c r="A22721" s="2" t="s">
        <v>272</v>
      </c>
    </row>
    <row r="22722" spans="1:1" ht="12.75">
      <c r="A22722" s="2" t="s">
        <v>272</v>
      </c>
    </row>
    <row r="22723" spans="1:1" ht="12.75">
      <c r="A22723" s="2" t="s">
        <v>272</v>
      </c>
    </row>
    <row r="22724" spans="1:1" ht="12.75">
      <c r="A22724" s="2" t="s">
        <v>272</v>
      </c>
    </row>
    <row r="22725" spans="1:1" ht="12.75">
      <c r="A22725" s="2" t="s">
        <v>270</v>
      </c>
    </row>
    <row r="22726" spans="1:1" ht="12.75">
      <c r="A22726" s="2" t="s">
        <v>273</v>
      </c>
    </row>
    <row r="22727" spans="1:1" ht="12.75">
      <c r="A22727" s="2" t="s">
        <v>268</v>
      </c>
    </row>
    <row r="22728" spans="1:1" ht="12.75">
      <c r="A22728" s="2" t="s">
        <v>270</v>
      </c>
    </row>
    <row r="22729" spans="1:1" ht="12.75">
      <c r="A22729" s="2" t="s">
        <v>269</v>
      </c>
    </row>
    <row r="22730" spans="1:1" ht="12.75">
      <c r="A22730" s="2" t="s">
        <v>268</v>
      </c>
    </row>
    <row r="22731" spans="1:1" ht="12.75">
      <c r="A22731" s="2" t="s">
        <v>271</v>
      </c>
    </row>
    <row r="22732" spans="1:1" ht="12.75">
      <c r="A22732" s="2" t="s">
        <v>269</v>
      </c>
    </row>
    <row r="22734" spans="1:1" ht="12.75">
      <c r="A22734" s="2" t="s">
        <v>268</v>
      </c>
    </row>
    <row r="22735" spans="1:1" ht="12.75">
      <c r="A22735" s="2" t="s">
        <v>273</v>
      </c>
    </row>
    <row r="22736" spans="1:1" ht="12.75">
      <c r="A22736" s="2" t="s">
        <v>268</v>
      </c>
    </row>
    <row r="22737" spans="1:1" ht="12.75">
      <c r="A22737" s="2" t="s">
        <v>268</v>
      </c>
    </row>
    <row r="22738" spans="1:1" ht="12.75">
      <c r="A22738" s="2" t="s">
        <v>271</v>
      </c>
    </row>
    <row r="22739" spans="1:1" ht="12.75">
      <c r="A22739" s="2" t="s">
        <v>269</v>
      </c>
    </row>
    <row r="22740" spans="1:1" ht="12.75">
      <c r="A22740" s="2" t="s">
        <v>272</v>
      </c>
    </row>
    <row r="22741" spans="1:1" ht="12.75">
      <c r="A22741" s="2" t="s">
        <v>272</v>
      </c>
    </row>
    <row r="22742" spans="1:1" ht="12.75">
      <c r="A22742" s="2" t="s">
        <v>270</v>
      </c>
    </row>
    <row r="22743" spans="1:1" ht="12.75">
      <c r="A22743" s="2" t="s">
        <v>272</v>
      </c>
    </row>
    <row r="22744" spans="1:1" ht="12.75">
      <c r="A22744" s="2" t="s">
        <v>270</v>
      </c>
    </row>
    <row r="22745" spans="1:1" ht="12.75">
      <c r="A22745" s="2" t="s">
        <v>272</v>
      </c>
    </row>
    <row r="22746" spans="1:1" ht="12.75">
      <c r="A22746" s="2" t="s">
        <v>273</v>
      </c>
    </row>
    <row r="22747" spans="1:1" ht="12.75">
      <c r="A22747" s="2" t="s">
        <v>268</v>
      </c>
    </row>
    <row r="22748" spans="1:1" ht="12.75">
      <c r="A22748" s="2" t="s">
        <v>269</v>
      </c>
    </row>
    <row r="22749" spans="1:1" ht="12.75">
      <c r="A22749" s="2" t="s">
        <v>268</v>
      </c>
    </row>
    <row r="22750" spans="1:1" ht="12.75">
      <c r="A22750" s="2" t="s">
        <v>268</v>
      </c>
    </row>
    <row r="22751" spans="1:1" ht="12.75">
      <c r="A22751" s="2" t="s">
        <v>268</v>
      </c>
    </row>
    <row r="22752" spans="1:1" ht="12.75">
      <c r="A22752" s="2" t="s">
        <v>269</v>
      </c>
    </row>
    <row r="22753" spans="1:1" ht="12.75">
      <c r="A22753" s="2" t="s">
        <v>271</v>
      </c>
    </row>
    <row r="22754" spans="1:1" ht="12.75">
      <c r="A22754" s="2" t="s">
        <v>270</v>
      </c>
    </row>
    <row r="22755" spans="1:1" ht="12.75">
      <c r="A22755" s="2" t="s">
        <v>271</v>
      </c>
    </row>
    <row r="22756" spans="1:1" ht="12.75">
      <c r="A22756" s="2" t="s">
        <v>269</v>
      </c>
    </row>
    <row r="22757" spans="1:1" ht="12.75">
      <c r="A22757" s="2" t="s">
        <v>269</v>
      </c>
    </row>
    <row r="22758" spans="1:1" ht="12.75">
      <c r="A22758" s="2" t="s">
        <v>270</v>
      </c>
    </row>
    <row r="22759" spans="1:1" ht="12.75">
      <c r="A22759" s="2" t="s">
        <v>273</v>
      </c>
    </row>
    <row r="22760" spans="1:1" ht="12.75">
      <c r="A22760" s="2" t="s">
        <v>272</v>
      </c>
    </row>
    <row r="22761" spans="1:1" ht="12.75">
      <c r="A22761" s="2" t="s">
        <v>273</v>
      </c>
    </row>
    <row r="22762" spans="1:1" ht="12.75">
      <c r="A22762" s="2" t="s">
        <v>270</v>
      </c>
    </row>
    <row r="22763" spans="1:1" ht="12.75">
      <c r="A22763" s="2" t="s">
        <v>269</v>
      </c>
    </row>
    <row r="22764" spans="1:1" ht="12.75">
      <c r="A22764" s="2" t="s">
        <v>269</v>
      </c>
    </row>
    <row r="22765" spans="1:1" ht="12.75">
      <c r="A22765" s="2" t="s">
        <v>859</v>
      </c>
    </row>
    <row r="22766" spans="1:1" ht="12.75">
      <c r="A22766" s="2" t="s">
        <v>860</v>
      </c>
    </row>
    <row r="22767" spans="1:1" ht="12.75">
      <c r="A22767" s="2" t="s">
        <v>859</v>
      </c>
    </row>
    <row r="22769" spans="1:1" ht="12.75">
      <c r="A22769" s="2" t="s">
        <v>269</v>
      </c>
    </row>
    <row r="22770" spans="1:1" ht="12.75">
      <c r="A22770" s="2" t="s">
        <v>268</v>
      </c>
    </row>
    <row r="22771" spans="1:1" ht="12.75">
      <c r="A22771" s="2" t="s">
        <v>269</v>
      </c>
    </row>
    <row r="22772" spans="1:1" ht="12.75">
      <c r="A22772" s="2" t="s">
        <v>922</v>
      </c>
    </row>
    <row r="22774" spans="1:1" ht="12.75">
      <c r="A22774" s="2" t="s">
        <v>922</v>
      </c>
    </row>
    <row r="22776" spans="1:1" ht="12.75">
      <c r="A22776" s="2" t="s">
        <v>924</v>
      </c>
    </row>
    <row r="22778" spans="1:1" ht="12.75">
      <c r="A22778" s="2" t="s">
        <v>924</v>
      </c>
    </row>
    <row r="22779" spans="1:1" ht="12.75">
      <c r="A22779" s="2" t="s">
        <v>923</v>
      </c>
    </row>
    <row r="22780" spans="1:1" ht="12.75">
      <c r="A22780" s="2" t="s">
        <v>923</v>
      </c>
    </row>
    <row r="22781" spans="1:1" ht="12.75">
      <c r="A22781" s="2" t="s">
        <v>269</v>
      </c>
    </row>
    <row r="22783" spans="1:1" ht="12.75">
      <c r="A22783" s="2" t="s">
        <v>268</v>
      </c>
    </row>
    <row r="22784" spans="1:1" ht="12.75">
      <c r="A22784" s="2" t="s">
        <v>270</v>
      </c>
    </row>
    <row r="22785" spans="1:1" ht="12.75">
      <c r="A22785" s="2" t="s">
        <v>268</v>
      </c>
    </row>
    <row r="22786" spans="1:1" ht="12.75">
      <c r="A22786" s="2" t="s">
        <v>269</v>
      </c>
    </row>
    <row r="22787" spans="1:1" ht="12.75">
      <c r="A22787" s="2" t="s">
        <v>273</v>
      </c>
    </row>
    <row r="22788" spans="1:1" ht="12.75">
      <c r="A22788" s="2" t="s">
        <v>861</v>
      </c>
    </row>
    <row r="22790" spans="1:1" ht="12.75">
      <c r="A22790" s="2" t="s">
        <v>861</v>
      </c>
    </row>
    <row r="22791" spans="1:1" ht="12.75">
      <c r="A22791" s="2" t="s">
        <v>272</v>
      </c>
    </row>
    <row r="22793" spans="1:1" ht="12.75">
      <c r="A22793" s="2" t="s">
        <v>272</v>
      </c>
    </row>
    <row r="22794" spans="1:1" ht="12.75">
      <c r="A22794" s="2" t="s">
        <v>271</v>
      </c>
    </row>
    <row r="22795" spans="1:1" ht="12.75">
      <c r="A22795" s="2" t="s">
        <v>922</v>
      </c>
    </row>
    <row r="22796" spans="1:1" ht="12.75">
      <c r="A22796" s="2" t="s">
        <v>860</v>
      </c>
    </row>
    <row r="22797" spans="1:1" ht="12.75">
      <c r="A22797" s="2" t="s">
        <v>923</v>
      </c>
    </row>
    <row r="22798" spans="1:1" ht="12.75">
      <c r="A22798" s="2" t="s">
        <v>922</v>
      </c>
    </row>
    <row r="22799" spans="1:1" ht="12.75">
      <c r="A22799" s="2" t="s">
        <v>273</v>
      </c>
    </row>
    <row r="22800" spans="1:1" ht="12.75">
      <c r="A22800" s="2" t="s">
        <v>270</v>
      </c>
    </row>
    <row r="22801" spans="1:1" ht="12.75">
      <c r="A22801" s="2" t="s">
        <v>271</v>
      </c>
    </row>
    <row r="22802" spans="1:1" ht="12.75">
      <c r="A22802" s="2" t="s">
        <v>271</v>
      </c>
    </row>
    <row r="22803" spans="1:1" ht="12.75">
      <c r="A22803" s="2" t="s">
        <v>272</v>
      </c>
    </row>
    <row r="22804" spans="1:1" ht="12.75">
      <c r="A22804" s="2" t="s">
        <v>273</v>
      </c>
    </row>
    <row r="22805" spans="1:1" ht="12.75">
      <c r="A22805" s="2" t="s">
        <v>273</v>
      </c>
    </row>
    <row r="22807" spans="1:1" ht="12.75">
      <c r="A22807" s="2" t="s">
        <v>269</v>
      </c>
    </row>
    <row r="22808" spans="1:1" ht="12.75">
      <c r="A22808" s="2" t="s">
        <v>270</v>
      </c>
    </row>
    <row r="22809" spans="1:1" ht="12.75">
      <c r="A22809" s="2" t="s">
        <v>860</v>
      </c>
    </row>
    <row r="22810" spans="1:1" ht="12.75">
      <c r="A22810" s="2" t="s">
        <v>923</v>
      </c>
    </row>
    <row r="22813" spans="1:1" ht="12.75">
      <c r="A22813" s="2" t="s">
        <v>861</v>
      </c>
    </row>
    <row r="22829" spans="1:1" ht="12.75">
      <c r="A22829" s="2" t="s">
        <v>922</v>
      </c>
    </row>
    <row r="22830" spans="1:1" ht="12.75">
      <c r="A22830" s="2" t="s">
        <v>924</v>
      </c>
    </row>
    <row r="22832" spans="1:1" ht="12.75">
      <c r="A22832" s="2" t="s">
        <v>270</v>
      </c>
    </row>
    <row r="22834" spans="1:1" ht="12.75">
      <c r="A22834" s="2" t="s">
        <v>859</v>
      </c>
    </row>
    <row r="22835" spans="1:1" ht="12.75">
      <c r="A22835" s="2" t="s">
        <v>268</v>
      </c>
    </row>
    <row r="22836" spans="1:1" ht="12.75">
      <c r="A22836" s="2" t="s">
        <v>268</v>
      </c>
    </row>
    <row r="22837" spans="1:1" ht="12.75">
      <c r="A22837" s="2" t="s">
        <v>270</v>
      </c>
    </row>
    <row r="22839" spans="1:1" ht="12.75">
      <c r="A22839" s="2" t="s">
        <v>271</v>
      </c>
    </row>
    <row r="22840" spans="1:1" ht="12.75">
      <c r="A22840" s="2" t="s">
        <v>271</v>
      </c>
    </row>
    <row r="22841" spans="1:1" ht="12.75">
      <c r="A22841" s="2" t="s">
        <v>270</v>
      </c>
    </row>
    <row r="22842" spans="1:1" ht="12.75">
      <c r="A22842" s="2" t="s">
        <v>270</v>
      </c>
    </row>
    <row r="22843" spans="1:1" ht="12.75">
      <c r="A22843" s="2" t="s">
        <v>269</v>
      </c>
    </row>
    <row r="22844" spans="1:1" ht="12.75">
      <c r="A22844" s="2" t="s">
        <v>269</v>
      </c>
    </row>
    <row r="22845" spans="1:1" ht="12.75">
      <c r="A22845" s="2" t="s">
        <v>273</v>
      </c>
    </row>
    <row r="22846" spans="1:1" ht="12.75">
      <c r="A22846" s="2" t="s">
        <v>273</v>
      </c>
    </row>
    <row r="22847" spans="1:1" ht="12.75">
      <c r="A22847" s="2" t="s">
        <v>860</v>
      </c>
    </row>
    <row r="22848" spans="1:1" ht="12.75">
      <c r="A22848" s="2" t="s">
        <v>860</v>
      </c>
    </row>
    <row r="22849" spans="1:1" ht="12.75">
      <c r="A22849" s="2" t="s">
        <v>861</v>
      </c>
    </row>
    <row r="22850" spans="1:1" ht="12.75">
      <c r="A22850" s="2" t="s">
        <v>861</v>
      </c>
    </row>
    <row r="22851" spans="1:1" ht="12.75">
      <c r="A22851" s="2" t="s">
        <v>272</v>
      </c>
    </row>
    <row r="22852" spans="1:1" ht="12.75">
      <c r="A22852" s="2" t="s">
        <v>859</v>
      </c>
    </row>
    <row r="22853" spans="1:1" ht="12.75">
      <c r="A22853" s="2" t="s">
        <v>859</v>
      </c>
    </row>
    <row r="22854" spans="1:1" ht="12.75">
      <c r="A22854" s="2" t="s">
        <v>272</v>
      </c>
    </row>
    <row r="22855" spans="1:1" ht="12.75">
      <c r="A22855" s="2" t="s">
        <v>927</v>
      </c>
    </row>
    <row r="22856" spans="1:1" ht="12.75">
      <c r="A22856" s="2" t="s">
        <v>268</v>
      </c>
    </row>
    <row r="22857" spans="1:1" ht="12.75">
      <c r="A22857" s="2" t="s">
        <v>270</v>
      </c>
    </row>
    <row r="22858" spans="1:1" ht="12.75">
      <c r="A22858" s="2" t="s">
        <v>269</v>
      </c>
    </row>
    <row r="22859" spans="1:1" ht="12.75">
      <c r="A22859" s="2" t="s">
        <v>269</v>
      </c>
    </row>
    <row r="22860" spans="1:1" ht="12.75">
      <c r="A22860" s="2" t="s">
        <v>273</v>
      </c>
    </row>
    <row r="22861" spans="1:1" ht="12.75">
      <c r="A22861" s="2" t="s">
        <v>273</v>
      </c>
    </row>
    <row r="22862" spans="1:1" ht="12.75">
      <c r="A22862" s="2" t="s">
        <v>860</v>
      </c>
    </row>
    <row r="22863" spans="1:1" ht="12.75">
      <c r="A22863" s="2" t="s">
        <v>861</v>
      </c>
    </row>
    <row r="22864" spans="1:1" ht="12.75">
      <c r="A22864" s="2" t="s">
        <v>859</v>
      </c>
    </row>
    <row r="22865" spans="1:1" ht="12.75">
      <c r="A22865" s="2" t="s">
        <v>272</v>
      </c>
    </row>
    <row r="22866" spans="1:1" ht="12.75">
      <c r="A22866" s="2" t="s">
        <v>268</v>
      </c>
    </row>
    <row r="22867" spans="1:1" ht="12.75">
      <c r="A22867" s="2" t="s">
        <v>268</v>
      </c>
    </row>
    <row r="22868" spans="1:1" ht="12.75">
      <c r="A22868" s="2" t="s">
        <v>272</v>
      </c>
    </row>
    <row r="22869" spans="1:1" ht="12.75">
      <c r="A22869" s="2" t="s">
        <v>270</v>
      </c>
    </row>
    <row r="22870" spans="1:1" ht="12.75">
      <c r="A22870" s="2" t="s">
        <v>862</v>
      </c>
    </row>
    <row r="22871" spans="1:1" ht="12.75">
      <c r="A22871" s="2" t="s">
        <v>861</v>
      </c>
    </row>
    <row r="22872" spans="1:1" ht="12.75">
      <c r="A22872" s="2" t="s">
        <v>269</v>
      </c>
    </row>
    <row r="22873" spans="1:1" ht="12.75">
      <c r="A22873" s="2" t="s">
        <v>269</v>
      </c>
    </row>
    <row r="22874" spans="1:1" ht="12.75">
      <c r="A22874" s="2" t="s">
        <v>859</v>
      </c>
    </row>
    <row r="22875" spans="1:1" ht="12.75">
      <c r="A22875" s="2" t="s">
        <v>273</v>
      </c>
    </row>
    <row r="22876" spans="1:1" ht="12.75">
      <c r="A22876" s="2" t="s">
        <v>859</v>
      </c>
    </row>
    <row r="22877" spans="1:1" ht="12.75">
      <c r="A22877" s="2" t="s">
        <v>273</v>
      </c>
    </row>
    <row r="22878" spans="1:1" ht="12.75">
      <c r="A22878" s="2" t="s">
        <v>272</v>
      </c>
    </row>
    <row r="22879" spans="1:1" ht="12.75">
      <c r="A22879" s="2" t="s">
        <v>272</v>
      </c>
    </row>
    <row r="22880" spans="1:1" ht="12.75">
      <c r="A22880" s="2" t="s">
        <v>270</v>
      </c>
    </row>
    <row r="22881" spans="1:1" ht="12.75">
      <c r="A22881" s="2" t="s">
        <v>860</v>
      </c>
    </row>
    <row r="22882" spans="1:1" ht="12.75">
      <c r="A22882" s="2" t="s">
        <v>861</v>
      </c>
    </row>
    <row r="22883" spans="1:1" ht="12.75">
      <c r="A22883" s="2" t="s">
        <v>863</v>
      </c>
    </row>
    <row r="22884" spans="1:1" ht="12.75">
      <c r="A22884" s="2" t="s">
        <v>270</v>
      </c>
    </row>
    <row r="22885" spans="1:1" ht="12.75">
      <c r="A22885" s="2" t="s">
        <v>268</v>
      </c>
    </row>
    <row r="22886" spans="1:1" ht="12.75">
      <c r="A22886" s="2" t="s">
        <v>271</v>
      </c>
    </row>
    <row r="22887" spans="1:1" ht="12.75">
      <c r="A22887" s="2" t="s">
        <v>269</v>
      </c>
    </row>
    <row r="22888" spans="1:1" ht="12.75">
      <c r="A22888" s="2" t="s">
        <v>269</v>
      </c>
    </row>
    <row r="22889" spans="1:1" ht="12.75">
      <c r="A22889" s="2" t="s">
        <v>273</v>
      </c>
    </row>
    <row r="22890" spans="1:1" ht="12.75">
      <c r="A22890" s="2" t="s">
        <v>270</v>
      </c>
    </row>
    <row r="22891" spans="1:1" ht="12.75">
      <c r="A22891" s="2" t="s">
        <v>270</v>
      </c>
    </row>
    <row r="22892" spans="1:1" ht="12.75">
      <c r="A22892" s="2" t="s">
        <v>861</v>
      </c>
    </row>
    <row r="22893" spans="1:1" ht="12.75">
      <c r="A22893" s="2" t="s">
        <v>860</v>
      </c>
    </row>
    <row r="22894" spans="1:1" ht="12.75">
      <c r="A22894" s="2" t="s">
        <v>271</v>
      </c>
    </row>
    <row r="22895" spans="1:1" ht="12.75">
      <c r="A22895" s="2" t="s">
        <v>861</v>
      </c>
    </row>
    <row r="22896" spans="1:1" ht="12.75">
      <c r="A22896" s="2" t="s">
        <v>272</v>
      </c>
    </row>
    <row r="22897" spans="1:1" ht="12.75">
      <c r="A22897" s="2" t="s">
        <v>860</v>
      </c>
    </row>
    <row r="22898" spans="1:1" ht="12.75">
      <c r="A22898" s="2" t="s">
        <v>273</v>
      </c>
    </row>
    <row r="22899" spans="1:1" ht="12.75">
      <c r="A22899" s="2" t="s">
        <v>861</v>
      </c>
    </row>
    <row r="22900" spans="1:1" ht="12.75">
      <c r="A22900" s="2" t="s">
        <v>268</v>
      </c>
    </row>
    <row r="22901" spans="1:1" ht="12.75">
      <c r="A22901" s="2" t="s">
        <v>271</v>
      </c>
    </row>
    <row r="22902" spans="1:1" ht="12.75">
      <c r="A22902" s="2" t="s">
        <v>268</v>
      </c>
    </row>
    <row r="22903" spans="1:1" ht="12.75">
      <c r="A22903" s="2" t="s">
        <v>270</v>
      </c>
    </row>
    <row r="22904" spans="1:1" ht="12.75">
      <c r="A22904" s="2" t="s">
        <v>273</v>
      </c>
    </row>
    <row r="22905" spans="1:1" ht="12.75">
      <c r="A22905" s="2" t="s">
        <v>270</v>
      </c>
    </row>
    <row r="22906" spans="1:1" ht="12.75">
      <c r="A22906" s="2" t="s">
        <v>273</v>
      </c>
    </row>
    <row r="22907" spans="1:1" ht="12.75">
      <c r="A22907" s="2" t="s">
        <v>272</v>
      </c>
    </row>
    <row r="22908" spans="1:1" ht="12.75">
      <c r="A22908" s="2" t="s">
        <v>269</v>
      </c>
    </row>
    <row r="22909" spans="1:1" ht="12.75">
      <c r="A22909" s="2" t="s">
        <v>271</v>
      </c>
    </row>
    <row r="22910" spans="1:1" ht="12.75">
      <c r="A22910" s="2" t="s">
        <v>269</v>
      </c>
    </row>
    <row r="22911" spans="1:1" ht="12.75">
      <c r="A22911" s="2" t="s">
        <v>922</v>
      </c>
    </row>
    <row r="22912" spans="1:1" ht="12.75">
      <c r="A22912" s="2" t="s">
        <v>922</v>
      </c>
    </row>
    <row r="22913" spans="1:1" ht="12.75">
      <c r="A22913" s="2" t="s">
        <v>271</v>
      </c>
    </row>
    <row r="22914" spans="1:1" ht="12.75">
      <c r="A22914" s="2" t="s">
        <v>271</v>
      </c>
    </row>
    <row r="22915" spans="1:1" ht="12.75">
      <c r="A22915" s="2" t="s">
        <v>269</v>
      </c>
    </row>
    <row r="22916" spans="1:1" ht="12.75">
      <c r="A22916" s="2" t="s">
        <v>272</v>
      </c>
    </row>
    <row r="22917" spans="1:1" ht="12.75">
      <c r="A22917" s="2" t="s">
        <v>268</v>
      </c>
    </row>
    <row r="22918" spans="1:1" ht="12.75">
      <c r="A22918" s="2" t="s">
        <v>272</v>
      </c>
    </row>
    <row r="22919" spans="1:1" ht="12.75">
      <c r="A22919" s="2" t="s">
        <v>922</v>
      </c>
    </row>
    <row r="22920" spans="1:1" ht="12.75">
      <c r="A22920" s="2" t="s">
        <v>859</v>
      </c>
    </row>
    <row r="22921" spans="1:1" ht="12.75">
      <c r="A22921" s="2" t="s">
        <v>859</v>
      </c>
    </row>
    <row r="22922" spans="1:1" ht="12.75">
      <c r="A22922" s="2" t="s">
        <v>272</v>
      </c>
    </row>
    <row r="22923" spans="1:1" ht="12.75">
      <c r="A22923" s="2" t="s">
        <v>923</v>
      </c>
    </row>
    <row r="22924" spans="1:1" ht="12.75">
      <c r="A22924" s="2" t="s">
        <v>859</v>
      </c>
    </row>
    <row r="22925" spans="1:1" ht="12.75">
      <c r="A22925" s="2" t="s">
        <v>268</v>
      </c>
    </row>
    <row r="22926" spans="1:1" ht="12.75">
      <c r="A22926" s="2" t="s">
        <v>863</v>
      </c>
    </row>
    <row r="22927" spans="1:1" ht="12.75">
      <c r="A22927" s="2" t="s">
        <v>923</v>
      </c>
    </row>
    <row r="22928" spans="1:1" ht="12.75">
      <c r="A22928" s="2" t="s">
        <v>923</v>
      </c>
    </row>
    <row r="22929" spans="1:1" ht="12.75">
      <c r="A22929" s="2" t="s">
        <v>922</v>
      </c>
    </row>
    <row r="22930" spans="1:1" ht="12.75">
      <c r="A22930" s="2" t="s">
        <v>922</v>
      </c>
    </row>
    <row r="22931" spans="1:1" ht="12.75">
      <c r="A22931" s="2" t="s">
        <v>859</v>
      </c>
    </row>
    <row r="22932" spans="1:1" ht="12.75">
      <c r="A22932" s="2" t="s">
        <v>859</v>
      </c>
    </row>
    <row r="22933" spans="1:1" ht="12.75">
      <c r="A22933" s="2" t="s">
        <v>273</v>
      </c>
    </row>
    <row r="22934" spans="1:1" ht="12.75">
      <c r="A22934" s="2" t="s">
        <v>923</v>
      </c>
    </row>
    <row r="22935" spans="1:1" ht="12.75">
      <c r="A22935" s="2" t="s">
        <v>269</v>
      </c>
    </row>
    <row r="22936" spans="1:1" ht="12.75">
      <c r="A22936" s="2" t="s">
        <v>269</v>
      </c>
    </row>
    <row r="22937" spans="1:1" ht="12.75">
      <c r="A22937" s="2" t="s">
        <v>861</v>
      </c>
    </row>
    <row r="22938" spans="1:1" ht="12.75">
      <c r="A22938" s="2" t="s">
        <v>273</v>
      </c>
    </row>
    <row r="22939" spans="1:1" ht="12.75">
      <c r="A22939" s="2" t="s">
        <v>268</v>
      </c>
    </row>
    <row r="22940" spans="1:1" ht="12.75">
      <c r="A22940" s="2" t="s">
        <v>923</v>
      </c>
    </row>
    <row r="22941" spans="1:1" ht="12.75">
      <c r="A22941" s="2" t="s">
        <v>268</v>
      </c>
    </row>
    <row r="22942" spans="1:1" ht="12.75">
      <c r="A22942" s="2" t="s">
        <v>861</v>
      </c>
    </row>
    <row r="22943" spans="1:1" ht="12.75">
      <c r="A22943" s="2" t="s">
        <v>270</v>
      </c>
    </row>
    <row r="22944" spans="1:1" ht="12.75">
      <c r="A22944" s="2" t="s">
        <v>270</v>
      </c>
    </row>
    <row r="22945" spans="1:1" ht="12.75">
      <c r="A22945" s="2" t="s">
        <v>273</v>
      </c>
    </row>
    <row r="22946" spans="1:1" ht="12.75">
      <c r="A22946" s="2" t="s">
        <v>270</v>
      </c>
    </row>
    <row r="22947" spans="1:1" ht="12.75">
      <c r="A22947" s="2" t="s">
        <v>273</v>
      </c>
    </row>
    <row r="22948" spans="1:1" ht="12.75">
      <c r="A22948" s="2" t="s">
        <v>922</v>
      </c>
    </row>
    <row r="22949" spans="1:1" ht="12.75">
      <c r="A22949" s="2" t="s">
        <v>270</v>
      </c>
    </row>
    <row r="22950" spans="1:1" ht="12.75">
      <c r="A22950" s="2" t="s">
        <v>922</v>
      </c>
    </row>
    <row r="22951" spans="1:1" ht="12.75">
      <c r="A22951" s="2" t="s">
        <v>270</v>
      </c>
    </row>
    <row r="22952" spans="1:1" ht="12.75">
      <c r="A22952" s="2" t="s">
        <v>924</v>
      </c>
    </row>
    <row r="22953" spans="1:1" ht="12.75">
      <c r="A22953" s="2" t="s">
        <v>273</v>
      </c>
    </row>
    <row r="22954" spans="1:1" ht="12.75">
      <c r="A22954" s="2" t="s">
        <v>860</v>
      </c>
    </row>
    <row r="22955" spans="1:1" ht="12.75">
      <c r="A22955" s="2" t="s">
        <v>271</v>
      </c>
    </row>
    <row r="22957" spans="1:1" ht="12.75">
      <c r="A22957" s="2" t="s">
        <v>861</v>
      </c>
    </row>
    <row r="22958" spans="1:1" ht="12.75">
      <c r="A22958" s="2" t="s">
        <v>923</v>
      </c>
    </row>
    <row r="22959" spans="1:1" ht="12.75">
      <c r="A22959" s="2" t="s">
        <v>861</v>
      </c>
    </row>
    <row r="22960" spans="1:1" ht="12.75">
      <c r="A22960" s="2" t="s">
        <v>923</v>
      </c>
    </row>
    <row r="22961" spans="1:1" ht="12.75">
      <c r="A22961" s="2" t="s">
        <v>924</v>
      </c>
    </row>
    <row r="22962" spans="1:1" ht="12.75">
      <c r="A22962" s="2" t="s">
        <v>268</v>
      </c>
    </row>
    <row r="22963" spans="1:1" ht="12.75">
      <c r="A22963" s="2" t="s">
        <v>924</v>
      </c>
    </row>
    <row r="22964" spans="1:1" ht="12.75">
      <c r="A22964" s="2" t="s">
        <v>268</v>
      </c>
    </row>
    <row r="22965" spans="1:1" ht="12.75">
      <c r="A22965" s="2" t="s">
        <v>859</v>
      </c>
    </row>
    <row r="22966" spans="1:1" ht="12.75">
      <c r="A22966" s="2" t="s">
        <v>271</v>
      </c>
    </row>
    <row r="22967" spans="1:1" ht="12.75">
      <c r="A22967" s="2" t="s">
        <v>859</v>
      </c>
    </row>
    <row r="22968" spans="1:1" ht="12.75">
      <c r="A22968" s="2" t="s">
        <v>860</v>
      </c>
    </row>
    <row r="22969" spans="1:1" ht="12.75">
      <c r="A22969" s="2">
        <v>104</v>
      </c>
    </row>
    <row r="22970" spans="1:1" ht="12.75">
      <c r="A22970" s="2" t="s">
        <v>860</v>
      </c>
    </row>
    <row r="22971" spans="1:1" ht="12.75">
      <c r="A22971" s="2" t="s">
        <v>268</v>
      </c>
    </row>
    <row r="22972" spans="1:1" ht="12.75">
      <c r="A22972" s="2" t="s">
        <v>269</v>
      </c>
    </row>
    <row r="22973" spans="1:1" ht="12.75">
      <c r="A22973" s="2" t="s">
        <v>268</v>
      </c>
    </row>
    <row r="22974" spans="1:1" ht="12.75">
      <c r="A22974" s="2" t="s">
        <v>270</v>
      </c>
    </row>
    <row r="22975" spans="1:1" ht="12.75">
      <c r="A22975" s="2" t="s">
        <v>269</v>
      </c>
    </row>
    <row r="22976" spans="1:1" ht="12.75">
      <c r="A22976" s="2" t="s">
        <v>273</v>
      </c>
    </row>
    <row r="22977" spans="1:1" ht="12.75">
      <c r="A22977" s="2" t="s">
        <v>861</v>
      </c>
    </row>
    <row r="22978" spans="1:1" ht="12.75">
      <c r="A22978" s="2" t="s">
        <v>924</v>
      </c>
    </row>
    <row r="22979" spans="1:1" ht="12.75">
      <c r="A22979" s="2" t="s">
        <v>861</v>
      </c>
    </row>
    <row r="22980" spans="1:1" ht="12.75">
      <c r="A22980" s="2" t="s">
        <v>924</v>
      </c>
    </row>
    <row r="22981" spans="1:1" ht="12.75">
      <c r="A22981" s="2" t="s">
        <v>859</v>
      </c>
    </row>
    <row r="22982" spans="1:1" ht="12.75">
      <c r="A22982" s="2" t="s">
        <v>924</v>
      </c>
    </row>
    <row r="22983" spans="1:1" ht="12.75">
      <c r="A22983" s="2" t="s">
        <v>924</v>
      </c>
    </row>
    <row r="22984" spans="1:1" ht="12.75">
      <c r="A22984" s="2" t="s">
        <v>923</v>
      </c>
    </row>
    <row r="22985" spans="1:1" ht="12.75">
      <c r="A22985" s="2" t="s">
        <v>861</v>
      </c>
    </row>
    <row r="22986" spans="1:1" ht="12.75">
      <c r="A22986" s="2" t="s">
        <v>923</v>
      </c>
    </row>
    <row r="22987" spans="1:1" ht="12.75">
      <c r="A22987" s="2" t="s">
        <v>861</v>
      </c>
    </row>
    <row r="22988" spans="1:1" ht="12.75">
      <c r="A22988" s="2" t="s">
        <v>924</v>
      </c>
    </row>
    <row r="22989" spans="1:1" ht="12.75">
      <c r="A22989" s="2" t="s">
        <v>860</v>
      </c>
    </row>
    <row r="22990" spans="1:1" ht="12.75">
      <c r="A22990" s="2" t="s">
        <v>859</v>
      </c>
    </row>
    <row r="22991" spans="1:1" ht="12.75">
      <c r="A22991" s="2" t="s">
        <v>922</v>
      </c>
    </row>
    <row r="22992" spans="1:1" ht="12.75">
      <c r="A22992" s="2" t="s">
        <v>859</v>
      </c>
    </row>
    <row r="22993" spans="1:1" ht="12.75">
      <c r="A22993" s="2" t="s">
        <v>922</v>
      </c>
    </row>
    <row r="22994" spans="1:1" ht="12.75">
      <c r="A22994" s="2" t="s">
        <v>271</v>
      </c>
    </row>
    <row r="22995" spans="1:1" ht="12.75">
      <c r="A22995" s="2" t="s">
        <v>860</v>
      </c>
    </row>
    <row r="22996" spans="1:1" ht="12.75">
      <c r="A22996" s="2" t="s">
        <v>268</v>
      </c>
    </row>
    <row r="22997" spans="1:1" ht="12.75">
      <c r="A22997" s="2" t="s">
        <v>860</v>
      </c>
    </row>
    <row r="22998" spans="1:1" ht="12.75">
      <c r="A22998" s="2" t="s">
        <v>268</v>
      </c>
    </row>
    <row r="22999" spans="1:1" ht="12.75">
      <c r="A22999" s="2" t="s">
        <v>272</v>
      </c>
    </row>
    <row r="23000" spans="1:1" ht="12.75">
      <c r="A23000" s="2" t="s">
        <v>269</v>
      </c>
    </row>
    <row r="23001" spans="1:1" ht="12.75">
      <c r="A23001" s="2" t="s">
        <v>271</v>
      </c>
    </row>
    <row r="23002" spans="1:1" ht="12.75">
      <c r="A23002" s="2" t="s">
        <v>269</v>
      </c>
    </row>
    <row r="23003" spans="1:1" ht="12.75">
      <c r="A23003" s="2" t="s">
        <v>273</v>
      </c>
    </row>
    <row r="23004" spans="1:1" ht="12.75">
      <c r="A23004" s="2" t="s">
        <v>924</v>
      </c>
    </row>
    <row r="23005" spans="1:1" ht="12.75">
      <c r="A23005" s="2" t="s">
        <v>273</v>
      </c>
    </row>
    <row r="23006" spans="1:1" ht="12.75">
      <c r="A23006" s="2" t="s">
        <v>272</v>
      </c>
    </row>
    <row r="23007" spans="1:1" ht="12.75">
      <c r="A23007" s="2" t="s">
        <v>270</v>
      </c>
    </row>
    <row r="23008" spans="1:1" ht="12.75">
      <c r="A23008" s="2" t="s">
        <v>272</v>
      </c>
    </row>
    <row r="23009" spans="1:1" ht="12.75">
      <c r="A23009" s="2" t="s">
        <v>924</v>
      </c>
    </row>
    <row r="23010" spans="1:1" ht="12.75">
      <c r="A23010" s="2" t="s">
        <v>269</v>
      </c>
    </row>
    <row r="23011" spans="1:1" ht="12.75">
      <c r="A23011" s="2" t="s">
        <v>272</v>
      </c>
    </row>
    <row r="23012" spans="1:1" ht="12.75">
      <c r="A23012" s="2" t="s">
        <v>922</v>
      </c>
    </row>
    <row r="23013" spans="1:1" ht="12.75">
      <c r="A23013" s="2" t="s">
        <v>268</v>
      </c>
    </row>
    <row r="23014" spans="1:1" ht="12.75">
      <c r="A23014" s="2" t="s">
        <v>922</v>
      </c>
    </row>
    <row r="23015" spans="1:1" ht="12.75">
      <c r="A23015" s="2" t="s">
        <v>922</v>
      </c>
    </row>
    <row r="23016" spans="1:1" ht="12.75">
      <c r="A23016" s="2" t="s">
        <v>693</v>
      </c>
    </row>
    <row r="23017" spans="1:1" ht="12.75">
      <c r="A23017" s="2" t="s">
        <v>270</v>
      </c>
    </row>
    <row r="23018" spans="1:1" ht="12.75">
      <c r="A23018" s="2" t="s">
        <v>271</v>
      </c>
    </row>
    <row r="23019" spans="1:1" ht="12.75">
      <c r="A23019" s="2" t="s">
        <v>270</v>
      </c>
    </row>
    <row r="23020" spans="1:1" ht="12.75">
      <c r="A23020" s="2" t="s">
        <v>268</v>
      </c>
    </row>
    <row r="23021" spans="1:1" ht="12.75">
      <c r="A23021" s="2" t="s">
        <v>272</v>
      </c>
    </row>
    <row r="23022" spans="1:1" ht="12.75">
      <c r="A23022" s="2" t="s">
        <v>273</v>
      </c>
    </row>
    <row r="23023" spans="1:1" ht="12.75">
      <c r="A23023" s="2" t="s">
        <v>269</v>
      </c>
    </row>
    <row r="23024" spans="1:1" ht="12.75">
      <c r="A23024" s="2" t="s">
        <v>272</v>
      </c>
    </row>
    <row r="23025" spans="1:1" ht="12.75">
      <c r="A23025" s="2" t="s">
        <v>272</v>
      </c>
    </row>
    <row r="23026" spans="1:1" ht="12.75">
      <c r="A23026" s="2" t="s">
        <v>271</v>
      </c>
    </row>
    <row r="23027" spans="1:1" ht="12.75">
      <c r="A23027" s="2" t="s">
        <v>268</v>
      </c>
    </row>
    <row r="23028" spans="1:1" ht="12.75">
      <c r="A23028" s="2" t="s">
        <v>268</v>
      </c>
    </row>
    <row r="23029" spans="1:1" ht="12.75">
      <c r="A23029" s="2" t="s">
        <v>269</v>
      </c>
    </row>
    <row r="23030" spans="1:1" ht="12.75">
      <c r="A23030" s="2" t="s">
        <v>273</v>
      </c>
    </row>
    <row r="23031" spans="1:1" ht="12.75">
      <c r="A23031" s="2" t="s">
        <v>268</v>
      </c>
    </row>
    <row r="23032" spans="1:1" ht="12.75">
      <c r="A23032" s="2" t="s">
        <v>860</v>
      </c>
    </row>
    <row r="23033" spans="1:1" ht="12.75">
      <c r="A23033" s="2" t="s">
        <v>861</v>
      </c>
    </row>
    <row r="23034" spans="1:1" ht="12.75">
      <c r="A23034" s="2" t="s">
        <v>270</v>
      </c>
    </row>
    <row r="23035" spans="1:1" ht="12.75">
      <c r="A23035" s="2" t="s">
        <v>270</v>
      </c>
    </row>
    <row r="23036" spans="1:1" ht="12.75">
      <c r="A23036" s="2" t="s">
        <v>859</v>
      </c>
    </row>
    <row r="23037" spans="1:1" ht="12.75">
      <c r="A23037" s="2" t="s">
        <v>268</v>
      </c>
    </row>
    <row r="23038" spans="1:1" ht="12.75">
      <c r="A23038" s="2" t="s">
        <v>272</v>
      </c>
    </row>
    <row r="23039" spans="1:1" ht="12.75">
      <c r="A23039" s="2" t="s">
        <v>268</v>
      </c>
    </row>
    <row r="23040" spans="1:1" ht="12.75">
      <c r="A23040" s="2" t="s">
        <v>268</v>
      </c>
    </row>
    <row r="23041" spans="1:1" ht="12.75">
      <c r="A23041" s="2" t="s">
        <v>860</v>
      </c>
    </row>
    <row r="23042" spans="1:1" ht="12.75">
      <c r="A23042" s="2" t="s">
        <v>272</v>
      </c>
    </row>
    <row r="23043" spans="1:1" ht="12.75">
      <c r="A23043" s="2" t="s">
        <v>271</v>
      </c>
    </row>
    <row r="23044" spans="1:1" ht="12.75">
      <c r="A23044" s="2" t="s">
        <v>268</v>
      </c>
    </row>
    <row r="23045" spans="1:1" ht="12.75">
      <c r="A23045" s="2" t="s">
        <v>923</v>
      </c>
    </row>
    <row r="23046" spans="1:1" ht="12.75">
      <c r="A23046" s="2" t="s">
        <v>862</v>
      </c>
    </row>
    <row r="23047" spans="1:1" ht="12.75">
      <c r="A23047" s="2" t="s">
        <v>273</v>
      </c>
    </row>
    <row r="23048" spans="1:1" ht="12.75">
      <c r="A23048" s="2" t="s">
        <v>268</v>
      </c>
    </row>
    <row r="23049" spans="1:1" ht="12.75">
      <c r="A23049" s="2" t="s">
        <v>272</v>
      </c>
    </row>
    <row r="23050" spans="1:1" ht="12.75">
      <c r="A23050" s="2" t="s">
        <v>271</v>
      </c>
    </row>
    <row r="23051" spans="1:1" ht="12.75">
      <c r="A23051" s="2" t="s">
        <v>272</v>
      </c>
    </row>
    <row r="23052" spans="1:1" ht="12.75">
      <c r="A23052" s="2" t="s">
        <v>269</v>
      </c>
    </row>
    <row r="23053" spans="1:1" ht="12.75">
      <c r="A23053" s="2" t="s">
        <v>273</v>
      </c>
    </row>
    <row r="23054" spans="1:1" ht="12.75">
      <c r="A23054" s="2" t="s">
        <v>269</v>
      </c>
    </row>
    <row r="23055" spans="1:1" ht="12.75">
      <c r="A23055" s="2" t="s">
        <v>543</v>
      </c>
    </row>
    <row r="23056" spans="1:1" ht="12.75">
      <c r="A23056" s="2" t="s">
        <v>928</v>
      </c>
    </row>
    <row r="23057" spans="1:1" ht="12.75">
      <c r="A23057" s="2" t="s">
        <v>543</v>
      </c>
    </row>
    <row r="23058" spans="1:1" ht="12.75">
      <c r="A23058" s="2" t="s">
        <v>543</v>
      </c>
    </row>
    <row r="23059" spans="1:1" ht="12.75">
      <c r="A23059" s="2" t="s">
        <v>543</v>
      </c>
    </row>
    <row r="23060" spans="1:1" ht="12.75">
      <c r="A23060" s="2" t="s">
        <v>543</v>
      </c>
    </row>
    <row r="23061" spans="1:1" ht="12.75">
      <c r="A23061" s="2" t="s">
        <v>543</v>
      </c>
    </row>
    <row r="23062" spans="1:1" ht="12.75">
      <c r="A23062" s="2" t="s">
        <v>543</v>
      </c>
    </row>
    <row r="23063" spans="1:1" ht="12.75">
      <c r="A23063" s="2" t="s">
        <v>543</v>
      </c>
    </row>
    <row r="23064" spans="1:1" ht="12.75">
      <c r="A23064" s="2" t="s">
        <v>543</v>
      </c>
    </row>
    <row r="23065" spans="1:1" ht="12.75">
      <c r="A23065" s="2" t="s">
        <v>543</v>
      </c>
    </row>
    <row r="23066" spans="1:1" ht="12.75">
      <c r="A23066" s="2" t="s">
        <v>543</v>
      </c>
    </row>
    <row r="23067" spans="1:1" ht="12.75">
      <c r="A23067" s="2" t="s">
        <v>543</v>
      </c>
    </row>
    <row r="23068" spans="1:1" ht="12.75">
      <c r="A23068" s="2" t="s">
        <v>543</v>
      </c>
    </row>
    <row r="23069" spans="1:1" ht="12.75">
      <c r="A23069" s="2" t="s">
        <v>543</v>
      </c>
    </row>
    <row r="23070" spans="1:1" ht="12.75">
      <c r="A23070" s="2" t="s">
        <v>543</v>
      </c>
    </row>
    <row r="23071" spans="1:1" ht="12.75">
      <c r="A23071" s="2" t="s">
        <v>293</v>
      </c>
    </row>
    <row r="23072" spans="1:1" ht="12.75">
      <c r="A23072" s="2" t="s">
        <v>543</v>
      </c>
    </row>
    <row r="23073" spans="1:1" ht="12.75">
      <c r="A23073" s="2" t="s">
        <v>543</v>
      </c>
    </row>
    <row r="23074" spans="1:1" ht="12.75">
      <c r="A23074" s="2" t="s">
        <v>543</v>
      </c>
    </row>
    <row r="23075" spans="1:1" ht="12.75">
      <c r="A23075" s="2" t="s">
        <v>321</v>
      </c>
    </row>
    <row r="23076" spans="1:1" ht="12.75">
      <c r="A23076" s="2" t="s">
        <v>321</v>
      </c>
    </row>
    <row r="23077" spans="1:1" ht="12.75">
      <c r="A23077" s="2" t="s">
        <v>321</v>
      </c>
    </row>
    <row r="23078" spans="1:1" ht="12.75">
      <c r="A23078" s="2" t="s">
        <v>321</v>
      </c>
    </row>
    <row r="23079" spans="1:1" ht="12.75">
      <c r="A23079" s="2" t="s">
        <v>321</v>
      </c>
    </row>
    <row r="23080" spans="1:1" ht="12.75">
      <c r="A23080" s="2" t="s">
        <v>321</v>
      </c>
    </row>
    <row r="23081" spans="1:1" ht="12.75">
      <c r="A23081" s="2" t="s">
        <v>321</v>
      </c>
    </row>
    <row r="23082" spans="1:1" ht="12.75">
      <c r="A23082" s="2" t="s">
        <v>321</v>
      </c>
    </row>
    <row r="23083" spans="1:1" ht="12.75">
      <c r="A23083" s="2" t="s">
        <v>321</v>
      </c>
    </row>
    <row r="23084" spans="1:1" ht="12.75">
      <c r="A23084" s="2" t="s">
        <v>321</v>
      </c>
    </row>
    <row r="23085" spans="1:1" ht="12.75">
      <c r="A23085" s="2" t="s">
        <v>321</v>
      </c>
    </row>
    <row r="23086" spans="1:1" ht="12.75">
      <c r="A23086" s="2" t="s">
        <v>321</v>
      </c>
    </row>
    <row r="23087" spans="1:1" ht="12.75">
      <c r="A23087" s="2" t="s">
        <v>321</v>
      </c>
    </row>
    <row r="23088" spans="1:1" ht="12.75">
      <c r="A23088" s="2" t="s">
        <v>321</v>
      </c>
    </row>
    <row r="23129" spans="1:1" ht="12.75">
      <c r="A23129" s="2" t="s">
        <v>315</v>
      </c>
    </row>
    <row r="23130" spans="1:1" ht="12.75">
      <c r="A23130" s="2" t="s">
        <v>315</v>
      </c>
    </row>
    <row r="23131" spans="1:1" ht="12.75">
      <c r="A23131" s="2" t="s">
        <v>315</v>
      </c>
    </row>
    <row r="23132" spans="1:1" ht="12.75">
      <c r="A23132" s="2" t="s">
        <v>315</v>
      </c>
    </row>
    <row r="23133" spans="1:1" ht="12.75">
      <c r="A23133" s="2" t="s">
        <v>315</v>
      </c>
    </row>
    <row r="23134" spans="1:1" ht="12.75">
      <c r="A23134" s="2" t="s">
        <v>639</v>
      </c>
    </row>
    <row r="23135" spans="1:1" ht="12.75">
      <c r="A23135" s="2" t="s">
        <v>397</v>
      </c>
    </row>
    <row r="23136" spans="1:1" ht="12.75">
      <c r="A23136" s="2" t="s">
        <v>397</v>
      </c>
    </row>
    <row r="23137" spans="1:1" ht="12.75">
      <c r="A23137" s="2" t="s">
        <v>396</v>
      </c>
    </row>
    <row r="23138" spans="1:1" ht="12.75">
      <c r="A23138" s="2" t="s">
        <v>397</v>
      </c>
    </row>
    <row r="23139" spans="1:1" ht="12.75">
      <c r="A23139" s="2" t="s">
        <v>396</v>
      </c>
    </row>
    <row r="23140" spans="1:1" ht="12.75">
      <c r="A23140" s="2" t="s">
        <v>396</v>
      </c>
    </row>
    <row r="23141" spans="1:1" ht="12.75">
      <c r="A23141" s="2" t="s">
        <v>397</v>
      </c>
    </row>
    <row r="23142" spans="1:1" ht="12.75">
      <c r="A23142" s="2" t="s">
        <v>396</v>
      </c>
    </row>
    <row r="23143" spans="1:1" ht="12.75">
      <c r="A23143" s="2" t="s">
        <v>396</v>
      </c>
    </row>
    <row r="23144" spans="1:1" ht="12.75">
      <c r="A23144" s="2" t="s">
        <v>397</v>
      </c>
    </row>
    <row r="23145" spans="1:1" ht="12.75">
      <c r="A23145" s="2" t="s">
        <v>929</v>
      </c>
    </row>
    <row r="23146" spans="1:1" ht="12.75">
      <c r="A23146" s="2" t="s">
        <v>397</v>
      </c>
    </row>
    <row r="23147" spans="1:1" ht="12.75">
      <c r="A23147" s="2" t="s">
        <v>397</v>
      </c>
    </row>
    <row r="23148" spans="1:1" ht="12.75">
      <c r="A23148" s="2" t="s">
        <v>396</v>
      </c>
    </row>
    <row r="23149" spans="1:1" ht="12.75">
      <c r="A23149" s="2" t="s">
        <v>930</v>
      </c>
    </row>
    <row r="23150" spans="1:1" ht="12.75">
      <c r="A23150" s="2" t="s">
        <v>931</v>
      </c>
    </row>
    <row r="23152" spans="1:1" ht="12.75">
      <c r="A23152" s="2" t="s">
        <v>931</v>
      </c>
    </row>
    <row r="23153" spans="1:1" ht="12.75">
      <c r="A23153" s="2" t="s">
        <v>931</v>
      </c>
    </row>
    <row r="23154" spans="1:1" ht="12.75">
      <c r="A23154" s="2" t="s">
        <v>931</v>
      </c>
    </row>
    <row r="23155" spans="1:1" ht="12.75">
      <c r="A23155" s="2" t="s">
        <v>931</v>
      </c>
    </row>
    <row r="23156" spans="1:1" ht="12.75">
      <c r="A23156" s="2" t="s">
        <v>930</v>
      </c>
    </row>
    <row r="23157" spans="1:1" ht="12.75">
      <c r="A23157" s="2" t="s">
        <v>931</v>
      </c>
    </row>
    <row r="23158" spans="1:1" ht="12.75">
      <c r="A23158" s="2" t="s">
        <v>931</v>
      </c>
    </row>
    <row r="23159" spans="1:1" ht="12.75">
      <c r="A23159" s="2" t="s">
        <v>458</v>
      </c>
    </row>
    <row r="23160" spans="1:1" ht="12.75">
      <c r="A23160" s="2" t="s">
        <v>458</v>
      </c>
    </row>
    <row r="23161" spans="1:1" ht="12.75">
      <c r="A23161" s="2" t="s">
        <v>932</v>
      </c>
    </row>
    <row r="23162" spans="1:1" ht="12.75">
      <c r="A23162" s="2" t="s">
        <v>458</v>
      </c>
    </row>
    <row r="23163" spans="1:1" ht="12.75">
      <c r="A23163" s="2" t="s">
        <v>459</v>
      </c>
    </row>
    <row r="23164" spans="1:1" ht="12.75">
      <c r="A23164" s="2" t="s">
        <v>458</v>
      </c>
    </row>
    <row r="23165" spans="1:1" ht="12.75">
      <c r="A23165" s="2" t="s">
        <v>459</v>
      </c>
    </row>
    <row r="23166" spans="1:1" ht="12.75">
      <c r="A23166" s="2" t="s">
        <v>458</v>
      </c>
    </row>
    <row r="23167" spans="1:1" ht="12.75">
      <c r="A23167" s="2" t="s">
        <v>459</v>
      </c>
    </row>
    <row r="23168" spans="1:1" ht="12.75">
      <c r="A23168" s="2" t="s">
        <v>458</v>
      </c>
    </row>
    <row r="23169" spans="1:1" ht="12.75">
      <c r="A23169" s="2" t="s">
        <v>458</v>
      </c>
    </row>
    <row r="23170" spans="1:1" ht="12.75">
      <c r="A23170" s="2" t="s">
        <v>459</v>
      </c>
    </row>
    <row r="23171" spans="1:1" ht="12.75">
      <c r="A23171" s="2" t="s">
        <v>459</v>
      </c>
    </row>
    <row r="23172" spans="1:1" ht="12.75">
      <c r="A23172" s="2" t="s">
        <v>458</v>
      </c>
    </row>
    <row r="23173" spans="1:1" ht="12.75">
      <c r="A23173" s="2" t="s">
        <v>459</v>
      </c>
    </row>
    <row r="23174" spans="1:1" ht="12.75">
      <c r="A23174" s="2" t="s">
        <v>459</v>
      </c>
    </row>
    <row r="23175" spans="1:1" ht="12.75">
      <c r="A23175" s="2" t="s">
        <v>163</v>
      </c>
    </row>
    <row r="23209" spans="1:1" ht="12.75">
      <c r="A23209" s="2" t="s">
        <v>348</v>
      </c>
    </row>
    <row r="23210" spans="1:1" ht="12.75">
      <c r="A23210" s="2" t="s">
        <v>348</v>
      </c>
    </row>
    <row r="23211" spans="1:1" ht="12.75">
      <c r="A23211" s="2" t="s">
        <v>348</v>
      </c>
    </row>
    <row r="23212" spans="1:1" ht="12.75">
      <c r="A23212" s="2" t="s">
        <v>348</v>
      </c>
    </row>
    <row r="23213" spans="1:1" ht="12.75">
      <c r="A23213" s="2" t="s">
        <v>348</v>
      </c>
    </row>
    <row r="23214" spans="1:1" ht="12.75">
      <c r="A23214" s="2" t="s">
        <v>348</v>
      </c>
    </row>
    <row r="23215" spans="1:1" ht="12.75">
      <c r="A23215" s="2" t="s">
        <v>348</v>
      </c>
    </row>
    <row r="23216" spans="1:1" ht="12.75">
      <c r="A23216" s="2" t="s">
        <v>348</v>
      </c>
    </row>
    <row r="23217" spans="1:1" ht="12.75">
      <c r="A23217" s="2" t="s">
        <v>348</v>
      </c>
    </row>
    <row r="23218" spans="1:1" ht="12.75">
      <c r="A23218" s="2" t="s">
        <v>933</v>
      </c>
    </row>
    <row r="23319" spans="1:1" ht="12.75">
      <c r="A23319" s="2" t="s">
        <v>934</v>
      </c>
    </row>
    <row r="23320" spans="1:1" ht="12.75">
      <c r="A23320" s="2" t="s">
        <v>175</v>
      </c>
    </row>
    <row r="23321" spans="1:1" ht="12.75">
      <c r="A23321" s="2" t="s">
        <v>224</v>
      </c>
    </row>
    <row r="23322" spans="1:1" ht="12.75">
      <c r="A23322" s="2" t="s">
        <v>175</v>
      </c>
    </row>
    <row r="23323" spans="1:1" ht="12.75">
      <c r="A23323" s="2" t="s">
        <v>177</v>
      </c>
    </row>
    <row r="23324" spans="1:1" ht="12.75">
      <c r="A23324" s="2" t="s">
        <v>224</v>
      </c>
    </row>
    <row r="23325" spans="1:1" ht="12.75">
      <c r="A23325" s="2" t="s">
        <v>175</v>
      </c>
    </row>
    <row r="23326" spans="1:1" ht="12.75">
      <c r="A23326" s="2" t="s">
        <v>177</v>
      </c>
    </row>
    <row r="23327" spans="1:1" ht="12.75">
      <c r="A23327" s="2" t="s">
        <v>177</v>
      </c>
    </row>
    <row r="23329" spans="1:1" ht="12.75">
      <c r="A23329" s="2" t="s">
        <v>177</v>
      </c>
    </row>
    <row r="23331" spans="1:1" ht="12.75">
      <c r="A23331" s="2" t="s">
        <v>163</v>
      </c>
    </row>
    <row r="23332" spans="1:1" ht="12.75">
      <c r="A23332" s="2" t="s">
        <v>161</v>
      </c>
    </row>
    <row r="23333" spans="1:1" ht="12.75">
      <c r="A23333" s="2" t="s">
        <v>169</v>
      </c>
    </row>
    <row r="23334" spans="1:1" ht="12.75">
      <c r="A23334" s="2" t="s">
        <v>163</v>
      </c>
    </row>
    <row r="23335" spans="1:1" ht="12.75">
      <c r="A23335" s="2" t="s">
        <v>175</v>
      </c>
    </row>
    <row r="23336" spans="1:1" ht="12.75">
      <c r="A23336" s="2" t="s">
        <v>163</v>
      </c>
    </row>
    <row r="23337" spans="1:1" ht="12.75">
      <c r="A23337" s="2" t="s">
        <v>161</v>
      </c>
    </row>
    <row r="23338" spans="1:1" ht="12.75">
      <c r="A23338" s="2" t="s">
        <v>165</v>
      </c>
    </row>
    <row r="23339" spans="1:1" ht="12.75">
      <c r="A23339" s="2" t="s">
        <v>161</v>
      </c>
    </row>
    <row r="23340" spans="1:1" ht="12.75">
      <c r="A23340" s="2" t="s">
        <v>165</v>
      </c>
    </row>
    <row r="23341" spans="1:1" ht="12.75">
      <c r="A23341" s="2" t="s">
        <v>733</v>
      </c>
    </row>
    <row r="23342" spans="1:1" ht="12.75">
      <c r="A23342" s="2" t="s">
        <v>167</v>
      </c>
    </row>
    <row r="23343" spans="1:1" ht="12.75">
      <c r="A23343" s="2" t="s">
        <v>165</v>
      </c>
    </row>
    <row r="23344" spans="1:1" ht="12.75">
      <c r="A23344" s="2" t="s">
        <v>733</v>
      </c>
    </row>
    <row r="23345" spans="1:1" ht="12.75">
      <c r="A23345" s="2" t="s">
        <v>176</v>
      </c>
    </row>
    <row r="23346" spans="1:1" ht="12.75">
      <c r="A23346" s="2" t="s">
        <v>168</v>
      </c>
    </row>
    <row r="23347" spans="1:1" ht="12.75">
      <c r="A23347" s="2" t="s">
        <v>176</v>
      </c>
    </row>
    <row r="23348" spans="1:1" ht="12.75">
      <c r="A23348" s="2" t="s">
        <v>176</v>
      </c>
    </row>
    <row r="23349" spans="1:1" ht="12.75">
      <c r="A23349" s="2" t="s">
        <v>183</v>
      </c>
    </row>
    <row r="23350" spans="1:1" ht="12.75">
      <c r="A23350" s="2" t="s">
        <v>183</v>
      </c>
    </row>
    <row r="23351" spans="1:1" ht="12.75">
      <c r="A23351" s="2" t="s">
        <v>168</v>
      </c>
    </row>
    <row r="23352" spans="1:1" ht="12.75">
      <c r="A23352" s="2" t="s">
        <v>183</v>
      </c>
    </row>
    <row r="23353" spans="1:1" ht="12.75">
      <c r="A23353" s="2" t="s">
        <v>181</v>
      </c>
    </row>
    <row r="23354" spans="1:1" ht="12.75">
      <c r="A23354" s="2" t="s">
        <v>179</v>
      </c>
    </row>
    <row r="23355" spans="1:1" ht="12.75">
      <c r="A23355" s="2" t="s">
        <v>181</v>
      </c>
    </row>
    <row r="23356" spans="1:1" ht="12.75">
      <c r="A23356" s="2" t="s">
        <v>181</v>
      </c>
    </row>
    <row r="23357" spans="1:1" ht="12.75">
      <c r="A23357" s="2" t="s">
        <v>179</v>
      </c>
    </row>
    <row r="23358" spans="1:1" ht="12.75">
      <c r="A23358" s="2" t="s">
        <v>162</v>
      </c>
    </row>
    <row r="23359" spans="1:1" ht="12.75">
      <c r="A23359" s="2" t="s">
        <v>179</v>
      </c>
    </row>
    <row r="23360" spans="1:1" ht="12.75">
      <c r="A23360" s="2" t="s">
        <v>162</v>
      </c>
    </row>
    <row r="23361" spans="1:1" ht="12.75">
      <c r="A23361" s="2" t="s">
        <v>194</v>
      </c>
    </row>
    <row r="23362" spans="1:1" ht="12.75">
      <c r="A23362" s="2" t="s">
        <v>194</v>
      </c>
    </row>
    <row r="23363" spans="1:1" ht="12.75">
      <c r="A23363" s="2" t="s">
        <v>162</v>
      </c>
    </row>
    <row r="23364" spans="1:1" ht="12.75">
      <c r="A23364" s="2" t="s">
        <v>170</v>
      </c>
    </row>
    <row r="23365" spans="1:1" ht="12.75">
      <c r="A23365" s="2" t="s">
        <v>173</v>
      </c>
    </row>
    <row r="23366" spans="1:1" ht="12.75">
      <c r="A23366" s="2" t="s">
        <v>184</v>
      </c>
    </row>
    <row r="23367" spans="1:1" ht="12.75">
      <c r="A23367" s="2" t="s">
        <v>173</v>
      </c>
    </row>
    <row r="23368" spans="1:1" ht="12.75">
      <c r="A23368" s="2" t="s">
        <v>173</v>
      </c>
    </row>
    <row r="23369" spans="1:1" ht="12.75">
      <c r="A23369" s="2" t="s">
        <v>189</v>
      </c>
    </row>
    <row r="23370" spans="1:1" ht="12.75">
      <c r="A23370" s="2" t="s">
        <v>196</v>
      </c>
    </row>
    <row r="23371" spans="1:1" ht="12.75">
      <c r="A23371" s="2" t="s">
        <v>170</v>
      </c>
    </row>
    <row r="23372" spans="1:1" ht="12.75">
      <c r="A23372" s="2" t="s">
        <v>170</v>
      </c>
    </row>
    <row r="23373" spans="1:1" ht="12.75">
      <c r="A23373" s="2" t="s">
        <v>184</v>
      </c>
    </row>
    <row r="23374" spans="1:1" ht="12.75">
      <c r="A23374" s="2" t="s">
        <v>169</v>
      </c>
    </row>
    <row r="23375" spans="1:1" ht="12.75">
      <c r="A23375" s="2" t="s">
        <v>170</v>
      </c>
    </row>
    <row r="23376" spans="1:1" ht="12.75">
      <c r="A23376" s="2" t="s">
        <v>170</v>
      </c>
    </row>
    <row r="23377" spans="1:1" ht="12.75">
      <c r="A23377" s="2" t="s">
        <v>170</v>
      </c>
    </row>
    <row r="23378" spans="1:1" ht="12.75">
      <c r="A23378" s="2" t="s">
        <v>170</v>
      </c>
    </row>
    <row r="23379" spans="1:1" ht="12.75">
      <c r="A23379" s="2" t="s">
        <v>223</v>
      </c>
    </row>
    <row r="23380" spans="1:1" ht="12.75">
      <c r="A23380" s="2" t="s">
        <v>224</v>
      </c>
    </row>
    <row r="23381" spans="1:1" ht="12.75">
      <c r="A23381" s="2" t="s">
        <v>172</v>
      </c>
    </row>
    <row r="23382" spans="1:1" ht="12.75">
      <c r="A23382" s="2" t="s">
        <v>223</v>
      </c>
    </row>
    <row r="23383" spans="1:1" ht="12.75">
      <c r="A23383" s="2" t="s">
        <v>165</v>
      </c>
    </row>
    <row r="23384" spans="1:1" ht="12.75">
      <c r="A23384" s="2" t="s">
        <v>217</v>
      </c>
    </row>
    <row r="23385" spans="1:1" ht="12.75">
      <c r="A23385" s="2" t="s">
        <v>224</v>
      </c>
    </row>
    <row r="23386" spans="1:1" ht="12.75">
      <c r="A23386" s="2" t="s">
        <v>217</v>
      </c>
    </row>
    <row r="23387" spans="1:1" ht="12.75">
      <c r="A23387" s="2" t="s">
        <v>224</v>
      </c>
    </row>
    <row r="23388" spans="1:1" ht="12.75">
      <c r="A23388" s="2" t="s">
        <v>217</v>
      </c>
    </row>
    <row r="23390" spans="1:1" ht="12.75">
      <c r="A23390" s="2" t="s">
        <v>734</v>
      </c>
    </row>
    <row r="23391" spans="1:1" ht="12.75">
      <c r="A23391" s="2" t="s">
        <v>734</v>
      </c>
    </row>
    <row r="23393" spans="1:1" ht="12.75">
      <c r="A23393" s="2" t="s">
        <v>165</v>
      </c>
    </row>
    <row r="23394" spans="1:1" ht="12.75">
      <c r="A23394" s="2" t="s">
        <v>177</v>
      </c>
    </row>
    <row r="23395" spans="1:1" ht="12.75">
      <c r="A23395" s="2" t="s">
        <v>165</v>
      </c>
    </row>
    <row r="23396" spans="1:1" ht="12.75">
      <c r="A23396" s="2" t="s">
        <v>171</v>
      </c>
    </row>
    <row r="23397" spans="1:1" ht="12.75">
      <c r="A23397" s="2" t="s">
        <v>174</v>
      </c>
    </row>
    <row r="23398" spans="1:1" ht="12.75">
      <c r="A23398" s="2" t="s">
        <v>225</v>
      </c>
    </row>
    <row r="23399" spans="1:1" ht="12.75">
      <c r="A23399" s="2" t="s">
        <v>174</v>
      </c>
    </row>
    <row r="23400" spans="1:1" ht="12.75">
      <c r="A23400" s="2" t="s">
        <v>225</v>
      </c>
    </row>
    <row r="23401" spans="1:1" ht="12.75">
      <c r="A23401" s="2" t="s">
        <v>173</v>
      </c>
    </row>
    <row r="23402" spans="1:1" ht="12.75">
      <c r="A23402" s="2" t="s">
        <v>734</v>
      </c>
    </row>
    <row r="23403" spans="1:1" ht="12.75">
      <c r="A23403" s="2" t="s">
        <v>173</v>
      </c>
    </row>
    <row r="23404" spans="1:1" ht="12.75">
      <c r="A23404" s="2" t="s">
        <v>173</v>
      </c>
    </row>
    <row r="23405" spans="1:1" ht="12.75">
      <c r="A23405" s="2" t="s">
        <v>196</v>
      </c>
    </row>
    <row r="23406" spans="1:1" ht="12.75">
      <c r="A23406" s="2" t="s">
        <v>164</v>
      </c>
    </row>
    <row r="23407" spans="1:1" ht="12.75">
      <c r="A23407" s="2" t="s">
        <v>196</v>
      </c>
    </row>
    <row r="23408" spans="1:1" ht="12.75">
      <c r="A23408" s="2" t="s">
        <v>164</v>
      </c>
    </row>
    <row r="23409" spans="1:1" ht="12.75">
      <c r="A23409" s="2" t="s">
        <v>175</v>
      </c>
    </row>
    <row r="23410" spans="1:1" ht="12.75">
      <c r="A23410" s="2" t="s">
        <v>177</v>
      </c>
    </row>
    <row r="23411" spans="1:1" ht="12.75">
      <c r="A23411" s="2" t="s">
        <v>175</v>
      </c>
    </row>
    <row r="23412" spans="1:1" ht="12.75">
      <c r="A23412" s="2" t="s">
        <v>177</v>
      </c>
    </row>
    <row r="23413" spans="1:1" ht="12.75">
      <c r="A23413" s="2" t="s">
        <v>159</v>
      </c>
    </row>
    <row r="23414" spans="1:1" ht="12.75">
      <c r="A23414" s="2" t="s">
        <v>345</v>
      </c>
    </row>
    <row r="23415" spans="1:1" ht="12.75">
      <c r="A23415" s="2" t="s">
        <v>189</v>
      </c>
    </row>
    <row r="23416" spans="1:1" ht="12.75">
      <c r="A23416" s="2" t="s">
        <v>345</v>
      </c>
    </row>
    <row r="23417" spans="1:1" ht="12.75">
      <c r="A23417" s="2" t="s">
        <v>159</v>
      </c>
    </row>
    <row r="23418" spans="1:1" ht="12.75">
      <c r="A23418" s="2" t="s">
        <v>345</v>
      </c>
    </row>
    <row r="23419" spans="1:1" ht="12.75">
      <c r="A23419" s="2" t="s">
        <v>741</v>
      </c>
    </row>
    <row r="23420" spans="1:1" ht="12.75">
      <c r="A23420" s="2" t="s">
        <v>741</v>
      </c>
    </row>
    <row r="23421" spans="1:1" ht="12.75">
      <c r="A23421" s="2" t="s">
        <v>741</v>
      </c>
    </row>
    <row r="23422" spans="1:1" ht="12.75">
      <c r="A23422" s="2" t="s">
        <v>742</v>
      </c>
    </row>
    <row r="23423" spans="1:1" ht="12.75">
      <c r="A23423" s="2" t="s">
        <v>741</v>
      </c>
    </row>
    <row r="23424" spans="1:1" ht="12.75">
      <c r="A23424" s="2" t="s">
        <v>741</v>
      </c>
    </row>
    <row r="23425" spans="1:1" ht="12.75">
      <c r="A23425" s="2" t="s">
        <v>743</v>
      </c>
    </row>
    <row r="23426" spans="1:1" ht="12.75">
      <c r="A23426" s="2" t="s">
        <v>935</v>
      </c>
    </row>
    <row r="23427" spans="1:1" ht="12.75">
      <c r="A23427" s="2" t="s">
        <v>734</v>
      </c>
    </row>
    <row r="23428" spans="1:1" ht="12.75">
      <c r="A23428" s="2" t="s">
        <v>935</v>
      </c>
    </row>
    <row r="23429" spans="1:1" ht="12.75">
      <c r="A23429" s="2" t="s">
        <v>735</v>
      </c>
    </row>
    <row r="23430" spans="1:1" ht="12.75">
      <c r="A23430" s="2" t="s">
        <v>935</v>
      </c>
    </row>
    <row r="23431" spans="1:1" ht="12.75">
      <c r="A23431" s="2" t="s">
        <v>221</v>
      </c>
    </row>
    <row r="23432" spans="1:1" ht="12.75">
      <c r="A23432" s="2" t="s">
        <v>170</v>
      </c>
    </row>
    <row r="23434" spans="1:1" ht="12.75">
      <c r="A23434" s="2" t="s">
        <v>170</v>
      </c>
    </row>
    <row r="23435" spans="1:1" ht="12.75">
      <c r="A23435" s="2" t="s">
        <v>169</v>
      </c>
    </row>
    <row r="23436" spans="1:1" ht="12.75">
      <c r="A23436" s="2" t="s">
        <v>161</v>
      </c>
    </row>
    <row r="23437" spans="1:1" ht="12.75">
      <c r="A23437" s="2" t="s">
        <v>170</v>
      </c>
    </row>
    <row r="23438" spans="1:1" ht="12.75">
      <c r="A23438" s="2" t="s">
        <v>196</v>
      </c>
    </row>
    <row r="23439" spans="1:1" ht="12.75">
      <c r="A23439" s="2" t="s">
        <v>169</v>
      </c>
    </row>
    <row r="23440" spans="1:1" ht="12.75">
      <c r="A23440" s="2" t="s">
        <v>196</v>
      </c>
    </row>
    <row r="23441" spans="1:1" ht="12.75">
      <c r="A23441" s="2" t="s">
        <v>169</v>
      </c>
    </row>
    <row r="23442" spans="1:1" ht="12.75">
      <c r="A23442" s="2" t="s">
        <v>170</v>
      </c>
    </row>
    <row r="23443" spans="1:1" ht="12.75">
      <c r="A23443" s="2" t="s">
        <v>172</v>
      </c>
    </row>
    <row r="23444" spans="1:1" ht="12.75">
      <c r="A23444" s="2" t="s">
        <v>170</v>
      </c>
    </row>
    <row r="23445" spans="1:1" ht="12.75">
      <c r="A23445" s="2" t="s">
        <v>161</v>
      </c>
    </row>
    <row r="23446" spans="1:1" ht="12.75">
      <c r="A23446" s="2" t="s">
        <v>172</v>
      </c>
    </row>
    <row r="23447" spans="1:1" ht="12.75">
      <c r="A23447" s="2" t="s">
        <v>170</v>
      </c>
    </row>
    <row r="23448" spans="1:1" ht="12.75">
      <c r="A23448" s="2" t="s">
        <v>194</v>
      </c>
    </row>
    <row r="23449" spans="1:1" ht="12.75">
      <c r="A23449" s="2" t="s">
        <v>194</v>
      </c>
    </row>
    <row r="23450" spans="1:1" ht="12.75">
      <c r="A23450" s="2" t="s">
        <v>223</v>
      </c>
    </row>
    <row r="23451" spans="1:1" ht="12.75">
      <c r="A23451" s="2" t="s">
        <v>170</v>
      </c>
    </row>
    <row r="23452" spans="1:1" ht="12.75">
      <c r="A23452" s="2" t="s">
        <v>170</v>
      </c>
    </row>
    <row r="23453" spans="1:1" ht="12.75">
      <c r="A23453" s="2" t="s">
        <v>224</v>
      </c>
    </row>
    <row r="23454" spans="1:1" ht="12.75">
      <c r="A23454" s="2" t="s">
        <v>224</v>
      </c>
    </row>
    <row r="23455" spans="1:1" ht="12.75">
      <c r="A23455" s="2" t="s">
        <v>174</v>
      </c>
    </row>
    <row r="23456" spans="1:1" ht="12.75">
      <c r="A23456" s="2" t="s">
        <v>174</v>
      </c>
    </row>
    <row r="23457" spans="1:1" ht="12.75">
      <c r="A23457" s="2" t="s">
        <v>228</v>
      </c>
    </row>
    <row r="23458" spans="1:1" ht="12.75">
      <c r="A23458" s="2" t="s">
        <v>228</v>
      </c>
    </row>
    <row r="23459" spans="1:1" ht="12.75">
      <c r="A23459" s="2" t="s">
        <v>227</v>
      </c>
    </row>
    <row r="23460" spans="1:1" ht="12.75">
      <c r="A23460" s="2" t="s">
        <v>227</v>
      </c>
    </row>
    <row r="23461" spans="1:1" ht="12.75">
      <c r="A23461" s="2" t="s">
        <v>227</v>
      </c>
    </row>
    <row r="23462" spans="1:1" ht="12.75">
      <c r="A23462" s="2" t="s">
        <v>227</v>
      </c>
    </row>
    <row r="23463" spans="1:1" ht="12.75">
      <c r="A23463" s="2" t="s">
        <v>228</v>
      </c>
    </row>
    <row r="23464" spans="1:1" ht="12.75">
      <c r="A23464" s="2" t="s">
        <v>228</v>
      </c>
    </row>
    <row r="23465" spans="1:1" ht="12.75">
      <c r="A23465" s="2" t="s">
        <v>738</v>
      </c>
    </row>
    <row r="23466" spans="1:1" ht="12.75">
      <c r="A23466" s="2" t="s">
        <v>738</v>
      </c>
    </row>
    <row r="23467" spans="1:1" ht="12.75">
      <c r="A23467" s="2" t="s">
        <v>739</v>
      </c>
    </row>
    <row r="23468" spans="1:1" ht="12.75">
      <c r="A23468" s="2" t="s">
        <v>936</v>
      </c>
    </row>
    <row r="23469" spans="1:1" ht="12.75">
      <c r="A23469" s="2" t="s">
        <v>717</v>
      </c>
    </row>
    <row r="23470" spans="1:1" ht="12.75">
      <c r="A23470" s="2" t="s">
        <v>317</v>
      </c>
    </row>
    <row r="23471" spans="1:1" ht="12.75">
      <c r="A23471" s="2" t="s">
        <v>159</v>
      </c>
    </row>
    <row r="23472" spans="1:1" ht="12.75">
      <c r="A23472" s="2" t="s">
        <v>159</v>
      </c>
    </row>
    <row r="23473" spans="1:1" ht="12.75">
      <c r="A23473" s="2" t="s">
        <v>159</v>
      </c>
    </row>
    <row r="23474" spans="1:1" ht="12.75">
      <c r="A23474" s="2" t="s">
        <v>159</v>
      </c>
    </row>
    <row r="23475" spans="1:1" ht="12.75">
      <c r="A23475" s="2" t="s">
        <v>159</v>
      </c>
    </row>
    <row r="23476" spans="1:1" ht="12.75">
      <c r="A23476" s="2" t="s">
        <v>345</v>
      </c>
    </row>
    <row r="23477" spans="1:1" ht="12.75">
      <c r="A23477" s="2" t="s">
        <v>159</v>
      </c>
    </row>
    <row r="23478" spans="1:1" ht="12.75">
      <c r="A23478" s="2" t="s">
        <v>242</v>
      </c>
    </row>
    <row r="23479" spans="1:1" ht="12.75">
      <c r="A23479" s="2" t="s">
        <v>159</v>
      </c>
    </row>
    <row r="23481" spans="1:1" ht="12.75">
      <c r="A23481" s="2" t="s">
        <v>159</v>
      </c>
    </row>
    <row r="23482" spans="1:1" ht="12.75">
      <c r="A23482" s="2" t="s">
        <v>345</v>
      </c>
    </row>
    <row r="23483" spans="1:1" ht="12.75">
      <c r="A23483" s="2" t="s">
        <v>159</v>
      </c>
    </row>
    <row r="23484" spans="1:1" ht="12.75">
      <c r="A23484" s="2" t="s">
        <v>345</v>
      </c>
    </row>
    <row r="23485" spans="1:1" ht="12.75">
      <c r="A23485" s="2" t="s">
        <v>345</v>
      </c>
    </row>
    <row r="23486" spans="1:1" ht="12.75">
      <c r="A23486" s="2" t="s">
        <v>221</v>
      </c>
    </row>
    <row r="23487" spans="1:1" ht="12.75">
      <c r="A23487" s="2" t="s">
        <v>159</v>
      </c>
    </row>
    <row r="23488" spans="1:1" ht="12.75">
      <c r="A23488" s="2" t="s">
        <v>221</v>
      </c>
    </row>
    <row r="23489" spans="1:1" ht="12.75">
      <c r="A23489" s="2" t="s">
        <v>159</v>
      </c>
    </row>
    <row r="23490" spans="1:1" ht="12.75">
      <c r="A23490" s="2" t="s">
        <v>159</v>
      </c>
    </row>
    <row r="23491" spans="1:1" ht="12.75">
      <c r="A23491" s="2" t="s">
        <v>170</v>
      </c>
    </row>
    <row r="23492" spans="1:1" ht="12.75">
      <c r="A23492" s="2" t="s">
        <v>161</v>
      </c>
    </row>
    <row r="23493" spans="1:1" ht="12.75">
      <c r="A23493" s="2" t="s">
        <v>170</v>
      </c>
    </row>
    <row r="23494" spans="1:1" ht="12.75">
      <c r="A23494" s="2" t="s">
        <v>161</v>
      </c>
    </row>
    <row r="23495" spans="1:1" ht="12.75">
      <c r="A23495" s="2" t="s">
        <v>182</v>
      </c>
    </row>
    <row r="23496" spans="1:1" ht="12.75">
      <c r="A23496" s="2" t="s">
        <v>182</v>
      </c>
    </row>
    <row r="23497" spans="1:1" ht="12.75">
      <c r="A23497" s="2" t="s">
        <v>161</v>
      </c>
    </row>
    <row r="23498" spans="1:1" ht="12.75">
      <c r="A23498" s="2" t="s">
        <v>182</v>
      </c>
    </row>
    <row r="23499" spans="1:1" ht="12.75">
      <c r="A23499" s="2" t="s">
        <v>166</v>
      </c>
    </row>
    <row r="23500" spans="1:1" ht="12.75">
      <c r="A23500" s="2" t="s">
        <v>172</v>
      </c>
    </row>
    <row r="23501" spans="1:1" ht="12.75">
      <c r="A23501" s="2" t="s">
        <v>166</v>
      </c>
    </row>
    <row r="23502" spans="1:1" ht="12.75">
      <c r="A23502" s="2" t="s">
        <v>166</v>
      </c>
    </row>
    <row r="23503" spans="1:1" ht="12.75">
      <c r="A23503" s="2" t="s">
        <v>937</v>
      </c>
    </row>
    <row r="23504" spans="1:1" ht="12.75">
      <c r="A23504" s="2" t="s">
        <v>343</v>
      </c>
    </row>
    <row r="23505" spans="1:1" ht="12.75">
      <c r="A23505" s="2" t="s">
        <v>172</v>
      </c>
    </row>
    <row r="23506" spans="1:1" ht="12.75">
      <c r="A23506" s="2" t="s">
        <v>937</v>
      </c>
    </row>
    <row r="23507" spans="1:1" ht="12.75">
      <c r="A23507" s="2" t="s">
        <v>343</v>
      </c>
    </row>
    <row r="23508" spans="1:1" ht="12.75">
      <c r="A23508" s="2" t="s">
        <v>229</v>
      </c>
    </row>
    <row r="23509" spans="1:1" ht="12.75">
      <c r="A23509" s="2" t="s">
        <v>343</v>
      </c>
    </row>
    <row r="23510" spans="1:1" ht="12.75">
      <c r="A23510" s="2" t="s">
        <v>343</v>
      </c>
    </row>
    <row r="23511" spans="1:1" ht="12.75">
      <c r="A23511" s="2" t="s">
        <v>229</v>
      </c>
    </row>
    <row r="23513" spans="1:1" ht="12.75">
      <c r="A23513" s="2" t="s">
        <v>229</v>
      </c>
    </row>
    <row r="23514" spans="1:1" ht="12.75">
      <c r="A23514" s="2" t="s">
        <v>229</v>
      </c>
    </row>
    <row r="23516" spans="1:1" ht="12.75">
      <c r="A23516" s="2" t="s">
        <v>741</v>
      </c>
    </row>
    <row r="23517" spans="1:1" ht="12.75">
      <c r="A23517" s="2" t="s">
        <v>741</v>
      </c>
    </row>
    <row r="23518" spans="1:1" ht="12.75">
      <c r="A23518" s="2" t="s">
        <v>743</v>
      </c>
    </row>
    <row r="23519" spans="1:1" ht="12.75">
      <c r="A23519" s="2" t="s">
        <v>740</v>
      </c>
    </row>
    <row r="23520" spans="1:1" ht="12.75">
      <c r="A23520" s="2" t="s">
        <v>740</v>
      </c>
    </row>
    <row r="23521" spans="1:1" ht="12.75">
      <c r="A23521" s="2" t="s">
        <v>936</v>
      </c>
    </row>
    <row r="23522" spans="1:1" ht="12.75">
      <c r="A23522" s="2" t="s">
        <v>739</v>
      </c>
    </row>
    <row r="23523" spans="1:1" ht="12.75">
      <c r="A23523" s="2" t="s">
        <v>739</v>
      </c>
    </row>
    <row r="23524" spans="1:1" ht="12.75">
      <c r="A23524" s="2" t="s">
        <v>739</v>
      </c>
    </row>
    <row r="23525" spans="1:1" ht="12.75">
      <c r="A23525" s="2" t="s">
        <v>740</v>
      </c>
    </row>
    <row r="23526" spans="1:1" ht="12.75">
      <c r="A23526" s="2" t="s">
        <v>738</v>
      </c>
    </row>
    <row r="23527" spans="1:1" ht="12.75">
      <c r="A23527" s="2" t="s">
        <v>740</v>
      </c>
    </row>
    <row r="23528" spans="1:1" ht="12.75">
      <c r="A23528" s="2" t="s">
        <v>738</v>
      </c>
    </row>
    <row r="23529" spans="1:1" ht="12.75">
      <c r="A23529" s="2" t="s">
        <v>738</v>
      </c>
    </row>
    <row r="23530" spans="1:1" ht="12.75">
      <c r="A23530" s="2" t="s">
        <v>738</v>
      </c>
    </row>
    <row r="23531" spans="1:1" ht="12.75">
      <c r="A23531" s="2" t="s">
        <v>938</v>
      </c>
    </row>
    <row r="23532" spans="1:1" ht="12.75">
      <c r="A23532" s="2" t="s">
        <v>738</v>
      </c>
    </row>
    <row r="23533" spans="1:1" ht="12.75">
      <c r="A23533" s="2" t="s">
        <v>740</v>
      </c>
    </row>
    <row r="23534" spans="1:1" ht="12.75">
      <c r="A23534" s="2" t="s">
        <v>740</v>
      </c>
    </row>
    <row r="23535" spans="1:1" ht="12.75">
      <c r="A23535" s="2" t="s">
        <v>740</v>
      </c>
    </row>
    <row r="23536" spans="1:1" ht="12.75">
      <c r="A23536" s="2" t="s">
        <v>740</v>
      </c>
    </row>
    <row r="23537" spans="1:1" ht="12.75">
      <c r="A23537" s="2" t="s">
        <v>740</v>
      </c>
    </row>
    <row r="23538" spans="1:1" ht="12.75">
      <c r="A23538" s="2" t="s">
        <v>740</v>
      </c>
    </row>
    <row r="23539" spans="1:1" ht="12.75">
      <c r="A23539" s="2" t="s">
        <v>939</v>
      </c>
    </row>
    <row r="23540" spans="1:1" ht="12.75">
      <c r="A23540" s="2" t="s">
        <v>739</v>
      </c>
    </row>
    <row r="23541" spans="1:1" ht="12.75">
      <c r="A23541" s="2" t="s">
        <v>739</v>
      </c>
    </row>
    <row r="23542" spans="1:1" ht="12.75">
      <c r="A23542" s="2" t="s">
        <v>739</v>
      </c>
    </row>
    <row r="23543" spans="1:1" ht="12.75">
      <c r="A23543" s="2" t="s">
        <v>739</v>
      </c>
    </row>
    <row r="23544" spans="1:1" ht="12.75">
      <c r="A23544" s="2" t="s">
        <v>739</v>
      </c>
    </row>
    <row r="23545" spans="1:1" ht="12.75">
      <c r="A23545" s="2" t="s">
        <v>223</v>
      </c>
    </row>
    <row r="23546" spans="1:1" ht="12.75">
      <c r="A23546" s="2" t="s">
        <v>223</v>
      </c>
    </row>
    <row r="23547" spans="1:1" ht="12.75">
      <c r="A23547" s="2" t="s">
        <v>227</v>
      </c>
    </row>
    <row r="23548" spans="1:1" ht="12.75">
      <c r="A23548" s="2" t="s">
        <v>227</v>
      </c>
    </row>
    <row r="23549" spans="1:1" ht="12.75">
      <c r="A23549" s="2" t="s">
        <v>228</v>
      </c>
    </row>
    <row r="23550" spans="1:1" ht="12.75">
      <c r="A23550" s="2" t="s">
        <v>227</v>
      </c>
    </row>
    <row r="23551" spans="1:1" ht="12.75">
      <c r="A23551" s="2" t="s">
        <v>227</v>
      </c>
    </row>
    <row r="23552" spans="1:1" ht="12.75">
      <c r="A23552" s="2" t="s">
        <v>228</v>
      </c>
    </row>
    <row r="23553" spans="1:1" ht="12.75">
      <c r="A23553" s="2" t="s">
        <v>228</v>
      </c>
    </row>
    <row r="23554" spans="1:1" ht="12.75">
      <c r="A23554" s="2" t="s">
        <v>227</v>
      </c>
    </row>
    <row r="23555" spans="1:1" ht="12.75">
      <c r="A23555" s="2" t="s">
        <v>228</v>
      </c>
    </row>
    <row r="23556" spans="1:1" ht="12.75">
      <c r="A23556" s="2" t="s">
        <v>228</v>
      </c>
    </row>
    <row r="23557" spans="1:1" ht="12.75">
      <c r="A23557" s="2" t="s">
        <v>741</v>
      </c>
    </row>
    <row r="23558" spans="1:1" ht="12.75">
      <c r="A23558" s="2" t="s">
        <v>741</v>
      </c>
    </row>
    <row r="23559" spans="1:1" ht="12.75">
      <c r="A23559" s="2" t="s">
        <v>741</v>
      </c>
    </row>
    <row r="23560" spans="1:1" ht="12.75">
      <c r="A23560" s="2" t="s">
        <v>741</v>
      </c>
    </row>
    <row r="23561" spans="1:1" ht="12.75">
      <c r="A23561" s="2" t="s">
        <v>741</v>
      </c>
    </row>
    <row r="23562" spans="1:1" ht="12.75">
      <c r="A23562" s="2" t="s">
        <v>741</v>
      </c>
    </row>
    <row r="23563" spans="1:1" ht="12.75">
      <c r="A23563" s="2" t="s">
        <v>741</v>
      </c>
    </row>
    <row r="23564" spans="1:1" ht="12.75">
      <c r="A23564" s="2" t="s">
        <v>741</v>
      </c>
    </row>
    <row r="23565" spans="1:1" ht="12.75">
      <c r="A23565" s="2" t="s">
        <v>741</v>
      </c>
    </row>
    <row r="23566" spans="1:1" ht="12.75">
      <c r="A23566" s="2">
        <v>5652</v>
      </c>
    </row>
    <row r="23567" spans="1:1" ht="12.75">
      <c r="A23567" s="2" t="s">
        <v>743</v>
      </c>
    </row>
    <row r="23568" spans="1:1" ht="12.75">
      <c r="A23568" s="2" t="s">
        <v>159</v>
      </c>
    </row>
    <row r="23669" spans="1:1" ht="12.75">
      <c r="A23669" s="2" t="s">
        <v>741</v>
      </c>
    </row>
    <row r="23670" spans="1:1" ht="12.75">
      <c r="A23670" s="2" t="s">
        <v>159</v>
      </c>
    </row>
    <row r="23671" spans="1:1" ht="12.75">
      <c r="A23671" s="2" t="s">
        <v>159</v>
      </c>
    </row>
    <row r="23672" spans="1:1" ht="12.75">
      <c r="A23672" s="2" t="s">
        <v>160</v>
      </c>
    </row>
    <row r="23673" spans="1:1" ht="12.75">
      <c r="A23673" s="2" t="s">
        <v>159</v>
      </c>
    </row>
    <row r="23674" spans="1:1" ht="12.75">
      <c r="A23674" s="2" t="s">
        <v>160</v>
      </c>
    </row>
    <row r="23675" spans="1:1" ht="12.75">
      <c r="A23675" s="2" t="s">
        <v>160</v>
      </c>
    </row>
    <row r="23676" spans="1:1" ht="12.75">
      <c r="A23676" s="2" t="s">
        <v>166</v>
      </c>
    </row>
    <row r="23677" spans="1:1" ht="12.75">
      <c r="A23677" s="2" t="s">
        <v>166</v>
      </c>
    </row>
    <row r="23678" spans="1:1" ht="12.75">
      <c r="A23678" s="2" t="s">
        <v>165</v>
      </c>
    </row>
    <row r="23679" spans="1:1" ht="12.75">
      <c r="A23679" s="2" t="s">
        <v>166</v>
      </c>
    </row>
    <row r="23680" spans="1:1" ht="12.75">
      <c r="A23680" s="2" t="s">
        <v>165</v>
      </c>
    </row>
    <row r="23681" spans="1:1" ht="12.75">
      <c r="A23681" s="2" t="s">
        <v>733</v>
      </c>
    </row>
    <row r="23682" spans="1:1" ht="12.75">
      <c r="A23682" s="2" t="s">
        <v>167</v>
      </c>
    </row>
    <row r="23683" spans="1:1" ht="12.75">
      <c r="A23683" s="2" t="s">
        <v>165</v>
      </c>
    </row>
    <row r="23684" spans="1:1" ht="12.75">
      <c r="A23684" s="2" t="s">
        <v>167</v>
      </c>
    </row>
    <row r="23685" spans="1:1" ht="12.75">
      <c r="A23685" s="2" t="s">
        <v>176</v>
      </c>
    </row>
    <row r="23686" spans="1:1" ht="12.75">
      <c r="A23686" s="2" t="s">
        <v>168</v>
      </c>
    </row>
    <row r="23687" spans="1:1" ht="12.75">
      <c r="A23687" s="2" t="s">
        <v>176</v>
      </c>
    </row>
    <row r="23688" spans="1:1" ht="12.75">
      <c r="A23688" s="2" t="s">
        <v>176</v>
      </c>
    </row>
    <row r="23689" spans="1:1" ht="12.75">
      <c r="A23689" s="2" t="s">
        <v>172</v>
      </c>
    </row>
    <row r="23690" spans="1:1" ht="12.75">
      <c r="A23690" s="2" t="s">
        <v>183</v>
      </c>
    </row>
    <row r="23691" spans="1:1" ht="12.75">
      <c r="A23691" s="2" t="s">
        <v>168</v>
      </c>
    </row>
    <row r="23692" spans="1:1" ht="12.75">
      <c r="A23692" s="2" t="s">
        <v>172</v>
      </c>
    </row>
    <row r="23693" spans="1:1" ht="12.75">
      <c r="A23693" s="2" t="s">
        <v>196</v>
      </c>
    </row>
    <row r="23694" spans="1:1" ht="12.75">
      <c r="A23694" s="2" t="s">
        <v>193</v>
      </c>
    </row>
    <row r="23695" spans="1:1" ht="12.75">
      <c r="A23695" s="2" t="s">
        <v>183</v>
      </c>
    </row>
    <row r="23696" spans="1:1" ht="12.75">
      <c r="A23696" s="2" t="s">
        <v>193</v>
      </c>
    </row>
    <row r="23697" spans="1:1" ht="12.75">
      <c r="A23697" s="2" t="s">
        <v>184</v>
      </c>
    </row>
    <row r="23698" spans="1:1" ht="12.75">
      <c r="A23698" s="2" t="s">
        <v>162</v>
      </c>
    </row>
    <row r="23699" spans="1:1" ht="12.75">
      <c r="A23699" s="2" t="s">
        <v>184</v>
      </c>
    </row>
    <row r="23700" spans="1:1" ht="12.75">
      <c r="A23700" s="2" t="s">
        <v>179</v>
      </c>
    </row>
    <row r="23701" spans="1:1" ht="12.75">
      <c r="A23701" s="2" t="s">
        <v>184</v>
      </c>
    </row>
    <row r="23702" spans="1:1" ht="12.75">
      <c r="A23702" s="2" t="s">
        <v>179</v>
      </c>
    </row>
    <row r="23703" spans="1:1" ht="12.75">
      <c r="A23703" s="2" t="s">
        <v>193</v>
      </c>
    </row>
    <row r="23704" spans="1:1" ht="12.75">
      <c r="A23704" s="2" t="s">
        <v>179</v>
      </c>
    </row>
    <row r="23705" spans="1:1" ht="12.75">
      <c r="A23705" s="2" t="s">
        <v>162</v>
      </c>
    </row>
    <row r="23706" spans="1:1" ht="12.75">
      <c r="A23706" s="2" t="s">
        <v>164</v>
      </c>
    </row>
    <row r="23707" spans="1:1" ht="12.75">
      <c r="A23707" s="2" t="s">
        <v>162</v>
      </c>
    </row>
    <row r="23708" spans="1:1" ht="12.75">
      <c r="A23708" s="2" t="s">
        <v>164</v>
      </c>
    </row>
    <row r="23709" spans="1:1" ht="12.75">
      <c r="A23709" s="2" t="s">
        <v>175</v>
      </c>
    </row>
    <row r="23710" spans="1:1" ht="12.75">
      <c r="A23710" s="2" t="s">
        <v>177</v>
      </c>
    </row>
    <row r="23711" spans="1:1" ht="12.75">
      <c r="A23711" s="2" t="s">
        <v>164</v>
      </c>
    </row>
    <row r="23712" spans="1:1" ht="12.75">
      <c r="A23712" s="2" t="s">
        <v>175</v>
      </c>
    </row>
    <row r="23713" spans="1:1" ht="12.75">
      <c r="A23713" s="2" t="s">
        <v>163</v>
      </c>
    </row>
    <row r="23714" spans="1:1" ht="12.75">
      <c r="A23714" s="2" t="s">
        <v>175</v>
      </c>
    </row>
    <row r="23715" spans="1:1" ht="12.75">
      <c r="A23715" s="2" t="s">
        <v>163</v>
      </c>
    </row>
    <row r="23716" spans="1:1" ht="12.75">
      <c r="A23716" s="2" t="s">
        <v>163</v>
      </c>
    </row>
    <row r="23717" spans="1:1" ht="12.75">
      <c r="A23717" s="2" t="s">
        <v>177</v>
      </c>
    </row>
    <row r="23718" spans="1:1" ht="12.75">
      <c r="A23718" s="2" t="s">
        <v>173</v>
      </c>
    </row>
    <row r="23719" spans="1:1" ht="12.75">
      <c r="A23719" s="2" t="s">
        <v>177</v>
      </c>
    </row>
    <row r="23720" spans="1:1" ht="12.75">
      <c r="A23720" s="2" t="s">
        <v>173</v>
      </c>
    </row>
    <row r="23721" spans="1:1" ht="12.75">
      <c r="A23721" s="2" t="s">
        <v>175</v>
      </c>
    </row>
    <row r="23722" spans="1:1" ht="12.75">
      <c r="A23722" s="2" t="s">
        <v>194</v>
      </c>
    </row>
    <row r="23723" spans="1:1" ht="12.75">
      <c r="A23723" s="2" t="s">
        <v>175</v>
      </c>
    </row>
    <row r="23724" spans="1:1" ht="12.75">
      <c r="A23724" s="2" t="s">
        <v>194</v>
      </c>
    </row>
    <row r="23725" spans="1:1" ht="12.75">
      <c r="A23725" s="2" t="s">
        <v>174</v>
      </c>
    </row>
    <row r="23726" spans="1:1" ht="12.75">
      <c r="A23726" s="2" t="s">
        <v>171</v>
      </c>
    </row>
    <row r="23727" spans="1:1" ht="12.75">
      <c r="A23727" s="2" t="s">
        <v>173</v>
      </c>
    </row>
    <row r="23728" spans="1:1" ht="12.75">
      <c r="A23728" s="2" t="s">
        <v>174</v>
      </c>
    </row>
    <row r="23729" spans="1:1" ht="12.75">
      <c r="A23729" s="2" t="s">
        <v>196</v>
      </c>
    </row>
    <row r="23730" spans="1:1" ht="12.75">
      <c r="A23730" s="2" t="s">
        <v>170</v>
      </c>
    </row>
    <row r="23731" spans="1:1" ht="12.75">
      <c r="A23731" s="2" t="s">
        <v>196</v>
      </c>
    </row>
    <row r="23732" spans="1:1" ht="12.75">
      <c r="A23732" s="2" t="s">
        <v>170</v>
      </c>
    </row>
    <row r="23733" spans="1:1" ht="12.75">
      <c r="A23733" s="2" t="s">
        <v>189</v>
      </c>
    </row>
    <row r="23734" spans="1:1" ht="12.75">
      <c r="A23734" s="2" t="s">
        <v>196</v>
      </c>
    </row>
    <row r="23735" spans="1:1" ht="12.75">
      <c r="A23735" s="2" t="s">
        <v>193</v>
      </c>
    </row>
    <row r="23736" spans="1:1" ht="12.75">
      <c r="A23736" s="2" t="s">
        <v>224</v>
      </c>
    </row>
    <row r="23737" spans="1:1" ht="12.75">
      <c r="A23737" s="2" t="s">
        <v>184</v>
      </c>
    </row>
    <row r="23738" spans="1:1" ht="12.75">
      <c r="A23738" s="2" t="s">
        <v>224</v>
      </c>
    </row>
    <row r="23739" spans="1:1" ht="12.75">
      <c r="A23739" s="2" t="s">
        <v>223</v>
      </c>
    </row>
    <row r="23740" spans="1:1" ht="12.75">
      <c r="A23740" s="2" t="s">
        <v>193</v>
      </c>
    </row>
    <row r="23741" spans="1:1" ht="12.75">
      <c r="A23741" s="2" t="s">
        <v>734</v>
      </c>
    </row>
    <row r="23742" spans="1:1" ht="12.75">
      <c r="A23742" s="2" t="s">
        <v>259</v>
      </c>
    </row>
    <row r="23743" spans="1:1" ht="12.75">
      <c r="A23743" s="2" t="s">
        <v>734</v>
      </c>
    </row>
    <row r="23744" spans="1:1" ht="12.75">
      <c r="A23744" s="2" t="s">
        <v>259</v>
      </c>
    </row>
    <row r="23745" spans="1:1" ht="12.75">
      <c r="A23745" s="2" t="s">
        <v>259</v>
      </c>
    </row>
    <row r="23746" spans="1:1" ht="12.75">
      <c r="A23746" s="2" t="s">
        <v>259</v>
      </c>
    </row>
    <row r="23747" spans="1:1" ht="12.75">
      <c r="A23747" s="2" t="s">
        <v>301</v>
      </c>
    </row>
    <row r="23748" spans="1:1" ht="12.75">
      <c r="A23748" s="2" t="s">
        <v>301</v>
      </c>
    </row>
    <row r="23749" spans="1:1" ht="12.75">
      <c r="A23749" s="2" t="s">
        <v>301</v>
      </c>
    </row>
    <row r="23750" spans="1:1" ht="12.75">
      <c r="A23750" s="2" t="s">
        <v>259</v>
      </c>
    </row>
    <row r="23751" spans="1:1" ht="12.75">
      <c r="A23751" s="2" t="s">
        <v>258</v>
      </c>
    </row>
    <row r="23752" spans="1:1" ht="12.75">
      <c r="A23752" s="2" t="s">
        <v>258</v>
      </c>
    </row>
    <row r="23753" spans="1:1" ht="12.75">
      <c r="A23753" s="2" t="s">
        <v>257</v>
      </c>
    </row>
    <row r="23754" spans="1:1" ht="12.75">
      <c r="A23754" s="2" t="s">
        <v>257</v>
      </c>
    </row>
    <row r="23755" spans="1:1" ht="12.75">
      <c r="A23755" s="2" t="s">
        <v>257</v>
      </c>
    </row>
    <row r="23756" spans="1:1" ht="12.75">
      <c r="A23756" s="2" t="s">
        <v>257</v>
      </c>
    </row>
    <row r="23757" spans="1:1" ht="12.75">
      <c r="A23757" s="2" t="s">
        <v>258</v>
      </c>
    </row>
    <row r="23758" spans="1:1" ht="12.75">
      <c r="A23758" s="2" t="s">
        <v>260</v>
      </c>
    </row>
    <row r="23759" spans="1:1" ht="12.75">
      <c r="A23759" s="2" t="s">
        <v>259</v>
      </c>
    </row>
    <row r="23760" spans="1:1" ht="12.75">
      <c r="A23760" s="2" t="s">
        <v>259</v>
      </c>
    </row>
    <row r="23761" spans="1:1" ht="12.75">
      <c r="A23761" s="2" t="s">
        <v>259</v>
      </c>
    </row>
    <row r="23762" spans="1:1" ht="12.75">
      <c r="A23762" s="2" t="s">
        <v>260</v>
      </c>
    </row>
    <row r="23763" spans="1:1" ht="12.75">
      <c r="A23763" s="2" t="s">
        <v>258</v>
      </c>
    </row>
    <row r="23764" spans="1:1" ht="12.75">
      <c r="A23764" s="2" t="s">
        <v>940</v>
      </c>
    </row>
    <row r="23765" spans="1:1" ht="12.75">
      <c r="A23765" s="2" t="s">
        <v>258</v>
      </c>
    </row>
    <row r="23766" spans="1:1" ht="12.75">
      <c r="A23766" s="2" t="s">
        <v>258</v>
      </c>
    </row>
    <row r="23767" spans="1:1" ht="12.75">
      <c r="A23767" s="2" t="s">
        <v>260</v>
      </c>
    </row>
    <row r="23768" spans="1:1" ht="12.75">
      <c r="A23768" s="2" t="s">
        <v>259</v>
      </c>
    </row>
    <row r="23769" spans="1:1" ht="12.75">
      <c r="A23769" s="2" t="s">
        <v>258</v>
      </c>
    </row>
    <row r="23770" spans="1:1" ht="12.75">
      <c r="A23770" s="2" t="s">
        <v>258</v>
      </c>
    </row>
    <row r="23771" spans="1:1" ht="12.75">
      <c r="A23771" s="2" t="s">
        <v>307</v>
      </c>
    </row>
    <row r="23772" spans="1:1" ht="12.75">
      <c r="A23772" s="2" t="s">
        <v>307</v>
      </c>
    </row>
    <row r="23773" spans="1:1" ht="12.75">
      <c r="A23773" s="2" t="s">
        <v>258</v>
      </c>
    </row>
    <row r="23774" spans="1:1" ht="12.75">
      <c r="A23774" s="2" t="s">
        <v>307</v>
      </c>
    </row>
    <row r="23775" spans="1:1" ht="12.75">
      <c r="A23775" s="2" t="s">
        <v>258</v>
      </c>
    </row>
    <row r="23776" spans="1:1" ht="12.75">
      <c r="A23776" s="2" t="s">
        <v>307</v>
      </c>
    </row>
    <row r="23777" spans="1:1" ht="12.75">
      <c r="A23777" s="2" t="s">
        <v>941</v>
      </c>
    </row>
    <row r="23778" spans="1:1" ht="12.75">
      <c r="A23778" s="2" t="s">
        <v>307</v>
      </c>
    </row>
    <row r="23779" spans="1:1" ht="12.75">
      <c r="A23779" s="2" t="s">
        <v>307</v>
      </c>
    </row>
    <row r="23780" spans="1:1" ht="12.75">
      <c r="A23780" s="2" t="s">
        <v>307</v>
      </c>
    </row>
    <row r="23781" spans="1:1" ht="12.75">
      <c r="A23781" s="2" t="s">
        <v>307</v>
      </c>
    </row>
    <row r="23782" spans="1:1" ht="12.75">
      <c r="A23782" s="2" t="s">
        <v>307</v>
      </c>
    </row>
    <row r="23783" spans="1:1" ht="12.75">
      <c r="A23783" s="2" t="s">
        <v>307</v>
      </c>
    </row>
    <row r="23784" spans="1:1" ht="12.75">
      <c r="A23784" s="2" t="s">
        <v>307</v>
      </c>
    </row>
    <row r="23785" spans="1:1" ht="12.75">
      <c r="A23785" s="2" t="s">
        <v>307</v>
      </c>
    </row>
    <row r="23786" spans="1:1" ht="12.75">
      <c r="A23786" s="2" t="s">
        <v>307</v>
      </c>
    </row>
    <row r="23787" spans="1:1" ht="12.75">
      <c r="A23787" s="2" t="s">
        <v>177</v>
      </c>
    </row>
    <row r="23788" spans="1:1" ht="12.75">
      <c r="A23788" s="2" t="s">
        <v>173</v>
      </c>
    </row>
    <row r="23789" spans="1:1" ht="12.75">
      <c r="A23789" s="2" t="s">
        <v>307</v>
      </c>
    </row>
    <row r="23790" spans="1:1" ht="12.75">
      <c r="A23790" s="2" t="s">
        <v>942</v>
      </c>
    </row>
    <row r="23791" spans="1:1" ht="12.75">
      <c r="A23791" s="2" t="s">
        <v>173</v>
      </c>
    </row>
    <row r="23792" spans="1:1" ht="12.75">
      <c r="A23792" s="2" t="s">
        <v>225</v>
      </c>
    </row>
    <row r="23793" spans="1:1" ht="12.75">
      <c r="A23793" s="2" t="s">
        <v>173</v>
      </c>
    </row>
    <row r="23794" spans="1:1" ht="12.75">
      <c r="A23794" s="2" t="s">
        <v>225</v>
      </c>
    </row>
    <row r="23795" spans="1:1" ht="12.75">
      <c r="A23795" s="2" t="s">
        <v>176</v>
      </c>
    </row>
    <row r="23796" spans="1:1" ht="12.75">
      <c r="A23796" s="2" t="s">
        <v>165</v>
      </c>
    </row>
    <row r="23797" spans="1:1" ht="12.75">
      <c r="A23797" s="2" t="s">
        <v>176</v>
      </c>
    </row>
    <row r="23798" spans="1:1" ht="12.75">
      <c r="A23798" s="2" t="s">
        <v>165</v>
      </c>
    </row>
    <row r="23799" spans="1:1" ht="12.75">
      <c r="A23799" s="2" t="s">
        <v>167</v>
      </c>
    </row>
    <row r="23800" spans="1:1" ht="12.75">
      <c r="A23800" s="2" t="s">
        <v>166</v>
      </c>
    </row>
    <row r="23801" spans="1:1" ht="12.75">
      <c r="A23801" s="2" t="s">
        <v>167</v>
      </c>
    </row>
    <row r="23802" spans="1:1" ht="12.75">
      <c r="A23802" s="2" t="s">
        <v>166</v>
      </c>
    </row>
    <row r="23803" spans="1:1" ht="12.75">
      <c r="A23803" s="2" t="s">
        <v>173</v>
      </c>
    </row>
    <row r="23804" spans="1:1" ht="12.75">
      <c r="A23804" s="2" t="s">
        <v>175</v>
      </c>
    </row>
    <row r="23805" spans="1:1" ht="12.75">
      <c r="A23805" s="2" t="s">
        <v>177</v>
      </c>
    </row>
    <row r="23806" spans="1:1" ht="12.75">
      <c r="A23806" s="2" t="s">
        <v>193</v>
      </c>
    </row>
    <row r="23807" spans="1:1" ht="12.75">
      <c r="A23807" s="2" t="s">
        <v>194</v>
      </c>
    </row>
    <row r="23808" spans="1:1" ht="12.75">
      <c r="A23808" s="2" t="s">
        <v>193</v>
      </c>
    </row>
    <row r="23809" spans="1:1" ht="12.75">
      <c r="A23809" s="2" t="s">
        <v>173</v>
      </c>
    </row>
    <row r="23810" spans="1:1" ht="12.75">
      <c r="A23810" s="2" t="s">
        <v>175</v>
      </c>
    </row>
    <row r="23811" spans="1:1" ht="12.75">
      <c r="A23811" s="2" t="s">
        <v>173</v>
      </c>
    </row>
    <row r="23812" spans="1:1" ht="12.75">
      <c r="A23812" s="2" t="s">
        <v>193</v>
      </c>
    </row>
    <row r="23813" spans="1:1" ht="12.75">
      <c r="A23813" s="2" t="s">
        <v>171</v>
      </c>
    </row>
    <row r="23814" spans="1:1" ht="12.75">
      <c r="A23814" s="2" t="s">
        <v>177</v>
      </c>
    </row>
    <row r="23815" spans="1:1" ht="12.75">
      <c r="A23815" s="2" t="s">
        <v>179</v>
      </c>
    </row>
    <row r="23816" spans="1:1" ht="12.75">
      <c r="A23816" s="2" t="s">
        <v>183</v>
      </c>
    </row>
    <row r="23817" spans="1:1" ht="12.75">
      <c r="A23817" s="2" t="s">
        <v>179</v>
      </c>
    </row>
    <row r="23818" spans="1:1" ht="12.75">
      <c r="A23818" s="2" t="s">
        <v>164</v>
      </c>
    </row>
    <row r="23819" spans="1:1" ht="12.75">
      <c r="A23819" s="2" t="s">
        <v>184</v>
      </c>
    </row>
    <row r="23820" spans="1:1" ht="12.75">
      <c r="A23820" s="2" t="s">
        <v>164</v>
      </c>
    </row>
    <row r="23821" spans="1:1" ht="12.75">
      <c r="A23821" s="2" t="s">
        <v>162</v>
      </c>
    </row>
    <row r="23822" spans="1:1" ht="12.75">
      <c r="A23822" s="2" t="s">
        <v>164</v>
      </c>
    </row>
    <row r="23823" spans="1:1" ht="12.75">
      <c r="A23823" s="2" t="s">
        <v>162</v>
      </c>
    </row>
    <row r="23824" spans="1:1" ht="12.75">
      <c r="A23824" s="2" t="s">
        <v>181</v>
      </c>
    </row>
    <row r="23825" spans="1:1" ht="12.75">
      <c r="A23825" s="2" t="s">
        <v>162</v>
      </c>
    </row>
    <row r="23826" spans="1:1" ht="12.75">
      <c r="A23826" s="2" t="s">
        <v>181</v>
      </c>
    </row>
    <row r="23827" spans="1:1" ht="12.75">
      <c r="A23827" s="2" t="s">
        <v>193</v>
      </c>
    </row>
    <row r="23828" spans="1:1" ht="12.75">
      <c r="A23828" s="2" t="s">
        <v>181</v>
      </c>
    </row>
    <row r="23829" spans="1:1" ht="12.75">
      <c r="A23829" s="2" t="s">
        <v>183</v>
      </c>
    </row>
    <row r="23830" spans="1:1" ht="12.75">
      <c r="A23830" s="2" t="s">
        <v>172</v>
      </c>
    </row>
    <row r="23831" spans="1:1" ht="12.75">
      <c r="A23831" s="2" t="s">
        <v>183</v>
      </c>
    </row>
    <row r="23832" spans="1:1" ht="12.75">
      <c r="A23832" s="2" t="s">
        <v>172</v>
      </c>
    </row>
    <row r="23833" spans="1:1" ht="12.75">
      <c r="A23833" s="2" t="s">
        <v>176</v>
      </c>
    </row>
    <row r="23834" spans="1:1" ht="12.75">
      <c r="A23834" s="2" t="s">
        <v>167</v>
      </c>
    </row>
    <row r="23835" spans="1:1" ht="12.75">
      <c r="A23835" s="2" t="s">
        <v>176</v>
      </c>
    </row>
    <row r="23836" spans="1:1" ht="12.75">
      <c r="A23836" s="2" t="s">
        <v>167</v>
      </c>
    </row>
    <row r="23837" spans="1:1" ht="12.75">
      <c r="A23837" s="2" t="s">
        <v>168</v>
      </c>
    </row>
    <row r="23838" spans="1:1" ht="12.75">
      <c r="A23838" s="2" t="s">
        <v>167</v>
      </c>
    </row>
    <row r="23839" spans="1:1" ht="12.75">
      <c r="A23839" s="2" t="s">
        <v>168</v>
      </c>
    </row>
    <row r="23840" spans="1:1" ht="12.75">
      <c r="A23840" s="2" t="s">
        <v>176</v>
      </c>
    </row>
    <row r="23841" spans="1:1" ht="12.75">
      <c r="A23841" s="2" t="s">
        <v>165</v>
      </c>
    </row>
    <row r="23842" spans="1:1" ht="12.75">
      <c r="A23842" s="2" t="s">
        <v>178</v>
      </c>
    </row>
    <row r="23843" spans="1:1" ht="12.75">
      <c r="A23843" s="2" t="s">
        <v>165</v>
      </c>
    </row>
    <row r="23844" spans="1:1" ht="12.75">
      <c r="A23844" s="2" t="s">
        <v>225</v>
      </c>
    </row>
    <row r="23846" spans="1:1" ht="12.75">
      <c r="A23846" s="2">
        <v>408</v>
      </c>
    </row>
    <row r="23847" spans="1:1" ht="12.75">
      <c r="A23847" s="2" t="s">
        <v>217</v>
      </c>
    </row>
    <row r="23848" spans="1:1" ht="12.75">
      <c r="A23848" s="2" t="s">
        <v>735</v>
      </c>
    </row>
    <row r="23850" spans="1:1" ht="12.75">
      <c r="A23850" s="2" t="s">
        <v>734</v>
      </c>
    </row>
    <row r="23851" spans="1:1" ht="12.75">
      <c r="A23851" s="2" t="s">
        <v>178</v>
      </c>
    </row>
    <row r="23852" spans="1:1" ht="12.75">
      <c r="A23852" s="2" t="s">
        <v>734</v>
      </c>
    </row>
    <row r="23853" spans="1:1" ht="12.75">
      <c r="A23853" s="2" t="s">
        <v>169</v>
      </c>
    </row>
    <row r="23854" spans="1:1" ht="12.75">
      <c r="A23854" s="2" t="s">
        <v>193</v>
      </c>
    </row>
    <row r="23855" spans="1:1" ht="12.75">
      <c r="A23855" s="2" t="s">
        <v>160</v>
      </c>
    </row>
    <row r="23856" spans="1:1" ht="12.75">
      <c r="A23856" s="2" t="s">
        <v>184</v>
      </c>
    </row>
    <row r="23857" spans="1:1" ht="12.75">
      <c r="A23857" s="2" t="s">
        <v>161</v>
      </c>
    </row>
    <row r="23858" spans="1:1" ht="12.75">
      <c r="A23858" s="2" t="s">
        <v>172</v>
      </c>
    </row>
    <row r="23859" spans="1:1" ht="12.75">
      <c r="A23859" s="2" t="s">
        <v>189</v>
      </c>
    </row>
    <row r="23860" spans="1:1" ht="12.75">
      <c r="A23860" s="2" t="s">
        <v>184</v>
      </c>
    </row>
    <row r="23862" spans="1:1" ht="12.75">
      <c r="A23862" s="2" t="s">
        <v>169</v>
      </c>
    </row>
    <row r="23863" spans="1:1" ht="12.75">
      <c r="A23863" s="2" t="s">
        <v>224</v>
      </c>
    </row>
    <row r="23864" spans="1:1" ht="12.75">
      <c r="A23864" s="2" t="s">
        <v>171</v>
      </c>
    </row>
    <row r="23865" spans="1:1" ht="12.75">
      <c r="A23865" s="2" t="s">
        <v>194</v>
      </c>
    </row>
    <row r="23866" spans="1:1" ht="12.75">
      <c r="A23866" s="2" t="s">
        <v>163</v>
      </c>
    </row>
    <row r="23868" spans="1:1" ht="12.75">
      <c r="A23868" s="2" t="s">
        <v>163</v>
      </c>
    </row>
    <row r="23869" spans="1:1" ht="12.75">
      <c r="A23869" s="2" t="s">
        <v>173</v>
      </c>
    </row>
    <row r="23870" spans="1:1" ht="12.75">
      <c r="A23870" s="2" t="s">
        <v>163</v>
      </c>
    </row>
    <row r="23872" spans="1:1" ht="12.75">
      <c r="A23872" s="2" t="s">
        <v>194</v>
      </c>
    </row>
    <row r="23873" spans="1:1" ht="12.75">
      <c r="A23873" s="2" t="s">
        <v>179</v>
      </c>
    </row>
    <row r="23874" spans="1:1" ht="12.75">
      <c r="A23874" s="2" t="s">
        <v>183</v>
      </c>
    </row>
    <row r="23875" spans="1:1" ht="12.75">
      <c r="A23875" s="2" t="s">
        <v>179</v>
      </c>
    </row>
    <row r="23876" spans="1:1" ht="12.75">
      <c r="A23876" s="2" t="s">
        <v>164</v>
      </c>
    </row>
    <row r="23877" spans="1:1" ht="12.75">
      <c r="A23877" s="2" t="s">
        <v>162</v>
      </c>
    </row>
    <row r="23878" spans="1:1" ht="12.75">
      <c r="A23878" s="2" t="s">
        <v>164</v>
      </c>
    </row>
    <row r="23879" spans="1:1" ht="12.75">
      <c r="A23879" s="2" t="s">
        <v>162</v>
      </c>
    </row>
    <row r="23880" spans="1:1" ht="12.75">
      <c r="A23880" s="2" t="s">
        <v>164</v>
      </c>
    </row>
    <row r="23881" spans="1:1" ht="12.75">
      <c r="A23881" s="2" t="s">
        <v>162</v>
      </c>
    </row>
    <row r="23882" spans="1:1" ht="12.75">
      <c r="A23882" s="2" t="s">
        <v>179</v>
      </c>
    </row>
    <row r="23883" spans="1:1" ht="12.75">
      <c r="A23883" s="2" t="s">
        <v>172</v>
      </c>
    </row>
    <row r="23884" spans="1:1" ht="12.75">
      <c r="A23884" s="2" t="s">
        <v>168</v>
      </c>
    </row>
    <row r="23885" spans="1:1" ht="12.75">
      <c r="A23885" s="2" t="s">
        <v>172</v>
      </c>
    </row>
    <row r="23886" spans="1:1" ht="12.75">
      <c r="A23886" s="2" t="s">
        <v>184</v>
      </c>
    </row>
    <row r="23887" spans="1:1" ht="12.75">
      <c r="A23887" s="2" t="s">
        <v>183</v>
      </c>
    </row>
    <row r="23888" spans="1:1" ht="12.75">
      <c r="A23888" s="2" t="s">
        <v>168</v>
      </c>
    </row>
    <row r="23889" spans="1:1" ht="12.75">
      <c r="A23889" s="2" t="s">
        <v>159</v>
      </c>
    </row>
    <row r="23890" spans="1:1" ht="12.75">
      <c r="A23890" s="2" t="s">
        <v>172</v>
      </c>
    </row>
    <row r="23891" spans="1:1" ht="12.75">
      <c r="A23891" s="2" t="s">
        <v>167</v>
      </c>
    </row>
    <row r="23892" spans="1:1" ht="12.75">
      <c r="A23892" s="2" t="s">
        <v>166</v>
      </c>
    </row>
    <row r="23893" spans="1:1" ht="12.75">
      <c r="A23893" s="2" t="s">
        <v>167</v>
      </c>
    </row>
    <row r="23894" spans="1:1" ht="12.75">
      <c r="A23894" s="2" t="s">
        <v>166</v>
      </c>
    </row>
    <row r="23895" spans="1:1" ht="12.75">
      <c r="A23895" s="2" t="s">
        <v>733</v>
      </c>
    </row>
    <row r="23896" spans="1:1" ht="12.75">
      <c r="A23896" s="2" t="s">
        <v>166</v>
      </c>
    </row>
    <row r="23897" spans="1:1" ht="12.75">
      <c r="A23897" s="2" t="s">
        <v>176</v>
      </c>
    </row>
    <row r="23898" spans="1:1" ht="12.75">
      <c r="A23898" s="2" t="s">
        <v>165</v>
      </c>
    </row>
    <row r="23899" spans="1:1" ht="12.75">
      <c r="A23899" s="2" t="s">
        <v>176</v>
      </c>
    </row>
    <row r="23900" spans="1:1" ht="12.75">
      <c r="A23900" s="2" t="s">
        <v>165</v>
      </c>
    </row>
    <row r="23901" spans="1:1" ht="12.75">
      <c r="A23901" s="2" t="s">
        <v>176</v>
      </c>
    </row>
    <row r="23902" spans="1:1" ht="12.75">
      <c r="A23902" s="2" t="s">
        <v>160</v>
      </c>
    </row>
    <row r="23903" spans="1:1" ht="12.75">
      <c r="A23903" s="2" t="s">
        <v>172</v>
      </c>
    </row>
    <row r="23904" spans="1:1" ht="12.75">
      <c r="A23904" s="2" t="s">
        <v>176</v>
      </c>
    </row>
    <row r="23905" spans="1:1" ht="12.75">
      <c r="A23905" s="2" t="s">
        <v>183</v>
      </c>
    </row>
    <row r="23906" spans="1:1" ht="12.75">
      <c r="A23906" s="2" t="s">
        <v>168</v>
      </c>
    </row>
    <row r="23907" spans="1:1" ht="12.75">
      <c r="A23907" s="2" t="s">
        <v>183</v>
      </c>
    </row>
    <row r="23908" spans="1:1" ht="12.75">
      <c r="A23908" s="2" t="s">
        <v>168</v>
      </c>
    </row>
    <row r="23909" spans="1:1" ht="12.75">
      <c r="A23909" s="2" t="s">
        <v>183</v>
      </c>
    </row>
    <row r="23910" spans="1:1" ht="12.75">
      <c r="A23910" s="2" t="s">
        <v>172</v>
      </c>
    </row>
    <row r="23911" spans="1:1" ht="12.75">
      <c r="A23911" s="2" t="s">
        <v>181</v>
      </c>
    </row>
    <row r="23912" spans="1:1" ht="12.75">
      <c r="A23912" s="2" t="s">
        <v>164</v>
      </c>
    </row>
    <row r="23913" spans="1:1" ht="12.75">
      <c r="A23913" s="2" t="s">
        <v>181</v>
      </c>
    </row>
    <row r="23914" spans="1:1" ht="12.75">
      <c r="A23914" s="2" t="s">
        <v>164</v>
      </c>
    </row>
    <row r="23915" spans="1:1" ht="12.75">
      <c r="A23915" s="2" t="s">
        <v>162</v>
      </c>
    </row>
    <row r="23916" spans="1:1" ht="12.75">
      <c r="A23916" s="2" t="s">
        <v>164</v>
      </c>
    </row>
    <row r="23917" spans="1:1" ht="12.75">
      <c r="A23917" s="2" t="s">
        <v>162</v>
      </c>
    </row>
    <row r="23918" spans="1:1" ht="12.75">
      <c r="A23918" s="2" t="s">
        <v>193</v>
      </c>
    </row>
    <row r="23919" spans="1:1" ht="12.75">
      <c r="A23919" s="2" t="s">
        <v>162</v>
      </c>
    </row>
    <row r="23920" spans="1:1" ht="12.75">
      <c r="A23920" s="2" t="s">
        <v>179</v>
      </c>
    </row>
    <row r="23921" spans="1:1" ht="12.75">
      <c r="A23921" s="2" t="s">
        <v>162</v>
      </c>
    </row>
    <row r="23922" spans="1:1" ht="12.75">
      <c r="A23922" s="2" t="s">
        <v>179</v>
      </c>
    </row>
    <row r="23923" spans="1:1" ht="12.75">
      <c r="A23923" s="2" t="s">
        <v>225</v>
      </c>
    </row>
    <row r="23924" spans="1:1" ht="12.75">
      <c r="A23924" s="2" t="s">
        <v>179</v>
      </c>
    </row>
    <row r="23926" spans="1:1" ht="12.75">
      <c r="A23926" s="2" t="s">
        <v>162</v>
      </c>
    </row>
    <row r="23927" spans="1:1" ht="12.75">
      <c r="A23927" s="2" t="s">
        <v>164</v>
      </c>
    </row>
    <row r="23928" spans="1:1" ht="12.75">
      <c r="A23928" s="2" t="s">
        <v>193</v>
      </c>
    </row>
    <row r="23929" spans="1:1" ht="12.75">
      <c r="A23929" s="2" t="s">
        <v>164</v>
      </c>
    </row>
    <row r="23930" spans="1:1" ht="12.75">
      <c r="A23930" s="2" t="s">
        <v>193</v>
      </c>
    </row>
    <row r="23931" spans="1:1" ht="12.75">
      <c r="A23931" s="2" t="s">
        <v>164</v>
      </c>
    </row>
    <row r="23932" spans="1:1" ht="12.75">
      <c r="A23932" s="2" t="s">
        <v>193</v>
      </c>
    </row>
    <row r="23933" spans="1:1" ht="12.75">
      <c r="A23933" s="2" t="s">
        <v>183</v>
      </c>
    </row>
    <row r="23934" spans="1:1" ht="12.75">
      <c r="A23934" s="2" t="s">
        <v>168</v>
      </c>
    </row>
    <row r="23935" spans="1:1" ht="12.75">
      <c r="A23935" s="2" t="s">
        <v>183</v>
      </c>
    </row>
    <row r="23936" spans="1:1" ht="12.75">
      <c r="A23936" s="2" t="s">
        <v>172</v>
      </c>
    </row>
    <row r="23937" spans="1:1" ht="12.75">
      <c r="A23937" s="2" t="s">
        <v>183</v>
      </c>
    </row>
    <row r="23938" spans="1:1" ht="12.75">
      <c r="A23938" s="2" t="s">
        <v>172</v>
      </c>
    </row>
    <row r="23939" spans="1:1" ht="12.75">
      <c r="A23939" s="2" t="s">
        <v>176</v>
      </c>
    </row>
    <row r="23940" spans="1:1" ht="12.75">
      <c r="A23940" s="2" t="s">
        <v>733</v>
      </c>
    </row>
    <row r="23941" spans="1:1" ht="12.75">
      <c r="A23941" s="2" t="s">
        <v>176</v>
      </c>
    </row>
    <row r="23942" spans="1:1" ht="12.75">
      <c r="A23942" s="2" t="s">
        <v>167</v>
      </c>
    </row>
    <row r="23943" spans="1:1" ht="12.75">
      <c r="A23943" s="2" t="s">
        <v>168</v>
      </c>
    </row>
    <row r="23944" spans="1:1" ht="12.75">
      <c r="A23944" s="2" t="s">
        <v>176</v>
      </c>
    </row>
    <row r="23945" spans="1:1" ht="12.75">
      <c r="A23945" s="2" t="s">
        <v>165</v>
      </c>
    </row>
    <row r="23946" spans="1:1" ht="12.75">
      <c r="A23946" s="2" t="s">
        <v>166</v>
      </c>
    </row>
    <row r="23947" spans="1:1" ht="12.75">
      <c r="A23947" s="2" t="s">
        <v>165</v>
      </c>
    </row>
    <row r="23948" spans="1:1" ht="12.75">
      <c r="A23948" s="2" t="s">
        <v>166</v>
      </c>
    </row>
    <row r="23949" spans="1:1" ht="12.75">
      <c r="A23949" s="2" t="s">
        <v>167</v>
      </c>
    </row>
    <row r="23950" spans="1:1" ht="12.75">
      <c r="A23950" s="2" t="s">
        <v>165</v>
      </c>
    </row>
    <row r="23951" spans="1:1" ht="12.75">
      <c r="A23951" s="2" t="s">
        <v>178</v>
      </c>
    </row>
    <row r="23952" spans="1:1" ht="12.75">
      <c r="A23952" s="2" t="s">
        <v>176</v>
      </c>
    </row>
    <row r="23953" spans="1:1" ht="12.75">
      <c r="A23953" s="2" t="s">
        <v>225</v>
      </c>
    </row>
    <row r="23954" spans="1:1" ht="12.75">
      <c r="A23954" s="2" t="s">
        <v>177</v>
      </c>
    </row>
    <row r="23955" spans="1:1" ht="12.75">
      <c r="A23955" s="2" t="s">
        <v>736</v>
      </c>
    </row>
    <row r="23956" spans="1:1" ht="12.75">
      <c r="A23956" s="2">
        <v>57</v>
      </c>
    </row>
    <row r="23957" spans="1:1" ht="12.75">
      <c r="A23957" s="2" t="s">
        <v>160</v>
      </c>
    </row>
    <row r="23958" spans="1:1" ht="12.75">
      <c r="A23958" s="2" t="s">
        <v>193</v>
      </c>
    </row>
    <row r="23960" spans="1:1" ht="12.75">
      <c r="A23960" s="2" t="s">
        <v>193</v>
      </c>
    </row>
    <row r="23961" spans="1:1" ht="12.75">
      <c r="A23961" s="2" t="s">
        <v>166</v>
      </c>
    </row>
    <row r="23962" spans="1:1" ht="12.75">
      <c r="A23962" s="2" t="s">
        <v>193</v>
      </c>
    </row>
    <row r="23963" spans="1:1" ht="12.75">
      <c r="A23963" s="2" t="s">
        <v>179</v>
      </c>
    </row>
    <row r="23964" spans="1:1" ht="12.75">
      <c r="A23964" s="2" t="s">
        <v>162</v>
      </c>
    </row>
    <row r="23965" spans="1:1" ht="12.75">
      <c r="A23965" s="2" t="s">
        <v>175</v>
      </c>
    </row>
    <row r="23966" spans="1:1" ht="12.75">
      <c r="A23966" s="2" t="s">
        <v>175</v>
      </c>
    </row>
    <row r="23967" spans="1:1" ht="12.75">
      <c r="A23967" s="2" t="s">
        <v>179</v>
      </c>
    </row>
    <row r="23969" spans="1:1" ht="12.75">
      <c r="A23969" s="2" t="s">
        <v>160</v>
      </c>
    </row>
    <row r="23970" spans="1:1" ht="12.75">
      <c r="A23970" s="2" t="s">
        <v>166</v>
      </c>
    </row>
    <row r="23971" spans="1:1" ht="12.75">
      <c r="A23971" s="2" t="s">
        <v>160</v>
      </c>
    </row>
    <row r="23972" spans="1:1" ht="12.75">
      <c r="A23972" s="2" t="s">
        <v>166</v>
      </c>
    </row>
    <row r="23973" spans="1:1" ht="12.75">
      <c r="A23973" s="2" t="s">
        <v>171</v>
      </c>
    </row>
    <row r="23974" spans="1:1" ht="12.75">
      <c r="A23974" s="2" t="s">
        <v>160</v>
      </c>
    </row>
    <row r="23975" spans="1:1" ht="12.75">
      <c r="A23975" s="2" t="s">
        <v>165</v>
      </c>
    </row>
    <row r="23976" spans="1:1" ht="12.75">
      <c r="A23976" s="2" t="s">
        <v>165</v>
      </c>
    </row>
    <row r="23977" spans="1:1" ht="12.75">
      <c r="A23977" s="2" t="s">
        <v>161</v>
      </c>
    </row>
    <row r="23978" spans="1:1" ht="12.75">
      <c r="A23978" s="2" t="s">
        <v>165</v>
      </c>
    </row>
    <row r="23979" spans="1:1" ht="12.75">
      <c r="A23979" s="2" t="s">
        <v>733</v>
      </c>
    </row>
    <row r="23981" spans="1:1" ht="12.75">
      <c r="A23981" s="2" t="s">
        <v>167</v>
      </c>
    </row>
    <row r="23982" spans="1:1" ht="12.75">
      <c r="A23982" s="2" t="s">
        <v>164</v>
      </c>
    </row>
    <row r="23983" spans="1:1" ht="12.75">
      <c r="A23983" s="2" t="s">
        <v>167</v>
      </c>
    </row>
    <row r="23984" spans="1:1" ht="12.75">
      <c r="A23984" s="2" t="s">
        <v>164</v>
      </c>
    </row>
    <row r="23985" spans="1:1" ht="12.75">
      <c r="A23985" s="2" t="s">
        <v>168</v>
      </c>
    </row>
    <row r="23986" spans="1:1" ht="12.75">
      <c r="A23986" s="2" t="s">
        <v>172</v>
      </c>
    </row>
    <row r="23987" spans="1:1" ht="12.75">
      <c r="A23987" s="2" t="s">
        <v>168</v>
      </c>
    </row>
    <row r="23988" spans="1:1" ht="12.75">
      <c r="A23988" s="2" t="s">
        <v>172</v>
      </c>
    </row>
    <row r="23989" spans="1:1" ht="12.75">
      <c r="A23989" s="2" t="s">
        <v>183</v>
      </c>
    </row>
    <row r="23990" spans="1:1" ht="12.75">
      <c r="A23990" s="2" t="s">
        <v>183</v>
      </c>
    </row>
    <row r="23991" spans="1:1" ht="12.75">
      <c r="A23991" s="2" t="s">
        <v>182</v>
      </c>
    </row>
    <row r="23992" spans="1:1" ht="12.75">
      <c r="A23992" s="2" t="s">
        <v>183</v>
      </c>
    </row>
    <row r="23993" spans="1:1" ht="12.75">
      <c r="A23993" s="2" t="s">
        <v>181</v>
      </c>
    </row>
    <row r="23994" spans="1:1" ht="12.75">
      <c r="A23994" s="2" t="s">
        <v>179</v>
      </c>
    </row>
    <row r="23995" spans="1:1" ht="12.75">
      <c r="A23995" s="2" t="s">
        <v>182</v>
      </c>
    </row>
    <row r="23996" spans="1:1" ht="12.75">
      <c r="A23996" s="2" t="s">
        <v>181</v>
      </c>
    </row>
    <row r="23997" spans="1:1" ht="12.75">
      <c r="A23997" s="2" t="s">
        <v>182</v>
      </c>
    </row>
    <row r="23998" spans="1:1" ht="12.75">
      <c r="A23998" s="2" t="s">
        <v>181</v>
      </c>
    </row>
    <row r="23999" spans="1:1" ht="12.75">
      <c r="A23999" s="2" t="s">
        <v>179</v>
      </c>
    </row>
    <row r="24000" spans="1:1" ht="12.75">
      <c r="A24000" s="2" t="s">
        <v>162</v>
      </c>
    </row>
    <row r="24001" spans="1:1" ht="12.75">
      <c r="A24001" s="2" t="s">
        <v>179</v>
      </c>
    </row>
    <row r="24002" spans="1:1" ht="12.75">
      <c r="A24002" s="2" t="s">
        <v>162</v>
      </c>
    </row>
    <row r="24003" spans="1:1" ht="12.75">
      <c r="A24003" s="2" t="s">
        <v>163</v>
      </c>
    </row>
    <row r="24004" spans="1:1" ht="12.75">
      <c r="A24004" s="2" t="s">
        <v>163</v>
      </c>
    </row>
    <row r="24005" spans="1:1" ht="12.75">
      <c r="A24005" s="2" t="s">
        <v>162</v>
      </c>
    </row>
    <row r="24006" spans="1:1" ht="12.75">
      <c r="A24006" s="2" t="s">
        <v>162</v>
      </c>
    </row>
    <row r="24007" spans="1:1" ht="12.75">
      <c r="A24007" s="2" t="s">
        <v>175</v>
      </c>
    </row>
    <row r="24008" spans="1:1" ht="12.75">
      <c r="A24008" s="2" t="s">
        <v>185</v>
      </c>
    </row>
    <row r="24009" spans="1:1" ht="12.75">
      <c r="A24009" s="2" t="s">
        <v>175</v>
      </c>
    </row>
    <row r="24010" spans="1:1" ht="12.75">
      <c r="A24010" s="2" t="s">
        <v>185</v>
      </c>
    </row>
    <row r="24011" spans="1:1" ht="12.75">
      <c r="A24011" s="2" t="s">
        <v>943</v>
      </c>
    </row>
    <row r="24012" spans="1:1" ht="12.75">
      <c r="A24012" s="2" t="s">
        <v>170</v>
      </c>
    </row>
    <row r="24013" spans="1:1" ht="12.75">
      <c r="A24013" s="2" t="s">
        <v>177</v>
      </c>
    </row>
    <row r="24014" spans="1:1" ht="12.75">
      <c r="A24014" s="2" t="s">
        <v>173</v>
      </c>
    </row>
    <row r="24015" spans="1:1" ht="12.75">
      <c r="A24015" s="2" t="s">
        <v>173</v>
      </c>
    </row>
    <row r="24016" spans="1:1" ht="12.75">
      <c r="A24016" s="2" t="s">
        <v>225</v>
      </c>
    </row>
    <row r="24017" spans="1:1" ht="12.75">
      <c r="A24017" s="2" t="s">
        <v>173</v>
      </c>
    </row>
    <row r="24018" spans="1:1" ht="12.75">
      <c r="A24018" s="2" t="s">
        <v>225</v>
      </c>
    </row>
    <row r="24019" spans="1:1" ht="12.75">
      <c r="A24019" s="2" t="s">
        <v>161</v>
      </c>
    </row>
    <row r="24020" spans="1:1" ht="12.75">
      <c r="A24020" s="2" t="s">
        <v>170</v>
      </c>
    </row>
    <row r="24021" spans="1:1" ht="12.75">
      <c r="A24021" s="2" t="s">
        <v>166</v>
      </c>
    </row>
    <row r="24022" spans="1:1" ht="12.75">
      <c r="A24022" s="2" t="s">
        <v>160</v>
      </c>
    </row>
    <row r="24023" spans="1:1" ht="12.75">
      <c r="A24023" s="2" t="s">
        <v>223</v>
      </c>
    </row>
    <row r="24024" spans="1:1" ht="12.75">
      <c r="A24024" s="2" t="s">
        <v>196</v>
      </c>
    </row>
    <row r="24026" spans="1:1" ht="12.75">
      <c r="A24026" s="2" t="s">
        <v>223</v>
      </c>
    </row>
    <row r="24027" spans="1:1" ht="12.75">
      <c r="A24027" s="2" t="s">
        <v>221</v>
      </c>
    </row>
    <row r="24028" spans="1:1" ht="12.75">
      <c r="A24028" s="2" t="s">
        <v>217</v>
      </c>
    </row>
    <row r="24029" spans="1:1" ht="12.75">
      <c r="A24029" s="2" t="s">
        <v>196</v>
      </c>
    </row>
    <row r="24030" spans="1:1" ht="12.75">
      <c r="A24030" s="2" t="s">
        <v>177</v>
      </c>
    </row>
    <row r="24031" spans="1:1" ht="12.75">
      <c r="A24031" s="2" t="s">
        <v>217</v>
      </c>
    </row>
    <row r="24032" spans="1:1" ht="12.75">
      <c r="A24032" s="2" t="s">
        <v>194</v>
      </c>
    </row>
    <row r="24033" spans="1:1" ht="12.75">
      <c r="A24033" s="2" t="s">
        <v>217</v>
      </c>
    </row>
    <row r="24034" spans="1:1" ht="12.75">
      <c r="A24034" s="2" t="s">
        <v>194</v>
      </c>
    </row>
    <row r="24035" spans="1:1" ht="12.75">
      <c r="A24035" s="2" t="s">
        <v>173</v>
      </c>
    </row>
    <row r="24036" spans="1:1" ht="12.75">
      <c r="A24036" s="2" t="s">
        <v>224</v>
      </c>
    </row>
    <row r="24037" spans="1:1" ht="12.75">
      <c r="A24037" s="2" t="s">
        <v>173</v>
      </c>
    </row>
    <row r="24038" spans="1:1" ht="12.75">
      <c r="A24038" s="2" t="s">
        <v>224</v>
      </c>
    </row>
    <row r="24039" spans="1:1" ht="12.75">
      <c r="A24039" s="2" t="s">
        <v>173</v>
      </c>
    </row>
    <row r="24040" spans="1:1" ht="12.75">
      <c r="A24040" s="2" t="s">
        <v>173</v>
      </c>
    </row>
    <row r="24041" spans="1:1" ht="12.75">
      <c r="A24041" s="2" t="s">
        <v>189</v>
      </c>
    </row>
    <row r="24042" spans="1:1" ht="12.75">
      <c r="A24042" s="2" t="s">
        <v>173</v>
      </c>
    </row>
    <row r="24043" spans="1:1" ht="12.75">
      <c r="A24043" s="2" t="s">
        <v>184</v>
      </c>
    </row>
    <row r="24044" spans="1:1" ht="12.75">
      <c r="A24044" s="2" t="s">
        <v>165</v>
      </c>
    </row>
    <row r="24045" spans="1:1" ht="12.75">
      <c r="A24045" s="2" t="s">
        <v>166</v>
      </c>
    </row>
    <row r="24046" spans="1:1" ht="12.75">
      <c r="A24046" s="2" t="s">
        <v>177</v>
      </c>
    </row>
    <row r="24047" spans="1:1" ht="12.75">
      <c r="A24047" s="2" t="s">
        <v>165</v>
      </c>
    </row>
    <row r="24048" spans="1:1" ht="12.75">
      <c r="A24048" s="2" t="s">
        <v>175</v>
      </c>
    </row>
    <row r="24049" spans="1:1" ht="12.75">
      <c r="A24049" s="2" t="s">
        <v>165</v>
      </c>
    </row>
    <row r="24050" spans="1:1" ht="12.75">
      <c r="A24050" s="2" t="s">
        <v>175</v>
      </c>
    </row>
    <row r="24051" spans="1:1" ht="12.75">
      <c r="A24051" s="2" t="s">
        <v>160</v>
      </c>
    </row>
    <row r="24052" spans="1:1" ht="12.75">
      <c r="A24052" s="2" t="s">
        <v>160</v>
      </c>
    </row>
    <row r="24053" spans="1:1" ht="12.75">
      <c r="A24053" s="2" t="s">
        <v>184</v>
      </c>
    </row>
    <row r="24054" spans="1:1" ht="12.75">
      <c r="A24054" s="2" t="s">
        <v>160</v>
      </c>
    </row>
    <row r="24055" spans="1:1" ht="12.75">
      <c r="A24055" s="2" t="s">
        <v>184</v>
      </c>
    </row>
    <row r="24056" spans="1:1" ht="12.75">
      <c r="A24056" s="2" t="s">
        <v>160</v>
      </c>
    </row>
    <row r="24057" spans="1:1" ht="12.75">
      <c r="A24057" s="2" t="s">
        <v>166</v>
      </c>
    </row>
    <row r="24058" spans="1:1" ht="12.75">
      <c r="A24058" s="2" t="s">
        <v>185</v>
      </c>
    </row>
    <row r="24059" spans="1:1" ht="12.75">
      <c r="A24059" s="2" t="s">
        <v>166</v>
      </c>
    </row>
    <row r="24060" spans="1:1" ht="12.75">
      <c r="A24060" s="2" t="s">
        <v>166</v>
      </c>
    </row>
    <row r="24061" spans="1:1" ht="12.75">
      <c r="A24061" s="2" t="s">
        <v>163</v>
      </c>
    </row>
    <row r="24062" spans="1:1" ht="12.75">
      <c r="A24062" s="2" t="s">
        <v>163</v>
      </c>
    </row>
    <row r="24063" spans="1:1" ht="12.75">
      <c r="A24063" s="2" t="s">
        <v>185</v>
      </c>
    </row>
    <row r="24064" spans="1:1" ht="12.75">
      <c r="A24064" s="2" t="s">
        <v>163</v>
      </c>
    </row>
    <row r="24065" spans="1:1" ht="12.75">
      <c r="A24065" s="2" t="s">
        <v>162</v>
      </c>
    </row>
    <row r="24066" spans="1:1" ht="12.75">
      <c r="A24066" s="2" t="s">
        <v>179</v>
      </c>
    </row>
    <row r="24067" spans="1:1" ht="12.75">
      <c r="A24067" s="2" t="s">
        <v>162</v>
      </c>
    </row>
    <row r="24068" spans="1:1" ht="12.75">
      <c r="A24068" s="2" t="s">
        <v>162</v>
      </c>
    </row>
    <row r="24069" spans="1:1" ht="12.75">
      <c r="A24069" s="2" t="s">
        <v>181</v>
      </c>
    </row>
    <row r="24070" spans="1:1" ht="12.75">
      <c r="A24070" s="2" t="s">
        <v>177</v>
      </c>
    </row>
    <row r="24071" spans="1:1" ht="12.75">
      <c r="A24071" s="2" t="s">
        <v>179</v>
      </c>
    </row>
    <row r="24072" spans="1:1" ht="12.75">
      <c r="A24072" s="2" t="s">
        <v>181</v>
      </c>
    </row>
    <row r="24073" spans="1:1" ht="12.75">
      <c r="A24073" s="2" t="s">
        <v>179</v>
      </c>
    </row>
    <row r="24074" spans="1:1" ht="12.75">
      <c r="A24074" s="2" t="s">
        <v>181</v>
      </c>
    </row>
    <row r="24075" spans="1:1" ht="12.75">
      <c r="A24075" s="2" t="s">
        <v>166</v>
      </c>
    </row>
    <row r="24076" spans="1:1" ht="12.75">
      <c r="A24076" s="2" t="s">
        <v>183</v>
      </c>
    </row>
    <row r="24077" spans="1:1" ht="12.75">
      <c r="A24077" s="2" t="s">
        <v>177</v>
      </c>
    </row>
    <row r="24078" spans="1:1" ht="12.75">
      <c r="A24078" s="2" t="s">
        <v>183</v>
      </c>
    </row>
    <row r="24079" spans="1:1" ht="12.75">
      <c r="A24079" s="2" t="s">
        <v>172</v>
      </c>
    </row>
    <row r="24080" spans="1:1" ht="12.75">
      <c r="A24080" s="2" t="s">
        <v>168</v>
      </c>
    </row>
    <row r="24081" spans="1:1" ht="12.75">
      <c r="A24081" s="2" t="s">
        <v>179</v>
      </c>
    </row>
    <row r="24082" spans="1:1" ht="12.75">
      <c r="A24082" s="2" t="s">
        <v>172</v>
      </c>
    </row>
    <row r="24084" spans="1:1" ht="12.75">
      <c r="A24084" s="2" t="s">
        <v>164</v>
      </c>
    </row>
    <row r="24085" spans="1:1" ht="12.75">
      <c r="A24085" s="2" t="s">
        <v>168</v>
      </c>
    </row>
    <row r="24086" spans="1:1" ht="12.75">
      <c r="A24086" s="2" t="s">
        <v>164</v>
      </c>
    </row>
    <row r="24087" spans="1:1" ht="12.75">
      <c r="A24087" s="2" t="s">
        <v>167</v>
      </c>
    </row>
    <row r="24088" spans="1:1" ht="12.75">
      <c r="A24088" s="2" t="s">
        <v>171</v>
      </c>
    </row>
    <row r="24089" spans="1:1" ht="12.75">
      <c r="A24089" s="2" t="s">
        <v>167</v>
      </c>
    </row>
    <row r="24090" spans="1:1" ht="12.75">
      <c r="A24090" s="2" t="s">
        <v>167</v>
      </c>
    </row>
    <row r="24091" spans="1:1" ht="12.75">
      <c r="A24091" s="2" t="s">
        <v>170</v>
      </c>
    </row>
    <row r="24092" spans="1:1" ht="12.75">
      <c r="A24092" s="2" t="s">
        <v>170</v>
      </c>
    </row>
    <row r="24093" spans="1:1" ht="12.75">
      <c r="A24093" s="2" t="s">
        <v>178</v>
      </c>
    </row>
    <row r="24094" spans="1:1" ht="12.75">
      <c r="A24094" s="2" t="s">
        <v>170</v>
      </c>
    </row>
    <row r="24095" spans="1:1" ht="12.75">
      <c r="A24095" s="2" t="s">
        <v>178</v>
      </c>
    </row>
    <row r="24096" spans="1:1" ht="12.75">
      <c r="A24096" s="2" t="s">
        <v>172</v>
      </c>
    </row>
    <row r="24097" spans="1:1" ht="12.75">
      <c r="A24097" s="2" t="s">
        <v>194</v>
      </c>
    </row>
    <row r="24098" spans="1:1" ht="12.75">
      <c r="A24098" s="2" t="s">
        <v>184</v>
      </c>
    </row>
    <row r="24099" spans="1:1" ht="12.75">
      <c r="A24099" s="2" t="s">
        <v>170</v>
      </c>
    </row>
    <row r="24100" spans="1:1" ht="12.75">
      <c r="A24100" s="2" t="s">
        <v>161</v>
      </c>
    </row>
    <row r="24101" spans="1:1" ht="12.75">
      <c r="A24101" s="2" t="s">
        <v>196</v>
      </c>
    </row>
    <row r="24102" spans="1:1" ht="12.75">
      <c r="A24102" s="2" t="s">
        <v>196</v>
      </c>
    </row>
    <row r="24103" spans="1:1" ht="12.75">
      <c r="A24103" s="2" t="s">
        <v>196</v>
      </c>
    </row>
    <row r="24104" spans="1:1" ht="12.75">
      <c r="A24104" s="2" t="s">
        <v>196</v>
      </c>
    </row>
    <row r="24105" spans="1:1" ht="12.75">
      <c r="A24105" s="2" t="s">
        <v>223</v>
      </c>
    </row>
    <row r="24106" spans="1:1" ht="12.75">
      <c r="A24106" s="2" t="s">
        <v>223</v>
      </c>
    </row>
    <row r="24107" spans="1:1" ht="12.75">
      <c r="A24107" s="2" t="s">
        <v>223</v>
      </c>
    </row>
    <row r="24108" spans="1:1" ht="12.75">
      <c r="A24108" s="2" t="s">
        <v>223</v>
      </c>
    </row>
    <row r="24109" spans="1:1" ht="12.75">
      <c r="A24109" s="2" t="s">
        <v>224</v>
      </c>
    </row>
    <row r="24110" spans="1:1" ht="12.75">
      <c r="A24110" s="2" t="s">
        <v>224</v>
      </c>
    </row>
    <row r="24111" spans="1:1" ht="12.75">
      <c r="A24111" s="2" t="s">
        <v>224</v>
      </c>
    </row>
    <row r="24112" spans="1:1" ht="12.75">
      <c r="A24112" s="2" t="s">
        <v>224</v>
      </c>
    </row>
    <row r="24113" spans="1:1" ht="12.75">
      <c r="A24113" s="2" t="s">
        <v>363</v>
      </c>
    </row>
    <row r="24114" spans="1:1" ht="12.75">
      <c r="A24114" s="2" t="s">
        <v>363</v>
      </c>
    </row>
    <row r="24115" spans="1:1" ht="12.75">
      <c r="A24115" s="2" t="s">
        <v>363</v>
      </c>
    </row>
    <row r="24116" spans="1:1" ht="12.75">
      <c r="A24116" s="2" t="s">
        <v>363</v>
      </c>
    </row>
    <row r="24117" spans="1:1" ht="12.75">
      <c r="A24117" s="2" t="s">
        <v>217</v>
      </c>
    </row>
    <row r="24118" spans="1:1" ht="12.75">
      <c r="A24118" s="2" t="s">
        <v>217</v>
      </c>
    </row>
    <row r="24119" spans="1:1" ht="12.75">
      <c r="A24119" s="2" t="s">
        <v>195</v>
      </c>
    </row>
    <row r="24120" spans="1:1" ht="12.75">
      <c r="A24120" s="2" t="s">
        <v>217</v>
      </c>
    </row>
    <row r="24122" spans="1:1" ht="12.75">
      <c r="A24122" s="2" t="s">
        <v>175</v>
      </c>
    </row>
    <row r="24125" spans="1:1" ht="12.75">
      <c r="A24125" s="2" t="s">
        <v>177</v>
      </c>
    </row>
    <row r="24126" spans="1:1" ht="12.75">
      <c r="A24126" s="2" t="s">
        <v>174</v>
      </c>
    </row>
    <row r="24127" spans="1:1" ht="12.75">
      <c r="A24127" s="2" t="s">
        <v>175</v>
      </c>
    </row>
    <row r="24128" spans="1:1" ht="12.75">
      <c r="A24128" s="2" t="s">
        <v>177</v>
      </c>
    </row>
    <row r="24129" spans="1:1" ht="12.75">
      <c r="A24129" s="2" t="s">
        <v>175</v>
      </c>
    </row>
    <row r="24130" spans="1:1" ht="12.75">
      <c r="A24130" s="2" t="s">
        <v>177</v>
      </c>
    </row>
    <row r="24131" spans="1:1" ht="12.75">
      <c r="A24131" s="2" t="s">
        <v>174</v>
      </c>
    </row>
    <row r="24132" spans="1:1" ht="12.75">
      <c r="A24132" s="2" t="s">
        <v>160</v>
      </c>
    </row>
    <row r="24133" spans="1:1" ht="12.75">
      <c r="A24133" s="2" t="s">
        <v>174</v>
      </c>
    </row>
    <row r="24134" spans="1:1" ht="12.75">
      <c r="A24134" s="2" t="s">
        <v>160</v>
      </c>
    </row>
    <row r="24135" spans="1:1" ht="12.75">
      <c r="A24135" s="2" t="s">
        <v>221</v>
      </c>
    </row>
    <row r="24136" spans="1:1" ht="12.75">
      <c r="A24136" s="2" t="s">
        <v>160</v>
      </c>
    </row>
    <row r="24137" spans="1:1" ht="12.75">
      <c r="A24137" s="2" t="s">
        <v>224</v>
      </c>
    </row>
    <row r="24138" spans="1:1" ht="12.75">
      <c r="A24138" s="2" t="s">
        <v>224</v>
      </c>
    </row>
    <row r="24139" spans="1:1" ht="12.75">
      <c r="A24139" s="2" t="s">
        <v>194</v>
      </c>
    </row>
    <row r="24140" spans="1:1" ht="12.75">
      <c r="A24140" s="2" t="s">
        <v>734</v>
      </c>
    </row>
    <row r="24141" spans="1:1" ht="12.75">
      <c r="A24141" s="2" t="s">
        <v>163</v>
      </c>
    </row>
    <row r="24142" spans="1:1" ht="12.75">
      <c r="A24142" s="2" t="s">
        <v>173</v>
      </c>
    </row>
    <row r="24143" spans="1:1" ht="12.75">
      <c r="A24143" s="2" t="s">
        <v>163</v>
      </c>
    </row>
    <row r="24144" spans="1:1" ht="12.75">
      <c r="A24144" s="2" t="s">
        <v>173</v>
      </c>
    </row>
    <row r="24145" spans="1:1" ht="12.75">
      <c r="A24145" s="2" t="s">
        <v>163</v>
      </c>
    </row>
    <row r="24146" spans="1:1" ht="12.75">
      <c r="A24146" s="2" t="s">
        <v>194</v>
      </c>
    </row>
    <row r="24147" spans="1:1" ht="12.75">
      <c r="A24147" s="2" t="s">
        <v>174</v>
      </c>
    </row>
    <row r="24148" spans="1:1" ht="12.75">
      <c r="A24148" s="2" t="s">
        <v>178</v>
      </c>
    </row>
    <row r="24149" spans="1:1" ht="12.75">
      <c r="A24149" s="2" t="s">
        <v>178</v>
      </c>
    </row>
    <row r="24150" spans="1:1" ht="12.75">
      <c r="A24150" s="2" t="s">
        <v>189</v>
      </c>
    </row>
    <row r="24151" spans="1:1" ht="12.75">
      <c r="A24151" s="2" t="s">
        <v>193</v>
      </c>
    </row>
    <row r="24152" spans="1:1" ht="12.75">
      <c r="A24152" s="2" t="s">
        <v>161</v>
      </c>
    </row>
    <row r="24153" spans="1:1" ht="12.75">
      <c r="A24153" s="2" t="s">
        <v>225</v>
      </c>
    </row>
    <row r="24154" spans="1:1" ht="12.75">
      <c r="A24154" s="2" t="s">
        <v>171</v>
      </c>
    </row>
    <row r="24155" spans="1:1" ht="12.75">
      <c r="A24155" s="2" t="s">
        <v>185</v>
      </c>
    </row>
    <row r="24156" spans="1:1" ht="12.75">
      <c r="A24156" s="2" t="s">
        <v>184</v>
      </c>
    </row>
    <row r="24157" spans="1:1" ht="12.75">
      <c r="A24157" s="2" t="s">
        <v>185</v>
      </c>
    </row>
    <row r="24159" spans="1:1" ht="12.75">
      <c r="A24159" s="2" t="s">
        <v>734</v>
      </c>
    </row>
    <row r="24160" spans="1:1" ht="12.75">
      <c r="A24160" s="2" t="s">
        <v>215</v>
      </c>
    </row>
    <row r="24161" spans="1:1" ht="12.75">
      <c r="A24161" s="2" t="s">
        <v>224</v>
      </c>
    </row>
    <row r="24162" spans="1:1" ht="12.75">
      <c r="A24162" s="2" t="s">
        <v>215</v>
      </c>
    </row>
    <row r="24163" spans="1:1" ht="12.75">
      <c r="A24163" s="2" t="s">
        <v>735</v>
      </c>
    </row>
    <row r="24164" spans="1:1" ht="12.75">
      <c r="A24164" s="2" t="s">
        <v>735</v>
      </c>
    </row>
    <row r="24165" spans="1:1" ht="12.75">
      <c r="A24165" s="2" t="s">
        <v>215</v>
      </c>
    </row>
    <row r="24166" spans="1:1" ht="12.75">
      <c r="A24166" s="2" t="s">
        <v>735</v>
      </c>
    </row>
    <row r="24167" spans="1:1" ht="12.75">
      <c r="A24167" s="2" t="s">
        <v>363</v>
      </c>
    </row>
    <row r="24168" spans="1:1" ht="12.75">
      <c r="A24168" s="2" t="s">
        <v>363</v>
      </c>
    </row>
    <row r="24169" spans="1:1" ht="12.75">
      <c r="A24169" s="2" t="s">
        <v>363</v>
      </c>
    </row>
    <row r="24170" spans="1:1" ht="12.75">
      <c r="A24170" s="2" t="s">
        <v>229</v>
      </c>
    </row>
    <row r="24171" spans="1:1" ht="12.75">
      <c r="A24171" s="2" t="s">
        <v>229</v>
      </c>
    </row>
    <row r="24172" spans="1:1" ht="12.75">
      <c r="A24172" s="2" t="s">
        <v>229</v>
      </c>
    </row>
    <row r="24173" spans="1:1" ht="12.75">
      <c r="A24173" s="2" t="s">
        <v>228</v>
      </c>
    </row>
    <row r="24174" spans="1:1" ht="12.75">
      <c r="A24174" s="2" t="s">
        <v>228</v>
      </c>
    </row>
    <row r="24175" spans="1:1" ht="12.75">
      <c r="A24175" s="2" t="s">
        <v>944</v>
      </c>
    </row>
    <row r="24176" spans="1:1" ht="12.75">
      <c r="A24176" s="2" t="s">
        <v>945</v>
      </c>
    </row>
    <row r="24178" spans="1:1" ht="12.75">
      <c r="A24178" s="2" t="s">
        <v>945</v>
      </c>
    </row>
    <row r="24179" spans="1:1" ht="12.75">
      <c r="A24179" s="2" t="s">
        <v>945</v>
      </c>
    </row>
    <row r="24180" spans="1:1" ht="12.75">
      <c r="A24180" s="2" t="s">
        <v>946</v>
      </c>
    </row>
    <row r="24181" spans="1:1" ht="12.75">
      <c r="A24181" s="2" t="s">
        <v>944</v>
      </c>
    </row>
    <row r="24182" spans="1:1" ht="12.75">
      <c r="A24182" s="2" t="s">
        <v>944</v>
      </c>
    </row>
    <row r="24183" spans="1:1" ht="12.75">
      <c r="A24183" s="2" t="s">
        <v>944</v>
      </c>
    </row>
    <row r="24184" spans="1:1" ht="12.75">
      <c r="A24184" s="2" t="s">
        <v>944</v>
      </c>
    </row>
    <row r="24185" spans="1:1" ht="12.75">
      <c r="A24185" s="2" t="s">
        <v>944</v>
      </c>
    </row>
    <row r="24186" spans="1:1" ht="12.75">
      <c r="A24186" s="2" t="s">
        <v>944</v>
      </c>
    </row>
    <row r="24187" spans="1:1" ht="12.75">
      <c r="A24187" s="2" t="s">
        <v>944</v>
      </c>
    </row>
    <row r="24188" spans="1:1" ht="12.75">
      <c r="A24188" s="2" t="s">
        <v>944</v>
      </c>
    </row>
    <row r="24189" spans="1:1" ht="12.75">
      <c r="A24189" s="2" t="s">
        <v>944</v>
      </c>
    </row>
    <row r="24190" spans="1:1" ht="12.75">
      <c r="A24190" s="2" t="s">
        <v>945</v>
      </c>
    </row>
    <row r="24191" spans="1:1" ht="12.75">
      <c r="A24191" s="2" t="s">
        <v>944</v>
      </c>
    </row>
    <row r="24192" spans="1:1" ht="12.75">
      <c r="A24192" s="2" t="s">
        <v>944</v>
      </c>
    </row>
    <row r="24193" spans="1:1" ht="12.75">
      <c r="A24193" s="2" t="s">
        <v>944</v>
      </c>
    </row>
    <row r="24194" spans="1:1" ht="12.75">
      <c r="A24194" s="2" t="s">
        <v>944</v>
      </c>
    </row>
    <row r="24195" spans="1:1" ht="12.75">
      <c r="A24195" s="2" t="s">
        <v>159</v>
      </c>
    </row>
    <row r="24196" spans="1:1" ht="12.75">
      <c r="A24196" s="2" t="s">
        <v>159</v>
      </c>
    </row>
    <row r="24197" spans="1:1" ht="12.75">
      <c r="A24197" s="2" t="s">
        <v>159</v>
      </c>
    </row>
    <row r="24198" spans="1:1" ht="12.75">
      <c r="A24198" s="2" t="s">
        <v>159</v>
      </c>
    </row>
    <row r="24199" spans="1:1" ht="12.75">
      <c r="A24199" s="2" t="s">
        <v>159</v>
      </c>
    </row>
    <row r="24200" spans="1:1" ht="12.75">
      <c r="A24200" s="2" t="s">
        <v>159</v>
      </c>
    </row>
    <row r="24201" spans="1:1" ht="12.75">
      <c r="A24201" s="2" t="s">
        <v>159</v>
      </c>
    </row>
    <row r="24202" spans="1:1" ht="12.75">
      <c r="A24202" s="2" t="s">
        <v>159</v>
      </c>
    </row>
    <row r="24203" spans="1:1" ht="12.75">
      <c r="A24203" s="2" t="s">
        <v>159</v>
      </c>
    </row>
    <row r="24204" spans="1:1" ht="12.75">
      <c r="A24204" s="2" t="s">
        <v>345</v>
      </c>
    </row>
    <row r="24205" spans="1:1" ht="12.75">
      <c r="A24205" s="2" t="s">
        <v>345</v>
      </c>
    </row>
    <row r="24206" spans="1:1" ht="12.75">
      <c r="A24206" s="2" t="s">
        <v>345</v>
      </c>
    </row>
    <row r="24207" spans="1:1" ht="12.75">
      <c r="A24207" s="2" t="s">
        <v>345</v>
      </c>
    </row>
    <row r="24208" spans="1:1" ht="12.75">
      <c r="A24208" s="2" t="s">
        <v>345</v>
      </c>
    </row>
    <row r="24209" spans="1:1" ht="12.75">
      <c r="A24209" s="2" t="s">
        <v>159</v>
      </c>
    </row>
    <row r="24210" spans="1:1" ht="12.75">
      <c r="A24210" s="2" t="s">
        <v>159</v>
      </c>
    </row>
    <row r="24211" spans="1:1" ht="12.75">
      <c r="A24211" s="2" t="s">
        <v>159</v>
      </c>
    </row>
    <row r="24212" spans="1:1" ht="12.75">
      <c r="A24212" s="2" t="s">
        <v>159</v>
      </c>
    </row>
    <row r="24213" spans="1:1" ht="12.75">
      <c r="A24213" s="2" t="s">
        <v>159</v>
      </c>
    </row>
    <row r="24214" spans="1:1" ht="12.75">
      <c r="A24214" s="2" t="s">
        <v>159</v>
      </c>
    </row>
    <row r="24215" spans="1:1" ht="12.75">
      <c r="A24215" s="2" t="s">
        <v>251</v>
      </c>
    </row>
    <row r="24216" spans="1:1" ht="12.75">
      <c r="A24216" s="2" t="s">
        <v>251</v>
      </c>
    </row>
    <row r="24217" spans="1:1" ht="12.75">
      <c r="A24217" s="2" t="s">
        <v>251</v>
      </c>
    </row>
    <row r="24218" spans="1:1" ht="12.75">
      <c r="A24218" s="2" t="s">
        <v>251</v>
      </c>
    </row>
    <row r="24219" spans="1:1" ht="12.75">
      <c r="A24219" s="2" t="s">
        <v>251</v>
      </c>
    </row>
    <row r="24220" spans="1:1" ht="12.75">
      <c r="A24220" s="2" t="s">
        <v>251</v>
      </c>
    </row>
    <row r="24221" spans="1:1" ht="12.75">
      <c r="A24221" s="2" t="s">
        <v>363</v>
      </c>
    </row>
    <row r="24222" spans="1:1" ht="12.75">
      <c r="A24222" s="2" t="s">
        <v>363</v>
      </c>
    </row>
    <row r="24223" spans="1:1" ht="12.75">
      <c r="A24223" s="2" t="s">
        <v>363</v>
      </c>
    </row>
    <row r="24224" spans="1:1" ht="12.75">
      <c r="A24224" s="2" t="s">
        <v>947</v>
      </c>
    </row>
    <row r="24225" spans="1:1" ht="12.75">
      <c r="A24225" s="2" t="s">
        <v>363</v>
      </c>
    </row>
    <row r="24226" spans="1:1" ht="12.75">
      <c r="A24226" s="2" t="s">
        <v>363</v>
      </c>
    </row>
    <row r="24227" spans="1:1" ht="12.75">
      <c r="A24227" s="2" t="s">
        <v>363</v>
      </c>
    </row>
    <row r="24228" spans="1:1" ht="12.75">
      <c r="A24228" s="2" t="s">
        <v>363</v>
      </c>
    </row>
    <row r="24229" spans="1:1" ht="12.75">
      <c r="A24229" s="2" t="s">
        <v>258</v>
      </c>
    </row>
    <row r="24230" spans="1:1" ht="12.75">
      <c r="A24230" s="2" t="s">
        <v>257</v>
      </c>
    </row>
    <row r="24231" spans="1:1" ht="12.75">
      <c r="A24231" s="2" t="s">
        <v>257</v>
      </c>
    </row>
    <row r="24232" spans="1:1" ht="12.75">
      <c r="A24232" s="2" t="s">
        <v>259</v>
      </c>
    </row>
    <row r="24233" spans="1:1" ht="12.75">
      <c r="A24233" s="2" t="s">
        <v>259</v>
      </c>
    </row>
    <row r="24234" spans="1:1" ht="12.75">
      <c r="A24234" s="2" t="s">
        <v>260</v>
      </c>
    </row>
    <row r="24235" spans="1:1" ht="12.75">
      <c r="A24235" s="2" t="s">
        <v>257</v>
      </c>
    </row>
    <row r="24236" spans="1:1" ht="12.75">
      <c r="A24236" s="2" t="s">
        <v>258</v>
      </c>
    </row>
    <row r="24237" spans="1:1" ht="12.75">
      <c r="A24237" s="2" t="s">
        <v>257</v>
      </c>
    </row>
    <row r="24238" spans="1:1" ht="12.75">
      <c r="A24238" s="2" t="s">
        <v>257</v>
      </c>
    </row>
    <row r="24239" spans="1:1" ht="12.75">
      <c r="A24239" s="2" t="s">
        <v>257</v>
      </c>
    </row>
    <row r="24240" spans="1:1" ht="12.75">
      <c r="A24240" s="2" t="s">
        <v>258</v>
      </c>
    </row>
    <row r="24241" spans="1:1" ht="12.75">
      <c r="A24241" s="2" t="s">
        <v>258</v>
      </c>
    </row>
    <row r="24242" spans="1:1" ht="12.75">
      <c r="A24242" s="2" t="s">
        <v>259</v>
      </c>
    </row>
    <row r="24243" spans="1:1" ht="12.75">
      <c r="A24243" s="2" t="s">
        <v>259</v>
      </c>
    </row>
    <row r="24244" spans="1:1" ht="12.75">
      <c r="A24244" s="2" t="s">
        <v>257</v>
      </c>
    </row>
    <row r="24245" spans="1:1" ht="12.75">
      <c r="A24245" s="2" t="s">
        <v>196</v>
      </c>
    </row>
    <row r="24246" spans="1:1" ht="12.75">
      <c r="A24246" s="2" t="s">
        <v>738</v>
      </c>
    </row>
    <row r="24247" spans="1:1" ht="12.75">
      <c r="A24247" s="2" t="s">
        <v>196</v>
      </c>
    </row>
    <row r="24248" spans="1:1" ht="12.75">
      <c r="A24248" s="2" t="s">
        <v>261</v>
      </c>
    </row>
    <row r="24249" spans="1:1" ht="12.75">
      <c r="A24249" s="2" t="s">
        <v>738</v>
      </c>
    </row>
    <row r="24250" spans="1:1" ht="12.75">
      <c r="A24250" s="2" t="s">
        <v>739</v>
      </c>
    </row>
    <row r="24251" spans="1:1" ht="12.75">
      <c r="A24251" s="2" t="s">
        <v>738</v>
      </c>
    </row>
    <row r="24252" spans="1:1" ht="12.75">
      <c r="A24252" s="2" t="s">
        <v>739</v>
      </c>
    </row>
    <row r="24253" spans="1:1" ht="12.75">
      <c r="A24253" s="2" t="s">
        <v>738</v>
      </c>
    </row>
    <row r="24254" spans="1:1" ht="12.75">
      <c r="A24254" s="2" t="s">
        <v>738</v>
      </c>
    </row>
    <row r="24255" spans="1:1" ht="12.75">
      <c r="A24255" s="2" t="s">
        <v>740</v>
      </c>
    </row>
    <row r="24256" spans="1:1" ht="12.75">
      <c r="A24256" s="2" t="s">
        <v>740</v>
      </c>
    </row>
    <row r="24257" spans="1:1" ht="12.75">
      <c r="A24257" s="2" t="s">
        <v>740</v>
      </c>
    </row>
    <row r="24258" spans="1:1" ht="12.75">
      <c r="A24258" s="2" t="s">
        <v>738</v>
      </c>
    </row>
    <row r="24259" spans="1:1" ht="12.75">
      <c r="A24259" s="2" t="s">
        <v>740</v>
      </c>
    </row>
    <row r="24260" spans="1:1" ht="12.75">
      <c r="A24260" s="2" t="s">
        <v>189</v>
      </c>
    </row>
    <row r="24261" spans="1:1" ht="12.75">
      <c r="A24261" s="2" t="s">
        <v>948</v>
      </c>
    </row>
    <row r="24262" spans="1:1" ht="12.75">
      <c r="A24262" s="2" t="s">
        <v>738</v>
      </c>
    </row>
    <row r="24263" spans="1:1" ht="12.75">
      <c r="A24263" s="2" t="s">
        <v>160</v>
      </c>
    </row>
    <row r="24264" spans="1:1" ht="12.75">
      <c r="A24264" s="2" t="s">
        <v>166</v>
      </c>
    </row>
    <row r="24265" spans="1:1" ht="12.75">
      <c r="A24265" s="2" t="s">
        <v>160</v>
      </c>
    </row>
    <row r="24266" spans="1:1" ht="12.75">
      <c r="A24266" s="2" t="s">
        <v>160</v>
      </c>
    </row>
    <row r="24267" spans="1:1" ht="12.75">
      <c r="A24267" s="2" t="s">
        <v>166</v>
      </c>
    </row>
    <row r="24268" spans="1:1" ht="12.75">
      <c r="A24268" s="2" t="s">
        <v>165</v>
      </c>
    </row>
    <row r="24269" spans="1:1" ht="12.75">
      <c r="A24269" s="2" t="s">
        <v>166</v>
      </c>
    </row>
    <row r="24270" spans="1:1" ht="12.75">
      <c r="A24270" s="2" t="s">
        <v>165</v>
      </c>
    </row>
    <row r="24271" spans="1:1" ht="12.75">
      <c r="A24271" s="2" t="s">
        <v>167</v>
      </c>
    </row>
    <row r="24272" spans="1:1" ht="12.75">
      <c r="A24272" s="2" t="s">
        <v>176</v>
      </c>
    </row>
    <row r="24273" spans="1:1" ht="12.75">
      <c r="A24273" s="2" t="s">
        <v>167</v>
      </c>
    </row>
    <row r="24274" spans="1:1" ht="12.75">
      <c r="A24274" s="2" t="s">
        <v>176</v>
      </c>
    </row>
    <row r="24275" spans="1:1" ht="12.75">
      <c r="A24275" s="2" t="s">
        <v>165</v>
      </c>
    </row>
    <row r="24276" spans="1:1" ht="12.75">
      <c r="A24276" s="2" t="s">
        <v>167</v>
      </c>
    </row>
    <row r="24277" spans="1:1" ht="12.75">
      <c r="A24277" s="2" t="s">
        <v>168</v>
      </c>
    </row>
    <row r="24278" spans="1:1" ht="12.75">
      <c r="A24278" s="2" t="s">
        <v>177</v>
      </c>
    </row>
    <row r="24279" spans="1:1" ht="12.75">
      <c r="A24279" s="2" t="s">
        <v>168</v>
      </c>
    </row>
    <row r="24280" spans="1:1" ht="12.75">
      <c r="A24280" s="2" t="s">
        <v>172</v>
      </c>
    </row>
    <row r="24281" spans="1:1" ht="12.75">
      <c r="A24281" s="2" t="s">
        <v>176</v>
      </c>
    </row>
    <row r="24282" spans="1:1" ht="12.75">
      <c r="A24282" s="2" t="s">
        <v>172</v>
      </c>
    </row>
    <row r="24283" spans="1:1" ht="12.75">
      <c r="A24283" s="2" t="s">
        <v>182</v>
      </c>
    </row>
    <row r="24284" spans="1:1" ht="12.75">
      <c r="A24284" s="2" t="s">
        <v>164</v>
      </c>
    </row>
    <row r="24285" spans="1:1" ht="12.75">
      <c r="A24285" s="2" t="s">
        <v>177</v>
      </c>
    </row>
    <row r="24286" spans="1:1" ht="12.75">
      <c r="A24286" s="2" t="s">
        <v>182</v>
      </c>
    </row>
    <row r="24287" spans="1:1" ht="12.75">
      <c r="A24287" s="2" t="s">
        <v>177</v>
      </c>
    </row>
    <row r="24288" spans="1:1" ht="12.75">
      <c r="A24288" s="2" t="s">
        <v>182</v>
      </c>
    </row>
    <row r="24289" spans="1:1" ht="12.75">
      <c r="A24289" s="2" t="s">
        <v>164</v>
      </c>
    </row>
    <row r="24290" spans="1:1" ht="12.75">
      <c r="A24290" s="2" t="s">
        <v>179</v>
      </c>
    </row>
    <row r="24291" spans="1:1" ht="12.75">
      <c r="A24291" s="2" t="s">
        <v>164</v>
      </c>
    </row>
    <row r="24292" spans="1:1" ht="12.75">
      <c r="A24292" s="2" t="s">
        <v>179</v>
      </c>
    </row>
    <row r="24293" spans="1:1" ht="12.75">
      <c r="A24293" s="2" t="s">
        <v>162</v>
      </c>
    </row>
    <row r="24294" spans="1:1" ht="12.75">
      <c r="A24294" s="2" t="s">
        <v>162</v>
      </c>
    </row>
    <row r="24295" spans="1:1" ht="12.75">
      <c r="A24295" s="2" t="s">
        <v>179</v>
      </c>
    </row>
    <row r="24296" spans="1:1" ht="12.75">
      <c r="A24296" s="2" t="s">
        <v>162</v>
      </c>
    </row>
    <row r="24297" spans="1:1" ht="12.75">
      <c r="A24297" s="2" t="s">
        <v>177</v>
      </c>
    </row>
    <row r="24298" spans="1:1" ht="12.75">
      <c r="A24298" s="2" t="s">
        <v>177</v>
      </c>
    </row>
    <row r="24299" spans="1:1" ht="12.75">
      <c r="A24299" s="2" t="s">
        <v>224</v>
      </c>
    </row>
    <row r="24300" spans="1:1" ht="12.75">
      <c r="A24300" s="2" t="s">
        <v>224</v>
      </c>
    </row>
    <row r="24301" spans="1:1" ht="12.75">
      <c r="A24301" s="2" t="s">
        <v>166</v>
      </c>
    </row>
    <row r="24302" spans="1:1" ht="12.75">
      <c r="A24302" s="2" t="s">
        <v>165</v>
      </c>
    </row>
    <row r="24303" spans="1:1" ht="12.75">
      <c r="A24303" s="2" t="s">
        <v>161</v>
      </c>
    </row>
    <row r="24304" spans="1:1" ht="12.75">
      <c r="A24304" s="2" t="s">
        <v>168</v>
      </c>
    </row>
    <row r="24305" spans="1:1" ht="12.75">
      <c r="A24305" s="2" t="s">
        <v>173</v>
      </c>
    </row>
    <row r="24306" spans="1:1" ht="12.75">
      <c r="A24306" s="2" t="s">
        <v>174</v>
      </c>
    </row>
    <row r="24307" spans="1:1" ht="12.75">
      <c r="A24307" s="2" t="s">
        <v>173</v>
      </c>
    </row>
    <row r="24308" spans="1:1" ht="12.75">
      <c r="A24308" s="2" t="s">
        <v>174</v>
      </c>
    </row>
    <row r="24309" spans="1:1" ht="12.75">
      <c r="A24309" s="2" t="s">
        <v>735</v>
      </c>
    </row>
    <row r="24310" spans="1:1" ht="12.75">
      <c r="A24310" s="2" t="s">
        <v>733</v>
      </c>
    </row>
    <row r="24311" spans="1:1" ht="12.75">
      <c r="A24311" s="2" t="s">
        <v>165</v>
      </c>
    </row>
    <row r="24312" spans="1:1" ht="12.75">
      <c r="A24312" s="2" t="s">
        <v>167</v>
      </c>
    </row>
    <row r="24313" spans="1:1" ht="12.75">
      <c r="A24313" s="2" t="s">
        <v>168</v>
      </c>
    </row>
    <row r="24314" spans="1:1" ht="12.75">
      <c r="A24314" s="2" t="s">
        <v>167</v>
      </c>
    </row>
    <row r="24315" spans="1:1" ht="12.75">
      <c r="A24315" s="2" t="s">
        <v>172</v>
      </c>
    </row>
    <row r="24316" spans="1:1" ht="12.75">
      <c r="A24316" s="2" t="s">
        <v>735</v>
      </c>
    </row>
    <row r="24317" spans="1:1" ht="12.75">
      <c r="A24317" s="2" t="s">
        <v>176</v>
      </c>
    </row>
    <row r="24318" spans="1:1" ht="12.75">
      <c r="A24318" s="2" t="s">
        <v>183</v>
      </c>
    </row>
    <row r="24319" spans="1:1" ht="12.75">
      <c r="A24319" s="2" t="s">
        <v>176</v>
      </c>
    </row>
    <row r="24320" spans="1:1" ht="12.75">
      <c r="A24320" s="2" t="s">
        <v>183</v>
      </c>
    </row>
    <row r="24321" spans="1:1" ht="12.75">
      <c r="A24321" s="2" t="s">
        <v>176</v>
      </c>
    </row>
    <row r="24322" spans="1:1" ht="12.75">
      <c r="A24322" s="2" t="s">
        <v>172</v>
      </c>
    </row>
    <row r="24323" spans="1:1" ht="12.75">
      <c r="A24323" s="2" t="s">
        <v>182</v>
      </c>
    </row>
    <row r="24324" spans="1:1" ht="12.75">
      <c r="A24324" s="2" t="s">
        <v>162</v>
      </c>
    </row>
    <row r="24325" spans="1:1" ht="12.75">
      <c r="A24325" s="2" t="s">
        <v>182</v>
      </c>
    </row>
    <row r="24326" spans="1:1" ht="12.75">
      <c r="A24326" s="2" t="s">
        <v>162</v>
      </c>
    </row>
    <row r="24327" spans="1:1" ht="12.75">
      <c r="A24327" s="2" t="s">
        <v>182</v>
      </c>
    </row>
    <row r="24328" spans="1:1" ht="12.75">
      <c r="A24328" s="2" t="s">
        <v>162</v>
      </c>
    </row>
    <row r="24329" spans="1:1" ht="12.75">
      <c r="A24329" s="2" t="s">
        <v>179</v>
      </c>
    </row>
    <row r="24330" spans="1:1" ht="12.75">
      <c r="A24330" s="2" t="s">
        <v>160</v>
      </c>
    </row>
    <row r="24331" spans="1:1" ht="12.75">
      <c r="A24331" s="2" t="s">
        <v>179</v>
      </c>
    </row>
    <row r="24332" spans="1:1" ht="12.75">
      <c r="A24332" s="2" t="s">
        <v>160</v>
      </c>
    </row>
    <row r="24333" spans="1:1" ht="12.75">
      <c r="A24333" s="2" t="s">
        <v>179</v>
      </c>
    </row>
    <row r="24334" spans="1:1" ht="12.75">
      <c r="A24334" s="2" t="s">
        <v>171</v>
      </c>
    </row>
    <row r="24335" spans="1:1" ht="12.75">
      <c r="A24335" s="2" t="s">
        <v>165</v>
      </c>
    </row>
    <row r="24336" spans="1:1" ht="12.75">
      <c r="A24336" s="2" t="s">
        <v>176</v>
      </c>
    </row>
    <row r="24337" spans="1:1" ht="12.75">
      <c r="A24337" s="2" t="s">
        <v>165</v>
      </c>
    </row>
    <row r="24338" spans="1:1" ht="12.75">
      <c r="A24338" s="2" t="s">
        <v>176</v>
      </c>
    </row>
    <row r="24339" spans="1:1" ht="12.75">
      <c r="A24339" s="2" t="s">
        <v>172</v>
      </c>
    </row>
    <row r="24340" spans="1:1" ht="12.75">
      <c r="A24340" s="2" t="s">
        <v>167</v>
      </c>
    </row>
    <row r="24341" spans="1:1" ht="12.75">
      <c r="A24341" s="2" t="s">
        <v>166</v>
      </c>
    </row>
    <row r="24342" spans="1:1" ht="12.75">
      <c r="A24342" s="2" t="s">
        <v>167</v>
      </c>
    </row>
    <row r="24343" spans="1:1" ht="12.75">
      <c r="A24343" s="2" t="s">
        <v>166</v>
      </c>
    </row>
    <row r="24344" spans="1:1" ht="12.75">
      <c r="A24344" s="2" t="s">
        <v>167</v>
      </c>
    </row>
    <row r="24345" spans="1:1" ht="12.75">
      <c r="A24345" s="2" t="s">
        <v>160</v>
      </c>
    </row>
    <row r="24346" spans="1:1" ht="12.75">
      <c r="A24346" s="2" t="s">
        <v>165</v>
      </c>
    </row>
    <row r="24347" spans="1:1" ht="12.75">
      <c r="A24347" s="2" t="s">
        <v>172</v>
      </c>
    </row>
    <row r="24348" spans="1:1" ht="12.75">
      <c r="A24348" s="2" t="s">
        <v>183</v>
      </c>
    </row>
    <row r="24349" spans="1:1" ht="12.75">
      <c r="A24349" s="2" t="s">
        <v>174</v>
      </c>
    </row>
    <row r="24350" spans="1:1" ht="12.75">
      <c r="A24350" s="2" t="s">
        <v>183</v>
      </c>
    </row>
    <row r="24351" spans="1:1" ht="12.75">
      <c r="A24351" s="2" t="s">
        <v>174</v>
      </c>
    </row>
    <row r="24352" spans="1:1" ht="12.75">
      <c r="A24352" s="2" t="s">
        <v>183</v>
      </c>
    </row>
    <row r="24353" spans="1:1" ht="12.75">
      <c r="A24353" s="2" t="s">
        <v>176</v>
      </c>
    </row>
    <row r="24354" spans="1:1" ht="12.75">
      <c r="A24354" s="2" t="s">
        <v>172</v>
      </c>
    </row>
    <row r="24355" spans="1:1" ht="12.75">
      <c r="A24355" s="2" t="s">
        <v>182</v>
      </c>
    </row>
    <row r="24356" spans="1:1" ht="12.75">
      <c r="A24356" s="2" t="s">
        <v>177</v>
      </c>
    </row>
    <row r="24357" spans="1:1" ht="12.75">
      <c r="A24357" s="2" t="s">
        <v>182</v>
      </c>
    </row>
    <row r="24358" spans="1:1" ht="12.75">
      <c r="A24358" s="2" t="s">
        <v>164</v>
      </c>
    </row>
    <row r="24359" spans="1:1" ht="12.75">
      <c r="A24359" s="2" t="s">
        <v>182</v>
      </c>
    </row>
    <row r="24360" spans="1:1" ht="12.75">
      <c r="A24360" s="2" t="s">
        <v>164</v>
      </c>
    </row>
    <row r="24361" spans="1:1" ht="12.75">
      <c r="A24361" s="2" t="s">
        <v>162</v>
      </c>
    </row>
    <row r="24362" spans="1:1" ht="12.75">
      <c r="A24362" s="2" t="s">
        <v>163</v>
      </c>
    </row>
    <row r="24363" spans="1:1" ht="12.75">
      <c r="A24363" s="2" t="s">
        <v>194</v>
      </c>
    </row>
    <row r="24364" spans="1:1" ht="12.75">
      <c r="A24364" s="2" t="s">
        <v>163</v>
      </c>
    </row>
    <row r="24365" spans="1:1" ht="12.75">
      <c r="A24365" s="2" t="s">
        <v>194</v>
      </c>
    </row>
    <row r="24366" spans="1:1" ht="12.75">
      <c r="A24366" s="2" t="s">
        <v>163</v>
      </c>
    </row>
    <row r="24367" spans="1:1" ht="12.75">
      <c r="A24367" s="2" t="s">
        <v>194</v>
      </c>
    </row>
    <row r="24368" spans="1:1" ht="12.75">
      <c r="A24368" s="2" t="s">
        <v>162</v>
      </c>
    </row>
    <row r="24369" spans="1:1" ht="12.75">
      <c r="A24369" s="2" t="s">
        <v>175</v>
      </c>
    </row>
    <row r="24370" spans="1:1" ht="12.75">
      <c r="A24370" s="2" t="s">
        <v>185</v>
      </c>
    </row>
    <row r="24371" spans="1:1" ht="12.75">
      <c r="A24371" s="2" t="s">
        <v>175</v>
      </c>
    </row>
    <row r="24372" spans="1:1" ht="12.75">
      <c r="A24372" s="2" t="s">
        <v>185</v>
      </c>
    </row>
    <row r="24373" spans="1:1" ht="12.75">
      <c r="A24373" s="2" t="s">
        <v>163</v>
      </c>
    </row>
    <row r="24374" spans="1:1" ht="12.75">
      <c r="A24374" s="2" t="s">
        <v>175</v>
      </c>
    </row>
    <row r="24375" spans="1:1" ht="12.75">
      <c r="A24375" s="2" t="s">
        <v>173</v>
      </c>
    </row>
    <row r="24376" spans="1:1" ht="12.75">
      <c r="A24376" s="2" t="s">
        <v>225</v>
      </c>
    </row>
    <row r="24377" spans="1:1" ht="12.75">
      <c r="A24377" s="2" t="s">
        <v>173</v>
      </c>
    </row>
    <row r="24378" spans="1:1" ht="12.75">
      <c r="A24378" s="2" t="s">
        <v>225</v>
      </c>
    </row>
    <row r="24379" spans="1:1" ht="12.75">
      <c r="A24379" s="2" t="s">
        <v>185</v>
      </c>
    </row>
    <row r="24380" spans="1:1" ht="12.75">
      <c r="A24380" s="2" t="s">
        <v>173</v>
      </c>
    </row>
    <row r="24381" spans="1:1" ht="12.75">
      <c r="A24381" s="2" t="s">
        <v>191</v>
      </c>
    </row>
    <row r="24382" spans="1:1" ht="12.75">
      <c r="A24382" s="2" t="s">
        <v>171</v>
      </c>
    </row>
    <row r="24383" spans="1:1" ht="12.75">
      <c r="A24383" s="2" t="s">
        <v>225</v>
      </c>
    </row>
    <row r="24384" spans="1:1" ht="12.75">
      <c r="A24384" s="2" t="s">
        <v>191</v>
      </c>
    </row>
    <row r="24385" spans="1:1" ht="12.75">
      <c r="A24385" s="2" t="s">
        <v>193</v>
      </c>
    </row>
    <row r="24386" spans="1:1" ht="12.75">
      <c r="A24386" s="2" t="s">
        <v>174</v>
      </c>
    </row>
    <row r="24387" spans="1:1" ht="12.75">
      <c r="A24387" s="2" t="s">
        <v>949</v>
      </c>
    </row>
    <row r="24388" spans="1:1" ht="12.75">
      <c r="A24388" s="2" t="s">
        <v>193</v>
      </c>
    </row>
    <row r="24389" spans="1:1" ht="12.75">
      <c r="A24389" s="2" t="s">
        <v>182</v>
      </c>
    </row>
    <row r="24390" spans="1:1" ht="12.75">
      <c r="A24390" s="2" t="s">
        <v>185</v>
      </c>
    </row>
    <row r="24391" spans="1:1" ht="12.75">
      <c r="A24391" s="2" t="s">
        <v>182</v>
      </c>
    </row>
    <row r="24392" spans="1:1" ht="12.75">
      <c r="A24392" s="2" t="s">
        <v>177</v>
      </c>
    </row>
    <row r="24393" spans="1:1" ht="12.75">
      <c r="A24393" s="2" t="s">
        <v>179</v>
      </c>
    </row>
    <row r="24394" spans="1:1" ht="12.75">
      <c r="A24394" s="2" t="s">
        <v>162</v>
      </c>
    </row>
    <row r="24395" spans="1:1" ht="12.75">
      <c r="A24395" s="2" t="s">
        <v>172</v>
      </c>
    </row>
    <row r="24396" spans="1:1" ht="12.75">
      <c r="A24396" s="2" t="s">
        <v>162</v>
      </c>
    </row>
    <row r="24397" spans="1:1" ht="12.75">
      <c r="A24397" s="2" t="s">
        <v>177</v>
      </c>
    </row>
    <row r="24398" spans="1:1" ht="12.75">
      <c r="A24398" s="2" t="s">
        <v>167</v>
      </c>
    </row>
    <row r="24399" spans="1:1" ht="12.75">
      <c r="A24399" s="2" t="s">
        <v>162</v>
      </c>
    </row>
    <row r="24400" spans="1:1" ht="12.75">
      <c r="A24400" s="2" t="s">
        <v>950</v>
      </c>
    </row>
    <row r="24401" spans="1:1" ht="12.75">
      <c r="A24401" s="2" t="s">
        <v>163</v>
      </c>
    </row>
    <row r="24402" spans="1:1" ht="12.75">
      <c r="A24402" s="2" t="s">
        <v>163</v>
      </c>
    </row>
    <row r="24403" spans="1:1" ht="12.75">
      <c r="A24403" s="2" t="s">
        <v>175</v>
      </c>
    </row>
    <row r="24404" spans="1:1" ht="12.75">
      <c r="A24404" s="2" t="s">
        <v>185</v>
      </c>
    </row>
    <row r="24405" spans="1:1" ht="12.75">
      <c r="A24405" s="2" t="s">
        <v>175</v>
      </c>
    </row>
    <row r="24406" spans="1:1" ht="12.75">
      <c r="A24406" s="2" t="s">
        <v>175</v>
      </c>
    </row>
    <row r="24407" spans="1:1" ht="12.75">
      <c r="A24407" s="2" t="s">
        <v>185</v>
      </c>
    </row>
    <row r="24408" spans="1:1" ht="12.75">
      <c r="A24408" s="2" t="s">
        <v>173</v>
      </c>
    </row>
    <row r="24409" spans="1:1" ht="12.75">
      <c r="A24409" s="2" t="s">
        <v>185</v>
      </c>
    </row>
    <row r="24410" spans="1:1" ht="12.75">
      <c r="A24410" s="2">
        <v>222</v>
      </c>
    </row>
    <row r="24411" spans="1:1" ht="12.75">
      <c r="A24411" s="2" t="s">
        <v>178</v>
      </c>
    </row>
    <row r="24412" spans="1:1" ht="12.75">
      <c r="A24412" s="2" t="s">
        <v>173</v>
      </c>
    </row>
    <row r="24413" spans="1:1" ht="12.75">
      <c r="A24413" s="2" t="s">
        <v>173</v>
      </c>
    </row>
    <row r="24414" spans="1:1" ht="12.75">
      <c r="A24414" s="2" t="s">
        <v>178</v>
      </c>
    </row>
    <row r="24415" spans="1:1" ht="12.75">
      <c r="A24415" s="2" t="s">
        <v>170</v>
      </c>
    </row>
    <row r="24416" spans="1:1" ht="12.75">
      <c r="A24416" s="2" t="s">
        <v>224</v>
      </c>
    </row>
    <row r="24417" spans="1:1" ht="12.75">
      <c r="A24417" s="2" t="s">
        <v>951</v>
      </c>
    </row>
    <row r="24418" spans="1:1" ht="12.75">
      <c r="A24418" s="2" t="s">
        <v>170</v>
      </c>
    </row>
    <row r="24457" spans="1:1" ht="12.75">
      <c r="A24457" s="2" t="s">
        <v>203</v>
      </c>
    </row>
    <row r="24458" spans="1:1" ht="12.75">
      <c r="A24458" s="2" t="s">
        <v>203</v>
      </c>
    </row>
    <row r="24459" spans="1:1" ht="12.75">
      <c r="A24459" s="2" t="s">
        <v>207</v>
      </c>
    </row>
    <row r="24460" spans="1:1" ht="12.75">
      <c r="A24460" s="2" t="s">
        <v>207</v>
      </c>
    </row>
    <row r="24461" spans="1:1" ht="12.75">
      <c r="A24461" s="2" t="s">
        <v>207</v>
      </c>
    </row>
    <row r="24462" spans="1:1" ht="12.75">
      <c r="A24462" s="2" t="s">
        <v>207</v>
      </c>
    </row>
    <row r="24463" spans="1:1" ht="12.75">
      <c r="A24463" s="2" t="s">
        <v>203</v>
      </c>
    </row>
    <row r="24464" spans="1:1" ht="12.75">
      <c r="A24464" s="2" t="s">
        <v>203</v>
      </c>
    </row>
    <row r="24465" spans="1:1" ht="12.75">
      <c r="A24465" s="2" t="s">
        <v>206</v>
      </c>
    </row>
    <row r="24466" spans="1:1" ht="12.75">
      <c r="A24466" s="2" t="s">
        <v>206</v>
      </c>
    </row>
    <row r="24467" spans="1:1" ht="12.75">
      <c r="A24467" s="2" t="s">
        <v>206</v>
      </c>
    </row>
    <row r="24468" spans="1:1" ht="12.75">
      <c r="A24468" s="2" t="s">
        <v>206</v>
      </c>
    </row>
    <row r="24469" spans="1:1" ht="12.75">
      <c r="A24469" s="2" t="s">
        <v>206</v>
      </c>
    </row>
    <row r="24470" spans="1:1" ht="12.75">
      <c r="A24470" s="2" t="s">
        <v>206</v>
      </c>
    </row>
    <row r="24471" spans="1:1" ht="12.75">
      <c r="A24471" s="2" t="s">
        <v>952</v>
      </c>
    </row>
    <row r="24472" spans="1:1" ht="12.75">
      <c r="A24472" s="2" t="s">
        <v>202</v>
      </c>
    </row>
    <row r="24473" spans="1:1" ht="12.75">
      <c r="A24473" s="2" t="s">
        <v>202</v>
      </c>
    </row>
    <row r="24474" spans="1:1" ht="12.75">
      <c r="A24474" s="2" t="s">
        <v>201</v>
      </c>
    </row>
    <row r="24475" spans="1:1" ht="12.75">
      <c r="A24475" s="2" t="s">
        <v>203</v>
      </c>
    </row>
    <row r="24476" spans="1:1" ht="12.75">
      <c r="A24476" s="2" t="s">
        <v>203</v>
      </c>
    </row>
    <row r="24477" spans="1:1" ht="12.75">
      <c r="A24477" s="2" t="s">
        <v>203</v>
      </c>
    </row>
    <row r="24478" spans="1:1" ht="12.75">
      <c r="A24478" s="2" t="s">
        <v>203</v>
      </c>
    </row>
    <row r="24479" spans="1:1" ht="12.75">
      <c r="A24479" s="2" t="s">
        <v>200</v>
      </c>
    </row>
    <row r="24480" spans="1:1" ht="12.75">
      <c r="A24480" s="2" t="s">
        <v>200</v>
      </c>
    </row>
    <row r="24481" spans="1:1" ht="12.75">
      <c r="A24481" s="2" t="s">
        <v>203</v>
      </c>
    </row>
    <row r="24482" spans="1:1" ht="12.75">
      <c r="A24482" s="2" t="s">
        <v>203</v>
      </c>
    </row>
    <row r="24483" spans="1:1" ht="12.75">
      <c r="A24483" s="2" t="s">
        <v>203</v>
      </c>
    </row>
    <row r="24484" spans="1:1" ht="12.75">
      <c r="A24484" s="2" t="s">
        <v>203</v>
      </c>
    </row>
    <row r="24485" spans="1:1" ht="12.75">
      <c r="A24485" s="2" t="s">
        <v>203</v>
      </c>
    </row>
    <row r="24486" spans="1:1" ht="12.75">
      <c r="A24486" s="2" t="s">
        <v>205</v>
      </c>
    </row>
    <row r="24487" spans="1:1" ht="12.75">
      <c r="A24487" s="2" t="s">
        <v>200</v>
      </c>
    </row>
    <row r="24488" spans="1:1" ht="12.75">
      <c r="A24488" s="2" t="s">
        <v>200</v>
      </c>
    </row>
    <row r="24489" spans="1:1" ht="12.75">
      <c r="A24489" s="2" t="s">
        <v>200</v>
      </c>
    </row>
    <row r="24490" spans="1:1" ht="12.75">
      <c r="A24490" s="2" t="s">
        <v>200</v>
      </c>
    </row>
    <row r="24491" spans="1:1" ht="12.75">
      <c r="A24491" s="2" t="s">
        <v>200</v>
      </c>
    </row>
    <row r="24492" spans="1:1" ht="12.75">
      <c r="A24492" s="2" t="s">
        <v>200</v>
      </c>
    </row>
    <row r="24493" spans="1:1" ht="12.75">
      <c r="A24493" s="2" t="s">
        <v>200</v>
      </c>
    </row>
    <row r="24494" spans="1:1" ht="12.75">
      <c r="A24494" s="2" t="s">
        <v>200</v>
      </c>
    </row>
    <row r="24495" spans="1:1" ht="12.75">
      <c r="A24495" s="2" t="s">
        <v>200</v>
      </c>
    </row>
    <row r="24496" spans="1:1" ht="12.75">
      <c r="A24496" s="2" t="s">
        <v>200</v>
      </c>
    </row>
    <row r="24498" spans="1:1" ht="12.75">
      <c r="A24498" s="2" t="s">
        <v>205</v>
      </c>
    </row>
    <row r="24499" spans="1:1" ht="12.75">
      <c r="A24499" s="2" t="s">
        <v>203</v>
      </c>
    </row>
    <row r="24500" spans="1:1" ht="12.75">
      <c r="A24500" s="2" t="s">
        <v>203</v>
      </c>
    </row>
    <row r="24501" spans="1:1" ht="12.75">
      <c r="A24501" s="2" t="s">
        <v>200</v>
      </c>
    </row>
    <row r="24502" spans="1:1" ht="12.75">
      <c r="A24502" s="2" t="s">
        <v>202</v>
      </c>
    </row>
    <row r="24503" spans="1:1" ht="12.75">
      <c r="A24503" s="2" t="s">
        <v>206</v>
      </c>
    </row>
    <row r="24504" spans="1:1" ht="12.75">
      <c r="A24504" s="2" t="s">
        <v>206</v>
      </c>
    </row>
    <row r="24505" spans="1:1" ht="12.75">
      <c r="A24505" s="2" t="s">
        <v>206</v>
      </c>
    </row>
    <row r="24506" spans="1:1" ht="12.75">
      <c r="A24506" s="2" t="s">
        <v>206</v>
      </c>
    </row>
    <row r="24507" spans="1:1" ht="12.75">
      <c r="A24507" s="2" t="s">
        <v>206</v>
      </c>
    </row>
    <row r="24508" spans="1:1" ht="12.75">
      <c r="A24508" s="2" t="s">
        <v>204</v>
      </c>
    </row>
    <row r="24509" spans="1:1" ht="12.75">
      <c r="A24509" s="2" t="s">
        <v>206</v>
      </c>
    </row>
    <row r="24510" spans="1:1" ht="12.75">
      <c r="A24510" s="2" t="s">
        <v>202</v>
      </c>
    </row>
    <row r="24511" spans="1:1" ht="12.75">
      <c r="A24511" s="2" t="s">
        <v>206</v>
      </c>
    </row>
    <row r="24512" spans="1:1" ht="12.75">
      <c r="A24512" s="2" t="s">
        <v>206</v>
      </c>
    </row>
    <row r="24513" spans="1:1" ht="12.75">
      <c r="A24513" s="2" t="s">
        <v>284</v>
      </c>
    </row>
    <row r="24514" spans="1:1" ht="12.75">
      <c r="A24514" s="2" t="s">
        <v>284</v>
      </c>
    </row>
    <row r="24515" spans="1:1" ht="12.75">
      <c r="A24515" s="2" t="s">
        <v>284</v>
      </c>
    </row>
    <row r="24516" spans="1:1" ht="12.75">
      <c r="A24516" s="2" t="s">
        <v>284</v>
      </c>
    </row>
    <row r="24517" spans="1:1" ht="12.75">
      <c r="A24517" s="2" t="s">
        <v>284</v>
      </c>
    </row>
    <row r="24518" spans="1:1" ht="12.75">
      <c r="A24518" s="2" t="s">
        <v>284</v>
      </c>
    </row>
    <row r="24522" spans="1:1" ht="12.75">
      <c r="A24522" s="2" t="s">
        <v>477</v>
      </c>
    </row>
    <row r="24523" spans="1:1" ht="12.75">
      <c r="A24523" s="2" t="s">
        <v>201</v>
      </c>
    </row>
    <row r="24524" spans="1:1" ht="12.75">
      <c r="A24524" s="2" t="s">
        <v>200</v>
      </c>
    </row>
    <row r="24525" spans="1:1" ht="12.75">
      <c r="A24525" s="2" t="s">
        <v>284</v>
      </c>
    </row>
    <row r="24526" spans="1:1" ht="12.75">
      <c r="A24526" s="2" t="s">
        <v>284</v>
      </c>
    </row>
    <row r="24527" spans="1:1" ht="12.75">
      <c r="A24527" s="2" t="s">
        <v>284</v>
      </c>
    </row>
    <row r="24528" spans="1:1" ht="12.75">
      <c r="A24528" s="2" t="s">
        <v>284</v>
      </c>
    </row>
    <row r="24529" spans="1:1" ht="12.75">
      <c r="A24529" s="2" t="s">
        <v>284</v>
      </c>
    </row>
    <row r="24530" spans="1:1" ht="12.75">
      <c r="A24530" s="2" t="s">
        <v>953</v>
      </c>
    </row>
    <row r="24531" spans="1:1" ht="12.75">
      <c r="A24531" s="2" t="s">
        <v>284</v>
      </c>
    </row>
    <row r="24532" spans="1:1" ht="12.75">
      <c r="A24532" s="2" t="s">
        <v>284</v>
      </c>
    </row>
    <row r="24533" spans="1:1" ht="12.75">
      <c r="A24533" s="2" t="s">
        <v>284</v>
      </c>
    </row>
    <row r="24534" spans="1:1" ht="12.75">
      <c r="A24534" s="2" t="s">
        <v>284</v>
      </c>
    </row>
    <row r="24535" spans="1:1" ht="12.75">
      <c r="A24535" s="2" t="s">
        <v>284</v>
      </c>
    </row>
    <row r="24536" spans="1:1" ht="12.75">
      <c r="A24536" s="2" t="s">
        <v>284</v>
      </c>
    </row>
    <row r="24537" spans="1:1" ht="12.75">
      <c r="A24537" s="2" t="s">
        <v>284</v>
      </c>
    </row>
    <row r="24538" spans="1:1" ht="12.75">
      <c r="A24538" s="2" t="s">
        <v>284</v>
      </c>
    </row>
    <row r="24539" spans="1:1" ht="12.75">
      <c r="A24539" s="2" t="s">
        <v>284</v>
      </c>
    </row>
    <row r="24540" spans="1:1" ht="12.75">
      <c r="A24540" s="2" t="s">
        <v>284</v>
      </c>
    </row>
    <row r="24541" spans="1:1" ht="12.75">
      <c r="A24541" s="2" t="s">
        <v>297</v>
      </c>
    </row>
    <row r="24542" spans="1:1" ht="12.75">
      <c r="A24542" s="2" t="s">
        <v>285</v>
      </c>
    </row>
    <row r="24543" spans="1:1" ht="12.75">
      <c r="A24543" s="2" t="s">
        <v>758</v>
      </c>
    </row>
    <row r="24544" spans="1:1" ht="12.75">
      <c r="A24544" s="2" t="s">
        <v>758</v>
      </c>
    </row>
    <row r="24545" spans="1:1" ht="12.75">
      <c r="A24545" s="2" t="s">
        <v>757</v>
      </c>
    </row>
    <row r="24546" spans="1:1" ht="12.75">
      <c r="A24546" s="2" t="s">
        <v>757</v>
      </c>
    </row>
    <row r="24547" spans="1:1" ht="12.75">
      <c r="A24547" s="2" t="s">
        <v>757</v>
      </c>
    </row>
    <row r="24548" spans="1:1" ht="12.75">
      <c r="A24548" s="2" t="s">
        <v>757</v>
      </c>
    </row>
    <row r="24549" spans="1:1" ht="12.75">
      <c r="A24549" s="2" t="s">
        <v>757</v>
      </c>
    </row>
    <row r="24550" spans="1:1" ht="12.75">
      <c r="A24550" s="2" t="s">
        <v>757</v>
      </c>
    </row>
    <row r="24551" spans="1:1" ht="12.75">
      <c r="A24551" s="2" t="s">
        <v>757</v>
      </c>
    </row>
    <row r="24552" spans="1:1" ht="12.75">
      <c r="A24552" s="2" t="s">
        <v>757</v>
      </c>
    </row>
    <row r="24553" spans="1:1" ht="12.75">
      <c r="A24553" s="2" t="s">
        <v>758</v>
      </c>
    </row>
    <row r="24554" spans="1:1" ht="12.75">
      <c r="A24554" s="2" t="s">
        <v>758</v>
      </c>
    </row>
    <row r="24555" spans="1:1" ht="12.75">
      <c r="A24555" s="2" t="s">
        <v>290</v>
      </c>
    </row>
    <row r="24556" spans="1:1" ht="12.75">
      <c r="A24556" s="2" t="s">
        <v>291</v>
      </c>
    </row>
    <row r="24557" spans="1:1" ht="12.75">
      <c r="A24557" s="2" t="s">
        <v>290</v>
      </c>
    </row>
    <row r="24558" spans="1:1" ht="12.75">
      <c r="A24558" s="2" t="s">
        <v>290</v>
      </c>
    </row>
    <row r="24559" spans="1:1" ht="12.75">
      <c r="A24559" s="2" t="s">
        <v>708</v>
      </c>
    </row>
    <row r="24560" spans="1:1" ht="12.75">
      <c r="A24560" s="2" t="s">
        <v>242</v>
      </c>
    </row>
    <row r="24561" spans="1:1" ht="12.75">
      <c r="A24561" s="2" t="s">
        <v>954</v>
      </c>
    </row>
    <row r="24562" spans="1:1" ht="12.75">
      <c r="A24562" s="2" t="s">
        <v>954</v>
      </c>
    </row>
    <row r="24563" spans="1:1" ht="12.75">
      <c r="A24563" s="2" t="s">
        <v>955</v>
      </c>
    </row>
    <row r="24564" spans="1:1" ht="12.75">
      <c r="A24564" s="2" t="s">
        <v>955</v>
      </c>
    </row>
    <row r="24565" spans="1:1" ht="12.75">
      <c r="A24565" s="2" t="s">
        <v>296</v>
      </c>
    </row>
    <row r="24566" spans="1:1" ht="12.75">
      <c r="A24566" s="2" t="s">
        <v>293</v>
      </c>
    </row>
    <row r="24567" spans="1:1" ht="12.75">
      <c r="A24567" s="2" t="s">
        <v>299</v>
      </c>
    </row>
    <row r="24568" spans="1:1" ht="12.75">
      <c r="A24568" s="2" t="s">
        <v>293</v>
      </c>
    </row>
    <row r="24569" spans="1:1" ht="12.75">
      <c r="A24569" s="2" t="s">
        <v>292</v>
      </c>
    </row>
    <row r="24570" spans="1:1" ht="12.75">
      <c r="A24570" s="2" t="s">
        <v>290</v>
      </c>
    </row>
    <row r="24571" spans="1:1" ht="12.75">
      <c r="A24571" s="2" t="s">
        <v>289</v>
      </c>
    </row>
    <row r="24572" spans="1:1" ht="12.75">
      <c r="A24572" s="2" t="s">
        <v>290</v>
      </c>
    </row>
    <row r="24573" spans="1:1" ht="12.75">
      <c r="A24573" s="2" t="s">
        <v>956</v>
      </c>
    </row>
    <row r="24575" spans="1:1" ht="12.75">
      <c r="A24575" s="2" t="s">
        <v>708</v>
      </c>
    </row>
    <row r="24576" spans="1:1" ht="12.75">
      <c r="A24576" s="2" t="s">
        <v>957</v>
      </c>
    </row>
    <row r="24577" spans="1:1" ht="12.75">
      <c r="A24577" s="2" t="s">
        <v>298</v>
      </c>
    </row>
    <row r="24578" spans="1:1" ht="12.75">
      <c r="A24578" s="2" t="s">
        <v>299</v>
      </c>
    </row>
    <row r="24579" spans="1:1" ht="12.75">
      <c r="A24579" s="2" t="s">
        <v>299</v>
      </c>
    </row>
    <row r="24580" spans="1:1" ht="12.75">
      <c r="A24580" s="2" t="s">
        <v>290</v>
      </c>
    </row>
    <row r="24581" spans="1:1" ht="12.75">
      <c r="A24581" s="2" t="s">
        <v>292</v>
      </c>
    </row>
    <row r="24582" spans="1:1" ht="12.75">
      <c r="A24582" s="2" t="s">
        <v>290</v>
      </c>
    </row>
    <row r="24583" spans="1:1" ht="12.75">
      <c r="A24583" s="2" t="s">
        <v>289</v>
      </c>
    </row>
    <row r="24584" spans="1:1" ht="12.75">
      <c r="A24584" s="2" t="s">
        <v>293</v>
      </c>
    </row>
    <row r="24585" spans="1:1" ht="12.75">
      <c r="A24585" s="2" t="s">
        <v>293</v>
      </c>
    </row>
    <row r="24586" spans="1:1" ht="12.75">
      <c r="A24586" s="2" t="s">
        <v>293</v>
      </c>
    </row>
    <row r="24587" spans="1:1" ht="12.75">
      <c r="A24587" s="2" t="s">
        <v>291</v>
      </c>
    </row>
    <row r="24588" spans="1:1" ht="12.75">
      <c r="A24588" s="2" t="s">
        <v>289</v>
      </c>
    </row>
    <row r="24589" spans="1:1" ht="12.75">
      <c r="A24589" s="2" t="s">
        <v>297</v>
      </c>
    </row>
    <row r="24590" spans="1:1" ht="12.75">
      <c r="A24590" s="2" t="s">
        <v>297</v>
      </c>
    </row>
    <row r="24591" spans="1:1" ht="12.75">
      <c r="A24591" s="2" t="s">
        <v>291</v>
      </c>
    </row>
    <row r="24592" spans="1:1" ht="12.75">
      <c r="A24592" s="2" t="s">
        <v>291</v>
      </c>
    </row>
    <row r="24593" spans="1:1" ht="12.75">
      <c r="A24593" s="2" t="s">
        <v>289</v>
      </c>
    </row>
    <row r="24594" spans="1:1" ht="12.75">
      <c r="A24594" s="2" t="s">
        <v>289</v>
      </c>
    </row>
    <row r="24595" spans="1:1" ht="12.75">
      <c r="A24595" s="2" t="s">
        <v>290</v>
      </c>
    </row>
    <row r="24596" spans="1:1" ht="12.75">
      <c r="A24596" s="2" t="s">
        <v>299</v>
      </c>
    </row>
    <row r="24597" spans="1:1" ht="12.75">
      <c r="A24597" s="2" t="s">
        <v>290</v>
      </c>
    </row>
    <row r="24598" spans="1:1" ht="12.75">
      <c r="A24598" s="2" t="s">
        <v>290</v>
      </c>
    </row>
    <row r="24599" spans="1:1" ht="12.75">
      <c r="A24599" s="2" t="s">
        <v>290</v>
      </c>
    </row>
    <row r="24600" spans="1:1" ht="12.75">
      <c r="A24600" s="2" t="s">
        <v>292</v>
      </c>
    </row>
    <row r="24601" spans="1:1" ht="12.75">
      <c r="A24601" s="2" t="s">
        <v>297</v>
      </c>
    </row>
    <row r="24602" spans="1:1" ht="12.75">
      <c r="A24602" s="2" t="s">
        <v>291</v>
      </c>
    </row>
    <row r="24603" spans="1:1" ht="12.75">
      <c r="A24603" s="2" t="s">
        <v>297</v>
      </c>
    </row>
    <row r="24604" spans="1:1" ht="12.75">
      <c r="A24604" s="2" t="s">
        <v>291</v>
      </c>
    </row>
    <row r="24605" spans="1:1" ht="12.75">
      <c r="A24605" s="2" t="s">
        <v>762</v>
      </c>
    </row>
    <row r="24606" spans="1:1" ht="12.75">
      <c r="A24606" s="2" t="s">
        <v>762</v>
      </c>
    </row>
    <row r="24607" spans="1:1" ht="12.75">
      <c r="A24607" s="2" t="s">
        <v>284</v>
      </c>
    </row>
    <row r="24608" spans="1:1" ht="12.75">
      <c r="A24608" s="2" t="s">
        <v>284</v>
      </c>
    </row>
    <row r="24609" spans="1:1" ht="12.75">
      <c r="A24609" s="2" t="s">
        <v>284</v>
      </c>
    </row>
    <row r="24610" spans="1:1" ht="12.75">
      <c r="A24610" s="2" t="s">
        <v>284</v>
      </c>
    </row>
    <row r="24611" spans="1:1" ht="12.75">
      <c r="A24611" s="2" t="s">
        <v>284</v>
      </c>
    </row>
    <row r="24612" spans="1:1" ht="12.75">
      <c r="A24612" s="2" t="s">
        <v>284</v>
      </c>
    </row>
    <row r="24613" spans="1:1" ht="12.75">
      <c r="A24613" s="2" t="s">
        <v>284</v>
      </c>
    </row>
    <row r="24614" spans="1:1" ht="12.75">
      <c r="A24614" s="2" t="s">
        <v>284</v>
      </c>
    </row>
    <row r="24615" spans="1:1" ht="12.75">
      <c r="A24615" s="2" t="s">
        <v>284</v>
      </c>
    </row>
    <row r="24616" spans="1:1" ht="12.75">
      <c r="A24616" s="2" t="s">
        <v>284</v>
      </c>
    </row>
    <row r="24617" spans="1:1" ht="12.75">
      <c r="A24617" s="2" t="s">
        <v>284</v>
      </c>
    </row>
    <row r="24618" spans="1:1" ht="12.75">
      <c r="A24618" s="2" t="s">
        <v>284</v>
      </c>
    </row>
    <row r="24619" spans="1:1" ht="12.75">
      <c r="A24619" s="2" t="s">
        <v>284</v>
      </c>
    </row>
    <row r="24620" spans="1:1" ht="12.75">
      <c r="A24620" s="2" t="s">
        <v>284</v>
      </c>
    </row>
    <row r="24622" spans="1:1" ht="12.75">
      <c r="A24622" s="2" t="s">
        <v>284</v>
      </c>
    </row>
    <row r="24623" spans="1:1" ht="12.75">
      <c r="A24623" s="2" t="s">
        <v>284</v>
      </c>
    </row>
    <row r="24624" spans="1:1" ht="12.75">
      <c r="A24624" s="2" t="s">
        <v>284</v>
      </c>
    </row>
    <row r="24625" spans="1:1" ht="12.75">
      <c r="A24625" s="2" t="s">
        <v>202</v>
      </c>
    </row>
    <row r="24626" spans="1:1" ht="12.75">
      <c r="A24626" s="2" t="s">
        <v>201</v>
      </c>
    </row>
    <row r="24627" spans="1:1" ht="12.75">
      <c r="A24627" s="2" t="s">
        <v>201</v>
      </c>
    </row>
    <row r="24628" spans="1:1" ht="12.75">
      <c r="A24628" s="2" t="s">
        <v>201</v>
      </c>
    </row>
    <row r="24629" spans="1:1" ht="12.75">
      <c r="A24629" s="2" t="s">
        <v>201</v>
      </c>
    </row>
    <row r="24630" spans="1:1" ht="12.75">
      <c r="A24630" s="2" t="s">
        <v>202</v>
      </c>
    </row>
    <row r="24631" spans="1:1" ht="12.75">
      <c r="A24631" s="2" t="s">
        <v>202</v>
      </c>
    </row>
    <row r="24632" spans="1:1" ht="12.75">
      <c r="A24632" s="2" t="s">
        <v>202</v>
      </c>
    </row>
    <row r="24633" spans="1:1" ht="12.75">
      <c r="A24633" s="2" t="s">
        <v>201</v>
      </c>
    </row>
    <row r="24634" spans="1:1" ht="12.75">
      <c r="A24634" s="2" t="s">
        <v>202</v>
      </c>
    </row>
    <row r="24635" spans="1:1" ht="12.75">
      <c r="A24635" s="2" t="s">
        <v>203</v>
      </c>
    </row>
    <row r="24636" spans="1:1" ht="12.75">
      <c r="A24636" s="2" t="s">
        <v>203</v>
      </c>
    </row>
    <row r="24637" spans="1:1" ht="12.75">
      <c r="A24637" s="2" t="s">
        <v>203</v>
      </c>
    </row>
    <row r="24638" spans="1:1" ht="12.75">
      <c r="A24638" s="2" t="s">
        <v>203</v>
      </c>
    </row>
    <row r="24639" spans="1:1" ht="12.75">
      <c r="A24639" s="2" t="s">
        <v>203</v>
      </c>
    </row>
    <row r="24640" spans="1:1" ht="12.75">
      <c r="A24640" s="2" t="s">
        <v>203</v>
      </c>
    </row>
    <row r="24641" spans="1:1" ht="12.75">
      <c r="A24641" s="2" t="s">
        <v>203</v>
      </c>
    </row>
    <row r="24642" spans="1:1" ht="12.75">
      <c r="A24642" s="2" t="s">
        <v>203</v>
      </c>
    </row>
    <row r="24663" spans="1:1" ht="12.75">
      <c r="A24663" s="2" t="s">
        <v>645</v>
      </c>
    </row>
    <row r="24664" spans="1:1" ht="12.75">
      <c r="A24664" s="2" t="s">
        <v>645</v>
      </c>
    </row>
    <row r="24666" spans="1:1" ht="12.75">
      <c r="A24666" s="2" t="s">
        <v>218</v>
      </c>
    </row>
    <row r="24667" spans="1:1" ht="12.75">
      <c r="A24667" s="2" t="s">
        <v>219</v>
      </c>
    </row>
    <row r="24668" spans="1:1" ht="12.75">
      <c r="A24668" s="2" t="s">
        <v>219</v>
      </c>
    </row>
    <row r="24669" spans="1:1" ht="12.75">
      <c r="A24669" s="2" t="s">
        <v>219</v>
      </c>
    </row>
    <row r="24670" spans="1:1" ht="12.75">
      <c r="A24670" s="2" t="s">
        <v>219</v>
      </c>
    </row>
    <row r="24671" spans="1:1" ht="12.75">
      <c r="A24671" s="2" t="s">
        <v>219</v>
      </c>
    </row>
    <row r="24672" spans="1:1" ht="12.75">
      <c r="A24672" s="2" t="s">
        <v>219</v>
      </c>
    </row>
    <row r="24673" spans="1:1" ht="12.75">
      <c r="A24673" s="2" t="s">
        <v>219</v>
      </c>
    </row>
    <row r="24674" spans="1:1" ht="12.75">
      <c r="A24674" s="2" t="s">
        <v>219</v>
      </c>
    </row>
    <row r="24675" spans="1:1" ht="12.75">
      <c r="A24675" s="2" t="s">
        <v>377</v>
      </c>
    </row>
    <row r="24676" spans="1:1" ht="12.75">
      <c r="A24676" s="2" t="s">
        <v>958</v>
      </c>
    </row>
    <row r="24677" spans="1:1" ht="12.75">
      <c r="A24677" s="2" t="s">
        <v>959</v>
      </c>
    </row>
    <row r="24678" spans="1:1" ht="12.75">
      <c r="A24678" s="2" t="s">
        <v>285</v>
      </c>
    </row>
    <row r="24679" spans="1:1" ht="12.75">
      <c r="A24679" s="2" t="s">
        <v>960</v>
      </c>
    </row>
    <row r="24680" spans="1:1" ht="12.75">
      <c r="A24680" s="2" t="s">
        <v>959</v>
      </c>
    </row>
    <row r="24681" spans="1:1" ht="12.75">
      <c r="A24681" s="2" t="s">
        <v>296</v>
      </c>
    </row>
    <row r="24682" spans="1:1" ht="12.75">
      <c r="A24682" s="2" t="s">
        <v>955</v>
      </c>
    </row>
    <row r="24683" spans="1:1" ht="12.75">
      <c r="A24683" s="2" t="s">
        <v>954</v>
      </c>
    </row>
    <row r="24684" spans="1:1" ht="12.75">
      <c r="A24684" s="2" t="s">
        <v>296</v>
      </c>
    </row>
    <row r="24685" spans="1:1" ht="12.75">
      <c r="A24685" s="2" t="s">
        <v>289</v>
      </c>
    </row>
    <row r="24686" spans="1:1" ht="12.75">
      <c r="A24686" s="2" t="s">
        <v>289</v>
      </c>
    </row>
    <row r="24687" spans="1:1" ht="12.75">
      <c r="A24687" s="2" t="s">
        <v>291</v>
      </c>
    </row>
    <row r="24688" spans="1:1" ht="12.75">
      <c r="A24688" s="2" t="s">
        <v>291</v>
      </c>
    </row>
    <row r="24689" spans="1:1" ht="12.75">
      <c r="A24689" s="2" t="s">
        <v>708</v>
      </c>
    </row>
    <row r="24690" spans="1:1" ht="12.75">
      <c r="A24690" s="2" t="s">
        <v>296</v>
      </c>
    </row>
    <row r="24691" spans="1:1" ht="12.75">
      <c r="A24691" s="2" t="s">
        <v>299</v>
      </c>
    </row>
    <row r="24692" spans="1:1" ht="12.75">
      <c r="A24692" s="2" t="s">
        <v>299</v>
      </c>
    </row>
    <row r="24693" spans="1:1" ht="12.75">
      <c r="A24693" s="2" t="s">
        <v>292</v>
      </c>
    </row>
    <row r="24694" spans="1:1" ht="12.75">
      <c r="A24694" s="2" t="s">
        <v>292</v>
      </c>
    </row>
    <row r="24695" spans="1:1" ht="12.75">
      <c r="A24695" s="2" t="s">
        <v>694</v>
      </c>
    </row>
    <row r="24696" spans="1:1" ht="12.75">
      <c r="A24696" s="2" t="s">
        <v>694</v>
      </c>
    </row>
    <row r="24697" spans="1:1" ht="12.75">
      <c r="A24697" s="2" t="s">
        <v>750</v>
      </c>
    </row>
    <row r="24698" spans="1:1" ht="12.75">
      <c r="A24698" s="2" t="s">
        <v>750</v>
      </c>
    </row>
    <row r="24699" spans="1:1" ht="12.75">
      <c r="A24699" s="2" t="s">
        <v>750</v>
      </c>
    </row>
    <row r="24700" spans="1:1" ht="12.75">
      <c r="A24700" s="2" t="s">
        <v>750</v>
      </c>
    </row>
    <row r="24703" spans="1:1" ht="12.75">
      <c r="A24703" s="2" t="s">
        <v>265</v>
      </c>
    </row>
    <row r="24704" spans="1:1" ht="12.75">
      <c r="A24704" s="2" t="s">
        <v>319</v>
      </c>
    </row>
    <row r="24705" spans="1:1" ht="12.75">
      <c r="A24705" s="2" t="s">
        <v>265</v>
      </c>
    </row>
    <row r="24707" spans="1:1" ht="12.75">
      <c r="A24707" s="2" t="s">
        <v>265</v>
      </c>
    </row>
    <row r="24708" spans="1:1" ht="12.75">
      <c r="A24708" s="2" t="s">
        <v>265</v>
      </c>
    </row>
    <row r="24714" spans="1:1" ht="12.75">
      <c r="A24714" s="2" t="s">
        <v>319</v>
      </c>
    </row>
    <row r="24715" spans="1:1" ht="12.75">
      <c r="A24715" s="2" t="s">
        <v>256</v>
      </c>
    </row>
    <row r="24716" spans="1:1" ht="12.75">
      <c r="A24716" s="2" t="s">
        <v>256</v>
      </c>
    </row>
    <row r="24717" spans="1:1" ht="12.75">
      <c r="A24717" s="2" t="s">
        <v>252</v>
      </c>
    </row>
    <row r="24718" spans="1:1" ht="12.75">
      <c r="A24718" s="2" t="s">
        <v>252</v>
      </c>
    </row>
    <row r="24719" spans="1:1" ht="12.75">
      <c r="A24719" s="2" t="s">
        <v>516</v>
      </c>
    </row>
    <row r="24720" spans="1:1" ht="12.75">
      <c r="A24720" s="2" t="s">
        <v>516</v>
      </c>
    </row>
    <row r="24721" spans="1:1" ht="12.75">
      <c r="A24721" s="2" t="s">
        <v>516</v>
      </c>
    </row>
    <row r="24722" spans="1:1" ht="12.75">
      <c r="A24722" s="2" t="s">
        <v>516</v>
      </c>
    </row>
    <row r="24723" spans="1:1" ht="12.75">
      <c r="A24723" s="2" t="s">
        <v>516</v>
      </c>
    </row>
    <row r="24724" spans="1:1" ht="12.75">
      <c r="A24724" s="2" t="s">
        <v>516</v>
      </c>
    </row>
    <row r="24725" spans="1:1" ht="12.75">
      <c r="A24725" s="2" t="s">
        <v>769</v>
      </c>
    </row>
    <row r="24726" spans="1:1" ht="12.75">
      <c r="A24726" s="2" t="s">
        <v>769</v>
      </c>
    </row>
    <row r="24727" spans="1:1" ht="12.75">
      <c r="A24727" s="2" t="s">
        <v>254</v>
      </c>
    </row>
    <row r="24728" spans="1:1" ht="12.75">
      <c r="A24728" s="2" t="s">
        <v>254</v>
      </c>
    </row>
    <row r="24729" spans="1:1" ht="12.75">
      <c r="A24729" s="2" t="s">
        <v>256</v>
      </c>
    </row>
    <row r="24730" spans="1:1" ht="12.75">
      <c r="A24730" s="2" t="s">
        <v>256</v>
      </c>
    </row>
    <row r="24731" spans="1:1" ht="12.75">
      <c r="A24731" s="2" t="s">
        <v>256</v>
      </c>
    </row>
    <row r="24732" spans="1:1" ht="12.75">
      <c r="A24732" s="2" t="s">
        <v>253</v>
      </c>
    </row>
    <row r="24733" spans="1:1" ht="12.75">
      <c r="A24733" s="2" t="s">
        <v>769</v>
      </c>
    </row>
    <row r="24734" spans="1:1" ht="12.75">
      <c r="A24734" s="2" t="s">
        <v>769</v>
      </c>
    </row>
    <row r="24735" spans="1:1" ht="12.75">
      <c r="A24735" s="2" t="s">
        <v>296</v>
      </c>
    </row>
    <row r="24736" spans="1:1" ht="12.75">
      <c r="A24736" s="2" t="s">
        <v>296</v>
      </c>
    </row>
    <row r="24737" spans="1:1" ht="12.75">
      <c r="A24737" s="2" t="s">
        <v>708</v>
      </c>
    </row>
    <row r="24738" spans="1:1" ht="12.75">
      <c r="A24738" s="2" t="s">
        <v>299</v>
      </c>
    </row>
    <row r="24739" spans="1:1" ht="12.75">
      <c r="A24739" s="2" t="s">
        <v>761</v>
      </c>
    </row>
    <row r="24740" spans="1:1" ht="12.75">
      <c r="A24740" s="2" t="s">
        <v>761</v>
      </c>
    </row>
    <row r="24741" spans="1:1" ht="12.75">
      <c r="A24741" s="2" t="s">
        <v>762</v>
      </c>
    </row>
    <row r="24742" spans="1:1" ht="12.75">
      <c r="A24742" s="2" t="s">
        <v>762</v>
      </c>
    </row>
    <row r="24743" spans="1:1" ht="12.75">
      <c r="A24743" s="2" t="s">
        <v>293</v>
      </c>
    </row>
    <row r="24744" spans="1:1" ht="12.75">
      <c r="A24744" s="2" t="s">
        <v>299</v>
      </c>
    </row>
    <row r="24745" spans="1:1" ht="12.75">
      <c r="A24745" s="2" t="s">
        <v>293</v>
      </c>
    </row>
    <row r="24746" spans="1:1" ht="12.75">
      <c r="A24746" s="2" t="s">
        <v>293</v>
      </c>
    </row>
    <row r="24747" spans="1:1" ht="12.75">
      <c r="A24747" s="2" t="s">
        <v>288</v>
      </c>
    </row>
    <row r="24748" spans="1:1" ht="12.75">
      <c r="A24748" s="2" t="s">
        <v>288</v>
      </c>
    </row>
    <row r="24749" spans="1:1" ht="12.75">
      <c r="A24749" s="2" t="s">
        <v>292</v>
      </c>
    </row>
    <row r="24750" spans="1:1" ht="12.75">
      <c r="A24750" s="2" t="s">
        <v>292</v>
      </c>
    </row>
    <row r="24751" spans="1:1" ht="12.75">
      <c r="A24751" s="2" t="s">
        <v>298</v>
      </c>
    </row>
    <row r="24752" spans="1:1" ht="12.75">
      <c r="A24752" s="2" t="s">
        <v>708</v>
      </c>
    </row>
    <row r="24753" spans="1:1" ht="12.75">
      <c r="A24753" s="2" t="s">
        <v>297</v>
      </c>
    </row>
    <row r="24754" spans="1:1" ht="12.75">
      <c r="A24754" s="2" t="s">
        <v>297</v>
      </c>
    </row>
    <row r="24755" spans="1:1" ht="12.75">
      <c r="A24755" s="2" t="s">
        <v>289</v>
      </c>
    </row>
    <row r="24756" spans="1:1" ht="12.75">
      <c r="A24756" s="2" t="s">
        <v>289</v>
      </c>
    </row>
    <row r="24757" spans="1:1" ht="12.75">
      <c r="A24757" s="2" t="s">
        <v>767</v>
      </c>
    </row>
    <row r="24758" spans="1:1" ht="12.75">
      <c r="A24758" s="2" t="s">
        <v>758</v>
      </c>
    </row>
    <row r="24759" spans="1:1" ht="12.75">
      <c r="A24759" s="2" t="s">
        <v>758</v>
      </c>
    </row>
    <row r="24760" spans="1:1" ht="12.75">
      <c r="A24760" s="2" t="s">
        <v>758</v>
      </c>
    </row>
    <row r="24761" spans="1:1" ht="12.75">
      <c r="A24761" s="2" t="s">
        <v>758</v>
      </c>
    </row>
    <row r="24762" spans="1:1" ht="12.75">
      <c r="A24762" s="2" t="s">
        <v>758</v>
      </c>
    </row>
    <row r="24763" spans="1:1" ht="12.75">
      <c r="A24763" s="2" t="s">
        <v>758</v>
      </c>
    </row>
    <row r="24764" spans="1:1" ht="12.75">
      <c r="A24764" s="2" t="s">
        <v>758</v>
      </c>
    </row>
    <row r="24765" spans="1:1" ht="12.75">
      <c r="A24765" s="2" t="s">
        <v>299</v>
      </c>
    </row>
    <row r="24766" spans="1:1" ht="12.75">
      <c r="A24766" s="2" t="s">
        <v>297</v>
      </c>
    </row>
    <row r="24767" spans="1:1" ht="12.75">
      <c r="A24767" s="2" t="s">
        <v>293</v>
      </c>
    </row>
    <row r="24768" spans="1:1" ht="12.75">
      <c r="A24768" s="2" t="s">
        <v>293</v>
      </c>
    </row>
    <row r="24769" spans="1:1" ht="12.75">
      <c r="A24769" s="2" t="s">
        <v>288</v>
      </c>
    </row>
    <row r="24770" spans="1:1" ht="12.75">
      <c r="A24770" s="2" t="s">
        <v>293</v>
      </c>
    </row>
    <row r="24771" spans="1:1" ht="12.75">
      <c r="A24771" s="2" t="s">
        <v>298</v>
      </c>
    </row>
    <row r="24772" spans="1:1" ht="12.75">
      <c r="A24772" s="2" t="s">
        <v>298</v>
      </c>
    </row>
    <row r="24773" spans="1:1" ht="12.75">
      <c r="A24773" s="2" t="s">
        <v>297</v>
      </c>
    </row>
    <row r="24774" spans="1:1" ht="12.75">
      <c r="A24774" s="2" t="s">
        <v>297</v>
      </c>
    </row>
    <row r="24775" spans="1:1" ht="12.75">
      <c r="A24775" s="2" t="s">
        <v>292</v>
      </c>
    </row>
    <row r="24776" spans="1:1" ht="12.75">
      <c r="A24776" s="2" t="s">
        <v>292</v>
      </c>
    </row>
    <row r="24777" spans="1:1" ht="12.75">
      <c r="A24777" s="2" t="s">
        <v>292</v>
      </c>
    </row>
    <row r="24778" spans="1:1" ht="12.75">
      <c r="A24778" s="2" t="s">
        <v>292</v>
      </c>
    </row>
    <row r="24779" spans="1:1" ht="12.75">
      <c r="A24779" s="2" t="s">
        <v>291</v>
      </c>
    </row>
    <row r="24780" spans="1:1" ht="12.75">
      <c r="A24780" s="2" t="s">
        <v>291</v>
      </c>
    </row>
    <row r="24781" spans="1:1" ht="12.75">
      <c r="A24781" s="2" t="s">
        <v>291</v>
      </c>
    </row>
    <row r="24782" spans="1:1" ht="12.75">
      <c r="A24782" s="2" t="s">
        <v>291</v>
      </c>
    </row>
    <row r="24783" spans="1:1" ht="12.75">
      <c r="A24783" s="2" t="s">
        <v>289</v>
      </c>
    </row>
    <row r="24784" spans="1:1" ht="12.75">
      <c r="A24784" s="2" t="s">
        <v>289</v>
      </c>
    </row>
    <row r="24785" spans="1:1" ht="12.75">
      <c r="A24785" s="2" t="s">
        <v>289</v>
      </c>
    </row>
    <row r="24786" spans="1:1" ht="12.75">
      <c r="A24786" s="2" t="s">
        <v>289</v>
      </c>
    </row>
    <row r="24787" spans="1:1" ht="12.75">
      <c r="A24787" s="2" t="s">
        <v>290</v>
      </c>
    </row>
    <row r="24788" spans="1:1" ht="12.75">
      <c r="A24788" s="2" t="s">
        <v>290</v>
      </c>
    </row>
    <row r="24789" spans="1:1" ht="12.75">
      <c r="A24789" s="2" t="s">
        <v>290</v>
      </c>
    </row>
    <row r="24790" spans="1:1" ht="12.75">
      <c r="A24790" s="2" t="s">
        <v>290</v>
      </c>
    </row>
    <row r="24791" spans="1:1" ht="12.75">
      <c r="A24791" s="2" t="s">
        <v>762</v>
      </c>
    </row>
    <row r="24792" spans="1:1" ht="12.75">
      <c r="A24792" s="2" t="s">
        <v>762</v>
      </c>
    </row>
    <row r="24793" spans="1:1" ht="12.75">
      <c r="A24793" s="2" t="s">
        <v>961</v>
      </c>
    </row>
    <row r="24794" spans="1:1" ht="12.75">
      <c r="A24794" s="2" t="s">
        <v>961</v>
      </c>
    </row>
    <row r="24795" spans="1:1" ht="12.75">
      <c r="A24795" s="2" t="s">
        <v>962</v>
      </c>
    </row>
    <row r="24796" spans="1:1" ht="12.75">
      <c r="A24796" s="2" t="s">
        <v>962</v>
      </c>
    </row>
    <row r="24797" spans="1:1" ht="12.75">
      <c r="A24797" s="2" t="s">
        <v>962</v>
      </c>
    </row>
    <row r="24798" spans="1:1" ht="12.75">
      <c r="A24798" s="2" t="s">
        <v>708</v>
      </c>
    </row>
    <row r="24799" spans="1:1" ht="12.75">
      <c r="A24799" s="2" t="s">
        <v>293</v>
      </c>
    </row>
    <row r="24800" spans="1:1" ht="12.75">
      <c r="A24800" s="2" t="s">
        <v>290</v>
      </c>
    </row>
    <row r="24801" spans="1:1" ht="12.75">
      <c r="A24801" s="2" t="s">
        <v>958</v>
      </c>
    </row>
    <row r="24802" spans="1:1" ht="12.75">
      <c r="A24802" s="2" t="s">
        <v>762</v>
      </c>
    </row>
    <row r="24803" spans="1:1" ht="12.75">
      <c r="A24803" s="2" t="s">
        <v>292</v>
      </c>
    </row>
    <row r="24804" spans="1:1" ht="12.75">
      <c r="A24804" s="2" t="s">
        <v>762</v>
      </c>
    </row>
    <row r="24805" spans="1:1" ht="12.75">
      <c r="A24805" s="2" t="s">
        <v>292</v>
      </c>
    </row>
    <row r="24806" spans="1:1" ht="12.75">
      <c r="A24806" s="2" t="s">
        <v>296</v>
      </c>
    </row>
    <row r="24807" spans="1:1" ht="12.75">
      <c r="A24807" s="2" t="s">
        <v>299</v>
      </c>
    </row>
    <row r="24808" spans="1:1" ht="12.75">
      <c r="A24808" s="2" t="s">
        <v>298</v>
      </c>
    </row>
    <row r="24809" spans="1:1" ht="12.75">
      <c r="A24809" s="2" t="s">
        <v>299</v>
      </c>
    </row>
    <row r="24810" spans="1:1" ht="12.75">
      <c r="A24810" s="2" t="s">
        <v>298</v>
      </c>
    </row>
    <row r="24811" spans="1:1" ht="12.75">
      <c r="A24811" s="2" t="s">
        <v>290</v>
      </c>
    </row>
    <row r="24812" spans="1:1" ht="12.75">
      <c r="A24812" s="2" t="s">
        <v>291</v>
      </c>
    </row>
    <row r="24813" spans="1:1" ht="12.75">
      <c r="A24813" s="2" t="s">
        <v>954</v>
      </c>
    </row>
    <row r="24814" spans="1:1" ht="12.75">
      <c r="A24814" s="2" t="s">
        <v>291</v>
      </c>
    </row>
    <row r="24815" spans="1:1" ht="12.75">
      <c r="A24815" s="2" t="s">
        <v>954</v>
      </c>
    </row>
    <row r="24816" spans="1:1" ht="12.75">
      <c r="A24816" s="2" t="s">
        <v>289</v>
      </c>
    </row>
    <row r="24817" spans="1:1" ht="12.75">
      <c r="A24817" s="2" t="s">
        <v>961</v>
      </c>
    </row>
    <row r="24818" spans="1:1" ht="12.75">
      <c r="A24818" s="2" t="s">
        <v>289</v>
      </c>
    </row>
    <row r="24819" spans="1:1" ht="12.75">
      <c r="A24819" s="2" t="s">
        <v>768</v>
      </c>
    </row>
    <row r="24820" spans="1:1" ht="12.75">
      <c r="A24820" s="2" t="s">
        <v>768</v>
      </c>
    </row>
    <row r="24821" spans="1:1" ht="12.75">
      <c r="A24821" s="2" t="s">
        <v>768</v>
      </c>
    </row>
    <row r="24822" spans="1:1" ht="12.75">
      <c r="A24822" s="2" t="s">
        <v>768</v>
      </c>
    </row>
    <row r="24823" spans="1:1" ht="12.75">
      <c r="A24823" s="2" t="s">
        <v>768</v>
      </c>
    </row>
    <row r="24824" spans="1:1" ht="12.75">
      <c r="A24824" s="2" t="s">
        <v>768</v>
      </c>
    </row>
    <row r="24825" spans="1:1" ht="12.75">
      <c r="A24825" s="2" t="s">
        <v>768</v>
      </c>
    </row>
    <row r="24826" spans="1:1" ht="12.75">
      <c r="A24826" s="2" t="s">
        <v>768</v>
      </c>
    </row>
    <row r="24827" spans="1:1" ht="12.75">
      <c r="A24827" s="2" t="s">
        <v>768</v>
      </c>
    </row>
    <row r="24828" spans="1:1" ht="12.75">
      <c r="A24828" s="2" t="s">
        <v>768</v>
      </c>
    </row>
    <row r="24829" spans="1:1" ht="12.75">
      <c r="A24829" s="2" t="s">
        <v>578</v>
      </c>
    </row>
    <row r="24830" spans="1:1" ht="12.75">
      <c r="A24830" s="2" t="s">
        <v>963</v>
      </c>
    </row>
    <row r="24831" spans="1:1" ht="12.75">
      <c r="A24831" s="2" t="s">
        <v>963</v>
      </c>
    </row>
    <row r="24833" spans="1:1" ht="12.75">
      <c r="A24833" s="2" t="s">
        <v>768</v>
      </c>
    </row>
    <row r="24834" spans="1:1" ht="12.75">
      <c r="A24834" s="2" t="s">
        <v>768</v>
      </c>
    </row>
    <row r="24835" spans="1:1" ht="12.75">
      <c r="A24835" s="2" t="s">
        <v>768</v>
      </c>
    </row>
    <row r="24836" spans="1:1" ht="12.75">
      <c r="A24836" s="2" t="s">
        <v>768</v>
      </c>
    </row>
    <row r="24838" spans="1:1" ht="12.75">
      <c r="A24838" s="2" t="s">
        <v>963</v>
      </c>
    </row>
    <row r="24839" spans="1:1" ht="12.75">
      <c r="A24839" s="2" t="s">
        <v>963</v>
      </c>
    </row>
    <row r="24840" spans="1:1" ht="12.75">
      <c r="A24840" s="2" t="s">
        <v>963</v>
      </c>
    </row>
    <row r="24841" spans="1:1" ht="12.75">
      <c r="A24841" s="2" t="s">
        <v>963</v>
      </c>
    </row>
    <row r="24842" spans="1:1" ht="12.75">
      <c r="A24842" s="2" t="s">
        <v>964</v>
      </c>
    </row>
    <row r="24843" spans="1:1" ht="12.75">
      <c r="A24843" s="2" t="s">
        <v>963</v>
      </c>
    </row>
    <row r="24844" spans="1:1" ht="12.75">
      <c r="A24844" s="2" t="s">
        <v>963</v>
      </c>
    </row>
    <row r="24845" spans="1:1" ht="12.75">
      <c r="A24845" s="2" t="s">
        <v>963</v>
      </c>
    </row>
    <row r="24846" spans="1:1" ht="12.75">
      <c r="A24846" s="2" t="s">
        <v>963</v>
      </c>
    </row>
    <row r="24847" spans="1:1" ht="12.75">
      <c r="A24847" s="2" t="s">
        <v>768</v>
      </c>
    </row>
    <row r="24848" spans="1:1" ht="12.75">
      <c r="A24848" s="2" t="s">
        <v>768</v>
      </c>
    </row>
    <row r="24850" spans="1:1" ht="12.75">
      <c r="A24850" s="2" t="s">
        <v>768</v>
      </c>
    </row>
    <row r="24851" spans="1:1" ht="12.75">
      <c r="A24851" s="2" t="s">
        <v>768</v>
      </c>
    </row>
    <row r="24852" spans="1:1" ht="12.75">
      <c r="A24852" s="2" t="s">
        <v>768</v>
      </c>
    </row>
    <row r="24853" spans="1:1" ht="12.75">
      <c r="A24853" s="2" t="s">
        <v>768</v>
      </c>
    </row>
    <row r="24854" spans="1:1" ht="12.75">
      <c r="A24854" s="2" t="s">
        <v>768</v>
      </c>
    </row>
    <row r="24855" spans="1:1" ht="12.75">
      <c r="A24855" s="2" t="s">
        <v>218</v>
      </c>
    </row>
    <row r="24856" spans="1:1" ht="12.75">
      <c r="A24856" s="2" t="s">
        <v>965</v>
      </c>
    </row>
    <row r="24857" spans="1:1" ht="12.75">
      <c r="A24857" s="2" t="s">
        <v>219</v>
      </c>
    </row>
    <row r="24858" spans="1:1" ht="12.75">
      <c r="A24858" s="2" t="s">
        <v>218</v>
      </c>
    </row>
    <row r="24859" spans="1:1" ht="12.75">
      <c r="A24859" s="2" t="s">
        <v>218</v>
      </c>
    </row>
    <row r="24860" spans="1:1" ht="12.75">
      <c r="A24860" s="2" t="s">
        <v>218</v>
      </c>
    </row>
    <row r="24861" spans="1:1" ht="12.75">
      <c r="A24861" s="2" t="s">
        <v>218</v>
      </c>
    </row>
    <row r="24862" spans="1:1" ht="12.75">
      <c r="A24862" s="2" t="s">
        <v>218</v>
      </c>
    </row>
    <row r="24863" spans="1:1" ht="12.75">
      <c r="A24863" s="2" t="s">
        <v>218</v>
      </c>
    </row>
    <row r="24864" spans="1:1" ht="12.75">
      <c r="A24864" s="2" t="s">
        <v>218</v>
      </c>
    </row>
    <row r="24865" spans="1:1" ht="12.75">
      <c r="A24865" s="2" t="s">
        <v>297</v>
      </c>
    </row>
    <row r="24866" spans="1:1" ht="12.75">
      <c r="A24866" s="2" t="s">
        <v>292</v>
      </c>
    </row>
    <row r="24867" spans="1:1" ht="12.75">
      <c r="A24867" s="2" t="s">
        <v>296</v>
      </c>
    </row>
    <row r="24868" spans="1:1" ht="12.75">
      <c r="A24868" s="2" t="s">
        <v>957</v>
      </c>
    </row>
    <row r="24869" spans="1:1" ht="12.75">
      <c r="A24869" s="2" t="s">
        <v>296</v>
      </c>
    </row>
    <row r="24870" spans="1:1" ht="12.75">
      <c r="A24870" s="2" t="s">
        <v>961</v>
      </c>
    </row>
    <row r="24871" spans="1:1" ht="12.75">
      <c r="A24871" s="2" t="s">
        <v>293</v>
      </c>
    </row>
    <row r="24872" spans="1:1" ht="12.75">
      <c r="A24872" s="2" t="s">
        <v>293</v>
      </c>
    </row>
    <row r="24873" spans="1:1" ht="12.75">
      <c r="A24873" s="2" t="s">
        <v>290</v>
      </c>
    </row>
    <row r="24874" spans="1:1" ht="12.75">
      <c r="A24874" s="2" t="s">
        <v>290</v>
      </c>
    </row>
    <row r="24875" spans="1:1" ht="12.75">
      <c r="A24875" s="2" t="s">
        <v>289</v>
      </c>
    </row>
    <row r="24876" spans="1:1" ht="12.75">
      <c r="A24876" s="2" t="s">
        <v>957</v>
      </c>
    </row>
    <row r="24877" spans="1:1" ht="12.75">
      <c r="A24877" s="2" t="s">
        <v>291</v>
      </c>
    </row>
    <row r="24878" spans="1:1" ht="12.75">
      <c r="A24878" s="2" t="s">
        <v>291</v>
      </c>
    </row>
    <row r="24879" spans="1:1" ht="12.75">
      <c r="A24879" s="2" t="s">
        <v>708</v>
      </c>
    </row>
    <row r="24880" spans="1:1" ht="12.75">
      <c r="A24880" s="2" t="s">
        <v>962</v>
      </c>
    </row>
    <row r="24881" spans="1:1" ht="12.75">
      <c r="A24881" s="2" t="s">
        <v>467</v>
      </c>
    </row>
    <row r="24882" spans="1:1" ht="12.75">
      <c r="A24882" s="2" t="s">
        <v>298</v>
      </c>
    </row>
    <row r="24883" spans="1:1" ht="12.75">
      <c r="A24883" s="2" t="s">
        <v>297</v>
      </c>
    </row>
    <row r="24884" spans="1:1" ht="12.75">
      <c r="A24884" s="2" t="s">
        <v>297</v>
      </c>
    </row>
    <row r="24885" spans="1:1" ht="12.75">
      <c r="A24885" s="2" t="s">
        <v>292</v>
      </c>
    </row>
    <row r="24887" spans="1:1" ht="12.75">
      <c r="A24887" s="2" t="s">
        <v>467</v>
      </c>
    </row>
    <row r="24888" spans="1:1" ht="12.75">
      <c r="A24888" s="2" t="s">
        <v>957</v>
      </c>
    </row>
    <row r="24889" spans="1:1" ht="12.75">
      <c r="A24889" s="2" t="s">
        <v>290</v>
      </c>
    </row>
    <row r="24890" spans="1:1" ht="12.75">
      <c r="A24890" s="2" t="s">
        <v>708</v>
      </c>
    </row>
    <row r="24891" spans="1:1" ht="12.75">
      <c r="A24891" s="2" t="s">
        <v>957</v>
      </c>
    </row>
    <row r="24892" spans="1:1" ht="12.75">
      <c r="A24892" s="2" t="s">
        <v>957</v>
      </c>
    </row>
    <row r="24893" spans="1:1" ht="12.75">
      <c r="A24893" s="2" t="s">
        <v>319</v>
      </c>
    </row>
    <row r="24894" spans="1:1" ht="12.75">
      <c r="A24894" s="2" t="s">
        <v>318</v>
      </c>
    </row>
    <row r="24895" spans="1:1" ht="12.75">
      <c r="A24895" s="2" t="s">
        <v>516</v>
      </c>
    </row>
    <row r="24896" spans="1:1" ht="12.75">
      <c r="A24896" s="2" t="s">
        <v>254</v>
      </c>
    </row>
    <row r="24897" spans="1:1" ht="12.75">
      <c r="A24897" s="2" t="s">
        <v>957</v>
      </c>
    </row>
    <row r="24898" spans="1:1" ht="12.75">
      <c r="A24898" s="2" t="s">
        <v>966</v>
      </c>
    </row>
    <row r="24899" spans="1:1" ht="12.75">
      <c r="A24899" s="2" t="s">
        <v>962</v>
      </c>
    </row>
    <row r="24900" spans="1:1" ht="12.75">
      <c r="A24900" s="2" t="s">
        <v>957</v>
      </c>
    </row>
    <row r="24901" spans="1:1" ht="12.75">
      <c r="A24901" s="2" t="s">
        <v>708</v>
      </c>
    </row>
    <row r="24902" spans="1:1" ht="12.75">
      <c r="A24902" s="2" t="s">
        <v>708</v>
      </c>
    </row>
    <row r="24903" spans="1:1" ht="12.75">
      <c r="A24903" s="2" t="s">
        <v>289</v>
      </c>
    </row>
    <row r="24904" spans="1:1" ht="12.75">
      <c r="A24904" s="2" t="s">
        <v>289</v>
      </c>
    </row>
    <row r="24905" spans="1:1" ht="12.75">
      <c r="A24905" s="2" t="s">
        <v>290</v>
      </c>
    </row>
    <row r="24906" spans="1:1" ht="12.75">
      <c r="A24906" s="2" t="s">
        <v>290</v>
      </c>
    </row>
    <row r="24907" spans="1:1" ht="12.75">
      <c r="A24907" s="2" t="s">
        <v>708</v>
      </c>
    </row>
    <row r="24908" spans="1:1" ht="12.75">
      <c r="A24908" s="2" t="s">
        <v>967</v>
      </c>
    </row>
    <row r="24909" spans="1:1" ht="12.75">
      <c r="A24909" s="2" t="s">
        <v>291</v>
      </c>
    </row>
    <row r="24910" spans="1:1" ht="12.75">
      <c r="A24910" s="2" t="s">
        <v>291</v>
      </c>
    </row>
    <row r="24911" spans="1:1" ht="12.75">
      <c r="A24911" s="2" t="s">
        <v>968</v>
      </c>
    </row>
    <row r="24912" spans="1:1" ht="12.75">
      <c r="A24912" s="2" t="s">
        <v>708</v>
      </c>
    </row>
    <row r="24913" spans="1:1" ht="12.75">
      <c r="A24913" s="2" t="s">
        <v>768</v>
      </c>
    </row>
    <row r="24914" spans="1:1" ht="12.75">
      <c r="A24914" s="2" t="s">
        <v>963</v>
      </c>
    </row>
    <row r="24915" spans="1:1" ht="12.75">
      <c r="A24915" s="2" t="s">
        <v>768</v>
      </c>
    </row>
    <row r="24916" spans="1:1" ht="12.75">
      <c r="A24916" s="2" t="s">
        <v>768</v>
      </c>
    </row>
    <row r="24917" spans="1:1" ht="12.75">
      <c r="A24917" s="2" t="s">
        <v>319</v>
      </c>
    </row>
    <row r="24918" spans="1:1" ht="12.75">
      <c r="A24918" s="2" t="s">
        <v>318</v>
      </c>
    </row>
    <row r="24919" spans="1:1" ht="12.75">
      <c r="A24919" s="2" t="s">
        <v>265</v>
      </c>
    </row>
    <row r="24920" spans="1:1" ht="12.75">
      <c r="A24920" s="2" t="s">
        <v>319</v>
      </c>
    </row>
    <row r="24921" spans="1:1" ht="12.75">
      <c r="A24921" s="2" t="s">
        <v>319</v>
      </c>
    </row>
    <row r="24922" spans="1:1" ht="12.75">
      <c r="A24922" s="2" t="s">
        <v>319</v>
      </c>
    </row>
    <row r="24923" spans="1:1" ht="12.75">
      <c r="A24923" s="2" t="s">
        <v>252</v>
      </c>
    </row>
    <row r="24924" spans="1:1" ht="12.75">
      <c r="A24924" s="2" t="s">
        <v>252</v>
      </c>
    </row>
    <row r="24925" spans="1:1" ht="12.75">
      <c r="A24925" s="2" t="s">
        <v>256</v>
      </c>
    </row>
    <row r="24926" spans="1:1" ht="12.75">
      <c r="A24926" s="2" t="s">
        <v>516</v>
      </c>
    </row>
    <row r="24927" spans="1:1" ht="12.75">
      <c r="A24927" s="2" t="s">
        <v>254</v>
      </c>
    </row>
    <row r="24928" spans="1:1" ht="12.75">
      <c r="A24928" s="2" t="s">
        <v>254</v>
      </c>
    </row>
    <row r="24930" spans="1:1" ht="12.75">
      <c r="A24930" s="2" t="s">
        <v>516</v>
      </c>
    </row>
    <row r="24931" spans="1:1" ht="12.75">
      <c r="A24931" s="2" t="s">
        <v>254</v>
      </c>
    </row>
    <row r="24932" spans="1:1" ht="12.75">
      <c r="A24932" s="2" t="s">
        <v>254</v>
      </c>
    </row>
    <row r="24933" spans="1:1" ht="12.75">
      <c r="A24933" s="2" t="s">
        <v>769</v>
      </c>
    </row>
    <row r="24934" spans="1:1" ht="12.75">
      <c r="A24934" s="2" t="s">
        <v>769</v>
      </c>
    </row>
    <row r="24935" spans="1:1" ht="12.75">
      <c r="A24935" s="2" t="s">
        <v>378</v>
      </c>
    </row>
    <row r="24936" spans="1:1" ht="12.75">
      <c r="A24936" s="2" t="s">
        <v>378</v>
      </c>
    </row>
    <row r="24937" spans="1:1" ht="12.75">
      <c r="A24937" s="2" t="s">
        <v>264</v>
      </c>
    </row>
    <row r="24938" spans="1:1" ht="12.75">
      <c r="A24938" s="2" t="s">
        <v>264</v>
      </c>
    </row>
    <row r="24939" spans="1:1" ht="12.75">
      <c r="A24939" s="2" t="s">
        <v>264</v>
      </c>
    </row>
    <row r="24940" spans="1:1" ht="12.75">
      <c r="A24940" s="2" t="s">
        <v>264</v>
      </c>
    </row>
    <row r="24941" spans="1:1" ht="12.75">
      <c r="A24941" s="2" t="s">
        <v>264</v>
      </c>
    </row>
    <row r="24942" spans="1:1" ht="12.75">
      <c r="A24942" s="2" t="s">
        <v>264</v>
      </c>
    </row>
    <row r="24943" spans="1:1" ht="12.75">
      <c r="A24943" s="2" t="s">
        <v>969</v>
      </c>
    </row>
    <row r="24944" spans="1:1" ht="12.75">
      <c r="A24944" s="2" t="s">
        <v>264</v>
      </c>
    </row>
    <row r="24945" spans="1:1" ht="12.75">
      <c r="A24945" s="2" t="s">
        <v>264</v>
      </c>
    </row>
    <row r="24946" spans="1:1" ht="12.75">
      <c r="A24946" s="2" t="s">
        <v>264</v>
      </c>
    </row>
    <row r="24947" spans="1:1" ht="12.75">
      <c r="A24947" s="2" t="s">
        <v>378</v>
      </c>
    </row>
    <row r="24948" spans="1:1" ht="12.75">
      <c r="A24948" s="2" t="s">
        <v>970</v>
      </c>
    </row>
    <row r="24949" spans="1:1" ht="12.75">
      <c r="A24949" s="2" t="s">
        <v>264</v>
      </c>
    </row>
    <row r="24950" spans="1:1" ht="12.75">
      <c r="A24950" s="2" t="s">
        <v>264</v>
      </c>
    </row>
    <row r="24951" spans="1:1" ht="12.75">
      <c r="A24951" s="2" t="s">
        <v>378</v>
      </c>
    </row>
    <row r="24952" spans="1:1" ht="12.75">
      <c r="A24952" s="2" t="s">
        <v>378</v>
      </c>
    </row>
    <row r="24953" spans="1:1" ht="12.75">
      <c r="A24953" s="2" t="s">
        <v>264</v>
      </c>
    </row>
    <row r="24954" spans="1:1" ht="12.75">
      <c r="A24954" s="2" t="s">
        <v>264</v>
      </c>
    </row>
    <row r="24955" spans="1:1" ht="12.75">
      <c r="A24955" s="2" t="s">
        <v>252</v>
      </c>
    </row>
    <row r="24956" spans="1:1" ht="12.75">
      <c r="A24956" s="2" t="s">
        <v>252</v>
      </c>
    </row>
    <row r="24957" spans="1:1" ht="12.75">
      <c r="A24957" s="2" t="s">
        <v>256</v>
      </c>
    </row>
    <row r="24958" spans="1:1" ht="12.75">
      <c r="A24958" s="2" t="s">
        <v>256</v>
      </c>
    </row>
    <row r="24959" spans="1:1" ht="12.75">
      <c r="A24959" s="2" t="s">
        <v>254</v>
      </c>
    </row>
    <row r="24960" spans="1:1" ht="12.75">
      <c r="A24960" s="2" t="s">
        <v>254</v>
      </c>
    </row>
    <row r="24961" spans="1:1" ht="12.75">
      <c r="A24961" s="2" t="s">
        <v>769</v>
      </c>
    </row>
    <row r="24962" spans="1:1" ht="12.75">
      <c r="A24962" s="2" t="s">
        <v>769</v>
      </c>
    </row>
    <row r="24963" spans="1:1" ht="12.75">
      <c r="A24963" s="2" t="s">
        <v>256</v>
      </c>
    </row>
    <row r="24964" spans="1:1" ht="12.75">
      <c r="A24964" s="2" t="s">
        <v>256</v>
      </c>
    </row>
    <row r="24965" spans="1:1" ht="12.75">
      <c r="A24965" s="2" t="s">
        <v>757</v>
      </c>
    </row>
    <row r="24966" spans="1:1" ht="12.75">
      <c r="A24966" s="2" t="s">
        <v>757</v>
      </c>
    </row>
    <row r="24967" spans="1:1" ht="12.75">
      <c r="A24967" s="2" t="s">
        <v>757</v>
      </c>
    </row>
    <row r="24968" spans="1:1" ht="12.75">
      <c r="A24968" s="2" t="s">
        <v>757</v>
      </c>
    </row>
    <row r="24969" spans="1:1" ht="12.75">
      <c r="A24969" s="2" t="s">
        <v>757</v>
      </c>
    </row>
    <row r="24970" spans="1:1" ht="12.75">
      <c r="A24970" s="2" t="s">
        <v>757</v>
      </c>
    </row>
    <row r="24971" spans="1:1" ht="12.75">
      <c r="A24971" s="2" t="s">
        <v>758</v>
      </c>
    </row>
    <row r="24972" spans="1:1" ht="12.75">
      <c r="A24972" s="2" t="s">
        <v>758</v>
      </c>
    </row>
    <row r="24973" spans="1:1" ht="12.75">
      <c r="A24973" s="2" t="s">
        <v>758</v>
      </c>
    </row>
    <row r="24974" spans="1:1" ht="12.75">
      <c r="A24974" s="2" t="s">
        <v>758</v>
      </c>
    </row>
    <row r="24975" spans="1:1" ht="12.75">
      <c r="A24975" s="2" t="s">
        <v>758</v>
      </c>
    </row>
    <row r="24976" spans="1:1" ht="12.75">
      <c r="A24976" s="2" t="s">
        <v>758</v>
      </c>
    </row>
    <row r="24977" spans="1:1" ht="12.75">
      <c r="A24977" s="2" t="s">
        <v>757</v>
      </c>
    </row>
    <row r="24978" spans="1:1" ht="12.75">
      <c r="A24978" s="2" t="s">
        <v>757</v>
      </c>
    </row>
    <row r="24979" spans="1:1" ht="12.75">
      <c r="A24979" s="2" t="s">
        <v>758</v>
      </c>
    </row>
    <row r="24980" spans="1:1" ht="12.75">
      <c r="A24980" s="2" t="s">
        <v>758</v>
      </c>
    </row>
    <row r="24981" spans="1:1" ht="12.75">
      <c r="A24981" s="2" t="s">
        <v>298</v>
      </c>
    </row>
    <row r="24982" spans="1:1" ht="12.75">
      <c r="A24982" s="2" t="s">
        <v>971</v>
      </c>
    </row>
    <row r="24983" spans="1:1" ht="12.75">
      <c r="A24983" s="2" t="s">
        <v>694</v>
      </c>
    </row>
    <row r="24984" spans="1:1" ht="12.75">
      <c r="A24984" s="2" t="s">
        <v>694</v>
      </c>
    </row>
    <row r="24985" spans="1:1" ht="12.75">
      <c r="A24985" s="2" t="s">
        <v>750</v>
      </c>
    </row>
    <row r="24986" spans="1:1" ht="12.75">
      <c r="A24986" s="2" t="s">
        <v>299</v>
      </c>
    </row>
    <row r="24987" spans="1:1" ht="12.75">
      <c r="A24987" s="2" t="s">
        <v>757</v>
      </c>
    </row>
    <row r="24988" spans="1:1" ht="12.75">
      <c r="A24988" s="2" t="s">
        <v>757</v>
      </c>
    </row>
    <row r="24989" spans="1:1" ht="12.75">
      <c r="A24989" s="2" t="s">
        <v>758</v>
      </c>
    </row>
    <row r="24990" spans="1:1" ht="12.75">
      <c r="A24990" s="2" t="s">
        <v>758</v>
      </c>
    </row>
    <row r="24991" spans="1:1" ht="12.75">
      <c r="A24991" s="2" t="s">
        <v>299</v>
      </c>
    </row>
    <row r="24992" spans="1:1" ht="12.75">
      <c r="A24992" s="2" t="s">
        <v>299</v>
      </c>
    </row>
    <row r="24993" spans="1:1" ht="12.75">
      <c r="A24993" s="2" t="s">
        <v>293</v>
      </c>
    </row>
    <row r="24994" spans="1:1" ht="12.75">
      <c r="A24994" s="2" t="s">
        <v>296</v>
      </c>
    </row>
    <row r="24995" spans="1:1" ht="12.75">
      <c r="A24995" s="2" t="s">
        <v>291</v>
      </c>
    </row>
    <row r="24996" spans="1:1" ht="12.75">
      <c r="A24996" s="2" t="s">
        <v>291</v>
      </c>
    </row>
    <row r="24997" spans="1:1" ht="12.75">
      <c r="A24997" s="2" t="s">
        <v>289</v>
      </c>
    </row>
    <row r="24998" spans="1:1" ht="12.75">
      <c r="A24998" s="2" t="s">
        <v>290</v>
      </c>
    </row>
    <row r="24999" spans="1:1" ht="12.75">
      <c r="A24999" s="2" t="s">
        <v>289</v>
      </c>
    </row>
    <row r="25000" spans="1:1" ht="12.75">
      <c r="A25000" s="2" t="s">
        <v>289</v>
      </c>
    </row>
    <row r="25001" spans="1:1" ht="12.75">
      <c r="A25001" s="2" t="s">
        <v>298</v>
      </c>
    </row>
    <row r="25002" spans="1:1" ht="12.75">
      <c r="A25002" s="2" t="s">
        <v>959</v>
      </c>
    </row>
    <row r="25003" spans="1:1" ht="12.75">
      <c r="A25003" s="2" t="s">
        <v>292</v>
      </c>
    </row>
    <row r="25004" spans="1:1" ht="12.75">
      <c r="A25004" s="2" t="s">
        <v>292</v>
      </c>
    </row>
    <row r="25005" spans="1:1" ht="12.75">
      <c r="A25005" s="2" t="s">
        <v>761</v>
      </c>
    </row>
    <row r="25006" spans="1:1" ht="12.75">
      <c r="A25006" s="2" t="s">
        <v>957</v>
      </c>
    </row>
    <row r="25007" spans="1:1" ht="12.75">
      <c r="A25007" s="2" t="s">
        <v>762</v>
      </c>
    </row>
    <row r="25008" spans="1:1" ht="12.75">
      <c r="A25008" s="2" t="s">
        <v>762</v>
      </c>
    </row>
    <row r="25009" spans="1:1" ht="12.75">
      <c r="A25009" s="2" t="s">
        <v>972</v>
      </c>
    </row>
    <row r="25010" spans="1:1" ht="12.75">
      <c r="A25010" s="2" t="s">
        <v>954</v>
      </c>
    </row>
    <row r="25011" spans="1:1" ht="12.75">
      <c r="A25011" s="2" t="s">
        <v>959</v>
      </c>
    </row>
    <row r="25012" spans="1:1" ht="12.75">
      <c r="A25012" s="2" t="s">
        <v>973</v>
      </c>
    </row>
    <row r="25013" spans="1:1" ht="12.75">
      <c r="A25013" s="2" t="s">
        <v>292</v>
      </c>
    </row>
    <row r="25014" spans="1:1" ht="12.75">
      <c r="A25014" s="2" t="s">
        <v>708</v>
      </c>
    </row>
    <row r="25015" spans="1:1" ht="12.75">
      <c r="A25015" s="2" t="s">
        <v>974</v>
      </c>
    </row>
    <row r="25016" spans="1:1" ht="12.75">
      <c r="A25016" s="2" t="s">
        <v>975</v>
      </c>
    </row>
    <row r="25017" spans="1:1" ht="12.75">
      <c r="A25017" s="2" t="s">
        <v>957</v>
      </c>
    </row>
    <row r="25018" spans="1:1" ht="12.75">
      <c r="A25018" s="2" t="s">
        <v>954</v>
      </c>
    </row>
    <row r="25019" spans="1:1" ht="12.75">
      <c r="A25019" s="2" t="s">
        <v>299</v>
      </c>
    </row>
    <row r="25020" spans="1:1" ht="12.75">
      <c r="A25020" s="2" t="s">
        <v>976</v>
      </c>
    </row>
    <row r="25021" spans="1:1" ht="12.75">
      <c r="A25021" s="2" t="s">
        <v>708</v>
      </c>
    </row>
    <row r="25022" spans="1:1" ht="12.75">
      <c r="A25022" s="2" t="s">
        <v>708</v>
      </c>
    </row>
    <row r="25023" spans="1:1" ht="12.75">
      <c r="A25023" s="2" t="s">
        <v>957</v>
      </c>
    </row>
    <row r="25024" spans="1:1" ht="12.75">
      <c r="A25024" s="2" t="s">
        <v>467</v>
      </c>
    </row>
    <row r="25025" spans="1:1" ht="12.75">
      <c r="A25025" s="2" t="s">
        <v>290</v>
      </c>
    </row>
    <row r="25026" spans="1:1" ht="12.75">
      <c r="A25026" s="2" t="s">
        <v>290</v>
      </c>
    </row>
    <row r="25027" spans="1:1" ht="12.75">
      <c r="A25027" s="2" t="s">
        <v>289</v>
      </c>
    </row>
    <row r="25028" spans="1:1" ht="12.75">
      <c r="A25028" s="2" t="s">
        <v>289</v>
      </c>
    </row>
    <row r="25029" spans="1:1" ht="12.75">
      <c r="A25029" s="2" t="s">
        <v>293</v>
      </c>
    </row>
    <row r="25030" spans="1:1" ht="12.75">
      <c r="A25030" s="2" t="s">
        <v>293</v>
      </c>
    </row>
    <row r="25031" spans="1:1" ht="12.75">
      <c r="A25031" s="2" t="s">
        <v>298</v>
      </c>
    </row>
    <row r="25032" spans="1:1" ht="12.75">
      <c r="A25032" s="2" t="s">
        <v>299</v>
      </c>
    </row>
    <row r="25033" spans="1:1" ht="12.75">
      <c r="A25033" s="2" t="s">
        <v>291</v>
      </c>
    </row>
    <row r="25034" spans="1:1" ht="12.75">
      <c r="A25034" s="2" t="s">
        <v>291</v>
      </c>
    </row>
    <row r="25035" spans="1:1" ht="12.75">
      <c r="A25035" s="2" t="s">
        <v>292</v>
      </c>
    </row>
    <row r="25036" spans="1:1" ht="12.75">
      <c r="A25036" s="2" t="s">
        <v>292</v>
      </c>
    </row>
    <row r="25037" spans="1:1" ht="12.75">
      <c r="A25037" s="2" t="s">
        <v>297</v>
      </c>
    </row>
    <row r="25038" spans="1:1" ht="12.75">
      <c r="A25038" s="2" t="s">
        <v>297</v>
      </c>
    </row>
    <row r="25039" spans="1:1" ht="12.75">
      <c r="A25039" s="2" t="s">
        <v>296</v>
      </c>
    </row>
    <row r="25040" spans="1:1" ht="12.75">
      <c r="A25040" s="2" t="s">
        <v>296</v>
      </c>
    </row>
    <row r="25041" spans="1:1" ht="12.75">
      <c r="A25041" s="2" t="s">
        <v>242</v>
      </c>
    </row>
    <row r="25042" spans="1:1" ht="12.75">
      <c r="A25042" s="2" t="s">
        <v>242</v>
      </c>
    </row>
    <row r="25043" spans="1:1" ht="12.75">
      <c r="A25043" s="2" t="s">
        <v>296</v>
      </c>
    </row>
    <row r="25044" spans="1:1" ht="12.75">
      <c r="A25044" s="2" t="s">
        <v>761</v>
      </c>
    </row>
    <row r="25045" spans="1:1" ht="12.75">
      <c r="A25045" s="2" t="s">
        <v>242</v>
      </c>
    </row>
    <row r="25046" spans="1:1" ht="12.75">
      <c r="A25046" s="2" t="s">
        <v>872</v>
      </c>
    </row>
    <row r="25047" spans="1:1" ht="12.75">
      <c r="A25047" s="2" t="s">
        <v>242</v>
      </c>
    </row>
    <row r="25048" spans="1:1" ht="12.75">
      <c r="A25048" s="2" t="s">
        <v>242</v>
      </c>
    </row>
    <row r="25049" spans="1:1" ht="12.75">
      <c r="A25049" s="2" t="s">
        <v>757</v>
      </c>
    </row>
    <row r="25050" spans="1:1" ht="12.75">
      <c r="A25050" s="2" t="s">
        <v>757</v>
      </c>
    </row>
    <row r="25051" spans="1:1" ht="12.75">
      <c r="A25051" s="2" t="s">
        <v>757</v>
      </c>
    </row>
    <row r="25052" spans="1:1" ht="12.75">
      <c r="A25052" s="2" t="s">
        <v>757</v>
      </c>
    </row>
    <row r="25053" spans="1:1" ht="12.75">
      <c r="A25053" s="2" t="s">
        <v>757</v>
      </c>
    </row>
    <row r="25054" spans="1:1" ht="12.75">
      <c r="A25054" s="2" t="s">
        <v>757</v>
      </c>
    </row>
    <row r="25055" spans="1:1" ht="12.75">
      <c r="A25055" s="2" t="s">
        <v>757</v>
      </c>
    </row>
    <row r="25056" spans="1:1" ht="12.75">
      <c r="A25056" s="2" t="s">
        <v>757</v>
      </c>
    </row>
    <row r="25057" spans="1:1" ht="12.75">
      <c r="A25057" s="2" t="s">
        <v>758</v>
      </c>
    </row>
    <row r="25058" spans="1:1" ht="12.75">
      <c r="A25058" s="2" t="s">
        <v>758</v>
      </c>
    </row>
    <row r="25059" spans="1:1" ht="12.75">
      <c r="A25059" s="2" t="s">
        <v>762</v>
      </c>
    </row>
    <row r="25060" spans="1:1" ht="12.75">
      <c r="A25060" s="2" t="s">
        <v>957</v>
      </c>
    </row>
    <row r="25061" spans="1:1" ht="12.75">
      <c r="A25061" s="2" t="s">
        <v>966</v>
      </c>
    </row>
    <row r="25062" spans="1:1" ht="12.75">
      <c r="A25062" s="2" t="s">
        <v>762</v>
      </c>
    </row>
    <row r="25063" spans="1:1" ht="12.75">
      <c r="A25063" s="2" t="s">
        <v>297</v>
      </c>
    </row>
    <row r="25064" spans="1:1" ht="12.75">
      <c r="A25064" s="2" t="s">
        <v>292</v>
      </c>
    </row>
    <row r="25084" spans="1:1" ht="12.75">
      <c r="A25084" s="2" t="s">
        <v>651</v>
      </c>
    </row>
    <row r="25085" spans="1:1" ht="12.75">
      <c r="A25085" s="2" t="s">
        <v>977</v>
      </c>
    </row>
    <row r="25086" spans="1:1" ht="12.75">
      <c r="A25086" s="2" t="s">
        <v>978</v>
      </c>
    </row>
    <row r="25087" spans="1:1" ht="12.75">
      <c r="A25087" s="2" t="s">
        <v>979</v>
      </c>
    </row>
    <row r="25088" spans="1:1" ht="12.75">
      <c r="A25088" s="2" t="s">
        <v>979</v>
      </c>
    </row>
    <row r="25089" spans="1:1" ht="12.75">
      <c r="A25089" s="2" t="s">
        <v>979</v>
      </c>
    </row>
    <row r="25090" spans="1:1" ht="12.75">
      <c r="A25090" s="2" t="s">
        <v>979</v>
      </c>
    </row>
    <row r="25091" spans="1:1" ht="12.75">
      <c r="A25091" s="2" t="s">
        <v>979</v>
      </c>
    </row>
    <row r="25092" spans="1:1" ht="12.75">
      <c r="A25092" s="2" t="s">
        <v>979</v>
      </c>
    </row>
    <row r="25094" spans="1:1" ht="12.75">
      <c r="A25094" s="2" t="s">
        <v>979</v>
      </c>
    </row>
    <row r="25095" spans="1:1" ht="12.75">
      <c r="A25095" s="2" t="s">
        <v>979</v>
      </c>
    </row>
    <row r="25096" spans="1:1" ht="12.75">
      <c r="A25096" s="2" t="s">
        <v>979</v>
      </c>
    </row>
    <row r="25097" spans="1:1" ht="12.75">
      <c r="A25097" s="2" t="s">
        <v>980</v>
      </c>
    </row>
    <row r="25098" spans="1:1" ht="12.75">
      <c r="A25098" s="2" t="s">
        <v>979</v>
      </c>
    </row>
    <row r="25099" spans="1:1" ht="12.75">
      <c r="A25099" s="2" t="s">
        <v>358</v>
      </c>
    </row>
    <row r="25100" spans="1:1" ht="12.75">
      <c r="A25100" s="2" t="s">
        <v>979</v>
      </c>
    </row>
    <row r="25101" spans="1:1" ht="12.75">
      <c r="A25101" s="2" t="s">
        <v>979</v>
      </c>
    </row>
    <row r="25102" spans="1:1" ht="12.75">
      <c r="A25102" s="2" t="s">
        <v>979</v>
      </c>
    </row>
    <row r="25103" spans="1:1" ht="12.75">
      <c r="A25103" s="2" t="s">
        <v>979</v>
      </c>
    </row>
    <row r="25110" spans="1:1" ht="12.75">
      <c r="A25110" s="2" t="s">
        <v>981</v>
      </c>
    </row>
    <row r="25111" spans="1:1" ht="12.75">
      <c r="A25111" s="2" t="s">
        <v>305</v>
      </c>
    </row>
    <row r="25112" spans="1:1" ht="12.75">
      <c r="A25112" s="2" t="s">
        <v>305</v>
      </c>
    </row>
    <row r="25113" spans="1:1" ht="12.75">
      <c r="A25113" s="2" t="s">
        <v>305</v>
      </c>
    </row>
    <row r="25114" spans="1:1" ht="12.75">
      <c r="A25114" s="2" t="s">
        <v>305</v>
      </c>
    </row>
    <row r="25115" spans="1:1" ht="12.75">
      <c r="A25115" s="2" t="s">
        <v>305</v>
      </c>
    </row>
    <row r="25116" spans="1:1" ht="12.75">
      <c r="A25116" s="2" t="s">
        <v>305</v>
      </c>
    </row>
    <row r="25117" spans="1:1" ht="12.75">
      <c r="A25117" s="2" t="s">
        <v>305</v>
      </c>
    </row>
    <row r="25118" spans="1:1" ht="12.75">
      <c r="A25118" s="2" t="s">
        <v>305</v>
      </c>
    </row>
    <row r="25119" spans="1:1" ht="12.75">
      <c r="A25119" s="2" t="s">
        <v>305</v>
      </c>
    </row>
    <row r="25120" spans="1:1" ht="12.75">
      <c r="A25120" s="2" t="s">
        <v>305</v>
      </c>
    </row>
    <row r="25121" spans="1:1" ht="12.75">
      <c r="A25121" s="2" t="s">
        <v>305</v>
      </c>
    </row>
    <row r="25122" spans="1:1" ht="12.75">
      <c r="A25122" s="2" t="s">
        <v>305</v>
      </c>
    </row>
    <row r="25123" spans="1:1" ht="12.75">
      <c r="A25123" s="2" t="s">
        <v>305</v>
      </c>
    </row>
    <row r="25124" spans="1:1" ht="12.75">
      <c r="A25124" s="2" t="s">
        <v>982</v>
      </c>
    </row>
    <row r="25125" spans="1:1" ht="12.75">
      <c r="A25125" s="2" t="s">
        <v>983</v>
      </c>
    </row>
    <row r="25126" spans="1:1" ht="12.75">
      <c r="A25126" s="2" t="s">
        <v>984</v>
      </c>
    </row>
    <row r="25127" spans="1:1" ht="12.75">
      <c r="A25127" s="2" t="s">
        <v>377</v>
      </c>
    </row>
    <row r="25128" spans="1:1" ht="12.75">
      <c r="A25128" s="2" t="s">
        <v>377</v>
      </c>
    </row>
    <row r="25129" spans="1:1" ht="12.75">
      <c r="A25129" s="2" t="s">
        <v>377</v>
      </c>
    </row>
    <row r="25130" spans="1:1" ht="12.75">
      <c r="A25130" s="2" t="s">
        <v>985</v>
      </c>
    </row>
    <row r="25131" spans="1:1" ht="12.75">
      <c r="A25131" s="2" t="s">
        <v>986</v>
      </c>
    </row>
    <row r="25132" spans="1:1" ht="12.75">
      <c r="A25132" s="2" t="s">
        <v>985</v>
      </c>
    </row>
    <row r="25133" spans="1:1" ht="12.75">
      <c r="A25133" s="2" t="s">
        <v>986</v>
      </c>
    </row>
    <row r="25134" spans="1:1" ht="12.75">
      <c r="A25134" s="2" t="s">
        <v>377</v>
      </c>
    </row>
    <row r="25135" spans="1:1" ht="12.75">
      <c r="A25135" s="2" t="s">
        <v>377</v>
      </c>
    </row>
    <row r="25136" spans="1:1" ht="12.75">
      <c r="A25136" s="2" t="s">
        <v>535</v>
      </c>
    </row>
    <row r="25137" spans="1:1" ht="12.75">
      <c r="A25137" s="2" t="s">
        <v>535</v>
      </c>
    </row>
    <row r="25138" spans="1:1" ht="12.75">
      <c r="A25138" s="2" t="s">
        <v>535</v>
      </c>
    </row>
    <row r="25139" spans="1:1" ht="12.75">
      <c r="A25139" s="2" t="s">
        <v>535</v>
      </c>
    </row>
    <row r="25140" spans="1:1" ht="12.75">
      <c r="A25140" s="2" t="s">
        <v>535</v>
      </c>
    </row>
    <row r="25141" spans="1:1" ht="12.75">
      <c r="A25141" s="2" t="s">
        <v>535</v>
      </c>
    </row>
    <row r="25142" spans="1:1" ht="12.75">
      <c r="A25142" s="2" t="s">
        <v>535</v>
      </c>
    </row>
    <row r="25143" spans="1:1" ht="12.75">
      <c r="A25143" s="2" t="s">
        <v>535</v>
      </c>
    </row>
    <row r="25148" spans="1:1" ht="12.75">
      <c r="A25148" s="2" t="s">
        <v>535</v>
      </c>
    </row>
    <row r="25149" spans="1:1" ht="12.75">
      <c r="A25149" s="2" t="s">
        <v>535</v>
      </c>
    </row>
    <row r="25150" spans="1:1" ht="12.75">
      <c r="A25150" s="2" t="s">
        <v>535</v>
      </c>
    </row>
    <row r="25151" spans="1:1" ht="12.75">
      <c r="A25151" s="2" t="s">
        <v>535</v>
      </c>
    </row>
    <row r="25152" spans="1:1" ht="12.75">
      <c r="A25152" s="2" t="s">
        <v>261</v>
      </c>
    </row>
    <row r="25154" spans="1:1" ht="12.75">
      <c r="A25154" s="2" t="s">
        <v>987</v>
      </c>
    </row>
    <row r="25155" spans="1:1" ht="12.75">
      <c r="A25155" s="2" t="s">
        <v>540</v>
      </c>
    </row>
    <row r="25156" spans="1:1" ht="12.75">
      <c r="A25156" s="2" t="s">
        <v>540</v>
      </c>
    </row>
    <row r="25157" spans="1:1" ht="12.75">
      <c r="A25157" s="2" t="s">
        <v>540</v>
      </c>
    </row>
    <row r="25158" spans="1:1" ht="12.75">
      <c r="A25158" s="2" t="s">
        <v>538</v>
      </c>
    </row>
    <row r="25159" spans="1:1" ht="12.75">
      <c r="A25159" s="2" t="s">
        <v>495</v>
      </c>
    </row>
    <row r="25160" spans="1:1" ht="12.75">
      <c r="A25160" s="2" t="s">
        <v>495</v>
      </c>
    </row>
    <row r="25161" spans="1:1" ht="12.75">
      <c r="A25161" s="2" t="s">
        <v>495</v>
      </c>
    </row>
    <row r="25162" spans="1:1" ht="12.75">
      <c r="A25162" s="2" t="s">
        <v>541</v>
      </c>
    </row>
    <row r="25163" spans="1:1" ht="12.75">
      <c r="A25163" s="2" t="s">
        <v>988</v>
      </c>
    </row>
    <row r="25164" spans="1:1" ht="12.75">
      <c r="A25164" s="2" t="s">
        <v>495</v>
      </c>
    </row>
    <row r="25165" spans="1:1" ht="12.75">
      <c r="A25165" s="2" t="s">
        <v>989</v>
      </c>
    </row>
    <row r="25166" spans="1:1" ht="12.75">
      <c r="A25166" s="2" t="s">
        <v>495</v>
      </c>
    </row>
    <row r="25167" spans="1:1" ht="12.75">
      <c r="A25167" s="2" t="s">
        <v>988</v>
      </c>
    </row>
    <row r="25168" spans="1:1" ht="12.75">
      <c r="A25168" s="2" t="s">
        <v>988</v>
      </c>
    </row>
    <row r="25242" spans="1:1" ht="12.75">
      <c r="A25242" s="2" t="s">
        <v>673</v>
      </c>
    </row>
    <row r="25275" spans="1:1" ht="12.75">
      <c r="A25275" s="2" t="s">
        <v>590</v>
      </c>
    </row>
    <row r="25276" spans="1:1" ht="12.75">
      <c r="A25276" s="2" t="s">
        <v>590</v>
      </c>
    </row>
    <row r="25277" spans="1:1" ht="12.75">
      <c r="A25277" s="2" t="s">
        <v>590</v>
      </c>
    </row>
    <row r="25278" spans="1:1" ht="12.75">
      <c r="A25278" s="2" t="s">
        <v>990</v>
      </c>
    </row>
    <row r="25279" spans="1:1" ht="12.75">
      <c r="A25279" s="2" t="s">
        <v>590</v>
      </c>
    </row>
    <row r="25280" spans="1:1" ht="12.75">
      <c r="A25280" s="2" t="s">
        <v>217</v>
      </c>
    </row>
    <row r="25281" spans="1:1" ht="12.75">
      <c r="A25281" s="2" t="s">
        <v>217</v>
      </c>
    </row>
    <row r="25282" spans="1:1" ht="12.75">
      <c r="A25282" s="2" t="s">
        <v>217</v>
      </c>
    </row>
    <row r="25283" spans="1:1" ht="12.75">
      <c r="A25283" s="2" t="s">
        <v>216</v>
      </c>
    </row>
    <row r="25284" spans="1:1" ht="12.75">
      <c r="A25284" s="2" t="s">
        <v>217</v>
      </c>
    </row>
    <row r="25285" spans="1:1" ht="12.75">
      <c r="A25285" s="2" t="s">
        <v>593</v>
      </c>
    </row>
    <row r="25286" spans="1:1" ht="12.75">
      <c r="A25286" s="2" t="s">
        <v>593</v>
      </c>
    </row>
    <row r="25287" spans="1:1" ht="12.75">
      <c r="A25287" s="2" t="s">
        <v>664</v>
      </c>
    </row>
    <row r="25288" spans="1:1" ht="12.75">
      <c r="A25288" s="2" t="s">
        <v>780</v>
      </c>
    </row>
    <row r="25289" spans="1:1" ht="12.75">
      <c r="A25289" s="2" t="s">
        <v>670</v>
      </c>
    </row>
    <row r="25290" spans="1:1" ht="12.75">
      <c r="A25290" s="2" t="s">
        <v>662</v>
      </c>
    </row>
    <row r="25291" spans="1:1" ht="12.75">
      <c r="A25291" s="2" t="s">
        <v>671</v>
      </c>
    </row>
    <row r="25292" spans="1:1" ht="12.75">
      <c r="A25292" s="2" t="s">
        <v>673</v>
      </c>
    </row>
    <row r="25293" spans="1:1" ht="12.75">
      <c r="A25293" s="2" t="s">
        <v>662</v>
      </c>
    </row>
    <row r="25294" spans="1:1" ht="12.75">
      <c r="A25294" s="2" t="s">
        <v>664</v>
      </c>
    </row>
    <row r="25295" spans="1:1" ht="12.75">
      <c r="A25295" s="2" t="s">
        <v>664</v>
      </c>
    </row>
    <row r="25296" spans="1:1" ht="12.75">
      <c r="A25296" s="2" t="s">
        <v>667</v>
      </c>
    </row>
    <row r="25297" spans="1:1" ht="12.75">
      <c r="A25297" s="2" t="s">
        <v>666</v>
      </c>
    </row>
    <row r="25298" spans="1:1" ht="12.75">
      <c r="A25298" s="2" t="s">
        <v>780</v>
      </c>
    </row>
    <row r="25299" spans="1:1" ht="12.75">
      <c r="A25299" s="2" t="s">
        <v>671</v>
      </c>
    </row>
    <row r="25300" spans="1:1" ht="12.75">
      <c r="A25300" s="2" t="s">
        <v>671</v>
      </c>
    </row>
    <row r="25301" spans="1:1" ht="12.75">
      <c r="A25301" s="2" t="s">
        <v>671</v>
      </c>
    </row>
    <row r="25302" spans="1:1" ht="12.75">
      <c r="A25302" s="2" t="s">
        <v>662</v>
      </c>
    </row>
    <row r="25303" spans="1:1" ht="12.75">
      <c r="A25303" s="2" t="s">
        <v>665</v>
      </c>
    </row>
    <row r="25304" spans="1:1" ht="12.75">
      <c r="A25304" s="2" t="s">
        <v>666</v>
      </c>
    </row>
    <row r="25305" spans="1:1" ht="12.75">
      <c r="A25305" s="2" t="s">
        <v>664</v>
      </c>
    </row>
    <row r="25306" spans="1:1" ht="12.75">
      <c r="A25306" s="2" t="s">
        <v>664</v>
      </c>
    </row>
    <row r="25307" spans="1:1" ht="12.75">
      <c r="A25307" s="2" t="s">
        <v>664</v>
      </c>
    </row>
    <row r="25308" spans="1:1" ht="12.75">
      <c r="A25308" s="2" t="s">
        <v>667</v>
      </c>
    </row>
    <row r="25309" spans="1:1" ht="12.75">
      <c r="A25309" s="2" t="s">
        <v>667</v>
      </c>
    </row>
    <row r="25310" spans="1:1" ht="12.75">
      <c r="A25310" s="2" t="s">
        <v>782</v>
      </c>
    </row>
    <row r="25311" spans="1:1" ht="12.75">
      <c r="A25311" s="2" t="s">
        <v>780</v>
      </c>
    </row>
    <row r="25312" spans="1:1" ht="12.75">
      <c r="A25312" s="2" t="s">
        <v>665</v>
      </c>
    </row>
    <row r="25313" spans="1:1" ht="12.75">
      <c r="A25313" s="2" t="s">
        <v>671</v>
      </c>
    </row>
    <row r="25314" spans="1:1" ht="12.75">
      <c r="A25314" s="2" t="s">
        <v>671</v>
      </c>
    </row>
    <row r="25315" spans="1:1" ht="12.75">
      <c r="A25315" s="2" t="s">
        <v>662</v>
      </c>
    </row>
    <row r="25316" spans="1:1" ht="12.75">
      <c r="A25316" s="2" t="s">
        <v>662</v>
      </c>
    </row>
    <row r="25317" spans="1:1" ht="12.75">
      <c r="A25317" s="2" t="s">
        <v>662</v>
      </c>
    </row>
    <row r="25318" spans="1:1" ht="12.75">
      <c r="A25318" s="2" t="s">
        <v>664</v>
      </c>
    </row>
    <row r="25319" spans="1:1" ht="12.75">
      <c r="A25319" s="2" t="s">
        <v>673</v>
      </c>
    </row>
    <row r="25320" spans="1:1" ht="12.75">
      <c r="A25320" s="2" t="s">
        <v>673</v>
      </c>
    </row>
    <row r="25321" spans="1:1" ht="12.75">
      <c r="A25321" s="2">
        <v>15760</v>
      </c>
    </row>
    <row r="25322" spans="1:1" ht="12.75">
      <c r="A25322" s="2" t="s">
        <v>662</v>
      </c>
    </row>
    <row r="25323" spans="1:1" ht="12.75">
      <c r="A25323" s="2" t="s">
        <v>671</v>
      </c>
    </row>
    <row r="25324" spans="1:1" ht="12.75">
      <c r="A25324" s="2" t="s">
        <v>671</v>
      </c>
    </row>
    <row r="25325" spans="1:1" ht="12.75">
      <c r="A25325" s="2" t="s">
        <v>673</v>
      </c>
    </row>
    <row r="25326" spans="1:1" ht="12.75">
      <c r="A25326" s="2" t="s">
        <v>673</v>
      </c>
    </row>
    <row r="25327" spans="1:1" ht="12.75">
      <c r="A25327" s="2" t="s">
        <v>782</v>
      </c>
    </row>
    <row r="25328" spans="1:1" ht="12.75">
      <c r="A25328" s="2" t="s">
        <v>665</v>
      </c>
    </row>
    <row r="25329" spans="1:1" ht="12.75">
      <c r="A25329" s="2" t="s">
        <v>673</v>
      </c>
    </row>
    <row r="25330" spans="1:1" ht="12.75">
      <c r="A25330" s="2" t="s">
        <v>665</v>
      </c>
    </row>
    <row r="25331" spans="1:1" ht="12.75">
      <c r="A25331" s="2" t="s">
        <v>664</v>
      </c>
    </row>
    <row r="25332" spans="1:1" ht="12.75">
      <c r="A25332" s="2" t="s">
        <v>664</v>
      </c>
    </row>
    <row r="25333" spans="1:1" ht="12.75">
      <c r="A25333" s="2" t="s">
        <v>671</v>
      </c>
    </row>
    <row r="25334" spans="1:1" ht="12.75">
      <c r="A25334" s="2" t="s">
        <v>673</v>
      </c>
    </row>
    <row r="25335" spans="1:1" ht="12.75">
      <c r="A25335" s="2" t="s">
        <v>662</v>
      </c>
    </row>
    <row r="25336" spans="1:1" ht="12.75">
      <c r="A25336" s="2" t="s">
        <v>666</v>
      </c>
    </row>
    <row r="25337" spans="1:1" ht="12.75">
      <c r="A25337" s="2" t="s">
        <v>664</v>
      </c>
    </row>
    <row r="25338" spans="1:1" ht="12.75">
      <c r="A25338" s="2" t="s">
        <v>664</v>
      </c>
    </row>
    <row r="25339" spans="1:1" ht="12.75">
      <c r="A25339" s="2" t="s">
        <v>666</v>
      </c>
    </row>
    <row r="25340" spans="1:1" ht="12.75">
      <c r="A25340" s="2" t="s">
        <v>664</v>
      </c>
    </row>
    <row r="25341" spans="1:1" ht="12.75">
      <c r="A25341" s="2" t="s">
        <v>673</v>
      </c>
    </row>
    <row r="25342" spans="1:1" ht="12.75">
      <c r="A25342" s="2" t="s">
        <v>673</v>
      </c>
    </row>
    <row r="25343" spans="1:1" ht="12.75">
      <c r="A25343" s="2" t="s">
        <v>671</v>
      </c>
    </row>
    <row r="25344" spans="1:1" ht="12.75">
      <c r="A25344" s="2" t="s">
        <v>666</v>
      </c>
    </row>
    <row r="25345" spans="1:1" ht="12.75">
      <c r="A25345" s="2" t="s">
        <v>789</v>
      </c>
    </row>
    <row r="25346" spans="1:1" ht="12.75">
      <c r="A25346" s="2" t="s">
        <v>670</v>
      </c>
    </row>
    <row r="25347" spans="1:1" ht="12.75">
      <c r="A25347" s="2" t="s">
        <v>673</v>
      </c>
    </row>
    <row r="25348" spans="1:1" ht="12.75">
      <c r="A25348" s="2" t="s">
        <v>662</v>
      </c>
    </row>
    <row r="25349" spans="1:1" ht="12.75">
      <c r="A25349" s="2" t="s">
        <v>664</v>
      </c>
    </row>
    <row r="25350" spans="1:1" ht="12.75">
      <c r="A25350" s="2" t="s">
        <v>673</v>
      </c>
    </row>
    <row r="25351" spans="1:1" ht="12.75">
      <c r="A25351" s="2" t="s">
        <v>667</v>
      </c>
    </row>
    <row r="25352" spans="1:1" ht="12.75">
      <c r="A25352" s="2" t="s">
        <v>664</v>
      </c>
    </row>
    <row r="25353" spans="1:1" ht="12.75">
      <c r="A25353" s="2" t="s">
        <v>666</v>
      </c>
    </row>
    <row r="25354" spans="1:1" ht="12.75">
      <c r="A25354" s="2" t="s">
        <v>667</v>
      </c>
    </row>
    <row r="25355" spans="1:1" ht="12.75">
      <c r="A25355" s="2" t="s">
        <v>671</v>
      </c>
    </row>
    <row r="25356" spans="1:1" ht="12.75">
      <c r="A25356" s="2" t="s">
        <v>662</v>
      </c>
    </row>
    <row r="25357" spans="1:1" ht="12.75">
      <c r="A25357" s="2" t="s">
        <v>664</v>
      </c>
    </row>
    <row r="25358" spans="1:1" ht="12.75">
      <c r="A25358" s="2" t="s">
        <v>664</v>
      </c>
    </row>
    <row r="25359" spans="1:1" ht="12.75">
      <c r="A25359" s="2" t="s">
        <v>671</v>
      </c>
    </row>
    <row r="25360" spans="1:1" ht="12.75">
      <c r="A25360" s="2" t="s">
        <v>667</v>
      </c>
    </row>
    <row r="25361" spans="1:1" ht="12.75">
      <c r="A25361" s="2" t="s">
        <v>780</v>
      </c>
    </row>
    <row r="25362" spans="1:1" ht="12.75">
      <c r="A25362" s="2" t="s">
        <v>667</v>
      </c>
    </row>
    <row r="25363" spans="1:1" ht="12.75">
      <c r="A25363" s="2" t="s">
        <v>780</v>
      </c>
    </row>
    <row r="25364" spans="1:1" ht="12.75">
      <c r="A25364" s="2" t="s">
        <v>664</v>
      </c>
    </row>
    <row r="25365" spans="1:1" ht="12.75">
      <c r="A25365" s="2" t="s">
        <v>665</v>
      </c>
    </row>
    <row r="25366" spans="1:1" ht="12.75">
      <c r="A25366" s="2" t="s">
        <v>671</v>
      </c>
    </row>
    <row r="25367" spans="1:1" ht="12.75">
      <c r="A25367" s="2" t="s">
        <v>664</v>
      </c>
    </row>
    <row r="25368" spans="1:1" ht="12.75">
      <c r="A25368" s="2" t="s">
        <v>665</v>
      </c>
    </row>
    <row r="25369" spans="1:1" ht="12.75">
      <c r="A25369" s="2" t="s">
        <v>664</v>
      </c>
    </row>
    <row r="25370" spans="1:1" ht="12.75">
      <c r="A25370" s="2" t="s">
        <v>664</v>
      </c>
    </row>
    <row r="25371" spans="1:1" ht="12.75">
      <c r="A25371" s="2" t="s">
        <v>665</v>
      </c>
    </row>
    <row r="25372" spans="1:1" ht="12.75">
      <c r="A25372" s="2" t="s">
        <v>665</v>
      </c>
    </row>
    <row r="25373" spans="1:1" ht="12.75">
      <c r="A25373" s="2" t="s">
        <v>671</v>
      </c>
    </row>
    <row r="25374" spans="1:1" ht="12.75">
      <c r="A25374" s="2" t="s">
        <v>671</v>
      </c>
    </row>
    <row r="25375" spans="1:1" ht="12.75">
      <c r="A25375" s="2" t="s">
        <v>662</v>
      </c>
    </row>
    <row r="25376" spans="1:1" ht="12.75">
      <c r="A25376" s="2" t="s">
        <v>991</v>
      </c>
    </row>
    <row r="25377" spans="1:1" ht="12.75">
      <c r="A25377" s="2" t="s">
        <v>673</v>
      </c>
    </row>
    <row r="25378" spans="1:1" ht="12.75">
      <c r="A25378" s="2" t="s">
        <v>673</v>
      </c>
    </row>
    <row r="25379" spans="1:1" ht="12.75">
      <c r="A25379" s="2" t="s">
        <v>671</v>
      </c>
    </row>
    <row r="25380" spans="1:1" ht="12.75">
      <c r="A25380" s="2" t="s">
        <v>664</v>
      </c>
    </row>
    <row r="25381" spans="1:1" ht="12.75">
      <c r="A25381" s="2" t="s">
        <v>664</v>
      </c>
    </row>
    <row r="25382" spans="1:1" ht="12.75">
      <c r="A25382" s="2" t="s">
        <v>780</v>
      </c>
    </row>
    <row r="25383" spans="1:1" ht="12.75">
      <c r="A25383" s="2" t="s">
        <v>662</v>
      </c>
    </row>
    <row r="25384" spans="1:1" ht="12.75">
      <c r="A25384" s="2" t="s">
        <v>671</v>
      </c>
    </row>
    <row r="25385" spans="1:1" ht="12.75">
      <c r="A25385" s="2" t="s">
        <v>662</v>
      </c>
    </row>
    <row r="25386" spans="1:1" ht="12.75">
      <c r="A25386" s="2" t="s">
        <v>662</v>
      </c>
    </row>
    <row r="25387" spans="1:1" ht="12.75">
      <c r="A25387" s="2" t="s">
        <v>671</v>
      </c>
    </row>
    <row r="25388" spans="1:1" ht="12.75">
      <c r="A25388" s="2" t="s">
        <v>673</v>
      </c>
    </row>
    <row r="25389" spans="1:1" ht="12.75">
      <c r="A25389" s="2" t="s">
        <v>664</v>
      </c>
    </row>
    <row r="25390" spans="1:1" ht="12.75">
      <c r="A25390" s="2" t="s">
        <v>664</v>
      </c>
    </row>
    <row r="25391" spans="1:1" ht="12.75">
      <c r="A25391" s="2" t="s">
        <v>666</v>
      </c>
    </row>
    <row r="25392" spans="1:1" ht="12.75">
      <c r="A25392" s="2" t="s">
        <v>664</v>
      </c>
    </row>
    <row r="25393" spans="1:1" ht="12.75">
      <c r="A25393" s="2" t="s">
        <v>665</v>
      </c>
    </row>
    <row r="25394" spans="1:1" ht="12.75">
      <c r="A25394" s="2" t="s">
        <v>665</v>
      </c>
    </row>
    <row r="25395" spans="1:1" ht="12.75">
      <c r="A25395" s="2" t="s">
        <v>992</v>
      </c>
    </row>
    <row r="25396" spans="1:1" ht="12.75">
      <c r="A25396" s="2" t="s">
        <v>664</v>
      </c>
    </row>
    <row r="25397" spans="1:1" ht="12.75">
      <c r="A25397" s="2" t="s">
        <v>673</v>
      </c>
    </row>
    <row r="25398" spans="1:1" ht="12.75">
      <c r="A25398" s="2" t="s">
        <v>780</v>
      </c>
    </row>
    <row r="25399" spans="1:1" ht="12.75">
      <c r="A25399" s="2" t="s">
        <v>665</v>
      </c>
    </row>
    <row r="25400" spans="1:1" ht="12.75">
      <c r="A25400" s="2" t="s">
        <v>665</v>
      </c>
    </row>
    <row r="25401" spans="1:1" ht="12.75">
      <c r="A25401" s="2" t="s">
        <v>664</v>
      </c>
    </row>
    <row r="25402" spans="1:1" ht="12.75">
      <c r="A25402" s="2" t="s">
        <v>664</v>
      </c>
    </row>
    <row r="25403" spans="1:1" ht="12.75">
      <c r="A25403" s="2" t="s">
        <v>671</v>
      </c>
    </row>
    <row r="25404" spans="1:1" ht="12.75">
      <c r="A25404" s="2" t="s">
        <v>666</v>
      </c>
    </row>
    <row r="25405" spans="1:1" ht="12.75">
      <c r="A25405" s="2" t="s">
        <v>671</v>
      </c>
    </row>
    <row r="25406" spans="1:1" ht="12.75">
      <c r="A25406" s="2" t="s">
        <v>665</v>
      </c>
    </row>
    <row r="25407" spans="1:1" ht="12.75">
      <c r="A25407" s="2" t="s">
        <v>664</v>
      </c>
    </row>
    <row r="25408" spans="1:1" ht="12.75">
      <c r="A25408" s="2" t="s">
        <v>665</v>
      </c>
    </row>
    <row r="25409" spans="1:1" ht="12.75">
      <c r="A25409" s="2" t="s">
        <v>664</v>
      </c>
    </row>
    <row r="25410" spans="1:1" ht="12.75">
      <c r="A25410" s="2" t="s">
        <v>664</v>
      </c>
    </row>
    <row r="25411" spans="1:1" ht="12.75">
      <c r="A25411" s="2" t="s">
        <v>664</v>
      </c>
    </row>
    <row r="25412" spans="1:1" ht="12.75">
      <c r="A25412" s="2" t="s">
        <v>664</v>
      </c>
    </row>
    <row r="25413" spans="1:1" ht="12.75">
      <c r="A25413" s="2" t="s">
        <v>664</v>
      </c>
    </row>
    <row r="25414" spans="1:1" ht="12.75">
      <c r="A25414" s="2" t="s">
        <v>664</v>
      </c>
    </row>
    <row r="25415" spans="1:1" ht="12.75">
      <c r="A25415" s="2" t="s">
        <v>673</v>
      </c>
    </row>
    <row r="25416" spans="1:1" ht="12.75">
      <c r="A25416" s="2" t="s">
        <v>664</v>
      </c>
    </row>
    <row r="25417" spans="1:1" ht="12.75">
      <c r="A25417" s="2" t="s">
        <v>673</v>
      </c>
    </row>
    <row r="25418" spans="1:1" ht="12.75">
      <c r="A25418" s="2" t="s">
        <v>671</v>
      </c>
    </row>
    <row r="25419" spans="1:1" ht="12.75">
      <c r="A25419" s="2" t="s">
        <v>673</v>
      </c>
    </row>
    <row r="25420" spans="1:1" ht="12.75">
      <c r="A25420" s="2" t="s">
        <v>671</v>
      </c>
    </row>
    <row r="25421" spans="1:1" ht="12.75">
      <c r="A25421" s="2" t="s">
        <v>671</v>
      </c>
    </row>
    <row r="25422" spans="1:1" ht="12.75">
      <c r="A25422" s="2" t="s">
        <v>664</v>
      </c>
    </row>
    <row r="25423" spans="1:1" ht="12.75">
      <c r="A25423" s="2" t="s">
        <v>662</v>
      </c>
    </row>
    <row r="25424" spans="1:1" ht="12.75">
      <c r="A25424" s="2" t="s">
        <v>666</v>
      </c>
    </row>
    <row r="25425" spans="1:1" ht="12.75">
      <c r="A25425" s="2" t="s">
        <v>662</v>
      </c>
    </row>
    <row r="25426" spans="1:1" ht="12.75">
      <c r="A25426" s="2" t="s">
        <v>665</v>
      </c>
    </row>
    <row r="25427" spans="1:1" ht="12.75">
      <c r="A25427" s="2" t="s">
        <v>665</v>
      </c>
    </row>
    <row r="25428" spans="1:1" ht="12.75">
      <c r="A25428" s="2" t="s">
        <v>665</v>
      </c>
    </row>
    <row r="25429" spans="1:1" ht="12.75">
      <c r="A25429" s="2" t="s">
        <v>671</v>
      </c>
    </row>
    <row r="25430" spans="1:1" ht="12.75">
      <c r="A25430" s="2" t="s">
        <v>780</v>
      </c>
    </row>
    <row r="25431" spans="1:1" ht="12.75">
      <c r="A25431" s="2" t="s">
        <v>671</v>
      </c>
    </row>
    <row r="25432" spans="1:1" ht="12.75">
      <c r="A25432" s="2" t="s">
        <v>992</v>
      </c>
    </row>
    <row r="25433" spans="1:1" ht="12.75">
      <c r="A25433" s="2" t="s">
        <v>662</v>
      </c>
    </row>
    <row r="25434" spans="1:1" ht="12.75">
      <c r="A25434" s="2" t="s">
        <v>662</v>
      </c>
    </row>
    <row r="25435" spans="1:1" ht="12.75">
      <c r="A25435" s="2" t="s">
        <v>673</v>
      </c>
    </row>
    <row r="25436" spans="1:1" ht="12.75">
      <c r="A25436" s="2" t="s">
        <v>673</v>
      </c>
    </row>
    <row r="25537" spans="1:1" ht="12.75">
      <c r="A25537" s="2" t="s">
        <v>671</v>
      </c>
    </row>
    <row r="25538" spans="1:1" ht="12.75">
      <c r="A25538" s="2" t="s">
        <v>662</v>
      </c>
    </row>
    <row r="25539" spans="1:1" ht="12.75">
      <c r="A25539" s="2" t="s">
        <v>780</v>
      </c>
    </row>
    <row r="25540" spans="1:1" ht="12.75">
      <c r="A25540" s="2" t="s">
        <v>673</v>
      </c>
    </row>
    <row r="25541" spans="1:1" ht="12.75">
      <c r="A25541" s="2" t="s">
        <v>662</v>
      </c>
    </row>
    <row r="25542" spans="1:1" ht="12.75">
      <c r="A25542" s="2" t="s">
        <v>673</v>
      </c>
    </row>
    <row r="25543" spans="1:1" ht="12.75">
      <c r="A25543" s="2" t="s">
        <v>664</v>
      </c>
    </row>
    <row r="25544" spans="1:1" ht="12.75">
      <c r="A25544" s="2" t="s">
        <v>665</v>
      </c>
    </row>
    <row r="25545" spans="1:1" ht="12.75">
      <c r="A25545" s="2" t="s">
        <v>664</v>
      </c>
    </row>
    <row r="25546" spans="1:1" ht="12.75">
      <c r="A25546" s="2" t="s">
        <v>666</v>
      </c>
    </row>
    <row r="25547" spans="1:1" ht="12.75">
      <c r="A25547" s="2" t="s">
        <v>671</v>
      </c>
    </row>
    <row r="25548" spans="1:1" ht="12.75">
      <c r="A25548" s="2" t="s">
        <v>780</v>
      </c>
    </row>
    <row r="25549" spans="1:1" ht="12.75">
      <c r="A25549" s="2" t="s">
        <v>671</v>
      </c>
    </row>
    <row r="25550" spans="1:1" ht="12.75">
      <c r="A25550" s="2" t="s">
        <v>662</v>
      </c>
    </row>
    <row r="25551" spans="1:1" ht="12.75">
      <c r="A25551" s="2" t="s">
        <v>780</v>
      </c>
    </row>
    <row r="25552" spans="1:1" ht="12.75">
      <c r="A25552" s="2" t="s">
        <v>671</v>
      </c>
    </row>
    <row r="25553" spans="1:1" ht="12.75">
      <c r="A25553" s="2" t="s">
        <v>671</v>
      </c>
    </row>
    <row r="25554" spans="1:1" ht="12.75">
      <c r="A25554" s="2" t="s">
        <v>662</v>
      </c>
    </row>
    <row r="25555" spans="1:1" ht="12.75">
      <c r="A25555" s="2" t="s">
        <v>671</v>
      </c>
    </row>
    <row r="25556" spans="1:1" ht="12.75">
      <c r="A25556" s="2" t="s">
        <v>664</v>
      </c>
    </row>
    <row r="25557" spans="1:1" ht="12.75">
      <c r="A25557" s="2" t="s">
        <v>673</v>
      </c>
    </row>
    <row r="25558" spans="1:1" ht="12.75">
      <c r="A25558" s="2" t="s">
        <v>664</v>
      </c>
    </row>
    <row r="25559" spans="1:1" ht="12.75">
      <c r="A25559" s="2" t="s">
        <v>665</v>
      </c>
    </row>
    <row r="25560" spans="1:1" ht="12.75">
      <c r="A25560" s="2" t="s">
        <v>664</v>
      </c>
    </row>
    <row r="25561" spans="1:1" ht="12.75">
      <c r="A25561" s="2" t="s">
        <v>664</v>
      </c>
    </row>
    <row r="25562" spans="1:1" ht="12.75">
      <c r="A25562" s="2" t="s">
        <v>666</v>
      </c>
    </row>
    <row r="25563" spans="1:1" ht="12.75">
      <c r="A25563" s="2" t="s">
        <v>664</v>
      </c>
    </row>
    <row r="25564" spans="1:1" ht="12.75">
      <c r="A25564" s="2" t="s">
        <v>664</v>
      </c>
    </row>
    <row r="25565" spans="1:1" ht="12.75">
      <c r="A25565" s="2" t="s">
        <v>664</v>
      </c>
    </row>
    <row r="25566" spans="1:1" ht="12.75">
      <c r="A25566" s="2" t="s">
        <v>665</v>
      </c>
    </row>
    <row r="25567" spans="1:1" ht="12.75">
      <c r="A25567" s="2" t="s">
        <v>673</v>
      </c>
    </row>
    <row r="25568" spans="1:1" ht="12.75">
      <c r="A25568" s="2" t="s">
        <v>665</v>
      </c>
    </row>
    <row r="25569" spans="1:1" ht="12.75">
      <c r="A25569" s="2" t="s">
        <v>671</v>
      </c>
    </row>
    <row r="25570" spans="1:1" ht="12.75">
      <c r="A25570" s="2" t="s">
        <v>664</v>
      </c>
    </row>
    <row r="25571" spans="1:1" ht="12.75">
      <c r="A25571" s="2" t="s">
        <v>662</v>
      </c>
    </row>
    <row r="25572" spans="1:1" ht="12.75">
      <c r="A25572" s="2" t="s">
        <v>671</v>
      </c>
    </row>
    <row r="25573" spans="1:1" ht="12.75">
      <c r="A25573" s="2" t="s">
        <v>664</v>
      </c>
    </row>
    <row r="25574" spans="1:1" ht="12.75">
      <c r="A25574" s="2" t="s">
        <v>673</v>
      </c>
    </row>
    <row r="25575" spans="1:1" ht="12.75">
      <c r="A25575" s="2" t="s">
        <v>671</v>
      </c>
    </row>
    <row r="25576" spans="1:1" ht="12.75">
      <c r="A25576" s="2" t="s">
        <v>664</v>
      </c>
    </row>
    <row r="25577" spans="1:1" ht="12.75">
      <c r="A25577" s="2" t="s">
        <v>671</v>
      </c>
    </row>
    <row r="25578" spans="1:1" ht="12.75">
      <c r="A25578" s="2" t="s">
        <v>664</v>
      </c>
    </row>
    <row r="25579" spans="1:1" ht="12.75">
      <c r="A25579" s="2" t="s">
        <v>666</v>
      </c>
    </row>
    <row r="25580" spans="1:1" ht="12.75">
      <c r="A25580" s="2" t="s">
        <v>665</v>
      </c>
    </row>
    <row r="25581" spans="1:1" ht="12.75">
      <c r="A25581" s="2" t="s">
        <v>665</v>
      </c>
    </row>
    <row r="25582" spans="1:1" ht="12.75">
      <c r="A25582" s="2" t="s">
        <v>664</v>
      </c>
    </row>
    <row r="25583" spans="1:1" ht="12.75">
      <c r="A25583" s="2" t="s">
        <v>664</v>
      </c>
    </row>
    <row r="25584" spans="1:1" ht="12.75">
      <c r="A25584" s="2" t="s">
        <v>664</v>
      </c>
    </row>
    <row r="25585" spans="1:1" ht="12.75">
      <c r="A25585" s="2" t="s">
        <v>312</v>
      </c>
    </row>
    <row r="25586" spans="1:1" ht="12.75">
      <c r="A25586" s="2" t="s">
        <v>673</v>
      </c>
    </row>
    <row r="25587" spans="1:1" ht="12.75">
      <c r="A25587" s="2" t="s">
        <v>667</v>
      </c>
    </row>
    <row r="25588" spans="1:1" ht="12.75">
      <c r="A25588" s="2" t="s">
        <v>671</v>
      </c>
    </row>
    <row r="25589" spans="1:1" ht="12.75">
      <c r="A25589" s="2" t="s">
        <v>312</v>
      </c>
    </row>
    <row r="25590" spans="1:1" ht="12.75">
      <c r="A25590" s="2" t="s">
        <v>662</v>
      </c>
    </row>
    <row r="25591" spans="1:1" ht="12.75">
      <c r="A25591" s="2" t="s">
        <v>662</v>
      </c>
    </row>
    <row r="25592" spans="1:1" ht="12.75">
      <c r="A25592" s="2" t="s">
        <v>666</v>
      </c>
    </row>
    <row r="25593" spans="1:1" ht="12.75">
      <c r="A25593" s="2" t="s">
        <v>671</v>
      </c>
    </row>
    <row r="25594" spans="1:1" ht="12.75">
      <c r="A25594" s="2" t="s">
        <v>993</v>
      </c>
    </row>
    <row r="25595" spans="1:1" ht="12.75">
      <c r="A25595" s="2" t="s">
        <v>662</v>
      </c>
    </row>
    <row r="25596" spans="1:1" ht="12.75">
      <c r="A25596" s="2" t="s">
        <v>665</v>
      </c>
    </row>
    <row r="25597" spans="1:1" ht="12.75">
      <c r="A25597" s="2" t="s">
        <v>780</v>
      </c>
    </row>
    <row r="25598" spans="1:1" ht="12.75">
      <c r="A25598" s="2" t="s">
        <v>664</v>
      </c>
    </row>
    <row r="25599" spans="1:1" ht="12.75">
      <c r="A25599" s="2" t="s">
        <v>664</v>
      </c>
    </row>
    <row r="25600" spans="1:1" ht="12.75">
      <c r="A25600" s="2" t="s">
        <v>671</v>
      </c>
    </row>
    <row r="25601" spans="1:1" ht="12.75">
      <c r="A25601" s="2" t="s">
        <v>667</v>
      </c>
    </row>
    <row r="25602" spans="1:1" ht="12.75">
      <c r="A25602" s="2" t="s">
        <v>312</v>
      </c>
    </row>
    <row r="25603" spans="1:1" ht="12.75">
      <c r="A25603" s="2" t="s">
        <v>312</v>
      </c>
    </row>
    <row r="25604" spans="1:1" ht="12.75">
      <c r="A25604" s="2" t="s">
        <v>671</v>
      </c>
    </row>
    <row r="25605" spans="1:1" ht="12.75">
      <c r="A25605" s="2" t="s">
        <v>673</v>
      </c>
    </row>
    <row r="25606" spans="1:1" ht="12.75">
      <c r="A25606" s="2" t="s">
        <v>312</v>
      </c>
    </row>
    <row r="25607" spans="1:1" ht="12.75">
      <c r="A25607" s="2" t="s">
        <v>673</v>
      </c>
    </row>
    <row r="25608" spans="1:1" ht="12.75">
      <c r="A25608" s="2" t="s">
        <v>782</v>
      </c>
    </row>
    <row r="25609" spans="1:1" ht="12.75">
      <c r="A25609" s="2" t="s">
        <v>662</v>
      </c>
    </row>
    <row r="25610" spans="1:1" ht="12.75">
      <c r="A25610" s="2" t="s">
        <v>673</v>
      </c>
    </row>
    <row r="25611" spans="1:1" ht="12.75">
      <c r="A25611" s="2" t="s">
        <v>662</v>
      </c>
    </row>
    <row r="25612" spans="1:1" ht="12.75">
      <c r="A25612" s="2" t="s">
        <v>665</v>
      </c>
    </row>
    <row r="25613" spans="1:1" ht="12.75">
      <c r="A25613" s="2" t="s">
        <v>665</v>
      </c>
    </row>
    <row r="25614" spans="1:1" ht="12.75">
      <c r="A25614" s="2" t="s">
        <v>312</v>
      </c>
    </row>
    <row r="25615" spans="1:1" ht="12.75">
      <c r="A25615" s="2" t="s">
        <v>664</v>
      </c>
    </row>
    <row r="25616" spans="1:1" ht="12.75">
      <c r="A25616" s="2" t="s">
        <v>312</v>
      </c>
    </row>
    <row r="25617" spans="1:1" ht="12.75">
      <c r="A25617" s="2" t="s">
        <v>664</v>
      </c>
    </row>
    <row r="25618" spans="1:1" ht="12.75">
      <c r="A25618" s="2" t="s">
        <v>673</v>
      </c>
    </row>
    <row r="25619" spans="1:1" ht="12.75">
      <c r="A25619" s="2" t="s">
        <v>673</v>
      </c>
    </row>
    <row r="25620" spans="1:1" ht="12.75">
      <c r="A25620" s="2" t="s">
        <v>312</v>
      </c>
    </row>
    <row r="25621" spans="1:1" ht="12.75">
      <c r="A25621" s="2" t="s">
        <v>662</v>
      </c>
    </row>
    <row r="25622" spans="1:1" ht="12.75">
      <c r="A25622" s="2" t="s">
        <v>671</v>
      </c>
    </row>
    <row r="25623" spans="1:1" ht="12.75">
      <c r="A25623" s="2" t="s">
        <v>312</v>
      </c>
    </row>
    <row r="25624" spans="1:1" ht="12.75">
      <c r="A25624" s="2" t="s">
        <v>782</v>
      </c>
    </row>
    <row r="25625" spans="1:1" ht="12.75">
      <c r="A25625" s="2" t="s">
        <v>671</v>
      </c>
    </row>
    <row r="25626" spans="1:1" ht="12.75">
      <c r="A25626" s="2" t="s">
        <v>312</v>
      </c>
    </row>
    <row r="25627" spans="1:1" ht="12.75">
      <c r="A25627" s="2" t="s">
        <v>664</v>
      </c>
    </row>
    <row r="25628" spans="1:1" ht="12.75">
      <c r="A25628" s="2" t="s">
        <v>673</v>
      </c>
    </row>
    <row r="25629" spans="1:1" ht="12.75">
      <c r="A25629" s="2" t="s">
        <v>664</v>
      </c>
    </row>
    <row r="25630" spans="1:1" ht="12.75">
      <c r="A25630" s="2" t="s">
        <v>662</v>
      </c>
    </row>
    <row r="25631" spans="1:1" ht="12.75">
      <c r="A25631" s="2" t="s">
        <v>312</v>
      </c>
    </row>
    <row r="25632" spans="1:1" ht="12.75">
      <c r="A25632" s="2" t="s">
        <v>671</v>
      </c>
    </row>
    <row r="25633" spans="1:1" ht="12.75">
      <c r="A25633" s="2" t="s">
        <v>312</v>
      </c>
    </row>
    <row r="25634" spans="1:1" ht="12.75">
      <c r="A25634" s="2" t="s">
        <v>673</v>
      </c>
    </row>
    <row r="25635" spans="1:1" ht="12.75">
      <c r="A25635" s="2" t="s">
        <v>664</v>
      </c>
    </row>
    <row r="25636" spans="1:1" ht="12.75">
      <c r="A25636" s="2" t="s">
        <v>666</v>
      </c>
    </row>
    <row r="25637" spans="1:1" ht="12.75">
      <c r="A25637" s="2" t="s">
        <v>664</v>
      </c>
    </row>
    <row r="25638" spans="1:1" ht="12.75">
      <c r="A25638" s="2" t="s">
        <v>312</v>
      </c>
    </row>
    <row r="25639" spans="1:1" ht="12.75">
      <c r="A25639" s="2" t="s">
        <v>664</v>
      </c>
    </row>
    <row r="25640" spans="1:1" ht="12.75">
      <c r="A25640" s="2" t="s">
        <v>673</v>
      </c>
    </row>
    <row r="25641" spans="1:1" ht="12.75">
      <c r="A25641" s="2" t="s">
        <v>312</v>
      </c>
    </row>
    <row r="25642" spans="1:1" ht="12.75">
      <c r="A25642" s="2" t="s">
        <v>673</v>
      </c>
    </row>
    <row r="25643" spans="1:1" ht="12.75">
      <c r="A25643" s="2" t="s">
        <v>671</v>
      </c>
    </row>
    <row r="25644" spans="1:1" ht="12.75">
      <c r="A25644" s="2" t="s">
        <v>662</v>
      </c>
    </row>
    <row r="25645" spans="1:1" ht="12.75">
      <c r="A25645" s="2" t="s">
        <v>312</v>
      </c>
    </row>
    <row r="25646" spans="1:1" ht="12.75">
      <c r="A25646" s="2" t="s">
        <v>673</v>
      </c>
    </row>
    <row r="25647" spans="1:1" ht="12.75">
      <c r="A25647" s="2" t="s">
        <v>666</v>
      </c>
    </row>
    <row r="25648" spans="1:1" ht="12.75">
      <c r="A25648" s="2" t="s">
        <v>671</v>
      </c>
    </row>
    <row r="25649" spans="1:1" ht="12.75">
      <c r="A25649" s="2" t="s">
        <v>665</v>
      </c>
    </row>
    <row r="25650" spans="1:1" ht="12.75">
      <c r="A25650" s="2" t="s">
        <v>664</v>
      </c>
    </row>
    <row r="25651" spans="1:1" ht="12.75">
      <c r="A25651" s="2" t="s">
        <v>665</v>
      </c>
    </row>
    <row r="25652" spans="1:1" ht="12.75">
      <c r="A25652" s="2" t="s">
        <v>664</v>
      </c>
    </row>
    <row r="25653" spans="1:1" ht="12.75">
      <c r="A25653" s="2" t="s">
        <v>664</v>
      </c>
    </row>
    <row r="25654" spans="1:1" ht="12.75">
      <c r="A25654" s="2" t="s">
        <v>673</v>
      </c>
    </row>
    <row r="25655" spans="1:1" ht="12.75">
      <c r="A25655" s="2" t="s">
        <v>667</v>
      </c>
    </row>
    <row r="25656" spans="1:1" ht="12.75">
      <c r="A25656" s="2" t="s">
        <v>664</v>
      </c>
    </row>
    <row r="25657" spans="1:1" ht="12.75">
      <c r="A25657" s="2" t="s">
        <v>312</v>
      </c>
    </row>
    <row r="25658" spans="1:1" ht="12.75">
      <c r="A25658" s="2" t="s">
        <v>312</v>
      </c>
    </row>
    <row r="25659" spans="1:1" ht="12.75">
      <c r="A25659" s="2" t="s">
        <v>667</v>
      </c>
    </row>
    <row r="25660" spans="1:1" ht="12.75">
      <c r="A25660" s="2" t="s">
        <v>664</v>
      </c>
    </row>
    <row r="25661" spans="1:1" ht="12.75">
      <c r="A25661" s="2" t="s">
        <v>664</v>
      </c>
    </row>
    <row r="25662" spans="1:1" ht="12.75">
      <c r="A25662" s="2" t="s">
        <v>664</v>
      </c>
    </row>
    <row r="25663" spans="1:1" ht="12.75">
      <c r="A25663" s="2" t="s">
        <v>790</v>
      </c>
    </row>
    <row r="25664" spans="1:1" ht="12.75">
      <c r="A25664" s="2" t="s">
        <v>667</v>
      </c>
    </row>
    <row r="25665" spans="1:1" ht="12.75">
      <c r="A25665" s="2" t="s">
        <v>780</v>
      </c>
    </row>
    <row r="25666" spans="1:1" ht="12.75">
      <c r="A25666" s="2" t="s">
        <v>312</v>
      </c>
    </row>
    <row r="25667" spans="1:1" ht="12.75">
      <c r="A25667" s="2" t="s">
        <v>671</v>
      </c>
    </row>
    <row r="25668" spans="1:1" ht="12.75">
      <c r="A25668" s="2" t="s">
        <v>671</v>
      </c>
    </row>
    <row r="25669" spans="1:1" ht="12.75">
      <c r="A25669" s="2" t="s">
        <v>662</v>
      </c>
    </row>
    <row r="25670" spans="1:1" ht="12.75">
      <c r="A25670" s="2" t="s">
        <v>673</v>
      </c>
    </row>
    <row r="25671" spans="1:1" ht="12.75">
      <c r="A25671" s="2" t="s">
        <v>673</v>
      </c>
    </row>
    <row r="25672" spans="1:1" ht="12.75">
      <c r="A25672" s="2" t="s">
        <v>673</v>
      </c>
    </row>
    <row r="25673" spans="1:1" ht="12.75">
      <c r="A25673" s="2" t="s">
        <v>312</v>
      </c>
    </row>
    <row r="25674" spans="1:1" ht="12.75">
      <c r="A25674" s="2" t="s">
        <v>312</v>
      </c>
    </row>
    <row r="25675" spans="1:1" ht="12.75">
      <c r="A25675" s="2" t="s">
        <v>664</v>
      </c>
    </row>
    <row r="25676" spans="1:1" ht="12.75">
      <c r="A25676" s="2" t="s">
        <v>664</v>
      </c>
    </row>
    <row r="25677" spans="1:1" ht="12.75">
      <c r="A25677" s="2" t="s">
        <v>667</v>
      </c>
    </row>
    <row r="25678" spans="1:1" ht="12.75">
      <c r="A25678" s="2" t="s">
        <v>664</v>
      </c>
    </row>
    <row r="25679" spans="1:1" ht="12.75">
      <c r="A25679" s="2" t="s">
        <v>780</v>
      </c>
    </row>
    <row r="25680" spans="1:1" ht="12.75">
      <c r="A25680" s="2" t="s">
        <v>667</v>
      </c>
    </row>
    <row r="25681" spans="1:1" ht="12.75">
      <c r="A25681" s="2" t="s">
        <v>673</v>
      </c>
    </row>
    <row r="25682" spans="1:1" ht="12.75">
      <c r="A25682" s="2" t="s">
        <v>782</v>
      </c>
    </row>
    <row r="25683" spans="1:1" ht="12.75">
      <c r="A25683" s="2" t="s">
        <v>662</v>
      </c>
    </row>
    <row r="25684" spans="1:1" ht="12.75">
      <c r="A25684" s="2" t="s">
        <v>671</v>
      </c>
    </row>
    <row r="25685" spans="1:1" ht="12.75">
      <c r="A25685" s="2" t="s">
        <v>664</v>
      </c>
    </row>
    <row r="25686" spans="1:1" ht="12.75">
      <c r="A25686" s="2" t="s">
        <v>662</v>
      </c>
    </row>
    <row r="25687" spans="1:1" ht="12.75">
      <c r="A25687" s="2" t="s">
        <v>212</v>
      </c>
    </row>
    <row r="25688" spans="1:1" ht="12.75">
      <c r="A25688" s="2" t="s">
        <v>212</v>
      </c>
    </row>
    <row r="25689" spans="1:1" ht="12.75">
      <c r="A25689" s="2" t="s">
        <v>209</v>
      </c>
    </row>
    <row r="25690" spans="1:1" ht="12.75">
      <c r="A25690" s="2" t="s">
        <v>209</v>
      </c>
    </row>
    <row r="25691" spans="1:1" ht="12.75">
      <c r="A25691" s="2" t="s">
        <v>209</v>
      </c>
    </row>
    <row r="25692" spans="1:1" ht="12.75">
      <c r="A25692" s="2" t="s">
        <v>209</v>
      </c>
    </row>
    <row r="25693" spans="1:1" ht="12.75">
      <c r="A25693" s="2" t="s">
        <v>209</v>
      </c>
    </row>
    <row r="25694" spans="1:1" ht="12.75">
      <c r="A25694" s="2" t="s">
        <v>209</v>
      </c>
    </row>
    <row r="25701" spans="1:1" ht="12.75">
      <c r="A25701" s="2" t="s">
        <v>210</v>
      </c>
    </row>
    <row r="25702" spans="1:1" ht="12.75">
      <c r="A25702" s="2" t="s">
        <v>210</v>
      </c>
    </row>
    <row r="25703" spans="1:1" ht="12.75">
      <c r="A25703" s="2" t="s">
        <v>210</v>
      </c>
    </row>
    <row r="25704" spans="1:1" ht="12.75">
      <c r="A25704" s="2" t="s">
        <v>210</v>
      </c>
    </row>
    <row r="25705" spans="1:1" ht="12.75">
      <c r="A25705" s="2" t="s">
        <v>364</v>
      </c>
    </row>
    <row r="25706" spans="1:1" ht="12.75">
      <c r="A25706" s="2" t="s">
        <v>364</v>
      </c>
    </row>
    <row r="25707" spans="1:1" ht="12.75">
      <c r="A25707" s="2" t="s">
        <v>364</v>
      </c>
    </row>
    <row r="25708" spans="1:1" ht="12.75">
      <c r="A25708" s="2" t="s">
        <v>364</v>
      </c>
    </row>
    <row r="25709" spans="1:1" ht="12.75">
      <c r="A25709" s="2" t="s">
        <v>364</v>
      </c>
    </row>
    <row r="25710" spans="1:1" ht="12.75">
      <c r="A25710" s="2" t="s">
        <v>364</v>
      </c>
    </row>
    <row r="25711" spans="1:1" ht="12.75">
      <c r="A25711" s="2" t="s">
        <v>364</v>
      </c>
    </row>
    <row r="25712" spans="1:1" ht="12.75">
      <c r="A25712" s="2" t="s">
        <v>364</v>
      </c>
    </row>
    <row r="25713" spans="1:1" ht="12.75">
      <c r="A25713" s="2" t="s">
        <v>486</v>
      </c>
    </row>
    <row r="25714" spans="1:1" ht="12.75">
      <c r="A25714" s="2" t="s">
        <v>366</v>
      </c>
    </row>
    <row r="25715" spans="1:1" ht="12.75">
      <c r="A25715" s="2" t="s">
        <v>787</v>
      </c>
    </row>
    <row r="25716" spans="1:1" ht="12.75">
      <c r="A25716" s="2" t="s">
        <v>212</v>
      </c>
    </row>
    <row r="25717" spans="1:1" ht="12.75">
      <c r="A25717" s="2" t="s">
        <v>350</v>
      </c>
    </row>
    <row r="25718" spans="1:1" ht="12.75">
      <c r="A25718" s="2" t="s">
        <v>211</v>
      </c>
    </row>
    <row r="25719" spans="1:1" ht="12.75">
      <c r="A25719" s="2" t="s">
        <v>209</v>
      </c>
    </row>
    <row r="25720" spans="1:1" ht="12.75">
      <c r="A25720" s="2" t="s">
        <v>211</v>
      </c>
    </row>
    <row r="25721" spans="1:1" ht="12.75">
      <c r="A25721" s="2" t="s">
        <v>209</v>
      </c>
    </row>
    <row r="25722" spans="1:1" ht="12.75">
      <c r="A25722" s="2" t="s">
        <v>209</v>
      </c>
    </row>
    <row r="25723" spans="1:1" ht="12.75">
      <c r="A25723" s="2" t="s">
        <v>212</v>
      </c>
    </row>
    <row r="25724" spans="1:1" ht="12.75">
      <c r="A25724" s="2" t="s">
        <v>212</v>
      </c>
    </row>
    <row r="25725" spans="1:1" ht="12.75">
      <c r="A25725" s="2" t="s">
        <v>366</v>
      </c>
    </row>
    <row r="25726" spans="1:1" ht="12.75">
      <c r="A25726" s="2" t="s">
        <v>366</v>
      </c>
    </row>
    <row r="25727" spans="1:1" ht="12.75">
      <c r="A25727" s="2" t="s">
        <v>210</v>
      </c>
    </row>
    <row r="25728" spans="1:1" ht="12.75">
      <c r="A25728" s="2" t="s">
        <v>210</v>
      </c>
    </row>
    <row r="25729" spans="1:1" ht="12.75">
      <c r="A25729" s="2" t="s">
        <v>210</v>
      </c>
    </row>
    <row r="25730" spans="1:1" ht="12.75">
      <c r="A25730" s="2" t="s">
        <v>210</v>
      </c>
    </row>
    <row r="25731" spans="1:1" ht="12.75">
      <c r="A25731" s="2" t="s">
        <v>210</v>
      </c>
    </row>
    <row r="25732" spans="1:1" ht="12.75">
      <c r="A25732" s="2" t="s">
        <v>210</v>
      </c>
    </row>
    <row r="25733" spans="1:1" ht="12.75">
      <c r="A25733" s="2" t="s">
        <v>210</v>
      </c>
    </row>
    <row r="25734" spans="1:1" ht="12.75">
      <c r="A25734" s="2" t="s">
        <v>210</v>
      </c>
    </row>
    <row r="25735" spans="1:1" ht="12.75">
      <c r="A25735" s="2" t="s">
        <v>364</v>
      </c>
    </row>
    <row r="25736" spans="1:1" ht="12.75">
      <c r="A25736" s="2" t="s">
        <v>364</v>
      </c>
    </row>
    <row r="25737" spans="1:1" ht="12.75">
      <c r="A25737" s="2" t="s">
        <v>364</v>
      </c>
    </row>
    <row r="25738" spans="1:1" ht="12.75">
      <c r="A25738" s="2" t="s">
        <v>364</v>
      </c>
    </row>
    <row r="25739" spans="1:1" ht="12.75">
      <c r="A25739" s="2" t="s">
        <v>364</v>
      </c>
    </row>
    <row r="25740" spans="1:1" ht="12.75">
      <c r="A25740" s="2" t="s">
        <v>364</v>
      </c>
    </row>
    <row r="25741" spans="1:1" ht="12.75">
      <c r="A25741" s="2" t="s">
        <v>211</v>
      </c>
    </row>
    <row r="25742" spans="1:1" ht="12.75">
      <c r="A25742" s="2" t="s">
        <v>148</v>
      </c>
    </row>
    <row r="25743" spans="1:1" ht="12.75">
      <c r="A25743" s="2" t="s">
        <v>211</v>
      </c>
    </row>
    <row r="25744" spans="1:1" ht="12.75">
      <c r="A25744" s="2" t="s">
        <v>211</v>
      </c>
    </row>
    <row r="25745" spans="1:1" ht="12.75">
      <c r="A25745" s="2" t="s">
        <v>787</v>
      </c>
    </row>
    <row r="25746" spans="1:1" ht="12.75">
      <c r="A25746" s="2" t="s">
        <v>787</v>
      </c>
    </row>
    <row r="25747" spans="1:1" ht="12.75">
      <c r="A25747" s="2" t="s">
        <v>209</v>
      </c>
    </row>
    <row r="25748" spans="1:1" ht="12.75">
      <c r="A25748" s="2" t="s">
        <v>188</v>
      </c>
    </row>
    <row r="25749" spans="1:1" ht="12.75">
      <c r="A25749" s="2" t="s">
        <v>209</v>
      </c>
    </row>
    <row r="25750" spans="1:1" ht="12.75">
      <c r="A25750" s="2" t="s">
        <v>209</v>
      </c>
    </row>
    <row r="25751" spans="1:1" ht="12.75">
      <c r="A25751" s="2" t="s">
        <v>188</v>
      </c>
    </row>
    <row r="25752" spans="1:1" ht="12.75">
      <c r="A25752" s="2" t="s">
        <v>188</v>
      </c>
    </row>
    <row r="25753" spans="1:1" ht="12.75">
      <c r="A25753" s="2" t="s">
        <v>188</v>
      </c>
    </row>
    <row r="25754" spans="1:1" ht="12.75">
      <c r="A25754" s="2" t="s">
        <v>787</v>
      </c>
    </row>
    <row r="25755" spans="1:1" ht="12.75">
      <c r="A25755" s="2" t="s">
        <v>188</v>
      </c>
    </row>
    <row r="25756" spans="1:1" ht="12.75">
      <c r="A25756" s="2" t="s">
        <v>211</v>
      </c>
    </row>
    <row r="25757" spans="1:1" ht="12.75">
      <c r="A25757" s="2" t="s">
        <v>188</v>
      </c>
    </row>
    <row r="25758" spans="1:1" ht="12.75">
      <c r="A25758" s="2" t="s">
        <v>188</v>
      </c>
    </row>
    <row r="25759" spans="1:1" ht="12.75">
      <c r="A25759" s="2" t="s">
        <v>188</v>
      </c>
    </row>
    <row r="25760" spans="1:1" ht="12.75">
      <c r="A25760" s="2" t="s">
        <v>188</v>
      </c>
    </row>
    <row r="25761" spans="1:1" ht="12.75">
      <c r="A25761" s="2" t="s">
        <v>188</v>
      </c>
    </row>
    <row r="25762" spans="1:1" ht="12.75">
      <c r="A25762" s="2" t="s">
        <v>188</v>
      </c>
    </row>
    <row r="25763" spans="1:1" ht="12.75">
      <c r="A25763" s="2" t="s">
        <v>188</v>
      </c>
    </row>
    <row r="25764" spans="1:1" ht="12.75">
      <c r="A25764" s="2" t="s">
        <v>787</v>
      </c>
    </row>
    <row r="25765" spans="1:1" ht="12.75">
      <c r="A25765" s="2" t="s">
        <v>188</v>
      </c>
    </row>
    <row r="25766" spans="1:1" ht="12.75">
      <c r="A25766" s="2" t="s">
        <v>787</v>
      </c>
    </row>
    <row r="25767" spans="1:1" ht="12.75">
      <c r="A25767" s="2" t="s">
        <v>148</v>
      </c>
    </row>
    <row r="25768" spans="1:1" ht="12.75">
      <c r="A25768" s="2" t="s">
        <v>148</v>
      </c>
    </row>
    <row r="25769" spans="1:1" ht="12.75">
      <c r="A25769" s="2" t="s">
        <v>366</v>
      </c>
    </row>
    <row r="25770" spans="1:1" ht="12.75">
      <c r="A25770" s="2" t="s">
        <v>366</v>
      </c>
    </row>
    <row r="25771" spans="1:1" ht="12.75">
      <c r="A25771" s="2" t="s">
        <v>210</v>
      </c>
    </row>
    <row r="25772" spans="1:1" ht="12.75">
      <c r="A25772" s="2" t="s">
        <v>210</v>
      </c>
    </row>
    <row r="25773" spans="1:1" ht="12.75">
      <c r="A25773" s="2" t="s">
        <v>210</v>
      </c>
    </row>
    <row r="25774" spans="1:1" ht="12.75">
      <c r="A25774" s="2" t="s">
        <v>210</v>
      </c>
    </row>
    <row r="25775" spans="1:1" ht="12.75">
      <c r="A25775" s="2" t="s">
        <v>210</v>
      </c>
    </row>
    <row r="25776" spans="1:1" ht="12.75">
      <c r="A25776" s="2" t="s">
        <v>210</v>
      </c>
    </row>
    <row r="25777" spans="1:1" ht="12.75">
      <c r="A25777" s="2" t="s">
        <v>209</v>
      </c>
    </row>
    <row r="25778" spans="1:1" ht="12.75">
      <c r="A25778" s="2" t="s">
        <v>209</v>
      </c>
    </row>
    <row r="25779" spans="1:1" ht="12.75">
      <c r="A25779" s="2" t="s">
        <v>210</v>
      </c>
    </row>
    <row r="25780" spans="1:1" ht="12.75">
      <c r="A25780" s="2" t="s">
        <v>148</v>
      </c>
    </row>
    <row r="25781" spans="1:1" ht="12.75">
      <c r="A25781" s="2" t="s">
        <v>364</v>
      </c>
    </row>
    <row r="25782" spans="1:1" ht="12.75">
      <c r="A25782" s="2" t="s">
        <v>364</v>
      </c>
    </row>
    <row r="25783" spans="1:1" ht="12.75">
      <c r="A25783" s="2" t="s">
        <v>364</v>
      </c>
    </row>
    <row r="25784" spans="1:1" ht="12.75">
      <c r="A25784" s="2" t="s">
        <v>364</v>
      </c>
    </row>
    <row r="25785" spans="1:1" ht="12.75">
      <c r="A25785" s="2" t="s">
        <v>210</v>
      </c>
    </row>
    <row r="25786" spans="1:1" ht="12.75">
      <c r="A25786" s="2" t="s">
        <v>210</v>
      </c>
    </row>
    <row r="25787" spans="1:1" ht="12.75">
      <c r="A25787" s="2" t="s">
        <v>148</v>
      </c>
    </row>
    <row r="25788" spans="1:1" ht="12.75">
      <c r="A25788" s="2" t="s">
        <v>148</v>
      </c>
    </row>
    <row r="25789" spans="1:1" ht="12.75">
      <c r="A25789" s="2" t="s">
        <v>364</v>
      </c>
    </row>
    <row r="25790" spans="1:1" ht="12.75">
      <c r="A25790" s="2" t="s">
        <v>364</v>
      </c>
    </row>
    <row r="25791" spans="1:1" ht="12.75">
      <c r="A25791" s="2" t="s">
        <v>210</v>
      </c>
    </row>
    <row r="25792" spans="1:1" ht="12.75">
      <c r="A25792" s="2" t="s">
        <v>210</v>
      </c>
    </row>
    <row r="25793" spans="1:1" ht="12.75">
      <c r="A25793" s="2" t="s">
        <v>211</v>
      </c>
    </row>
    <row r="25794" spans="1:1" ht="12.75">
      <c r="A25794" s="2" t="s">
        <v>486</v>
      </c>
    </row>
    <row r="25795" spans="1:1" ht="12.75">
      <c r="A25795" s="2" t="s">
        <v>209</v>
      </c>
    </row>
    <row r="25796" spans="1:1" ht="12.75">
      <c r="A25796" s="2" t="s">
        <v>209</v>
      </c>
    </row>
    <row r="25797" spans="1:1" ht="12.75">
      <c r="A25797" s="2" t="s">
        <v>209</v>
      </c>
    </row>
    <row r="25798" spans="1:1" ht="12.75">
      <c r="A25798" s="2" t="s">
        <v>209</v>
      </c>
    </row>
    <row r="25799" spans="1:1" ht="12.75">
      <c r="A25799" s="2" t="s">
        <v>787</v>
      </c>
    </row>
    <row r="25800" spans="1:1" ht="12.75">
      <c r="A25800" s="2" t="s">
        <v>787</v>
      </c>
    </row>
    <row r="25801" spans="1:1" ht="12.75">
      <c r="A25801" s="2" t="s">
        <v>787</v>
      </c>
    </row>
    <row r="25802" spans="1:1" ht="12.75">
      <c r="A25802" s="2" t="s">
        <v>787</v>
      </c>
    </row>
    <row r="25803" spans="1:1" ht="12.75">
      <c r="A25803" s="2" t="s">
        <v>486</v>
      </c>
    </row>
    <row r="25804" spans="1:1" ht="12.75">
      <c r="A25804" s="2" t="s">
        <v>787</v>
      </c>
    </row>
    <row r="25805" spans="1:1" ht="12.75">
      <c r="A25805" s="2" t="s">
        <v>787</v>
      </c>
    </row>
    <row r="25806" spans="1:1" ht="12.75">
      <c r="A25806" s="2" t="s">
        <v>787</v>
      </c>
    </row>
    <row r="25807" spans="1:1" ht="12.75">
      <c r="A25807" s="2" t="s">
        <v>787</v>
      </c>
    </row>
    <row r="25808" spans="1:1" ht="12.75">
      <c r="A25808" s="2" t="s">
        <v>787</v>
      </c>
    </row>
    <row r="25809" spans="1:1" ht="12.75">
      <c r="A25809" s="2" t="s">
        <v>211</v>
      </c>
    </row>
    <row r="25810" spans="1:1" ht="12.75">
      <c r="A25810" s="2" t="s">
        <v>211</v>
      </c>
    </row>
    <row r="25811" spans="1:1" ht="12.75">
      <c r="A25811" s="2" t="s">
        <v>364</v>
      </c>
    </row>
    <row r="25812" spans="1:1" ht="12.75">
      <c r="A25812" s="2" t="s">
        <v>364</v>
      </c>
    </row>
    <row r="25813" spans="1:1" ht="12.75">
      <c r="A25813" s="2" t="s">
        <v>209</v>
      </c>
    </row>
    <row r="25814" spans="1:1" ht="12.75">
      <c r="A25814" s="2" t="s">
        <v>209</v>
      </c>
    </row>
    <row r="25815" spans="1:1" ht="12.75">
      <c r="A25815" s="2" t="s">
        <v>209</v>
      </c>
    </row>
    <row r="25816" spans="1:1" ht="12.75">
      <c r="A25816" s="2" t="s">
        <v>209</v>
      </c>
    </row>
    <row r="25817" spans="1:1" ht="12.75">
      <c r="A25817" s="2" t="s">
        <v>364</v>
      </c>
    </row>
    <row r="25818" spans="1:1" ht="12.75">
      <c r="A25818" s="2" t="s">
        <v>364</v>
      </c>
    </row>
    <row r="25819" spans="1:1" ht="12.75">
      <c r="A25819" s="2" t="s">
        <v>364</v>
      </c>
    </row>
    <row r="25820" spans="1:1" ht="12.75">
      <c r="A25820" s="2" t="s">
        <v>364</v>
      </c>
    </row>
    <row r="25821" spans="1:1" ht="12.75">
      <c r="A25821" s="2" t="s">
        <v>148</v>
      </c>
    </row>
    <row r="25822" spans="1:1" ht="12.75">
      <c r="A25822" s="2" t="s">
        <v>148</v>
      </c>
    </row>
    <row r="25823" spans="1:1" ht="12.75">
      <c r="A25823" s="2" t="s">
        <v>148</v>
      </c>
    </row>
    <row r="25824" spans="1:1" ht="12.75">
      <c r="A25824" s="2" t="s">
        <v>148</v>
      </c>
    </row>
    <row r="25825" spans="1:1" ht="12.75">
      <c r="A25825" s="2" t="s">
        <v>148</v>
      </c>
    </row>
    <row r="25826" spans="1:1" ht="12.75">
      <c r="A25826" s="2" t="s">
        <v>148</v>
      </c>
    </row>
    <row r="25827" spans="1:1" ht="12.75">
      <c r="A25827" s="2" t="s">
        <v>148</v>
      </c>
    </row>
    <row r="25828" spans="1:1" ht="12.75">
      <c r="A25828" s="2" t="s">
        <v>148</v>
      </c>
    </row>
    <row r="25829" spans="1:1" ht="12.75">
      <c r="A25829" s="2" t="s">
        <v>364</v>
      </c>
    </row>
    <row r="25830" spans="1:1" ht="12.75">
      <c r="A25830" s="2" t="s">
        <v>364</v>
      </c>
    </row>
    <row r="25831" spans="1:1" ht="12.75">
      <c r="A25831" s="2" t="s">
        <v>364</v>
      </c>
    </row>
    <row r="25832" spans="1:1" ht="12.75">
      <c r="A25832" s="2" t="s">
        <v>364</v>
      </c>
    </row>
    <row r="25833" spans="1:1" ht="12.75">
      <c r="A25833" s="2" t="s">
        <v>366</v>
      </c>
    </row>
    <row r="25834" spans="1:1" ht="12.75">
      <c r="A25834" s="2" t="s">
        <v>366</v>
      </c>
    </row>
    <row r="25835" spans="1:1" ht="12.75">
      <c r="A25835" s="2" t="s">
        <v>211</v>
      </c>
    </row>
    <row r="25836" spans="1:1" ht="12.75">
      <c r="A25836" s="2" t="s">
        <v>211</v>
      </c>
    </row>
    <row r="25837" spans="1:1" ht="12.75">
      <c r="A25837" s="2" t="s">
        <v>211</v>
      </c>
    </row>
    <row r="25838" spans="1:1" ht="12.75">
      <c r="A25838" s="2" t="s">
        <v>211</v>
      </c>
    </row>
    <row r="25839" spans="1:1" ht="12.75">
      <c r="A25839" s="2" t="s">
        <v>148</v>
      </c>
    </row>
    <row r="25840" spans="1:1" ht="12.75">
      <c r="A25840" s="2" t="s">
        <v>148</v>
      </c>
    </row>
    <row r="25841" spans="1:1" ht="12.75">
      <c r="A25841" s="2" t="s">
        <v>787</v>
      </c>
    </row>
    <row r="25842" spans="1:1" ht="12.75">
      <c r="A25842" s="2" t="s">
        <v>787</v>
      </c>
    </row>
    <row r="25843" spans="1:1" ht="12.75">
      <c r="A25843" s="2" t="s">
        <v>209</v>
      </c>
    </row>
    <row r="25844" spans="1:1" ht="12.75">
      <c r="A25844" s="2" t="s">
        <v>209</v>
      </c>
    </row>
    <row r="25845" spans="1:1" ht="12.75">
      <c r="A25845" s="2" t="s">
        <v>787</v>
      </c>
    </row>
    <row r="25846" spans="1:1" ht="12.75">
      <c r="A25846" s="2" t="s">
        <v>787</v>
      </c>
    </row>
    <row r="25847" spans="1:1" ht="12.75">
      <c r="A25847" s="2" t="s">
        <v>310</v>
      </c>
    </row>
    <row r="25848" spans="1:1" ht="12.75">
      <c r="A25848" s="2" t="s">
        <v>774</v>
      </c>
    </row>
    <row r="25849" spans="1:1" ht="12.75">
      <c r="A25849" s="2" t="s">
        <v>310</v>
      </c>
    </row>
    <row r="25850" spans="1:1" ht="12.75">
      <c r="A25850" s="2" t="s">
        <v>774</v>
      </c>
    </row>
    <row r="25851" spans="1:1" ht="12.75">
      <c r="A25851" s="2" t="s">
        <v>309</v>
      </c>
    </row>
    <row r="25852" spans="1:1" ht="12.75">
      <c r="A25852" s="2" t="s">
        <v>312</v>
      </c>
    </row>
    <row r="25853" spans="1:1" ht="12.75">
      <c r="A25853" s="2" t="s">
        <v>309</v>
      </c>
    </row>
    <row r="25854" spans="1:1" ht="12.75">
      <c r="A25854" s="2" t="s">
        <v>312</v>
      </c>
    </row>
    <row r="25855" spans="1:1" ht="12.75">
      <c r="A25855" s="2" t="s">
        <v>311</v>
      </c>
    </row>
    <row r="25856" spans="1:1" ht="12.75">
      <c r="A25856" s="2" t="s">
        <v>669</v>
      </c>
    </row>
    <row r="25857" spans="1:1" ht="12.75">
      <c r="A25857" s="2" t="s">
        <v>190</v>
      </c>
    </row>
    <row r="25858" spans="1:1" ht="12.75">
      <c r="A25858" s="2" t="s">
        <v>669</v>
      </c>
    </row>
    <row r="25859" spans="1:1" ht="12.75">
      <c r="A25859" s="2" t="s">
        <v>313</v>
      </c>
    </row>
    <row r="25861" spans="1:1" ht="12.75">
      <c r="A25861" s="2" t="s">
        <v>313</v>
      </c>
    </row>
    <row r="25862" spans="1:1" ht="12.75">
      <c r="A25862" s="2" t="s">
        <v>775</v>
      </c>
    </row>
    <row r="25863" spans="1:1" ht="12.75">
      <c r="A25863" s="2" t="s">
        <v>313</v>
      </c>
    </row>
    <row r="25864" spans="1:1" ht="12.75">
      <c r="A25864" s="2" t="s">
        <v>312</v>
      </c>
    </row>
    <row r="25865" spans="1:1" ht="12.75">
      <c r="A25865" s="2" t="s">
        <v>778</v>
      </c>
    </row>
    <row r="25866" spans="1:1" ht="12.75">
      <c r="A25866" s="2" t="s">
        <v>661</v>
      </c>
    </row>
    <row r="25867" spans="1:1" ht="12.75">
      <c r="A25867" s="2" t="s">
        <v>994</v>
      </c>
    </row>
    <row r="25868" spans="1:1" ht="12.75">
      <c r="A25868" s="2" t="s">
        <v>669</v>
      </c>
    </row>
    <row r="25869" spans="1:1" ht="12.75">
      <c r="A25869" s="2" t="s">
        <v>775</v>
      </c>
    </row>
    <row r="25870" spans="1:1" ht="12.75">
      <c r="A25870" s="2" t="s">
        <v>669</v>
      </c>
    </row>
    <row r="25871" spans="1:1" ht="12.75">
      <c r="A25871" s="2" t="s">
        <v>775</v>
      </c>
    </row>
    <row r="25872" spans="1:1" ht="12.75">
      <c r="A25872" s="2" t="s">
        <v>774</v>
      </c>
    </row>
    <row r="25873" spans="1:1" ht="12.75">
      <c r="A25873" s="2" t="s">
        <v>661</v>
      </c>
    </row>
    <row r="25874" spans="1:1" ht="12.75">
      <c r="A25874" s="2" t="s">
        <v>190</v>
      </c>
    </row>
    <row r="25876" spans="1:1" ht="12.75">
      <c r="A25876" s="2" t="s">
        <v>310</v>
      </c>
    </row>
    <row r="25877" spans="1:1" ht="12.75">
      <c r="A25877" s="2" t="s">
        <v>995</v>
      </c>
    </row>
    <row r="25878" spans="1:1" ht="12.75">
      <c r="A25878" s="2" t="s">
        <v>309</v>
      </c>
    </row>
    <row r="25879" spans="1:1" ht="12.75">
      <c r="A25879" s="2" t="s">
        <v>312</v>
      </c>
    </row>
    <row r="25880" spans="1:1" ht="12.75">
      <c r="A25880" s="2" t="s">
        <v>309</v>
      </c>
    </row>
    <row r="25881" spans="1:1" ht="12.75">
      <c r="A25881" s="2" t="s">
        <v>309</v>
      </c>
    </row>
    <row r="25882" spans="1:1" ht="12.75">
      <c r="A25882" s="2" t="s">
        <v>311</v>
      </c>
    </row>
    <row r="25883" spans="1:1" ht="12.75">
      <c r="A25883" s="2" t="s">
        <v>309</v>
      </c>
    </row>
    <row r="25884" spans="1:1" ht="12.75">
      <c r="A25884" s="2" t="s">
        <v>313</v>
      </c>
    </row>
    <row r="25885" spans="1:1" ht="12.75">
      <c r="A25885" s="2" t="s">
        <v>311</v>
      </c>
    </row>
    <row r="25886" spans="1:1" ht="12.75">
      <c r="A25886" s="2" t="s">
        <v>313</v>
      </c>
    </row>
    <row r="25887" spans="1:1" ht="12.75">
      <c r="A25887" s="2" t="s">
        <v>313</v>
      </c>
    </row>
    <row r="25888" spans="1:1" ht="12.75">
      <c r="A25888" s="2" t="s">
        <v>313</v>
      </c>
    </row>
    <row r="25889" spans="1:1" ht="12.75">
      <c r="A25889" s="2" t="s">
        <v>313</v>
      </c>
    </row>
    <row r="25890" spans="1:1" ht="12.75">
      <c r="A25890" s="2" t="s">
        <v>995</v>
      </c>
    </row>
    <row r="25891" spans="1:1" ht="12.75">
      <c r="A25891" s="2" t="s">
        <v>995</v>
      </c>
    </row>
    <row r="25892" spans="1:1" ht="12.75">
      <c r="A25892" s="2" t="s">
        <v>774</v>
      </c>
    </row>
    <row r="25893" spans="1:1" ht="12.75">
      <c r="A25893" s="2" t="s">
        <v>776</v>
      </c>
    </row>
    <row r="25894" spans="1:1" ht="12.75">
      <c r="A25894" s="2" t="s">
        <v>312</v>
      </c>
    </row>
    <row r="25895" spans="1:1" ht="12.75">
      <c r="A25895" s="2" t="s">
        <v>312</v>
      </c>
    </row>
    <row r="25896" spans="1:1" ht="12.75">
      <c r="A25896" s="2" t="s">
        <v>312</v>
      </c>
    </row>
    <row r="25897" spans="1:1" ht="12.75">
      <c r="A25897" s="2" t="s">
        <v>775</v>
      </c>
    </row>
    <row r="25898" spans="1:1" ht="12.75">
      <c r="A25898" s="2" t="s">
        <v>661</v>
      </c>
    </row>
    <row r="25899" spans="1:1" ht="12.75">
      <c r="A25899" s="2" t="s">
        <v>775</v>
      </c>
    </row>
    <row r="25900" spans="1:1" ht="12.75">
      <c r="A25900" s="2" t="s">
        <v>661</v>
      </c>
    </row>
    <row r="25901" spans="1:1" ht="12.75">
      <c r="A25901" s="2" t="s">
        <v>661</v>
      </c>
    </row>
    <row r="25902" spans="1:1" ht="12.75">
      <c r="A25902" s="2" t="s">
        <v>312</v>
      </c>
    </row>
    <row r="25903" spans="1:1" ht="12.75">
      <c r="A25903" s="2" t="s">
        <v>312</v>
      </c>
    </row>
    <row r="25904" spans="1:1" ht="12.75">
      <c r="A25904" s="2" t="s">
        <v>669</v>
      </c>
    </row>
    <row r="25905" spans="1:1" ht="12.75">
      <c r="A25905" s="2" t="s">
        <v>669</v>
      </c>
    </row>
    <row r="25906" spans="1:1" ht="12.75">
      <c r="A25906" s="2" t="s">
        <v>669</v>
      </c>
    </row>
    <row r="25907" spans="1:1" ht="12.75">
      <c r="A25907" s="2" t="s">
        <v>312</v>
      </c>
    </row>
    <row r="25908" spans="1:1" ht="12.75">
      <c r="A25908" s="2" t="s">
        <v>313</v>
      </c>
    </row>
    <row r="25909" spans="1:1" ht="12.75">
      <c r="A25909" s="2" t="s">
        <v>313</v>
      </c>
    </row>
    <row r="25910" spans="1:1" ht="12.75">
      <c r="A25910" s="2" t="s">
        <v>190</v>
      </c>
    </row>
    <row r="25911" spans="1:1" ht="12.75">
      <c r="A25911" s="2" t="s">
        <v>190</v>
      </c>
    </row>
    <row r="25912" spans="1:1" ht="12.75">
      <c r="A25912" s="2" t="s">
        <v>190</v>
      </c>
    </row>
    <row r="25913" spans="1:1" ht="12.75">
      <c r="A25913" s="2" t="s">
        <v>190</v>
      </c>
    </row>
    <row r="25914" spans="1:1" ht="12.75">
      <c r="A25914" s="2" t="s">
        <v>311</v>
      </c>
    </row>
    <row r="25915" spans="1:1" ht="12.75">
      <c r="A25915" s="2" t="s">
        <v>778</v>
      </c>
    </row>
    <row r="25916" spans="1:1" ht="12.75">
      <c r="A25916" s="2" t="s">
        <v>313</v>
      </c>
    </row>
    <row r="25917" spans="1:1" ht="12.75">
      <c r="A25917" s="2" t="s">
        <v>778</v>
      </c>
    </row>
    <row r="25918" spans="1:1" ht="12.75">
      <c r="A25918" s="2" t="s">
        <v>313</v>
      </c>
    </row>
    <row r="25920" spans="1:1" ht="12.75">
      <c r="A25920" s="2" t="s">
        <v>313</v>
      </c>
    </row>
    <row r="25921" spans="1:1" ht="12.75">
      <c r="A25921" s="2" t="s">
        <v>661</v>
      </c>
    </row>
    <row r="25922" spans="1:1" ht="12.75">
      <c r="A25922" s="2" t="s">
        <v>995</v>
      </c>
    </row>
    <row r="25923" spans="1:1" ht="12.75">
      <c r="A25923" s="2" t="s">
        <v>778</v>
      </c>
    </row>
    <row r="25924" spans="1:1" ht="12.75">
      <c r="A25924" s="2" t="s">
        <v>310</v>
      </c>
    </row>
    <row r="25925" spans="1:1" ht="12.75">
      <c r="A25925" s="2" t="s">
        <v>778</v>
      </c>
    </row>
    <row r="25926" spans="1:1" ht="12.75">
      <c r="A25926" s="2" t="s">
        <v>311</v>
      </c>
    </row>
    <row r="25928" spans="1:1" ht="12.75">
      <c r="A25928" s="2" t="s">
        <v>313</v>
      </c>
    </row>
    <row r="25929" spans="1:1" ht="12.75">
      <c r="A25929" s="2" t="s">
        <v>775</v>
      </c>
    </row>
    <row r="25930" spans="1:1" ht="12.75">
      <c r="A25930" s="2" t="s">
        <v>313</v>
      </c>
    </row>
    <row r="25932" spans="1:1" ht="12.75">
      <c r="A25932" s="2" t="s">
        <v>313</v>
      </c>
    </row>
    <row r="25933" spans="1:1" ht="12.75">
      <c r="A25933" s="2" t="s">
        <v>661</v>
      </c>
    </row>
    <row r="25934" spans="1:1" ht="12.75">
      <c r="A25934" s="2" t="s">
        <v>995</v>
      </c>
    </row>
    <row r="25935" spans="1:1" ht="12.75">
      <c r="A25935" s="2" t="s">
        <v>310</v>
      </c>
    </row>
    <row r="25936" spans="1:1" ht="12.75">
      <c r="A25936" s="2" t="s">
        <v>776</v>
      </c>
    </row>
    <row r="26037" spans="1:1" ht="12.75">
      <c r="A26037" s="2" t="s">
        <v>313</v>
      </c>
    </row>
    <row r="26038" spans="1:1" ht="12.75">
      <c r="A26038" s="2" t="s">
        <v>313</v>
      </c>
    </row>
    <row r="26039" spans="1:1" ht="12.75">
      <c r="A26039" s="2" t="s">
        <v>669</v>
      </c>
    </row>
    <row r="26040" spans="1:1" ht="12.75">
      <c r="A26040" s="2" t="s">
        <v>310</v>
      </c>
    </row>
    <row r="26041" spans="1:1" ht="12.75">
      <c r="A26041" s="2" t="s">
        <v>312</v>
      </c>
    </row>
    <row r="26042" spans="1:1" ht="12.75">
      <c r="A26042" s="2" t="s">
        <v>310</v>
      </c>
    </row>
    <row r="26043" spans="1:1" ht="12.75">
      <c r="A26043" s="2" t="s">
        <v>310</v>
      </c>
    </row>
    <row r="26044" spans="1:1" ht="12.75">
      <c r="A26044" s="2" t="s">
        <v>311</v>
      </c>
    </row>
    <row r="26045" spans="1:1" ht="12.75">
      <c r="A26045" s="2" t="s">
        <v>310</v>
      </c>
    </row>
    <row r="26047" spans="1:1" ht="12.75">
      <c r="A26047" s="2" t="s">
        <v>311</v>
      </c>
    </row>
    <row r="26048" spans="1:1" ht="12.75">
      <c r="A26048" s="2" t="s">
        <v>313</v>
      </c>
    </row>
    <row r="26049" spans="1:1" ht="12.75">
      <c r="A26049" s="2" t="s">
        <v>313</v>
      </c>
    </row>
    <row r="26050" spans="1:1" ht="12.75">
      <c r="A26050" s="2" t="s">
        <v>995</v>
      </c>
    </row>
    <row r="26051" spans="1:1" ht="12.75">
      <c r="A26051" s="2" t="s">
        <v>313</v>
      </c>
    </row>
    <row r="26052" spans="1:1" ht="12.75">
      <c r="A26052" s="2" t="s">
        <v>995</v>
      </c>
    </row>
    <row r="26053" spans="1:1" ht="12.75">
      <c r="A26053" s="2" t="s">
        <v>995</v>
      </c>
    </row>
    <row r="26054" spans="1:1" ht="12.75">
      <c r="A26054" s="2" t="s">
        <v>312</v>
      </c>
    </row>
    <row r="26055" spans="1:1" ht="12.75">
      <c r="A26055" s="2" t="s">
        <v>995</v>
      </c>
    </row>
    <row r="26056" spans="1:1" ht="12.75">
      <c r="A26056" s="2" t="s">
        <v>312</v>
      </c>
    </row>
    <row r="26057" spans="1:1" ht="12.75">
      <c r="A26057" s="2" t="s">
        <v>312</v>
      </c>
    </row>
    <row r="26058" spans="1:1" ht="12.75">
      <c r="A26058" s="2" t="s">
        <v>669</v>
      </c>
    </row>
    <row r="26059" spans="1:1" ht="12.75">
      <c r="A26059" s="2" t="s">
        <v>312</v>
      </c>
    </row>
    <row r="26061" spans="1:1" ht="12.75">
      <c r="A26061" s="2" t="s">
        <v>313</v>
      </c>
    </row>
    <row r="26062" spans="1:1" ht="12.75">
      <c r="A26062" s="2" t="s">
        <v>661</v>
      </c>
    </row>
    <row r="26063" spans="1:1" ht="12.75">
      <c r="A26063" s="2" t="s">
        <v>313</v>
      </c>
    </row>
    <row r="26064" spans="1:1" ht="12.75">
      <c r="A26064" s="2" t="s">
        <v>310</v>
      </c>
    </row>
    <row r="26065" spans="1:1" ht="12.75">
      <c r="A26065" s="2" t="s">
        <v>995</v>
      </c>
    </row>
    <row r="26066" spans="1:1" ht="12.75">
      <c r="A26066" s="2" t="s">
        <v>310</v>
      </c>
    </row>
    <row r="26068" spans="1:1" ht="12.75">
      <c r="A26068" s="2" t="s">
        <v>311</v>
      </c>
    </row>
    <row r="26069" spans="1:1" ht="12.75">
      <c r="A26069" s="2" t="s">
        <v>995</v>
      </c>
    </row>
    <row r="26070" spans="1:1" ht="12.75">
      <c r="A26070" s="2" t="s">
        <v>313</v>
      </c>
    </row>
    <row r="26071" spans="1:1" ht="12.75">
      <c r="A26071" s="2" t="s">
        <v>312</v>
      </c>
    </row>
    <row r="26072" spans="1:1" ht="12.75">
      <c r="A26072" s="2" t="s">
        <v>313</v>
      </c>
    </row>
    <row r="26073" spans="1:1" ht="12.75">
      <c r="A26073" s="2" t="s">
        <v>312</v>
      </c>
    </row>
    <row r="26074" spans="1:1" ht="12.75">
      <c r="A26074" s="2" t="s">
        <v>313</v>
      </c>
    </row>
    <row r="26075" spans="1:1" ht="12.75">
      <c r="A26075" s="2" t="s">
        <v>775</v>
      </c>
    </row>
    <row r="26076" spans="1:1" ht="12.75">
      <c r="A26076" s="2" t="s">
        <v>995</v>
      </c>
    </row>
    <row r="26077" spans="1:1" ht="12.75">
      <c r="A26077" s="2" t="s">
        <v>775</v>
      </c>
    </row>
    <row r="26078" spans="1:1" ht="12.75">
      <c r="A26078" s="2" t="s">
        <v>995</v>
      </c>
    </row>
    <row r="26079" spans="1:1" ht="12.75">
      <c r="A26079" s="2" t="s">
        <v>661</v>
      </c>
    </row>
    <row r="26080" spans="1:1" ht="12.75">
      <c r="A26080" s="2" t="s">
        <v>312</v>
      </c>
    </row>
    <row r="26081" spans="1:1" ht="12.75">
      <c r="A26081" s="2" t="s">
        <v>311</v>
      </c>
    </row>
    <row r="26083" spans="1:1" ht="12.75">
      <c r="A26083" s="2" t="s">
        <v>313</v>
      </c>
    </row>
    <row r="26085" spans="1:1" ht="12.75">
      <c r="A26085" s="2" t="s">
        <v>313</v>
      </c>
    </row>
    <row r="26086" spans="1:1" ht="12.75">
      <c r="A26086" s="2" t="s">
        <v>661</v>
      </c>
    </row>
    <row r="26087" spans="1:1" ht="12.75">
      <c r="A26087" s="2" t="s">
        <v>996</v>
      </c>
    </row>
    <row r="26088" spans="1:1" ht="12.75">
      <c r="A26088" s="2" t="s">
        <v>997</v>
      </c>
    </row>
    <row r="26089" spans="1:1" ht="12.75">
      <c r="A26089" s="2" t="s">
        <v>998</v>
      </c>
    </row>
    <row r="26090" spans="1:1" ht="12.75">
      <c r="A26090" s="2" t="s">
        <v>669</v>
      </c>
    </row>
    <row r="26091" spans="1:1" ht="12.75">
      <c r="A26091" s="2" t="s">
        <v>998</v>
      </c>
    </row>
    <row r="26092" spans="1:1" ht="12.75">
      <c r="A26092" s="2" t="s">
        <v>310</v>
      </c>
    </row>
    <row r="26093" spans="1:1" ht="12.75">
      <c r="A26093" s="2" t="s">
        <v>312</v>
      </c>
    </row>
    <row r="26094" spans="1:1" ht="12.75">
      <c r="A26094" s="2" t="s">
        <v>310</v>
      </c>
    </row>
    <row r="26095" spans="1:1" ht="12.75">
      <c r="A26095" s="2" t="s">
        <v>312</v>
      </c>
    </row>
    <row r="26096" spans="1:1" ht="12.75">
      <c r="A26096" s="2" t="s">
        <v>311</v>
      </c>
    </row>
    <row r="26097" spans="1:1" ht="12.75">
      <c r="A26097" s="2" t="s">
        <v>775</v>
      </c>
    </row>
    <row r="26098" spans="1:1" ht="12.75">
      <c r="A26098" s="2" t="s">
        <v>313</v>
      </c>
    </row>
    <row r="26099" spans="1:1" ht="12.75">
      <c r="A26099" s="2" t="s">
        <v>669</v>
      </c>
    </row>
    <row r="26100" spans="1:1" ht="12.75">
      <c r="A26100" s="2" t="s">
        <v>312</v>
      </c>
    </row>
    <row r="26101" spans="1:1" ht="12.75">
      <c r="A26101" s="2" t="s">
        <v>313</v>
      </c>
    </row>
    <row r="26102" spans="1:1" ht="12.75">
      <c r="A26102" s="2" t="s">
        <v>778</v>
      </c>
    </row>
    <row r="26103" spans="1:1" ht="12.75">
      <c r="A26103" s="2" t="s">
        <v>312</v>
      </c>
    </row>
    <row r="26104" spans="1:1" ht="12.75">
      <c r="A26104" s="2" t="s">
        <v>190</v>
      </c>
    </row>
    <row r="26105" spans="1:1" ht="12.75">
      <c r="A26105" s="2" t="s">
        <v>311</v>
      </c>
    </row>
    <row r="26106" spans="1:1" ht="12.75">
      <c r="A26106" s="2" t="s">
        <v>778</v>
      </c>
    </row>
    <row r="26107" spans="1:1" ht="12.75">
      <c r="A26107" s="2" t="s">
        <v>313</v>
      </c>
    </row>
    <row r="26109" spans="1:1" ht="12.75">
      <c r="A26109" s="2" t="s">
        <v>313</v>
      </c>
    </row>
    <row r="26110" spans="1:1" ht="12.75">
      <c r="A26110" s="2" t="s">
        <v>775</v>
      </c>
    </row>
    <row r="26111" spans="1:1" ht="12.75">
      <c r="A26111" s="2" t="s">
        <v>313</v>
      </c>
    </row>
    <row r="26112" spans="1:1" ht="12.75">
      <c r="A26112" s="2" t="s">
        <v>312</v>
      </c>
    </row>
    <row r="26113" spans="1:1" ht="12.75">
      <c r="A26113" s="2" t="s">
        <v>995</v>
      </c>
    </row>
    <row r="26114" spans="1:1" ht="12.75">
      <c r="A26114" s="2" t="s">
        <v>997</v>
      </c>
    </row>
    <row r="26115" spans="1:1" ht="12.75">
      <c r="A26115" s="2" t="s">
        <v>995</v>
      </c>
    </row>
    <row r="26116" spans="1:1" ht="12.75">
      <c r="A26116" s="2" t="s">
        <v>310</v>
      </c>
    </row>
    <row r="26117" spans="1:1" ht="12.75">
      <c r="A26117" s="2" t="s">
        <v>310</v>
      </c>
    </row>
    <row r="26118" spans="1:1" ht="12.75">
      <c r="A26118" s="2" t="s">
        <v>310</v>
      </c>
    </row>
    <row r="26119" spans="1:1" ht="12.75">
      <c r="A26119" s="2" t="s">
        <v>313</v>
      </c>
    </row>
    <row r="26120" spans="1:1" ht="12.75">
      <c r="A26120" s="2" t="s">
        <v>312</v>
      </c>
    </row>
    <row r="26121" spans="1:1" ht="12.75">
      <c r="A26121" s="2" t="s">
        <v>313</v>
      </c>
    </row>
    <row r="26122" spans="1:1" ht="12.75">
      <c r="A26122" s="2" t="s">
        <v>311</v>
      </c>
    </row>
    <row r="26123" spans="1:1" ht="12.75">
      <c r="A26123" s="2" t="s">
        <v>995</v>
      </c>
    </row>
    <row r="26124" spans="1:1" ht="12.75">
      <c r="A26124" s="2" t="s">
        <v>784</v>
      </c>
    </row>
    <row r="26125" spans="1:1" ht="12.75">
      <c r="A26125" s="2" t="s">
        <v>995</v>
      </c>
    </row>
    <row r="26127" spans="1:1" ht="12.75">
      <c r="A26127" s="2" t="s">
        <v>312</v>
      </c>
    </row>
    <row r="26128" spans="1:1" ht="12.75">
      <c r="A26128" s="2" t="s">
        <v>310</v>
      </c>
    </row>
    <row r="26129" spans="1:1" ht="12.75">
      <c r="A26129" s="2" t="s">
        <v>312</v>
      </c>
    </row>
    <row r="26130" spans="1:1" ht="12.75">
      <c r="A26130" s="2" t="s">
        <v>310</v>
      </c>
    </row>
    <row r="26131" spans="1:1" ht="12.75">
      <c r="A26131" s="2" t="s">
        <v>310</v>
      </c>
    </row>
    <row r="26132" spans="1:1" ht="12.75">
      <c r="A26132" s="2" t="s">
        <v>311</v>
      </c>
    </row>
    <row r="26133" spans="1:1" ht="12.75">
      <c r="A26133" s="2" t="s">
        <v>310</v>
      </c>
    </row>
    <row r="26134" spans="1:1" ht="12.75">
      <c r="A26134" s="2" t="s">
        <v>313</v>
      </c>
    </row>
    <row r="26135" spans="1:1" ht="12.75">
      <c r="A26135" s="2" t="s">
        <v>311</v>
      </c>
    </row>
    <row r="26136" spans="1:1" ht="12.75">
      <c r="A26136" s="2" t="s">
        <v>999</v>
      </c>
    </row>
    <row r="26137" spans="1:1" ht="12.75">
      <c r="A26137" s="2" t="s">
        <v>313</v>
      </c>
    </row>
    <row r="26138" spans="1:1" ht="12.75">
      <c r="A26138" s="2" t="s">
        <v>313</v>
      </c>
    </row>
    <row r="26139" spans="1:1" ht="12.75">
      <c r="A26139" s="2" t="s">
        <v>313</v>
      </c>
    </row>
    <row r="26140" spans="1:1" ht="12.75">
      <c r="A26140" s="2" t="s">
        <v>995</v>
      </c>
    </row>
    <row r="26141" spans="1:1" ht="12.75">
      <c r="A26141" s="2" t="s">
        <v>995</v>
      </c>
    </row>
    <row r="26142" spans="1:1" ht="12.75">
      <c r="A26142" s="2" t="s">
        <v>995</v>
      </c>
    </row>
    <row r="26144" spans="1:1" ht="12.75">
      <c r="A26144" s="2" t="s">
        <v>995</v>
      </c>
    </row>
    <row r="26145" spans="1:1" ht="12.75">
      <c r="A26145" s="2" t="s">
        <v>312</v>
      </c>
    </row>
    <row r="26146" spans="1:1" ht="12.75">
      <c r="A26146" s="2" t="s">
        <v>312</v>
      </c>
    </row>
    <row r="26147" spans="1:1" ht="12.75">
      <c r="A26147" s="2" t="s">
        <v>313</v>
      </c>
    </row>
    <row r="26148" spans="1:1" ht="12.75">
      <c r="A26148" s="2" t="s">
        <v>311</v>
      </c>
    </row>
    <row r="26149" spans="1:1" ht="12.75">
      <c r="A26149" s="2" t="s">
        <v>313</v>
      </c>
    </row>
    <row r="26150" spans="1:1" ht="12.75">
      <c r="A26150" s="2" t="s">
        <v>313</v>
      </c>
    </row>
    <row r="26151" spans="1:1" ht="12.75">
      <c r="A26151" s="2" t="s">
        <v>313</v>
      </c>
    </row>
    <row r="26152" spans="1:1" ht="12.75">
      <c r="A26152" s="2" t="s">
        <v>313</v>
      </c>
    </row>
    <row r="26153" spans="1:1" ht="12.75">
      <c r="A26153" s="2" t="s">
        <v>995</v>
      </c>
    </row>
    <row r="26154" spans="1:1" ht="12.75">
      <c r="A26154" s="2" t="s">
        <v>313</v>
      </c>
    </row>
    <row r="26155" spans="1:1" ht="12.75">
      <c r="A26155" s="2" t="s">
        <v>995</v>
      </c>
    </row>
    <row r="26156" spans="1:1" ht="12.75">
      <c r="A26156" s="2" t="s">
        <v>995</v>
      </c>
    </row>
    <row r="26157" spans="1:1" ht="12.75">
      <c r="A26157" s="2" t="s">
        <v>995</v>
      </c>
    </row>
    <row r="26158" spans="1:1" ht="12.75">
      <c r="A26158" s="2" t="s">
        <v>776</v>
      </c>
    </row>
    <row r="26159" spans="1:1" ht="12.75">
      <c r="A26159" s="2" t="s">
        <v>312</v>
      </c>
    </row>
    <row r="26160" spans="1:1" ht="12.75">
      <c r="A26160" s="2" t="s">
        <v>312</v>
      </c>
    </row>
    <row r="26161" spans="1:1" ht="12.75">
      <c r="A26161" s="2" t="s">
        <v>312</v>
      </c>
    </row>
    <row r="26162" spans="1:1" ht="12.75">
      <c r="A26162" s="2" t="s">
        <v>312</v>
      </c>
    </row>
    <row r="26163" spans="1:1" ht="12.75">
      <c r="A26163" s="2" t="s">
        <v>312</v>
      </c>
    </row>
    <row r="26164" spans="1:1" ht="12.75">
      <c r="A26164" s="2" t="s">
        <v>310</v>
      </c>
    </row>
    <row r="26165" spans="1:1" ht="12.75">
      <c r="A26165" s="2" t="s">
        <v>310</v>
      </c>
    </row>
    <row r="26166" spans="1:1" ht="12.75">
      <c r="A26166" s="2" t="s">
        <v>310</v>
      </c>
    </row>
    <row r="26167" spans="1:1" ht="12.75">
      <c r="A26167" s="2" t="s">
        <v>310</v>
      </c>
    </row>
    <row r="26168" spans="1:1" ht="12.75">
      <c r="A26168" s="2" t="s">
        <v>311</v>
      </c>
    </row>
    <row r="26237" spans="1:1" ht="12.75">
      <c r="A26237" s="2" t="s">
        <v>254</v>
      </c>
    </row>
    <row r="26238" spans="1:1" ht="12.75">
      <c r="A26238" s="2" t="s">
        <v>254</v>
      </c>
    </row>
    <row r="26239" spans="1:1" ht="12.75">
      <c r="A26239" s="2" t="s">
        <v>769</v>
      </c>
    </row>
    <row r="26240" spans="1:1" ht="12.75">
      <c r="A26240" s="2" t="s">
        <v>769</v>
      </c>
    </row>
    <row r="26241" spans="1:1" ht="12.75">
      <c r="A26241" s="2" t="s">
        <v>256</v>
      </c>
    </row>
    <row r="26242" spans="1:1" ht="12.75">
      <c r="A26242" s="2" t="s">
        <v>256</v>
      </c>
    </row>
    <row r="26243" spans="1:1" ht="12.75">
      <c r="A26243" s="2" t="s">
        <v>769</v>
      </c>
    </row>
    <row r="26244" spans="1:1" ht="12.75">
      <c r="A26244" s="2" t="s">
        <v>769</v>
      </c>
    </row>
    <row r="26245" spans="1:1" ht="12.75">
      <c r="A26245" s="2" t="s">
        <v>1000</v>
      </c>
    </row>
    <row r="26246" spans="1:1" ht="12.75">
      <c r="A26246" s="2" t="s">
        <v>184</v>
      </c>
    </row>
    <row r="26247" spans="1:1" ht="12.75">
      <c r="A26247" s="2" t="s">
        <v>256</v>
      </c>
    </row>
    <row r="26248" spans="1:1" ht="12.75">
      <c r="A26248" s="2" t="s">
        <v>256</v>
      </c>
    </row>
    <row r="26249" spans="1:1" ht="12.75">
      <c r="A26249" s="2" t="s">
        <v>252</v>
      </c>
    </row>
    <row r="26250" spans="1:1" ht="12.75">
      <c r="A26250" s="2" t="s">
        <v>252</v>
      </c>
    </row>
    <row r="26251" spans="1:1" ht="12.75">
      <c r="A26251" s="2" t="s">
        <v>516</v>
      </c>
    </row>
    <row r="26252" spans="1:1" ht="12.75">
      <c r="A26252" s="2" t="s">
        <v>516</v>
      </c>
    </row>
    <row r="26253" spans="1:1" ht="12.75">
      <c r="A26253" s="2" t="s">
        <v>516</v>
      </c>
    </row>
    <row r="26254" spans="1:1" ht="12.75">
      <c r="A26254" s="2" t="s">
        <v>516</v>
      </c>
    </row>
    <row r="26255" spans="1:1" ht="12.75">
      <c r="A26255" s="2" t="s">
        <v>769</v>
      </c>
    </row>
    <row r="26256" spans="1:1" ht="12.75">
      <c r="A26256" s="2" t="s">
        <v>769</v>
      </c>
    </row>
    <row r="26257" spans="1:1" ht="12.75">
      <c r="A26257" s="2" t="s">
        <v>256</v>
      </c>
    </row>
    <row r="26258" spans="1:1" ht="12.75">
      <c r="A26258" s="2" t="s">
        <v>256</v>
      </c>
    </row>
    <row r="26259" spans="1:1" ht="12.75">
      <c r="A26259" s="2" t="s">
        <v>254</v>
      </c>
    </row>
    <row r="26260" spans="1:1" ht="12.75">
      <c r="A26260" s="2" t="s">
        <v>253</v>
      </c>
    </row>
    <row r="26261" spans="1:1" ht="12.75">
      <c r="A26261" s="2" t="s">
        <v>1001</v>
      </c>
    </row>
    <row r="26262" spans="1:1" ht="12.75">
      <c r="A26262" s="2" t="s">
        <v>1001</v>
      </c>
    </row>
    <row r="26263" spans="1:1" ht="12.75">
      <c r="A26263" s="2" t="s">
        <v>151</v>
      </c>
    </row>
    <row r="26264" spans="1:1" ht="12.75">
      <c r="A26264" s="2" t="s">
        <v>1001</v>
      </c>
    </row>
    <row r="26266" spans="1:1" ht="12.75">
      <c r="A26266" s="2" t="s">
        <v>252</v>
      </c>
    </row>
    <row r="26267" spans="1:1" ht="12.75">
      <c r="A26267" s="2" t="s">
        <v>256</v>
      </c>
    </row>
    <row r="26268" spans="1:1" ht="12.75">
      <c r="A26268" s="2" t="s">
        <v>256</v>
      </c>
    </row>
    <row r="26269" spans="1:1" ht="12.75">
      <c r="A26269" s="2" t="s">
        <v>769</v>
      </c>
    </row>
    <row r="26270" spans="1:1" ht="12.75">
      <c r="A26270" s="2" t="s">
        <v>769</v>
      </c>
    </row>
    <row r="26271" spans="1:1" ht="12.75">
      <c r="A26271" s="2" t="s">
        <v>254</v>
      </c>
    </row>
    <row r="26272" spans="1:1" ht="12.75">
      <c r="A26272" s="2" t="s">
        <v>254</v>
      </c>
    </row>
    <row r="26273" spans="1:1" ht="12.75">
      <c r="A26273" s="2" t="s">
        <v>256</v>
      </c>
    </row>
    <row r="26274" spans="1:1" ht="12.75">
      <c r="A26274" s="2" t="s">
        <v>256</v>
      </c>
    </row>
    <row r="26275" spans="1:1" ht="12.75">
      <c r="A26275" s="2" t="s">
        <v>254</v>
      </c>
    </row>
    <row r="26276" spans="1:1" ht="12.75">
      <c r="A26276" s="2" t="s">
        <v>254</v>
      </c>
    </row>
    <row r="26277" spans="1:1" ht="12.75">
      <c r="A26277" s="2" t="s">
        <v>769</v>
      </c>
    </row>
    <row r="26278" spans="1:1" ht="12.75">
      <c r="A26278" s="2" t="s">
        <v>769</v>
      </c>
    </row>
    <row r="26279" spans="1:1" ht="12.75">
      <c r="A26279" s="2" t="s">
        <v>256</v>
      </c>
    </row>
    <row r="26280" spans="1:1" ht="12.75">
      <c r="A26280" s="2" t="s">
        <v>256</v>
      </c>
    </row>
    <row r="26281" spans="1:1" ht="12.75">
      <c r="A26281" s="2" t="s">
        <v>254</v>
      </c>
    </row>
    <row r="26282" spans="1:1" ht="12.75">
      <c r="A26282" s="2" t="s">
        <v>254</v>
      </c>
    </row>
    <row r="26283" spans="1:1" ht="12.75">
      <c r="A26283" s="2" t="s">
        <v>516</v>
      </c>
    </row>
    <row r="26284" spans="1:1" ht="12.75">
      <c r="A26284" s="2" t="s">
        <v>516</v>
      </c>
    </row>
    <row r="26285" spans="1:1" ht="12.75">
      <c r="A26285" s="2" t="s">
        <v>252</v>
      </c>
    </row>
    <row r="26286" spans="1:1" ht="12.75">
      <c r="A26286" s="2" t="s">
        <v>252</v>
      </c>
    </row>
    <row r="26287" spans="1:1" ht="12.75">
      <c r="A26287" s="2" t="s">
        <v>319</v>
      </c>
    </row>
    <row r="26288" spans="1:1" ht="12.75">
      <c r="A26288" s="2" t="s">
        <v>319</v>
      </c>
    </row>
    <row r="26289" spans="1:1" ht="12.75">
      <c r="A26289" s="2" t="s">
        <v>318</v>
      </c>
    </row>
    <row r="26290" spans="1:1" ht="12.75">
      <c r="A26290" s="2" t="s">
        <v>318</v>
      </c>
    </row>
    <row r="26291" spans="1:1" ht="12.75">
      <c r="A26291" s="2" t="s">
        <v>265</v>
      </c>
    </row>
    <row r="26292" spans="1:1" ht="12.75">
      <c r="A26292" s="2" t="s">
        <v>265</v>
      </c>
    </row>
    <row r="26293" spans="1:1" ht="12.75">
      <c r="A26293" s="2" t="s">
        <v>265</v>
      </c>
    </row>
    <row r="26294" spans="1:1" ht="12.75">
      <c r="A26294" s="2" t="s">
        <v>265</v>
      </c>
    </row>
    <row r="26296" spans="1:1" ht="12.75">
      <c r="A26296" s="2" t="s">
        <v>319</v>
      </c>
    </row>
    <row r="26297" spans="1:1" ht="12.75">
      <c r="A26297" s="2" t="s">
        <v>151</v>
      </c>
    </row>
    <row r="26298" spans="1:1" ht="12.75">
      <c r="A26298" s="2" t="s">
        <v>151</v>
      </c>
    </row>
    <row r="26299" spans="1:1" ht="12.75">
      <c r="A26299" s="2" t="s">
        <v>151</v>
      </c>
    </row>
    <row r="26300" spans="1:1" ht="12.75">
      <c r="A26300" s="2" t="s">
        <v>151</v>
      </c>
    </row>
    <row r="26302" spans="1:1" ht="12.75">
      <c r="A26302" s="2" t="s">
        <v>151</v>
      </c>
    </row>
    <row r="26303" spans="1:1" ht="12.75">
      <c r="A26303" s="2" t="s">
        <v>151</v>
      </c>
    </row>
    <row r="26304" spans="1:1" ht="12.75">
      <c r="A26304" s="2" t="s">
        <v>151</v>
      </c>
    </row>
    <row r="26305" spans="1:1" ht="12.75">
      <c r="A26305" s="2" t="s">
        <v>151</v>
      </c>
    </row>
    <row r="26306" spans="1:1" ht="12.75">
      <c r="A26306" s="2" t="s">
        <v>151</v>
      </c>
    </row>
    <row r="26308" spans="1:1" ht="12.75">
      <c r="A26308" s="2" t="s">
        <v>151</v>
      </c>
    </row>
    <row r="26309" spans="1:1" ht="12.75">
      <c r="A26309" s="2" t="s">
        <v>151</v>
      </c>
    </row>
    <row r="26310" spans="1:1" ht="12.75">
      <c r="A26310" s="2" t="s">
        <v>151</v>
      </c>
    </row>
    <row r="26311" spans="1:1" ht="12.75">
      <c r="A26311" s="2" t="s">
        <v>151</v>
      </c>
    </row>
    <row r="26312" spans="1:1" ht="12.75">
      <c r="A26312" s="2" t="s">
        <v>151</v>
      </c>
    </row>
    <row r="26313" spans="1:1" ht="12.75">
      <c r="A26313" s="2" t="s">
        <v>151</v>
      </c>
    </row>
    <row r="26314" spans="1:1" ht="12.75">
      <c r="A26314" s="2" t="s">
        <v>151</v>
      </c>
    </row>
    <row r="26315" spans="1:1" ht="12.75">
      <c r="A26315" s="2" t="s">
        <v>151</v>
      </c>
    </row>
    <row r="26317" spans="1:1" ht="12.75">
      <c r="A26317" s="2" t="s">
        <v>1001</v>
      </c>
    </row>
    <row r="26319" spans="1:1" ht="12.75">
      <c r="A26319" s="2" t="s">
        <v>151</v>
      </c>
    </row>
    <row r="26320" spans="1:1" ht="12.75">
      <c r="A26320" s="2" t="s">
        <v>151</v>
      </c>
    </row>
    <row r="26321" spans="1:1" ht="12.75">
      <c r="A26321" s="2" t="s">
        <v>151</v>
      </c>
    </row>
    <row r="26322" spans="1:1" ht="12.75">
      <c r="A26322" s="2" t="s">
        <v>151</v>
      </c>
    </row>
    <row r="26323" spans="1:1" ht="12.75">
      <c r="A26323" s="2" t="s">
        <v>151</v>
      </c>
    </row>
    <row r="26324" spans="1:1" ht="12.75">
      <c r="A26324" s="2" t="s">
        <v>151</v>
      </c>
    </row>
    <row r="26325" spans="1:1" ht="12.75">
      <c r="A26325" s="2" t="s">
        <v>151</v>
      </c>
    </row>
    <row r="26326" spans="1:1" ht="12.75">
      <c r="A26326" s="2" t="s">
        <v>151</v>
      </c>
    </row>
    <row r="26327" spans="1:1" ht="12.75">
      <c r="A26327" s="2" t="s">
        <v>151</v>
      </c>
    </row>
    <row r="26328" spans="1:1" ht="12.75">
      <c r="A26328" s="2" t="s">
        <v>151</v>
      </c>
    </row>
    <row r="26329" spans="1:1" ht="12.75">
      <c r="A26329" s="2" t="s">
        <v>151</v>
      </c>
    </row>
    <row r="26330" spans="1:1" ht="12.75">
      <c r="A26330" s="2" t="s">
        <v>151</v>
      </c>
    </row>
    <row r="26331" spans="1:1" ht="12.75">
      <c r="A26331" s="2" t="s">
        <v>1002</v>
      </c>
    </row>
    <row r="26332" spans="1:1" ht="12.75">
      <c r="A26332" s="2" t="s">
        <v>151</v>
      </c>
    </row>
    <row r="26333" spans="1:1" ht="12.75">
      <c r="A26333" s="2" t="s">
        <v>151</v>
      </c>
    </row>
    <row r="26334" spans="1:1" ht="12.75">
      <c r="A26334" s="2" t="s">
        <v>151</v>
      </c>
    </row>
    <row r="26335" spans="1:1" ht="12.75">
      <c r="A26335" s="2" t="s">
        <v>769</v>
      </c>
    </row>
    <row r="26336" spans="1:1" ht="12.75">
      <c r="A26336" s="2" t="s">
        <v>769</v>
      </c>
    </row>
    <row r="26337" spans="1:1" ht="12.75">
      <c r="A26337" s="2" t="s">
        <v>264</v>
      </c>
    </row>
    <row r="26338" spans="1:1" ht="12.75">
      <c r="A26338" s="2" t="s">
        <v>264</v>
      </c>
    </row>
    <row r="26339" spans="1:1" ht="12.75">
      <c r="A26339" s="2" t="s">
        <v>1003</v>
      </c>
    </row>
    <row r="26340" spans="1:1" ht="12.75">
      <c r="A26340" s="2" t="s">
        <v>1003</v>
      </c>
    </row>
    <row r="26341" spans="1:1" ht="12.75">
      <c r="A26341" s="2" t="s">
        <v>1003</v>
      </c>
    </row>
    <row r="26342" spans="1:1" ht="12.75">
      <c r="A26342" s="2" t="s">
        <v>1003</v>
      </c>
    </row>
    <row r="26343" spans="1:1" ht="12.75">
      <c r="A26343" s="2" t="s">
        <v>970</v>
      </c>
    </row>
    <row r="26344" spans="1:1" ht="12.75">
      <c r="A26344" s="2" t="s">
        <v>970</v>
      </c>
    </row>
    <row r="26345" spans="1:1" ht="12.75">
      <c r="A26345" s="2" t="s">
        <v>378</v>
      </c>
    </row>
    <row r="26346" spans="1:1" ht="12.75">
      <c r="A26346" s="2" t="s">
        <v>1004</v>
      </c>
    </row>
    <row r="26347" spans="1:1" ht="12.75">
      <c r="A26347" s="2" t="s">
        <v>378</v>
      </c>
    </row>
    <row r="26348" spans="1:1" ht="12.75">
      <c r="A26348" s="2" t="s">
        <v>1004</v>
      </c>
    </row>
    <row r="26349" spans="1:1" ht="12.75">
      <c r="A26349" s="2" t="s">
        <v>1004</v>
      </c>
    </row>
    <row r="26350" spans="1:1" ht="12.75">
      <c r="A26350" s="2" t="s">
        <v>378</v>
      </c>
    </row>
    <row r="26351" spans="1:1" ht="12.75">
      <c r="A26351" s="2" t="s">
        <v>970</v>
      </c>
    </row>
    <row r="26352" spans="1:1" ht="12.75">
      <c r="A26352" s="2" t="s">
        <v>970</v>
      </c>
    </row>
    <row r="26353" spans="1:1" ht="12.75">
      <c r="A26353" s="2" t="s">
        <v>970</v>
      </c>
    </row>
    <row r="26354" spans="1:1" ht="12.75">
      <c r="A26354" s="2" t="s">
        <v>970</v>
      </c>
    </row>
    <row r="26355" spans="1:1" ht="12.75">
      <c r="A26355" s="2" t="s">
        <v>970</v>
      </c>
    </row>
    <row r="26356" spans="1:1" ht="12.75">
      <c r="A26356" s="2" t="s">
        <v>970</v>
      </c>
    </row>
    <row r="26357" spans="1:1" ht="12.75">
      <c r="A26357" s="2" t="s">
        <v>378</v>
      </c>
    </row>
    <row r="26358" spans="1:1" ht="12.75">
      <c r="A26358" s="2" t="s">
        <v>1004</v>
      </c>
    </row>
    <row r="26359" spans="1:1" ht="12.75">
      <c r="A26359" s="2" t="s">
        <v>378</v>
      </c>
    </row>
    <row r="26360" spans="1:1" ht="12.75">
      <c r="A26360" s="2" t="s">
        <v>378</v>
      </c>
    </row>
    <row r="26361" spans="1:1" ht="12.75">
      <c r="A26361" s="2" t="s">
        <v>378</v>
      </c>
    </row>
    <row r="26362" spans="1:1" ht="12.75">
      <c r="A26362" s="2" t="s">
        <v>378</v>
      </c>
    </row>
    <row r="26363" spans="1:1" ht="12.75">
      <c r="A26363" s="2" t="s">
        <v>378</v>
      </c>
    </row>
    <row r="26364" spans="1:1" ht="12.75">
      <c r="A26364" s="2" t="s">
        <v>378</v>
      </c>
    </row>
    <row r="26365" spans="1:1" ht="12.75">
      <c r="A26365" s="2" t="s">
        <v>970</v>
      </c>
    </row>
    <row r="26366" spans="1:1" ht="12.75">
      <c r="A26366" s="2" t="s">
        <v>1004</v>
      </c>
    </row>
    <row r="26367" spans="1:1" ht="12.75">
      <c r="A26367" s="2" t="s">
        <v>1004</v>
      </c>
    </row>
    <row r="26368" spans="1:1" ht="12.75">
      <c r="A26368" s="2" t="s">
        <v>1004</v>
      </c>
    </row>
    <row r="26369" spans="1:1" ht="12.75">
      <c r="A26369" s="2" t="s">
        <v>970</v>
      </c>
    </row>
    <row r="26370" spans="1:1" ht="12.75">
      <c r="A26370" s="2" t="s">
        <v>970</v>
      </c>
    </row>
    <row r="26371" spans="1:1" ht="12.75">
      <c r="A26371" s="2" t="s">
        <v>378</v>
      </c>
    </row>
    <row r="26372" spans="1:1" ht="12.75">
      <c r="A26372" s="2" t="s">
        <v>378</v>
      </c>
    </row>
    <row r="26373" spans="1:1" ht="12.75">
      <c r="A26373" s="2" t="s">
        <v>378</v>
      </c>
    </row>
    <row r="26374" spans="1:1" ht="12.75">
      <c r="A26374" s="2" t="s">
        <v>378</v>
      </c>
    </row>
    <row r="26375" spans="1:1" ht="12.75">
      <c r="A26375" s="2" t="s">
        <v>970</v>
      </c>
    </row>
    <row r="26376" spans="1:1" ht="12.75">
      <c r="A26376" s="2" t="s">
        <v>970</v>
      </c>
    </row>
    <row r="26377" spans="1:1" ht="12.75">
      <c r="A26377" s="2" t="s">
        <v>1004</v>
      </c>
    </row>
    <row r="26378" spans="1:1" ht="12.75">
      <c r="A26378" s="2" t="s">
        <v>1004</v>
      </c>
    </row>
    <row r="26379" spans="1:1" ht="12.75">
      <c r="A26379" s="2" t="s">
        <v>378</v>
      </c>
    </row>
    <row r="26380" spans="1:1" ht="12.75">
      <c r="A26380" s="2" t="s">
        <v>970</v>
      </c>
    </row>
    <row r="26381" spans="1:1" ht="12.75">
      <c r="A26381" s="2" t="s">
        <v>970</v>
      </c>
    </row>
    <row r="26382" spans="1:1" ht="12.75">
      <c r="A26382" s="2" t="s">
        <v>970</v>
      </c>
    </row>
    <row r="26383" spans="1:1" ht="12.75">
      <c r="A26383" s="2" t="s">
        <v>970</v>
      </c>
    </row>
    <row r="26384" spans="1:1" ht="12.75">
      <c r="A26384" s="2" t="s">
        <v>1005</v>
      </c>
    </row>
    <row r="26385" spans="1:1" ht="12.75">
      <c r="A26385" s="2" t="s">
        <v>378</v>
      </c>
    </row>
    <row r="26386" spans="1:1" ht="12.75">
      <c r="A26386" s="2" t="s">
        <v>1004</v>
      </c>
    </row>
    <row r="26387" spans="1:1" ht="12.75">
      <c r="A26387" s="2" t="s">
        <v>264</v>
      </c>
    </row>
    <row r="26388" spans="1:1" ht="12.75">
      <c r="A26388" s="2" t="s">
        <v>264</v>
      </c>
    </row>
    <row r="26389" spans="1:1" ht="12.75">
      <c r="A26389" s="2" t="s">
        <v>378</v>
      </c>
    </row>
    <row r="26390" spans="1:1" ht="12.75">
      <c r="A26390" s="2" t="s">
        <v>378</v>
      </c>
    </row>
    <row r="26391" spans="1:1" ht="12.75">
      <c r="A26391" s="2" t="s">
        <v>378</v>
      </c>
    </row>
    <row r="26392" spans="1:1" ht="12.75">
      <c r="A26392" s="2" t="s">
        <v>378</v>
      </c>
    </row>
    <row r="26393" spans="1:1" ht="12.75">
      <c r="A26393" s="2" t="s">
        <v>378</v>
      </c>
    </row>
    <row r="26394" spans="1:1" ht="12.75">
      <c r="A26394" s="2" t="s">
        <v>970</v>
      </c>
    </row>
    <row r="26395" spans="1:1" ht="12.75">
      <c r="A26395" s="2" t="s">
        <v>378</v>
      </c>
    </row>
    <row r="26396" spans="1:1" ht="12.75">
      <c r="A26396" s="2" t="s">
        <v>1006</v>
      </c>
    </row>
    <row r="26397" spans="1:1" ht="12.75">
      <c r="A26397" s="2" t="s">
        <v>970</v>
      </c>
    </row>
    <row r="26398" spans="1:1" ht="12.75">
      <c r="A26398" s="2" t="s">
        <v>970</v>
      </c>
    </row>
    <row r="26399" spans="1:1" ht="12.75">
      <c r="A26399" s="2" t="s">
        <v>1007</v>
      </c>
    </row>
    <row r="26400" spans="1:1" ht="12.75">
      <c r="A26400" s="2" t="s">
        <v>1004</v>
      </c>
    </row>
    <row r="26401" spans="1:1" ht="12.75">
      <c r="A26401" s="2" t="s">
        <v>378</v>
      </c>
    </row>
    <row r="26402" spans="1:1" ht="12.75">
      <c r="A26402" s="2" t="s">
        <v>378</v>
      </c>
    </row>
    <row r="26403" spans="1:1" ht="12.75">
      <c r="A26403" s="2" t="s">
        <v>378</v>
      </c>
    </row>
    <row r="26404" spans="1:1" ht="12.75">
      <c r="A26404" s="2" t="s">
        <v>378</v>
      </c>
    </row>
    <row r="26405" spans="1:1" ht="12.75">
      <c r="A26405" s="2" t="s">
        <v>264</v>
      </c>
    </row>
    <row r="26406" spans="1:1" ht="12.75">
      <c r="A26406" s="2" t="s">
        <v>264</v>
      </c>
    </row>
    <row r="26407" spans="1:1" ht="12.75">
      <c r="A26407" s="2" t="s">
        <v>378</v>
      </c>
    </row>
    <row r="26408" spans="1:1" ht="12.75">
      <c r="A26408" s="2" t="s">
        <v>378</v>
      </c>
    </row>
    <row r="26409" spans="1:1" ht="12.75">
      <c r="A26409" s="2" t="s">
        <v>378</v>
      </c>
    </row>
    <row r="26410" spans="1:1" ht="12.75">
      <c r="A26410" s="2" t="s">
        <v>378</v>
      </c>
    </row>
    <row r="26411" spans="1:1" ht="12.75">
      <c r="A26411" s="2" t="s">
        <v>1005</v>
      </c>
    </row>
    <row r="26412" spans="1:1" ht="12.75">
      <c r="A26412" s="2" t="s">
        <v>970</v>
      </c>
    </row>
    <row r="26413" spans="1:1" ht="12.75">
      <c r="A26413" s="2" t="s">
        <v>1004</v>
      </c>
    </row>
    <row r="26414" spans="1:1" ht="12.75">
      <c r="A26414" s="2" t="s">
        <v>1004</v>
      </c>
    </row>
    <row r="26415" spans="1:1" ht="12.75">
      <c r="A26415" s="2" t="s">
        <v>970</v>
      </c>
    </row>
    <row r="26416" spans="1:1" ht="12.75">
      <c r="A26416" s="2" t="s">
        <v>264</v>
      </c>
    </row>
    <row r="26417" spans="1:1" ht="12.75">
      <c r="A26417" s="2" t="s">
        <v>1004</v>
      </c>
    </row>
    <row r="26418" spans="1:1" ht="12.75">
      <c r="A26418" s="2" t="s">
        <v>1004</v>
      </c>
    </row>
    <row r="26419" spans="1:1" ht="12.75">
      <c r="A26419" s="2" t="s">
        <v>254</v>
      </c>
    </row>
    <row r="26420" spans="1:1" ht="12.75">
      <c r="A26420" s="2" t="s">
        <v>254</v>
      </c>
    </row>
    <row r="26421" spans="1:1" ht="12.75">
      <c r="A26421" s="2" t="s">
        <v>516</v>
      </c>
    </row>
    <row r="26422" spans="1:1" ht="12.75">
      <c r="A26422" s="2" t="s">
        <v>516</v>
      </c>
    </row>
    <row r="26423" spans="1:1" ht="12.75">
      <c r="A26423" s="2" t="s">
        <v>256</v>
      </c>
    </row>
    <row r="26424" spans="1:1" ht="12.75">
      <c r="A26424" s="2" t="s">
        <v>256</v>
      </c>
    </row>
    <row r="26425" spans="1:1" ht="12.75">
      <c r="A26425" s="2" t="s">
        <v>769</v>
      </c>
    </row>
    <row r="26426" spans="1:1" ht="12.75">
      <c r="A26426" s="2" t="s">
        <v>769</v>
      </c>
    </row>
    <row r="26427" spans="1:1" ht="12.75">
      <c r="A26427" s="2" t="s">
        <v>256</v>
      </c>
    </row>
    <row r="26428" spans="1:1" ht="12.75">
      <c r="A26428" s="2" t="s">
        <v>256</v>
      </c>
    </row>
    <row r="26429" spans="1:1" ht="12.75">
      <c r="A26429" s="2" t="s">
        <v>256</v>
      </c>
    </row>
    <row r="26430" spans="1:1" ht="12.75">
      <c r="A26430" s="2" t="s">
        <v>256</v>
      </c>
    </row>
    <row r="26431" spans="1:1" ht="12.75">
      <c r="A26431" s="2" t="s">
        <v>254</v>
      </c>
    </row>
    <row r="26432" spans="1:1" ht="12.75">
      <c r="A26432" s="2" t="s">
        <v>254</v>
      </c>
    </row>
    <row r="26433" spans="1:1" ht="12.75">
      <c r="A26433" s="2" t="s">
        <v>769</v>
      </c>
    </row>
    <row r="26434" spans="1:1" ht="12.75">
      <c r="A26434" s="2" t="s">
        <v>769</v>
      </c>
    </row>
    <row r="26436" spans="1:1" ht="12.75">
      <c r="A26436" s="2" t="s">
        <v>252</v>
      </c>
    </row>
    <row r="26437" spans="1:1" ht="12.75">
      <c r="A26437" s="2" t="s">
        <v>206</v>
      </c>
    </row>
    <row r="26438" spans="1:1" ht="12.75">
      <c r="A26438" s="2" t="s">
        <v>206</v>
      </c>
    </row>
    <row r="26439" spans="1:1" ht="12.75">
      <c r="A26439" s="2" t="s">
        <v>206</v>
      </c>
    </row>
    <row r="26440" spans="1:1" ht="12.75">
      <c r="A26440" s="2" t="s">
        <v>206</v>
      </c>
    </row>
    <row r="26441" spans="1:1" ht="12.75">
      <c r="A26441" s="2" t="s">
        <v>206</v>
      </c>
    </row>
    <row r="26442" spans="1:1" ht="12.75">
      <c r="A26442" s="2" t="s">
        <v>206</v>
      </c>
    </row>
    <row r="26443" spans="1:1" ht="12.75">
      <c r="A26443" s="2" t="s">
        <v>207</v>
      </c>
    </row>
    <row r="26444" spans="1:1" ht="12.75">
      <c r="A26444" s="2" t="s">
        <v>207</v>
      </c>
    </row>
    <row r="26445" spans="1:1" ht="12.75">
      <c r="A26445" s="2" t="s">
        <v>207</v>
      </c>
    </row>
    <row r="26446" spans="1:1" ht="12.75">
      <c r="A26446" s="2" t="s">
        <v>207</v>
      </c>
    </row>
    <row r="26447" spans="1:1" ht="12.75">
      <c r="A26447" s="2" t="s">
        <v>203</v>
      </c>
    </row>
    <row r="26448" spans="1:1" ht="12.75">
      <c r="A26448" s="2" t="s">
        <v>203</v>
      </c>
    </row>
    <row r="26449" spans="1:1" ht="12.75">
      <c r="A26449" s="2" t="s">
        <v>203</v>
      </c>
    </row>
    <row r="26450" spans="1:1" ht="12.75">
      <c r="A26450" s="2" t="s">
        <v>203</v>
      </c>
    </row>
    <row r="26451" spans="1:1" ht="12.75">
      <c r="A26451" s="2" t="s">
        <v>203</v>
      </c>
    </row>
    <row r="26452" spans="1:1" ht="12.75">
      <c r="A26452" s="2" t="s">
        <v>207</v>
      </c>
    </row>
    <row r="26453" spans="1:1" ht="12.75">
      <c r="A26453" s="2" t="s">
        <v>200</v>
      </c>
    </row>
    <row r="26454" spans="1:1" ht="12.75">
      <c r="A26454" s="2" t="s">
        <v>200</v>
      </c>
    </row>
    <row r="26455" spans="1:1" ht="12.75">
      <c r="A26455" s="2" t="s">
        <v>206</v>
      </c>
    </row>
    <row r="26456" spans="1:1" ht="12.75">
      <c r="A26456" s="2" t="s">
        <v>206</v>
      </c>
    </row>
    <row r="26457" spans="1:1" ht="12.75">
      <c r="A26457" s="2" t="s">
        <v>206</v>
      </c>
    </row>
    <row r="26458" spans="1:1" ht="12.75">
      <c r="A26458" s="2" t="s">
        <v>206</v>
      </c>
    </row>
    <row r="26459" spans="1:1" ht="12.75">
      <c r="A26459" s="2" t="s">
        <v>206</v>
      </c>
    </row>
    <row r="26460" spans="1:1" ht="12.75">
      <c r="A26460" s="2" t="s">
        <v>206</v>
      </c>
    </row>
    <row r="26461" spans="1:1" ht="12.75">
      <c r="A26461" s="2" t="s">
        <v>202</v>
      </c>
    </row>
    <row r="26462" spans="1:1" ht="12.75">
      <c r="A26462" s="2" t="s">
        <v>202</v>
      </c>
    </row>
    <row r="26463" spans="1:1" ht="12.75">
      <c r="A26463" s="2" t="s">
        <v>202</v>
      </c>
    </row>
    <row r="26464" spans="1:1" ht="12.75">
      <c r="A26464" s="2" t="s">
        <v>202</v>
      </c>
    </row>
    <row r="26465" spans="1:1" ht="12.75">
      <c r="A26465" s="2" t="s">
        <v>203</v>
      </c>
    </row>
    <row r="26466" spans="1:1" ht="12.75">
      <c r="A26466" s="2" t="s">
        <v>203</v>
      </c>
    </row>
    <row r="26467" spans="1:1" ht="12.75">
      <c r="A26467" s="2" t="s">
        <v>203</v>
      </c>
    </row>
    <row r="26468" spans="1:1" ht="12.75">
      <c r="A26468" s="2" t="s">
        <v>203</v>
      </c>
    </row>
    <row r="26469" spans="1:1" ht="12.75">
      <c r="A26469" s="2" t="s">
        <v>203</v>
      </c>
    </row>
    <row r="26470" spans="1:1" ht="12.75">
      <c r="A26470" s="2" t="s">
        <v>203</v>
      </c>
    </row>
    <row r="26471" spans="1:1" ht="12.75">
      <c r="A26471" s="2" t="s">
        <v>203</v>
      </c>
    </row>
    <row r="26472" spans="1:1" ht="12.75">
      <c r="A26472" s="2" t="s">
        <v>203</v>
      </c>
    </row>
    <row r="26473" spans="1:1" ht="12.75">
      <c r="A26473" s="2" t="s">
        <v>206</v>
      </c>
    </row>
    <row r="26474" spans="1:1" ht="12.75">
      <c r="A26474" s="2" t="s">
        <v>206</v>
      </c>
    </row>
    <row r="26475" spans="1:1" ht="12.75">
      <c r="A26475" s="2" t="s">
        <v>200</v>
      </c>
    </row>
    <row r="26476" spans="1:1" ht="12.75">
      <c r="A26476" s="2" t="s">
        <v>200</v>
      </c>
    </row>
    <row r="26477" spans="1:1" ht="12.75">
      <c r="A26477" s="2" t="s">
        <v>200</v>
      </c>
    </row>
    <row r="26478" spans="1:1" ht="12.75">
      <c r="A26478" s="2" t="s">
        <v>200</v>
      </c>
    </row>
    <row r="26479" spans="1:1" ht="12.75">
      <c r="A26479" s="2" t="s">
        <v>202</v>
      </c>
    </row>
    <row r="26480" spans="1:1" ht="12.75">
      <c r="A26480" s="2" t="s">
        <v>202</v>
      </c>
    </row>
    <row r="26481" spans="1:1" ht="12.75">
      <c r="A26481" s="2" t="s">
        <v>202</v>
      </c>
    </row>
    <row r="26482" spans="1:1" ht="12.75">
      <c r="A26482" s="2" t="s">
        <v>202</v>
      </c>
    </row>
    <row r="26483" spans="1:1" ht="12.75">
      <c r="A26483" s="2" t="s">
        <v>202</v>
      </c>
    </row>
    <row r="26484" spans="1:1" ht="12.75">
      <c r="A26484" s="2" t="s">
        <v>202</v>
      </c>
    </row>
    <row r="26485" spans="1:1" ht="12.75">
      <c r="A26485" s="2" t="s">
        <v>202</v>
      </c>
    </row>
    <row r="26486" spans="1:1" ht="12.75">
      <c r="A26486" s="2" t="s">
        <v>202</v>
      </c>
    </row>
    <row r="26487" spans="1:1" ht="12.75">
      <c r="A26487" s="2" t="s">
        <v>202</v>
      </c>
    </row>
    <row r="26488" spans="1:1" ht="12.75">
      <c r="A26488" s="2" t="s">
        <v>202</v>
      </c>
    </row>
    <row r="26489" spans="1:1" ht="12.75">
      <c r="A26489" s="2" t="s">
        <v>206</v>
      </c>
    </row>
    <row r="26490" spans="1:1" ht="12.75">
      <c r="A26490" s="2" t="s">
        <v>200</v>
      </c>
    </row>
    <row r="26491" spans="1:1" ht="12.75">
      <c r="A26491" s="2" t="s">
        <v>206</v>
      </c>
    </row>
    <row r="26492" spans="1:1" ht="12.75">
      <c r="A26492" s="2" t="s">
        <v>206</v>
      </c>
    </row>
    <row r="26493" spans="1:1" ht="12.75">
      <c r="A26493" s="2" t="s">
        <v>200</v>
      </c>
    </row>
    <row r="26494" spans="1:1" ht="12.75">
      <c r="A26494" s="2" t="s">
        <v>200</v>
      </c>
    </row>
    <row r="26495" spans="1:1" ht="12.75">
      <c r="A26495" s="2" t="s">
        <v>213</v>
      </c>
    </row>
    <row r="26496" spans="1:1" ht="12.75">
      <c r="A26496" s="2" t="s">
        <v>213</v>
      </c>
    </row>
    <row r="26497" spans="1:1" ht="12.75">
      <c r="A26497" s="2" t="s">
        <v>213</v>
      </c>
    </row>
    <row r="26498" spans="1:1" ht="12.75">
      <c r="A26498" s="2" t="s">
        <v>213</v>
      </c>
    </row>
    <row r="26499" spans="1:1" ht="12.75">
      <c r="A26499" s="2" t="s">
        <v>213</v>
      </c>
    </row>
    <row r="26500" spans="1:1" ht="12.75">
      <c r="A26500" s="2" t="s">
        <v>213</v>
      </c>
    </row>
    <row r="26501" spans="1:1" ht="12.75">
      <c r="A26501" s="2" t="s">
        <v>213</v>
      </c>
    </row>
    <row r="26503" spans="1:1" ht="12.75">
      <c r="A26503" s="2" t="s">
        <v>213</v>
      </c>
    </row>
    <row r="26504" spans="1:1" ht="12.75">
      <c r="A26504" s="2" t="s">
        <v>213</v>
      </c>
    </row>
    <row r="26505" spans="1:1" ht="12.75">
      <c r="A26505" s="2" t="s">
        <v>213</v>
      </c>
    </row>
    <row r="26507" spans="1:1" ht="12.75">
      <c r="A26507" s="2" t="s">
        <v>516</v>
      </c>
    </row>
    <row r="26508" spans="1:1" ht="12.75">
      <c r="A26508" s="2" t="s">
        <v>516</v>
      </c>
    </row>
    <row r="26509" spans="1:1" ht="12.75">
      <c r="A26509" s="2" t="s">
        <v>516</v>
      </c>
    </row>
    <row r="26510" spans="1:1" ht="12.75">
      <c r="A26510" s="2" t="s">
        <v>1008</v>
      </c>
    </row>
    <row r="26511" spans="1:1" ht="12.75">
      <c r="A26511" s="2" t="s">
        <v>516</v>
      </c>
    </row>
    <row r="26512" spans="1:1" ht="12.75">
      <c r="A26512" s="2" t="s">
        <v>516</v>
      </c>
    </row>
    <row r="26513" spans="1:1" ht="12.75">
      <c r="A26513" s="2" t="s">
        <v>769</v>
      </c>
    </row>
    <row r="26514" spans="1:1" ht="12.75">
      <c r="A26514" s="2" t="s">
        <v>769</v>
      </c>
    </row>
    <row r="26515" spans="1:1" ht="12.75">
      <c r="A26515" s="2" t="s">
        <v>254</v>
      </c>
    </row>
    <row r="26516" spans="1:1" ht="12.75">
      <c r="A26516" s="2" t="s">
        <v>254</v>
      </c>
    </row>
    <row r="26517" spans="1:1" ht="12.75">
      <c r="A26517" s="2" t="s">
        <v>256</v>
      </c>
    </row>
    <row r="26518" spans="1:1" ht="12.75">
      <c r="A26518" s="2" t="s">
        <v>256</v>
      </c>
    </row>
    <row r="26520" spans="1:1" ht="12.75">
      <c r="A26520" s="2" t="s">
        <v>516</v>
      </c>
    </row>
    <row r="26521" spans="1:1" ht="12.75">
      <c r="A26521" s="2" t="s">
        <v>769</v>
      </c>
    </row>
    <row r="26522" spans="1:1" ht="12.75">
      <c r="A26522" s="2" t="s">
        <v>769</v>
      </c>
    </row>
    <row r="26523" spans="1:1" ht="12.75">
      <c r="A26523" s="2" t="s">
        <v>254</v>
      </c>
    </row>
    <row r="26524" spans="1:1" ht="12.75">
      <c r="A26524" s="2" t="s">
        <v>254</v>
      </c>
    </row>
    <row r="26525" spans="1:1" ht="12.75">
      <c r="A26525" s="2" t="s">
        <v>256</v>
      </c>
    </row>
    <row r="26526" spans="1:1" ht="12.75">
      <c r="A26526" s="2" t="s">
        <v>256</v>
      </c>
    </row>
    <row r="26527" spans="1:1" ht="12.75">
      <c r="A26527" s="2" t="s">
        <v>769</v>
      </c>
    </row>
    <row r="26528" spans="1:1" ht="12.75">
      <c r="A26528" s="2" t="s">
        <v>769</v>
      </c>
    </row>
    <row r="26529" spans="1:1" ht="12.75">
      <c r="A26529" s="2" t="s">
        <v>378</v>
      </c>
    </row>
    <row r="26530" spans="1:1" ht="12.75">
      <c r="A26530" s="2" t="s">
        <v>1004</v>
      </c>
    </row>
    <row r="26531" spans="1:1" ht="12.75">
      <c r="A26531" s="2" t="s">
        <v>1009</v>
      </c>
    </row>
    <row r="26532" spans="1:1" ht="12.75">
      <c r="A26532" s="2" t="s">
        <v>1009</v>
      </c>
    </row>
    <row r="26533" spans="1:1" ht="12.75">
      <c r="A26533" s="2" t="s">
        <v>378</v>
      </c>
    </row>
    <row r="26534" spans="1:1" ht="12.75">
      <c r="A26534" s="2" t="s">
        <v>378</v>
      </c>
    </row>
    <row r="26535" spans="1:1" ht="12.75">
      <c r="A26535" s="2" t="s">
        <v>378</v>
      </c>
    </row>
    <row r="26536" spans="1:1" ht="12.75">
      <c r="A26536" s="2" t="s">
        <v>378</v>
      </c>
    </row>
    <row r="26537" spans="1:1" ht="12.75">
      <c r="A26537" s="2" t="s">
        <v>757</v>
      </c>
    </row>
    <row r="26538" spans="1:1" ht="12.75">
      <c r="A26538" s="2" t="s">
        <v>757</v>
      </c>
    </row>
    <row r="26539" spans="1:1" ht="12.75">
      <c r="A26539" s="2" t="s">
        <v>1010</v>
      </c>
    </row>
    <row r="26540" spans="1:1" ht="12.75">
      <c r="A26540" s="2" t="s">
        <v>1010</v>
      </c>
    </row>
    <row r="26541" spans="1:1" ht="12.75">
      <c r="A26541" s="2" t="s">
        <v>1010</v>
      </c>
    </row>
    <row r="26543" spans="1:1" ht="12.75">
      <c r="A26543" s="2" t="s">
        <v>757</v>
      </c>
    </row>
    <row r="26544" spans="1:1" ht="12.75">
      <c r="A26544" s="2" t="s">
        <v>757</v>
      </c>
    </row>
    <row r="26545" spans="1:1" ht="12.75">
      <c r="A26545" s="2" t="s">
        <v>757</v>
      </c>
    </row>
    <row r="26546" spans="1:1" ht="12.75">
      <c r="A26546" s="2" t="s">
        <v>757</v>
      </c>
    </row>
    <row r="26547" spans="1:1" ht="12.75">
      <c r="A26547" s="2" t="s">
        <v>757</v>
      </c>
    </row>
    <row r="26548" spans="1:1" ht="12.75">
      <c r="A26548" s="2" t="s">
        <v>757</v>
      </c>
    </row>
    <row r="26549" spans="1:1" ht="12.75">
      <c r="A26549" s="2" t="s">
        <v>758</v>
      </c>
    </row>
    <row r="26550" spans="1:1" ht="12.75">
      <c r="A26550" s="2" t="s">
        <v>758</v>
      </c>
    </row>
    <row r="26551" spans="1:1" ht="12.75">
      <c r="A26551" s="2" t="s">
        <v>297</v>
      </c>
    </row>
    <row r="26552" spans="1:1" ht="12.75">
      <c r="A26552" s="2" t="s">
        <v>297</v>
      </c>
    </row>
    <row r="26553" spans="1:1" ht="12.75">
      <c r="A26553" s="2" t="s">
        <v>298</v>
      </c>
    </row>
    <row r="26555" spans="1:1" ht="12.75">
      <c r="A26555" s="2" t="s">
        <v>292</v>
      </c>
    </row>
    <row r="26556" spans="1:1" ht="12.75">
      <c r="A26556" s="2" t="s">
        <v>292</v>
      </c>
    </row>
    <row r="26557" spans="1:1" ht="12.75">
      <c r="A26557" s="2" t="s">
        <v>291</v>
      </c>
    </row>
    <row r="26558" spans="1:1" ht="12.75">
      <c r="A26558" s="2" t="s">
        <v>762</v>
      </c>
    </row>
    <row r="26559" spans="1:1" ht="12.75">
      <c r="A26559" s="2" t="s">
        <v>291</v>
      </c>
    </row>
    <row r="26560" spans="1:1" ht="12.75">
      <c r="A26560" s="2" t="s">
        <v>291</v>
      </c>
    </row>
    <row r="26561" spans="1:1" ht="12.75">
      <c r="A26561" s="2" t="s">
        <v>293</v>
      </c>
    </row>
    <row r="26562" spans="1:1" ht="12.75">
      <c r="A26562" s="2" t="s">
        <v>290</v>
      </c>
    </row>
    <row r="26563" spans="1:1" ht="12.75">
      <c r="A26563" s="2" t="s">
        <v>290</v>
      </c>
    </row>
    <row r="26564" spans="1:1" ht="12.75">
      <c r="A26564" s="2" t="s">
        <v>290</v>
      </c>
    </row>
    <row r="26565" spans="1:1" ht="12.75">
      <c r="A26565" s="2" t="s">
        <v>288</v>
      </c>
    </row>
    <row r="26566" spans="1:1" ht="12.75">
      <c r="A26566" s="2" t="s">
        <v>768</v>
      </c>
    </row>
    <row r="26567" spans="1:1" ht="12.75">
      <c r="A26567" s="2" t="s">
        <v>289</v>
      </c>
    </row>
    <row r="26568" spans="1:1" ht="12.75">
      <c r="A26568" s="2" t="s">
        <v>289</v>
      </c>
    </row>
    <row r="26569" spans="1:1" ht="12.75">
      <c r="A26569" s="2" t="s">
        <v>289</v>
      </c>
    </row>
    <row r="26570" spans="1:1" ht="12.75">
      <c r="A26570" s="2" t="s">
        <v>289</v>
      </c>
    </row>
    <row r="26571" spans="1:1" ht="12.75">
      <c r="A26571" s="2" t="s">
        <v>762</v>
      </c>
    </row>
    <row r="26572" spans="1:1" ht="12.75">
      <c r="A26572" s="2" t="s">
        <v>293</v>
      </c>
    </row>
    <row r="26573" spans="1:1" ht="12.75">
      <c r="A26573" s="2" t="s">
        <v>297</v>
      </c>
    </row>
    <row r="26574" spans="1:1" ht="12.75">
      <c r="A26574" s="2" t="s">
        <v>297</v>
      </c>
    </row>
    <row r="26575" spans="1:1" ht="12.75">
      <c r="A26575" s="2" t="s">
        <v>219</v>
      </c>
    </row>
    <row r="26576" spans="1:1" ht="12.75">
      <c r="A26576" s="2" t="s">
        <v>219</v>
      </c>
    </row>
    <row r="26577" spans="1:1" ht="12.75">
      <c r="A26577" s="2" t="s">
        <v>219</v>
      </c>
    </row>
    <row r="26578" spans="1:1" ht="12.75">
      <c r="A26578" s="2" t="s">
        <v>219</v>
      </c>
    </row>
    <row r="26580" spans="1:1" ht="12.75">
      <c r="A26580" s="2" t="s">
        <v>219</v>
      </c>
    </row>
    <row r="26581" spans="1:1" ht="12.75">
      <c r="A26581" s="2" t="s">
        <v>219</v>
      </c>
    </row>
    <row r="26582" spans="1:1" ht="12.75">
      <c r="A26582" s="2" t="s">
        <v>219</v>
      </c>
    </row>
    <row r="26583" spans="1:1" ht="12.75">
      <c r="A26583" s="2" t="s">
        <v>219</v>
      </c>
    </row>
    <row r="26584" spans="1:1" ht="12.75">
      <c r="A26584" s="2" t="s">
        <v>219</v>
      </c>
    </row>
    <row r="26585" spans="1:1" ht="12.75">
      <c r="A26585" s="2" t="s">
        <v>219</v>
      </c>
    </row>
    <row r="26586" spans="1:1" ht="12.75">
      <c r="A26586" s="2" t="s">
        <v>219</v>
      </c>
    </row>
    <row r="26587" spans="1:1" ht="12.75">
      <c r="A26587" s="2" t="s">
        <v>218</v>
      </c>
    </row>
    <row r="26588" spans="1:1" ht="12.75">
      <c r="A26588" s="2" t="s">
        <v>218</v>
      </c>
    </row>
    <row r="26589" spans="1:1" ht="12.75">
      <c r="A26589" s="2" t="s">
        <v>280</v>
      </c>
    </row>
    <row r="26591" spans="1:1" ht="12.75">
      <c r="A26591" s="2" t="s">
        <v>218</v>
      </c>
    </row>
    <row r="26593" spans="1:1" ht="12.75">
      <c r="A26593" s="2" t="s">
        <v>219</v>
      </c>
    </row>
    <row r="26594" spans="1:1" ht="12.75">
      <c r="A26594" s="2" t="s">
        <v>280</v>
      </c>
    </row>
    <row r="26596" spans="1:1" ht="12.75">
      <c r="A26596" s="2" t="s">
        <v>218</v>
      </c>
    </row>
    <row r="26597" spans="1:1" ht="12.75">
      <c r="A26597" s="2" t="s">
        <v>218</v>
      </c>
    </row>
    <row r="26598" spans="1:1" ht="12.75">
      <c r="A26598" s="2" t="s">
        <v>218</v>
      </c>
    </row>
    <row r="26599" spans="1:1" ht="12.75">
      <c r="A26599" s="2" t="s">
        <v>218</v>
      </c>
    </row>
    <row r="26600" spans="1:1" ht="12.75">
      <c r="A26600" s="2" t="s">
        <v>218</v>
      </c>
    </row>
    <row r="26602" spans="1:1" ht="12.75">
      <c r="A26602" s="2" t="s">
        <v>1011</v>
      </c>
    </row>
    <row r="26603" spans="1:1" ht="12.75">
      <c r="A26603" s="2" t="s">
        <v>218</v>
      </c>
    </row>
    <row r="26604" spans="1:1" ht="12.75">
      <c r="A26604" s="2" t="s">
        <v>218</v>
      </c>
    </row>
    <row r="26605" spans="1:1" ht="12.75">
      <c r="A26605" s="2" t="s">
        <v>296</v>
      </c>
    </row>
    <row r="26606" spans="1:1" ht="12.75">
      <c r="A26606" s="2" t="s">
        <v>296</v>
      </c>
    </row>
    <row r="26607" spans="1:1" ht="12.75">
      <c r="A26607" s="2" t="s">
        <v>762</v>
      </c>
    </row>
    <row r="26608" spans="1:1" ht="12.75">
      <c r="A26608" s="2" t="s">
        <v>762</v>
      </c>
    </row>
    <row r="26609" spans="1:1" ht="12.75">
      <c r="A26609" s="2" t="s">
        <v>292</v>
      </c>
    </row>
    <row r="26610" spans="1:1" ht="12.75">
      <c r="A26610" s="2" t="s">
        <v>292</v>
      </c>
    </row>
    <row r="26611" spans="1:1" ht="12.75">
      <c r="A26611" s="2" t="s">
        <v>298</v>
      </c>
    </row>
    <row r="26612" spans="1:1" ht="12.75">
      <c r="A26612" s="2" t="s">
        <v>298</v>
      </c>
    </row>
    <row r="26613" spans="1:1" ht="12.75">
      <c r="A26613" s="2" t="s">
        <v>203</v>
      </c>
    </row>
    <row r="26614" spans="1:1" ht="12.75">
      <c r="A26614" s="2" t="s">
        <v>203</v>
      </c>
    </row>
    <row r="26615" spans="1:1" ht="12.75">
      <c r="A26615" s="2" t="s">
        <v>203</v>
      </c>
    </row>
    <row r="26616" spans="1:1" ht="12.75">
      <c r="A26616" s="2" t="s">
        <v>203</v>
      </c>
    </row>
    <row r="26617" spans="1:1" ht="12.75">
      <c r="A26617" s="2" t="s">
        <v>203</v>
      </c>
    </row>
    <row r="26618" spans="1:1" ht="12.75">
      <c r="A26618" s="2" t="s">
        <v>203</v>
      </c>
    </row>
    <row r="26619" spans="1:1" ht="12.75">
      <c r="A26619" s="2" t="s">
        <v>203</v>
      </c>
    </row>
    <row r="26620" spans="1:1" ht="12.75">
      <c r="A26620" s="2" t="s">
        <v>203</v>
      </c>
    </row>
    <row r="26621" spans="1:1" ht="12.75">
      <c r="A26621" s="2" t="s">
        <v>203</v>
      </c>
    </row>
    <row r="26622" spans="1:1" ht="12.75">
      <c r="A26622" s="2" t="s">
        <v>203</v>
      </c>
    </row>
    <row r="26623" spans="1:1" ht="12.75">
      <c r="A26623" s="2" t="s">
        <v>200</v>
      </c>
    </row>
    <row r="26624" spans="1:1" ht="12.75">
      <c r="A26624" s="2" t="s">
        <v>200</v>
      </c>
    </row>
    <row r="26625" spans="1:1" ht="12.75">
      <c r="A26625" s="2" t="s">
        <v>200</v>
      </c>
    </row>
    <row r="26626" spans="1:1" ht="12.75">
      <c r="A26626" s="2" t="s">
        <v>200</v>
      </c>
    </row>
    <row r="26627" spans="1:1" ht="12.75">
      <c r="A26627" s="2" t="s">
        <v>200</v>
      </c>
    </row>
    <row r="26628" spans="1:1" ht="12.75">
      <c r="A26628" s="2" t="s">
        <v>200</v>
      </c>
    </row>
    <row r="26629" spans="1:1" ht="12.75">
      <c r="A26629" s="2" t="s">
        <v>200</v>
      </c>
    </row>
    <row r="26630" spans="1:1" ht="12.75">
      <c r="A26630" s="2" t="s">
        <v>200</v>
      </c>
    </row>
    <row r="26631" spans="1:1" ht="12.75">
      <c r="A26631" s="2" t="s">
        <v>200</v>
      </c>
    </row>
    <row r="26632" spans="1:1" ht="12.75">
      <c r="A26632" s="2" t="s">
        <v>200</v>
      </c>
    </row>
    <row r="26633" spans="1:1" ht="12.75">
      <c r="A26633" s="2" t="s">
        <v>206</v>
      </c>
    </row>
    <row r="26634" spans="1:1" ht="12.75">
      <c r="A26634" s="2" t="s">
        <v>206</v>
      </c>
    </row>
    <row r="26635" spans="1:1" ht="12.75">
      <c r="A26635" s="2" t="s">
        <v>1012</v>
      </c>
    </row>
    <row r="26636" spans="1:1" ht="12.75">
      <c r="A26636" s="2" t="s">
        <v>206</v>
      </c>
    </row>
    <row r="26637" spans="1:1" ht="12.75">
      <c r="A26637" s="2" t="s">
        <v>768</v>
      </c>
    </row>
    <row r="26639" spans="1:1" ht="12.75">
      <c r="A26639" s="2" t="s">
        <v>768</v>
      </c>
    </row>
    <row r="26640" spans="1:1" ht="12.75">
      <c r="A26640" s="2" t="s">
        <v>768</v>
      </c>
    </row>
    <row r="26643" spans="1:1" ht="12.75">
      <c r="A26643" s="2" t="s">
        <v>963</v>
      </c>
    </row>
    <row r="26644" spans="1:1" ht="12.75">
      <c r="A26644" s="2" t="s">
        <v>963</v>
      </c>
    </row>
    <row r="26645" spans="1:1" ht="12.75">
      <c r="A26645" s="2" t="s">
        <v>768</v>
      </c>
    </row>
    <row r="26646" spans="1:1" ht="12.75">
      <c r="A26646" s="2" t="s">
        <v>768</v>
      </c>
    </row>
    <row r="26647" spans="1:1" ht="12.75">
      <c r="A26647" s="2" t="s">
        <v>768</v>
      </c>
    </row>
    <row r="26648" spans="1:1" ht="12.75">
      <c r="A26648" s="2" t="s">
        <v>768</v>
      </c>
    </row>
    <row r="26649" spans="1:1" ht="12.75">
      <c r="A26649" s="2" t="s">
        <v>768</v>
      </c>
    </row>
    <row r="26650" spans="1:1" ht="12.75">
      <c r="A26650" s="2" t="s">
        <v>768</v>
      </c>
    </row>
    <row r="26652" spans="1:1" ht="12.75">
      <c r="A26652" s="2" t="s">
        <v>768</v>
      </c>
    </row>
    <row r="26653" spans="1:1" ht="12.75">
      <c r="A26653" s="2" t="s">
        <v>768</v>
      </c>
    </row>
    <row r="26655" spans="1:1" ht="12.75">
      <c r="A26655" s="2" t="s">
        <v>768</v>
      </c>
    </row>
    <row r="26656" spans="1:1" ht="12.75">
      <c r="A26656" s="2" t="s">
        <v>768</v>
      </c>
    </row>
    <row r="26657" spans="1:1" ht="12.75">
      <c r="A26657" s="2" t="s">
        <v>768</v>
      </c>
    </row>
    <row r="26658" spans="1:1" ht="12.75">
      <c r="A26658" s="2" t="s">
        <v>768</v>
      </c>
    </row>
    <row r="26659" spans="1:1" ht="12.75">
      <c r="A26659" s="2" t="s">
        <v>768</v>
      </c>
    </row>
    <row r="26660" spans="1:1" ht="12.75">
      <c r="A26660" s="2" t="s">
        <v>768</v>
      </c>
    </row>
    <row r="26661" spans="1:1" ht="12.75">
      <c r="A26661" s="2" t="s">
        <v>768</v>
      </c>
    </row>
    <row r="26662" spans="1:1" ht="12.75">
      <c r="A26662" s="2" t="s">
        <v>768</v>
      </c>
    </row>
    <row r="26663" spans="1:1" ht="12.75">
      <c r="A26663" s="2" t="s">
        <v>293</v>
      </c>
    </row>
    <row r="26664" spans="1:1" ht="12.75">
      <c r="A26664" s="2" t="s">
        <v>293</v>
      </c>
    </row>
    <row r="26665" spans="1:1" ht="12.75">
      <c r="A26665" s="2" t="s">
        <v>1013</v>
      </c>
    </row>
    <row r="26666" spans="1:1" ht="12.75">
      <c r="A26666" s="2" t="s">
        <v>1014</v>
      </c>
    </row>
    <row r="26667" spans="1:1" ht="12.75">
      <c r="A26667" s="2" t="s">
        <v>1014</v>
      </c>
    </row>
    <row r="26668" spans="1:1" ht="12.75">
      <c r="A26668" s="2" t="s">
        <v>225</v>
      </c>
    </row>
    <row r="26669" spans="1:1" ht="12.75">
      <c r="A26669" s="2" t="s">
        <v>750</v>
      </c>
    </row>
    <row r="26671" spans="1:1" ht="12.75">
      <c r="A26671" s="2" t="s">
        <v>1014</v>
      </c>
    </row>
    <row r="26672" spans="1:1" ht="12.75">
      <c r="A26672" s="2" t="s">
        <v>1013</v>
      </c>
    </row>
    <row r="26674" spans="1:1" ht="12.75">
      <c r="A26674" s="2" t="s">
        <v>750</v>
      </c>
    </row>
    <row r="26677" spans="1:1" ht="12.75">
      <c r="A26677" s="2" t="s">
        <v>750</v>
      </c>
    </row>
    <row r="26678" spans="1:1" ht="12.75">
      <c r="A26678" s="2" t="s">
        <v>750</v>
      </c>
    </row>
    <row r="26680" spans="1:1" ht="12.75">
      <c r="A26680" s="2" t="s">
        <v>750</v>
      </c>
    </row>
    <row r="26681" spans="1:1" ht="12.75">
      <c r="A26681" s="2" t="s">
        <v>750</v>
      </c>
    </row>
    <row r="26683" spans="1:1" ht="12.75">
      <c r="A26683" s="2" t="s">
        <v>750</v>
      </c>
    </row>
    <row r="26684" spans="1:1" ht="12.75">
      <c r="A26684" s="2" t="s">
        <v>750</v>
      </c>
    </row>
    <row r="26685" spans="1:1" ht="12.75">
      <c r="A26685" s="2" t="s">
        <v>750</v>
      </c>
    </row>
    <row r="26686" spans="1:1" ht="12.75">
      <c r="A26686" s="2" t="s">
        <v>750</v>
      </c>
    </row>
    <row r="26687" spans="1:1" ht="12.75">
      <c r="A26687" s="2" t="s">
        <v>750</v>
      </c>
    </row>
    <row r="26688" spans="1:1" ht="12.75">
      <c r="A26688" s="2" t="s">
        <v>750</v>
      </c>
    </row>
    <row r="26689" spans="1:1" ht="12.75">
      <c r="A26689" s="2" t="s">
        <v>750</v>
      </c>
    </row>
    <row r="26690" spans="1:1" ht="12.75">
      <c r="A26690" s="2" t="s">
        <v>750</v>
      </c>
    </row>
    <row r="26691" spans="1:1" ht="12.75">
      <c r="A26691" s="2" t="s">
        <v>694</v>
      </c>
    </row>
    <row r="26692" spans="1:1" ht="12.75">
      <c r="A26692" s="2" t="s">
        <v>694</v>
      </c>
    </row>
    <row r="26693" spans="1:1" ht="12.75">
      <c r="A26693" s="2" t="s">
        <v>694</v>
      </c>
    </row>
    <row r="26694" spans="1:1" ht="12.75">
      <c r="A26694" s="2" t="s">
        <v>1015</v>
      </c>
    </row>
    <row r="26695" spans="1:1" ht="12.75">
      <c r="A26695" s="2" t="s">
        <v>694</v>
      </c>
    </row>
    <row r="26696" spans="1:1" ht="12.75">
      <c r="A26696" s="2" t="s">
        <v>694</v>
      </c>
    </row>
    <row r="26697" spans="1:1" ht="12.75">
      <c r="A26697" s="2" t="s">
        <v>694</v>
      </c>
    </row>
    <row r="26698" spans="1:1" ht="12.75">
      <c r="A26698" s="2" t="s">
        <v>694</v>
      </c>
    </row>
    <row r="26699" spans="1:1" ht="12.75">
      <c r="A26699" s="2" t="s">
        <v>694</v>
      </c>
    </row>
    <row r="26700" spans="1:1" ht="12.75">
      <c r="A26700" s="2" t="s">
        <v>694</v>
      </c>
    </row>
    <row r="26701" spans="1:1" ht="12.75">
      <c r="A26701" s="2" t="s">
        <v>694</v>
      </c>
    </row>
    <row r="26702" spans="1:1" ht="12.75">
      <c r="A26702" s="2" t="s">
        <v>694</v>
      </c>
    </row>
    <row r="26703" spans="1:1" ht="12.75">
      <c r="A26703" s="2" t="s">
        <v>694</v>
      </c>
    </row>
    <row r="26704" spans="1:1" ht="12.75">
      <c r="A26704" s="2" t="s">
        <v>694</v>
      </c>
    </row>
    <row r="26705" spans="1:1" ht="12.75">
      <c r="A26705" s="2" t="s">
        <v>694</v>
      </c>
    </row>
    <row r="26706" spans="1:1" ht="12.75">
      <c r="A26706" s="2" t="s">
        <v>694</v>
      </c>
    </row>
    <row r="26708" spans="1:1" ht="12.75">
      <c r="A26708" s="2" t="s">
        <v>694</v>
      </c>
    </row>
    <row r="26710" spans="1:1" ht="12.75">
      <c r="A26710" s="2" t="s">
        <v>694</v>
      </c>
    </row>
    <row r="26711" spans="1:1" ht="12.75">
      <c r="A26711" s="2" t="s">
        <v>758</v>
      </c>
    </row>
    <row r="26712" spans="1:1" ht="12.75">
      <c r="A26712" s="2" t="s">
        <v>758</v>
      </c>
    </row>
    <row r="26713" spans="1:1" ht="12.75">
      <c r="A26713" s="2" t="s">
        <v>758</v>
      </c>
    </row>
    <row r="26714" spans="1:1" ht="12.75">
      <c r="A26714" s="2" t="s">
        <v>758</v>
      </c>
    </row>
    <row r="26715" spans="1:1" ht="12.75">
      <c r="A26715" s="2" t="s">
        <v>757</v>
      </c>
    </row>
    <row r="26716" spans="1:1" ht="12.75">
      <c r="A26716" s="2" t="s">
        <v>757</v>
      </c>
    </row>
    <row r="26717" spans="1:1" ht="12.75">
      <c r="A26717" s="2" t="s">
        <v>758</v>
      </c>
    </row>
    <row r="26718" spans="1:1" ht="12.75">
      <c r="A26718" s="2" t="s">
        <v>758</v>
      </c>
    </row>
    <row r="26719" spans="1:1" ht="12.75">
      <c r="A26719" s="2" t="s">
        <v>758</v>
      </c>
    </row>
    <row r="26720" spans="1:1" ht="12.75">
      <c r="A26720" s="2" t="s">
        <v>758</v>
      </c>
    </row>
    <row r="26721" spans="1:1" ht="12.75">
      <c r="A26721" s="2" t="s">
        <v>758</v>
      </c>
    </row>
    <row r="26722" spans="1:1" ht="12.75">
      <c r="A26722" s="2" t="s">
        <v>758</v>
      </c>
    </row>
    <row r="26723" spans="1:1" ht="12.75">
      <c r="A26723" s="2" t="s">
        <v>1016</v>
      </c>
    </row>
    <row r="26724" spans="1:1" ht="12.75">
      <c r="A26724" s="2" t="s">
        <v>758</v>
      </c>
    </row>
    <row r="26725" spans="1:1" ht="12.75">
      <c r="A26725" s="2" t="s">
        <v>758</v>
      </c>
    </row>
    <row r="26726" spans="1:1" ht="12.75">
      <c r="A26726" s="2" t="s">
        <v>758</v>
      </c>
    </row>
    <row r="26727" spans="1:1" ht="12.75">
      <c r="A26727" s="2" t="s">
        <v>1010</v>
      </c>
    </row>
    <row r="26728" spans="1:1" ht="12.75">
      <c r="A26728" s="2" t="s">
        <v>1010</v>
      </c>
    </row>
    <row r="26729" spans="1:1" ht="12.75">
      <c r="A26729" s="2" t="s">
        <v>1010</v>
      </c>
    </row>
    <row r="26730" spans="1:1" ht="12.75">
      <c r="A26730" s="2" t="s">
        <v>1010</v>
      </c>
    </row>
    <row r="26731" spans="1:1" ht="12.75">
      <c r="A26731" s="2" t="s">
        <v>757</v>
      </c>
    </row>
    <row r="26732" spans="1:1" ht="12.75">
      <c r="A26732" s="2" t="s">
        <v>757</v>
      </c>
    </row>
    <row r="26733" spans="1:1" ht="12.75">
      <c r="A26733" s="2" t="s">
        <v>757</v>
      </c>
    </row>
    <row r="26734" spans="1:1" ht="12.75">
      <c r="A26734" s="2" t="s">
        <v>757</v>
      </c>
    </row>
    <row r="26735" spans="1:1" ht="12.75">
      <c r="A26735" s="2" t="s">
        <v>1010</v>
      </c>
    </row>
    <row r="26736" spans="1:1" ht="12.75">
      <c r="A26736" s="2" t="s">
        <v>1010</v>
      </c>
    </row>
    <row r="26737" spans="1:1" ht="12.75">
      <c r="A26737" s="2" t="s">
        <v>868</v>
      </c>
    </row>
    <row r="26738" spans="1:1" ht="12.75">
      <c r="A26738" s="2" t="s">
        <v>868</v>
      </c>
    </row>
    <row r="26739" spans="1:1" ht="12.75">
      <c r="A26739" s="2" t="s">
        <v>237</v>
      </c>
    </row>
    <row r="26741" spans="1:1" ht="12.75">
      <c r="A26741" s="2" t="s">
        <v>362</v>
      </c>
    </row>
    <row r="26742" spans="1:1" ht="12.75">
      <c r="A26742" s="2" t="s">
        <v>362</v>
      </c>
    </row>
    <row r="26744" spans="1:1" ht="12.75">
      <c r="A26744" s="2" t="s">
        <v>362</v>
      </c>
    </row>
    <row r="26745" spans="1:1" ht="12.75">
      <c r="A26745" s="2" t="s">
        <v>339</v>
      </c>
    </row>
    <row r="26746" spans="1:1" ht="12.75">
      <c r="A26746" s="2" t="s">
        <v>339</v>
      </c>
    </row>
    <row r="26747" spans="1:1" ht="12.75">
      <c r="A26747" s="2" t="s">
        <v>157</v>
      </c>
    </row>
    <row r="26748" spans="1:1" ht="12.75">
      <c r="A26748" s="2" t="s">
        <v>340</v>
      </c>
    </row>
    <row r="26749" spans="1:1" ht="12.75">
      <c r="A26749" s="2" t="s">
        <v>339</v>
      </c>
    </row>
    <row r="26750" spans="1:1" ht="12.75">
      <c r="A26750" s="2" t="s">
        <v>340</v>
      </c>
    </row>
    <row r="26751" spans="1:1" ht="12.75">
      <c r="A26751" s="2" t="s">
        <v>1017</v>
      </c>
    </row>
    <row r="26752" spans="1:1" ht="12.75">
      <c r="A26752" s="2" t="s">
        <v>1018</v>
      </c>
    </row>
    <row r="26753" spans="1:1" ht="12.75">
      <c r="A26753" s="2" t="s">
        <v>1017</v>
      </c>
    </row>
    <row r="26754" spans="1:1" ht="12.75">
      <c r="A26754" s="2" t="s">
        <v>1017</v>
      </c>
    </row>
    <row r="26755" spans="1:1" ht="12.75">
      <c r="A26755" s="2" t="s">
        <v>1018</v>
      </c>
    </row>
    <row r="26756" spans="1:1" ht="12.75">
      <c r="A26756" s="2" t="s">
        <v>1018</v>
      </c>
    </row>
    <row r="26757" spans="1:1" ht="12.75">
      <c r="A26757" s="2" t="s">
        <v>1019</v>
      </c>
    </row>
    <row r="26758" spans="1:1" ht="12.75">
      <c r="A26758" s="2" t="s">
        <v>1019</v>
      </c>
    </row>
    <row r="26769" spans="1:1" ht="12.75">
      <c r="A26769" s="2" t="s">
        <v>591</v>
      </c>
    </row>
    <row r="26770" spans="1:1" ht="12.75">
      <c r="A26770" s="2" t="s">
        <v>591</v>
      </c>
    </row>
    <row r="26771" spans="1:1" ht="12.75">
      <c r="A26771" s="2" t="s">
        <v>240</v>
      </c>
    </row>
    <row r="26772" spans="1:1" ht="12.75">
      <c r="A26772" s="2" t="s">
        <v>240</v>
      </c>
    </row>
    <row r="26773" spans="1:1" ht="12.75">
      <c r="A26773" s="2" t="s">
        <v>240</v>
      </c>
    </row>
    <row r="26774" spans="1:1" ht="12.75">
      <c r="A26774" s="2" t="s">
        <v>240</v>
      </c>
    </row>
    <row r="26775" spans="1:1" ht="12.75">
      <c r="A26775" s="2" t="s">
        <v>578</v>
      </c>
    </row>
    <row r="26776" spans="1:1" ht="12.75">
      <c r="A26776" s="2" t="s">
        <v>578</v>
      </c>
    </row>
    <row r="26777" spans="1:1" ht="12.75">
      <c r="A26777" s="2" t="s">
        <v>578</v>
      </c>
    </row>
    <row r="26778" spans="1:1" ht="12.75">
      <c r="A26778" s="2" t="s">
        <v>578</v>
      </c>
    </row>
    <row r="26779" spans="1:1" ht="12.75">
      <c r="A26779" s="2" t="s">
        <v>403</v>
      </c>
    </row>
    <row r="26780" spans="1:1" ht="12.75">
      <c r="A26780" s="2" t="s">
        <v>403</v>
      </c>
    </row>
    <row r="26781" spans="1:1" ht="12.75">
      <c r="A26781" s="2" t="s">
        <v>403</v>
      </c>
    </row>
    <row r="26784" spans="1:1" ht="12.75">
      <c r="A26784" s="2" t="s">
        <v>461</v>
      </c>
    </row>
    <row r="26785" spans="1:1" ht="12.75">
      <c r="A26785" s="2" t="s">
        <v>461</v>
      </c>
    </row>
    <row r="26786" spans="1:1" ht="12.75">
      <c r="A26786" s="2" t="s">
        <v>461</v>
      </c>
    </row>
    <row r="26787" spans="1:1" ht="12.75">
      <c r="A26787" s="2" t="s">
        <v>461</v>
      </c>
    </row>
    <row r="26788" spans="1:1" ht="12.75">
      <c r="A26788" s="2" t="s">
        <v>181</v>
      </c>
    </row>
    <row r="26789" spans="1:1" ht="12.75">
      <c r="A26789" s="2" t="s">
        <v>461</v>
      </c>
    </row>
    <row r="26790" spans="1:1" ht="12.75">
      <c r="A26790" s="2" t="s">
        <v>1020</v>
      </c>
    </row>
    <row r="26796" spans="1:1" ht="12.75">
      <c r="A26796" s="2" t="s">
        <v>1021</v>
      </c>
    </row>
    <row r="26797" spans="1:1" ht="12.75">
      <c r="A26797" s="2" t="s">
        <v>1021</v>
      </c>
    </row>
    <row r="26798" spans="1:1" ht="12.75">
      <c r="A26798" s="2" t="s">
        <v>1020</v>
      </c>
    </row>
    <row r="26799" spans="1:1" ht="12.75">
      <c r="A26799" s="2" t="s">
        <v>1022</v>
      </c>
    </row>
    <row r="26800" spans="1:1" ht="12.75">
      <c r="A26800" s="2" t="s">
        <v>1020</v>
      </c>
    </row>
    <row r="26801" spans="1:1" ht="12.75">
      <c r="A26801" s="2" t="s">
        <v>1020</v>
      </c>
    </row>
    <row r="26802" spans="1:1" ht="12.75">
      <c r="A26802" s="2" t="s">
        <v>1020</v>
      </c>
    </row>
    <row r="26803" spans="1:1" ht="12.75">
      <c r="A26803" s="2" t="s">
        <v>1020</v>
      </c>
    </row>
    <row r="26804" spans="1:1" ht="12.75">
      <c r="A26804" s="2" t="s">
        <v>1020</v>
      </c>
    </row>
    <row r="26805" spans="1:1" ht="12.75">
      <c r="A26805" s="2" t="s">
        <v>1023</v>
      </c>
    </row>
    <row r="26806" spans="1:1" ht="12.75">
      <c r="A26806" s="2" t="s">
        <v>1024</v>
      </c>
    </row>
    <row r="26807" spans="1:1" ht="12.75">
      <c r="A26807" s="2" t="s">
        <v>1024</v>
      </c>
    </row>
    <row r="26808" spans="1:1" ht="12.75">
      <c r="A26808" s="2" t="s">
        <v>1024</v>
      </c>
    </row>
    <row r="26809" spans="1:1" ht="12.75">
      <c r="A26809" s="2" t="s">
        <v>1024</v>
      </c>
    </row>
    <row r="26810" spans="1:1" ht="12.75">
      <c r="A26810" s="2" t="s">
        <v>1025</v>
      </c>
    </row>
    <row r="26824" spans="1:1" ht="12.75">
      <c r="A26824" s="2" t="s">
        <v>1026</v>
      </c>
    </row>
    <row r="26828" spans="1:1" ht="12.75">
      <c r="A26828" s="2" t="s">
        <v>1027</v>
      </c>
    </row>
    <row r="26829" spans="1:1" ht="12.75">
      <c r="A26829" s="2">
        <v>9887</v>
      </c>
    </row>
    <row r="26830" spans="1:1" ht="12.75">
      <c r="A26830" s="2" t="s">
        <v>1027</v>
      </c>
    </row>
    <row r="26831" spans="1:1" ht="12.75">
      <c r="A26831" s="2" t="s">
        <v>547</v>
      </c>
    </row>
    <row r="26832" spans="1:1" ht="12.75">
      <c r="A26832" s="2" t="s">
        <v>547</v>
      </c>
    </row>
    <row r="26833" spans="1:1" ht="12.75">
      <c r="A26833" s="2" t="s">
        <v>547</v>
      </c>
    </row>
    <row r="26834" spans="1:1" ht="12.75">
      <c r="A26834" s="2" t="s">
        <v>547</v>
      </c>
    </row>
    <row r="26835" spans="1:1" ht="12.75">
      <c r="A26835" s="2" t="s">
        <v>547</v>
      </c>
    </row>
    <row r="26836" spans="1:1" ht="12.75">
      <c r="A26836" s="2" t="s">
        <v>547</v>
      </c>
    </row>
    <row r="26837" spans="1:1" ht="12.75">
      <c r="A26837" s="2" t="s">
        <v>547</v>
      </c>
    </row>
    <row r="26838" spans="1:1" ht="12.75">
      <c r="A26838" s="2" t="s">
        <v>675</v>
      </c>
    </row>
    <row r="26839" spans="1:1" ht="12.75">
      <c r="A26839" s="2" t="s">
        <v>547</v>
      </c>
    </row>
    <row r="26840" spans="1:1" ht="12.75">
      <c r="A26840" s="2" t="s">
        <v>514</v>
      </c>
    </row>
    <row r="26841" spans="1:1" ht="12.75">
      <c r="A26841" s="2" t="s">
        <v>512</v>
      </c>
    </row>
    <row r="26842" spans="1:1" ht="12.75">
      <c r="A26842" s="2" t="s">
        <v>514</v>
      </c>
    </row>
    <row r="26843" spans="1:1" ht="12.75">
      <c r="A26843" s="2" t="s">
        <v>514</v>
      </c>
    </row>
    <row r="26844" spans="1:1" ht="12.75">
      <c r="A26844" s="2" t="s">
        <v>576</v>
      </c>
    </row>
    <row r="26845" spans="1:1" ht="12.75">
      <c r="A26845" s="2" t="s">
        <v>576</v>
      </c>
    </row>
    <row r="26846" spans="1:1" ht="12.75">
      <c r="A26846" s="2" t="s">
        <v>1028</v>
      </c>
    </row>
    <row r="26847" spans="1:1" ht="12.75">
      <c r="A26847" s="2" t="s">
        <v>675</v>
      </c>
    </row>
    <row r="26848" spans="1:1" ht="12.75">
      <c r="A26848" s="2" t="s">
        <v>512</v>
      </c>
    </row>
    <row r="26849" spans="1:1" ht="12.75">
      <c r="A26849" s="2" t="s">
        <v>512</v>
      </c>
    </row>
    <row r="26850" spans="1:1" ht="12.75">
      <c r="A26850" s="2" t="s">
        <v>514</v>
      </c>
    </row>
    <row r="26851" spans="1:1" ht="12.75">
      <c r="A26851" s="2" t="s">
        <v>512</v>
      </c>
    </row>
    <row r="26852" spans="1:1" ht="12.75">
      <c r="A26852" s="2" t="s">
        <v>512</v>
      </c>
    </row>
    <row r="26853" spans="1:1" ht="12.75">
      <c r="A26853" s="2" t="s">
        <v>512</v>
      </c>
    </row>
    <row r="26854" spans="1:1" ht="12.75">
      <c r="A26854" s="2" t="s">
        <v>514</v>
      </c>
    </row>
    <row r="26855" spans="1:1" ht="12.75">
      <c r="A26855" s="2" t="s">
        <v>514</v>
      </c>
    </row>
    <row r="26857" spans="1:1" ht="12.75">
      <c r="A26857" s="2" t="s">
        <v>514</v>
      </c>
    </row>
    <row r="26858" spans="1:1" ht="12.75">
      <c r="A26858" s="2" t="s">
        <v>675</v>
      </c>
    </row>
    <row r="26859" spans="1:1" ht="12.75">
      <c r="A26859" s="2" t="s">
        <v>514</v>
      </c>
    </row>
    <row r="26861" spans="1:1" ht="12.75">
      <c r="A26861" s="2" t="s">
        <v>547</v>
      </c>
    </row>
    <row r="26862" spans="1:1" ht="12.75">
      <c r="A26862" s="2" t="s">
        <v>512</v>
      </c>
    </row>
    <row r="26863" spans="1:1" ht="12.75">
      <c r="A26863" s="2" t="s">
        <v>514</v>
      </c>
    </row>
    <row r="26864" spans="1:1" ht="12.75">
      <c r="A26864" s="2" t="s">
        <v>547</v>
      </c>
    </row>
    <row r="26865" spans="1:1" ht="12.75">
      <c r="A26865" s="2" t="s">
        <v>514</v>
      </c>
    </row>
    <row r="26866" spans="1:1" ht="12.75">
      <c r="A26866" s="2" t="s">
        <v>675</v>
      </c>
    </row>
    <row r="26867" spans="1:1" ht="12.75">
      <c r="A26867" s="2" t="s">
        <v>675</v>
      </c>
    </row>
    <row r="26868" spans="1:1" ht="12.75">
      <c r="A26868" s="2" t="s">
        <v>512</v>
      </c>
    </row>
    <row r="26869" spans="1:1" ht="12.75">
      <c r="A26869" s="2" t="s">
        <v>675</v>
      </c>
    </row>
    <row r="26870" spans="1:1" ht="12.75">
      <c r="A26870" s="2" t="s">
        <v>512</v>
      </c>
    </row>
    <row r="26871" spans="1:1" ht="12.75">
      <c r="A26871" s="2" t="s">
        <v>547</v>
      </c>
    </row>
    <row r="26872" spans="1:1" ht="12.75">
      <c r="A26872" s="2" t="s">
        <v>512</v>
      </c>
    </row>
    <row r="26873" spans="1:1" ht="12.75">
      <c r="A26873" s="2" t="s">
        <v>675</v>
      </c>
    </row>
    <row r="26874" spans="1:1" ht="12.75">
      <c r="A26874" s="2" t="s">
        <v>514</v>
      </c>
    </row>
    <row r="26875" spans="1:1" ht="12.75">
      <c r="A26875" s="2" t="s">
        <v>514</v>
      </c>
    </row>
    <row r="26876" spans="1:1" ht="12.75">
      <c r="A26876" s="2" t="s">
        <v>512</v>
      </c>
    </row>
    <row r="26877" spans="1:1" ht="12.75">
      <c r="A26877" s="2" t="s">
        <v>512</v>
      </c>
    </row>
    <row r="26878" spans="1:1" ht="12.75">
      <c r="A26878" s="2" t="s">
        <v>512</v>
      </c>
    </row>
    <row r="26879" spans="1:1" ht="12.75">
      <c r="A26879" s="2" t="s">
        <v>547</v>
      </c>
    </row>
    <row r="26880" spans="1:1" ht="12.75">
      <c r="A26880" s="2" t="s">
        <v>512</v>
      </c>
    </row>
    <row r="26881" spans="1:1" ht="12.75">
      <c r="A26881" s="2" t="s">
        <v>675</v>
      </c>
    </row>
    <row r="26882" spans="1:1" ht="12.75">
      <c r="A26882" s="2" t="s">
        <v>512</v>
      </c>
    </row>
    <row r="26883" spans="1:1" ht="12.75">
      <c r="A26883" s="2" t="s">
        <v>675</v>
      </c>
    </row>
    <row r="26884" spans="1:1" ht="12.75">
      <c r="A26884" s="2" t="s">
        <v>547</v>
      </c>
    </row>
    <row r="26885" spans="1:1" ht="12.75">
      <c r="A26885" s="2" t="s">
        <v>547</v>
      </c>
    </row>
    <row r="26886" spans="1:1" ht="12.75">
      <c r="A26886" s="2" t="s">
        <v>547</v>
      </c>
    </row>
    <row r="26887" spans="1:1" ht="12.75">
      <c r="A26887" s="2" t="s">
        <v>512</v>
      </c>
    </row>
    <row r="26888" spans="1:1" ht="12.75">
      <c r="A26888" s="2" t="s">
        <v>514</v>
      </c>
    </row>
    <row r="26889" spans="1:1" ht="12.75">
      <c r="A26889" s="2" t="s">
        <v>512</v>
      </c>
    </row>
    <row r="26890" spans="1:1" ht="12.75">
      <c r="A26890" s="2" t="s">
        <v>675</v>
      </c>
    </row>
    <row r="26891" spans="1:1" ht="12.75">
      <c r="A26891" s="2" t="s">
        <v>675</v>
      </c>
    </row>
    <row r="26892" spans="1:1" ht="12.75">
      <c r="A26892" s="2" t="s">
        <v>512</v>
      </c>
    </row>
    <row r="26893" spans="1:1" ht="12.75">
      <c r="A26893" s="2" t="s">
        <v>675</v>
      </c>
    </row>
    <row r="26894" spans="1:1" ht="12.75">
      <c r="A26894" s="2" t="s">
        <v>512</v>
      </c>
    </row>
    <row r="26895" spans="1:1" ht="12.75">
      <c r="A26895" s="2" t="s">
        <v>547</v>
      </c>
    </row>
    <row r="26896" spans="1:1" ht="12.75">
      <c r="A26896" s="2" t="s">
        <v>512</v>
      </c>
    </row>
    <row r="26897" spans="1:1" ht="12.75">
      <c r="A26897" s="2" t="s">
        <v>547</v>
      </c>
    </row>
    <row r="26898" spans="1:1" ht="12.75">
      <c r="A26898" s="2" t="s">
        <v>512</v>
      </c>
    </row>
    <row r="26899" spans="1:1" ht="12.75">
      <c r="A26899" s="2" t="s">
        <v>547</v>
      </c>
    </row>
    <row r="26900" spans="1:1" ht="12.75">
      <c r="A26900" s="2" t="s">
        <v>512</v>
      </c>
    </row>
    <row r="26901" spans="1:1" ht="12.75">
      <c r="A26901" s="2" t="s">
        <v>547</v>
      </c>
    </row>
    <row r="26903" spans="1:1" ht="12.75">
      <c r="A26903" s="2" t="s">
        <v>675</v>
      </c>
    </row>
    <row r="26905" spans="1:1" ht="12.75">
      <c r="A26905" s="2" t="s">
        <v>675</v>
      </c>
    </row>
    <row r="26906" spans="1:1" ht="12.75">
      <c r="A26906" s="2" t="s">
        <v>547</v>
      </c>
    </row>
    <row r="26907" spans="1:1" ht="12.75">
      <c r="A26907" s="2" t="s">
        <v>675</v>
      </c>
    </row>
    <row r="26908" spans="1:1" ht="12.75">
      <c r="A26908" s="2" t="s">
        <v>547</v>
      </c>
    </row>
    <row r="26910" spans="1:1" ht="12.75">
      <c r="A26910" s="2" t="s">
        <v>675</v>
      </c>
    </row>
    <row r="26911" spans="1:1" ht="12.75">
      <c r="A26911" s="2" t="s">
        <v>675</v>
      </c>
    </row>
    <row r="26912" spans="1:1" ht="12.75">
      <c r="A26912" s="2" t="s">
        <v>547</v>
      </c>
    </row>
    <row r="26913" spans="1:1" ht="12.75">
      <c r="A26913" s="2" t="s">
        <v>675</v>
      </c>
    </row>
    <row r="26914" spans="1:1" ht="12.75">
      <c r="A26914" s="2" t="s">
        <v>547</v>
      </c>
    </row>
    <row r="26915" spans="1:1" ht="12.75">
      <c r="A26915" s="2" t="s">
        <v>514</v>
      </c>
    </row>
    <row r="26916" spans="1:1" ht="12.75">
      <c r="A26916" s="2" t="s">
        <v>547</v>
      </c>
    </row>
    <row r="26917" spans="1:1" ht="12.75">
      <c r="A26917" s="2" t="s">
        <v>514</v>
      </c>
    </row>
    <row r="26918" spans="1:1" ht="12.75">
      <c r="A26918" s="2" t="s">
        <v>512</v>
      </c>
    </row>
    <row r="26919" spans="1:1" ht="12.75">
      <c r="A26919" s="2" t="s">
        <v>675</v>
      </c>
    </row>
    <row r="26920" spans="1:1" ht="12.75">
      <c r="A26920" s="2" t="s">
        <v>675</v>
      </c>
    </row>
    <row r="26921" spans="1:1" ht="12.75">
      <c r="A26921" s="2" t="s">
        <v>675</v>
      </c>
    </row>
    <row r="26923" spans="1:1" ht="12.75">
      <c r="A26923" s="2" t="s">
        <v>512</v>
      </c>
    </row>
    <row r="26924" spans="1:1" ht="12.75">
      <c r="A26924" s="2" t="s">
        <v>576</v>
      </c>
    </row>
    <row r="26926" spans="1:1" ht="12.75">
      <c r="A26926" s="2" t="s">
        <v>514</v>
      </c>
    </row>
    <row r="26927" spans="1:1" ht="12.75">
      <c r="A26927" s="2" t="s">
        <v>675</v>
      </c>
    </row>
    <row r="26928" spans="1:1" ht="12.75">
      <c r="A26928" s="2" t="s">
        <v>675</v>
      </c>
    </row>
    <row r="26929" spans="1:1" ht="12.75">
      <c r="A26929" s="2" t="s">
        <v>514</v>
      </c>
    </row>
    <row r="26930" spans="1:1" ht="12.75">
      <c r="A26930" s="2" t="s">
        <v>675</v>
      </c>
    </row>
    <row r="26931" spans="1:1" ht="12.75">
      <c r="A26931" s="2" t="s">
        <v>523</v>
      </c>
    </row>
    <row r="26932" spans="1:1" ht="12.75">
      <c r="A26932" s="2" t="s">
        <v>1029</v>
      </c>
    </row>
    <row r="26933" spans="1:1" ht="12.75">
      <c r="A26933" s="2" t="s">
        <v>523</v>
      </c>
    </row>
    <row r="26934" spans="1:1" ht="12.75">
      <c r="A26934" s="2" t="s">
        <v>1029</v>
      </c>
    </row>
    <row r="26935" spans="1:1" ht="12.75">
      <c r="A26935" s="2" t="s">
        <v>523</v>
      </c>
    </row>
    <row r="26936" spans="1:1" ht="12.75">
      <c r="A26936" s="2" t="s">
        <v>523</v>
      </c>
    </row>
    <row r="26937" spans="1:1" ht="12.75">
      <c r="A26937" s="2" t="s">
        <v>523</v>
      </c>
    </row>
    <row r="26938" spans="1:1" ht="12.75">
      <c r="A26938" s="2" t="s">
        <v>1030</v>
      </c>
    </row>
    <row r="26939" spans="1:1" ht="12.75">
      <c r="A26939" s="2" t="s">
        <v>523</v>
      </c>
    </row>
    <row r="26940" spans="1:1" ht="12.75">
      <c r="A26940" s="2" t="s">
        <v>523</v>
      </c>
    </row>
    <row r="26941" spans="1:1" ht="12.75">
      <c r="A26941" s="2" t="s">
        <v>523</v>
      </c>
    </row>
    <row r="26942" spans="1:1" ht="12.75">
      <c r="A26942" s="2" t="s">
        <v>1029</v>
      </c>
    </row>
    <row r="26943" spans="1:1" ht="12.75">
      <c r="A26943" s="2" t="s">
        <v>675</v>
      </c>
    </row>
    <row r="26944" spans="1:1" ht="12.75">
      <c r="A26944" s="2" t="s">
        <v>514</v>
      </c>
    </row>
    <row r="26945" spans="1:1" ht="12.75">
      <c r="A26945" s="2" t="s">
        <v>675</v>
      </c>
    </row>
    <row r="26946" spans="1:1" ht="12.75">
      <c r="A26946" s="2" t="s">
        <v>514</v>
      </c>
    </row>
    <row r="26947" spans="1:1" ht="12.75">
      <c r="A26947" s="2" t="s">
        <v>547</v>
      </c>
    </row>
    <row r="26948" spans="1:1" ht="12.75">
      <c r="A26948" s="2" t="s">
        <v>512</v>
      </c>
    </row>
    <row r="26949" spans="1:1" ht="12.75">
      <c r="A26949" s="2" t="s">
        <v>547</v>
      </c>
    </row>
    <row r="26950" spans="1:1" ht="12.75">
      <c r="A26950" s="2" t="s">
        <v>512</v>
      </c>
    </row>
    <row r="26951" spans="1:1" ht="12.75">
      <c r="A26951" s="2" t="s">
        <v>547</v>
      </c>
    </row>
    <row r="26953" spans="1:1" ht="12.75">
      <c r="A26953" s="2" t="s">
        <v>512</v>
      </c>
    </row>
    <row r="26956" spans="1:1" ht="12.75">
      <c r="A26956" s="2" t="s">
        <v>547</v>
      </c>
    </row>
    <row r="26957" spans="1:1" ht="12.75">
      <c r="A26957" s="2" t="s">
        <v>547</v>
      </c>
    </row>
    <row r="26958" spans="1:1" ht="12.75">
      <c r="A26958" s="2" t="s">
        <v>547</v>
      </c>
    </row>
    <row r="26959" spans="1:1" ht="12.75">
      <c r="A26959" s="2" t="s">
        <v>512</v>
      </c>
    </row>
    <row r="26960" spans="1:1" ht="12.75">
      <c r="A26960" s="2" t="s">
        <v>512</v>
      </c>
    </row>
    <row r="26961" spans="1:1" ht="12.75">
      <c r="A26961" s="2" t="s">
        <v>512</v>
      </c>
    </row>
    <row r="26962" spans="1:1" ht="12.75">
      <c r="A26962" s="2" t="s">
        <v>512</v>
      </c>
    </row>
    <row r="26963" spans="1:1" ht="12.75">
      <c r="A26963" s="2" t="s">
        <v>512</v>
      </c>
    </row>
    <row r="26964" spans="1:1" ht="12.75">
      <c r="A26964" s="2" t="s">
        <v>514</v>
      </c>
    </row>
    <row r="26965" spans="1:1" ht="12.75">
      <c r="A26965" s="2" t="s">
        <v>512</v>
      </c>
    </row>
    <row r="26966" spans="1:1" ht="12.75">
      <c r="A26966" s="2" t="s">
        <v>514</v>
      </c>
    </row>
    <row r="26967" spans="1:1" ht="12.75">
      <c r="A26967" s="2" t="s">
        <v>675</v>
      </c>
    </row>
    <row r="26968" spans="1:1" ht="12.75">
      <c r="A26968" s="2" t="s">
        <v>512</v>
      </c>
    </row>
    <row r="26969" spans="1:1" ht="12.75">
      <c r="A26969" s="2" t="s">
        <v>514</v>
      </c>
    </row>
    <row r="26970" spans="1:1" ht="12.75">
      <c r="A26970" s="2" t="s">
        <v>512</v>
      </c>
    </row>
    <row r="26971" spans="1:1" ht="12.75">
      <c r="A26971" s="2" t="s">
        <v>512</v>
      </c>
    </row>
    <row r="26972" spans="1:1" ht="12.75">
      <c r="A26972" s="2" t="s">
        <v>512</v>
      </c>
    </row>
    <row r="26974" spans="1:1" ht="12.75">
      <c r="A26974" s="2" t="s">
        <v>675</v>
      </c>
    </row>
    <row r="26976" spans="1:1" ht="12.75">
      <c r="A26976" s="2" t="s">
        <v>675</v>
      </c>
    </row>
    <row r="26977" spans="1:1" ht="12.75">
      <c r="A26977" s="2" t="s">
        <v>547</v>
      </c>
    </row>
    <row r="26978" spans="1:1" ht="12.75">
      <c r="A26978" s="2" t="s">
        <v>675</v>
      </c>
    </row>
    <row r="26979" spans="1:1" ht="12.75">
      <c r="A26979" s="2" t="s">
        <v>547</v>
      </c>
    </row>
    <row r="26980" spans="1:1" ht="12.75">
      <c r="A26980" s="2" t="s">
        <v>675</v>
      </c>
    </row>
    <row r="26981" spans="1:1" ht="12.75">
      <c r="A26981" s="2" t="s">
        <v>514</v>
      </c>
    </row>
    <row r="26982" spans="1:1" ht="12.75">
      <c r="A26982" s="2" t="s">
        <v>512</v>
      </c>
    </row>
    <row r="26983" spans="1:1" ht="12.75">
      <c r="A26983" s="2" t="s">
        <v>512</v>
      </c>
    </row>
    <row r="26984" spans="1:1" ht="12.75">
      <c r="A26984" s="2" t="s">
        <v>512</v>
      </c>
    </row>
    <row r="26985" spans="1:1" ht="12.75">
      <c r="A26985" s="2" t="s">
        <v>512</v>
      </c>
    </row>
    <row r="26986" spans="1:1" ht="12.75">
      <c r="A26986" s="2" t="s">
        <v>512</v>
      </c>
    </row>
    <row r="26987" spans="1:1" ht="12.75">
      <c r="A26987" s="2" t="s">
        <v>512</v>
      </c>
    </row>
    <row r="26988" spans="1:1" ht="12.75">
      <c r="A26988" s="2" t="s">
        <v>512</v>
      </c>
    </row>
    <row r="26995" spans="1:1" ht="12.75">
      <c r="A26995" s="2" t="s">
        <v>799</v>
      </c>
    </row>
    <row r="26996" spans="1:1" ht="12.75">
      <c r="A26996" s="2" t="s">
        <v>512</v>
      </c>
    </row>
    <row r="26997" spans="1:1" ht="12.75">
      <c r="A26997" s="2" t="s">
        <v>799</v>
      </c>
    </row>
    <row r="26998" spans="1:1" ht="12.75">
      <c r="A26998" s="2" t="s">
        <v>514</v>
      </c>
    </row>
    <row r="26999" spans="1:1" ht="12.75">
      <c r="A26999" s="2" t="s">
        <v>675</v>
      </c>
    </row>
    <row r="27000" spans="1:1" ht="12.75">
      <c r="A27000" s="2" t="s">
        <v>799</v>
      </c>
    </row>
    <row r="27001" spans="1:1" ht="12.75">
      <c r="A27001" s="2" t="s">
        <v>512</v>
      </c>
    </row>
    <row r="27002" spans="1:1" ht="12.75">
      <c r="A27002" s="2" t="s">
        <v>512</v>
      </c>
    </row>
    <row r="27004" spans="1:1" ht="12.75">
      <c r="A27004" s="2" t="s">
        <v>547</v>
      </c>
    </row>
    <row r="27005" spans="1:1" ht="12.75">
      <c r="A27005" s="2" t="s">
        <v>512</v>
      </c>
    </row>
    <row r="27006" spans="1:1" ht="12.75">
      <c r="A27006" s="2" t="s">
        <v>547</v>
      </c>
    </row>
    <row r="27007" spans="1:1" ht="12.75">
      <c r="A27007" s="2" t="s">
        <v>512</v>
      </c>
    </row>
    <row r="27008" spans="1:1" ht="12.75">
      <c r="A27008" s="2" t="s">
        <v>799</v>
      </c>
    </row>
    <row r="27009" spans="1:1" ht="12.75">
      <c r="A27009" s="2" t="s">
        <v>547</v>
      </c>
    </row>
    <row r="27010" spans="1:1" ht="12.75">
      <c r="A27010" s="2" t="s">
        <v>547</v>
      </c>
    </row>
    <row r="27011" spans="1:1" ht="12.75">
      <c r="A27011" s="2" t="s">
        <v>512</v>
      </c>
    </row>
    <row r="27015" spans="1:1" ht="12.75">
      <c r="A27015" s="2" t="s">
        <v>547</v>
      </c>
    </row>
    <row r="27018" spans="1:1" ht="12.75">
      <c r="A27018" s="2" t="s">
        <v>512</v>
      </c>
    </row>
    <row r="27019" spans="1:1" ht="12.75">
      <c r="A27019" s="2" t="s">
        <v>514</v>
      </c>
    </row>
    <row r="27020" spans="1:1" ht="12.75">
      <c r="A27020" s="2" t="s">
        <v>512</v>
      </c>
    </row>
    <row r="27021" spans="1:1" ht="12.75">
      <c r="A27021" s="2" t="s">
        <v>512</v>
      </c>
    </row>
    <row r="27022" spans="1:1" ht="12.75">
      <c r="A27022" s="2" t="s">
        <v>512</v>
      </c>
    </row>
    <row r="27023" spans="1:1" ht="12.75">
      <c r="A27023" s="2" t="s">
        <v>512</v>
      </c>
    </row>
    <row r="27024" spans="1:1" ht="12.75">
      <c r="A27024" s="2" t="s">
        <v>512</v>
      </c>
    </row>
    <row r="27025" spans="1:1" ht="12.75">
      <c r="A27025" s="2" t="s">
        <v>512</v>
      </c>
    </row>
    <row r="27026" spans="1:1" ht="12.75">
      <c r="A27026" s="2" t="s">
        <v>675</v>
      </c>
    </row>
    <row r="27027" spans="1:1" ht="12.75">
      <c r="A27027" s="2" t="s">
        <v>514</v>
      </c>
    </row>
    <row r="27028" spans="1:1" ht="12.75">
      <c r="A27028" s="2" t="s">
        <v>512</v>
      </c>
    </row>
    <row r="27029" spans="1:1" ht="12.75">
      <c r="A27029" s="2" t="s">
        <v>514</v>
      </c>
    </row>
    <row r="27030" spans="1:1" ht="12.75">
      <c r="A27030" s="2" t="s">
        <v>1031</v>
      </c>
    </row>
    <row r="27031" spans="1:1" ht="12.75">
      <c r="A27031" s="2" t="s">
        <v>547</v>
      </c>
    </row>
    <row r="27032" spans="1:1" ht="12.75">
      <c r="A27032" s="2" t="s">
        <v>512</v>
      </c>
    </row>
    <row r="27033" spans="1:1" ht="12.75">
      <c r="A27033" s="2" t="s">
        <v>514</v>
      </c>
    </row>
    <row r="27034" spans="1:1" ht="12.75">
      <c r="A27034" s="2" t="s">
        <v>514</v>
      </c>
    </row>
    <row r="27035" spans="1:1" ht="12.75">
      <c r="A27035" s="2" t="s">
        <v>675</v>
      </c>
    </row>
    <row r="27036" spans="1:1" ht="12.75">
      <c r="A27036" s="2" t="s">
        <v>514</v>
      </c>
    </row>
    <row r="27038" spans="1:1" ht="12.75">
      <c r="A27038" s="2" t="s">
        <v>512</v>
      </c>
    </row>
    <row r="27039" spans="1:1" ht="12.75">
      <c r="A27039" s="2" t="s">
        <v>512</v>
      </c>
    </row>
    <row r="27040" spans="1:1" ht="12.75">
      <c r="A27040" s="2" t="s">
        <v>512</v>
      </c>
    </row>
    <row r="27041" spans="1:1" ht="12.75">
      <c r="A27041" s="2" t="s">
        <v>512</v>
      </c>
    </row>
    <row r="27042" spans="1:1" ht="12.75">
      <c r="A27042" s="2" t="s">
        <v>547</v>
      </c>
    </row>
    <row r="27043" spans="1:1" ht="12.75">
      <c r="A27043" s="2" t="s">
        <v>547</v>
      </c>
    </row>
    <row r="27044" spans="1:1" ht="12.75">
      <c r="A27044" s="2" t="s">
        <v>512</v>
      </c>
    </row>
    <row r="27045" spans="1:1" ht="12.75">
      <c r="A27045" s="2" t="s">
        <v>547</v>
      </c>
    </row>
    <row r="27046" spans="1:1" ht="12.75">
      <c r="A27046" s="2" t="s">
        <v>512</v>
      </c>
    </row>
    <row r="27047" spans="1:1" ht="12.75">
      <c r="A27047" s="2" t="s">
        <v>675</v>
      </c>
    </row>
    <row r="27048" spans="1:1" ht="12.75">
      <c r="A27048" s="2" t="s">
        <v>512</v>
      </c>
    </row>
    <row r="27049" spans="1:1" ht="12.75">
      <c r="A27049" s="2" t="s">
        <v>799</v>
      </c>
    </row>
    <row r="27054" spans="1:1" ht="12.75">
      <c r="A27054" s="2" t="s">
        <v>512</v>
      </c>
    </row>
    <row r="27056" spans="1:1" ht="12.75">
      <c r="A27056" s="2" t="s">
        <v>512</v>
      </c>
    </row>
    <row r="27058" spans="1:1" ht="12.75">
      <c r="A27058" s="2" t="s">
        <v>512</v>
      </c>
    </row>
    <row r="27059" spans="1:1" ht="12.75">
      <c r="A27059" s="2" t="s">
        <v>512</v>
      </c>
    </row>
    <row r="27060" spans="1:1" ht="12.75">
      <c r="A27060" s="2" t="s">
        <v>547</v>
      </c>
    </row>
    <row r="27061" spans="1:1" ht="12.75">
      <c r="A27061" s="2" t="s">
        <v>512</v>
      </c>
    </row>
    <row r="27062" spans="1:1" ht="12.75">
      <c r="A27062" s="2" t="s">
        <v>547</v>
      </c>
    </row>
    <row r="27063" spans="1:1" ht="12.75">
      <c r="A27063" s="2" t="s">
        <v>512</v>
      </c>
    </row>
    <row r="27064" spans="1:1" ht="12.75">
      <c r="A27064" s="2" t="s">
        <v>512</v>
      </c>
    </row>
    <row r="27065" spans="1:1" ht="12.75">
      <c r="A27065" s="2" t="s">
        <v>512</v>
      </c>
    </row>
    <row r="27066" spans="1:1" ht="12.75">
      <c r="A27066" s="2" t="s">
        <v>512</v>
      </c>
    </row>
    <row r="27067" spans="1:1" ht="12.75">
      <c r="A27067" s="2" t="s">
        <v>512</v>
      </c>
    </row>
    <row r="27068" spans="1:1" ht="12.75">
      <c r="A27068" s="2" t="s">
        <v>512</v>
      </c>
    </row>
    <row r="27069" spans="1:1" ht="12.75">
      <c r="A27069" s="2" t="s">
        <v>512</v>
      </c>
    </row>
    <row r="27070" spans="1:1" ht="12.75">
      <c r="A27070" s="2" t="s">
        <v>547</v>
      </c>
    </row>
    <row r="27071" spans="1:1" ht="12.75">
      <c r="A27071" s="2" t="s">
        <v>675</v>
      </c>
    </row>
    <row r="27073" spans="1:1" ht="12.75">
      <c r="A27073" s="2" t="s">
        <v>675</v>
      </c>
    </row>
    <row r="27075" spans="1:1" ht="12.75">
      <c r="A27075" s="2" t="s">
        <v>547</v>
      </c>
    </row>
    <row r="27076" spans="1:1" ht="12.75">
      <c r="A27076" s="2" t="s">
        <v>799</v>
      </c>
    </row>
    <row r="27077" spans="1:1" ht="12.75">
      <c r="A27077" s="2" t="s">
        <v>547</v>
      </c>
    </row>
    <row r="27078" spans="1:1" ht="12.75">
      <c r="A27078" s="2" t="s">
        <v>512</v>
      </c>
    </row>
    <row r="27080" spans="1:1" ht="12.75">
      <c r="A27080" s="2" t="s">
        <v>512</v>
      </c>
    </row>
    <row r="27081" spans="1:1" ht="12.75">
      <c r="A27081" s="2" t="s">
        <v>547</v>
      </c>
    </row>
    <row r="27082" spans="1:1" ht="12.75">
      <c r="A27082" s="2" t="s">
        <v>514</v>
      </c>
    </row>
    <row r="27083" spans="1:1" ht="12.75">
      <c r="A27083" s="2" t="s">
        <v>547</v>
      </c>
    </row>
    <row r="27084" spans="1:1" ht="12.75">
      <c r="A27084" s="2" t="s">
        <v>512</v>
      </c>
    </row>
    <row r="27085" spans="1:1" ht="12.75">
      <c r="A27085" s="2" t="s">
        <v>512</v>
      </c>
    </row>
    <row r="27086" spans="1:1" ht="12.75">
      <c r="A27086" s="2" t="s">
        <v>512</v>
      </c>
    </row>
    <row r="27087" spans="1:1" ht="12.75">
      <c r="A27087" s="2" t="s">
        <v>512</v>
      </c>
    </row>
    <row r="27088" spans="1:1" ht="12.75">
      <c r="A27088" s="2" t="s">
        <v>512</v>
      </c>
    </row>
    <row r="27089" spans="1:1" ht="12.75">
      <c r="A27089" s="2" t="s">
        <v>512</v>
      </c>
    </row>
    <row r="27090" spans="1:1" ht="12.75">
      <c r="A27090" s="2" t="s">
        <v>512</v>
      </c>
    </row>
    <row r="27091" spans="1:1" ht="12.75">
      <c r="A27091" s="2" t="s">
        <v>512</v>
      </c>
    </row>
    <row r="27092" spans="1:1" ht="12.75">
      <c r="A27092" s="2" t="s">
        <v>547</v>
      </c>
    </row>
    <row r="27094" spans="1:1" ht="12.75">
      <c r="A27094" s="2" t="s">
        <v>547</v>
      </c>
    </row>
    <row r="27095" spans="1:1" ht="12.75">
      <c r="A27095" s="2" t="s">
        <v>796</v>
      </c>
    </row>
    <row r="27096" spans="1:1" ht="12.75">
      <c r="A27096" s="2" t="s">
        <v>547</v>
      </c>
    </row>
    <row r="27097" spans="1:1" ht="12.75">
      <c r="A27097" s="2" t="s">
        <v>512</v>
      </c>
    </row>
    <row r="27098" spans="1:1" ht="12.75">
      <c r="A27098" s="2" t="s">
        <v>514</v>
      </c>
    </row>
    <row r="27099" spans="1:1" ht="12.75">
      <c r="A27099" s="2" t="s">
        <v>512</v>
      </c>
    </row>
    <row r="27100" spans="1:1" ht="12.75">
      <c r="A27100" s="2" t="s">
        <v>512</v>
      </c>
    </row>
    <row r="27101" spans="1:1" ht="12.75">
      <c r="A27101" s="2" t="s">
        <v>514</v>
      </c>
    </row>
    <row r="27102" spans="1:1" ht="12.75">
      <c r="A27102" s="2" t="s">
        <v>512</v>
      </c>
    </row>
    <row r="27103" spans="1:1" ht="12.75">
      <c r="A27103" s="2" t="s">
        <v>512</v>
      </c>
    </row>
    <row r="27104" spans="1:1" ht="12.75">
      <c r="A27104" s="2" t="s">
        <v>512</v>
      </c>
    </row>
    <row r="27105" spans="1:1" ht="12.75">
      <c r="A27105" s="2" t="s">
        <v>547</v>
      </c>
    </row>
    <row r="27106" spans="1:1" ht="12.75">
      <c r="A27106" s="2" t="s">
        <v>512</v>
      </c>
    </row>
    <row r="27107" spans="1:1" ht="12.75">
      <c r="A27107" s="2" t="s">
        <v>547</v>
      </c>
    </row>
    <row r="27108" spans="1:1" ht="12.75">
      <c r="A27108" s="2" t="s">
        <v>547</v>
      </c>
    </row>
    <row r="27109" spans="1:1" ht="12.75">
      <c r="A27109" s="2" t="s">
        <v>547</v>
      </c>
    </row>
    <row r="27110" spans="1:1" ht="12.75">
      <c r="A27110" s="2" t="s">
        <v>796</v>
      </c>
    </row>
    <row r="27111" spans="1:1" ht="12.75">
      <c r="A27111" s="2" t="s">
        <v>512</v>
      </c>
    </row>
    <row r="27112" spans="1:1" ht="12.75">
      <c r="A27112" s="2" t="s">
        <v>512</v>
      </c>
    </row>
    <row r="27113" spans="1:1" ht="12.75">
      <c r="A27113" s="2" t="s">
        <v>512</v>
      </c>
    </row>
    <row r="27114" spans="1:1" ht="12.75">
      <c r="A27114" s="2" t="s">
        <v>512</v>
      </c>
    </row>
    <row r="27115" spans="1:1" ht="12.75">
      <c r="A27115" s="2" t="s">
        <v>547</v>
      </c>
    </row>
    <row r="27116" spans="1:1" ht="12.75">
      <c r="A27116" s="2" t="s">
        <v>512</v>
      </c>
    </row>
    <row r="27117" spans="1:1" ht="12.75">
      <c r="A27117" s="2" t="s">
        <v>675</v>
      </c>
    </row>
    <row r="27118" spans="1:1" ht="12.75">
      <c r="A27118" s="2" t="s">
        <v>514</v>
      </c>
    </row>
    <row r="27119" spans="1:1" ht="12.75">
      <c r="A27119" s="2" t="s">
        <v>512</v>
      </c>
    </row>
    <row r="27120" spans="1:1" ht="12.75">
      <c r="A27120" s="2" t="s">
        <v>547</v>
      </c>
    </row>
    <row r="27121" spans="1:1" ht="12.75">
      <c r="A27121" s="2" t="s">
        <v>514</v>
      </c>
    </row>
    <row r="27122" spans="1:1" ht="12.75">
      <c r="A27122" s="2" t="s">
        <v>512</v>
      </c>
    </row>
    <row r="27123" spans="1:1" ht="12.75">
      <c r="A27123" s="2" t="s">
        <v>512</v>
      </c>
    </row>
    <row r="27124" spans="1:1" ht="12.75">
      <c r="A27124" s="2" t="s">
        <v>512</v>
      </c>
    </row>
    <row r="27125" spans="1:1" ht="12.75">
      <c r="A27125" s="2" t="s">
        <v>675</v>
      </c>
    </row>
    <row r="27126" spans="1:1" ht="12.75">
      <c r="A27126" s="2" t="s">
        <v>675</v>
      </c>
    </row>
    <row r="27129" spans="1:1" ht="12.75">
      <c r="A27129" s="2" t="s">
        <v>547</v>
      </c>
    </row>
    <row r="27131" spans="1:1" ht="12.75">
      <c r="A27131" s="2" t="s">
        <v>675</v>
      </c>
    </row>
    <row r="27132" spans="1:1" ht="12.75">
      <c r="A27132" s="2" t="s">
        <v>547</v>
      </c>
    </row>
    <row r="27133" spans="1:1" ht="12.75">
      <c r="A27133" s="2" t="s">
        <v>799</v>
      </c>
    </row>
    <row r="27134" spans="1:1" ht="12.75">
      <c r="A27134" s="2" t="s">
        <v>675</v>
      </c>
    </row>
    <row r="27135" spans="1:1" ht="12.75">
      <c r="A27135" s="2" t="s">
        <v>675</v>
      </c>
    </row>
    <row r="27136" spans="1:1" ht="12.75">
      <c r="A27136" s="2" t="s">
        <v>799</v>
      </c>
    </row>
    <row r="27137" spans="1:1" ht="12.75">
      <c r="A27137" s="2" t="s">
        <v>547</v>
      </c>
    </row>
    <row r="27138" spans="1:1" ht="12.75">
      <c r="A27138" s="2" t="s">
        <v>512</v>
      </c>
    </row>
    <row r="27139" spans="1:1" ht="12.75">
      <c r="A27139" s="2" t="s">
        <v>799</v>
      </c>
    </row>
    <row r="27140" spans="1:1" ht="12.75">
      <c r="A27140" s="2" t="s">
        <v>799</v>
      </c>
    </row>
    <row r="27141" spans="1:1" ht="12.75">
      <c r="A27141" s="2" t="s">
        <v>514</v>
      </c>
    </row>
    <row r="27142" spans="1:1" ht="12.75">
      <c r="A27142" s="2" t="s">
        <v>547</v>
      </c>
    </row>
    <row r="27143" spans="1:1" ht="12.75">
      <c r="A27143" s="2" t="s">
        <v>1032</v>
      </c>
    </row>
    <row r="27144" spans="1:1" ht="12.75">
      <c r="A27144" s="2" t="s">
        <v>1033</v>
      </c>
    </row>
    <row r="27145" spans="1:1" ht="12.75">
      <c r="A27145" s="2" t="s">
        <v>1033</v>
      </c>
    </row>
    <row r="27146" spans="1:1" ht="12.75">
      <c r="A27146" s="2" t="s">
        <v>1034</v>
      </c>
    </row>
    <row r="27147" spans="1:1" ht="12.75">
      <c r="A27147" s="2" t="s">
        <v>1033</v>
      </c>
    </row>
    <row r="27148" spans="1:1" ht="12.75">
      <c r="A27148" s="2" t="s">
        <v>1034</v>
      </c>
    </row>
    <row r="27158" spans="1:1" ht="12.75">
      <c r="A27158" s="2" t="s">
        <v>594</v>
      </c>
    </row>
    <row r="27165" spans="1:1" ht="12.75">
      <c r="A27165" s="2" t="s">
        <v>594</v>
      </c>
    </row>
    <row r="27166" spans="1:1" ht="12.75">
      <c r="A27166" s="2" t="s">
        <v>594</v>
      </c>
    </row>
    <row r="27167" spans="1:1" ht="12.75">
      <c r="A27167" s="2" t="s">
        <v>1035</v>
      </c>
    </row>
    <row r="27168" spans="1:1" ht="12.75">
      <c r="A27168" s="2" t="s">
        <v>594</v>
      </c>
    </row>
    <row r="27175" spans="1:1" ht="12.75">
      <c r="A27175" s="2" t="s">
        <v>1036</v>
      </c>
    </row>
    <row r="27176" spans="1:1" ht="12.75">
      <c r="A27176" s="2" t="s">
        <v>1037</v>
      </c>
    </row>
    <row r="27177" spans="1:1" ht="12.75">
      <c r="A27177" s="2">
        <v>2221</v>
      </c>
    </row>
    <row r="27178" spans="1:1" ht="12.75">
      <c r="A27178" s="2" t="s">
        <v>1036</v>
      </c>
    </row>
    <row r="27179" spans="1:1" ht="12.75">
      <c r="A27179" s="2" t="s">
        <v>188</v>
      </c>
    </row>
    <row r="27180" spans="1:1" ht="12.75">
      <c r="A27180" s="2" t="s">
        <v>188</v>
      </c>
    </row>
    <row r="27181" spans="1:1" ht="12.75">
      <c r="A27181" s="2" t="s">
        <v>188</v>
      </c>
    </row>
    <row r="27182" spans="1:1" ht="12.75">
      <c r="A27182" s="2" t="s">
        <v>188</v>
      </c>
    </row>
    <row r="27183" spans="1:1" ht="12.75">
      <c r="A27183" s="2" t="s">
        <v>188</v>
      </c>
    </row>
    <row r="27184" spans="1:1" ht="12.75">
      <c r="A27184" s="2" t="s">
        <v>188</v>
      </c>
    </row>
    <row r="27185" spans="1:1" ht="12.75">
      <c r="A27185" s="2" t="s">
        <v>188</v>
      </c>
    </row>
    <row r="27186" spans="1:1" ht="12.75">
      <c r="A27186" s="2" t="s">
        <v>188</v>
      </c>
    </row>
    <row r="27187" spans="1:1" ht="12.75">
      <c r="A27187" s="2" t="s">
        <v>188</v>
      </c>
    </row>
    <row r="27188" spans="1:1" ht="12.75">
      <c r="A27188" s="2" t="s">
        <v>188</v>
      </c>
    </row>
    <row r="27189" spans="1:1" ht="12.75">
      <c r="A27189" s="2" t="s">
        <v>188</v>
      </c>
    </row>
    <row r="27190" spans="1:1" ht="12.75">
      <c r="A27190" s="2" t="s">
        <v>188</v>
      </c>
    </row>
    <row r="27191" spans="1:1" ht="12.75">
      <c r="A27191" s="2" t="s">
        <v>188</v>
      </c>
    </row>
    <row r="27192" spans="1:1" ht="12.75">
      <c r="A27192" s="2" t="s">
        <v>188</v>
      </c>
    </row>
    <row r="27193" spans="1:1" ht="12.75">
      <c r="A27193" s="2" t="s">
        <v>188</v>
      </c>
    </row>
    <row r="27194" spans="1:1" ht="12.75">
      <c r="A27194" s="2" t="s">
        <v>188</v>
      </c>
    </row>
    <row r="27195" spans="1:1" ht="12.75">
      <c r="A27195" s="2" t="s">
        <v>188</v>
      </c>
    </row>
    <row r="27198" spans="1:1" ht="12.75">
      <c r="A27198" s="2" t="s">
        <v>495</v>
      </c>
    </row>
    <row r="27199" spans="1:1" ht="12.75">
      <c r="A27199" s="2" t="s">
        <v>495</v>
      </c>
    </row>
    <row r="27200" spans="1:1" ht="12.75">
      <c r="A27200" s="2" t="s">
        <v>503</v>
      </c>
    </row>
    <row r="27201" spans="1:1" ht="12.75">
      <c r="A27201" s="2" t="s">
        <v>503</v>
      </c>
    </row>
    <row r="27202" spans="1:1" ht="12.75">
      <c r="A27202" s="2" t="s">
        <v>502</v>
      </c>
    </row>
    <row r="27203" spans="1:1" ht="12.75">
      <c r="A27203" s="2" t="s">
        <v>502</v>
      </c>
    </row>
    <row r="27204" spans="1:1" ht="12.75">
      <c r="A27204" s="2" t="s">
        <v>503</v>
      </c>
    </row>
    <row r="27205" spans="1:1" ht="12.75">
      <c r="A27205" s="2" t="s">
        <v>502</v>
      </c>
    </row>
    <row r="27206" spans="1:1" ht="12.75">
      <c r="A27206" s="2" t="s">
        <v>502</v>
      </c>
    </row>
    <row r="27207" spans="1:1" ht="12.75">
      <c r="A27207" s="2" t="s">
        <v>502</v>
      </c>
    </row>
    <row r="27208" spans="1:1" ht="12.75">
      <c r="A27208" s="2" t="s">
        <v>503</v>
      </c>
    </row>
    <row r="27209" spans="1:1" ht="12.75">
      <c r="A27209" s="2" t="s">
        <v>502</v>
      </c>
    </row>
    <row r="27210" spans="1:1" ht="12.75">
      <c r="A27210" s="2" t="s">
        <v>503</v>
      </c>
    </row>
    <row r="27211" spans="1:1" ht="12.75">
      <c r="A27211" s="2" t="s">
        <v>503</v>
      </c>
    </row>
    <row r="27212" spans="1:1" ht="12.75">
      <c r="A27212" s="2" t="s">
        <v>393</v>
      </c>
    </row>
    <row r="27213" spans="1:1" ht="12.75">
      <c r="A27213" s="2" t="s">
        <v>393</v>
      </c>
    </row>
    <row r="27214" spans="1:1" ht="12.75">
      <c r="A27214" s="2" t="s">
        <v>155</v>
      </c>
    </row>
    <row r="27216" spans="1:1" ht="12.75">
      <c r="A27216" s="2" t="s">
        <v>155</v>
      </c>
    </row>
    <row r="27217" spans="1:1" ht="12.75">
      <c r="A27217" s="2" t="s">
        <v>393</v>
      </c>
    </row>
    <row r="27219" spans="1:1" ht="12.75">
      <c r="A27219" s="2" t="s">
        <v>217</v>
      </c>
    </row>
    <row r="27220" spans="1:1" ht="12.75">
      <c r="A27220" s="2" t="s">
        <v>216</v>
      </c>
    </row>
    <row r="27221" spans="1:1" ht="12.75">
      <c r="A27221" s="2" t="s">
        <v>216</v>
      </c>
    </row>
    <row r="27222" spans="1:1" ht="12.75">
      <c r="A27222" s="2" t="s">
        <v>216</v>
      </c>
    </row>
    <row r="27224" spans="1:1" ht="12.75">
      <c r="A27224" s="2" t="s">
        <v>540</v>
      </c>
    </row>
    <row r="27225" spans="1:1" ht="12.75">
      <c r="A27225" s="2" t="s">
        <v>539</v>
      </c>
    </row>
    <row r="27226" spans="1:1" ht="12.75">
      <c r="A27226" s="2" t="s">
        <v>988</v>
      </c>
    </row>
    <row r="27227" spans="1:1" ht="12.75">
      <c r="A27227" s="2" t="s">
        <v>1038</v>
      </c>
    </row>
    <row r="27228" spans="1:1" ht="12.75">
      <c r="A27228" s="2" t="s">
        <v>1038</v>
      </c>
    </row>
    <row r="27229" spans="1:1" ht="12.75">
      <c r="A27229" s="2" t="s">
        <v>495</v>
      </c>
    </row>
    <row r="27230" spans="1:1" ht="12.75">
      <c r="A27230" s="2" t="s">
        <v>1039</v>
      </c>
    </row>
    <row r="27231" spans="1:1" ht="12.75">
      <c r="A27231" s="2" t="s">
        <v>538</v>
      </c>
    </row>
    <row r="27232" spans="1:1" ht="12.75">
      <c r="A27232" s="2" t="s">
        <v>538</v>
      </c>
    </row>
    <row r="27233" spans="1:1" ht="12.75">
      <c r="A27233" s="2" t="s">
        <v>495</v>
      </c>
    </row>
    <row r="27234" spans="1:1" ht="12.75">
      <c r="A27234" s="2" t="s">
        <v>988</v>
      </c>
    </row>
    <row r="27235" spans="1:1" ht="12.75">
      <c r="A27235" s="2" t="s">
        <v>1040</v>
      </c>
    </row>
    <row r="27236" spans="1:1" ht="12.75">
      <c r="A27236" s="2" t="s">
        <v>539</v>
      </c>
    </row>
    <row r="27237" spans="1:1" ht="12.75">
      <c r="A27237" s="2" t="s">
        <v>540</v>
      </c>
    </row>
    <row r="27238" spans="1:1" ht="12.75">
      <c r="A27238" s="2" t="s">
        <v>538</v>
      </c>
    </row>
    <row r="27240" spans="1:1" ht="12.75">
      <c r="A27240" s="2" t="s">
        <v>876</v>
      </c>
    </row>
    <row r="27242" spans="1:1" ht="12.75">
      <c r="A27242" s="2" t="s">
        <v>226</v>
      </c>
    </row>
    <row r="27243" spans="1:1" ht="12.75">
      <c r="A27243" s="2" t="s">
        <v>226</v>
      </c>
    </row>
    <row r="27244" spans="1:1" ht="12.75">
      <c r="A27244" s="2" t="s">
        <v>226</v>
      </c>
    </row>
    <row r="27245" spans="1:1" ht="12.75">
      <c r="A27245" s="2" t="s">
        <v>226</v>
      </c>
    </row>
    <row r="27246" spans="1:1" ht="12.75">
      <c r="A27246" s="2" t="s">
        <v>226</v>
      </c>
    </row>
    <row r="27247" spans="1:1" ht="12.75">
      <c r="A27247" s="2" t="s">
        <v>226</v>
      </c>
    </row>
    <row r="27250" spans="1:1" ht="12.75">
      <c r="A27250" s="2" t="s">
        <v>226</v>
      </c>
    </row>
    <row r="27251" spans="1:1" ht="12.75">
      <c r="A27251" s="2" t="s">
        <v>226</v>
      </c>
    </row>
    <row r="27252" spans="1:1" ht="12.75">
      <c r="A27252" s="2" t="s">
        <v>552</v>
      </c>
    </row>
    <row r="27253" spans="1:1" ht="12.75">
      <c r="A27253" s="2" t="s">
        <v>876</v>
      </c>
    </row>
    <row r="27254" spans="1:1" ht="12.75">
      <c r="A27254" s="2" t="s">
        <v>1041</v>
      </c>
    </row>
    <row r="27255" spans="1:1" ht="12.75">
      <c r="A27255" s="2" t="s">
        <v>502</v>
      </c>
    </row>
    <row r="27256" spans="1:1" ht="12.75">
      <c r="A27256" s="2" t="s">
        <v>244</v>
      </c>
    </row>
    <row r="27257" spans="1:1" ht="12.75">
      <c r="A27257" s="2" t="s">
        <v>533</v>
      </c>
    </row>
    <row r="27258" spans="1:1" ht="12.75">
      <c r="A27258" s="2" t="s">
        <v>244</v>
      </c>
    </row>
    <row r="27259" spans="1:1" ht="12.75">
      <c r="A27259" s="2" t="s">
        <v>1042</v>
      </c>
    </row>
    <row r="27260" spans="1:1" ht="12.75">
      <c r="A27260" s="2" t="s">
        <v>245</v>
      </c>
    </row>
    <row r="27261" spans="1:1" ht="12.75">
      <c r="A27261" s="2" t="s">
        <v>1043</v>
      </c>
    </row>
    <row r="27262" spans="1:1" ht="12.75">
      <c r="A27262" s="2" t="s">
        <v>244</v>
      </c>
    </row>
    <row r="27263" spans="1:1" ht="12.75">
      <c r="A27263" s="2" t="s">
        <v>1043</v>
      </c>
    </row>
    <row r="27264" spans="1:1" ht="12.75">
      <c r="A27264" s="2" t="s">
        <v>533</v>
      </c>
    </row>
    <row r="27265" spans="1:1" ht="12.75">
      <c r="A27265" s="2" t="s">
        <v>245</v>
      </c>
    </row>
    <row r="27266" spans="1:1" ht="12.75">
      <c r="A27266" s="2" t="s">
        <v>244</v>
      </c>
    </row>
    <row r="27267" spans="1:1" ht="12.75">
      <c r="A27267" s="2" t="s">
        <v>244</v>
      </c>
    </row>
    <row r="27268" spans="1:1" ht="12.75">
      <c r="A27268" s="2" t="s">
        <v>245</v>
      </c>
    </row>
    <row r="27269" spans="1:1" ht="12.75">
      <c r="A27269" s="2" t="s">
        <v>245</v>
      </c>
    </row>
    <row r="27270" spans="1:1" ht="12.75">
      <c r="A27270" s="2" t="s">
        <v>245</v>
      </c>
    </row>
    <row r="27271" spans="1:1" ht="12.75">
      <c r="A27271" s="2" t="s">
        <v>245</v>
      </c>
    </row>
    <row r="27272" spans="1:1" ht="12.75">
      <c r="A27272" s="2" t="s">
        <v>533</v>
      </c>
    </row>
    <row r="27273" spans="1:1" ht="12.75">
      <c r="A27273" s="2" t="s">
        <v>1043</v>
      </c>
    </row>
    <row r="27274" spans="1:1" ht="12.75">
      <c r="A27274" s="2" t="s">
        <v>533</v>
      </c>
    </row>
    <row r="27275" spans="1:1" ht="12.75">
      <c r="A27275" s="2" t="s">
        <v>244</v>
      </c>
    </row>
    <row r="27276" spans="1:1" ht="12.75">
      <c r="A27276" s="2" t="s">
        <v>1042</v>
      </c>
    </row>
    <row r="27277" spans="1:1" ht="12.75">
      <c r="A27277" s="2" t="s">
        <v>245</v>
      </c>
    </row>
    <row r="27278" spans="1:1" ht="12.75">
      <c r="A27278" s="2" t="s">
        <v>515</v>
      </c>
    </row>
    <row r="27279" spans="1:1" ht="12.75">
      <c r="A27279" s="2" t="s">
        <v>457</v>
      </c>
    </row>
    <row r="27290" spans="1:1" ht="12.75">
      <c r="A27290" s="2" t="s">
        <v>357</v>
      </c>
    </row>
    <row r="27291" spans="1:1" ht="12.75">
      <c r="A27291" s="2" t="s">
        <v>357</v>
      </c>
    </row>
    <row r="27292" spans="1:1" ht="12.75">
      <c r="A27292" s="2" t="s">
        <v>357</v>
      </c>
    </row>
    <row r="27293" spans="1:1" ht="12.75">
      <c r="A27293" s="2" t="s">
        <v>357</v>
      </c>
    </row>
    <row r="27294" spans="1:1" ht="12.75">
      <c r="A27294" s="2" t="s">
        <v>357</v>
      </c>
    </row>
    <row r="27295" spans="1:1" ht="12.75">
      <c r="A27295" s="2" t="s">
        <v>357</v>
      </c>
    </row>
    <row r="27296" spans="1:1" ht="12.75">
      <c r="A27296" s="2" t="s">
        <v>357</v>
      </c>
    </row>
    <row r="27297" spans="1:1" ht="12.75">
      <c r="A27297" s="2" t="s">
        <v>357</v>
      </c>
    </row>
    <row r="27298" spans="1:1" ht="12.75">
      <c r="A27298" s="2" t="s">
        <v>357</v>
      </c>
    </row>
    <row r="27299" spans="1:1" ht="12.75">
      <c r="A27299" s="2" t="s">
        <v>357</v>
      </c>
    </row>
    <row r="27312" spans="1:1" ht="12.75">
      <c r="A27312" s="2" t="s">
        <v>509</v>
      </c>
    </row>
    <row r="27313" spans="1:1" ht="12.75">
      <c r="A27313" s="2" t="s">
        <v>509</v>
      </c>
    </row>
    <row r="27316" spans="1:1" ht="12.75">
      <c r="A27316" s="2" t="s">
        <v>1044</v>
      </c>
    </row>
    <row r="27319" spans="1:1" ht="12.75">
      <c r="A27319" s="2" t="s">
        <v>1044</v>
      </c>
    </row>
    <row r="27320" spans="1:1" ht="12.75">
      <c r="A27320" s="2" t="s">
        <v>1044</v>
      </c>
    </row>
    <row r="27321" spans="1:1" ht="12.75">
      <c r="A27321" s="2" t="s">
        <v>1044</v>
      </c>
    </row>
    <row r="27322" spans="1:1" ht="12.75">
      <c r="A27322" s="2" t="s">
        <v>1044</v>
      </c>
    </row>
    <row r="27323" spans="1:1" ht="12.75">
      <c r="A27323" s="2" t="s">
        <v>1044</v>
      </c>
    </row>
    <row r="27324" spans="1:1" ht="12.75">
      <c r="A27324" s="2" t="s">
        <v>509</v>
      </c>
    </row>
    <row r="27325" spans="1:1" ht="12.75">
      <c r="A27325" s="2" t="s">
        <v>1044</v>
      </c>
    </row>
    <row r="27326" spans="1:1" ht="12.75">
      <c r="A27326" s="2" t="s">
        <v>509</v>
      </c>
    </row>
    <row r="27327" spans="1:1" ht="12.75">
      <c r="A27327" s="2" t="s">
        <v>509</v>
      </c>
    </row>
    <row r="27328" spans="1:1" ht="12.75">
      <c r="A27328" s="2" t="s">
        <v>509</v>
      </c>
    </row>
    <row r="27329" spans="1:1" ht="12.75">
      <c r="A27329" s="2" t="s">
        <v>509</v>
      </c>
    </row>
    <row r="27330" spans="1:1" ht="12.75">
      <c r="A27330" s="2" t="s">
        <v>1045</v>
      </c>
    </row>
    <row r="27331" spans="1:1" ht="12.75">
      <c r="A27331" s="2" t="s">
        <v>1045</v>
      </c>
    </row>
    <row r="27335" spans="1:1" ht="12.75">
      <c r="A27335" s="2" t="s">
        <v>1046</v>
      </c>
    </row>
    <row r="27340" spans="1:1" ht="12.75">
      <c r="A27340" s="2" t="s">
        <v>1047</v>
      </c>
    </row>
    <row r="27341" spans="1:1" ht="12.75">
      <c r="A27341" s="2" t="s">
        <v>979</v>
      </c>
    </row>
    <row r="27342" spans="1:1" ht="12.75">
      <c r="A27342" s="2" t="s">
        <v>358</v>
      </c>
    </row>
    <row r="27343" spans="1:1" ht="12.75">
      <c r="A27343" s="2" t="s">
        <v>979</v>
      </c>
    </row>
    <row r="27344" spans="1:1" ht="12.75">
      <c r="A27344" s="2" t="s">
        <v>979</v>
      </c>
    </row>
    <row r="27345" spans="1:1" ht="12.75">
      <c r="A27345" s="2" t="s">
        <v>980</v>
      </c>
    </row>
    <row r="27346" spans="1:1" ht="12.75">
      <c r="A27346" s="2" t="s">
        <v>979</v>
      </c>
    </row>
    <row r="27347" spans="1:1" ht="12.75">
      <c r="A27347" s="2" t="s">
        <v>979</v>
      </c>
    </row>
    <row r="27348" spans="1:1" ht="12.75">
      <c r="A27348" s="2" t="s">
        <v>979</v>
      </c>
    </row>
    <row r="27349" spans="1:1" ht="12.75">
      <c r="A27349" s="2" t="s">
        <v>980</v>
      </c>
    </row>
    <row r="27350" spans="1:1" ht="12.75">
      <c r="A27350" s="2" t="s">
        <v>980</v>
      </c>
    </row>
    <row r="27351" spans="1:1" ht="12.75">
      <c r="A27351" s="2" t="s">
        <v>358</v>
      </c>
    </row>
    <row r="27352" spans="1:1" ht="12.75">
      <c r="A27352" s="2" t="s">
        <v>980</v>
      </c>
    </row>
    <row r="27353" spans="1:1" ht="12.75">
      <c r="A27353" s="2" t="s">
        <v>358</v>
      </c>
    </row>
    <row r="27354" spans="1:1" ht="12.75">
      <c r="A27354" s="2" t="s">
        <v>980</v>
      </c>
    </row>
    <row r="27355" spans="1:1" ht="12.75">
      <c r="A27355" s="2" t="s">
        <v>358</v>
      </c>
    </row>
    <row r="27356" spans="1:1" ht="12.75">
      <c r="A27356" s="2" t="s">
        <v>980</v>
      </c>
    </row>
    <row r="27357" spans="1:1" ht="12.75">
      <c r="A27357" s="2" t="s">
        <v>727</v>
      </c>
    </row>
    <row r="27358" spans="1:1" ht="12.75">
      <c r="A27358" s="2" t="s">
        <v>727</v>
      </c>
    </row>
    <row r="27359" spans="1:1" ht="12.75">
      <c r="A27359" s="2" t="s">
        <v>727</v>
      </c>
    </row>
    <row r="27360" spans="1:1" ht="12.75">
      <c r="A27360" s="2" t="s">
        <v>1048</v>
      </c>
    </row>
    <row r="27361" spans="1:1" ht="12.75">
      <c r="A27361" s="2" t="s">
        <v>1049</v>
      </c>
    </row>
    <row r="27362" spans="1:1" ht="12.75">
      <c r="A27362" s="2" t="s">
        <v>1049</v>
      </c>
    </row>
    <row r="27363" spans="1:1" ht="12.75">
      <c r="A27363" s="2" t="s">
        <v>282</v>
      </c>
    </row>
    <row r="27364" spans="1:1" ht="12.75">
      <c r="A27364" s="2" t="s">
        <v>282</v>
      </c>
    </row>
    <row r="27365" spans="1:1" ht="12.75">
      <c r="A27365" s="2" t="s">
        <v>908</v>
      </c>
    </row>
    <row r="27366" spans="1:1" ht="12.75">
      <c r="A27366" s="2" t="s">
        <v>908</v>
      </c>
    </row>
    <row r="27367" spans="1:1" ht="12.75">
      <c r="A27367" s="2" t="s">
        <v>908</v>
      </c>
    </row>
    <row r="27368" spans="1:1" ht="12.75">
      <c r="A27368" s="2" t="s">
        <v>908</v>
      </c>
    </row>
    <row r="27371" spans="1:1" ht="12.75">
      <c r="A27371" s="2" t="s">
        <v>600</v>
      </c>
    </row>
    <row r="27372" spans="1:1" ht="12.75">
      <c r="A27372" s="2" t="s">
        <v>600</v>
      </c>
    </row>
    <row r="27373" spans="1:1" ht="12.75">
      <c r="A27373" s="2" t="s">
        <v>1050</v>
      </c>
    </row>
    <row r="27374" spans="1:1" ht="12.75">
      <c r="A27374" s="2" t="s">
        <v>1051</v>
      </c>
    </row>
    <row r="27385" spans="1:1" ht="12.75">
      <c r="A27385" s="2" t="s">
        <v>729</v>
      </c>
    </row>
    <row r="27386" spans="1:1" ht="12.75">
      <c r="A27386" s="2" t="s">
        <v>1052</v>
      </c>
    </row>
    <row r="27387" spans="1:1" ht="12.75">
      <c r="A27387" s="2" t="s">
        <v>1052</v>
      </c>
    </row>
    <row r="27388" spans="1:1" ht="12.75">
      <c r="A27388" s="2" t="s">
        <v>1052</v>
      </c>
    </row>
    <row r="27389" spans="1:1" ht="12.75">
      <c r="A27389" s="2" t="s">
        <v>847</v>
      </c>
    </row>
    <row r="27390" spans="1:1" ht="12.75">
      <c r="A27390" s="2" t="s">
        <v>942</v>
      </c>
    </row>
    <row r="27391" spans="1:1" ht="12.75">
      <c r="A27391" s="2" t="s">
        <v>853</v>
      </c>
    </row>
    <row r="27392" spans="1:1" ht="12.75">
      <c r="A27392" s="2" t="s">
        <v>443</v>
      </c>
    </row>
    <row r="27393" spans="1:1" ht="12.75">
      <c r="A27393" s="2" t="s">
        <v>439</v>
      </c>
    </row>
    <row r="27394" spans="1:1" ht="12.75">
      <c r="A27394" s="2" t="s">
        <v>612</v>
      </c>
    </row>
    <row r="27395" spans="1:1" ht="12.75">
      <c r="A27395" s="2" t="s">
        <v>1053</v>
      </c>
    </row>
    <row r="27396" spans="1:1" ht="12.75">
      <c r="A27396" s="2" t="s">
        <v>438</v>
      </c>
    </row>
    <row r="27397" spans="1:1" ht="12.75">
      <c r="A27397" s="2" t="s">
        <v>453</v>
      </c>
    </row>
    <row r="27398" spans="1:1" ht="12.75">
      <c r="A27398" s="2" t="s">
        <v>453</v>
      </c>
    </row>
    <row r="27399" spans="1:1" ht="12.75">
      <c r="A27399" s="2" t="s">
        <v>453</v>
      </c>
    </row>
    <row r="27400" spans="1:1" ht="12.75">
      <c r="A27400" s="2" t="s">
        <v>446</v>
      </c>
    </row>
    <row r="27401" spans="1:1" ht="12.75">
      <c r="A27401" s="2" t="s">
        <v>446</v>
      </c>
    </row>
    <row r="27402" spans="1:1" ht="12.75">
      <c r="A27402" s="2" t="s">
        <v>446</v>
      </c>
    </row>
    <row r="27403" spans="1:1" ht="12.75">
      <c r="A27403" s="2" t="s">
        <v>446</v>
      </c>
    </row>
    <row r="27404" spans="1:1" ht="12.75">
      <c r="A27404" s="2" t="s">
        <v>446</v>
      </c>
    </row>
    <row r="27405" spans="1:1" ht="12.75">
      <c r="A27405" s="2" t="s">
        <v>447</v>
      </c>
    </row>
    <row r="27406" spans="1:1" ht="12.75">
      <c r="A27406" s="2" t="s">
        <v>447</v>
      </c>
    </row>
    <row r="27407" spans="1:1" ht="12.75">
      <c r="A27407" s="2" t="s">
        <v>447</v>
      </c>
    </row>
    <row r="27408" spans="1:1" ht="12.75">
      <c r="A27408" s="2" t="s">
        <v>447</v>
      </c>
    </row>
    <row r="27409" spans="1:1" ht="12.75">
      <c r="A27409" s="2" t="s">
        <v>447</v>
      </c>
    </row>
    <row r="27410" spans="1:1" ht="12.75">
      <c r="A27410" s="2" t="s">
        <v>448</v>
      </c>
    </row>
    <row r="27411" spans="1:1" ht="12.75">
      <c r="A27411" s="2" t="s">
        <v>449</v>
      </c>
    </row>
    <row r="27412" spans="1:1" ht="12.75">
      <c r="A27412" s="2" t="s">
        <v>449</v>
      </c>
    </row>
    <row r="27413" spans="1:1" ht="12.75">
      <c r="A27413" s="2" t="s">
        <v>1054</v>
      </c>
    </row>
    <row r="27414" spans="1:1" ht="12.75">
      <c r="A27414" s="2" t="s">
        <v>449</v>
      </c>
    </row>
    <row r="27415" spans="1:1" ht="12.75">
      <c r="A27415" s="2" t="s">
        <v>452</v>
      </c>
    </row>
    <row r="27416" spans="1:1" ht="12.75">
      <c r="A27416" s="2" t="s">
        <v>452</v>
      </c>
    </row>
    <row r="27417" spans="1:1" ht="12.75">
      <c r="A27417" s="2" t="s">
        <v>452</v>
      </c>
    </row>
    <row r="27418" spans="1:1" ht="12.75">
      <c r="A27418" s="2" t="s">
        <v>452</v>
      </c>
    </row>
    <row r="27419" spans="1:1" ht="12.75">
      <c r="A27419" s="2" t="s">
        <v>452</v>
      </c>
    </row>
    <row r="27420" spans="1:1" ht="12.75">
      <c r="A27420" s="2" t="s">
        <v>452</v>
      </c>
    </row>
    <row r="27421" spans="1:1" ht="12.75">
      <c r="A27421" s="2" t="s">
        <v>452</v>
      </c>
    </row>
    <row r="27422" spans="1:1" ht="12.75">
      <c r="A27422" s="2" t="s">
        <v>452</v>
      </c>
    </row>
    <row r="27423" spans="1:1" ht="12.75">
      <c r="A27423" s="2" t="s">
        <v>452</v>
      </c>
    </row>
    <row r="27424" spans="1:1" ht="12.75">
      <c r="A27424" s="2" t="s">
        <v>452</v>
      </c>
    </row>
    <row r="27425" spans="1:1" ht="12.75">
      <c r="A27425" s="2" t="s">
        <v>449</v>
      </c>
    </row>
    <row r="27426" spans="1:1" ht="12.75">
      <c r="A27426" s="2" t="s">
        <v>449</v>
      </c>
    </row>
    <row r="27427" spans="1:1" ht="12.75">
      <c r="A27427" s="2" t="s">
        <v>449</v>
      </c>
    </row>
    <row r="27428" spans="1:1" ht="12.75">
      <c r="A27428" s="2" t="s">
        <v>449</v>
      </c>
    </row>
    <row r="27429" spans="1:1" ht="12.75">
      <c r="A27429" s="2" t="s">
        <v>449</v>
      </c>
    </row>
    <row r="27430" spans="1:1" ht="12.75">
      <c r="A27430" s="2" t="s">
        <v>449</v>
      </c>
    </row>
    <row r="27431" spans="1:1" ht="12.75">
      <c r="A27431" s="2" t="s">
        <v>449</v>
      </c>
    </row>
    <row r="27432" spans="1:1" ht="12.75">
      <c r="A27432" s="2" t="s">
        <v>449</v>
      </c>
    </row>
    <row r="27433" spans="1:1" ht="12.75">
      <c r="A27433" s="2" t="s">
        <v>452</v>
      </c>
    </row>
    <row r="27434" spans="1:1" ht="12.75">
      <c r="A27434" s="2" t="s">
        <v>452</v>
      </c>
    </row>
    <row r="27435" spans="1:1" ht="12.75">
      <c r="A27435" s="2" t="s">
        <v>452</v>
      </c>
    </row>
    <row r="27436" spans="1:1" ht="12.75">
      <c r="A27436" s="2" t="s">
        <v>452</v>
      </c>
    </row>
    <row r="27437" spans="1:1" ht="12.75">
      <c r="A27437" s="2" t="s">
        <v>449</v>
      </c>
    </row>
    <row r="27438" spans="1:1" ht="12.75">
      <c r="A27438" s="2" t="s">
        <v>449</v>
      </c>
    </row>
    <row r="27439" spans="1:1" ht="12.75">
      <c r="A27439" s="2" t="s">
        <v>449</v>
      </c>
    </row>
    <row r="27440" spans="1:1" ht="12.75">
      <c r="A27440" s="2" t="s">
        <v>449</v>
      </c>
    </row>
    <row r="27441" spans="1:1" ht="12.75">
      <c r="A27441" s="2" t="s">
        <v>449</v>
      </c>
    </row>
    <row r="27442" spans="1:1" ht="12.75">
      <c r="A27442" s="2" t="s">
        <v>449</v>
      </c>
    </row>
    <row r="27443" spans="1:1" ht="12.75">
      <c r="A27443" s="2" t="s">
        <v>449</v>
      </c>
    </row>
    <row r="27444" spans="1:1" ht="12.75">
      <c r="A27444" s="2" t="s">
        <v>449</v>
      </c>
    </row>
    <row r="27445" spans="1:1" ht="12.75">
      <c r="A27445" s="2" t="s">
        <v>452</v>
      </c>
    </row>
    <row r="27446" spans="1:1" ht="12.75">
      <c r="A27446" s="2" t="s">
        <v>452</v>
      </c>
    </row>
    <row r="27447" spans="1:1" ht="12.75">
      <c r="A27447" s="2" t="s">
        <v>439</v>
      </c>
    </row>
    <row r="27448" spans="1:1" ht="12.75">
      <c r="A27448" s="2" t="s">
        <v>439</v>
      </c>
    </row>
    <row r="27449" spans="1:1" ht="12.75">
      <c r="A27449" s="2" t="s">
        <v>612</v>
      </c>
    </row>
    <row r="27450" spans="1:1" ht="12.75">
      <c r="A27450" s="2" t="s">
        <v>439</v>
      </c>
    </row>
    <row r="27451" spans="1:1" ht="12.75">
      <c r="A27451" s="2" t="s">
        <v>439</v>
      </c>
    </row>
    <row r="27452" spans="1:1" ht="12.75">
      <c r="A27452" s="2" t="s">
        <v>439</v>
      </c>
    </row>
    <row r="27453" spans="1:1" ht="12.75">
      <c r="A27453" s="2" t="s">
        <v>439</v>
      </c>
    </row>
    <row r="27454" spans="1:1" ht="12.75">
      <c r="A27454" s="2" t="s">
        <v>439</v>
      </c>
    </row>
    <row r="27456" spans="1:1" ht="12.75">
      <c r="A27456" s="2" t="s">
        <v>853</v>
      </c>
    </row>
    <row r="27457" spans="1:1" ht="12.75">
      <c r="A27457" s="2" t="s">
        <v>853</v>
      </c>
    </row>
    <row r="27458" spans="1:1" ht="12.75">
      <c r="A27458" s="2" t="s">
        <v>612</v>
      </c>
    </row>
    <row r="27459" spans="1:1" ht="12.75">
      <c r="A27459" s="2" t="s">
        <v>438</v>
      </c>
    </row>
    <row r="27460" spans="1:1" ht="12.75">
      <c r="A27460" s="2" t="s">
        <v>438</v>
      </c>
    </row>
    <row r="27461" spans="1:1" ht="12.75">
      <c r="A27461" s="2" t="s">
        <v>439</v>
      </c>
    </row>
    <row r="27462" spans="1:1" ht="12.75">
      <c r="A27462" s="2" t="s">
        <v>439</v>
      </c>
    </row>
    <row r="27463" spans="1:1" ht="12.75">
      <c r="A27463" s="2" t="s">
        <v>443</v>
      </c>
    </row>
    <row r="27464" spans="1:1" ht="12.75">
      <c r="A27464" s="2" t="s">
        <v>443</v>
      </c>
    </row>
    <row r="27465" spans="1:1" ht="12.75">
      <c r="A27465" s="2" t="s">
        <v>612</v>
      </c>
    </row>
    <row r="27466" spans="1:1" ht="12.75">
      <c r="A27466" s="2" t="s">
        <v>612</v>
      </c>
    </row>
    <row r="27467" spans="1:1" ht="12.75">
      <c r="A27467" s="2" t="s">
        <v>439</v>
      </c>
    </row>
    <row r="27468" spans="1:1" ht="12.75">
      <c r="A27468" s="2" t="s">
        <v>443</v>
      </c>
    </row>
    <row r="27469" spans="1:1" ht="12.75">
      <c r="A27469" s="2" t="s">
        <v>438</v>
      </c>
    </row>
    <row r="27470" spans="1:1" ht="12.75">
      <c r="A27470" s="2" t="s">
        <v>439</v>
      </c>
    </row>
    <row r="27471" spans="1:1" ht="12.75">
      <c r="A27471" s="2" t="s">
        <v>853</v>
      </c>
    </row>
    <row r="27472" spans="1:1" ht="12.75">
      <c r="A27472" s="2" t="s">
        <v>440</v>
      </c>
    </row>
    <row r="27473" spans="1:1" ht="12.75">
      <c r="A27473" s="2" t="s">
        <v>439</v>
      </c>
    </row>
    <row r="27474" spans="1:1" ht="12.75">
      <c r="A27474" s="2" t="s">
        <v>439</v>
      </c>
    </row>
    <row r="27475" spans="1:1" ht="12.75">
      <c r="A27475" s="2" t="s">
        <v>452</v>
      </c>
    </row>
    <row r="27476" spans="1:1" ht="12.75">
      <c r="A27476" s="2" t="s">
        <v>452</v>
      </c>
    </row>
    <row r="27477" spans="1:1" ht="12.75">
      <c r="A27477" s="2" t="s">
        <v>452</v>
      </c>
    </row>
    <row r="27478" spans="1:1" ht="12.75">
      <c r="A27478" s="2" t="s">
        <v>452</v>
      </c>
    </row>
    <row r="27479" spans="1:1" ht="12.75">
      <c r="A27479" s="2" t="s">
        <v>452</v>
      </c>
    </row>
    <row r="27480" spans="1:1" ht="12.75">
      <c r="A27480" s="2" t="s">
        <v>452</v>
      </c>
    </row>
    <row r="27481" spans="1:1" ht="12.75">
      <c r="A27481" s="2" t="s">
        <v>449</v>
      </c>
    </row>
    <row r="27482" spans="1:1" ht="12.75">
      <c r="A27482" s="2" t="s">
        <v>449</v>
      </c>
    </row>
    <row r="27483" spans="1:1" ht="12.75">
      <c r="A27483" s="2" t="s">
        <v>449</v>
      </c>
    </row>
    <row r="27484" spans="1:1" ht="12.75">
      <c r="A27484" s="2" t="s">
        <v>449</v>
      </c>
    </row>
    <row r="27485" spans="1:1" ht="12.75">
      <c r="A27485" s="2" t="s">
        <v>452</v>
      </c>
    </row>
    <row r="27486" spans="1:1" ht="12.75">
      <c r="A27486" s="2" t="s">
        <v>452</v>
      </c>
    </row>
    <row r="27487" spans="1:1" ht="12.75">
      <c r="A27487" s="2" t="s">
        <v>449</v>
      </c>
    </row>
    <row r="27488" spans="1:1" ht="12.75">
      <c r="A27488" s="2" t="s">
        <v>449</v>
      </c>
    </row>
    <row r="27489" spans="1:1" ht="12.75">
      <c r="A27489" s="2" t="s">
        <v>453</v>
      </c>
    </row>
    <row r="27490" spans="1:1" ht="12.75">
      <c r="A27490" s="2" t="s">
        <v>453</v>
      </c>
    </row>
    <row r="27491" spans="1:1" ht="12.75">
      <c r="A27491" s="2" t="s">
        <v>453</v>
      </c>
    </row>
    <row r="27492" spans="1:1" ht="12.75">
      <c r="A27492" s="2" t="s">
        <v>447</v>
      </c>
    </row>
    <row r="27493" spans="1:1" ht="12.75">
      <c r="A27493" s="2" t="s">
        <v>447</v>
      </c>
    </row>
    <row r="27494" spans="1:1" ht="12.75">
      <c r="A27494" s="2" t="s">
        <v>447</v>
      </c>
    </row>
    <row r="27495" spans="1:1" ht="12.75">
      <c r="A27495" s="2" t="s">
        <v>447</v>
      </c>
    </row>
    <row r="27496" spans="1:1" ht="12.75">
      <c r="A27496" s="2" t="s">
        <v>473</v>
      </c>
    </row>
    <row r="27497" spans="1:1" ht="12.75">
      <c r="A27497" s="2" t="s">
        <v>473</v>
      </c>
    </row>
    <row r="27498" spans="1:1" ht="12.75">
      <c r="A27498" s="2" t="s">
        <v>446</v>
      </c>
    </row>
    <row r="27499" spans="1:1" ht="12.75">
      <c r="A27499" s="2" t="s">
        <v>446</v>
      </c>
    </row>
    <row r="27500" spans="1:1" ht="12.75">
      <c r="A27500" s="2" t="s">
        <v>446</v>
      </c>
    </row>
    <row r="27501" spans="1:1" ht="12.75">
      <c r="A27501" s="2" t="s">
        <v>447</v>
      </c>
    </row>
    <row r="27502" spans="1:1" ht="12.75">
      <c r="A27502" s="2" t="s">
        <v>447</v>
      </c>
    </row>
    <row r="27503" spans="1:1" ht="12.75">
      <c r="A27503" s="2" t="s">
        <v>634</v>
      </c>
    </row>
    <row r="27504" spans="1:1" ht="12.75">
      <c r="A27504" s="2" t="s">
        <v>634</v>
      </c>
    </row>
    <row r="27505" spans="1:1" ht="12.75">
      <c r="A27505" s="2" t="s">
        <v>634</v>
      </c>
    </row>
    <row r="27506" spans="1:1" ht="12.75">
      <c r="A27506" s="2" t="s">
        <v>615</v>
      </c>
    </row>
    <row r="27507" spans="1:1" ht="12.75">
      <c r="A27507" s="2" t="s">
        <v>615</v>
      </c>
    </row>
    <row r="27508" spans="1:1" ht="12.75">
      <c r="A27508" s="2" t="s">
        <v>448</v>
      </c>
    </row>
    <row r="27509" spans="1:1" ht="12.75">
      <c r="A27509" s="2" t="s">
        <v>453</v>
      </c>
    </row>
    <row r="27510" spans="1:1" ht="12.75">
      <c r="A27510" s="2" t="s">
        <v>453</v>
      </c>
    </row>
    <row r="27511" spans="1:1" ht="12.75">
      <c r="A27511" s="2" t="s">
        <v>473</v>
      </c>
    </row>
    <row r="27512" spans="1:1" ht="12.75">
      <c r="A27512" s="2" t="s">
        <v>473</v>
      </c>
    </row>
    <row r="27513" spans="1:1" ht="12.75">
      <c r="A27513" s="2" t="s">
        <v>473</v>
      </c>
    </row>
    <row r="27514" spans="1:1" ht="12.75">
      <c r="A27514" s="2" t="s">
        <v>448</v>
      </c>
    </row>
    <row r="27515" spans="1:1" ht="12.75">
      <c r="A27515" s="2" t="s">
        <v>446</v>
      </c>
    </row>
    <row r="27516" spans="1:1" ht="12.75">
      <c r="A27516" s="2" t="s">
        <v>446</v>
      </c>
    </row>
    <row r="27517" spans="1:1" ht="12.75">
      <c r="A27517" s="2" t="s">
        <v>446</v>
      </c>
    </row>
    <row r="27518" spans="1:1" ht="12.75">
      <c r="A27518" s="2" t="s">
        <v>446</v>
      </c>
    </row>
    <row r="27519" spans="1:1" ht="12.75">
      <c r="A27519" s="2" t="s">
        <v>447</v>
      </c>
    </row>
    <row r="27520" spans="1:1" ht="12.75">
      <c r="A27520" s="2" t="s">
        <v>447</v>
      </c>
    </row>
    <row r="27521" spans="1:1" ht="12.75">
      <c r="A27521" s="2" t="s">
        <v>448</v>
      </c>
    </row>
    <row r="27522" spans="1:1" ht="12.75">
      <c r="A27522" s="2" t="s">
        <v>448</v>
      </c>
    </row>
    <row r="27523" spans="1:1" ht="12.75">
      <c r="A27523" s="2" t="s">
        <v>473</v>
      </c>
    </row>
    <row r="27524" spans="1:1" ht="12.75">
      <c r="A27524" s="2" t="s">
        <v>473</v>
      </c>
    </row>
    <row r="27525" spans="1:1" ht="12.75">
      <c r="A27525" s="2" t="s">
        <v>448</v>
      </c>
    </row>
    <row r="27526" spans="1:1" ht="12.75">
      <c r="A27526" s="2" t="s">
        <v>473</v>
      </c>
    </row>
    <row r="27527" spans="1:1" ht="12.75">
      <c r="A27527" s="2" t="s">
        <v>473</v>
      </c>
    </row>
    <row r="27528" spans="1:1" ht="12.75">
      <c r="A27528" s="2" t="s">
        <v>448</v>
      </c>
    </row>
    <row r="27529" spans="1:1" ht="12.75">
      <c r="A27529" s="2" t="s">
        <v>448</v>
      </c>
    </row>
    <row r="27530" spans="1:1" ht="12.75">
      <c r="A27530" s="2" t="s">
        <v>448</v>
      </c>
    </row>
    <row r="27531" spans="1:1" ht="12.75">
      <c r="A27531" s="2" t="s">
        <v>448</v>
      </c>
    </row>
    <row r="27532" spans="1:1" ht="12.75">
      <c r="A27532" s="2" t="s">
        <v>446</v>
      </c>
    </row>
    <row r="27533" spans="1:1" ht="12.75">
      <c r="A27533" s="2" t="s">
        <v>446</v>
      </c>
    </row>
    <row r="27534" spans="1:1" ht="12.75">
      <c r="A27534" s="2" t="s">
        <v>446</v>
      </c>
    </row>
    <row r="27535" spans="1:1" ht="12.75">
      <c r="A27535" s="2" t="s">
        <v>446</v>
      </c>
    </row>
    <row r="27536" spans="1:1" ht="12.75">
      <c r="A27536" s="2" t="s">
        <v>448</v>
      </c>
    </row>
    <row r="27537" spans="1:1" ht="12.75">
      <c r="A27537" s="2" t="s">
        <v>1055</v>
      </c>
    </row>
    <row r="27538" spans="1:1" ht="12.75">
      <c r="A27538" s="2" t="s">
        <v>438</v>
      </c>
    </row>
    <row r="27539" spans="1:1" ht="12.75">
      <c r="A27539" s="2" t="s">
        <v>440</v>
      </c>
    </row>
    <row r="27540" spans="1:1" ht="12.75">
      <c r="A27540" s="2" t="s">
        <v>612</v>
      </c>
    </row>
    <row r="27541" spans="1:1" ht="12.75">
      <c r="A27541" s="2" t="s">
        <v>439</v>
      </c>
    </row>
    <row r="27542" spans="1:1" ht="12.75">
      <c r="A27542" s="2" t="s">
        <v>439</v>
      </c>
    </row>
    <row r="27543" spans="1:1" ht="12.75">
      <c r="A27543" s="2" t="s">
        <v>439</v>
      </c>
    </row>
    <row r="27544" spans="1:1" ht="12.75">
      <c r="A27544" s="2" t="s">
        <v>438</v>
      </c>
    </row>
    <row r="27545" spans="1:1" ht="12.75">
      <c r="A27545" s="2" t="s">
        <v>440</v>
      </c>
    </row>
    <row r="27546" spans="1:1" ht="12.75">
      <c r="A27546" s="2" t="s">
        <v>612</v>
      </c>
    </row>
    <row r="27547" spans="1:1" ht="12.75">
      <c r="A27547" s="2" t="s">
        <v>853</v>
      </c>
    </row>
    <row r="27548" spans="1:1" ht="12.75">
      <c r="A27548" s="2" t="s">
        <v>439</v>
      </c>
    </row>
    <row r="27549" spans="1:1" ht="12.75">
      <c r="A27549" s="2" t="s">
        <v>440</v>
      </c>
    </row>
    <row r="27550" spans="1:1" ht="12.75">
      <c r="A27550" s="2" t="s">
        <v>612</v>
      </c>
    </row>
    <row r="27551" spans="1:1" ht="12.75">
      <c r="A27551" s="2" t="s">
        <v>438</v>
      </c>
    </row>
    <row r="27552" spans="1:1" ht="12.75">
      <c r="A27552" s="2" t="s">
        <v>439</v>
      </c>
    </row>
    <row r="27553" spans="1:1" ht="12.75">
      <c r="A27553" s="2" t="s">
        <v>439</v>
      </c>
    </row>
    <row r="27554" spans="1:1" ht="12.75">
      <c r="A27554" s="2" t="s">
        <v>438</v>
      </c>
    </row>
    <row r="27555" spans="1:1" ht="12.75">
      <c r="A27555" s="2" t="s">
        <v>853</v>
      </c>
    </row>
    <row r="27556" spans="1:1" ht="12.75">
      <c r="A27556" s="2" t="s">
        <v>612</v>
      </c>
    </row>
    <row r="27557" spans="1:1" ht="12.75">
      <c r="A27557" s="2" t="s">
        <v>438</v>
      </c>
    </row>
    <row r="27558" spans="1:1" ht="12.75">
      <c r="A27558" s="2" t="s">
        <v>443</v>
      </c>
    </row>
    <row r="27559" spans="1:1" ht="12.75">
      <c r="A27559" s="2" t="s">
        <v>439</v>
      </c>
    </row>
    <row r="27560" spans="1:1" ht="12.75">
      <c r="A27560" s="2" t="s">
        <v>439</v>
      </c>
    </row>
    <row r="27561" spans="1:1" ht="12.75">
      <c r="A27561" s="2" t="s">
        <v>612</v>
      </c>
    </row>
    <row r="27562" spans="1:1" ht="12.75">
      <c r="A27562" s="2" t="s">
        <v>853</v>
      </c>
    </row>
    <row r="27563" spans="1:1" ht="12.75">
      <c r="A27563" s="2" t="s">
        <v>612</v>
      </c>
    </row>
    <row r="27564" spans="1:1" ht="12.75">
      <c r="A27564" s="2" t="s">
        <v>438</v>
      </c>
    </row>
    <row r="27565" spans="1:1" ht="12.75">
      <c r="A27565" s="2" t="s">
        <v>439</v>
      </c>
    </row>
    <row r="27566" spans="1:1" ht="12.75">
      <c r="A27566" s="2" t="s">
        <v>439</v>
      </c>
    </row>
    <row r="27567" spans="1:1" ht="12.75">
      <c r="A27567" s="2" t="s">
        <v>438</v>
      </c>
    </row>
    <row r="27568" spans="1:1" ht="12.75">
      <c r="A27568" s="2" t="s">
        <v>612</v>
      </c>
    </row>
    <row r="27569" spans="1:1" ht="12.75">
      <c r="A27569" s="2" t="s">
        <v>612</v>
      </c>
    </row>
    <row r="27570" spans="1:1" ht="12.75">
      <c r="A27570" s="2" t="s">
        <v>612</v>
      </c>
    </row>
    <row r="27571" spans="1:1" ht="12.75">
      <c r="A27571" s="2" t="s">
        <v>853</v>
      </c>
    </row>
    <row r="27572" spans="1:1" ht="12.75">
      <c r="A27572" s="2" t="s">
        <v>853</v>
      </c>
    </row>
    <row r="27573" spans="1:1" ht="12.75">
      <c r="A27573" s="2" t="s">
        <v>439</v>
      </c>
    </row>
    <row r="27574" spans="1:1" ht="12.75">
      <c r="A27574" s="2" t="s">
        <v>439</v>
      </c>
    </row>
    <row r="27575" spans="1:1" ht="12.75">
      <c r="A27575" s="2" t="s">
        <v>439</v>
      </c>
    </row>
    <row r="27576" spans="1:1" ht="12.75">
      <c r="A27576" s="2" t="s">
        <v>439</v>
      </c>
    </row>
    <row r="27577" spans="1:1" ht="12.75">
      <c r="A27577" s="2" t="s">
        <v>438</v>
      </c>
    </row>
    <row r="27578" spans="1:1" ht="12.75">
      <c r="A27578" s="2" t="s">
        <v>613</v>
      </c>
    </row>
    <row r="27579" spans="1:1" ht="12.75">
      <c r="A27579" s="2" t="s">
        <v>438</v>
      </c>
    </row>
    <row r="27580" spans="1:1" ht="12.75">
      <c r="A27580" s="2" t="s">
        <v>439</v>
      </c>
    </row>
    <row r="27581" spans="1:1" ht="12.75">
      <c r="A27581" s="2" t="s">
        <v>439</v>
      </c>
    </row>
    <row r="27582" spans="1:1" ht="12.75">
      <c r="A27582" s="2" t="s">
        <v>439</v>
      </c>
    </row>
    <row r="27583" spans="1:1" ht="12.75">
      <c r="A27583" s="2" t="s">
        <v>438</v>
      </c>
    </row>
    <row r="27584" spans="1:1" ht="12.75">
      <c r="A27584" s="2" t="s">
        <v>443</v>
      </c>
    </row>
    <row r="27585" spans="1:1" ht="12.75">
      <c r="A27585" s="2" t="s">
        <v>853</v>
      </c>
    </row>
    <row r="27586" spans="1:1" ht="12.75">
      <c r="A27586" s="2" t="s">
        <v>443</v>
      </c>
    </row>
    <row r="27587" spans="1:1" ht="12.75">
      <c r="A27587" s="2" t="s">
        <v>1053</v>
      </c>
    </row>
    <row r="27588" spans="1:1" ht="12.75">
      <c r="A27588" s="2" t="s">
        <v>492</v>
      </c>
    </row>
    <row r="27589" spans="1:1" ht="12.75">
      <c r="A27589" s="2" t="s">
        <v>453</v>
      </c>
    </row>
    <row r="27590" spans="1:1" ht="12.75">
      <c r="A27590" s="2" t="s">
        <v>453</v>
      </c>
    </row>
    <row r="27591" spans="1:1" ht="12.75">
      <c r="A27591" s="2" t="s">
        <v>453</v>
      </c>
    </row>
    <row r="27592" spans="1:1" ht="12.75">
      <c r="A27592" s="2" t="s">
        <v>446</v>
      </c>
    </row>
    <row r="27593" spans="1:1" ht="12.75">
      <c r="A27593" s="2" t="s">
        <v>446</v>
      </c>
    </row>
    <row r="27594" spans="1:1" ht="12.75">
      <c r="A27594" s="2" t="s">
        <v>446</v>
      </c>
    </row>
    <row r="27595" spans="1:1" ht="12.75">
      <c r="A27595" s="2" t="s">
        <v>446</v>
      </c>
    </row>
    <row r="27596" spans="1:1" ht="12.75">
      <c r="A27596" s="2" t="s">
        <v>446</v>
      </c>
    </row>
    <row r="27597" spans="1:1" ht="12.75">
      <c r="A27597" s="2" t="s">
        <v>448</v>
      </c>
    </row>
    <row r="27598" spans="1:1" ht="12.75">
      <c r="A27598" s="2" t="s">
        <v>447</v>
      </c>
    </row>
    <row r="27599" spans="1:1" ht="12.75">
      <c r="A27599" s="2" t="s">
        <v>447</v>
      </c>
    </row>
    <row r="27600" spans="1:1" ht="12.75">
      <c r="A27600" s="2" t="s">
        <v>447</v>
      </c>
    </row>
    <row r="27601" spans="1:1" ht="12.75">
      <c r="A27601" s="2" t="s">
        <v>446</v>
      </c>
    </row>
    <row r="27602" spans="1:1" ht="12.75">
      <c r="A27602" s="2" t="s">
        <v>446</v>
      </c>
    </row>
    <row r="27603" spans="1:1" ht="12.75">
      <c r="A27603" s="2" t="s">
        <v>446</v>
      </c>
    </row>
    <row r="27604" spans="1:1" ht="12.75">
      <c r="A27604" s="2" t="s">
        <v>446</v>
      </c>
    </row>
    <row r="27605" spans="1:1" ht="12.75">
      <c r="A27605" s="2" t="s">
        <v>447</v>
      </c>
    </row>
    <row r="27606" spans="1:1" ht="12.75">
      <c r="A27606" s="2" t="s">
        <v>447</v>
      </c>
    </row>
    <row r="27607" spans="1:1" ht="12.75">
      <c r="A27607" s="2" t="s">
        <v>447</v>
      </c>
    </row>
    <row r="27608" spans="1:1" ht="12.75">
      <c r="A27608" s="2" t="s">
        <v>447</v>
      </c>
    </row>
    <row r="27609" spans="1:1" ht="12.75">
      <c r="A27609" s="2" t="s">
        <v>448</v>
      </c>
    </row>
    <row r="27610" spans="1:1" ht="12.75">
      <c r="A27610" s="2" t="s">
        <v>451</v>
      </c>
    </row>
    <row r="27611" spans="1:1" ht="12.75">
      <c r="A27611" s="2" t="s">
        <v>448</v>
      </c>
    </row>
    <row r="27612" spans="1:1" ht="12.75">
      <c r="A27612" s="2" t="s">
        <v>448</v>
      </c>
    </row>
    <row r="27613" spans="1:1" ht="12.75">
      <c r="A27613" s="2" t="s">
        <v>446</v>
      </c>
    </row>
    <row r="27614" spans="1:1" ht="12.75">
      <c r="A27614" s="2" t="s">
        <v>446</v>
      </c>
    </row>
    <row r="27615" spans="1:1" ht="12.75">
      <c r="A27615" s="2" t="s">
        <v>446</v>
      </c>
    </row>
    <row r="27616" spans="1:1" ht="12.75">
      <c r="A27616" s="2" t="s">
        <v>446</v>
      </c>
    </row>
    <row r="27617" spans="1:1" ht="12.75">
      <c r="A27617" s="2" t="s">
        <v>446</v>
      </c>
    </row>
    <row r="27618" spans="1:1" ht="12.75">
      <c r="A27618" s="2" t="s">
        <v>446</v>
      </c>
    </row>
    <row r="27619" spans="1:1" ht="12.75">
      <c r="A27619" s="2" t="s">
        <v>446</v>
      </c>
    </row>
    <row r="27620" spans="1:1" ht="12.75">
      <c r="A27620" s="2" t="s">
        <v>447</v>
      </c>
    </row>
    <row r="27621" spans="1:1" ht="12.75">
      <c r="A27621" s="2" t="s">
        <v>447</v>
      </c>
    </row>
    <row r="27622" spans="1:1" ht="12.75">
      <c r="A27622" s="2" t="s">
        <v>448</v>
      </c>
    </row>
    <row r="27623" spans="1:1" ht="12.75">
      <c r="A27623" s="2" t="s">
        <v>446</v>
      </c>
    </row>
    <row r="27624" spans="1:1" ht="12.75">
      <c r="A27624" s="2" t="s">
        <v>446</v>
      </c>
    </row>
    <row r="27625" spans="1:1" ht="12.75">
      <c r="A27625" s="2" t="s">
        <v>446</v>
      </c>
    </row>
    <row r="27626" spans="1:1" ht="12.75">
      <c r="A27626" s="2" t="s">
        <v>453</v>
      </c>
    </row>
    <row r="27627" spans="1:1" ht="12.75">
      <c r="A27627" s="2" t="s">
        <v>845</v>
      </c>
    </row>
    <row r="27628" spans="1:1" ht="12.75">
      <c r="A27628" s="2" t="s">
        <v>845</v>
      </c>
    </row>
    <row r="27629" spans="1:1" ht="12.75">
      <c r="A27629" s="2" t="s">
        <v>845</v>
      </c>
    </row>
    <row r="27630" spans="1:1" ht="12.75">
      <c r="A27630" s="2" t="s">
        <v>845</v>
      </c>
    </row>
    <row r="27631" spans="1:1" ht="12.75">
      <c r="A27631" s="2" t="s">
        <v>848</v>
      </c>
    </row>
    <row r="27632" spans="1:1" ht="12.75">
      <c r="A27632" s="2" t="s">
        <v>849</v>
      </c>
    </row>
    <row r="27633" spans="1:1" ht="12.75">
      <c r="A27633" s="2" t="s">
        <v>1056</v>
      </c>
    </row>
    <row r="27634" spans="1:1" ht="12.75">
      <c r="A27634" s="2" t="s">
        <v>439</v>
      </c>
    </row>
    <row r="27635" spans="1:1" ht="12.75">
      <c r="A27635" s="2" t="s">
        <v>847</v>
      </c>
    </row>
    <row r="27636" spans="1:1" ht="12.75">
      <c r="A27636" s="2" t="s">
        <v>847</v>
      </c>
    </row>
    <row r="27637" spans="1:1" ht="12.75">
      <c r="A27637" s="2" t="s">
        <v>853</v>
      </c>
    </row>
    <row r="27638" spans="1:1" ht="12.75">
      <c r="A27638" s="2" t="s">
        <v>443</v>
      </c>
    </row>
    <row r="27639" spans="1:1" ht="12.75">
      <c r="A27639" s="2" t="s">
        <v>438</v>
      </c>
    </row>
    <row r="27640" spans="1:1" ht="12.75">
      <c r="A27640" s="2" t="s">
        <v>612</v>
      </c>
    </row>
    <row r="27641" spans="1:1" ht="12.75">
      <c r="A27641" s="2" t="s">
        <v>443</v>
      </c>
    </row>
    <row r="27642" spans="1:1" ht="12.75">
      <c r="A27642" s="2" t="s">
        <v>438</v>
      </c>
    </row>
    <row r="27643" spans="1:1" ht="12.75">
      <c r="A27643" s="2" t="s">
        <v>613</v>
      </c>
    </row>
    <row r="27644" spans="1:1" ht="12.75">
      <c r="A27644" s="2" t="s">
        <v>443</v>
      </c>
    </row>
    <row r="27645" spans="1:1" ht="12.75">
      <c r="A27645" s="2" t="s">
        <v>491</v>
      </c>
    </row>
    <row r="27646" spans="1:1" ht="12.75">
      <c r="A27646" s="2" t="s">
        <v>491</v>
      </c>
    </row>
    <row r="27647" spans="1:1" ht="12.75">
      <c r="A27647" s="2" t="s">
        <v>1057</v>
      </c>
    </row>
    <row r="27648" spans="1:1" ht="12.75">
      <c r="A27648" s="2" t="s">
        <v>853</v>
      </c>
    </row>
    <row r="27649" spans="1:1" ht="12.75">
      <c r="A27649" s="2" t="s">
        <v>612</v>
      </c>
    </row>
    <row r="27650" spans="1:1" ht="12.75">
      <c r="A27650" s="2" t="s">
        <v>440</v>
      </c>
    </row>
    <row r="27651" spans="1:1" ht="12.75">
      <c r="A27651" s="2" t="s">
        <v>439</v>
      </c>
    </row>
    <row r="27652" spans="1:1" ht="12.75">
      <c r="A27652" s="2" t="s">
        <v>1056</v>
      </c>
    </row>
    <row r="27653" spans="1:1" ht="12.75">
      <c r="A27653" s="2" t="s">
        <v>453</v>
      </c>
    </row>
    <row r="27654" spans="1:1" ht="12.75">
      <c r="A27654" s="2" t="s">
        <v>453</v>
      </c>
    </row>
    <row r="27655" spans="1:1" ht="12.75">
      <c r="A27655" s="2" t="s">
        <v>453</v>
      </c>
    </row>
    <row r="27656" spans="1:1" ht="12.75">
      <c r="A27656" s="2" t="s">
        <v>453</v>
      </c>
    </row>
    <row r="27657" spans="1:1" ht="12.75">
      <c r="A27657" s="2" t="s">
        <v>473</v>
      </c>
    </row>
    <row r="27658" spans="1:1" ht="12.75">
      <c r="A27658" s="2" t="s">
        <v>473</v>
      </c>
    </row>
    <row r="27659" spans="1:1" ht="12.75">
      <c r="A27659" s="2" t="s">
        <v>473</v>
      </c>
    </row>
    <row r="27660" spans="1:1" ht="12.75">
      <c r="A27660" s="2" t="s">
        <v>473</v>
      </c>
    </row>
    <row r="27661" spans="1:1" ht="12.75">
      <c r="A27661" s="2" t="s">
        <v>446</v>
      </c>
    </row>
    <row r="27662" spans="1:1" ht="12.75">
      <c r="A27662" s="2" t="s">
        <v>446</v>
      </c>
    </row>
    <row r="27663" spans="1:1" ht="12.75">
      <c r="A27663" s="2" t="s">
        <v>446</v>
      </c>
    </row>
    <row r="27664" spans="1:1" ht="12.75">
      <c r="A27664" s="2" t="s">
        <v>446</v>
      </c>
    </row>
    <row r="27665" spans="1:1" ht="12.75">
      <c r="A27665" s="2" t="s">
        <v>446</v>
      </c>
    </row>
    <row r="27666" spans="1:1" ht="12.75">
      <c r="A27666" s="2" t="s">
        <v>447</v>
      </c>
    </row>
    <row r="27667" spans="1:1" ht="12.75">
      <c r="A27667" s="2" t="s">
        <v>447</v>
      </c>
    </row>
    <row r="27668" spans="1:1" ht="12.75">
      <c r="A27668" s="2" t="s">
        <v>447</v>
      </c>
    </row>
    <row r="27669" spans="1:1" ht="12.75">
      <c r="A27669" s="2" t="s">
        <v>447</v>
      </c>
    </row>
    <row r="27670" spans="1:1" ht="12.75">
      <c r="A27670" s="2" t="s">
        <v>448</v>
      </c>
    </row>
    <row r="27671" spans="1:1" ht="12.75">
      <c r="A27671" s="2" t="s">
        <v>448</v>
      </c>
    </row>
    <row r="27672" spans="1:1" ht="12.75">
      <c r="A27672" s="2" t="s">
        <v>448</v>
      </c>
    </row>
    <row r="27673" spans="1:1" ht="12.75">
      <c r="A27673" s="2" t="s">
        <v>446</v>
      </c>
    </row>
    <row r="27674" spans="1:1" ht="12.75">
      <c r="A27674" s="2" t="s">
        <v>446</v>
      </c>
    </row>
    <row r="27675" spans="1:1" ht="12.75">
      <c r="A27675" s="2" t="s">
        <v>446</v>
      </c>
    </row>
    <row r="27676" spans="1:1" ht="12.75">
      <c r="A27676" s="2" t="s">
        <v>446</v>
      </c>
    </row>
    <row r="27677" spans="1:1" ht="12.75">
      <c r="A27677" s="2" t="s">
        <v>447</v>
      </c>
    </row>
    <row r="27678" spans="1:1" ht="12.75">
      <c r="A27678" s="2" t="s">
        <v>447</v>
      </c>
    </row>
    <row r="27679" spans="1:1" ht="12.75">
      <c r="A27679" s="2" t="s">
        <v>447</v>
      </c>
    </row>
    <row r="27680" spans="1:1" ht="12.75">
      <c r="A27680" s="2" t="s">
        <v>447</v>
      </c>
    </row>
    <row r="27681" spans="1:1" ht="12.75">
      <c r="A27681" s="2" t="s">
        <v>448</v>
      </c>
    </row>
    <row r="27682" spans="1:1" ht="12.75">
      <c r="A27682" s="2" t="s">
        <v>473</v>
      </c>
    </row>
    <row r="27683" spans="1:1" ht="12.75">
      <c r="A27683" s="2" t="s">
        <v>473</v>
      </c>
    </row>
    <row r="27684" spans="1:1" ht="12.75">
      <c r="A27684" s="2" t="s">
        <v>446</v>
      </c>
    </row>
    <row r="27685" spans="1:1" ht="12.75">
      <c r="A27685" s="2" t="s">
        <v>446</v>
      </c>
    </row>
    <row r="27686" spans="1:1" ht="12.75">
      <c r="A27686" s="2" t="s">
        <v>446</v>
      </c>
    </row>
    <row r="27687" spans="1:1" ht="12.75">
      <c r="A27687" s="2" t="s">
        <v>615</v>
      </c>
    </row>
    <row r="27688" spans="1:1" ht="12.75">
      <c r="A27688" s="2" t="s">
        <v>450</v>
      </c>
    </row>
    <row r="27689" spans="1:1" ht="12.75">
      <c r="A27689" s="2" t="s">
        <v>477</v>
      </c>
    </row>
    <row r="27690" spans="1:1" ht="12.75">
      <c r="A27690" s="2" t="s">
        <v>477</v>
      </c>
    </row>
    <row r="27691" spans="1:1" ht="12.75">
      <c r="A27691" s="2" t="s">
        <v>849</v>
      </c>
    </row>
    <row r="27692" spans="1:1" ht="12.75">
      <c r="A27692" s="2" t="s">
        <v>849</v>
      </c>
    </row>
    <row r="27693" spans="1:1" ht="12.75">
      <c r="A27693" s="2" t="s">
        <v>849</v>
      </c>
    </row>
    <row r="27694" spans="1:1" ht="12.75">
      <c r="A27694" s="2" t="s">
        <v>849</v>
      </c>
    </row>
    <row r="27695" spans="1:1" ht="12.75">
      <c r="A27695" s="2" t="s">
        <v>849</v>
      </c>
    </row>
    <row r="27696" spans="1:1" ht="12.75">
      <c r="A27696" s="2" t="s">
        <v>1058</v>
      </c>
    </row>
    <row r="27697" spans="1:1" ht="12.75">
      <c r="A27697" s="2" t="s">
        <v>849</v>
      </c>
    </row>
    <row r="27698" spans="1:1" ht="12.75">
      <c r="A27698" s="2" t="s">
        <v>849</v>
      </c>
    </row>
    <row r="27699" spans="1:1" ht="12.75">
      <c r="A27699" s="2" t="s">
        <v>483</v>
      </c>
    </row>
    <row r="27700" spans="1:1" ht="12.75">
      <c r="A27700" s="2" t="s">
        <v>483</v>
      </c>
    </row>
    <row r="27701" spans="1:1" ht="12.75">
      <c r="A27701" s="2" t="s">
        <v>483</v>
      </c>
    </row>
    <row r="27702" spans="1:1" ht="12.75">
      <c r="A27702" s="2" t="s">
        <v>483</v>
      </c>
    </row>
    <row r="27703" spans="1:1" ht="12.75">
      <c r="A27703" s="2" t="s">
        <v>484</v>
      </c>
    </row>
    <row r="27704" spans="1:1" ht="12.75">
      <c r="A27704" s="2" t="s">
        <v>483</v>
      </c>
    </row>
    <row r="27705" spans="1:1" ht="12.75">
      <c r="A27705" s="2" t="s">
        <v>849</v>
      </c>
    </row>
    <row r="27706" spans="1:1" ht="12.75">
      <c r="A27706" s="2" t="s">
        <v>849</v>
      </c>
    </row>
    <row r="27707" spans="1:1" ht="12.75">
      <c r="A27707" s="2" t="s">
        <v>849</v>
      </c>
    </row>
    <row r="27708" spans="1:1" ht="12.75">
      <c r="A27708" s="2" t="s">
        <v>849</v>
      </c>
    </row>
    <row r="27709" spans="1:1" ht="12.75">
      <c r="A27709" s="2" t="s">
        <v>849</v>
      </c>
    </row>
    <row r="27710" spans="1:1" ht="12.75">
      <c r="A27710" s="2" t="s">
        <v>849</v>
      </c>
    </row>
    <row r="27711" spans="1:1" ht="12.75">
      <c r="A27711" s="2" t="s">
        <v>849</v>
      </c>
    </row>
    <row r="27712" spans="1:1" ht="12.75">
      <c r="A27712" s="2" t="s">
        <v>849</v>
      </c>
    </row>
    <row r="27713" spans="1:1" ht="12.75">
      <c r="A27713" s="2" t="s">
        <v>849</v>
      </c>
    </row>
    <row r="27714" spans="1:1" ht="12.75">
      <c r="A27714" s="2" t="s">
        <v>1059</v>
      </c>
    </row>
    <row r="27715" spans="1:1" ht="12.75">
      <c r="A27715" s="2" t="s">
        <v>483</v>
      </c>
    </row>
    <row r="27716" spans="1:1" ht="12.75">
      <c r="A27716" s="2" t="s">
        <v>483</v>
      </c>
    </row>
    <row r="27717" spans="1:1" ht="12.75">
      <c r="A27717" s="2" t="s">
        <v>483</v>
      </c>
    </row>
    <row r="27718" spans="1:1" ht="12.75">
      <c r="A27718" s="2" t="s">
        <v>483</v>
      </c>
    </row>
    <row r="27719" spans="1:1" ht="12.75">
      <c r="A27719" s="2" t="s">
        <v>483</v>
      </c>
    </row>
    <row r="27720" spans="1:1" ht="12.75">
      <c r="A27720" s="2" t="s">
        <v>483</v>
      </c>
    </row>
    <row r="27721" spans="1:1" ht="12.75">
      <c r="A27721" s="2" t="s">
        <v>845</v>
      </c>
    </row>
    <row r="27723" spans="1:1" ht="12.75">
      <c r="A27723" s="2" t="s">
        <v>845</v>
      </c>
    </row>
    <row r="27724" spans="1:1" ht="12.75">
      <c r="A27724" s="2" t="s">
        <v>845</v>
      </c>
    </row>
    <row r="27725" spans="1:1" ht="12.75">
      <c r="A27725" s="2" t="s">
        <v>446</v>
      </c>
    </row>
    <row r="27726" spans="1:1" ht="12.75">
      <c r="A27726" s="2" t="s">
        <v>446</v>
      </c>
    </row>
    <row r="27727" spans="1:1" ht="12.75">
      <c r="A27727" s="2" t="s">
        <v>447</v>
      </c>
    </row>
    <row r="27728" spans="1:1" ht="12.75">
      <c r="A27728" s="2" t="s">
        <v>447</v>
      </c>
    </row>
    <row r="27729" spans="1:1" ht="12.75">
      <c r="A27729" s="2" t="s">
        <v>447</v>
      </c>
    </row>
    <row r="27730" spans="1:1" ht="12.75">
      <c r="A27730" s="2" t="s">
        <v>447</v>
      </c>
    </row>
    <row r="27731" spans="1:1" ht="12.75">
      <c r="A27731" s="2" t="s">
        <v>448</v>
      </c>
    </row>
    <row r="27732" spans="1:1" ht="12.75">
      <c r="A27732" s="2" t="s">
        <v>448</v>
      </c>
    </row>
    <row r="27733" spans="1:1" ht="12.75">
      <c r="A27733" s="2" t="s">
        <v>448</v>
      </c>
    </row>
    <row r="27734" spans="1:1" ht="12.75">
      <c r="A27734" s="2" t="s">
        <v>473</v>
      </c>
    </row>
    <row r="27735" spans="1:1" ht="12.75">
      <c r="A27735" s="2" t="s">
        <v>473</v>
      </c>
    </row>
    <row r="27736" spans="1:1" ht="12.75">
      <c r="A27736" s="2" t="s">
        <v>473</v>
      </c>
    </row>
    <row r="27737" spans="1:1" ht="12.75">
      <c r="A27737" s="2" t="s">
        <v>446</v>
      </c>
    </row>
    <row r="27738" spans="1:1" ht="12.75">
      <c r="A27738" s="2" t="s">
        <v>473</v>
      </c>
    </row>
    <row r="27739" spans="1:1" ht="12.75">
      <c r="A27739" s="2" t="s">
        <v>446</v>
      </c>
    </row>
    <row r="27740" spans="1:1" ht="12.75">
      <c r="A27740" s="2" t="s">
        <v>446</v>
      </c>
    </row>
    <row r="27741" spans="1:1" ht="12.75">
      <c r="A27741" s="2" t="s">
        <v>447</v>
      </c>
    </row>
    <row r="27742" spans="1:1" ht="12.75">
      <c r="A27742" s="2" t="s">
        <v>447</v>
      </c>
    </row>
    <row r="27743" spans="1:1" ht="12.75">
      <c r="A27743" s="2" t="s">
        <v>447</v>
      </c>
    </row>
    <row r="27744" spans="1:1" ht="12.75">
      <c r="A27744" s="2" t="s">
        <v>447</v>
      </c>
    </row>
    <row r="27745" spans="1:1" ht="12.75">
      <c r="A27745" s="2" t="s">
        <v>448</v>
      </c>
    </row>
    <row r="27746" spans="1:1" ht="12.75">
      <c r="A27746" s="2" t="s">
        <v>447</v>
      </c>
    </row>
    <row r="27747" spans="1:1" ht="12.75">
      <c r="A27747" s="2" t="s">
        <v>448</v>
      </c>
    </row>
    <row r="27748" spans="1:1" ht="12.75">
      <c r="A27748" s="2" t="s">
        <v>448</v>
      </c>
    </row>
    <row r="27749" spans="1:1" ht="12.75">
      <c r="A27749" s="2" t="s">
        <v>448</v>
      </c>
    </row>
    <row r="27750" spans="1:1" ht="12.75">
      <c r="A27750" s="2" t="s">
        <v>473</v>
      </c>
    </row>
    <row r="27751" spans="1:1" ht="12.75">
      <c r="A27751" s="2" t="s">
        <v>473</v>
      </c>
    </row>
    <row r="27752" spans="1:1" ht="12.75">
      <c r="A27752" s="2" t="s">
        <v>446</v>
      </c>
    </row>
    <row r="27753" spans="1:1" ht="12.75">
      <c r="A27753" s="2" t="s">
        <v>446</v>
      </c>
    </row>
    <row r="27754" spans="1:1" ht="12.75">
      <c r="A27754" s="2" t="s">
        <v>446</v>
      </c>
    </row>
    <row r="27755" spans="1:1" ht="12.75">
      <c r="A27755" s="2" t="s">
        <v>446</v>
      </c>
    </row>
    <row r="27756" spans="1:1" ht="12.75">
      <c r="A27756" s="2" t="s">
        <v>446</v>
      </c>
    </row>
    <row r="27757" spans="1:1" ht="12.75">
      <c r="A27757" s="2" t="s">
        <v>446</v>
      </c>
    </row>
    <row r="27758" spans="1:1" ht="12.75">
      <c r="A27758" s="2" t="s">
        <v>448</v>
      </c>
    </row>
    <row r="27759" spans="1:1" ht="12.75">
      <c r="A27759" s="2" t="s">
        <v>448</v>
      </c>
    </row>
    <row r="27760" spans="1:1" ht="12.75">
      <c r="A27760" s="2" t="s">
        <v>453</v>
      </c>
    </row>
    <row r="27761" spans="1:1" ht="12.75">
      <c r="A27761" s="2" t="s">
        <v>453</v>
      </c>
    </row>
    <row r="27762" spans="1:1" ht="12.75">
      <c r="A27762" s="2" t="s">
        <v>446</v>
      </c>
    </row>
    <row r="27763" spans="1:1" ht="12.75">
      <c r="A27763" s="2" t="s">
        <v>453</v>
      </c>
    </row>
    <row r="27764" spans="1:1" ht="12.75">
      <c r="A27764" s="2" t="s">
        <v>473</v>
      </c>
    </row>
    <row r="27765" spans="1:1" ht="12.75">
      <c r="A27765" s="2" t="s">
        <v>473</v>
      </c>
    </row>
    <row r="27766" spans="1:1" ht="12.75">
      <c r="A27766" s="2" t="s">
        <v>473</v>
      </c>
    </row>
    <row r="27767" spans="1:1" ht="12.75">
      <c r="A27767" s="2" t="s">
        <v>446</v>
      </c>
    </row>
    <row r="27768" spans="1:1" ht="12.75">
      <c r="A27768" s="2" t="s">
        <v>446</v>
      </c>
    </row>
    <row r="27769" spans="1:1" ht="12.75">
      <c r="A27769" s="2" t="s">
        <v>448</v>
      </c>
    </row>
    <row r="27770" spans="1:1" ht="12.75">
      <c r="A27770" s="2" t="s">
        <v>448</v>
      </c>
    </row>
    <row r="27771" spans="1:1" ht="12.75">
      <c r="A27771" s="2" t="s">
        <v>448</v>
      </c>
    </row>
    <row r="27772" spans="1:1" ht="12.75">
      <c r="A27772" s="2" t="s">
        <v>448</v>
      </c>
    </row>
    <row r="27773" spans="1:1" ht="12.75">
      <c r="A27773" s="2" t="s">
        <v>447</v>
      </c>
    </row>
    <row r="27774" spans="1:1" ht="12.75">
      <c r="A27774" s="2" t="s">
        <v>447</v>
      </c>
    </row>
    <row r="27775" spans="1:1" ht="12.75">
      <c r="A27775" s="2" t="s">
        <v>447</v>
      </c>
    </row>
    <row r="27776" spans="1:1" ht="12.75">
      <c r="A27776" s="2" t="s">
        <v>473</v>
      </c>
    </row>
    <row r="27777" spans="1:1" ht="12.75">
      <c r="A27777" s="2" t="s">
        <v>473</v>
      </c>
    </row>
    <row r="27778" spans="1:1" ht="12.75">
      <c r="A27778" s="2" t="s">
        <v>446</v>
      </c>
    </row>
    <row r="27779" spans="1:1" ht="12.75">
      <c r="A27779" s="2" t="s">
        <v>446</v>
      </c>
    </row>
    <row r="27780" spans="1:1" ht="12.75">
      <c r="A27780" s="2" t="s">
        <v>446</v>
      </c>
    </row>
    <row r="27781" spans="1:1" ht="12.75">
      <c r="A27781" s="2" t="s">
        <v>348</v>
      </c>
    </row>
    <row r="27782" spans="1:1" ht="12.75">
      <c r="A27782" s="2" t="s">
        <v>473</v>
      </c>
    </row>
    <row r="27783" spans="1:1" ht="12.75">
      <c r="A27783" s="2" t="s">
        <v>473</v>
      </c>
    </row>
    <row r="27784" spans="1:1" ht="12.75">
      <c r="A27784" s="2" t="s">
        <v>448</v>
      </c>
    </row>
    <row r="27785" spans="1:1" ht="12.75">
      <c r="A27785" s="2" t="s">
        <v>448</v>
      </c>
    </row>
    <row r="27786" spans="1:1" ht="12.75">
      <c r="A27786" s="2" t="s">
        <v>453</v>
      </c>
    </row>
    <row r="27787" spans="1:1" ht="12.75">
      <c r="A27787" s="2" t="s">
        <v>448</v>
      </c>
    </row>
    <row r="27788" spans="1:1" ht="12.75">
      <c r="A27788" s="2" t="s">
        <v>453</v>
      </c>
    </row>
    <row r="27789" spans="1:1" ht="12.75">
      <c r="A27789" s="2" t="s">
        <v>847</v>
      </c>
    </row>
    <row r="27790" spans="1:1" ht="12.75">
      <c r="A27790" s="2" t="s">
        <v>491</v>
      </c>
    </row>
    <row r="27791" spans="1:1" ht="12.75">
      <c r="A27791" s="2" t="s">
        <v>452</v>
      </c>
    </row>
    <row r="27792" spans="1:1" ht="12.75">
      <c r="A27792" s="2" t="s">
        <v>452</v>
      </c>
    </row>
    <row r="27793" spans="1:1" ht="12.75">
      <c r="A27793" s="2" t="s">
        <v>452</v>
      </c>
    </row>
    <row r="27794" spans="1:1" ht="12.75">
      <c r="A27794" s="2" t="s">
        <v>452</v>
      </c>
    </row>
    <row r="27795" spans="1:1" ht="12.75">
      <c r="A27795" s="2" t="s">
        <v>452</v>
      </c>
    </row>
    <row r="27796" spans="1:1" ht="12.75">
      <c r="A27796" s="2" t="s">
        <v>452</v>
      </c>
    </row>
    <row r="27797" spans="1:1" ht="12.75">
      <c r="A27797" s="2" t="s">
        <v>623</v>
      </c>
    </row>
    <row r="27798" spans="1:1" ht="12.75">
      <c r="A27798" s="2" t="s">
        <v>623</v>
      </c>
    </row>
    <row r="27799" spans="1:1" ht="12.75">
      <c r="A27799" s="2" t="s">
        <v>623</v>
      </c>
    </row>
    <row r="27800" spans="1:1" ht="12.75">
      <c r="A27800" s="2" t="s">
        <v>618</v>
      </c>
    </row>
    <row r="27801" spans="1:1" ht="12.75">
      <c r="A27801" s="2" t="s">
        <v>623</v>
      </c>
    </row>
    <row r="27802" spans="1:1" ht="12.75">
      <c r="A27802" s="2" t="s">
        <v>623</v>
      </c>
    </row>
    <row r="27803" spans="1:1" ht="12.75">
      <c r="A27803" s="2" t="s">
        <v>449</v>
      </c>
    </row>
    <row r="27804" spans="1:1" ht="12.75">
      <c r="A27804" s="2" t="s">
        <v>449</v>
      </c>
    </row>
    <row r="27805" spans="1:1" ht="12.75">
      <c r="A27805" s="2" t="s">
        <v>449</v>
      </c>
    </row>
    <row r="27806" spans="1:1" ht="12.75">
      <c r="A27806" s="2" t="s">
        <v>449</v>
      </c>
    </row>
    <row r="27807" spans="1:1" ht="12.75">
      <c r="A27807" s="2" t="s">
        <v>622</v>
      </c>
    </row>
    <row r="27808" spans="1:1" ht="12.75">
      <c r="A27808" s="2" t="s">
        <v>432</v>
      </c>
    </row>
    <row r="27809" spans="1:1" ht="12.75">
      <c r="A27809" s="2" t="s">
        <v>432</v>
      </c>
    </row>
    <row r="27810" spans="1:1" ht="12.75">
      <c r="A27810" s="2" t="s">
        <v>622</v>
      </c>
    </row>
    <row r="27811" spans="1:1" ht="12.75">
      <c r="A27811" s="2" t="s">
        <v>434</v>
      </c>
    </row>
    <row r="27812" spans="1:1" ht="12.75">
      <c r="A27812" s="2" t="s">
        <v>434</v>
      </c>
    </row>
    <row r="27813" spans="1:1" ht="12.75">
      <c r="A27813" s="2" t="s">
        <v>437</v>
      </c>
    </row>
    <row r="27814" spans="1:1" ht="12.75">
      <c r="A27814" s="2" t="s">
        <v>437</v>
      </c>
    </row>
    <row r="27815" spans="1:1" ht="12.75">
      <c r="A27815" s="2" t="s">
        <v>452</v>
      </c>
    </row>
    <row r="27816" spans="1:1" ht="12.75">
      <c r="A27816" s="2" t="s">
        <v>452</v>
      </c>
    </row>
    <row r="27817" spans="1:1" ht="12.75">
      <c r="A27817" s="2" t="s">
        <v>452</v>
      </c>
    </row>
    <row r="27818" spans="1:1" ht="12.75">
      <c r="A27818" s="2" t="s">
        <v>452</v>
      </c>
    </row>
    <row r="27819" spans="1:1" ht="12.75">
      <c r="A27819" s="2" t="s">
        <v>1060</v>
      </c>
    </row>
    <row r="27820" spans="1:1" ht="12.75">
      <c r="A27820" s="2" t="s">
        <v>449</v>
      </c>
    </row>
    <row r="27821" spans="1:1" ht="12.75">
      <c r="A27821" s="2" t="s">
        <v>477</v>
      </c>
    </row>
    <row r="27822" spans="1:1" ht="12.75">
      <c r="A27822" s="2" t="s">
        <v>477</v>
      </c>
    </row>
    <row r="27823" spans="1:1" ht="12.75">
      <c r="A27823" s="2" t="s">
        <v>477</v>
      </c>
    </row>
    <row r="27824" spans="1:1" ht="12.75">
      <c r="A27824" s="2" t="s">
        <v>477</v>
      </c>
    </row>
    <row r="27825" spans="1:1" ht="12.75">
      <c r="A27825" s="2" t="s">
        <v>1061</v>
      </c>
    </row>
    <row r="27826" spans="1:1" ht="12.75">
      <c r="A27826" s="2" t="s">
        <v>477</v>
      </c>
    </row>
    <row r="27827" spans="1:1" ht="12.75">
      <c r="A27827" s="2" t="s">
        <v>477</v>
      </c>
    </row>
    <row r="27828" spans="1:1" ht="12.75">
      <c r="A27828" s="2" t="s">
        <v>477</v>
      </c>
    </row>
    <row r="27829" spans="1:1" ht="12.75">
      <c r="A27829" s="2" t="s">
        <v>618</v>
      </c>
    </row>
    <row r="27830" spans="1:1" ht="12.75">
      <c r="A27830" s="2" t="s">
        <v>623</v>
      </c>
    </row>
    <row r="27831" spans="1:1" ht="12.75">
      <c r="A27831" s="2" t="s">
        <v>449</v>
      </c>
    </row>
    <row r="27832" spans="1:1" ht="12.75">
      <c r="A27832" s="2" t="s">
        <v>449</v>
      </c>
    </row>
    <row r="27833" spans="1:1" ht="12.75">
      <c r="A27833" s="2" t="s">
        <v>449</v>
      </c>
    </row>
    <row r="27834" spans="1:1" ht="12.75">
      <c r="A27834" s="2" t="s">
        <v>449</v>
      </c>
    </row>
    <row r="27835" spans="1:1" ht="12.75">
      <c r="A27835" s="2" t="s">
        <v>1062</v>
      </c>
    </row>
    <row r="27836" spans="1:1" ht="12.75">
      <c r="A27836" s="2" t="s">
        <v>620</v>
      </c>
    </row>
    <row r="27837" spans="1:1" ht="12.75">
      <c r="A27837" s="2" t="s">
        <v>452</v>
      </c>
    </row>
    <row r="27838" spans="1:1" ht="12.75">
      <c r="A27838" s="2" t="s">
        <v>452</v>
      </c>
    </row>
    <row r="27839" spans="1:1" ht="12.75">
      <c r="A27839" s="2" t="s">
        <v>452</v>
      </c>
    </row>
    <row r="27840" spans="1:1" ht="12.75">
      <c r="A27840" s="2" t="s">
        <v>1063</v>
      </c>
    </row>
    <row r="27841" spans="1:1" ht="12.75">
      <c r="A27841" s="2" t="s">
        <v>622</v>
      </c>
    </row>
    <row r="27842" spans="1:1" ht="12.75">
      <c r="A27842" s="2" t="s">
        <v>432</v>
      </c>
    </row>
    <row r="27843" spans="1:1" ht="12.75">
      <c r="A27843" s="2" t="s">
        <v>432</v>
      </c>
    </row>
    <row r="27844" spans="1:1" ht="12.75">
      <c r="A27844" s="2" t="s">
        <v>432</v>
      </c>
    </row>
    <row r="27845" spans="1:1" ht="12.75">
      <c r="A27845" s="2" t="s">
        <v>620</v>
      </c>
    </row>
    <row r="27846" spans="1:1" ht="12.75">
      <c r="A27846" s="2" t="s">
        <v>620</v>
      </c>
    </row>
    <row r="27847" spans="1:1" ht="12.75">
      <c r="A27847" s="2" t="s">
        <v>404</v>
      </c>
    </row>
    <row r="27848" spans="1:1" ht="12.75">
      <c r="A27848" s="2" t="s">
        <v>404</v>
      </c>
    </row>
    <row r="27849" spans="1:1" ht="12.75">
      <c r="A27849" s="2" t="s">
        <v>404</v>
      </c>
    </row>
    <row r="27850" spans="1:1" ht="12.75">
      <c r="A27850" s="2" t="s">
        <v>404</v>
      </c>
    </row>
    <row r="27851" spans="1:1" ht="12.75">
      <c r="A27851" s="2" t="s">
        <v>479</v>
      </c>
    </row>
    <row r="27852" spans="1:1" ht="12.75">
      <c r="A27852" s="2" t="s">
        <v>479</v>
      </c>
    </row>
    <row r="27853" spans="1:1" ht="12.75">
      <c r="A27853" s="2" t="s">
        <v>404</v>
      </c>
    </row>
    <row r="27854" spans="1:1" ht="12.75">
      <c r="A27854" s="2" t="s">
        <v>433</v>
      </c>
    </row>
    <row r="27855" spans="1:1" ht="12.75">
      <c r="A27855" s="2" t="s">
        <v>404</v>
      </c>
    </row>
    <row r="27856" spans="1:1" ht="12.75">
      <c r="A27856" s="2" t="s">
        <v>404</v>
      </c>
    </row>
    <row r="27857" spans="1:1" ht="12.75">
      <c r="A27857" s="2" t="s">
        <v>432</v>
      </c>
    </row>
    <row r="27858" spans="1:1" ht="12.75">
      <c r="A27858" s="2" t="s">
        <v>622</v>
      </c>
    </row>
    <row r="27859" spans="1:1" ht="12.75">
      <c r="A27859" s="2" t="s">
        <v>449</v>
      </c>
    </row>
    <row r="27860" spans="1:1" ht="12.75">
      <c r="A27860" s="2" t="s">
        <v>449</v>
      </c>
    </row>
    <row r="27861" spans="1:1" ht="12.75">
      <c r="A27861" s="2" t="s">
        <v>449</v>
      </c>
    </row>
    <row r="27862" spans="1:1" ht="12.75">
      <c r="A27862" s="2" t="s">
        <v>449</v>
      </c>
    </row>
    <row r="27863" spans="1:1" ht="12.75">
      <c r="A27863" s="2" t="s">
        <v>452</v>
      </c>
    </row>
    <row r="27864" spans="1:1" ht="12.75">
      <c r="A27864" s="2" t="s">
        <v>449</v>
      </c>
    </row>
    <row r="27865" spans="1:1" ht="12.75">
      <c r="A27865" s="2" t="s">
        <v>449</v>
      </c>
    </row>
    <row r="27866" spans="1:1" ht="12.75">
      <c r="A27866" s="2" t="s">
        <v>449</v>
      </c>
    </row>
    <row r="27867" spans="1:1" ht="12.75">
      <c r="A27867" s="2" t="s">
        <v>452</v>
      </c>
    </row>
    <row r="27868" spans="1:1" ht="12.75">
      <c r="A27868" s="2" t="s">
        <v>452</v>
      </c>
    </row>
    <row r="27869" spans="1:1" ht="12.75">
      <c r="A27869" s="2" t="s">
        <v>479</v>
      </c>
    </row>
    <row r="27870" spans="1:1" ht="12.75">
      <c r="A27870" s="2" t="s">
        <v>479</v>
      </c>
    </row>
    <row r="27872" spans="1:1" ht="12.75">
      <c r="A27872" s="2" t="s">
        <v>465</v>
      </c>
    </row>
    <row r="27873" spans="1:1" ht="12.75">
      <c r="A27873" s="2" t="s">
        <v>433</v>
      </c>
    </row>
    <row r="27874" spans="1:1" ht="12.75">
      <c r="A27874" s="2" t="s">
        <v>433</v>
      </c>
    </row>
    <row r="27875" spans="1:1" ht="12.75">
      <c r="A27875" s="2" t="s">
        <v>449</v>
      </c>
    </row>
    <row r="27876" spans="1:1" ht="12.75">
      <c r="A27876" s="2" t="s">
        <v>449</v>
      </c>
    </row>
    <row r="27877" spans="1:1" ht="12.75">
      <c r="A27877" s="2" t="s">
        <v>1064</v>
      </c>
    </row>
    <row r="27878" spans="1:1" ht="12.75">
      <c r="A27878" s="2" t="s">
        <v>918</v>
      </c>
    </row>
    <row r="27879" spans="1:1" ht="12.75">
      <c r="A27879" s="2" t="s">
        <v>435</v>
      </c>
    </row>
    <row r="27880" spans="1:1" ht="12.75">
      <c r="A27880" s="2" t="s">
        <v>435</v>
      </c>
    </row>
    <row r="27881" spans="1:1" ht="12.75">
      <c r="A27881" s="2" t="s">
        <v>434</v>
      </c>
    </row>
    <row r="27882" spans="1:1" ht="12.75">
      <c r="A27882" s="2" t="s">
        <v>1065</v>
      </c>
    </row>
    <row r="27883" spans="1:1" ht="12.75">
      <c r="A27883" s="2" t="s">
        <v>435</v>
      </c>
    </row>
    <row r="27884" spans="1:1" ht="12.75">
      <c r="A27884" s="2" t="s">
        <v>435</v>
      </c>
    </row>
    <row r="27885" spans="1:1" ht="12.75">
      <c r="A27885" s="2" t="s">
        <v>434</v>
      </c>
    </row>
    <row r="27887" spans="1:1" ht="12.75">
      <c r="A27887" s="2" t="s">
        <v>477</v>
      </c>
    </row>
    <row r="27888" spans="1:1" ht="12.75">
      <c r="A27888" s="2" t="s">
        <v>477</v>
      </c>
    </row>
    <row r="27890" spans="1:1" ht="12.75">
      <c r="A27890" s="2" t="s">
        <v>1066</v>
      </c>
    </row>
    <row r="27891" spans="1:1" ht="12.75">
      <c r="A27891" s="2" t="s">
        <v>1066</v>
      </c>
    </row>
    <row r="27892" spans="1:1" ht="12.75">
      <c r="A27892" s="2" t="s">
        <v>1067</v>
      </c>
    </row>
    <row r="27893" spans="1:1" ht="12.75">
      <c r="A27893" s="2" t="s">
        <v>1066</v>
      </c>
    </row>
    <row r="27894" spans="1:1" ht="12.75">
      <c r="A27894" s="2" t="s">
        <v>1068</v>
      </c>
    </row>
    <row r="27895" spans="1:1" ht="12.75">
      <c r="A27895" s="2" t="s">
        <v>927</v>
      </c>
    </row>
    <row r="27896" spans="1:1" ht="12.75">
      <c r="A27896" s="2" t="s">
        <v>927</v>
      </c>
    </row>
    <row r="27897" spans="1:1" ht="12.75">
      <c r="A27897" s="2" t="s">
        <v>927</v>
      </c>
    </row>
    <row r="27898" spans="1:1" ht="12.75">
      <c r="A27898" s="2" t="s">
        <v>1069</v>
      </c>
    </row>
    <row r="27899" spans="1:1" ht="12.75">
      <c r="A27899" s="2" t="s">
        <v>927</v>
      </c>
    </row>
    <row r="27900" spans="1:1" ht="12.75">
      <c r="A27900" s="2" t="s">
        <v>927</v>
      </c>
    </row>
    <row r="27901" spans="1:1" ht="12.75">
      <c r="A27901" s="2" t="s">
        <v>1070</v>
      </c>
    </row>
    <row r="27902" spans="1:1" ht="12.75">
      <c r="A27902" s="2" t="s">
        <v>1070</v>
      </c>
    </row>
    <row r="27903" spans="1:1" ht="12.75">
      <c r="A27903" s="2" t="s">
        <v>673</v>
      </c>
    </row>
    <row r="27904" spans="1:1" ht="12.75">
      <c r="A27904" s="2" t="s">
        <v>729</v>
      </c>
    </row>
    <row r="27905" spans="1:1" ht="12.75">
      <c r="A27905" s="2" t="s">
        <v>729</v>
      </c>
    </row>
    <row r="27906" spans="1:1" ht="12.75">
      <c r="A27906" s="2" t="s">
        <v>684</v>
      </c>
    </row>
    <row r="27926" spans="1:1" ht="12.75">
      <c r="A27926" s="2" t="s">
        <v>1071</v>
      </c>
    </row>
    <row r="27927" spans="1:1" ht="12.75">
      <c r="A27927" s="2" t="s">
        <v>1072</v>
      </c>
    </row>
    <row r="27928" spans="1:1" ht="12.75">
      <c r="A27928" s="2" t="s">
        <v>422</v>
      </c>
    </row>
    <row r="27930" spans="1:1" ht="12.75">
      <c r="A27930" s="2" t="s">
        <v>422</v>
      </c>
    </row>
    <row r="27931" spans="1:1" ht="12.75">
      <c r="A27931" s="2" t="s">
        <v>1073</v>
      </c>
    </row>
    <row r="27933" spans="1:1" ht="12.75">
      <c r="A27933" s="2" t="s">
        <v>1073</v>
      </c>
    </row>
    <row r="27934" spans="1:1" ht="12.75">
      <c r="A27934" s="2" t="s">
        <v>1073</v>
      </c>
    </row>
    <row r="27935" spans="1:1" ht="12.75">
      <c r="A27935" s="2" t="s">
        <v>232</v>
      </c>
    </row>
    <row r="27936" spans="1:1" ht="12.75">
      <c r="A27936" s="2" t="s">
        <v>1074</v>
      </c>
    </row>
    <row r="27941" spans="1:1" ht="12.75">
      <c r="A27941" s="2" t="s">
        <v>232</v>
      </c>
    </row>
    <row r="27942" spans="1:1" ht="12.75">
      <c r="A27942" s="2" t="s">
        <v>232</v>
      </c>
    </row>
    <row r="27943" spans="1:1" ht="12.75">
      <c r="A27943" s="2" t="s">
        <v>232</v>
      </c>
    </row>
    <row r="27944" spans="1:1" ht="12.75">
      <c r="A27944" s="2" t="s">
        <v>232</v>
      </c>
    </row>
    <row r="27987" spans="1:1" ht="12.75">
      <c r="A27987" s="2" t="s">
        <v>932</v>
      </c>
    </row>
    <row r="27988" spans="1:1" ht="12.75">
      <c r="A27988" s="2" t="s">
        <v>458</v>
      </c>
    </row>
    <row r="27989" spans="1:1" ht="12.75">
      <c r="A27989" s="2" t="s">
        <v>1075</v>
      </c>
    </row>
    <row r="27990" spans="1:1" ht="12.75">
      <c r="A27990" s="2" t="s">
        <v>459</v>
      </c>
    </row>
    <row r="27991" spans="1:1" ht="12.75">
      <c r="A27991" s="2" t="s">
        <v>1075</v>
      </c>
    </row>
    <row r="27992" spans="1:1" ht="12.75">
      <c r="A27992" s="2" t="s">
        <v>458</v>
      </c>
    </row>
    <row r="27993" spans="1:1" ht="12.75">
      <c r="A27993" s="2" t="s">
        <v>459</v>
      </c>
    </row>
    <row r="27994" spans="1:1" ht="12.75">
      <c r="A27994" s="2" t="s">
        <v>458</v>
      </c>
    </row>
    <row r="27995" spans="1:1" ht="12.75">
      <c r="A27995" s="2" t="s">
        <v>459</v>
      </c>
    </row>
    <row r="27996" spans="1:1" ht="12.75">
      <c r="A27996" s="2" t="s">
        <v>459</v>
      </c>
    </row>
    <row r="27997" spans="1:1" ht="12.75">
      <c r="A27997" s="2" t="s">
        <v>458</v>
      </c>
    </row>
    <row r="27998" spans="1:1" ht="12.75">
      <c r="A27998" s="2" t="s">
        <v>458</v>
      </c>
    </row>
    <row r="27999" spans="1:1" ht="12.75">
      <c r="A27999" s="2" t="s">
        <v>1076</v>
      </c>
    </row>
    <row r="28000" spans="1:1" ht="12.75">
      <c r="A28000" s="2" t="s">
        <v>1076</v>
      </c>
    </row>
    <row r="28005" spans="1:1" ht="12.75">
      <c r="A28005" s="2" t="s">
        <v>217</v>
      </c>
    </row>
    <row r="28006" spans="1:1" ht="12.75">
      <c r="A28006" s="2" t="s">
        <v>217</v>
      </c>
    </row>
    <row r="28007" spans="1:1" ht="12.75">
      <c r="A28007" s="2" t="s">
        <v>217</v>
      </c>
    </row>
    <row r="28008" spans="1:1" ht="12.75">
      <c r="A28008" s="2" t="s">
        <v>217</v>
      </c>
    </row>
    <row r="28009" spans="1:1" ht="12.75">
      <c r="A28009" s="2" t="s">
        <v>524</v>
      </c>
    </row>
    <row r="28010" spans="1:1" ht="12.75">
      <c r="A28010" s="2" t="s">
        <v>524</v>
      </c>
    </row>
    <row r="28011" spans="1:1" ht="12.75">
      <c r="A28011" s="2" t="s">
        <v>524</v>
      </c>
    </row>
    <row r="28012" spans="1:1" ht="12.75">
      <c r="A28012" s="2" t="s">
        <v>1077</v>
      </c>
    </row>
    <row r="28013" spans="1:1" ht="12.75">
      <c r="A28013" s="2" t="s">
        <v>524</v>
      </c>
    </row>
    <row r="28014" spans="1:1" ht="12.75">
      <c r="A28014" s="2" t="s">
        <v>524</v>
      </c>
    </row>
    <row r="28015" spans="1:1" ht="12.75">
      <c r="A28015" s="2" t="s">
        <v>173</v>
      </c>
    </row>
    <row r="28016" spans="1:1" ht="12.75">
      <c r="A28016" s="2" t="s">
        <v>185</v>
      </c>
    </row>
    <row r="28017" spans="1:1" ht="12.75">
      <c r="A28017" s="2" t="s">
        <v>173</v>
      </c>
    </row>
    <row r="28018" spans="1:1" ht="12.75">
      <c r="A28018" s="2" t="s">
        <v>185</v>
      </c>
    </row>
    <row r="28019" spans="1:1" ht="12.75">
      <c r="A28019" s="2" t="s">
        <v>169</v>
      </c>
    </row>
    <row r="28020" spans="1:1" ht="12.75">
      <c r="A28020" s="2" t="s">
        <v>163</v>
      </c>
    </row>
    <row r="28021" spans="1:1" ht="12.75">
      <c r="A28021" s="2" t="s">
        <v>175</v>
      </c>
    </row>
    <row r="28022" spans="1:1" ht="12.75">
      <c r="A28022" s="2" t="s">
        <v>163</v>
      </c>
    </row>
    <row r="28023" spans="1:1" ht="12.75">
      <c r="A28023" s="2" t="s">
        <v>162</v>
      </c>
    </row>
    <row r="28024" spans="1:1" ht="12.75">
      <c r="A28024" s="2" t="s">
        <v>179</v>
      </c>
    </row>
    <row r="28025" spans="1:1" ht="12.75">
      <c r="A28025" s="2" t="s">
        <v>162</v>
      </c>
    </row>
    <row r="28026" spans="1:1" ht="12.75">
      <c r="A28026" s="2" t="s">
        <v>173</v>
      </c>
    </row>
    <row r="28027" spans="1:1" ht="12.75">
      <c r="A28027" s="2" t="s">
        <v>163</v>
      </c>
    </row>
    <row r="28028" spans="1:1" ht="12.75">
      <c r="A28028" s="2" t="s">
        <v>162</v>
      </c>
    </row>
    <row r="28029" spans="1:1" ht="12.75">
      <c r="A28029" s="2" t="s">
        <v>181</v>
      </c>
    </row>
    <row r="28030" spans="1:1" ht="12.75">
      <c r="A28030" s="2" t="s">
        <v>191</v>
      </c>
    </row>
    <row r="28031" spans="1:1" ht="12.75">
      <c r="A28031" s="2" t="s">
        <v>181</v>
      </c>
    </row>
    <row r="28032" spans="1:1" ht="12.75">
      <c r="A28032" s="2" t="s">
        <v>169</v>
      </c>
    </row>
    <row r="28033" spans="1:1" ht="12.75">
      <c r="A28033" s="2" t="s">
        <v>179</v>
      </c>
    </row>
    <row r="28034" spans="1:1" ht="12.75">
      <c r="A28034" s="2" t="s">
        <v>181</v>
      </c>
    </row>
    <row r="28035" spans="1:1" ht="12.75">
      <c r="A28035" s="2" t="s">
        <v>183</v>
      </c>
    </row>
    <row r="28036" spans="1:1" ht="12.75">
      <c r="A28036" s="2" t="s">
        <v>183</v>
      </c>
    </row>
    <row r="28038" spans="1:1" ht="12.75">
      <c r="A28038" s="2" t="s">
        <v>183</v>
      </c>
    </row>
    <row r="28039" spans="1:1" ht="12.75">
      <c r="A28039" s="2" t="s">
        <v>172</v>
      </c>
    </row>
    <row r="28041" spans="1:1" ht="12.75">
      <c r="A28041" s="2" t="s">
        <v>172</v>
      </c>
    </row>
    <row r="28042" spans="1:1" ht="12.75">
      <c r="A28042" s="2" t="s">
        <v>174</v>
      </c>
    </row>
    <row r="28043" spans="1:1" ht="12.75">
      <c r="A28043" s="2" t="s">
        <v>177</v>
      </c>
    </row>
    <row r="28044" spans="1:1" ht="12.75">
      <c r="A28044" s="2" t="s">
        <v>165</v>
      </c>
    </row>
    <row r="28045" spans="1:1" ht="12.75">
      <c r="A28045" s="2" t="s">
        <v>177</v>
      </c>
    </row>
    <row r="28046" spans="1:1" ht="12.75">
      <c r="A28046" s="2" t="s">
        <v>733</v>
      </c>
    </row>
    <row r="28047" spans="1:1" ht="12.75">
      <c r="A28047" s="2" t="s">
        <v>169</v>
      </c>
    </row>
    <row r="28048" spans="1:1" ht="12.75">
      <c r="A28048" s="2" t="s">
        <v>167</v>
      </c>
    </row>
    <row r="28049" spans="1:1" ht="12.75">
      <c r="A28049" s="2" t="s">
        <v>167</v>
      </c>
    </row>
    <row r="28050" spans="1:1" ht="12.75">
      <c r="A28050" s="2" t="s">
        <v>169</v>
      </c>
    </row>
    <row r="28051" spans="1:1" ht="12.75">
      <c r="A28051" s="2" t="s">
        <v>165</v>
      </c>
    </row>
    <row r="28052" spans="1:1" ht="12.75">
      <c r="A28052" s="2" t="s">
        <v>169</v>
      </c>
    </row>
    <row r="28053" spans="1:1" ht="12.75">
      <c r="A28053" s="2" t="s">
        <v>196</v>
      </c>
    </row>
    <row r="28054" spans="1:1" ht="12.75">
      <c r="A28054" s="2" t="s">
        <v>169</v>
      </c>
    </row>
    <row r="28055" spans="1:1" ht="12.75">
      <c r="A28055" s="2" t="s">
        <v>184</v>
      </c>
    </row>
    <row r="28056" spans="1:1" ht="12.75">
      <c r="A28056" s="2" t="s">
        <v>176</v>
      </c>
    </row>
    <row r="28057" spans="1:1" ht="12.75">
      <c r="A28057" s="2" t="s">
        <v>184</v>
      </c>
    </row>
    <row r="28058" spans="1:1" ht="12.75">
      <c r="A28058" s="2" t="s">
        <v>184</v>
      </c>
    </row>
    <row r="28059" spans="1:1" ht="12.75">
      <c r="A28059" s="2" t="s">
        <v>224</v>
      </c>
    </row>
    <row r="28060" spans="1:1" ht="12.75">
      <c r="A28060" s="2" t="s">
        <v>171</v>
      </c>
    </row>
    <row r="28061" spans="1:1" ht="12.75">
      <c r="A28061" s="2" t="s">
        <v>164</v>
      </c>
    </row>
    <row r="28062" spans="1:1" ht="12.75">
      <c r="A28062" s="2" t="s">
        <v>189</v>
      </c>
    </row>
    <row r="28063" spans="1:1" ht="12.75">
      <c r="A28063" s="2" t="s">
        <v>172</v>
      </c>
    </row>
    <row r="28064" spans="1:1" ht="12.75">
      <c r="A28064" s="2" t="s">
        <v>224</v>
      </c>
    </row>
    <row r="28065" spans="1:1" ht="12.75">
      <c r="A28065" s="2" t="s">
        <v>178</v>
      </c>
    </row>
    <row r="28066" spans="1:1" ht="12.75">
      <c r="A28066" s="2" t="s">
        <v>225</v>
      </c>
    </row>
    <row r="28067" spans="1:1" ht="12.75">
      <c r="A28067" s="2" t="s">
        <v>178</v>
      </c>
    </row>
    <row r="28068" spans="1:1" ht="12.75">
      <c r="A28068" s="2" t="s">
        <v>225</v>
      </c>
    </row>
    <row r="28069" spans="1:1" ht="12.75">
      <c r="A28069" s="2" t="s">
        <v>185</v>
      </c>
    </row>
    <row r="28070" spans="1:1" ht="12.75">
      <c r="A28070" s="2" t="s">
        <v>175</v>
      </c>
    </row>
    <row r="28071" spans="1:1" ht="12.75">
      <c r="A28071" s="2" t="s">
        <v>173</v>
      </c>
    </row>
    <row r="28072" spans="1:1" ht="12.75">
      <c r="A28072" s="2" t="s">
        <v>175</v>
      </c>
    </row>
    <row r="28073" spans="1:1" ht="12.75">
      <c r="A28073" s="2" t="s">
        <v>173</v>
      </c>
    </row>
    <row r="28074" spans="1:1" ht="12.75">
      <c r="A28074" s="2" t="s">
        <v>170</v>
      </c>
    </row>
    <row r="28076" spans="1:1" ht="12.75">
      <c r="A28076" s="2" t="s">
        <v>185</v>
      </c>
    </row>
    <row r="28077" spans="1:1" ht="12.75">
      <c r="A28077" s="2" t="s">
        <v>163</v>
      </c>
    </row>
    <row r="28078" spans="1:1" ht="12.75">
      <c r="A28078" s="2" t="s">
        <v>162</v>
      </c>
    </row>
    <row r="28079" spans="1:1" ht="12.75">
      <c r="A28079" s="2" t="s">
        <v>163</v>
      </c>
    </row>
    <row r="28080" spans="1:1" ht="12.75">
      <c r="A28080" s="2" t="s">
        <v>162</v>
      </c>
    </row>
    <row r="28081" spans="1:1" ht="12.75">
      <c r="A28081" s="2" t="s">
        <v>163</v>
      </c>
    </row>
    <row r="28082" spans="1:1" ht="12.75">
      <c r="A28082" s="2" t="s">
        <v>162</v>
      </c>
    </row>
    <row r="28083" spans="1:1" ht="12.75">
      <c r="A28083" s="2" t="s">
        <v>179</v>
      </c>
    </row>
    <row r="28084" spans="1:1" ht="12.75">
      <c r="A28084" s="2" t="s">
        <v>181</v>
      </c>
    </row>
    <row r="28085" spans="1:1" ht="12.75">
      <c r="A28085" s="2" t="s">
        <v>179</v>
      </c>
    </row>
    <row r="28086" spans="1:1" ht="12.75">
      <c r="A28086" s="2" t="s">
        <v>181</v>
      </c>
    </row>
    <row r="28087" spans="1:1" ht="12.75">
      <c r="A28087" s="2" t="s">
        <v>170</v>
      </c>
    </row>
    <row r="28088" spans="1:1" ht="12.75">
      <c r="A28088" s="2" t="s">
        <v>181</v>
      </c>
    </row>
    <row r="28089" spans="1:1" ht="12.75">
      <c r="A28089" s="2" t="s">
        <v>182</v>
      </c>
    </row>
    <row r="28090" spans="1:1" ht="12.75">
      <c r="A28090" s="2" t="s">
        <v>196</v>
      </c>
    </row>
    <row r="28091" spans="1:1" ht="12.75">
      <c r="A28091" s="2" t="s">
        <v>182</v>
      </c>
    </row>
    <row r="28092" spans="1:1" ht="12.75">
      <c r="A28092" s="2" t="s">
        <v>169</v>
      </c>
    </row>
    <row r="28093" spans="1:1" ht="12.75">
      <c r="A28093" s="2" t="s">
        <v>172</v>
      </c>
    </row>
    <row r="28094" spans="1:1" ht="12.75">
      <c r="A28094" s="2" t="s">
        <v>177</v>
      </c>
    </row>
    <row r="28095" spans="1:1" ht="12.75">
      <c r="A28095" s="2" t="s">
        <v>183</v>
      </c>
    </row>
    <row r="28096" spans="1:1" ht="12.75">
      <c r="A28096" s="2" t="s">
        <v>177</v>
      </c>
    </row>
    <row r="28097" spans="1:1" ht="12.75">
      <c r="A28097" s="2" t="s">
        <v>183</v>
      </c>
    </row>
    <row r="28098" spans="1:1" ht="12.75">
      <c r="A28098" s="2" t="s">
        <v>172</v>
      </c>
    </row>
    <row r="28099" spans="1:1" ht="12.75">
      <c r="A28099" s="2" t="s">
        <v>167</v>
      </c>
    </row>
    <row r="28100" spans="1:1" ht="12.75">
      <c r="A28100" s="2" t="s">
        <v>165</v>
      </c>
    </row>
    <row r="28101" spans="1:1" ht="12.75">
      <c r="A28101" s="2" t="s">
        <v>733</v>
      </c>
    </row>
    <row r="28102" spans="1:1" ht="12.75">
      <c r="A28102" s="2" t="s">
        <v>165</v>
      </c>
    </row>
    <row r="28103" spans="1:1" ht="12.75">
      <c r="A28103" s="2" t="s">
        <v>177</v>
      </c>
    </row>
    <row r="28104" spans="1:1" ht="12.75">
      <c r="A28104" s="2" t="s">
        <v>733</v>
      </c>
    </row>
    <row r="28105" spans="1:1" ht="12.75">
      <c r="A28105" s="2" t="s">
        <v>166</v>
      </c>
    </row>
    <row r="28106" spans="1:1" ht="12.75">
      <c r="A28106" s="2" t="s">
        <v>184</v>
      </c>
    </row>
    <row r="28108" spans="1:1" ht="12.75">
      <c r="A28108" s="2" t="s">
        <v>184</v>
      </c>
    </row>
    <row r="28109" spans="1:1" ht="12.75">
      <c r="A28109" s="2" t="s">
        <v>165</v>
      </c>
    </row>
    <row r="28110" spans="1:1" ht="12.75">
      <c r="A28110" s="2" t="s">
        <v>166</v>
      </c>
    </row>
    <row r="28111" spans="1:1" ht="12.75">
      <c r="A28111" s="2" t="s">
        <v>169</v>
      </c>
    </row>
    <row r="28112" spans="1:1" ht="12.75">
      <c r="A28112" s="2" t="s">
        <v>169</v>
      </c>
    </row>
    <row r="28113" spans="1:1" ht="12.75">
      <c r="A28113" s="2" t="s">
        <v>184</v>
      </c>
    </row>
    <row r="28114" spans="1:1" ht="12.75">
      <c r="A28114" s="2" t="s">
        <v>169</v>
      </c>
    </row>
    <row r="28115" spans="1:1" ht="12.75">
      <c r="A28115" s="2" t="s">
        <v>184</v>
      </c>
    </row>
    <row r="28116" spans="1:1" ht="12.75">
      <c r="A28116" s="2" t="s">
        <v>184</v>
      </c>
    </row>
    <row r="28117" spans="1:1" ht="12.75">
      <c r="A28117" s="2" t="s">
        <v>160</v>
      </c>
    </row>
    <row r="28118" spans="1:1" ht="12.75">
      <c r="A28118" s="2" t="s">
        <v>176</v>
      </c>
    </row>
    <row r="28119" spans="1:1" ht="12.75">
      <c r="A28119" s="2" t="s">
        <v>176</v>
      </c>
    </row>
    <row r="28120" spans="1:1" ht="12.75">
      <c r="A28120" s="2" t="s">
        <v>177</v>
      </c>
    </row>
    <row r="28121" spans="1:1" ht="12.75">
      <c r="A28121" s="2" t="s">
        <v>176</v>
      </c>
    </row>
    <row r="28122" spans="1:1" ht="12.75">
      <c r="A28122" s="2" t="s">
        <v>177</v>
      </c>
    </row>
    <row r="28123" spans="1:1" ht="12.75">
      <c r="A28123" s="2" t="s">
        <v>160</v>
      </c>
    </row>
    <row r="28124" spans="1:1" ht="12.75">
      <c r="A28124" s="2" t="s">
        <v>165</v>
      </c>
    </row>
    <row r="28125" spans="1:1" ht="12.75">
      <c r="A28125" s="2" t="s">
        <v>160</v>
      </c>
    </row>
    <row r="28126" spans="1:1" ht="12.75">
      <c r="A28126" s="2" t="s">
        <v>162</v>
      </c>
    </row>
    <row r="28127" spans="1:1" ht="12.75">
      <c r="A28127" s="2" t="s">
        <v>160</v>
      </c>
    </row>
    <row r="28128" spans="1:1" ht="12.75">
      <c r="A28128" s="2" t="s">
        <v>182</v>
      </c>
    </row>
    <row r="28129" spans="1:1" ht="12.75">
      <c r="A28129" s="2" t="s">
        <v>175</v>
      </c>
    </row>
    <row r="28130" spans="1:1" ht="12.75">
      <c r="A28130" s="2" t="s">
        <v>162</v>
      </c>
    </row>
    <row r="28131" spans="1:1" ht="12.75">
      <c r="A28131" s="2" t="s">
        <v>183</v>
      </c>
    </row>
    <row r="28132" spans="1:1" ht="12.75">
      <c r="A28132" s="2" t="s">
        <v>189</v>
      </c>
    </row>
    <row r="28133" spans="1:1" ht="12.75">
      <c r="A28133" s="2" t="s">
        <v>183</v>
      </c>
    </row>
    <row r="28134" spans="1:1" ht="12.75">
      <c r="A28134" s="2" t="s">
        <v>169</v>
      </c>
    </row>
    <row r="28135" spans="1:1" ht="12.75">
      <c r="A28135" s="2" t="s">
        <v>183</v>
      </c>
    </row>
    <row r="28136" spans="1:1" ht="12.75">
      <c r="A28136" s="2" t="s">
        <v>178</v>
      </c>
    </row>
    <row r="28138" spans="1:1" ht="12.75">
      <c r="A28138" s="2" t="s">
        <v>225</v>
      </c>
    </row>
    <row r="28139" spans="1:1" ht="12.75">
      <c r="A28139" s="2" t="s">
        <v>225</v>
      </c>
    </row>
    <row r="28140" spans="1:1" ht="12.75">
      <c r="A28140" s="2" t="s">
        <v>173</v>
      </c>
    </row>
    <row r="28141" spans="1:1" ht="12.75">
      <c r="A28141" s="2" t="s">
        <v>191</v>
      </c>
    </row>
    <row r="28142" spans="1:1" ht="12.75">
      <c r="A28142" s="2" t="s">
        <v>173</v>
      </c>
    </row>
    <row r="28143" spans="1:1" ht="12.75">
      <c r="A28143" s="2" t="s">
        <v>191</v>
      </c>
    </row>
    <row r="28144" spans="1:1" ht="12.75">
      <c r="A28144" s="2" t="s">
        <v>173</v>
      </c>
    </row>
    <row r="28145" spans="1:1" ht="12.75">
      <c r="A28145" s="2" t="s">
        <v>171</v>
      </c>
    </row>
    <row r="28147" spans="1:1" ht="12.75">
      <c r="A28147" s="2" t="s">
        <v>163</v>
      </c>
    </row>
    <row r="28148" spans="1:1" ht="12.75">
      <c r="A28148" s="2" t="s">
        <v>162</v>
      </c>
    </row>
    <row r="28149" spans="1:1" ht="12.75">
      <c r="A28149" s="2" t="s">
        <v>160</v>
      </c>
    </row>
    <row r="28150" spans="1:1" ht="12.75">
      <c r="A28150" s="2" t="s">
        <v>162</v>
      </c>
    </row>
    <row r="28151" spans="1:1" ht="12.75">
      <c r="A28151" s="2" t="s">
        <v>160</v>
      </c>
    </row>
    <row r="28152" spans="1:1" ht="12.75">
      <c r="A28152" s="2" t="s">
        <v>162</v>
      </c>
    </row>
    <row r="28153" spans="1:1" ht="12.75">
      <c r="A28153" s="2" t="s">
        <v>185</v>
      </c>
    </row>
    <row r="28154" spans="1:1" ht="12.75">
      <c r="A28154" s="2" t="s">
        <v>163</v>
      </c>
    </row>
    <row r="28155" spans="1:1" ht="12.75">
      <c r="A28155" s="2" t="s">
        <v>185</v>
      </c>
    </row>
    <row r="28156" spans="1:1" ht="12.75">
      <c r="A28156" s="2" t="s">
        <v>163</v>
      </c>
    </row>
    <row r="28157" spans="1:1" ht="12.75">
      <c r="A28157" s="2" t="s">
        <v>181</v>
      </c>
    </row>
    <row r="28158" spans="1:1" ht="12.75">
      <c r="A28158" s="2" t="s">
        <v>172</v>
      </c>
    </row>
    <row r="28159" spans="1:1" ht="12.75">
      <c r="A28159" s="2" t="s">
        <v>181</v>
      </c>
    </row>
    <row r="28160" spans="1:1" ht="12.75">
      <c r="A28160" s="2" t="s">
        <v>172</v>
      </c>
    </row>
    <row r="28161" spans="1:1" ht="12.75">
      <c r="A28161" s="2" t="s">
        <v>181</v>
      </c>
    </row>
    <row r="28162" spans="1:1" ht="12.75">
      <c r="A28162" s="2" t="s">
        <v>172</v>
      </c>
    </row>
    <row r="28163" spans="1:1" ht="12.75">
      <c r="A28163" s="2" t="s">
        <v>194</v>
      </c>
    </row>
    <row r="28164" spans="1:1" ht="12.75">
      <c r="A28164" s="2" t="s">
        <v>183</v>
      </c>
    </row>
    <row r="28165" spans="1:1" ht="12.75">
      <c r="A28165" s="2" t="s">
        <v>194</v>
      </c>
    </row>
    <row r="28166" spans="1:1" ht="12.75">
      <c r="A28166" s="2" t="s">
        <v>183</v>
      </c>
    </row>
    <row r="28167" spans="1:1" ht="12.75">
      <c r="A28167" s="2" t="s">
        <v>194</v>
      </c>
    </row>
    <row r="28168" spans="1:1" ht="12.75">
      <c r="A28168" s="2" t="s">
        <v>185</v>
      </c>
    </row>
    <row r="28169" spans="1:1" ht="12.75">
      <c r="A28169" s="2" t="s">
        <v>177</v>
      </c>
    </row>
    <row r="28170" spans="1:1" ht="12.75">
      <c r="A28170" s="2" t="s">
        <v>160</v>
      </c>
    </row>
    <row r="28171" spans="1:1" ht="12.75">
      <c r="A28171" s="2" t="s">
        <v>177</v>
      </c>
    </row>
    <row r="28172" spans="1:1" ht="12.75">
      <c r="A28172" s="2" t="s">
        <v>173</v>
      </c>
    </row>
    <row r="28173" spans="1:1" ht="12.75">
      <c r="A28173" s="2" t="s">
        <v>177</v>
      </c>
    </row>
    <row r="28174" spans="1:1" ht="12.75">
      <c r="A28174" s="2" t="s">
        <v>176</v>
      </c>
    </row>
    <row r="28175" spans="1:1" ht="12.75">
      <c r="A28175" s="2" t="s">
        <v>169</v>
      </c>
    </row>
    <row r="28176" spans="1:1" ht="12.75">
      <c r="A28176" s="2" t="s">
        <v>165</v>
      </c>
    </row>
    <row r="28177" spans="1:1" ht="12.75">
      <c r="A28177" s="2" t="s">
        <v>169</v>
      </c>
    </row>
    <row r="28178" spans="1:1" ht="12.75">
      <c r="A28178" s="2" t="s">
        <v>165</v>
      </c>
    </row>
    <row r="28179" spans="1:1" ht="12.75">
      <c r="A28179" s="2" t="s">
        <v>169</v>
      </c>
    </row>
    <row r="28180" spans="1:1" ht="12.75">
      <c r="A28180" s="2" t="s">
        <v>165</v>
      </c>
    </row>
    <row r="28181" spans="1:1" ht="12.75">
      <c r="A28181" s="2" t="s">
        <v>167</v>
      </c>
    </row>
    <row r="28182" spans="1:1" ht="12.75">
      <c r="A28182" s="2" t="s">
        <v>182</v>
      </c>
    </row>
    <row r="28183" spans="1:1" ht="12.75">
      <c r="A28183" s="2" t="s">
        <v>167</v>
      </c>
    </row>
    <row r="28185" spans="1:1" ht="12.75">
      <c r="A28185" s="2" t="s">
        <v>181</v>
      </c>
    </row>
    <row r="28187" spans="1:1" ht="12.75">
      <c r="A28187" s="2" t="s">
        <v>184</v>
      </c>
    </row>
    <row r="28188" spans="1:1" ht="12.75">
      <c r="A28188" s="2" t="s">
        <v>733</v>
      </c>
    </row>
    <row r="28189" spans="1:1" ht="12.75">
      <c r="A28189" s="2" t="s">
        <v>170</v>
      </c>
    </row>
    <row r="28190" spans="1:1" ht="12.75">
      <c r="A28190" s="2" t="s">
        <v>167</v>
      </c>
    </row>
    <row r="28191" spans="1:1" ht="12.75">
      <c r="A28191" s="2" t="s">
        <v>170</v>
      </c>
    </row>
    <row r="28192" spans="1:1" ht="12.75">
      <c r="A28192" s="2" t="s">
        <v>733</v>
      </c>
    </row>
    <row r="28193" spans="1:1" ht="12.75">
      <c r="A28193" s="2" t="s">
        <v>170</v>
      </c>
    </row>
    <row r="28194" spans="1:1" ht="12.75">
      <c r="A28194" s="2" t="s">
        <v>733</v>
      </c>
    </row>
    <row r="28195" spans="1:1" ht="12.75">
      <c r="A28195" s="2" t="s">
        <v>196</v>
      </c>
    </row>
    <row r="28196" spans="1:1" ht="12.75">
      <c r="A28196" s="2" t="s">
        <v>733</v>
      </c>
    </row>
    <row r="28197" spans="1:1" ht="12.75">
      <c r="A28197" s="2" t="s">
        <v>217</v>
      </c>
    </row>
    <row r="28198" spans="1:1" ht="12.75">
      <c r="A28198" s="2" t="s">
        <v>217</v>
      </c>
    </row>
    <row r="28199" spans="1:1" ht="12.75">
      <c r="A28199" s="2" t="s">
        <v>189</v>
      </c>
    </row>
    <row r="28200" spans="1:1" ht="12.75">
      <c r="A28200" s="2" t="s">
        <v>196</v>
      </c>
    </row>
    <row r="28201" spans="1:1" ht="12.75">
      <c r="A28201" s="2" t="s">
        <v>182</v>
      </c>
    </row>
    <row r="28202" spans="1:1" ht="12.75">
      <c r="A28202" s="2" t="s">
        <v>734</v>
      </c>
    </row>
    <row r="28203" spans="1:1" ht="12.75">
      <c r="A28203" s="2" t="s">
        <v>182</v>
      </c>
    </row>
    <row r="28204" spans="1:1" ht="12.75">
      <c r="A28204" s="2" t="s">
        <v>223</v>
      </c>
    </row>
    <row r="28205" spans="1:1" ht="12.75">
      <c r="A28205" s="2" t="s">
        <v>182</v>
      </c>
    </row>
    <row r="28206" spans="1:1" ht="12.75">
      <c r="A28206" s="2" t="s">
        <v>223</v>
      </c>
    </row>
    <row r="28207" spans="1:1" ht="12.75">
      <c r="A28207" s="2" t="s">
        <v>178</v>
      </c>
    </row>
    <row r="28208" spans="1:1" ht="12.75">
      <c r="A28208" s="2" t="s">
        <v>225</v>
      </c>
    </row>
    <row r="28209" spans="1:1" ht="12.75">
      <c r="A28209" s="2" t="s">
        <v>171</v>
      </c>
    </row>
    <row r="28210" spans="1:1" ht="12.75">
      <c r="A28210" s="2" t="s">
        <v>225</v>
      </c>
    </row>
    <row r="28211" spans="1:1" ht="12.75">
      <c r="A28211" s="2" t="s">
        <v>735</v>
      </c>
    </row>
    <row r="28212" spans="1:1" ht="12.75">
      <c r="A28212" s="2" t="s">
        <v>178</v>
      </c>
    </row>
    <row r="28213" spans="1:1" ht="12.75">
      <c r="A28213" s="2" t="s">
        <v>173</v>
      </c>
    </row>
    <row r="28214" spans="1:1" ht="12.75">
      <c r="A28214" s="2" t="s">
        <v>175</v>
      </c>
    </row>
    <row r="28215" spans="1:1" ht="12.75">
      <c r="A28215" s="2" t="s">
        <v>177</v>
      </c>
    </row>
    <row r="28216" spans="1:1" ht="12.75">
      <c r="A28216" s="2" t="s">
        <v>165</v>
      </c>
    </row>
    <row r="28217" spans="1:1" ht="12.75">
      <c r="A28217" s="2" t="s">
        <v>177</v>
      </c>
    </row>
    <row r="28218" spans="1:1" ht="12.75">
      <c r="A28218" s="2" t="s">
        <v>167</v>
      </c>
    </row>
    <row r="28219" spans="1:1" ht="12.75">
      <c r="A28219" s="2" t="s">
        <v>177</v>
      </c>
    </row>
    <row r="28220" spans="1:1" ht="12.75">
      <c r="A28220" s="2" t="s">
        <v>167</v>
      </c>
    </row>
    <row r="28221" spans="1:1" ht="12.75">
      <c r="A28221" s="2" t="s">
        <v>169</v>
      </c>
    </row>
    <row r="28222" spans="1:1" ht="12.75">
      <c r="A28222" s="2" t="s">
        <v>189</v>
      </c>
    </row>
    <row r="28223" spans="1:1" ht="12.75">
      <c r="A28223" s="2" t="s">
        <v>169</v>
      </c>
    </row>
    <row r="28224" spans="1:1" ht="12.75">
      <c r="A28224" s="2" t="s">
        <v>161</v>
      </c>
    </row>
    <row r="28225" spans="1:1" ht="12.75">
      <c r="A28225" s="2" t="s">
        <v>169</v>
      </c>
    </row>
    <row r="28226" spans="1:1" ht="12.75">
      <c r="A28226" s="2" t="s">
        <v>161</v>
      </c>
    </row>
    <row r="28227" spans="1:1" ht="12.75">
      <c r="A28227" s="2" t="s">
        <v>165</v>
      </c>
    </row>
    <row r="28228" spans="1:1" ht="12.75">
      <c r="A28228" s="2" t="s">
        <v>161</v>
      </c>
    </row>
    <row r="28229" spans="1:1" ht="12.75">
      <c r="A28229" s="2" t="s">
        <v>193</v>
      </c>
    </row>
    <row r="28230" spans="1:1" ht="12.75">
      <c r="A28230" s="2" t="s">
        <v>185</v>
      </c>
    </row>
    <row r="28231" spans="1:1" ht="12.75">
      <c r="A28231" s="2" t="s">
        <v>193</v>
      </c>
    </row>
    <row r="28232" spans="1:1" ht="12.75">
      <c r="A28232" s="2" t="s">
        <v>185</v>
      </c>
    </row>
    <row r="28233" spans="1:1" ht="12.75">
      <c r="A28233" s="2" t="s">
        <v>171</v>
      </c>
    </row>
    <row r="28234" spans="1:1" ht="12.75">
      <c r="A28234" s="2" t="s">
        <v>193</v>
      </c>
    </row>
    <row r="28235" spans="1:1" ht="12.75">
      <c r="A28235" s="2" t="s">
        <v>175</v>
      </c>
    </row>
    <row r="28236" spans="1:1" ht="12.75">
      <c r="A28236" s="2" t="s">
        <v>163</v>
      </c>
    </row>
    <row r="28237" spans="1:1" ht="12.75">
      <c r="A28237" s="2" t="s">
        <v>945</v>
      </c>
    </row>
    <row r="28238" spans="1:1" ht="12.75">
      <c r="A28238" s="2" t="s">
        <v>175</v>
      </c>
    </row>
    <row r="28239" spans="1:1" ht="12.75">
      <c r="A28239" s="2" t="s">
        <v>162</v>
      </c>
    </row>
    <row r="28240" spans="1:1" ht="12.75">
      <c r="A28240" s="2" t="s">
        <v>175</v>
      </c>
    </row>
    <row r="28241" spans="1:1" ht="12.75">
      <c r="A28241" s="2" t="s">
        <v>163</v>
      </c>
    </row>
    <row r="28242" spans="1:1" ht="12.75">
      <c r="A28242" s="2" t="s">
        <v>162</v>
      </c>
    </row>
    <row r="28243" spans="1:1" ht="12.75">
      <c r="A28243" s="2" t="s">
        <v>163</v>
      </c>
    </row>
    <row r="28244" spans="1:1" ht="12.75">
      <c r="A28244" s="2" t="s">
        <v>162</v>
      </c>
    </row>
    <row r="28245" spans="1:1" ht="12.75">
      <c r="A28245" s="2" t="s">
        <v>164</v>
      </c>
    </row>
    <row r="28246" spans="1:1" ht="12.75">
      <c r="A28246" s="2" t="s">
        <v>172</v>
      </c>
    </row>
    <row r="28247" spans="1:1" ht="12.75">
      <c r="A28247" s="2" t="s">
        <v>164</v>
      </c>
    </row>
    <row r="28248" spans="1:1" ht="12.75">
      <c r="A28248" s="2" t="s">
        <v>172</v>
      </c>
    </row>
    <row r="28249" spans="1:1" ht="12.75">
      <c r="A28249" s="2" t="s">
        <v>733</v>
      </c>
    </row>
    <row r="28250" spans="1:1" ht="12.75">
      <c r="A28250" s="2" t="s">
        <v>165</v>
      </c>
    </row>
    <row r="28251" spans="1:1" ht="12.75">
      <c r="A28251" s="2" t="s">
        <v>196</v>
      </c>
    </row>
    <row r="28252" spans="1:1" ht="12.75">
      <c r="A28252" s="2" t="s">
        <v>175</v>
      </c>
    </row>
    <row r="28253" spans="1:1" ht="12.75">
      <c r="A28253" s="2" t="s">
        <v>169</v>
      </c>
    </row>
    <row r="28254" spans="1:1" ht="12.75">
      <c r="A28254" s="2" t="s">
        <v>165</v>
      </c>
    </row>
    <row r="28255" spans="1:1" ht="12.75">
      <c r="A28255" s="2" t="s">
        <v>169</v>
      </c>
    </row>
    <row r="28256" spans="1:1" ht="12.75">
      <c r="A28256" s="2" t="s">
        <v>167</v>
      </c>
    </row>
    <row r="28257" spans="1:1" ht="12.75">
      <c r="A28257" s="2" t="s">
        <v>177</v>
      </c>
    </row>
    <row r="28258" spans="1:1" ht="12.75">
      <c r="A28258" s="2" t="s">
        <v>183</v>
      </c>
    </row>
    <row r="28259" spans="1:1" ht="12.75">
      <c r="A28259" s="2" t="s">
        <v>160</v>
      </c>
    </row>
    <row r="28260" spans="1:1" ht="12.75">
      <c r="A28260" s="2" t="s">
        <v>175</v>
      </c>
    </row>
    <row r="28261" spans="1:1" ht="12.75">
      <c r="A28261" s="2" t="s">
        <v>161</v>
      </c>
    </row>
    <row r="28262" spans="1:1" ht="12.75">
      <c r="A28262" s="2" t="s">
        <v>177</v>
      </c>
    </row>
    <row r="28263" spans="1:1" ht="12.75">
      <c r="A28263" s="2" t="s">
        <v>161</v>
      </c>
    </row>
    <row r="28264" spans="1:1" ht="12.75">
      <c r="A28264" s="2" t="s">
        <v>177</v>
      </c>
    </row>
    <row r="28265" spans="1:1" ht="12.75">
      <c r="A28265" s="2" t="s">
        <v>182</v>
      </c>
    </row>
    <row r="28266" spans="1:1" ht="12.75">
      <c r="A28266" s="2" t="s">
        <v>225</v>
      </c>
    </row>
    <row r="28267" spans="1:1" ht="12.75">
      <c r="A28267" s="2" t="s">
        <v>182</v>
      </c>
    </row>
    <row r="28268" spans="1:1" ht="12.75">
      <c r="A28268" s="2" t="s">
        <v>167</v>
      </c>
    </row>
    <row r="28269" spans="1:1" ht="12.75">
      <c r="A28269" s="2" t="s">
        <v>183</v>
      </c>
    </row>
    <row r="28270" spans="1:1" ht="12.75">
      <c r="A28270" s="2" t="s">
        <v>182</v>
      </c>
    </row>
    <row r="28271" spans="1:1" ht="12.75">
      <c r="A28271" s="2" t="s">
        <v>182</v>
      </c>
    </row>
    <row r="28273" spans="1:1" ht="12.75">
      <c r="A28273" s="2" t="s">
        <v>185</v>
      </c>
    </row>
    <row r="28274" spans="1:1" ht="12.75">
      <c r="A28274" s="2" t="s">
        <v>182</v>
      </c>
    </row>
    <row r="28275" spans="1:1" ht="12.75">
      <c r="A28275" s="2" t="s">
        <v>185</v>
      </c>
    </row>
    <row r="28276" spans="1:1" ht="12.75">
      <c r="A28276" s="2" t="s">
        <v>182</v>
      </c>
    </row>
    <row r="28277" spans="1:1" ht="12.75">
      <c r="A28277" s="2" t="s">
        <v>191</v>
      </c>
    </row>
    <row r="28278" spans="1:1" ht="12.75">
      <c r="A28278" s="2" t="s">
        <v>165</v>
      </c>
    </row>
    <row r="28279" spans="1:1" ht="12.75">
      <c r="A28279" s="2" t="s">
        <v>175</v>
      </c>
    </row>
    <row r="28280" spans="1:1" ht="12.75">
      <c r="A28280" s="2" t="s">
        <v>172</v>
      </c>
    </row>
    <row r="28282" spans="1:1" ht="12.75">
      <c r="A28282" s="2" t="s">
        <v>191</v>
      </c>
    </row>
    <row r="28283" spans="1:1" ht="12.75">
      <c r="A28283" s="2" t="s">
        <v>733</v>
      </c>
    </row>
    <row r="28284" spans="1:1" ht="12.75">
      <c r="A28284" s="2" t="s">
        <v>172</v>
      </c>
    </row>
    <row r="28286" spans="1:1" ht="12.75">
      <c r="A28286" s="2" t="s">
        <v>172</v>
      </c>
    </row>
    <row r="28287" spans="1:1" ht="12.75">
      <c r="A28287" s="2" t="s">
        <v>165</v>
      </c>
    </row>
    <row r="28288" spans="1:1" ht="12.75">
      <c r="A28288" s="2" t="s">
        <v>167</v>
      </c>
    </row>
    <row r="28289" spans="1:1" ht="12.75">
      <c r="A28289" s="2" t="s">
        <v>183</v>
      </c>
    </row>
    <row r="28291" spans="1:1" ht="12.75">
      <c r="A28291" s="2" t="s">
        <v>170</v>
      </c>
    </row>
    <row r="28292" spans="1:1" ht="12.75">
      <c r="A28292" s="2" t="s">
        <v>183</v>
      </c>
    </row>
    <row r="28293" spans="1:1" ht="12.75">
      <c r="A28293" s="2" t="s">
        <v>224</v>
      </c>
    </row>
    <row r="28294" spans="1:1" ht="12.75">
      <c r="A28294" s="2" t="s">
        <v>179</v>
      </c>
    </row>
    <row r="28296" spans="1:1" ht="12.75">
      <c r="A28296" s="2" t="s">
        <v>170</v>
      </c>
    </row>
    <row r="28298" spans="1:1" ht="12.75">
      <c r="A28298" s="2" t="s">
        <v>224</v>
      </c>
    </row>
    <row r="28299" spans="1:1" ht="12.75">
      <c r="A28299" s="2" t="s">
        <v>162</v>
      </c>
    </row>
    <row r="28300" spans="1:1" ht="12.75">
      <c r="A28300" s="2" t="s">
        <v>162</v>
      </c>
    </row>
    <row r="28301" spans="1:1" ht="12.75">
      <c r="A28301" s="2" t="s">
        <v>179</v>
      </c>
    </row>
    <row r="28302" spans="1:1" ht="12.75">
      <c r="A28302" s="2" t="s">
        <v>162</v>
      </c>
    </row>
    <row r="28303" spans="1:1" ht="12.75">
      <c r="A28303" s="2" t="s">
        <v>163</v>
      </c>
    </row>
    <row r="28304" spans="1:1" ht="12.75">
      <c r="A28304" s="2" t="s">
        <v>174</v>
      </c>
    </row>
    <row r="28305" spans="1:1" ht="12.75">
      <c r="A28305" s="2" t="s">
        <v>163</v>
      </c>
    </row>
    <row r="28306" spans="1:1" ht="12.75">
      <c r="A28306" s="2" t="s">
        <v>163</v>
      </c>
    </row>
    <row r="28307" spans="1:1" ht="12.75">
      <c r="A28307" s="2" t="s">
        <v>177</v>
      </c>
    </row>
    <row r="28308" spans="1:1" ht="12.75">
      <c r="A28308" s="2" t="s">
        <v>177</v>
      </c>
    </row>
    <row r="28309" spans="1:1" ht="12.75">
      <c r="A28309" s="2" t="s">
        <v>174</v>
      </c>
    </row>
    <row r="28310" spans="1:1" ht="12.75">
      <c r="A28310" s="2" t="s">
        <v>177</v>
      </c>
    </row>
    <row r="28311" spans="1:1" ht="12.75">
      <c r="A28311" s="2" t="s">
        <v>225</v>
      </c>
    </row>
    <row r="28312" spans="1:1" ht="12.75">
      <c r="A28312" s="2" t="s">
        <v>160</v>
      </c>
    </row>
    <row r="28313" spans="1:1" ht="12.75">
      <c r="A28313" s="2" t="s">
        <v>164</v>
      </c>
    </row>
    <row r="28314" spans="1:1" ht="12.75">
      <c r="A28314" s="2" t="s">
        <v>161</v>
      </c>
    </row>
    <row r="28315" spans="1:1" ht="12.75">
      <c r="A28315" s="2" t="s">
        <v>570</v>
      </c>
    </row>
    <row r="28316" spans="1:1" ht="12.75">
      <c r="A28316" s="2" t="s">
        <v>229</v>
      </c>
    </row>
    <row r="28317" spans="1:1" ht="12.75">
      <c r="A28317" s="2" t="s">
        <v>251</v>
      </c>
    </row>
    <row r="28318" spans="1:1" ht="12.75">
      <c r="A28318" s="2" t="s">
        <v>251</v>
      </c>
    </row>
    <row r="28319" spans="1:1" ht="12.75">
      <c r="A28319" s="2" t="s">
        <v>251</v>
      </c>
    </row>
    <row r="28320" spans="1:1" ht="12.75">
      <c r="A28320" s="2" t="s">
        <v>251</v>
      </c>
    </row>
    <row r="28321" spans="1:1" ht="12.75">
      <c r="A28321" s="2" t="s">
        <v>251</v>
      </c>
    </row>
    <row r="28322" spans="1:1" ht="12.75">
      <c r="A28322" s="2" t="s">
        <v>251</v>
      </c>
    </row>
    <row r="28323" spans="1:1" ht="12.75">
      <c r="A28323" s="2" t="s">
        <v>251</v>
      </c>
    </row>
    <row r="28324" spans="1:1" ht="12.75">
      <c r="A28324" s="2" t="s">
        <v>251</v>
      </c>
    </row>
    <row r="28325" spans="1:1" ht="12.75">
      <c r="A28325" s="2" t="s">
        <v>251</v>
      </c>
    </row>
    <row r="28326" spans="1:1" ht="12.75">
      <c r="A28326" s="2" t="s">
        <v>251</v>
      </c>
    </row>
    <row r="28328" spans="1:1" ht="12.75">
      <c r="A28328" s="2" t="s">
        <v>251</v>
      </c>
    </row>
    <row r="28329" spans="1:1" ht="12.75">
      <c r="A28329" s="2" t="s">
        <v>227</v>
      </c>
    </row>
    <row r="28330" spans="1:1" ht="12.75">
      <c r="A28330" s="2" t="s">
        <v>251</v>
      </c>
    </row>
    <row r="28331" spans="1:1" ht="12.75">
      <c r="A28331" s="2" t="s">
        <v>227</v>
      </c>
    </row>
    <row r="28333" spans="1:1" ht="12.75">
      <c r="A28333" s="2" t="s">
        <v>228</v>
      </c>
    </row>
    <row r="28334" spans="1:1" ht="12.75">
      <c r="A28334" s="2" t="s">
        <v>251</v>
      </c>
    </row>
    <row r="28335" spans="1:1" ht="12.75">
      <c r="A28335" s="2" t="s">
        <v>228</v>
      </c>
    </row>
    <row r="28337" spans="1:1" ht="12.75">
      <c r="A28337" s="2" t="s">
        <v>228</v>
      </c>
    </row>
    <row r="28338" spans="1:1" ht="12.75">
      <c r="A28338" s="2" t="s">
        <v>228</v>
      </c>
    </row>
    <row r="28339" spans="1:1" ht="12.75">
      <c r="A28339" s="2" t="s">
        <v>228</v>
      </c>
    </row>
    <row r="28340" spans="1:1" ht="12.75">
      <c r="A28340" s="2" t="s">
        <v>228</v>
      </c>
    </row>
    <row r="28341" spans="1:1" ht="12.75">
      <c r="A28341" s="2" t="s">
        <v>227</v>
      </c>
    </row>
    <row r="28342" spans="1:1" ht="12.75">
      <c r="A28342" s="2" t="s">
        <v>228</v>
      </c>
    </row>
    <row r="28343" spans="1:1" ht="12.75">
      <c r="A28343" s="2" t="s">
        <v>227</v>
      </c>
    </row>
    <row r="28344" spans="1:1" ht="12.75">
      <c r="A28344" s="2" t="s">
        <v>228</v>
      </c>
    </row>
    <row r="28345" spans="1:1" ht="12.75">
      <c r="A28345" s="2" t="s">
        <v>227</v>
      </c>
    </row>
    <row r="28346" spans="1:1" ht="12.75">
      <c r="A28346" s="2" t="s">
        <v>228</v>
      </c>
    </row>
    <row r="28347" spans="1:1" ht="12.75">
      <c r="A28347" s="2" t="s">
        <v>227</v>
      </c>
    </row>
    <row r="28348" spans="1:1" ht="12.75">
      <c r="A28348" s="2" t="s">
        <v>228</v>
      </c>
    </row>
    <row r="28349" spans="1:1" ht="12.75">
      <c r="A28349" s="2" t="s">
        <v>227</v>
      </c>
    </row>
    <row r="28350" spans="1:1" ht="12.75">
      <c r="A28350" s="2" t="s">
        <v>228</v>
      </c>
    </row>
    <row r="28351" spans="1:1" ht="12.75">
      <c r="A28351" s="2" t="s">
        <v>227</v>
      </c>
    </row>
    <row r="28352" spans="1:1" ht="12.75">
      <c r="A28352" s="2" t="s">
        <v>228</v>
      </c>
    </row>
    <row r="28353" spans="1:1" ht="12.75">
      <c r="A28353" s="2" t="s">
        <v>944</v>
      </c>
    </row>
    <row r="28354" spans="1:1" ht="12.75">
      <c r="A28354" s="2" t="s">
        <v>944</v>
      </c>
    </row>
    <row r="28355" spans="1:1" ht="12.75">
      <c r="A28355" s="2" t="s">
        <v>944</v>
      </c>
    </row>
    <row r="28356" spans="1:1" ht="12.75">
      <c r="A28356" s="2" t="s">
        <v>944</v>
      </c>
    </row>
    <row r="28357" spans="1:1" ht="12.75">
      <c r="A28357" s="2" t="s">
        <v>944</v>
      </c>
    </row>
    <row r="28358" spans="1:1" ht="12.75">
      <c r="A28358" s="2" t="s">
        <v>171</v>
      </c>
    </row>
    <row r="28359" spans="1:1" ht="12.75">
      <c r="A28359" s="2" t="s">
        <v>343</v>
      </c>
    </row>
    <row r="28360" spans="1:1" ht="12.75">
      <c r="A28360" s="2" t="s">
        <v>343</v>
      </c>
    </row>
    <row r="28361" spans="1:1" ht="12.75">
      <c r="A28361" s="2" t="s">
        <v>343</v>
      </c>
    </row>
    <row r="28362" spans="1:1" ht="12.75">
      <c r="A28362" s="2" t="s">
        <v>343</v>
      </c>
    </row>
    <row r="28363" spans="1:1" ht="12.75">
      <c r="A28363" s="2" t="s">
        <v>224</v>
      </c>
    </row>
    <row r="28364" spans="1:1" ht="12.75">
      <c r="A28364" s="2" t="s">
        <v>224</v>
      </c>
    </row>
    <row r="28365" spans="1:1" ht="12.75">
      <c r="A28365" s="2" t="s">
        <v>223</v>
      </c>
    </row>
    <row r="28366" spans="1:1" ht="12.75">
      <c r="A28366" s="2" t="s">
        <v>224</v>
      </c>
    </row>
    <row r="28367" spans="1:1" ht="12.75">
      <c r="A28367" s="2" t="s">
        <v>734</v>
      </c>
    </row>
    <row r="28368" spans="1:1" ht="12.75">
      <c r="A28368" s="2" t="s">
        <v>734</v>
      </c>
    </row>
    <row r="28369" spans="1:1" ht="12.75">
      <c r="A28369" s="2" t="s">
        <v>393</v>
      </c>
    </row>
    <row r="28370" spans="1:1" ht="12.75">
      <c r="A28370" s="2" t="s">
        <v>735</v>
      </c>
    </row>
    <row r="28372" spans="1:1" ht="12.75">
      <c r="A28372" s="2" t="s">
        <v>734</v>
      </c>
    </row>
    <row r="28373" spans="1:1" ht="12.75">
      <c r="A28373" s="2" t="s">
        <v>164</v>
      </c>
    </row>
    <row r="28374" spans="1:1" ht="12.75">
      <c r="A28374" s="2" t="s">
        <v>735</v>
      </c>
    </row>
    <row r="28375" spans="1:1" ht="12.75">
      <c r="A28375" s="2" t="s">
        <v>196</v>
      </c>
    </row>
    <row r="28376" spans="1:1" ht="12.75">
      <c r="A28376" s="2" t="s">
        <v>734</v>
      </c>
    </row>
    <row r="28377" spans="1:1" ht="12.75">
      <c r="A28377" s="2" t="s">
        <v>194</v>
      </c>
    </row>
    <row r="28378" spans="1:1" ht="12.75">
      <c r="A28378" s="2" t="s">
        <v>161</v>
      </c>
    </row>
    <row r="28379" spans="1:1" ht="12.75">
      <c r="A28379" s="2" t="s">
        <v>217</v>
      </c>
    </row>
    <row r="28380" spans="1:1" ht="12.75">
      <c r="A28380" s="2" t="s">
        <v>184</v>
      </c>
    </row>
    <row r="28381" spans="1:1" ht="12.75">
      <c r="A28381" s="2" t="s">
        <v>735</v>
      </c>
    </row>
    <row r="28382" spans="1:1" ht="12.75">
      <c r="A28382" s="2" t="s">
        <v>162</v>
      </c>
    </row>
    <row r="28383" spans="1:1" ht="12.75">
      <c r="A28383" s="2" t="s">
        <v>225</v>
      </c>
    </row>
    <row r="28385" spans="1:1" ht="12.75">
      <c r="A28385" s="2" t="s">
        <v>225</v>
      </c>
    </row>
    <row r="28386" spans="1:1" ht="12.75">
      <c r="A28386" s="2" t="s">
        <v>173</v>
      </c>
    </row>
    <row r="28387" spans="1:1" ht="12.75">
      <c r="A28387" s="2" t="s">
        <v>184</v>
      </c>
    </row>
    <row r="28388" spans="1:1" ht="12.75">
      <c r="A28388" s="2" t="s">
        <v>173</v>
      </c>
    </row>
    <row r="28389" spans="1:1" ht="12.75">
      <c r="A28389" s="2" t="s">
        <v>163</v>
      </c>
    </row>
    <row r="28390" spans="1:1" ht="12.75">
      <c r="A28390" s="2" t="s">
        <v>162</v>
      </c>
    </row>
    <row r="28391" spans="1:1" ht="12.75">
      <c r="A28391" s="2" t="s">
        <v>163</v>
      </c>
    </row>
    <row r="28393" spans="1:1" ht="12.75">
      <c r="A28393" s="2" t="s">
        <v>185</v>
      </c>
    </row>
    <row r="28394" spans="1:1" ht="12.75">
      <c r="A28394" s="2" t="s">
        <v>162</v>
      </c>
    </row>
    <row r="28395" spans="1:1" ht="12.75">
      <c r="A28395" s="2" t="s">
        <v>185</v>
      </c>
    </row>
    <row r="28396" spans="1:1" ht="12.75">
      <c r="A28396" s="2" t="s">
        <v>163</v>
      </c>
    </row>
    <row r="28397" spans="1:1" ht="12.75">
      <c r="A28397" s="2" t="s">
        <v>179</v>
      </c>
    </row>
    <row r="28398" spans="1:1" ht="12.75">
      <c r="A28398" s="2" t="s">
        <v>181</v>
      </c>
    </row>
    <row r="28399" spans="1:1" ht="12.75">
      <c r="A28399" s="2" t="s">
        <v>179</v>
      </c>
    </row>
    <row r="28402" spans="1:1" ht="12.75">
      <c r="A28402" s="2" t="s">
        <v>164</v>
      </c>
    </row>
    <row r="28403" spans="1:1" ht="12.75">
      <c r="A28403" s="2" t="s">
        <v>182</v>
      </c>
    </row>
    <row r="28404" spans="1:1" ht="12.75">
      <c r="A28404" s="2" t="s">
        <v>183</v>
      </c>
    </row>
    <row r="28405" spans="1:1" ht="12.75">
      <c r="A28405" s="2" t="s">
        <v>182</v>
      </c>
    </row>
    <row r="28406" spans="1:1" ht="12.75">
      <c r="A28406" s="2" t="s">
        <v>182</v>
      </c>
    </row>
    <row r="28407" spans="1:1" ht="12.75">
      <c r="A28407" s="2" t="s">
        <v>172</v>
      </c>
    </row>
    <row r="28408" spans="1:1" ht="12.75">
      <c r="A28408" s="2" t="s">
        <v>176</v>
      </c>
    </row>
    <row r="28409" spans="1:1" ht="12.75">
      <c r="A28409" s="2" t="s">
        <v>183</v>
      </c>
    </row>
    <row r="28410" spans="1:1" ht="12.75">
      <c r="A28410" s="2" t="s">
        <v>176</v>
      </c>
    </row>
    <row r="28411" spans="1:1" ht="12.75">
      <c r="A28411" s="2" t="s">
        <v>183</v>
      </c>
    </row>
    <row r="28412" spans="1:1" ht="12.75">
      <c r="A28412" s="2" t="s">
        <v>172</v>
      </c>
    </row>
    <row r="28413" spans="1:1" ht="12.75">
      <c r="A28413" s="2" t="s">
        <v>167</v>
      </c>
    </row>
    <row r="28414" spans="1:1" ht="12.75">
      <c r="A28414" s="2" t="s">
        <v>165</v>
      </c>
    </row>
    <row r="28415" spans="1:1" ht="12.75">
      <c r="A28415" s="2" t="s">
        <v>737</v>
      </c>
    </row>
    <row r="28416" spans="1:1" ht="12.75">
      <c r="A28416" s="2" t="s">
        <v>160</v>
      </c>
    </row>
    <row r="28417" spans="1:1" ht="12.75">
      <c r="A28417" s="2" t="s">
        <v>1078</v>
      </c>
    </row>
    <row r="28418" spans="1:1" ht="12.75">
      <c r="A28418" s="2" t="s">
        <v>160</v>
      </c>
    </row>
    <row r="28419" spans="1:1" ht="12.75">
      <c r="A28419" s="2" t="s">
        <v>176</v>
      </c>
    </row>
    <row r="28420" spans="1:1" ht="12.75">
      <c r="A28420" s="2" t="s">
        <v>164</v>
      </c>
    </row>
    <row r="28421" spans="1:1" ht="12.75">
      <c r="A28421" s="2" t="s">
        <v>176</v>
      </c>
    </row>
    <row r="28422" spans="1:1" ht="12.75">
      <c r="A28422" s="2" t="s">
        <v>176</v>
      </c>
    </row>
    <row r="28423" spans="1:1" ht="12.75">
      <c r="A28423" s="2" t="s">
        <v>164</v>
      </c>
    </row>
    <row r="28424" spans="1:1" ht="12.75">
      <c r="A28424" s="2" t="s">
        <v>182</v>
      </c>
    </row>
    <row r="28425" spans="1:1" ht="12.75">
      <c r="A28425" s="2" t="s">
        <v>164</v>
      </c>
    </row>
    <row r="28426" spans="1:1" ht="12.75">
      <c r="A28426" s="2" t="s">
        <v>182</v>
      </c>
    </row>
    <row r="28427" spans="1:1" ht="12.75">
      <c r="A28427" s="2" t="s">
        <v>183</v>
      </c>
    </row>
    <row r="28428" spans="1:1" ht="12.75">
      <c r="A28428" s="2" t="s">
        <v>174</v>
      </c>
    </row>
    <row r="28429" spans="1:1" ht="12.75">
      <c r="A28429" s="2" t="s">
        <v>183</v>
      </c>
    </row>
    <row r="28430" spans="1:1" ht="12.75">
      <c r="A28430" s="2" t="s">
        <v>174</v>
      </c>
    </row>
    <row r="28431" spans="1:1" ht="12.75">
      <c r="A28431" s="2" t="s">
        <v>183</v>
      </c>
    </row>
    <row r="28432" spans="1:1" ht="12.75">
      <c r="A28432" s="2" t="s">
        <v>172</v>
      </c>
    </row>
    <row r="28433" spans="1:1" ht="12.75">
      <c r="A28433" s="2" t="s">
        <v>182</v>
      </c>
    </row>
    <row r="28434" spans="1:1" ht="12.75">
      <c r="A28434" s="2" t="s">
        <v>172</v>
      </c>
    </row>
    <row r="28435" spans="1:1" ht="12.75">
      <c r="A28435" s="2" t="s">
        <v>169</v>
      </c>
    </row>
    <row r="28436" spans="1:1" ht="12.75">
      <c r="A28436" s="2" t="s">
        <v>733</v>
      </c>
    </row>
    <row r="28437" spans="1:1" ht="12.75">
      <c r="A28437" s="2" t="s">
        <v>194</v>
      </c>
    </row>
    <row r="28438" spans="1:1" ht="12.75">
      <c r="A28438" s="2" t="s">
        <v>177</v>
      </c>
    </row>
    <row r="28439" spans="1:1" ht="12.75">
      <c r="A28439" s="2" t="s">
        <v>165</v>
      </c>
    </row>
    <row r="28440" spans="1:1" ht="12.75">
      <c r="A28440" s="2" t="s">
        <v>166</v>
      </c>
    </row>
    <row r="28441" spans="1:1" ht="12.75">
      <c r="A28441" s="2" t="s">
        <v>167</v>
      </c>
    </row>
    <row r="28442" spans="1:1" ht="12.75">
      <c r="A28442" s="2" t="s">
        <v>165</v>
      </c>
    </row>
    <row r="28443" spans="1:1" ht="12.75">
      <c r="A28443" s="2" t="s">
        <v>167</v>
      </c>
    </row>
    <row r="28444" spans="1:1" ht="12.75">
      <c r="A28444" s="2" t="s">
        <v>165</v>
      </c>
    </row>
    <row r="28445" spans="1:1" ht="12.75">
      <c r="A28445" s="2" t="s">
        <v>166</v>
      </c>
    </row>
    <row r="28446" spans="1:1" ht="12.75">
      <c r="A28446" s="2" t="s">
        <v>160</v>
      </c>
    </row>
    <row r="28447" spans="1:1" ht="12.75">
      <c r="A28447" s="2" t="s">
        <v>166</v>
      </c>
    </row>
    <row r="28448" spans="1:1" ht="12.75">
      <c r="A28448" s="2" t="s">
        <v>160</v>
      </c>
    </row>
    <row r="28449" spans="1:1" ht="12.75">
      <c r="A28449" s="2" t="s">
        <v>189</v>
      </c>
    </row>
    <row r="28450" spans="1:1" ht="12.75">
      <c r="A28450" s="2">
        <v>765</v>
      </c>
    </row>
    <row r="28451" spans="1:1" ht="12.75">
      <c r="A28451" s="2" t="s">
        <v>160</v>
      </c>
    </row>
    <row r="28452" spans="1:1" ht="12.75">
      <c r="A28452" s="2" t="s">
        <v>184</v>
      </c>
    </row>
    <row r="28453" spans="1:1" ht="12.75">
      <c r="A28453" s="2" t="s">
        <v>189</v>
      </c>
    </row>
    <row r="28454" spans="1:1" ht="12.75">
      <c r="A28454" s="2" t="s">
        <v>171</v>
      </c>
    </row>
    <row r="28455" spans="1:1" ht="12.75">
      <c r="A28455" s="2" t="s">
        <v>196</v>
      </c>
    </row>
    <row r="28456" spans="1:1" ht="12.75">
      <c r="A28456" s="2" t="s">
        <v>196</v>
      </c>
    </row>
    <row r="28457" spans="1:1" ht="12.75">
      <c r="A28457" s="2" t="s">
        <v>196</v>
      </c>
    </row>
    <row r="28458" spans="1:1" ht="12.75">
      <c r="A28458" s="2" t="s">
        <v>176</v>
      </c>
    </row>
    <row r="28459" spans="1:1" ht="12.75">
      <c r="A28459" s="2" t="s">
        <v>172</v>
      </c>
    </row>
    <row r="28460" spans="1:1" ht="12.75">
      <c r="A28460" s="2" t="s">
        <v>179</v>
      </c>
    </row>
    <row r="28461" spans="1:1" ht="12.75">
      <c r="A28461" s="2" t="s">
        <v>196</v>
      </c>
    </row>
    <row r="28462" spans="1:1" ht="12.75">
      <c r="A28462" s="2" t="s">
        <v>163</v>
      </c>
    </row>
    <row r="28463" spans="1:1" ht="12.75">
      <c r="A28463" s="2" t="s">
        <v>734</v>
      </c>
    </row>
    <row r="28464" spans="1:1" ht="12.75">
      <c r="A28464" s="2" t="s">
        <v>734</v>
      </c>
    </row>
    <row r="28465" spans="1:1" ht="12.75">
      <c r="A28465" s="2" t="s">
        <v>224</v>
      </c>
    </row>
    <row r="28466" spans="1:1" ht="12.75">
      <c r="A28466" s="2" t="s">
        <v>734</v>
      </c>
    </row>
    <row r="28467" spans="1:1" ht="12.75">
      <c r="A28467" s="2" t="s">
        <v>259</v>
      </c>
    </row>
    <row r="28468" spans="1:1" ht="12.75">
      <c r="A28468" s="2" t="s">
        <v>301</v>
      </c>
    </row>
    <row r="28469" spans="1:1" ht="12.75">
      <c r="A28469" s="2" t="s">
        <v>301</v>
      </c>
    </row>
    <row r="28470" spans="1:1" ht="12.75">
      <c r="A28470" s="2" t="s">
        <v>301</v>
      </c>
    </row>
    <row r="28471" spans="1:1" ht="12.75">
      <c r="A28471" s="2" t="s">
        <v>301</v>
      </c>
    </row>
    <row r="28472" spans="1:1" ht="12.75">
      <c r="A28472" s="2" t="s">
        <v>301</v>
      </c>
    </row>
    <row r="28473" spans="1:1" ht="12.75">
      <c r="A28473" s="2" t="s">
        <v>258</v>
      </c>
    </row>
    <row r="28474" spans="1:1" ht="12.75">
      <c r="A28474" s="2" t="s">
        <v>258</v>
      </c>
    </row>
    <row r="28475" spans="1:1" ht="12.75">
      <c r="A28475" s="2" t="s">
        <v>259</v>
      </c>
    </row>
    <row r="28476" spans="1:1" ht="12.75">
      <c r="A28476" s="2" t="s">
        <v>259</v>
      </c>
    </row>
    <row r="28477" spans="1:1" ht="12.75">
      <c r="A28477" s="2" t="s">
        <v>1079</v>
      </c>
    </row>
    <row r="28478" spans="1:1" ht="12.75">
      <c r="A28478" s="2" t="s">
        <v>260</v>
      </c>
    </row>
    <row r="28479" spans="1:1" ht="12.75">
      <c r="A28479" s="2" t="s">
        <v>259</v>
      </c>
    </row>
    <row r="28480" spans="1:1" ht="12.75">
      <c r="A28480" s="2" t="s">
        <v>259</v>
      </c>
    </row>
    <row r="28481" spans="1:1" ht="12.75">
      <c r="A28481" s="2" t="s">
        <v>301</v>
      </c>
    </row>
    <row r="28482" spans="1:1" ht="12.75">
      <c r="A28482" s="2" t="s">
        <v>301</v>
      </c>
    </row>
    <row r="28483" spans="1:1" ht="12.75">
      <c r="A28483" s="2" t="s">
        <v>301</v>
      </c>
    </row>
    <row r="28484" spans="1:1" ht="12.75">
      <c r="A28484" s="2" t="s">
        <v>301</v>
      </c>
    </row>
    <row r="28485" spans="1:1" ht="12.75">
      <c r="A28485" s="2" t="s">
        <v>301</v>
      </c>
    </row>
    <row r="28486" spans="1:1" ht="12.75">
      <c r="A28486" s="2" t="s">
        <v>301</v>
      </c>
    </row>
    <row r="28487" spans="1:1" ht="12.75">
      <c r="A28487" s="2" t="s">
        <v>258</v>
      </c>
    </row>
    <row r="28488" spans="1:1" ht="12.75">
      <c r="A28488" s="2" t="s">
        <v>258</v>
      </c>
    </row>
    <row r="28489" spans="1:1" ht="12.75">
      <c r="A28489" s="2" t="s">
        <v>258</v>
      </c>
    </row>
    <row r="28490" spans="1:1" ht="12.75">
      <c r="A28490" s="2" t="s">
        <v>258</v>
      </c>
    </row>
    <row r="28491" spans="1:1" ht="12.75">
      <c r="A28491" s="2" t="s">
        <v>258</v>
      </c>
    </row>
    <row r="28492" spans="1:1" ht="12.75">
      <c r="A28492" s="2" t="s">
        <v>258</v>
      </c>
    </row>
    <row r="28493" spans="1:1" ht="12.75">
      <c r="A28493" s="2" t="s">
        <v>260</v>
      </c>
    </row>
    <row r="28494" spans="1:1" ht="12.75">
      <c r="A28494" s="2" t="s">
        <v>260</v>
      </c>
    </row>
    <row r="28495" spans="1:1" ht="12.75">
      <c r="A28495" s="2" t="s">
        <v>260</v>
      </c>
    </row>
    <row r="28496" spans="1:1" ht="12.75">
      <c r="A28496" s="2" t="s">
        <v>259</v>
      </c>
    </row>
    <row r="28498" spans="1:1" ht="12.75">
      <c r="A28498" s="2" t="s">
        <v>224</v>
      </c>
    </row>
    <row r="28499" spans="1:1" ht="12.75">
      <c r="A28499" s="2" t="s">
        <v>363</v>
      </c>
    </row>
    <row r="28500" spans="1:1" ht="12.75">
      <c r="A28500" s="2" t="s">
        <v>307</v>
      </c>
    </row>
    <row r="28501" spans="1:1" ht="12.75">
      <c r="A28501" s="2" t="s">
        <v>172</v>
      </c>
    </row>
    <row r="28502" spans="1:1" ht="12.75">
      <c r="A28502" s="2" t="s">
        <v>307</v>
      </c>
    </row>
    <row r="28503" spans="1:1" ht="12.75">
      <c r="A28503" s="2" t="s">
        <v>172</v>
      </c>
    </row>
    <row r="28504" spans="1:1" ht="12.75">
      <c r="A28504" s="2" t="s">
        <v>307</v>
      </c>
    </row>
    <row r="28505" spans="1:1" ht="12.75">
      <c r="A28505" s="2" t="s">
        <v>172</v>
      </c>
    </row>
    <row r="28506" spans="1:1" ht="12.75">
      <c r="A28506" s="2" t="s">
        <v>307</v>
      </c>
    </row>
    <row r="28507" spans="1:1" ht="12.75">
      <c r="A28507" s="2" t="s">
        <v>172</v>
      </c>
    </row>
    <row r="28508" spans="1:1" ht="12.75">
      <c r="A28508" s="2" t="s">
        <v>307</v>
      </c>
    </row>
    <row r="28509" spans="1:1" ht="12.75">
      <c r="A28509" s="2" t="s">
        <v>251</v>
      </c>
    </row>
    <row r="28510" spans="1:1" ht="12.75">
      <c r="A28510" s="2" t="s">
        <v>229</v>
      </c>
    </row>
    <row r="28511" spans="1:1" ht="12.75">
      <c r="A28511" s="2" t="s">
        <v>251</v>
      </c>
    </row>
    <row r="28512" spans="1:1" ht="12.75">
      <c r="A28512" s="2" t="s">
        <v>229</v>
      </c>
    </row>
    <row r="28514" spans="1:1" ht="12.75">
      <c r="A28514" s="2" t="s">
        <v>229</v>
      </c>
    </row>
    <row r="28515" spans="1:1" ht="12.75">
      <c r="A28515" s="2" t="s">
        <v>739</v>
      </c>
    </row>
    <row r="28516" spans="1:1" ht="12.75">
      <c r="A28516" s="2" t="s">
        <v>740</v>
      </c>
    </row>
    <row r="28517" spans="1:1" ht="12.75">
      <c r="A28517" s="2" t="s">
        <v>739</v>
      </c>
    </row>
    <row r="28518" spans="1:1" ht="12.75">
      <c r="A28518" s="2" t="s">
        <v>738</v>
      </c>
    </row>
    <row r="28519" spans="1:1" ht="12.75">
      <c r="A28519" s="2" t="s">
        <v>740</v>
      </c>
    </row>
    <row r="28520" spans="1:1" ht="12.75">
      <c r="A28520" s="2" t="s">
        <v>739</v>
      </c>
    </row>
    <row r="28521" spans="1:1" ht="12.75">
      <c r="A28521" s="2" t="s">
        <v>740</v>
      </c>
    </row>
    <row r="28522" spans="1:1" ht="12.75">
      <c r="A28522" s="2" t="s">
        <v>936</v>
      </c>
    </row>
    <row r="28523" spans="1:1" ht="12.75">
      <c r="A28523" s="2" t="s">
        <v>740</v>
      </c>
    </row>
    <row r="28524" spans="1:1" ht="12.75">
      <c r="A28524" s="2" t="s">
        <v>936</v>
      </c>
    </row>
    <row r="28525" spans="1:1" ht="12.75">
      <c r="A28525" s="2" t="s">
        <v>738</v>
      </c>
    </row>
    <row r="28526" spans="1:1" ht="12.75">
      <c r="A28526" s="2" t="s">
        <v>738</v>
      </c>
    </row>
    <row r="28527" spans="1:1" ht="12.75">
      <c r="A28527" s="2" t="s">
        <v>739</v>
      </c>
    </row>
    <row r="28528" spans="1:1" ht="12.75">
      <c r="A28528" s="2" t="s">
        <v>738</v>
      </c>
    </row>
    <row r="28529" spans="1:1" ht="12.75">
      <c r="A28529" s="2" t="s">
        <v>739</v>
      </c>
    </row>
    <row r="28530" spans="1:1" ht="12.75">
      <c r="A28530" s="2" t="s">
        <v>739</v>
      </c>
    </row>
    <row r="28531" spans="1:1" ht="12.75">
      <c r="A28531" s="2" t="s">
        <v>738</v>
      </c>
    </row>
    <row r="28532" spans="1:1" ht="12.75">
      <c r="A28532" s="2" t="s">
        <v>739</v>
      </c>
    </row>
    <row r="28533" spans="1:1" ht="12.75">
      <c r="A28533" s="2" t="s">
        <v>738</v>
      </c>
    </row>
    <row r="28534" spans="1:1" ht="12.75">
      <c r="A28534" s="2" t="s">
        <v>738</v>
      </c>
    </row>
    <row r="28535" spans="1:1" ht="12.75">
      <c r="A28535" s="2" t="s">
        <v>738</v>
      </c>
    </row>
    <row r="28536" spans="1:1" ht="12.75">
      <c r="A28536" s="2" t="s">
        <v>738</v>
      </c>
    </row>
    <row r="28537" spans="1:1" ht="12.75">
      <c r="A28537" s="2" t="s">
        <v>738</v>
      </c>
    </row>
    <row r="28538" spans="1:1" ht="12.75">
      <c r="A28538" s="2" t="s">
        <v>740</v>
      </c>
    </row>
    <row r="28539" spans="1:1" ht="12.75">
      <c r="A28539" s="2" t="s">
        <v>738</v>
      </c>
    </row>
    <row r="28540" spans="1:1" ht="12.75">
      <c r="A28540" s="2" t="s">
        <v>740</v>
      </c>
    </row>
    <row r="28541" spans="1:1" ht="12.75">
      <c r="A28541" s="2" t="s">
        <v>738</v>
      </c>
    </row>
    <row r="28542" spans="1:1" ht="12.75">
      <c r="A28542" s="2" t="s">
        <v>161</v>
      </c>
    </row>
    <row r="28543" spans="1:1" ht="12.75">
      <c r="A28543" s="2" t="s">
        <v>740</v>
      </c>
    </row>
    <row r="28544" spans="1:1" ht="12.75">
      <c r="A28544" s="2" t="s">
        <v>177</v>
      </c>
    </row>
    <row r="28545" spans="1:1" ht="12.75">
      <c r="A28545" s="2" t="s">
        <v>740</v>
      </c>
    </row>
    <row r="28546" spans="1:1" ht="12.75">
      <c r="A28546" s="2" t="s">
        <v>738</v>
      </c>
    </row>
    <row r="28547" spans="1:1" ht="12.75">
      <c r="A28547" s="2" t="s">
        <v>191</v>
      </c>
    </row>
    <row r="28548" spans="1:1" ht="12.75">
      <c r="A28548" s="2" t="s">
        <v>173</v>
      </c>
    </row>
    <row r="28549" spans="1:1" ht="12.75">
      <c r="A28549" s="2" t="s">
        <v>191</v>
      </c>
    </row>
    <row r="28550" spans="1:1" ht="12.75">
      <c r="A28550" s="2" t="s">
        <v>225</v>
      </c>
    </row>
    <row r="28551" spans="1:1" ht="12.75">
      <c r="A28551" s="2" t="s">
        <v>171</v>
      </c>
    </row>
    <row r="28552" spans="1:1" ht="12.75">
      <c r="A28552" s="2" t="s">
        <v>225</v>
      </c>
    </row>
    <row r="28553" spans="1:1" ht="12.75">
      <c r="A28553" s="2" t="s">
        <v>177</v>
      </c>
    </row>
    <row r="28554" spans="1:1" ht="12.75">
      <c r="A28554" s="2" t="s">
        <v>185</v>
      </c>
    </row>
    <row r="28555" spans="1:1" ht="12.75">
      <c r="A28555" s="2" t="s">
        <v>173</v>
      </c>
    </row>
    <row r="28556" spans="1:1" ht="12.75">
      <c r="A28556" s="2" t="s">
        <v>185</v>
      </c>
    </row>
    <row r="28557" spans="1:1" ht="12.75">
      <c r="A28557" s="2" t="s">
        <v>173</v>
      </c>
    </row>
    <row r="28558" spans="1:1" ht="12.75">
      <c r="A28558" s="2" t="s">
        <v>177</v>
      </c>
    </row>
    <row r="28559" spans="1:1" ht="12.75">
      <c r="A28559" s="2" t="s">
        <v>194</v>
      </c>
    </row>
    <row r="28560" spans="1:1" ht="12.75">
      <c r="A28560" s="2" t="s">
        <v>184</v>
      </c>
    </row>
    <row r="28562" spans="1:1" ht="12.75">
      <c r="A28562" s="2" t="s">
        <v>184</v>
      </c>
    </row>
    <row r="28563" spans="1:1" ht="12.75">
      <c r="A28563" s="2" t="s">
        <v>162</v>
      </c>
    </row>
    <row r="28565" spans="1:1" ht="12.75">
      <c r="A28565" s="2" t="s">
        <v>162</v>
      </c>
    </row>
    <row r="28566" spans="1:1" ht="12.75">
      <c r="A28566" s="2" t="s">
        <v>171</v>
      </c>
    </row>
    <row r="28567" spans="1:1" ht="12.75">
      <c r="A28567" s="2" t="s">
        <v>184</v>
      </c>
    </row>
    <row r="28568" spans="1:1" ht="12.75">
      <c r="A28568" s="2" t="s">
        <v>162</v>
      </c>
    </row>
    <row r="28569" spans="1:1" ht="12.75">
      <c r="A28569" s="2" t="s">
        <v>1080</v>
      </c>
    </row>
    <row r="28570" spans="1:1" ht="12.75">
      <c r="A28570" s="2" t="s">
        <v>173</v>
      </c>
    </row>
    <row r="28571" spans="1:1" ht="12.75">
      <c r="A28571" s="2">
        <v>912</v>
      </c>
    </row>
    <row r="28572" spans="1:1" ht="12.75">
      <c r="A28572" s="2" t="s">
        <v>184</v>
      </c>
    </row>
    <row r="28573" spans="1:1" ht="12.75">
      <c r="A28573" s="2" t="s">
        <v>191</v>
      </c>
    </row>
    <row r="28574" spans="1:1" ht="12.75">
      <c r="A28574" s="2" t="s">
        <v>184</v>
      </c>
    </row>
    <row r="28575" spans="1:1" ht="12.75">
      <c r="A28575" s="2" t="s">
        <v>181</v>
      </c>
    </row>
    <row r="28576" spans="1:1" ht="12.75">
      <c r="A28576" s="2" t="s">
        <v>185</v>
      </c>
    </row>
    <row r="28577" spans="1:1" ht="12.75">
      <c r="A28577" s="2" t="s">
        <v>169</v>
      </c>
    </row>
    <row r="28578" spans="1:1" ht="12.75">
      <c r="A28578" s="2" t="s">
        <v>185</v>
      </c>
    </row>
    <row r="28579" spans="1:1" ht="12.75">
      <c r="A28579" s="2" t="s">
        <v>194</v>
      </c>
    </row>
    <row r="28580" spans="1:1" ht="12.75">
      <c r="A28580" s="2" t="s">
        <v>163</v>
      </c>
    </row>
    <row r="28581" spans="1:1" ht="12.75">
      <c r="A28581" s="2" t="s">
        <v>194</v>
      </c>
    </row>
    <row r="28582" spans="1:1" ht="12.75">
      <c r="A28582" s="2" t="s">
        <v>163</v>
      </c>
    </row>
    <row r="28584" spans="1:1" ht="12.75">
      <c r="A28584" s="2" t="s">
        <v>163</v>
      </c>
    </row>
    <row r="28585" spans="1:1" ht="12.75">
      <c r="A28585" s="2" t="s">
        <v>162</v>
      </c>
    </row>
    <row r="28586" spans="1:1" ht="12.75">
      <c r="A28586" s="2" t="s">
        <v>176</v>
      </c>
    </row>
    <row r="28587" spans="1:1" ht="12.75">
      <c r="A28587" s="2" t="s">
        <v>162</v>
      </c>
    </row>
    <row r="28588" spans="1:1" ht="12.75">
      <c r="A28588" s="2" t="s">
        <v>162</v>
      </c>
    </row>
    <row r="28589" spans="1:1" ht="12.75">
      <c r="A28589" s="2" t="s">
        <v>176</v>
      </c>
    </row>
    <row r="28590" spans="1:1" ht="12.75">
      <c r="A28590" s="2" t="s">
        <v>1081</v>
      </c>
    </row>
    <row r="28591" spans="1:1" ht="12.75">
      <c r="A28591" s="2" t="s">
        <v>176</v>
      </c>
    </row>
    <row r="28592" spans="1:1" ht="12.75">
      <c r="A28592" s="2" t="s">
        <v>181</v>
      </c>
    </row>
    <row r="28593" spans="1:1" ht="12.75">
      <c r="A28593" s="2" t="s">
        <v>182</v>
      </c>
    </row>
    <row r="28594" spans="1:1" ht="12.75">
      <c r="A28594" s="2" t="s">
        <v>182</v>
      </c>
    </row>
    <row r="28595" spans="1:1" ht="12.75">
      <c r="A28595" s="2" t="s">
        <v>181</v>
      </c>
    </row>
    <row r="28596" spans="1:1" ht="12.75">
      <c r="A28596" s="2" t="s">
        <v>182</v>
      </c>
    </row>
    <row r="28597" spans="1:1" ht="12.75">
      <c r="A28597" s="2" t="s">
        <v>183</v>
      </c>
    </row>
    <row r="28598" spans="1:1" ht="12.75">
      <c r="A28598" s="2" t="s">
        <v>1082</v>
      </c>
    </row>
    <row r="28599" spans="1:1" ht="12.75">
      <c r="A28599" s="2" t="s">
        <v>161</v>
      </c>
    </row>
    <row r="28600" spans="1:1" ht="12.75">
      <c r="A28600" s="2" t="s">
        <v>183</v>
      </c>
    </row>
    <row r="28601" spans="1:1" ht="12.75">
      <c r="A28601" s="2" t="s">
        <v>169</v>
      </c>
    </row>
    <row r="28602" spans="1:1" ht="12.75">
      <c r="A28602" s="2" t="s">
        <v>161</v>
      </c>
    </row>
    <row r="28603" spans="1:1" ht="12.75">
      <c r="A28603" s="2" t="s">
        <v>169</v>
      </c>
    </row>
    <row r="28604" spans="1:1" ht="12.75">
      <c r="A28604" s="2" t="s">
        <v>177</v>
      </c>
    </row>
    <row r="28605" spans="1:1" ht="12.75">
      <c r="A28605" s="2" t="s">
        <v>172</v>
      </c>
    </row>
    <row r="28606" spans="1:1" ht="12.75">
      <c r="A28606" s="2">
        <v>57</v>
      </c>
    </row>
    <row r="28607" spans="1:1" ht="12.75">
      <c r="A28607" s="2" t="s">
        <v>733</v>
      </c>
    </row>
    <row r="28608" spans="1:1" ht="12.75">
      <c r="A28608" s="2" t="s">
        <v>165</v>
      </c>
    </row>
    <row r="28609" spans="1:1" ht="12.75">
      <c r="A28609" s="2" t="s">
        <v>167</v>
      </c>
    </row>
    <row r="28610" spans="1:1" ht="12.75">
      <c r="A28610" s="2" t="s">
        <v>167</v>
      </c>
    </row>
    <row r="28611" spans="1:1" ht="12.75">
      <c r="A28611" s="2" t="s">
        <v>165</v>
      </c>
    </row>
    <row r="28612" spans="1:1" ht="12.75">
      <c r="A28612" s="2" t="s">
        <v>184</v>
      </c>
    </row>
    <row r="28613" spans="1:1" ht="12.75">
      <c r="A28613" s="2">
        <v>100</v>
      </c>
    </row>
    <row r="28614" spans="1:1" ht="12.75">
      <c r="A28614" s="2" t="s">
        <v>221</v>
      </c>
    </row>
    <row r="28615" spans="1:1" ht="12.75">
      <c r="A28615" s="2" t="s">
        <v>179</v>
      </c>
    </row>
    <row r="28616" spans="1:1" ht="12.75">
      <c r="A28616" s="2" t="s">
        <v>181</v>
      </c>
    </row>
    <row r="28617" spans="1:1" ht="12.75">
      <c r="A28617" s="2" t="s">
        <v>179</v>
      </c>
    </row>
    <row r="28618" spans="1:1" ht="12.75">
      <c r="A28618" s="2" t="s">
        <v>181</v>
      </c>
    </row>
    <row r="28619" spans="1:1" ht="12.75">
      <c r="A28619" s="2" t="s">
        <v>196</v>
      </c>
    </row>
    <row r="28620" spans="1:1" ht="12.75">
      <c r="A28620" s="2" t="s">
        <v>169</v>
      </c>
    </row>
    <row r="28621" spans="1:1" ht="12.75">
      <c r="A28621" s="2" t="s">
        <v>1081</v>
      </c>
    </row>
    <row r="28622" spans="1:1" ht="12.75">
      <c r="A28622" s="2" t="s">
        <v>169</v>
      </c>
    </row>
    <row r="28623" spans="1:1" ht="12.75">
      <c r="A28623" s="2" t="s">
        <v>1083</v>
      </c>
    </row>
    <row r="28624" spans="1:1" ht="12.75">
      <c r="A28624" s="2" t="s">
        <v>172</v>
      </c>
    </row>
    <row r="28625" spans="1:1" ht="12.75">
      <c r="A28625" s="2" t="s">
        <v>183</v>
      </c>
    </row>
    <row r="28626" spans="1:1" ht="12.75">
      <c r="A28626" s="2" t="s">
        <v>183</v>
      </c>
    </row>
    <row r="28627" spans="1:1" ht="12.75">
      <c r="A28627" s="2" t="s">
        <v>169</v>
      </c>
    </row>
    <row r="28628" spans="1:1" ht="12.75">
      <c r="A28628" s="2" t="s">
        <v>176</v>
      </c>
    </row>
    <row r="28629" spans="1:1" ht="12.75">
      <c r="A28629" s="2" t="s">
        <v>172</v>
      </c>
    </row>
    <row r="28630" spans="1:1" ht="12.75">
      <c r="A28630" s="2" t="s">
        <v>174</v>
      </c>
    </row>
    <row r="28631" spans="1:1" ht="12.75">
      <c r="A28631" s="2" t="s">
        <v>176</v>
      </c>
    </row>
    <row r="28632" spans="1:1" ht="12.75">
      <c r="A28632" s="2" t="s">
        <v>167</v>
      </c>
    </row>
    <row r="28633" spans="1:1" ht="12.75">
      <c r="A28633" s="2" t="s">
        <v>176</v>
      </c>
    </row>
    <row r="28634" spans="1:1" ht="12.75">
      <c r="A28634" s="2" t="s">
        <v>167</v>
      </c>
    </row>
    <row r="28635" spans="1:1" ht="12.75">
      <c r="A28635" s="2" t="s">
        <v>176</v>
      </c>
    </row>
    <row r="28636" spans="1:1" ht="12.75">
      <c r="A28636" s="2" t="s">
        <v>733</v>
      </c>
    </row>
    <row r="28637" spans="1:1" ht="12.75">
      <c r="A28637" s="2" t="s">
        <v>166</v>
      </c>
    </row>
    <row r="28638" spans="1:1" ht="12.75">
      <c r="A28638" s="2" t="s">
        <v>161</v>
      </c>
    </row>
    <row r="28639" spans="1:1" ht="12.75">
      <c r="A28639" s="2" t="s">
        <v>166</v>
      </c>
    </row>
    <row r="28640" spans="1:1" ht="12.75">
      <c r="A28640" s="2" t="s">
        <v>161</v>
      </c>
    </row>
    <row r="28641" spans="1:1" ht="12.75">
      <c r="A28641" s="2" t="s">
        <v>178</v>
      </c>
    </row>
    <row r="28642" spans="1:1" ht="12.75">
      <c r="A28642" s="2" t="s">
        <v>173</v>
      </c>
    </row>
    <row r="28643" spans="1:1" ht="12.75">
      <c r="A28643" s="2" t="s">
        <v>171</v>
      </c>
    </row>
    <row r="28644" spans="1:1" ht="12.75">
      <c r="A28644" s="2" t="s">
        <v>178</v>
      </c>
    </row>
    <row r="28645" spans="1:1" ht="12.75">
      <c r="A28645" s="2" t="s">
        <v>194</v>
      </c>
    </row>
    <row r="28646" spans="1:1" ht="12.75">
      <c r="A28646" s="2" t="s">
        <v>185</v>
      </c>
    </row>
    <row r="28647" spans="1:1" ht="12.75">
      <c r="A28647" s="2" t="s">
        <v>173</v>
      </c>
    </row>
    <row r="28648" spans="1:1" ht="12.75">
      <c r="A28648" s="2" t="s">
        <v>185</v>
      </c>
    </row>
    <row r="28649" spans="1:1" ht="12.75">
      <c r="A28649" s="2" t="s">
        <v>163</v>
      </c>
    </row>
    <row r="28650" spans="1:1" ht="12.75">
      <c r="A28650" s="2" t="s">
        <v>162</v>
      </c>
    </row>
    <row r="28651" spans="1:1" ht="12.75">
      <c r="A28651" s="2" t="s">
        <v>175</v>
      </c>
    </row>
    <row r="28652" spans="1:1" ht="12.75">
      <c r="A28652" s="2" t="s">
        <v>163</v>
      </c>
    </row>
    <row r="28653" spans="1:1" ht="12.75">
      <c r="A28653" s="2" t="s">
        <v>175</v>
      </c>
    </row>
    <row r="28654" spans="1:1" ht="12.75">
      <c r="A28654" s="2" t="s">
        <v>163</v>
      </c>
    </row>
    <row r="28655" spans="1:1" ht="12.75">
      <c r="A28655" s="2" t="s">
        <v>162</v>
      </c>
    </row>
    <row r="28656" spans="1:1" ht="12.75">
      <c r="A28656" s="2" t="s">
        <v>181</v>
      </c>
    </row>
    <row r="28657" spans="1:1" ht="12.75">
      <c r="A28657" s="2" t="s">
        <v>162</v>
      </c>
    </row>
    <row r="28658" spans="1:1" ht="12.75">
      <c r="A28658" s="2" t="s">
        <v>181</v>
      </c>
    </row>
    <row r="28659" spans="1:1" ht="12.75">
      <c r="A28659" s="2" t="s">
        <v>182</v>
      </c>
    </row>
    <row r="28660" spans="1:1" ht="12.75">
      <c r="A28660" s="2" t="s">
        <v>182</v>
      </c>
    </row>
    <row r="28661" spans="1:1" ht="12.75">
      <c r="A28661" s="2" t="s">
        <v>181</v>
      </c>
    </row>
    <row r="28662" spans="1:1" ht="12.75">
      <c r="A28662" s="2" t="s">
        <v>182</v>
      </c>
    </row>
    <row r="28663" spans="1:1" ht="12.75">
      <c r="A28663" s="2" t="s">
        <v>183</v>
      </c>
    </row>
    <row r="28664" spans="1:1" ht="12.75">
      <c r="A28664" s="2" t="s">
        <v>1084</v>
      </c>
    </row>
    <row r="28665" spans="1:1" ht="12.75">
      <c r="A28665" s="2" t="s">
        <v>183</v>
      </c>
    </row>
    <row r="28666" spans="1:1" ht="12.75">
      <c r="A28666" s="2" t="s">
        <v>172</v>
      </c>
    </row>
    <row r="28667" spans="1:1" ht="12.75">
      <c r="A28667" s="2" t="s">
        <v>183</v>
      </c>
    </row>
    <row r="28668" spans="1:1" ht="12.75">
      <c r="A28668" s="2" t="s">
        <v>172</v>
      </c>
    </row>
    <row r="28669" spans="1:1" ht="12.75">
      <c r="A28669" s="2" t="s">
        <v>176</v>
      </c>
    </row>
    <row r="28670" spans="1:1" ht="12.75">
      <c r="A28670" s="2" t="s">
        <v>176</v>
      </c>
    </row>
    <row r="28671" spans="1:1" ht="12.75">
      <c r="A28671" s="2" t="s">
        <v>168</v>
      </c>
    </row>
    <row r="28672" spans="1:1" ht="12.75">
      <c r="A28672" s="2" t="s">
        <v>176</v>
      </c>
    </row>
    <row r="28673" spans="1:1" ht="12.75">
      <c r="A28673" s="2" t="s">
        <v>196</v>
      </c>
    </row>
    <row r="28674" spans="1:1" ht="12.75">
      <c r="A28674" s="2" t="s">
        <v>166</v>
      </c>
    </row>
    <row r="28675" spans="1:1" ht="12.75">
      <c r="A28675" s="2" t="s">
        <v>167</v>
      </c>
    </row>
    <row r="28676" spans="1:1" ht="12.75">
      <c r="A28676" s="2" t="s">
        <v>165</v>
      </c>
    </row>
    <row r="28677" spans="1:1" ht="12.75">
      <c r="A28677" s="2" t="s">
        <v>733</v>
      </c>
    </row>
    <row r="28678" spans="1:1" ht="12.75">
      <c r="A28678" s="2" t="s">
        <v>165</v>
      </c>
    </row>
    <row r="28679" spans="1:1" ht="12.75">
      <c r="A28679" s="2" t="s">
        <v>166</v>
      </c>
    </row>
    <row r="28680" spans="1:1" ht="12.75">
      <c r="A28680" s="2" t="s">
        <v>169</v>
      </c>
    </row>
    <row r="28681" spans="1:1" ht="12.75">
      <c r="A28681" s="2" t="s">
        <v>944</v>
      </c>
    </row>
    <row r="28683" spans="1:1" ht="12.75">
      <c r="A28683" s="2" t="s">
        <v>944</v>
      </c>
    </row>
    <row r="28690" spans="1:1" ht="12.75">
      <c r="A28690" s="2" t="s">
        <v>944</v>
      </c>
    </row>
    <row r="28691" spans="1:1" ht="12.75">
      <c r="A28691" s="2" t="s">
        <v>944</v>
      </c>
    </row>
    <row r="28692" spans="1:1" ht="12.75">
      <c r="A28692" s="2" t="s">
        <v>944</v>
      </c>
    </row>
    <row r="28694" spans="1:1" ht="12.75">
      <c r="A28694" s="2" t="s">
        <v>944</v>
      </c>
    </row>
    <row r="28695" spans="1:1" ht="12.75">
      <c r="A28695" s="2" t="s">
        <v>1085</v>
      </c>
    </row>
    <row r="28696" spans="1:1" ht="12.75">
      <c r="A28696" s="2" t="s">
        <v>1086</v>
      </c>
    </row>
    <row r="28697" spans="1:1" ht="12.75">
      <c r="A28697" s="2" t="s">
        <v>1085</v>
      </c>
    </row>
    <row r="28698" spans="1:1" ht="12.75">
      <c r="A28698" s="2" t="s">
        <v>739</v>
      </c>
    </row>
    <row r="28699" spans="1:1" ht="12.75">
      <c r="A28699" s="2" t="s">
        <v>739</v>
      </c>
    </row>
    <row r="28700" spans="1:1" ht="12.75">
      <c r="A28700" s="2" t="s">
        <v>738</v>
      </c>
    </row>
    <row r="28701" spans="1:1" ht="12.75">
      <c r="A28701" s="2" t="s">
        <v>739</v>
      </c>
    </row>
    <row r="28702" spans="1:1" ht="12.75">
      <c r="A28702" s="2" t="s">
        <v>738</v>
      </c>
    </row>
    <row r="28703" spans="1:1" ht="12.75">
      <c r="A28703" s="2" t="s">
        <v>738</v>
      </c>
    </row>
    <row r="28704" spans="1:1" ht="12.75">
      <c r="A28704" s="2" t="s">
        <v>740</v>
      </c>
    </row>
    <row r="28705" spans="1:1" ht="12.75">
      <c r="A28705" s="2" t="s">
        <v>738</v>
      </c>
    </row>
    <row r="28706" spans="1:1" ht="12.75">
      <c r="A28706" s="2" t="s">
        <v>740</v>
      </c>
    </row>
    <row r="28707" spans="1:1" ht="12.75">
      <c r="A28707" s="2" t="s">
        <v>739</v>
      </c>
    </row>
    <row r="28708" spans="1:1" ht="12.75">
      <c r="A28708" s="2" t="s">
        <v>740</v>
      </c>
    </row>
    <row r="28709" spans="1:1" ht="12.75">
      <c r="A28709" s="2" t="s">
        <v>740</v>
      </c>
    </row>
    <row r="28710" spans="1:1" ht="12.75">
      <c r="A28710" s="2" t="s">
        <v>740</v>
      </c>
    </row>
    <row r="28711" spans="1:1" ht="12.75">
      <c r="A28711" s="2" t="s">
        <v>740</v>
      </c>
    </row>
    <row r="28712" spans="1:1" ht="12.75">
      <c r="A28712" s="2" t="s">
        <v>740</v>
      </c>
    </row>
    <row r="28713" spans="1:1" ht="12.75">
      <c r="A28713" s="2" t="s">
        <v>740</v>
      </c>
    </row>
    <row r="28714" spans="1:1" ht="12.75">
      <c r="A28714" s="2" t="s">
        <v>739</v>
      </c>
    </row>
    <row r="28715" spans="1:1" ht="12.75">
      <c r="A28715" s="2" t="s">
        <v>307</v>
      </c>
    </row>
    <row r="28716" spans="1:1" ht="12.75">
      <c r="A28716" s="2" t="s">
        <v>741</v>
      </c>
    </row>
    <row r="28717" spans="1:1" ht="12.75">
      <c r="A28717" s="2" t="s">
        <v>944</v>
      </c>
    </row>
    <row r="28718" spans="1:1" ht="12.75">
      <c r="A28718" s="2" t="s">
        <v>743</v>
      </c>
    </row>
    <row r="28720" spans="1:1" ht="12.75">
      <c r="A28720" s="2" t="s">
        <v>274</v>
      </c>
    </row>
    <row r="28721" spans="1:1" ht="12.75">
      <c r="A28721" s="2" t="s">
        <v>274</v>
      </c>
    </row>
    <row r="28722" spans="1:1" ht="12.75">
      <c r="A28722" s="2" t="s">
        <v>274</v>
      </c>
    </row>
    <row r="28723" spans="1:1" ht="12.75">
      <c r="A28723" s="2" t="s">
        <v>274</v>
      </c>
    </row>
    <row r="28724" spans="1:1" ht="12.75">
      <c r="A28724" s="2" t="s">
        <v>274</v>
      </c>
    </row>
    <row r="28725" spans="1:1" ht="12.75">
      <c r="A28725" s="2" t="s">
        <v>1087</v>
      </c>
    </row>
    <row r="28726" spans="1:1" ht="12.75">
      <c r="A28726" s="2" t="s">
        <v>274</v>
      </c>
    </row>
    <row r="28727" spans="1:1" ht="12.75">
      <c r="A28727" s="2" t="s">
        <v>274</v>
      </c>
    </row>
    <row r="28728" spans="1:1" ht="12.75">
      <c r="A28728" s="2" t="s">
        <v>274</v>
      </c>
    </row>
    <row r="28729" spans="1:1" ht="12.75">
      <c r="A28729" s="2" t="s">
        <v>274</v>
      </c>
    </row>
    <row r="28730" spans="1:1" ht="12.75">
      <c r="A28730" s="2" t="s">
        <v>1088</v>
      </c>
    </row>
    <row r="28731" spans="1:1" ht="12.75">
      <c r="A28731" s="2" t="s">
        <v>274</v>
      </c>
    </row>
    <row r="28732" spans="1:1" ht="12.75">
      <c r="A28732" s="2" t="s">
        <v>274</v>
      </c>
    </row>
    <row r="28733" spans="1:1" ht="12.75">
      <c r="A28733" s="2" t="s">
        <v>274</v>
      </c>
    </row>
    <row r="28734" spans="1:1" ht="12.75">
      <c r="A28734" s="2" t="s">
        <v>274</v>
      </c>
    </row>
    <row r="28735" spans="1:1" ht="12.75">
      <c r="A28735" s="2" t="s">
        <v>274</v>
      </c>
    </row>
    <row r="28736" spans="1:1" ht="12.75">
      <c r="A28736" s="2" t="s">
        <v>274</v>
      </c>
    </row>
    <row r="28737" spans="1:1" ht="12.75">
      <c r="A28737" s="2" t="s">
        <v>274</v>
      </c>
    </row>
    <row r="28738" spans="1:1" ht="12.75">
      <c r="A28738" s="2" t="s">
        <v>169</v>
      </c>
    </row>
    <row r="28739" spans="1:1" ht="12.75">
      <c r="A28739" s="2" t="s">
        <v>274</v>
      </c>
    </row>
    <row r="28740" spans="1:1" ht="12.75">
      <c r="A28740" s="2" t="s">
        <v>189</v>
      </c>
    </row>
    <row r="28741" spans="1:1" ht="12.75">
      <c r="A28741" s="2" t="s">
        <v>224</v>
      </c>
    </row>
    <row r="28742" spans="1:1" ht="12.75">
      <c r="A28742" s="2" t="s">
        <v>196</v>
      </c>
    </row>
    <row r="28743" spans="1:1" ht="12.75">
      <c r="A28743" s="2" t="s">
        <v>224</v>
      </c>
    </row>
    <row r="28744" spans="1:1" ht="12.75">
      <c r="A28744" s="2" t="s">
        <v>189</v>
      </c>
    </row>
    <row r="28745" spans="1:1" ht="12.75">
      <c r="A28745" s="2" t="s">
        <v>170</v>
      </c>
    </row>
    <row r="28746" spans="1:1" ht="12.75">
      <c r="A28746" s="2" t="s">
        <v>170</v>
      </c>
    </row>
    <row r="28747" spans="1:1" ht="12.75">
      <c r="A28747" s="2" t="s">
        <v>196</v>
      </c>
    </row>
    <row r="28748" spans="1:1" ht="12.75">
      <c r="A28748" s="2" t="s">
        <v>170</v>
      </c>
    </row>
    <row r="28749" spans="1:1" ht="12.75">
      <c r="A28749" s="2" t="s">
        <v>1089</v>
      </c>
    </row>
    <row r="28750" spans="1:1" ht="12.75">
      <c r="A28750" s="2" t="s">
        <v>170</v>
      </c>
    </row>
    <row r="28751" spans="1:1" ht="12.75">
      <c r="A28751" s="2" t="s">
        <v>161</v>
      </c>
    </row>
    <row r="28752" spans="1:1" ht="12.75">
      <c r="A28752" s="2" t="s">
        <v>169</v>
      </c>
    </row>
    <row r="28753" spans="1:1" ht="12.75">
      <c r="A28753" s="2" t="s">
        <v>170</v>
      </c>
    </row>
    <row r="28754" spans="1:1" ht="12.75">
      <c r="A28754" s="2" t="s">
        <v>164</v>
      </c>
    </row>
    <row r="28755" spans="1:1" ht="12.75">
      <c r="A28755" s="2" t="s">
        <v>172</v>
      </c>
    </row>
    <row r="28756" spans="1:1" ht="12.75">
      <c r="A28756" s="2" t="s">
        <v>177</v>
      </c>
    </row>
    <row r="28757" spans="1:1" ht="12.75">
      <c r="A28757" s="2" t="s">
        <v>169</v>
      </c>
    </row>
    <row r="28758" spans="1:1" ht="12.75">
      <c r="A28758" s="2" t="s">
        <v>170</v>
      </c>
    </row>
    <row r="28759" spans="1:1" ht="12.75">
      <c r="A28759" s="2" t="s">
        <v>169</v>
      </c>
    </row>
    <row r="28760" spans="1:1" ht="12.75">
      <c r="A28760" s="2" t="s">
        <v>223</v>
      </c>
    </row>
    <row r="28761" spans="1:1" ht="12.75">
      <c r="A28761" s="2" t="s">
        <v>224</v>
      </c>
    </row>
    <row r="28762" spans="1:1" ht="12.75">
      <c r="A28762" s="2" t="s">
        <v>733</v>
      </c>
    </row>
    <row r="28763" spans="1:1" ht="12.75">
      <c r="A28763" s="2" t="s">
        <v>223</v>
      </c>
    </row>
    <row r="28764" spans="1:1" ht="12.75">
      <c r="A28764" s="2" t="s">
        <v>224</v>
      </c>
    </row>
    <row r="28765" spans="1:1" ht="12.75">
      <c r="A28765" s="2" t="s">
        <v>223</v>
      </c>
    </row>
    <row r="28766" spans="1:1" ht="12.75">
      <c r="A28766" s="2" t="s">
        <v>223</v>
      </c>
    </row>
    <row r="28767" spans="1:1" ht="12.75">
      <c r="A28767" s="2" t="s">
        <v>733</v>
      </c>
    </row>
    <row r="28768" spans="1:1" ht="12.75">
      <c r="A28768" s="2" t="s">
        <v>196</v>
      </c>
    </row>
    <row r="28769" spans="1:1" ht="12.75">
      <c r="A28769" s="2" t="s">
        <v>735</v>
      </c>
    </row>
    <row r="28770" spans="1:1" ht="12.75">
      <c r="A28770" s="2" t="s">
        <v>196</v>
      </c>
    </row>
    <row r="28771" spans="1:1" ht="12.75">
      <c r="A28771" s="2" t="s">
        <v>161</v>
      </c>
    </row>
    <row r="28772" spans="1:1" ht="12.75">
      <c r="A28772" s="2" t="s">
        <v>227</v>
      </c>
    </row>
    <row r="28773" spans="1:1" ht="12.75">
      <c r="A28773" s="2" t="s">
        <v>196</v>
      </c>
    </row>
    <row r="28774" spans="1:1" ht="12.75">
      <c r="A28774" s="2" t="s">
        <v>227</v>
      </c>
    </row>
    <row r="28775" spans="1:1" ht="12.75">
      <c r="A28775" s="2" t="s">
        <v>228</v>
      </c>
    </row>
    <row r="28776" spans="1:1" ht="12.75">
      <c r="A28776" s="2" t="s">
        <v>227</v>
      </c>
    </row>
    <row r="28777" spans="1:1" ht="12.75">
      <c r="A28777" s="2" t="s">
        <v>228</v>
      </c>
    </row>
    <row r="28778" spans="1:1" ht="12.75">
      <c r="A28778" s="2" t="s">
        <v>227</v>
      </c>
    </row>
    <row r="28779" spans="1:1" ht="12.75">
      <c r="A28779" s="2" t="s">
        <v>227</v>
      </c>
    </row>
    <row r="28780" spans="1:1" ht="12.75">
      <c r="A28780" s="2" t="s">
        <v>228</v>
      </c>
    </row>
    <row r="28781" spans="1:1" ht="12.75">
      <c r="A28781" s="2" t="s">
        <v>227</v>
      </c>
    </row>
    <row r="28782" spans="1:1" ht="12.75">
      <c r="A28782" s="2" t="s">
        <v>227</v>
      </c>
    </row>
    <row r="28783" spans="1:1" ht="12.75">
      <c r="A28783" s="2" t="s">
        <v>228</v>
      </c>
    </row>
    <row r="28784" spans="1:1" ht="12.75">
      <c r="A28784" s="2" t="s">
        <v>227</v>
      </c>
    </row>
    <row r="28785" spans="1:1" ht="12.75">
      <c r="A28785" s="2" t="s">
        <v>228</v>
      </c>
    </row>
    <row r="28786" spans="1:1" ht="12.75">
      <c r="A28786" s="2" t="s">
        <v>227</v>
      </c>
    </row>
    <row r="28787" spans="1:1" ht="12.75">
      <c r="A28787" s="2" t="s">
        <v>228</v>
      </c>
    </row>
    <row r="28788" spans="1:1" ht="12.75">
      <c r="A28788" s="2" t="s">
        <v>228</v>
      </c>
    </row>
    <row r="28789" spans="1:1" ht="12.75">
      <c r="A28789" s="2" t="s">
        <v>228</v>
      </c>
    </row>
    <row r="28790" spans="1:1" ht="12.75">
      <c r="A28790" s="2" t="s">
        <v>228</v>
      </c>
    </row>
    <row r="28791" spans="1:1" ht="12.75">
      <c r="A28791" s="2" t="s">
        <v>227</v>
      </c>
    </row>
    <row r="28792" spans="1:1" ht="12.75">
      <c r="A28792" s="2" t="s">
        <v>228</v>
      </c>
    </row>
    <row r="28793" spans="1:1" ht="12.75">
      <c r="A28793" s="2" t="s">
        <v>178</v>
      </c>
    </row>
    <row r="28794" spans="1:1" ht="12.75">
      <c r="A28794" s="2" t="s">
        <v>184</v>
      </c>
    </row>
    <row r="28795" spans="1:1" ht="12.75">
      <c r="A28795" s="2" t="s">
        <v>736</v>
      </c>
    </row>
    <row r="28796" spans="1:1" ht="12.75">
      <c r="A28796" s="2" t="s">
        <v>178</v>
      </c>
    </row>
    <row r="28797" spans="1:1" ht="12.75">
      <c r="A28797" s="2" t="s">
        <v>173</v>
      </c>
    </row>
    <row r="28798" spans="1:1" ht="12.75">
      <c r="A28798" s="2" t="s">
        <v>194</v>
      </c>
    </row>
    <row r="28799" spans="1:1" ht="12.75">
      <c r="A28799" s="2" t="s">
        <v>173</v>
      </c>
    </row>
    <row r="28800" spans="1:1" ht="12.75">
      <c r="A28800" s="2" t="s">
        <v>1082</v>
      </c>
    </row>
    <row r="28801" spans="1:1" ht="12.75">
      <c r="A28801" s="2" t="s">
        <v>184</v>
      </c>
    </row>
    <row r="28802" spans="1:1" ht="12.75">
      <c r="A28802" s="2" t="s">
        <v>173</v>
      </c>
    </row>
    <row r="28803" spans="1:1" ht="12.75">
      <c r="A28803" s="2" t="s">
        <v>185</v>
      </c>
    </row>
    <row r="28804" spans="1:1" ht="12.75">
      <c r="A28804" s="2" t="s">
        <v>177</v>
      </c>
    </row>
    <row r="28805" spans="1:1" ht="12.75">
      <c r="A28805" s="2" t="s">
        <v>194</v>
      </c>
    </row>
    <row r="28806" spans="1:1" ht="12.75">
      <c r="A28806" s="2" t="s">
        <v>185</v>
      </c>
    </row>
    <row r="28807" spans="1:1" ht="12.75">
      <c r="A28807" s="2" t="s">
        <v>163</v>
      </c>
    </row>
    <row r="28808" spans="1:1" ht="12.75">
      <c r="A28808" s="2" t="s">
        <v>163</v>
      </c>
    </row>
    <row r="28809" spans="1:1" ht="12.75">
      <c r="A28809" s="2" t="s">
        <v>177</v>
      </c>
    </row>
    <row r="28810" spans="1:1" ht="12.75">
      <c r="A28810" s="2" t="s">
        <v>163</v>
      </c>
    </row>
    <row r="28811" spans="1:1" ht="12.75">
      <c r="A28811" s="2" t="s">
        <v>162</v>
      </c>
    </row>
    <row r="28812" spans="1:1" ht="12.75">
      <c r="A28812" s="2" t="s">
        <v>1090</v>
      </c>
    </row>
    <row r="28813" spans="1:1" ht="12.75">
      <c r="A28813" s="2" t="s">
        <v>162</v>
      </c>
    </row>
    <row r="28814" spans="1:1" ht="12.75">
      <c r="A28814" s="2" t="s">
        <v>162</v>
      </c>
    </row>
    <row r="28815" spans="1:1" ht="12.75">
      <c r="A28815" s="2" t="s">
        <v>161</v>
      </c>
    </row>
    <row r="28816" spans="1:1" ht="12.75">
      <c r="A28816" s="2" t="s">
        <v>162</v>
      </c>
    </row>
    <row r="28817" spans="1:1" ht="12.75">
      <c r="A28817" s="2" t="s">
        <v>175</v>
      </c>
    </row>
    <row r="28818" spans="1:1" ht="12.75">
      <c r="A28818" s="2" t="s">
        <v>179</v>
      </c>
    </row>
    <row r="28819" spans="1:1" ht="12.75">
      <c r="A28819" s="2" t="s">
        <v>163</v>
      </c>
    </row>
    <row r="28820" spans="1:1" ht="12.75">
      <c r="A28820" s="2" t="s">
        <v>179</v>
      </c>
    </row>
    <row r="28821" spans="1:1" ht="12.75">
      <c r="A28821" s="2" t="s">
        <v>163</v>
      </c>
    </row>
    <row r="28822" spans="1:1" ht="12.75">
      <c r="A28822" s="2" t="s">
        <v>734</v>
      </c>
    </row>
    <row r="28823" spans="1:1" ht="12.75">
      <c r="A28823" s="2" t="s">
        <v>191</v>
      </c>
    </row>
    <row r="28824" spans="1:1" ht="12.75">
      <c r="A28824" s="2" t="s">
        <v>173</v>
      </c>
    </row>
    <row r="28825" spans="1:1" ht="12.75">
      <c r="A28825" s="2" t="s">
        <v>191</v>
      </c>
    </row>
    <row r="28827" spans="1:1" ht="12.75">
      <c r="A28827" s="2" t="s">
        <v>225</v>
      </c>
    </row>
    <row r="28829" spans="1:1" ht="12.75">
      <c r="A28829" s="2" t="s">
        <v>171</v>
      </c>
    </row>
    <row r="28830" spans="1:1" ht="12.75">
      <c r="A28830" s="2" t="s">
        <v>180</v>
      </c>
    </row>
    <row r="28831" spans="1:1" ht="12.75">
      <c r="A28831" s="2" t="s">
        <v>181</v>
      </c>
    </row>
    <row r="28832" spans="1:1" ht="12.75">
      <c r="A28832" s="2" t="s">
        <v>194</v>
      </c>
    </row>
    <row r="28833" spans="1:1" ht="12.75">
      <c r="A28833" s="2" t="s">
        <v>181</v>
      </c>
    </row>
    <row r="28834" spans="1:1" ht="12.75">
      <c r="A28834" s="2" t="s">
        <v>162</v>
      </c>
    </row>
    <row r="28835" spans="1:1" ht="12.75">
      <c r="A28835" s="2" t="s">
        <v>181</v>
      </c>
    </row>
    <row r="28836" spans="1:1" ht="12.75">
      <c r="A28836" s="2" t="s">
        <v>162</v>
      </c>
    </row>
    <row r="28837" spans="1:1" ht="12.75">
      <c r="A28837" s="2" t="s">
        <v>194</v>
      </c>
    </row>
    <row r="28838" spans="1:1" ht="12.75">
      <c r="A28838" s="2" t="s">
        <v>162</v>
      </c>
    </row>
    <row r="28839" spans="1:1" ht="12.75">
      <c r="A28839" s="2" t="s">
        <v>194</v>
      </c>
    </row>
    <row r="28840" spans="1:1" ht="12.75">
      <c r="A28840" s="2" t="s">
        <v>177</v>
      </c>
    </row>
    <row r="28842" spans="1:1" ht="12.75">
      <c r="A28842" s="2" t="s">
        <v>735</v>
      </c>
    </row>
    <row r="28843" spans="1:1" ht="12.75">
      <c r="A28843" s="2" t="s">
        <v>183</v>
      </c>
    </row>
    <row r="28844" spans="1:1" ht="12.75">
      <c r="A28844" s="2" t="s">
        <v>182</v>
      </c>
    </row>
    <row r="28845" spans="1:1" ht="12.75">
      <c r="A28845" s="2" t="s">
        <v>183</v>
      </c>
    </row>
    <row r="28846" spans="1:1" ht="12.75">
      <c r="A28846" s="2" t="s">
        <v>182</v>
      </c>
    </row>
    <row r="28847" spans="1:1" ht="12.75">
      <c r="A28847" s="2" t="s">
        <v>176</v>
      </c>
    </row>
    <row r="28848" spans="1:1" ht="12.75">
      <c r="A28848" s="2" t="s">
        <v>184</v>
      </c>
    </row>
    <row r="28849" spans="1:1" ht="12.75">
      <c r="A28849" s="2" t="s">
        <v>176</v>
      </c>
    </row>
    <row r="28850" spans="1:1" ht="12.75">
      <c r="A28850" s="2" t="s">
        <v>184</v>
      </c>
    </row>
    <row r="28851" spans="1:1" ht="12.75">
      <c r="A28851" s="2" t="s">
        <v>167</v>
      </c>
    </row>
    <row r="28852" spans="1:1" ht="12.75">
      <c r="A28852" s="2" t="s">
        <v>167</v>
      </c>
    </row>
    <row r="28853" spans="1:1" ht="12.75">
      <c r="A28853" s="2" t="s">
        <v>167</v>
      </c>
    </row>
    <row r="28854" spans="1:1" ht="12.75">
      <c r="A28854" s="2" t="s">
        <v>176</v>
      </c>
    </row>
    <row r="28855" spans="1:1" ht="12.75">
      <c r="A28855" s="2" t="s">
        <v>168</v>
      </c>
    </row>
    <row r="28856" spans="1:1" ht="12.75">
      <c r="A28856" s="2" t="s">
        <v>161</v>
      </c>
    </row>
    <row r="28857" spans="1:1" ht="12.75">
      <c r="A28857" s="2" t="s">
        <v>161</v>
      </c>
    </row>
    <row r="28858" spans="1:1" ht="12.75">
      <c r="A28858" s="2" t="s">
        <v>161</v>
      </c>
    </row>
    <row r="28859" spans="1:1" ht="12.75">
      <c r="A28859" s="2" t="s">
        <v>166</v>
      </c>
    </row>
    <row r="28860" spans="1:1" ht="12.75">
      <c r="A28860" s="2" t="s">
        <v>168</v>
      </c>
    </row>
    <row r="28861" spans="1:1" ht="12.75">
      <c r="A28861" s="2" t="s">
        <v>166</v>
      </c>
    </row>
    <row r="28862" spans="1:1" ht="12.75">
      <c r="A28862" s="2" t="s">
        <v>734</v>
      </c>
    </row>
    <row r="28863" spans="1:1" ht="12.75">
      <c r="A28863" s="2" t="s">
        <v>174</v>
      </c>
    </row>
    <row r="28864" spans="1:1" ht="12.75">
      <c r="A28864" s="2" t="s">
        <v>734</v>
      </c>
    </row>
    <row r="28865" spans="1:1" ht="12.75">
      <c r="A28865" s="2" t="s">
        <v>174</v>
      </c>
    </row>
    <row r="28866" spans="1:1" ht="12.75">
      <c r="A28866" s="2" t="s">
        <v>735</v>
      </c>
    </row>
    <row r="28867" spans="1:1" ht="12.75">
      <c r="A28867" s="2" t="s">
        <v>184</v>
      </c>
    </row>
    <row r="28868" spans="1:1" ht="12.75">
      <c r="A28868" s="2" t="s">
        <v>735</v>
      </c>
    </row>
    <row r="28869" spans="1:1" ht="12.75">
      <c r="A28869" s="2" t="s">
        <v>259</v>
      </c>
    </row>
    <row r="28870" spans="1:1" ht="12.75">
      <c r="A28870" s="2" t="s">
        <v>189</v>
      </c>
    </row>
    <row r="28871" spans="1:1" ht="12.75">
      <c r="A28871" s="2" t="s">
        <v>166</v>
      </c>
    </row>
    <row r="28872" spans="1:1" ht="12.75">
      <c r="A28872" s="2" t="s">
        <v>173</v>
      </c>
    </row>
    <row r="28873" spans="1:1" ht="12.75">
      <c r="A28873" s="2" t="s">
        <v>259</v>
      </c>
    </row>
    <row r="28874" spans="1:1" ht="12.75">
      <c r="A28874" s="2" t="s">
        <v>217</v>
      </c>
    </row>
    <row r="28875" spans="1:1" ht="12.75">
      <c r="A28875" s="2" t="s">
        <v>259</v>
      </c>
    </row>
    <row r="28876" spans="1:1" ht="12.75">
      <c r="A28876" s="2" t="s">
        <v>217</v>
      </c>
    </row>
    <row r="28877" spans="1:1" ht="12.75">
      <c r="A28877" s="2" t="s">
        <v>259</v>
      </c>
    </row>
    <row r="28878" spans="1:1" ht="12.75">
      <c r="A28878" s="2" t="s">
        <v>217</v>
      </c>
    </row>
    <row r="28879" spans="1:1" ht="12.75">
      <c r="A28879" s="2" t="s">
        <v>301</v>
      </c>
    </row>
    <row r="28880" spans="1:1" ht="12.75">
      <c r="A28880" s="2" t="s">
        <v>224</v>
      </c>
    </row>
    <row r="28881" spans="1:1" ht="12.75">
      <c r="A28881" s="2" t="s">
        <v>193</v>
      </c>
    </row>
    <row r="28882" spans="1:1" ht="12.75">
      <c r="A28882" s="2" t="s">
        <v>224</v>
      </c>
    </row>
    <row r="28883" spans="1:1" ht="12.75">
      <c r="A28883" s="2" t="s">
        <v>301</v>
      </c>
    </row>
    <row r="28884" spans="1:1" ht="12.75">
      <c r="A28884" s="2" t="s">
        <v>301</v>
      </c>
    </row>
    <row r="28885" spans="1:1" ht="12.75">
      <c r="A28885" s="2" t="s">
        <v>301</v>
      </c>
    </row>
    <row r="28886" spans="1:1" ht="12.75">
      <c r="A28886" s="2" t="s">
        <v>940</v>
      </c>
    </row>
    <row r="28887" spans="1:1" ht="12.75">
      <c r="A28887" s="2" t="s">
        <v>260</v>
      </c>
    </row>
    <row r="28888" spans="1:1" ht="12.75">
      <c r="A28888" s="2" t="s">
        <v>258</v>
      </c>
    </row>
    <row r="28889" spans="1:1" ht="12.75">
      <c r="A28889" s="2" t="s">
        <v>258</v>
      </c>
    </row>
    <row r="28890" spans="1:1" ht="12.75">
      <c r="A28890" s="2" t="s">
        <v>260</v>
      </c>
    </row>
    <row r="28891" spans="1:1" ht="12.75">
      <c r="A28891" s="2" t="s">
        <v>260</v>
      </c>
    </row>
    <row r="28892" spans="1:1" ht="12.75">
      <c r="A28892" s="2" t="s">
        <v>260</v>
      </c>
    </row>
    <row r="28893" spans="1:1" ht="12.75">
      <c r="A28893" s="2" t="s">
        <v>260</v>
      </c>
    </row>
    <row r="28894" spans="1:1" ht="12.75">
      <c r="A28894" s="2" t="s">
        <v>259</v>
      </c>
    </row>
    <row r="28895" spans="1:1" ht="12.75">
      <c r="A28895" s="2" t="s">
        <v>258</v>
      </c>
    </row>
    <row r="28896" spans="1:1" ht="12.75">
      <c r="A28896" s="2" t="s">
        <v>258</v>
      </c>
    </row>
    <row r="28897" spans="1:1" ht="12.75">
      <c r="A28897" s="2" t="s">
        <v>259</v>
      </c>
    </row>
    <row r="28898" spans="1:1" ht="12.75">
      <c r="A28898" s="2" t="s">
        <v>260</v>
      </c>
    </row>
    <row r="28899" spans="1:1" ht="12.75">
      <c r="A28899" s="2" t="s">
        <v>258</v>
      </c>
    </row>
    <row r="28900" spans="1:1" ht="12.75">
      <c r="A28900" s="2" t="s">
        <v>258</v>
      </c>
    </row>
    <row r="28901" spans="1:1" ht="12.75">
      <c r="A28901" s="2" t="s">
        <v>260</v>
      </c>
    </row>
    <row r="28902" spans="1:1" ht="12.75">
      <c r="A28902" s="2" t="s">
        <v>258</v>
      </c>
    </row>
    <row r="28903" spans="1:1" ht="12.75">
      <c r="A28903" s="2" t="s">
        <v>741</v>
      </c>
    </row>
    <row r="28904" spans="1:1" ht="12.75">
      <c r="A28904" s="2" t="s">
        <v>741</v>
      </c>
    </row>
    <row r="28905" spans="1:1" ht="12.75">
      <c r="A28905" s="2" t="s">
        <v>741</v>
      </c>
    </row>
    <row r="28906" spans="1:1" ht="12.75">
      <c r="A28906" s="2" t="s">
        <v>301</v>
      </c>
    </row>
    <row r="28907" spans="1:1" ht="12.75">
      <c r="A28907" s="2" t="s">
        <v>741</v>
      </c>
    </row>
    <row r="28908" spans="1:1" ht="12.75">
      <c r="A28908" s="2" t="s">
        <v>301</v>
      </c>
    </row>
    <row r="28909" spans="1:1" ht="12.75">
      <c r="A28909" s="2" t="s">
        <v>743</v>
      </c>
    </row>
    <row r="28910" spans="1:1" ht="12.75">
      <c r="A28910" s="2" t="s">
        <v>301</v>
      </c>
    </row>
    <row r="28911" spans="1:1" ht="12.75">
      <c r="A28911" s="2" t="s">
        <v>743</v>
      </c>
    </row>
    <row r="28912" spans="1:1" ht="12.75">
      <c r="A28912" s="2" t="s">
        <v>258</v>
      </c>
    </row>
    <row r="28913" spans="1:1" ht="12.75">
      <c r="A28913" s="2" t="s">
        <v>741</v>
      </c>
    </row>
    <row r="28914" spans="1:1" ht="12.75">
      <c r="A28914" s="2" t="s">
        <v>260</v>
      </c>
    </row>
    <row r="28915" spans="1:1" ht="12.75">
      <c r="A28915" s="2" t="s">
        <v>174</v>
      </c>
    </row>
    <row r="28916" spans="1:1" ht="12.75">
      <c r="A28916" s="2" t="s">
        <v>743</v>
      </c>
    </row>
    <row r="28917" spans="1:1" ht="12.75">
      <c r="A28917" s="2" t="s">
        <v>174</v>
      </c>
    </row>
    <row r="28918" spans="1:1" ht="12.75">
      <c r="A28918" s="2" t="s">
        <v>741</v>
      </c>
    </row>
    <row r="28919" spans="1:1" ht="12.75">
      <c r="A28919" s="2" t="s">
        <v>177</v>
      </c>
    </row>
    <row r="28920" spans="1:1" ht="12.75">
      <c r="A28920" s="2" t="s">
        <v>743</v>
      </c>
    </row>
    <row r="28921" spans="1:1" ht="12.75">
      <c r="A28921" s="2" t="s">
        <v>171</v>
      </c>
    </row>
    <row r="28922" spans="1:1" ht="12.75">
      <c r="A28922" s="2" t="s">
        <v>741</v>
      </c>
    </row>
    <row r="28923" spans="1:1" ht="12.75">
      <c r="A28923" s="2" t="s">
        <v>741</v>
      </c>
    </row>
    <row r="28924" spans="1:1" ht="12.75">
      <c r="A28924" s="2" t="s">
        <v>743</v>
      </c>
    </row>
    <row r="28925" spans="1:1" ht="12.75">
      <c r="A28925" s="2" t="s">
        <v>173</v>
      </c>
    </row>
    <row r="28926" spans="1:1" ht="12.75">
      <c r="A28926" s="2" t="s">
        <v>225</v>
      </c>
    </row>
    <row r="28927" spans="1:1" ht="12.75">
      <c r="A28927" s="2" t="s">
        <v>173</v>
      </c>
    </row>
    <row r="28928" spans="1:1" ht="12.75">
      <c r="A28928" s="2" t="s">
        <v>225</v>
      </c>
    </row>
    <row r="28929" spans="1:1" ht="12.75">
      <c r="A28929" s="2" t="s">
        <v>163</v>
      </c>
    </row>
    <row r="28930" spans="1:1" ht="12.75">
      <c r="A28930" s="2" t="s">
        <v>185</v>
      </c>
    </row>
    <row r="28931" spans="1:1" ht="12.75">
      <c r="A28931" s="2" t="s">
        <v>175</v>
      </c>
    </row>
    <row r="28932" spans="1:1" ht="12.75">
      <c r="A28932" s="2" t="s">
        <v>194</v>
      </c>
    </row>
    <row r="28933" spans="1:1" ht="12.75">
      <c r="A28933" s="2" t="s">
        <v>175</v>
      </c>
    </row>
    <row r="28934" spans="1:1" ht="12.75">
      <c r="A28934" s="2" t="s">
        <v>194</v>
      </c>
    </row>
    <row r="28935" spans="1:1" ht="12.75">
      <c r="A28935" s="2" t="s">
        <v>185</v>
      </c>
    </row>
    <row r="28936" spans="1:1" ht="12.75">
      <c r="A28936" s="2" t="s">
        <v>194</v>
      </c>
    </row>
    <row r="28937" spans="1:1" ht="12.75">
      <c r="A28937" s="2" t="s">
        <v>164</v>
      </c>
    </row>
    <row r="28938" spans="1:1" ht="12.75">
      <c r="A28938" s="2" t="s">
        <v>177</v>
      </c>
    </row>
    <row r="28939" spans="1:1" ht="12.75">
      <c r="A28939" s="2" t="s">
        <v>164</v>
      </c>
    </row>
    <row r="28940" spans="1:1" ht="12.75">
      <c r="A28940" s="2" t="s">
        <v>177</v>
      </c>
    </row>
    <row r="28941" spans="1:1" ht="12.75">
      <c r="A28941" s="2" t="s">
        <v>179</v>
      </c>
    </row>
    <row r="28942" spans="1:1" ht="12.75">
      <c r="A28942" s="2" t="s">
        <v>177</v>
      </c>
    </row>
    <row r="28943" spans="1:1" ht="12.75">
      <c r="A28943" s="2" t="s">
        <v>179</v>
      </c>
    </row>
    <row r="28944" spans="1:1" ht="12.75">
      <c r="A28944" s="2" t="s">
        <v>163</v>
      </c>
    </row>
    <row r="28945" spans="1:1" ht="12.75">
      <c r="A28945" s="2" t="s">
        <v>179</v>
      </c>
    </row>
    <row r="28946" spans="1:1" ht="12.75">
      <c r="A28946" s="2" t="s">
        <v>163</v>
      </c>
    </row>
    <row r="28947" spans="1:1" ht="12.75">
      <c r="A28947" s="2" t="s">
        <v>176</v>
      </c>
    </row>
    <row r="28948" spans="1:1" ht="12.75">
      <c r="A28948" s="2" t="s">
        <v>172</v>
      </c>
    </row>
    <row r="28949" spans="1:1" ht="12.75">
      <c r="A28949" s="2" t="s">
        <v>176</v>
      </c>
    </row>
    <row r="28951" spans="1:1" ht="12.75">
      <c r="A28951" s="2" t="s">
        <v>176</v>
      </c>
    </row>
    <row r="28952" spans="1:1" ht="12.75">
      <c r="A28952" s="2" t="s">
        <v>183</v>
      </c>
    </row>
    <row r="28953" spans="1:1" ht="12.75">
      <c r="A28953" s="2" t="s">
        <v>168</v>
      </c>
    </row>
    <row r="28954" spans="1:1" ht="12.75">
      <c r="A28954" s="2" t="s">
        <v>183</v>
      </c>
    </row>
    <row r="28955" spans="1:1" ht="12.75">
      <c r="A28955" s="2" t="s">
        <v>168</v>
      </c>
    </row>
    <row r="28956" spans="1:1" ht="12.75">
      <c r="A28956" s="2" t="s">
        <v>165</v>
      </c>
    </row>
    <row r="28957" spans="1:1" ht="12.75">
      <c r="A28957" s="2" t="s">
        <v>168</v>
      </c>
    </row>
    <row r="28958" spans="1:1" ht="12.75">
      <c r="A28958" s="2" t="s">
        <v>165</v>
      </c>
    </row>
    <row r="28959" spans="1:1" ht="12.75">
      <c r="A28959" s="2" t="s">
        <v>172</v>
      </c>
    </row>
    <row r="28960" spans="1:1" ht="12.75">
      <c r="A28960" s="2" t="s">
        <v>1078</v>
      </c>
    </row>
    <row r="28961" spans="1:1" ht="12.75">
      <c r="A28961" s="2" t="s">
        <v>172</v>
      </c>
    </row>
    <row r="28962" spans="1:1" ht="12.75">
      <c r="A28962" s="2" t="s">
        <v>164</v>
      </c>
    </row>
    <row r="28963" spans="1:1" ht="12.75">
      <c r="A28963" s="2" t="s">
        <v>166</v>
      </c>
    </row>
    <row r="28964" spans="1:1" ht="12.75">
      <c r="A28964" s="2" t="s">
        <v>161</v>
      </c>
    </row>
    <row r="28965" spans="1:1" ht="12.75">
      <c r="A28965" s="2" t="s">
        <v>166</v>
      </c>
    </row>
    <row r="28966" spans="1:1" ht="12.75">
      <c r="A28966" s="2" t="s">
        <v>165</v>
      </c>
    </row>
    <row r="28967" spans="1:1" ht="12.75">
      <c r="A28967" s="2" t="s">
        <v>160</v>
      </c>
    </row>
    <row r="28968" spans="1:1" ht="12.75">
      <c r="A28968" s="2" t="s">
        <v>733</v>
      </c>
    </row>
    <row r="28969" spans="1:1" ht="12.75">
      <c r="A28969" s="2" t="s">
        <v>166</v>
      </c>
    </row>
    <row r="28970" spans="1:1" ht="12.75">
      <c r="A28970" s="2" t="s">
        <v>733</v>
      </c>
    </row>
    <row r="28971" spans="1:1" ht="12.75">
      <c r="A28971" s="2" t="s">
        <v>165</v>
      </c>
    </row>
    <row r="28972" spans="1:1" ht="12.75">
      <c r="A28972" s="2" t="s">
        <v>167</v>
      </c>
    </row>
    <row r="28973" spans="1:1" ht="12.75">
      <c r="A28973" s="2" t="s">
        <v>166</v>
      </c>
    </row>
    <row r="28974" spans="1:1" ht="12.75">
      <c r="A28974" s="2" t="s">
        <v>217</v>
      </c>
    </row>
    <row r="28975" spans="1:1" ht="12.75">
      <c r="A28975" s="2" t="s">
        <v>169</v>
      </c>
    </row>
    <row r="28976" spans="1:1" ht="12.75">
      <c r="A28976" s="2" t="s">
        <v>217</v>
      </c>
    </row>
    <row r="28977" spans="1:1" ht="12.75">
      <c r="A28977" s="2" t="s">
        <v>224</v>
      </c>
    </row>
    <row r="28978" spans="1:1" ht="12.75">
      <c r="A28978" s="2" t="s">
        <v>217</v>
      </c>
    </row>
    <row r="28979" spans="1:1" ht="12.75">
      <c r="A28979" s="2" t="s">
        <v>169</v>
      </c>
    </row>
    <row r="28980" spans="1:1" ht="12.75">
      <c r="A28980" s="2" t="s">
        <v>189</v>
      </c>
    </row>
    <row r="28981" spans="1:1" ht="12.75">
      <c r="A28981" s="2" t="s">
        <v>184</v>
      </c>
    </row>
    <row r="28983" spans="1:1" ht="12.75">
      <c r="A28983" s="2" t="s">
        <v>184</v>
      </c>
    </row>
    <row r="28984" spans="1:1" ht="12.75">
      <c r="A28984" s="2" t="s">
        <v>160</v>
      </c>
    </row>
    <row r="28985" spans="1:1" ht="12.75">
      <c r="A28985" s="2" t="s">
        <v>183</v>
      </c>
    </row>
    <row r="28986" spans="1:1" ht="12.75">
      <c r="A28986" s="2" t="s">
        <v>167</v>
      </c>
    </row>
    <row r="28987" spans="1:1" ht="12.75">
      <c r="A28987" s="2" t="s">
        <v>172</v>
      </c>
    </row>
    <row r="28988" spans="1:1" ht="12.75">
      <c r="A28988" s="2" t="s">
        <v>733</v>
      </c>
    </row>
    <row r="28989" spans="1:1" ht="12.75">
      <c r="A28989" s="2" t="s">
        <v>172</v>
      </c>
    </row>
    <row r="28990" spans="1:1" ht="12.75">
      <c r="A28990" s="2" t="s">
        <v>167</v>
      </c>
    </row>
    <row r="28992" spans="1:1" ht="12.75">
      <c r="A28992" s="2" t="s">
        <v>165</v>
      </c>
    </row>
    <row r="28994" spans="1:1" ht="12.75">
      <c r="A28994" s="2" t="s">
        <v>160</v>
      </c>
    </row>
    <row r="28995" spans="1:1" ht="12.75">
      <c r="A28995" s="2" t="s">
        <v>176</v>
      </c>
    </row>
    <row r="28996" spans="1:1" ht="12.75">
      <c r="A28996" s="2" t="s">
        <v>165</v>
      </c>
    </row>
    <row r="28997" spans="1:1" ht="12.75">
      <c r="A28997" s="2" t="s">
        <v>176</v>
      </c>
    </row>
    <row r="28998" spans="1:1" ht="12.75">
      <c r="A28998" s="2" t="s">
        <v>166</v>
      </c>
    </row>
    <row r="28999" spans="1:1" ht="12.75">
      <c r="A28999" s="2" t="s">
        <v>176</v>
      </c>
    </row>
    <row r="29000" spans="1:1" ht="12.75">
      <c r="A29000" s="2" t="s">
        <v>166</v>
      </c>
    </row>
    <row r="29002" spans="1:1" ht="12.75">
      <c r="A29002" s="2" t="s">
        <v>182</v>
      </c>
    </row>
    <row r="29003" spans="1:1" ht="12.75">
      <c r="A29003" s="2" t="s">
        <v>181</v>
      </c>
    </row>
    <row r="29004" spans="1:1" ht="12.75">
      <c r="A29004" s="2" t="s">
        <v>182</v>
      </c>
    </row>
    <row r="29005" spans="1:1" ht="12.75">
      <c r="A29005" s="2" t="s">
        <v>181</v>
      </c>
    </row>
    <row r="29006" spans="1:1" ht="12.75">
      <c r="A29006" s="2" t="s">
        <v>734</v>
      </c>
    </row>
    <row r="29007" spans="1:1" ht="12.75">
      <c r="A29007" s="2" t="s">
        <v>182</v>
      </c>
    </row>
    <row r="29008" spans="1:1" ht="12.75">
      <c r="A29008" s="2" t="s">
        <v>183</v>
      </c>
    </row>
    <row r="29009" spans="1:1" ht="12.75">
      <c r="A29009" s="2" t="s">
        <v>185</v>
      </c>
    </row>
    <row r="29010" spans="1:1" ht="12.75">
      <c r="A29010" s="2" t="s">
        <v>163</v>
      </c>
    </row>
    <row r="29011" spans="1:1" ht="12.75">
      <c r="A29011" s="2" t="s">
        <v>185</v>
      </c>
    </row>
    <row r="29012" spans="1:1" ht="12.75">
      <c r="A29012" s="2" t="s">
        <v>162</v>
      </c>
    </row>
    <row r="29013" spans="1:1" ht="12.75">
      <c r="A29013" s="2" t="s">
        <v>175</v>
      </c>
    </row>
    <row r="29014" spans="1:1" ht="12.75">
      <c r="A29014" s="2" t="s">
        <v>162</v>
      </c>
    </row>
    <row r="29015" spans="1:1" ht="12.75">
      <c r="A29015" s="2" t="s">
        <v>295</v>
      </c>
    </row>
    <row r="29016" spans="1:1" ht="12.75">
      <c r="A29016" s="2" t="s">
        <v>295</v>
      </c>
    </row>
    <row r="29017" spans="1:1" ht="12.75">
      <c r="A29017" s="2" t="s">
        <v>593</v>
      </c>
    </row>
    <row r="29018" spans="1:1" ht="12.75">
      <c r="A29018" s="2" t="s">
        <v>593</v>
      </c>
    </row>
    <row r="29019" spans="1:1" ht="12.75">
      <c r="A29019" s="2" t="s">
        <v>593</v>
      </c>
    </row>
    <row r="29020" spans="1:1" ht="12.75">
      <c r="A29020" s="2" t="s">
        <v>593</v>
      </c>
    </row>
    <row r="29021" spans="1:1" ht="12.75">
      <c r="A29021" s="2" t="s">
        <v>593</v>
      </c>
    </row>
    <row r="29022" spans="1:1" ht="12.75">
      <c r="A29022" s="2" t="s">
        <v>593</v>
      </c>
    </row>
    <row r="29023" spans="1:1" ht="12.75">
      <c r="A29023" s="2" t="s">
        <v>593</v>
      </c>
    </row>
    <row r="29024" spans="1:1" ht="12.75">
      <c r="A29024" s="2" t="s">
        <v>593</v>
      </c>
    </row>
    <row r="29025" spans="1:1" ht="12.75">
      <c r="A29025" s="2" t="s">
        <v>593</v>
      </c>
    </row>
    <row r="29026" spans="1:1" ht="12.75">
      <c r="A29026" s="2" t="s">
        <v>593</v>
      </c>
    </row>
    <row r="29027" spans="1:1" ht="12.75">
      <c r="A29027" s="2" t="s">
        <v>294</v>
      </c>
    </row>
    <row r="29028" spans="1:1" ht="12.75">
      <c r="A29028" s="2" t="s">
        <v>294</v>
      </c>
    </row>
    <row r="29029" spans="1:1" ht="12.75">
      <c r="A29029" s="2" t="s">
        <v>294</v>
      </c>
    </row>
    <row r="29030" spans="1:1" ht="12.75">
      <c r="A29030" s="2" t="s">
        <v>294</v>
      </c>
    </row>
    <row r="29031" spans="1:1" ht="12.75">
      <c r="A29031" s="2" t="s">
        <v>294</v>
      </c>
    </row>
    <row r="29032" spans="1:1" ht="12.75">
      <c r="A29032" s="2" t="s">
        <v>294</v>
      </c>
    </row>
    <row r="29033" spans="1:1" ht="12.75">
      <c r="A29033" s="2" t="s">
        <v>294</v>
      </c>
    </row>
    <row r="29034" spans="1:1" ht="12.75">
      <c r="A29034" s="2" t="s">
        <v>294</v>
      </c>
    </row>
    <row r="29035" spans="1:1" ht="12.75">
      <c r="A29035" s="2" t="s">
        <v>294</v>
      </c>
    </row>
    <row r="29036" spans="1:1" ht="12.75">
      <c r="A29036" s="2" t="s">
        <v>294</v>
      </c>
    </row>
    <row r="29037" spans="1:1" ht="12.75">
      <c r="A29037" s="2" t="s">
        <v>294</v>
      </c>
    </row>
    <row r="29038" spans="1:1" ht="12.75">
      <c r="A29038" s="2" t="s">
        <v>294</v>
      </c>
    </row>
    <row r="29039" spans="1:1" ht="12.75">
      <c r="A29039" s="2" t="s">
        <v>290</v>
      </c>
    </row>
    <row r="29040" spans="1:1" ht="12.75">
      <c r="A29040" s="2" t="s">
        <v>290</v>
      </c>
    </row>
    <row r="29041" spans="1:1" ht="12.75">
      <c r="A29041" s="2" t="s">
        <v>961</v>
      </c>
    </row>
    <row r="29042" spans="1:1" ht="12.75">
      <c r="A29042" s="2" t="s">
        <v>961</v>
      </c>
    </row>
    <row r="29043" spans="1:1" ht="12.75">
      <c r="A29043" s="2" t="s">
        <v>985</v>
      </c>
    </row>
    <row r="29044" spans="1:1" ht="12.75">
      <c r="A29044" s="2" t="s">
        <v>954</v>
      </c>
    </row>
    <row r="29045" spans="1:1" ht="12.75">
      <c r="A29045" s="2" t="s">
        <v>954</v>
      </c>
    </row>
    <row r="29046" spans="1:1" ht="12.75">
      <c r="A29046" s="2" t="s">
        <v>985</v>
      </c>
    </row>
    <row r="29047" spans="1:1" ht="12.75">
      <c r="A29047" s="2" t="s">
        <v>955</v>
      </c>
    </row>
    <row r="29048" spans="1:1" ht="12.75">
      <c r="A29048" s="2" t="s">
        <v>955</v>
      </c>
    </row>
    <row r="29049" spans="1:1" ht="12.75">
      <c r="A29049" s="2" t="s">
        <v>962</v>
      </c>
    </row>
    <row r="29050" spans="1:1" ht="12.75">
      <c r="A29050" s="2" t="s">
        <v>962</v>
      </c>
    </row>
    <row r="29051" spans="1:1" ht="12.75">
      <c r="A29051" s="2" t="s">
        <v>957</v>
      </c>
    </row>
    <row r="29052" spans="1:1" ht="12.75">
      <c r="A29052" s="2" t="s">
        <v>966</v>
      </c>
    </row>
    <row r="29053" spans="1:1" ht="12.75">
      <c r="A29053" s="2" t="s">
        <v>762</v>
      </c>
    </row>
    <row r="29054" spans="1:1" ht="12.75">
      <c r="A29054" s="2" t="s">
        <v>957</v>
      </c>
    </row>
    <row r="29055" spans="1:1" ht="12.75">
      <c r="A29055" s="2" t="s">
        <v>762</v>
      </c>
    </row>
    <row r="29056" spans="1:1" ht="12.75">
      <c r="A29056" s="2" t="s">
        <v>959</v>
      </c>
    </row>
    <row r="29057" spans="1:1" ht="12.75">
      <c r="A29057" s="2" t="s">
        <v>289</v>
      </c>
    </row>
    <row r="29058" spans="1:1" ht="12.75">
      <c r="A29058" s="2" t="s">
        <v>289</v>
      </c>
    </row>
    <row r="29059" spans="1:1" ht="12.75">
      <c r="A29059" s="2" t="s">
        <v>292</v>
      </c>
    </row>
    <row r="29060" spans="1:1" ht="12.75">
      <c r="A29060" s="2" t="s">
        <v>292</v>
      </c>
    </row>
    <row r="29061" spans="1:1" ht="12.75">
      <c r="A29061" s="2" t="s">
        <v>299</v>
      </c>
    </row>
    <row r="29062" spans="1:1" ht="12.75">
      <c r="A29062" s="2" t="s">
        <v>299</v>
      </c>
    </row>
    <row r="29063" spans="1:1" ht="12.75">
      <c r="A29063" s="2" t="s">
        <v>293</v>
      </c>
    </row>
    <row r="29064" spans="1:1" ht="12.75">
      <c r="A29064" s="2" t="s">
        <v>293</v>
      </c>
    </row>
    <row r="29065" spans="1:1" ht="12.75">
      <c r="A29065" s="2" t="s">
        <v>298</v>
      </c>
    </row>
    <row r="29066" spans="1:1" ht="12.75">
      <c r="A29066" s="2" t="s">
        <v>298</v>
      </c>
    </row>
    <row r="29067" spans="1:1" ht="12.75">
      <c r="A29067" s="2" t="s">
        <v>296</v>
      </c>
    </row>
    <row r="29068" spans="1:1" ht="12.75">
      <c r="A29068" s="2" t="s">
        <v>296</v>
      </c>
    </row>
    <row r="29069" spans="1:1" ht="12.75">
      <c r="A29069" s="2" t="s">
        <v>762</v>
      </c>
    </row>
    <row r="29070" spans="1:1" ht="12.75">
      <c r="A29070" s="2" t="s">
        <v>762</v>
      </c>
    </row>
    <row r="29071" spans="1:1" ht="12.75">
      <c r="A29071" s="2" t="s">
        <v>708</v>
      </c>
    </row>
    <row r="29072" spans="1:1" ht="12.75">
      <c r="A29072" s="2" t="s">
        <v>708</v>
      </c>
    </row>
    <row r="29073" spans="1:1" ht="12.75">
      <c r="A29073" s="2" t="s">
        <v>297</v>
      </c>
    </row>
    <row r="29074" spans="1:1" ht="12.75">
      <c r="A29074" s="2" t="s">
        <v>288</v>
      </c>
    </row>
    <row r="29075" spans="1:1" ht="12.75">
      <c r="A29075" s="2" t="s">
        <v>291</v>
      </c>
    </row>
    <row r="29076" spans="1:1" ht="12.75">
      <c r="A29076" s="2" t="s">
        <v>291</v>
      </c>
    </row>
    <row r="29077" spans="1:1" ht="12.75">
      <c r="A29077" s="2" t="s">
        <v>289</v>
      </c>
    </row>
    <row r="29078" spans="1:1" ht="12.75">
      <c r="A29078" s="2" t="s">
        <v>958</v>
      </c>
    </row>
    <row r="29079" spans="1:1" ht="12.75">
      <c r="A29079" s="2" t="s">
        <v>762</v>
      </c>
    </row>
    <row r="29080" spans="1:1" ht="12.75">
      <c r="A29080" s="2" t="s">
        <v>762</v>
      </c>
    </row>
    <row r="29081" spans="1:1" ht="12.75">
      <c r="A29081" s="2" t="s">
        <v>292</v>
      </c>
    </row>
    <row r="29083" spans="1:1" ht="12.75">
      <c r="A29083" s="2" t="s">
        <v>298</v>
      </c>
    </row>
    <row r="29084" spans="1:1" ht="12.75">
      <c r="A29084" s="2" t="s">
        <v>298</v>
      </c>
    </row>
    <row r="29085" spans="1:1" ht="12.75">
      <c r="A29085" s="2" t="s">
        <v>292</v>
      </c>
    </row>
    <row r="29086" spans="1:1" ht="12.75">
      <c r="A29086" s="2" t="s">
        <v>292</v>
      </c>
    </row>
    <row r="29087" spans="1:1" ht="12.75">
      <c r="A29087" s="2" t="s">
        <v>299</v>
      </c>
    </row>
    <row r="29088" spans="1:1" ht="12.75">
      <c r="A29088" s="2" t="s">
        <v>299</v>
      </c>
    </row>
    <row r="29090" spans="1:1" ht="12.75">
      <c r="A29090" s="2" t="s">
        <v>296</v>
      </c>
    </row>
    <row r="29091" spans="1:1" ht="12.75">
      <c r="A29091" s="2" t="s">
        <v>293</v>
      </c>
    </row>
    <row r="29092" spans="1:1" ht="12.75">
      <c r="A29092" s="2" t="s">
        <v>293</v>
      </c>
    </row>
    <row r="29093" spans="1:1" ht="12.75">
      <c r="A29093" s="2" t="s">
        <v>290</v>
      </c>
    </row>
    <row r="29094" spans="1:1" ht="12.75">
      <c r="A29094" s="2" t="s">
        <v>290</v>
      </c>
    </row>
    <row r="29095" spans="1:1" ht="12.75">
      <c r="A29095" s="2" t="s">
        <v>289</v>
      </c>
    </row>
    <row r="29096" spans="1:1" ht="12.75">
      <c r="A29096" s="2" t="s">
        <v>289</v>
      </c>
    </row>
    <row r="29097" spans="1:1" ht="12.75">
      <c r="A29097" s="2" t="s">
        <v>291</v>
      </c>
    </row>
    <row r="29098" spans="1:1" ht="12.75">
      <c r="A29098" s="2" t="s">
        <v>291</v>
      </c>
    </row>
    <row r="29099" spans="1:1" ht="12.75">
      <c r="A29099" s="2" t="s">
        <v>966</v>
      </c>
    </row>
    <row r="29100" spans="1:1" ht="12.75">
      <c r="A29100" s="2" t="s">
        <v>966</v>
      </c>
    </row>
    <row r="29101" spans="1:1" ht="12.75">
      <c r="A29101" s="2" t="s">
        <v>957</v>
      </c>
    </row>
    <row r="29102" spans="1:1" ht="12.75">
      <c r="A29102" s="2" t="s">
        <v>957</v>
      </c>
    </row>
    <row r="29103" spans="1:1" ht="12.75">
      <c r="A29103" s="2" t="s">
        <v>957</v>
      </c>
    </row>
    <row r="29104" spans="1:1" ht="12.75">
      <c r="A29104" s="2" t="s">
        <v>957</v>
      </c>
    </row>
    <row r="29105" spans="1:1" ht="12.75">
      <c r="A29105" s="2" t="s">
        <v>959</v>
      </c>
    </row>
    <row r="29106" spans="1:1" ht="12.75">
      <c r="A29106" s="2" t="s">
        <v>955</v>
      </c>
    </row>
    <row r="29107" spans="1:1" ht="12.75">
      <c r="A29107" s="2" t="s">
        <v>955</v>
      </c>
    </row>
    <row r="29108" spans="1:1" ht="12.75">
      <c r="A29108" s="2" t="s">
        <v>955</v>
      </c>
    </row>
    <row r="29109" spans="1:1" ht="12.75">
      <c r="A29109" s="2" t="s">
        <v>959</v>
      </c>
    </row>
    <row r="29110" spans="1:1" ht="12.75">
      <c r="A29110" s="2" t="s">
        <v>959</v>
      </c>
    </row>
    <row r="29111" spans="1:1" ht="12.75">
      <c r="A29111" s="2" t="s">
        <v>377</v>
      </c>
    </row>
    <row r="29112" spans="1:1" ht="12.75">
      <c r="A29112" s="2" t="s">
        <v>377</v>
      </c>
    </row>
    <row r="29113" spans="1:1" ht="12.75">
      <c r="A29113" s="2" t="s">
        <v>985</v>
      </c>
    </row>
    <row r="29114" spans="1:1" ht="12.75">
      <c r="A29114" s="2" t="s">
        <v>955</v>
      </c>
    </row>
    <row r="29115" spans="1:1" ht="12.75">
      <c r="A29115" s="2" t="s">
        <v>1091</v>
      </c>
    </row>
    <row r="29116" spans="1:1" ht="12.75">
      <c r="A29116" s="2" t="s">
        <v>1092</v>
      </c>
    </row>
    <row r="29117" spans="1:1" ht="12.75">
      <c r="A29117" s="2" t="s">
        <v>377</v>
      </c>
    </row>
    <row r="29118" spans="1:1" ht="12.75">
      <c r="A29118" s="2" t="s">
        <v>377</v>
      </c>
    </row>
    <row r="29119" spans="1:1" ht="12.75">
      <c r="A29119" s="2" t="s">
        <v>959</v>
      </c>
    </row>
    <row r="29120" spans="1:1" ht="12.75">
      <c r="A29120" s="2" t="s">
        <v>959</v>
      </c>
    </row>
    <row r="29121" spans="1:1" ht="12.75">
      <c r="A29121" s="2" t="s">
        <v>959</v>
      </c>
    </row>
    <row r="29122" spans="1:1" ht="12.75">
      <c r="A29122" s="2" t="s">
        <v>959</v>
      </c>
    </row>
    <row r="29123" spans="1:1" ht="12.75">
      <c r="A29123" s="2" t="s">
        <v>959</v>
      </c>
    </row>
    <row r="29124" spans="1:1" ht="12.75">
      <c r="A29124" s="2" t="s">
        <v>959</v>
      </c>
    </row>
    <row r="29125" spans="1:1" ht="12.75">
      <c r="A29125" s="2" t="s">
        <v>694</v>
      </c>
    </row>
    <row r="29126" spans="1:1" ht="12.75">
      <c r="A29126" s="2" t="s">
        <v>694</v>
      </c>
    </row>
    <row r="29127" spans="1:1" ht="12.75">
      <c r="A29127" s="2" t="s">
        <v>694</v>
      </c>
    </row>
    <row r="29128" spans="1:1" ht="12.75">
      <c r="A29128" s="2" t="s">
        <v>694</v>
      </c>
    </row>
    <row r="29129" spans="1:1" ht="12.75">
      <c r="A29129" s="2" t="s">
        <v>694</v>
      </c>
    </row>
    <row r="29130" spans="1:1" ht="12.75">
      <c r="A29130" s="2" t="s">
        <v>694</v>
      </c>
    </row>
    <row r="29131" spans="1:1" ht="12.75">
      <c r="A29131" s="2" t="s">
        <v>694</v>
      </c>
    </row>
    <row r="29132" spans="1:1" ht="12.75">
      <c r="A29132" s="2" t="s">
        <v>1093</v>
      </c>
    </row>
    <row r="29133" spans="1:1" ht="12.75">
      <c r="A29133" s="2" t="s">
        <v>694</v>
      </c>
    </row>
    <row r="29134" spans="1:1" ht="12.75">
      <c r="A29134" s="2" t="s">
        <v>694</v>
      </c>
    </row>
    <row r="29135" spans="1:1" ht="12.75">
      <c r="A29135" s="2" t="s">
        <v>750</v>
      </c>
    </row>
    <row r="29136" spans="1:1" ht="12.75">
      <c r="A29136" s="2" t="s">
        <v>750</v>
      </c>
    </row>
    <row r="29137" spans="1:1" ht="12.75">
      <c r="A29137" s="2" t="s">
        <v>750</v>
      </c>
    </row>
    <row r="29138" spans="1:1" ht="12.75">
      <c r="A29138" s="2" t="s">
        <v>750</v>
      </c>
    </row>
    <row r="29139" spans="1:1" ht="12.75">
      <c r="A29139" s="2" t="s">
        <v>750</v>
      </c>
    </row>
    <row r="29140" spans="1:1" ht="12.75">
      <c r="A29140" s="2" t="s">
        <v>750</v>
      </c>
    </row>
    <row r="29141" spans="1:1" ht="12.75">
      <c r="A29141" s="2" t="s">
        <v>750</v>
      </c>
    </row>
    <row r="29142" spans="1:1" ht="12.75">
      <c r="A29142" s="2" t="s">
        <v>750</v>
      </c>
    </row>
    <row r="29143" spans="1:1" ht="12.75">
      <c r="A29143" s="2" t="s">
        <v>750</v>
      </c>
    </row>
    <row r="29144" spans="1:1" ht="12.75">
      <c r="A29144" s="2" t="s">
        <v>750</v>
      </c>
    </row>
    <row r="29145" spans="1:1" ht="12.75">
      <c r="A29145" s="2" t="s">
        <v>292</v>
      </c>
    </row>
    <row r="29146" spans="1:1" ht="12.75">
      <c r="A29146" s="2" t="s">
        <v>292</v>
      </c>
    </row>
    <row r="29147" spans="1:1" ht="12.75">
      <c r="A29147" s="2" t="s">
        <v>757</v>
      </c>
    </row>
    <row r="29148" spans="1:1" ht="12.75">
      <c r="A29148" s="2" t="s">
        <v>757</v>
      </c>
    </row>
    <row r="29149" spans="1:1" ht="12.75">
      <c r="A29149" s="2" t="s">
        <v>242</v>
      </c>
    </row>
    <row r="29150" spans="1:1" ht="12.75">
      <c r="A29150" s="2" t="s">
        <v>242</v>
      </c>
    </row>
    <row r="29151" spans="1:1" ht="12.75">
      <c r="A29151" s="2" t="s">
        <v>242</v>
      </c>
    </row>
    <row r="29152" spans="1:1" ht="12.75">
      <c r="A29152" s="2" t="s">
        <v>242</v>
      </c>
    </row>
    <row r="29153" spans="1:1" ht="12.75">
      <c r="A29153" s="2" t="s">
        <v>242</v>
      </c>
    </row>
    <row r="29154" spans="1:1" ht="12.75">
      <c r="A29154" s="2" t="s">
        <v>242</v>
      </c>
    </row>
    <row r="29155" spans="1:1" ht="12.75">
      <c r="A29155" s="2" t="s">
        <v>242</v>
      </c>
    </row>
    <row r="29156" spans="1:1" ht="12.75">
      <c r="A29156" s="2" t="s">
        <v>1094</v>
      </c>
    </row>
    <row r="29157" spans="1:1" ht="12.75">
      <c r="A29157" s="2" t="s">
        <v>242</v>
      </c>
    </row>
    <row r="29158" spans="1:1" ht="12.75">
      <c r="A29158" s="2" t="s">
        <v>242</v>
      </c>
    </row>
    <row r="29159" spans="1:1" ht="12.75">
      <c r="A29159" s="2" t="s">
        <v>1010</v>
      </c>
    </row>
    <row r="29160" spans="1:1" ht="12.75">
      <c r="A29160" s="2" t="s">
        <v>757</v>
      </c>
    </row>
    <row r="29161" spans="1:1" ht="12.75">
      <c r="A29161" s="2" t="s">
        <v>757</v>
      </c>
    </row>
    <row r="29162" spans="1:1" ht="12.75">
      <c r="A29162" s="2" t="s">
        <v>757</v>
      </c>
    </row>
    <row r="29163" spans="1:1" ht="12.75">
      <c r="A29163" s="2" t="s">
        <v>757</v>
      </c>
    </row>
    <row r="29164" spans="1:1" ht="12.75">
      <c r="A29164" s="2" t="s">
        <v>757</v>
      </c>
    </row>
    <row r="29165" spans="1:1" ht="12.75">
      <c r="A29165" s="2" t="s">
        <v>757</v>
      </c>
    </row>
    <row r="29166" spans="1:1" ht="12.75">
      <c r="A29166" s="2" t="s">
        <v>757</v>
      </c>
    </row>
    <row r="29167" spans="1:1" ht="12.75">
      <c r="A29167" s="2" t="s">
        <v>757</v>
      </c>
    </row>
    <row r="29168" spans="1:1" ht="12.75">
      <c r="A29168" s="2" t="s">
        <v>757</v>
      </c>
    </row>
    <row r="29169" spans="1:1" ht="12.75">
      <c r="A29169" s="2" t="s">
        <v>758</v>
      </c>
    </row>
    <row r="29170" spans="1:1" ht="12.75">
      <c r="A29170" s="2" t="s">
        <v>758</v>
      </c>
    </row>
    <row r="29171" spans="1:1" ht="12.75">
      <c r="A29171" s="2" t="s">
        <v>758</v>
      </c>
    </row>
    <row r="29172" spans="1:1" ht="12.75">
      <c r="A29172" s="2" t="s">
        <v>758</v>
      </c>
    </row>
    <row r="29173" spans="1:1" ht="12.75">
      <c r="A29173" s="2" t="s">
        <v>758</v>
      </c>
    </row>
    <row r="29174" spans="1:1" ht="12.75">
      <c r="A29174" s="2" t="s">
        <v>758</v>
      </c>
    </row>
    <row r="29175" spans="1:1" ht="12.75">
      <c r="A29175" s="2" t="s">
        <v>1010</v>
      </c>
    </row>
    <row r="29176" spans="1:1" ht="12.75">
      <c r="A29176" s="2" t="s">
        <v>1010</v>
      </c>
    </row>
    <row r="29177" spans="1:1" ht="12.75">
      <c r="A29177" s="2" t="s">
        <v>291</v>
      </c>
    </row>
    <row r="29178" spans="1:1" ht="12.75">
      <c r="A29178" s="2" t="s">
        <v>708</v>
      </c>
    </row>
    <row r="29179" spans="1:1" ht="12.75">
      <c r="A29179" s="2" t="s">
        <v>291</v>
      </c>
    </row>
    <row r="29180" spans="1:1" ht="12.75">
      <c r="A29180" s="2" t="s">
        <v>291</v>
      </c>
    </row>
    <row r="29182" spans="1:1" ht="12.75">
      <c r="A29182" s="2" t="s">
        <v>298</v>
      </c>
    </row>
    <row r="29183" spans="1:1" ht="12.75">
      <c r="A29183" s="2" t="s">
        <v>962</v>
      </c>
    </row>
    <row r="29185" spans="1:1" ht="12.75">
      <c r="A29185" s="2" t="s">
        <v>753</v>
      </c>
    </row>
    <row r="29186" spans="1:1" ht="12.75">
      <c r="A29186" s="2" t="s">
        <v>752</v>
      </c>
    </row>
    <row r="29187" spans="1:1" ht="12.75">
      <c r="A29187" s="2" t="s">
        <v>752</v>
      </c>
    </row>
    <row r="29188" spans="1:1" ht="12.75">
      <c r="A29188" s="2" t="s">
        <v>752</v>
      </c>
    </row>
    <row r="29189" spans="1:1" ht="12.75">
      <c r="A29189" s="2" t="s">
        <v>753</v>
      </c>
    </row>
    <row r="29190" spans="1:1" ht="12.75">
      <c r="A29190" s="2" t="s">
        <v>753</v>
      </c>
    </row>
    <row r="29192" spans="1:1" ht="12.75">
      <c r="A29192" s="2" t="s">
        <v>752</v>
      </c>
    </row>
    <row r="29193" spans="1:1" ht="12.75">
      <c r="A29193" s="2" t="s">
        <v>1000</v>
      </c>
    </row>
    <row r="29194" spans="1:1" ht="12.75">
      <c r="A29194" s="2" t="s">
        <v>1000</v>
      </c>
    </row>
    <row r="29195" spans="1:1" ht="12.75">
      <c r="A29195" s="2" t="s">
        <v>752</v>
      </c>
    </row>
    <row r="29196" spans="1:1" ht="12.75">
      <c r="A29196" s="2" t="s">
        <v>752</v>
      </c>
    </row>
    <row r="29197" spans="1:1" ht="12.75">
      <c r="A29197" s="2" t="s">
        <v>1000</v>
      </c>
    </row>
    <row r="29198" spans="1:1" ht="12.75">
      <c r="A29198" s="2" t="s">
        <v>1000</v>
      </c>
    </row>
    <row r="29199" spans="1:1" ht="12.75">
      <c r="A29199" s="2" t="s">
        <v>1000</v>
      </c>
    </row>
    <row r="29200" spans="1:1" ht="12.75">
      <c r="A29200" s="2" t="s">
        <v>752</v>
      </c>
    </row>
    <row r="29201" spans="1:1" ht="12.75">
      <c r="A29201" s="2" t="s">
        <v>281</v>
      </c>
    </row>
    <row r="29202" spans="1:1" ht="12.75">
      <c r="A29202" s="2" t="s">
        <v>752</v>
      </c>
    </row>
    <row r="29203" spans="1:1" ht="12.75">
      <c r="A29203" s="2" t="s">
        <v>752</v>
      </c>
    </row>
    <row r="29204" spans="1:1" ht="12.75">
      <c r="A29204" s="2" t="s">
        <v>752</v>
      </c>
    </row>
    <row r="29205" spans="1:1" ht="12.75">
      <c r="A29205" s="2" t="s">
        <v>753</v>
      </c>
    </row>
    <row r="29206" spans="1:1" ht="12.75">
      <c r="A29206" s="2" t="s">
        <v>753</v>
      </c>
    </row>
    <row r="29207" spans="1:1" ht="12.75">
      <c r="A29207" s="2" t="s">
        <v>753</v>
      </c>
    </row>
    <row r="29208" spans="1:1" ht="12.75">
      <c r="A29208" s="2" t="s">
        <v>753</v>
      </c>
    </row>
    <row r="29209" spans="1:1" ht="12.75">
      <c r="A29209" s="2" t="s">
        <v>752</v>
      </c>
    </row>
    <row r="29210" spans="1:1" ht="12.75">
      <c r="A29210" s="2" t="s">
        <v>752</v>
      </c>
    </row>
    <row r="29211" spans="1:1" ht="12.75">
      <c r="A29211" s="2" t="s">
        <v>1000</v>
      </c>
    </row>
    <row r="29212" spans="1:1" ht="12.75">
      <c r="A29212" s="2" t="s">
        <v>184</v>
      </c>
    </row>
    <row r="29213" spans="1:1" ht="12.75">
      <c r="A29213" s="2" t="s">
        <v>753</v>
      </c>
    </row>
    <row r="29214" spans="1:1" ht="12.75">
      <c r="A29214" s="2" t="s">
        <v>753</v>
      </c>
    </row>
    <row r="29215" spans="1:1" ht="12.75">
      <c r="A29215" s="2" t="s">
        <v>285</v>
      </c>
    </row>
    <row r="29216" spans="1:1" ht="12.75">
      <c r="A29216" s="2" t="s">
        <v>293</v>
      </c>
    </row>
    <row r="29217" spans="1:1" ht="12.75">
      <c r="A29217" s="2" t="s">
        <v>290</v>
      </c>
    </row>
    <row r="29218" spans="1:1" ht="12.75">
      <c r="A29218" s="2" t="s">
        <v>291</v>
      </c>
    </row>
    <row r="29219" spans="1:1" ht="12.75">
      <c r="A29219" s="2" t="s">
        <v>290</v>
      </c>
    </row>
    <row r="29220" spans="1:1" ht="12.75">
      <c r="A29220" s="2" t="s">
        <v>290</v>
      </c>
    </row>
    <row r="29221" spans="1:1" ht="12.75">
      <c r="A29221" s="2" t="s">
        <v>289</v>
      </c>
    </row>
    <row r="29222" spans="1:1" ht="12.75">
      <c r="A29222" s="2" t="s">
        <v>290</v>
      </c>
    </row>
    <row r="29223" spans="1:1" ht="12.75">
      <c r="A29223" s="2" t="s">
        <v>299</v>
      </c>
    </row>
    <row r="29224" spans="1:1" ht="12.75">
      <c r="A29224" s="2" t="s">
        <v>299</v>
      </c>
    </row>
    <row r="29225" spans="1:1" ht="12.75">
      <c r="A29225" s="2" t="s">
        <v>299</v>
      </c>
    </row>
    <row r="29226" spans="1:1" ht="12.75">
      <c r="A29226" s="2" t="s">
        <v>299</v>
      </c>
    </row>
    <row r="29227" spans="1:1" ht="12.75">
      <c r="A29227" s="2" t="s">
        <v>292</v>
      </c>
    </row>
    <row r="29228" spans="1:1" ht="12.75">
      <c r="A29228" s="2" t="s">
        <v>292</v>
      </c>
    </row>
    <row r="29229" spans="1:1" ht="12.75">
      <c r="A29229" s="2" t="s">
        <v>291</v>
      </c>
    </row>
    <row r="29230" spans="1:1" ht="12.75">
      <c r="A29230" s="2" t="s">
        <v>291</v>
      </c>
    </row>
    <row r="29231" spans="1:1" ht="12.75">
      <c r="A29231" s="2" t="s">
        <v>289</v>
      </c>
    </row>
    <row r="29232" spans="1:1" ht="12.75">
      <c r="A29232" s="2" t="s">
        <v>289</v>
      </c>
    </row>
    <row r="29233" spans="1:1" ht="12.75">
      <c r="A29233" s="2" t="s">
        <v>290</v>
      </c>
    </row>
    <row r="29234" spans="1:1" ht="12.75">
      <c r="A29234" s="2" t="s">
        <v>290</v>
      </c>
    </row>
    <row r="29235" spans="1:1" ht="12.75">
      <c r="A29235" s="2" t="s">
        <v>1095</v>
      </c>
    </row>
    <row r="29236" spans="1:1" ht="12.75">
      <c r="A29236" s="2" t="s">
        <v>298</v>
      </c>
    </row>
    <row r="29237" spans="1:1" ht="12.75">
      <c r="A29237" s="2" t="s">
        <v>290</v>
      </c>
    </row>
    <row r="29238" spans="1:1" ht="12.75">
      <c r="A29238" s="2" t="s">
        <v>290</v>
      </c>
    </row>
    <row r="29239" spans="1:1" ht="12.75">
      <c r="A29239" s="2" t="s">
        <v>291</v>
      </c>
    </row>
    <row r="29240" spans="1:1" ht="12.75">
      <c r="A29240" s="2" t="s">
        <v>762</v>
      </c>
    </row>
    <row r="29241" spans="1:1" ht="12.75">
      <c r="A29241" s="2" t="s">
        <v>291</v>
      </c>
    </row>
    <row r="29242" spans="1:1" ht="12.75">
      <c r="A29242" s="2" t="s">
        <v>298</v>
      </c>
    </row>
    <row r="29243" spans="1:1" ht="12.75">
      <c r="A29243" s="2" t="s">
        <v>297</v>
      </c>
    </row>
    <row r="29244" spans="1:1" ht="12.75">
      <c r="A29244" s="2" t="s">
        <v>297</v>
      </c>
    </row>
    <row r="29245" spans="1:1" ht="12.75">
      <c r="A29245" s="2" t="s">
        <v>292</v>
      </c>
    </row>
    <row r="29246" spans="1:1" ht="12.75">
      <c r="A29246" s="2" t="s">
        <v>292</v>
      </c>
    </row>
    <row r="29247" spans="1:1" ht="12.75">
      <c r="A29247" s="2" t="s">
        <v>293</v>
      </c>
    </row>
    <row r="29248" spans="1:1" ht="12.75">
      <c r="A29248" s="2" t="s">
        <v>293</v>
      </c>
    </row>
    <row r="29249" spans="1:1" ht="12.75">
      <c r="A29249" s="2" t="s">
        <v>293</v>
      </c>
    </row>
    <row r="29250" spans="1:1" ht="12.75">
      <c r="A29250" s="2" t="s">
        <v>762</v>
      </c>
    </row>
    <row r="29252" spans="1:1" ht="12.75">
      <c r="A29252" s="2" t="s">
        <v>298</v>
      </c>
    </row>
    <row r="29255" spans="1:1" ht="12.75">
      <c r="A29255" s="2" t="s">
        <v>296</v>
      </c>
    </row>
    <row r="29256" spans="1:1" ht="12.75">
      <c r="A29256" s="2" t="s">
        <v>296</v>
      </c>
    </row>
    <row r="29257" spans="1:1" ht="12.75">
      <c r="A29257" s="2" t="s">
        <v>762</v>
      </c>
    </row>
    <row r="29258" spans="1:1" ht="12.75">
      <c r="A29258" s="2" t="s">
        <v>290</v>
      </c>
    </row>
    <row r="29259" spans="1:1" ht="12.75">
      <c r="A29259" s="2" t="s">
        <v>762</v>
      </c>
    </row>
    <row r="29260" spans="1:1" ht="12.75">
      <c r="A29260" s="2" t="s">
        <v>290</v>
      </c>
    </row>
    <row r="29261" spans="1:1" ht="12.75">
      <c r="A29261" s="2" t="s">
        <v>290</v>
      </c>
    </row>
    <row r="29262" spans="1:1" ht="12.75">
      <c r="A29262" s="2" t="s">
        <v>292</v>
      </c>
    </row>
    <row r="29263" spans="1:1" ht="12.75">
      <c r="A29263" s="2" t="s">
        <v>290</v>
      </c>
    </row>
    <row r="29264" spans="1:1" ht="12.75">
      <c r="A29264" s="2" t="s">
        <v>292</v>
      </c>
    </row>
    <row r="29265" spans="1:1" ht="12.75">
      <c r="A29265" s="2" t="s">
        <v>293</v>
      </c>
    </row>
    <row r="29266" spans="1:1" ht="12.75">
      <c r="A29266" s="2" t="s">
        <v>297</v>
      </c>
    </row>
    <row r="29267" spans="1:1" ht="12.75">
      <c r="A29267" s="2" t="s">
        <v>293</v>
      </c>
    </row>
    <row r="29268" spans="1:1" ht="12.75">
      <c r="A29268" s="2" t="s">
        <v>297</v>
      </c>
    </row>
    <row r="29269" spans="1:1" ht="12.75">
      <c r="A29269" s="2" t="s">
        <v>289</v>
      </c>
    </row>
    <row r="29270" spans="1:1" ht="12.75">
      <c r="A29270" s="2" t="s">
        <v>289</v>
      </c>
    </row>
    <row r="29271" spans="1:1" ht="12.75">
      <c r="A29271" s="2" t="s">
        <v>291</v>
      </c>
    </row>
    <row r="29272" spans="1:1" ht="12.75">
      <c r="A29272" s="2" t="s">
        <v>291</v>
      </c>
    </row>
    <row r="29273" spans="1:1" ht="12.75">
      <c r="A29273" s="2" t="s">
        <v>1096</v>
      </c>
    </row>
    <row r="29274" spans="1:1" ht="12.75">
      <c r="A29274" s="2" t="s">
        <v>1096</v>
      </c>
    </row>
    <row r="29275" spans="1:1" ht="12.75">
      <c r="A29275" s="2" t="s">
        <v>957</v>
      </c>
    </row>
    <row r="29276" spans="1:1" ht="12.75">
      <c r="A29276" s="2" t="s">
        <v>957</v>
      </c>
    </row>
    <row r="29277" spans="1:1" ht="12.75">
      <c r="A29277" s="2" t="s">
        <v>957</v>
      </c>
    </row>
    <row r="29278" spans="1:1" ht="12.75">
      <c r="A29278" s="2" t="s">
        <v>957</v>
      </c>
    </row>
    <row r="29279" spans="1:1" ht="12.75">
      <c r="A29279" s="2" t="s">
        <v>966</v>
      </c>
    </row>
    <row r="29280" spans="1:1" ht="12.75">
      <c r="A29280" s="2" t="s">
        <v>1097</v>
      </c>
    </row>
    <row r="29281" spans="1:1" ht="12.75">
      <c r="A29281" s="2" t="s">
        <v>377</v>
      </c>
    </row>
    <row r="29282" spans="1:1" ht="12.75">
      <c r="A29282" s="2" t="s">
        <v>1098</v>
      </c>
    </row>
    <row r="29283" spans="1:1" ht="12.75">
      <c r="A29283" s="2" t="s">
        <v>1014</v>
      </c>
    </row>
    <row r="29284" spans="1:1" ht="12.75">
      <c r="A29284" s="2" t="s">
        <v>1099</v>
      </c>
    </row>
    <row r="29285" spans="1:1" ht="12.75">
      <c r="A29285" s="2" t="s">
        <v>1013</v>
      </c>
    </row>
    <row r="29286" spans="1:1" ht="12.75">
      <c r="A29286" s="2" t="s">
        <v>1013</v>
      </c>
    </row>
    <row r="29287" spans="1:1" ht="12.75">
      <c r="A29287" s="2" t="s">
        <v>1013</v>
      </c>
    </row>
    <row r="29288" spans="1:1" ht="12.75">
      <c r="A29288" s="2" t="s">
        <v>1092</v>
      </c>
    </row>
    <row r="29289" spans="1:1" ht="12.75">
      <c r="A29289" s="2" t="s">
        <v>1013</v>
      </c>
    </row>
    <row r="29290" spans="1:1" ht="12.75">
      <c r="A29290" s="2" t="s">
        <v>377</v>
      </c>
    </row>
    <row r="29291" spans="1:1" ht="12.75">
      <c r="A29291" s="2" t="s">
        <v>289</v>
      </c>
    </row>
    <row r="29292" spans="1:1" ht="12.75">
      <c r="A29292" s="2" t="s">
        <v>289</v>
      </c>
    </row>
    <row r="29293" spans="1:1" ht="12.75">
      <c r="A29293" s="2" t="s">
        <v>292</v>
      </c>
    </row>
    <row r="29294" spans="1:1" ht="12.75">
      <c r="A29294" s="2" t="s">
        <v>292</v>
      </c>
    </row>
    <row r="29295" spans="1:1" ht="12.75">
      <c r="A29295" s="2" t="s">
        <v>296</v>
      </c>
    </row>
    <row r="29296" spans="1:1" ht="12.75">
      <c r="A29296" s="2" t="s">
        <v>296</v>
      </c>
    </row>
    <row r="29297" spans="1:1" ht="12.75">
      <c r="A29297" s="2" t="s">
        <v>297</v>
      </c>
    </row>
    <row r="29298" spans="1:1" ht="12.75">
      <c r="A29298" s="2" t="s">
        <v>297</v>
      </c>
    </row>
    <row r="29299" spans="1:1" ht="12.75">
      <c r="A29299" s="2" t="s">
        <v>762</v>
      </c>
    </row>
    <row r="29300" spans="1:1" ht="12.75">
      <c r="A29300" s="2" t="s">
        <v>762</v>
      </c>
    </row>
    <row r="29301" spans="1:1" ht="12.75">
      <c r="A29301" s="2" t="s">
        <v>762</v>
      </c>
    </row>
    <row r="29302" spans="1:1" ht="12.75">
      <c r="A29302" s="2" t="s">
        <v>762</v>
      </c>
    </row>
    <row r="29303" spans="1:1" ht="12.75">
      <c r="A29303" s="2" t="s">
        <v>298</v>
      </c>
    </row>
    <row r="29304" spans="1:1" ht="12.75">
      <c r="A29304" s="2" t="s">
        <v>298</v>
      </c>
    </row>
    <row r="29305" spans="1:1" ht="12.75">
      <c r="A29305" s="2" t="s">
        <v>296</v>
      </c>
    </row>
    <row r="29306" spans="1:1" ht="12.75">
      <c r="A29306" s="2" t="s">
        <v>296</v>
      </c>
    </row>
    <row r="29307" spans="1:1" ht="12.75">
      <c r="A29307" s="2" t="s">
        <v>289</v>
      </c>
    </row>
    <row r="29308" spans="1:1" ht="12.75">
      <c r="A29308" s="2" t="s">
        <v>289</v>
      </c>
    </row>
    <row r="29309" spans="1:1" ht="12.75">
      <c r="A29309" s="2" t="s">
        <v>377</v>
      </c>
    </row>
    <row r="29310" spans="1:1" ht="12.75">
      <c r="A29310" s="2" t="s">
        <v>377</v>
      </c>
    </row>
    <row r="29311" spans="1:1" ht="12.75">
      <c r="A29311" s="2" t="s">
        <v>955</v>
      </c>
    </row>
    <row r="29312" spans="1:1" ht="12.75">
      <c r="A29312" s="2" t="s">
        <v>959</v>
      </c>
    </row>
    <row r="29319" spans="1:1" ht="12.75">
      <c r="A29319" s="2" t="s">
        <v>985</v>
      </c>
    </row>
    <row r="29321" spans="1:1" ht="12.75">
      <c r="A29321" s="2" t="s">
        <v>985</v>
      </c>
    </row>
    <row r="29322" spans="1:1" ht="12.75">
      <c r="A29322" s="2" t="s">
        <v>985</v>
      </c>
    </row>
    <row r="29323" spans="1:1" ht="12.75">
      <c r="A29323" s="2" t="s">
        <v>985</v>
      </c>
    </row>
    <row r="29324" spans="1:1" ht="12.75">
      <c r="A29324" s="2" t="s">
        <v>985</v>
      </c>
    </row>
    <row r="29325" spans="1:1" ht="12.75">
      <c r="A29325" s="2" t="s">
        <v>955</v>
      </c>
    </row>
    <row r="29326" spans="1:1" ht="12.75">
      <c r="A29326" s="2" t="s">
        <v>959</v>
      </c>
    </row>
    <row r="29327" spans="1:1" ht="12.75">
      <c r="A29327" s="2" t="s">
        <v>959</v>
      </c>
    </row>
    <row r="29328" spans="1:1" ht="12.75">
      <c r="A29328" s="2" t="s">
        <v>959</v>
      </c>
    </row>
    <row r="29329" spans="1:1" ht="12.75">
      <c r="A29329" s="2" t="s">
        <v>955</v>
      </c>
    </row>
    <row r="29330" spans="1:1" ht="12.75">
      <c r="A29330" s="2" t="s">
        <v>959</v>
      </c>
    </row>
    <row r="29331" spans="1:1" ht="12.75">
      <c r="A29331" s="2" t="s">
        <v>377</v>
      </c>
    </row>
    <row r="29332" spans="1:1" ht="12.75">
      <c r="A29332" s="2" t="s">
        <v>377</v>
      </c>
    </row>
    <row r="29333" spans="1:1" ht="12.75">
      <c r="A29333" s="2" t="s">
        <v>377</v>
      </c>
    </row>
    <row r="29334" spans="1:1" ht="12.75">
      <c r="A29334" s="2" t="s">
        <v>377</v>
      </c>
    </row>
    <row r="29335" spans="1:1" ht="12.75">
      <c r="A29335" s="2" t="s">
        <v>377</v>
      </c>
    </row>
    <row r="29336" spans="1:1" ht="12.75">
      <c r="A29336" s="2" t="s">
        <v>955</v>
      </c>
    </row>
    <row r="29337" spans="1:1" ht="12.75">
      <c r="A29337" s="2" t="s">
        <v>985</v>
      </c>
    </row>
    <row r="29338" spans="1:1" ht="12.75">
      <c r="A29338" s="2" t="s">
        <v>985</v>
      </c>
    </row>
    <row r="29340" spans="1:1" ht="12.75">
      <c r="A29340" s="2" t="s">
        <v>344</v>
      </c>
    </row>
    <row r="29341" spans="1:1" ht="12.75">
      <c r="A29341" s="2" t="s">
        <v>564</v>
      </c>
    </row>
    <row r="29342" spans="1:1" ht="12.75">
      <c r="A29342" s="2" t="s">
        <v>344</v>
      </c>
    </row>
    <row r="29343" spans="1:1" ht="12.75">
      <c r="A29343" s="2" t="s">
        <v>344</v>
      </c>
    </row>
    <row r="29344" spans="1:1" ht="12.75">
      <c r="A29344" s="2" t="s">
        <v>344</v>
      </c>
    </row>
    <row r="29345" spans="1:1" ht="12.75">
      <c r="A29345" s="2" t="s">
        <v>687</v>
      </c>
    </row>
    <row r="29346" spans="1:1" ht="12.75">
      <c r="A29346" s="2" t="s">
        <v>687</v>
      </c>
    </row>
    <row r="29347" spans="1:1" ht="12.75">
      <c r="A29347" s="2" t="s">
        <v>687</v>
      </c>
    </row>
    <row r="29351" spans="1:1" ht="12.75">
      <c r="A29351" s="2" t="s">
        <v>687</v>
      </c>
    </row>
    <row r="29352" spans="1:1" ht="12.75">
      <c r="A29352" s="2" t="s">
        <v>1100</v>
      </c>
    </row>
    <row r="29353" spans="1:1" ht="12.75">
      <c r="A29353" s="2" t="s">
        <v>687</v>
      </c>
    </row>
    <row r="29354" spans="1:1" ht="12.75">
      <c r="A29354" s="2" t="s">
        <v>1101</v>
      </c>
    </row>
    <row r="29355" spans="1:1" ht="12.75">
      <c r="A29355" s="2" t="s">
        <v>687</v>
      </c>
    </row>
    <row r="29356" spans="1:1" ht="12.75">
      <c r="A29356" s="2" t="s">
        <v>687</v>
      </c>
    </row>
    <row r="29357" spans="1:1" ht="12.75">
      <c r="A29357" s="2" t="s">
        <v>1100</v>
      </c>
    </row>
    <row r="29358" spans="1:1" ht="12.75">
      <c r="A29358" s="2" t="s">
        <v>1100</v>
      </c>
    </row>
    <row r="29359" spans="1:1" ht="12.75">
      <c r="A29359" s="2" t="s">
        <v>1100</v>
      </c>
    </row>
    <row r="29360" spans="1:1" ht="12.75">
      <c r="A29360" s="2" t="s">
        <v>1100</v>
      </c>
    </row>
    <row r="29361" spans="1:1" ht="12.75">
      <c r="A29361" s="2" t="s">
        <v>1102</v>
      </c>
    </row>
    <row r="29362" spans="1:1" ht="12.75">
      <c r="A29362" s="2" t="s">
        <v>687</v>
      </c>
    </row>
    <row r="29363" spans="1:1" ht="12.75">
      <c r="A29363" s="2" t="s">
        <v>687</v>
      </c>
    </row>
    <row r="29364" spans="1:1" ht="12.75">
      <c r="A29364" s="2" t="s">
        <v>1100</v>
      </c>
    </row>
    <row r="29378" spans="1:1" ht="12.75">
      <c r="A29378" s="2" t="s">
        <v>533</v>
      </c>
    </row>
    <row r="29379" spans="1:1" ht="12.75">
      <c r="A29379" s="2" t="s">
        <v>245</v>
      </c>
    </row>
    <row r="29380" spans="1:1" ht="12.75">
      <c r="A29380" s="2" t="s">
        <v>1103</v>
      </c>
    </row>
    <row r="29381" spans="1:1" ht="12.75">
      <c r="A29381" s="2" t="s">
        <v>756</v>
      </c>
    </row>
    <row r="29382" spans="1:1" ht="12.75">
      <c r="A29382" s="2" t="s">
        <v>760</v>
      </c>
    </row>
    <row r="29383" spans="1:1" ht="12.75">
      <c r="A29383" s="2" t="s">
        <v>759</v>
      </c>
    </row>
    <row r="29384" spans="1:1" ht="12.75">
      <c r="A29384" s="2" t="s">
        <v>1104</v>
      </c>
    </row>
    <row r="29385" spans="1:1" ht="12.75">
      <c r="A29385" s="2" t="s">
        <v>1104</v>
      </c>
    </row>
    <row r="29386" spans="1:1" ht="12.75">
      <c r="A29386" s="2" t="s">
        <v>1104</v>
      </c>
    </row>
    <row r="29387" spans="1:1" ht="12.75">
      <c r="A29387" s="2" t="s">
        <v>1104</v>
      </c>
    </row>
    <row r="29388" spans="1:1" ht="12.75">
      <c r="A29388" s="2" t="s">
        <v>1104</v>
      </c>
    </row>
    <row r="29405" spans="1:1" ht="12.75">
      <c r="A29405" s="2" t="s">
        <v>635</v>
      </c>
    </row>
    <row r="29406" spans="1:1" ht="12.75">
      <c r="A29406" s="2" t="s">
        <v>1105</v>
      </c>
    </row>
    <row r="29407" spans="1:1" ht="12.75">
      <c r="A29407" s="2" t="s">
        <v>635</v>
      </c>
    </row>
    <row r="29408" spans="1:1" ht="12.75">
      <c r="A29408" s="2" t="s">
        <v>635</v>
      </c>
    </row>
    <row r="29409" spans="1:1" ht="12.75">
      <c r="A29409" s="2" t="s">
        <v>729</v>
      </c>
    </row>
    <row r="29410" spans="1:1" ht="12.75">
      <c r="A29410" s="2" t="s">
        <v>392</v>
      </c>
    </row>
    <row r="29411" spans="1:1" ht="12.75">
      <c r="A29411" s="2" t="s">
        <v>392</v>
      </c>
    </row>
    <row r="29412" spans="1:1" ht="12.75">
      <c r="A29412" s="2" t="s">
        <v>729</v>
      </c>
    </row>
    <row r="29413" spans="1:1" ht="12.75">
      <c r="A29413" s="2" t="s">
        <v>729</v>
      </c>
    </row>
    <row r="29414" spans="1:1" ht="12.75">
      <c r="A29414" s="2" t="s">
        <v>729</v>
      </c>
    </row>
    <row r="29415" spans="1:1" ht="12.75">
      <c r="A29415" s="2" t="s">
        <v>155</v>
      </c>
    </row>
    <row r="29416" spans="1:1" ht="12.75">
      <c r="A29416" s="2" t="s">
        <v>155</v>
      </c>
    </row>
    <row r="29417" spans="1:1" ht="12.75">
      <c r="A29417" s="2" t="s">
        <v>155</v>
      </c>
    </row>
    <row r="29418" spans="1:1" ht="12.75">
      <c r="A29418" s="2" t="s">
        <v>155</v>
      </c>
    </row>
    <row r="29419" spans="1:1" ht="12.75">
      <c r="A29419" s="2" t="s">
        <v>155</v>
      </c>
    </row>
    <row r="29420" spans="1:1" ht="12.75">
      <c r="A29420" s="2" t="s">
        <v>155</v>
      </c>
    </row>
    <row r="29421" spans="1:1" ht="12.75">
      <c r="A29421" s="2" t="s">
        <v>1106</v>
      </c>
    </row>
    <row r="29422" spans="1:1" ht="12.75">
      <c r="A29422" s="2" t="s">
        <v>1106</v>
      </c>
    </row>
    <row r="29423" spans="1:1" ht="12.75">
      <c r="A29423" s="2" t="s">
        <v>1107</v>
      </c>
    </row>
    <row r="29424" spans="1:1" ht="12.75">
      <c r="A29424" s="2" t="s">
        <v>173</v>
      </c>
    </row>
    <row r="29425" spans="1:1" ht="12.75">
      <c r="A29425" s="2" t="s">
        <v>1107</v>
      </c>
    </row>
    <row r="29426" spans="1:1" ht="12.75">
      <c r="A29426" s="2" t="s">
        <v>1107</v>
      </c>
    </row>
    <row r="29427" spans="1:1" ht="12.75">
      <c r="A29427" s="2" t="s">
        <v>1107</v>
      </c>
    </row>
    <row r="29428" spans="1:1" ht="12.75">
      <c r="A29428" s="2" t="s">
        <v>1107</v>
      </c>
    </row>
    <row r="29431" spans="1:1" ht="12.75">
      <c r="A29431" s="2" t="s">
        <v>173</v>
      </c>
    </row>
    <row r="29432" spans="1:1" ht="12.75">
      <c r="A29432" s="2" t="s">
        <v>1107</v>
      </c>
    </row>
    <row r="29438" spans="1:1" ht="12.75">
      <c r="A29438" s="2" t="s">
        <v>1108</v>
      </c>
    </row>
    <row r="29439" spans="1:1" ht="12.75">
      <c r="A29439" s="2" t="s">
        <v>1107</v>
      </c>
    </row>
    <row r="29442" spans="1:1" ht="12.75">
      <c r="A29442" s="2" t="s">
        <v>1107</v>
      </c>
    </row>
    <row r="29443" spans="1:1" ht="12.75">
      <c r="A29443" s="2" t="s">
        <v>474</v>
      </c>
    </row>
    <row r="29444" spans="1:1" ht="12.75">
      <c r="A29444" s="2" t="s">
        <v>474</v>
      </c>
    </row>
    <row r="29445" spans="1:1" ht="12.75">
      <c r="A29445" s="2" t="s">
        <v>474</v>
      </c>
    </row>
    <row r="29446" spans="1:1" ht="12.75">
      <c r="A29446" s="2" t="s">
        <v>474</v>
      </c>
    </row>
    <row r="29453" spans="1:1" ht="12.75">
      <c r="A29453" s="2" t="s">
        <v>505</v>
      </c>
    </row>
    <row r="29454" spans="1:1" ht="12.75">
      <c r="A29454" s="2" t="s">
        <v>504</v>
      </c>
    </row>
    <row r="29455" spans="1:1" ht="12.75">
      <c r="A29455" s="2" t="s">
        <v>504</v>
      </c>
    </row>
    <row r="29458" spans="1:1" ht="12.75">
      <c r="A29458" s="2" t="s">
        <v>505</v>
      </c>
    </row>
    <row r="29459" spans="1:1" ht="12.75">
      <c r="A29459" s="2" t="s">
        <v>1109</v>
      </c>
    </row>
    <row r="29460" spans="1:1" ht="12.75">
      <c r="A29460" s="2" t="s">
        <v>1110</v>
      </c>
    </row>
    <row r="29461" spans="1:1" ht="12.75">
      <c r="A29461" s="2" t="s">
        <v>1109</v>
      </c>
    </row>
    <row r="29462" spans="1:1" ht="12.75">
      <c r="A29462" s="2" t="s">
        <v>425</v>
      </c>
    </row>
    <row r="29463" spans="1:1" ht="12.75">
      <c r="A29463" s="2" t="s">
        <v>425</v>
      </c>
    </row>
    <row r="29464" spans="1:1" ht="12.75">
      <c r="A29464" s="2" t="s">
        <v>425</v>
      </c>
    </row>
    <row r="29465" spans="1:1" ht="12.75">
      <c r="A29465" s="2" t="s">
        <v>425</v>
      </c>
    </row>
    <row r="29466" spans="1:1" ht="12.75">
      <c r="A29466" s="2" t="s">
        <v>426</v>
      </c>
    </row>
    <row r="29467" spans="1:1" ht="12.75">
      <c r="A29467" s="2" t="s">
        <v>427</v>
      </c>
    </row>
    <row r="29473" spans="1:1" ht="12.75">
      <c r="A29473" s="2" t="s">
        <v>1111</v>
      </c>
    </row>
    <row r="29475" spans="1:1" ht="12.75">
      <c r="A29475" s="2" t="s">
        <v>1111</v>
      </c>
    </row>
    <row r="29477" spans="1:1" ht="12.75">
      <c r="A29477" s="2" t="s">
        <v>1112</v>
      </c>
    </row>
    <row r="29486" spans="1:1" ht="12.75">
      <c r="A29486" s="2" t="s">
        <v>409</v>
      </c>
    </row>
    <row r="29487" spans="1:1" ht="12.75">
      <c r="A29487" s="2" t="s">
        <v>409</v>
      </c>
    </row>
    <row r="29488" spans="1:1" ht="12.75">
      <c r="A29488" s="2" t="s">
        <v>408</v>
      </c>
    </row>
    <row r="29489" spans="1:1" ht="12.75">
      <c r="A29489" s="2" t="s">
        <v>408</v>
      </c>
    </row>
    <row r="29490" spans="1:1" ht="12.75">
      <c r="A29490" s="2" t="s">
        <v>408</v>
      </c>
    </row>
    <row r="29491" spans="1:1" ht="12.75">
      <c r="A29491" s="2" t="s">
        <v>408</v>
      </c>
    </row>
    <row r="29492" spans="1:1" ht="12.75">
      <c r="A29492" s="2" t="s">
        <v>408</v>
      </c>
    </row>
    <row r="29493" spans="1:1" ht="12.75">
      <c r="A29493" s="2" t="s">
        <v>409</v>
      </c>
    </row>
    <row r="29494" spans="1:1" ht="12.75">
      <c r="A29494" s="2" t="s">
        <v>409</v>
      </c>
    </row>
    <row r="29495" spans="1:1" ht="12.75">
      <c r="A29495" s="2" t="s">
        <v>406</v>
      </c>
    </row>
    <row r="29496" spans="1:1" ht="12.75">
      <c r="A29496" s="2" t="s">
        <v>409</v>
      </c>
    </row>
    <row r="29497" spans="1:1" ht="12.75">
      <c r="A29497" s="2" t="s">
        <v>1113</v>
      </c>
    </row>
    <row r="29498" spans="1:1" ht="12.75">
      <c r="A29498" s="2" t="s">
        <v>456</v>
      </c>
    </row>
    <row r="29499" spans="1:1" ht="12.75">
      <c r="A29499" s="2" t="s">
        <v>456</v>
      </c>
    </row>
    <row r="29500" spans="1:1" ht="12.75">
      <c r="A29500" s="2" t="s">
        <v>456</v>
      </c>
    </row>
    <row r="29501" spans="1:1" ht="12.75">
      <c r="A29501" s="2" t="s">
        <v>456</v>
      </c>
    </row>
    <row r="29510" spans="1:1" ht="12.75">
      <c r="A29510" s="2" t="s">
        <v>1114</v>
      </c>
    </row>
    <row r="29511" spans="1:1" ht="12.75">
      <c r="A29511" s="2" t="s">
        <v>1115</v>
      </c>
    </row>
    <row r="29512" spans="1:1" ht="12.75">
      <c r="A29512" s="2" t="s">
        <v>1104</v>
      </c>
    </row>
    <row r="29513" spans="1:1" ht="12.75">
      <c r="A29513" s="2" t="s">
        <v>1104</v>
      </c>
    </row>
    <row r="29514" spans="1:1" ht="12.75">
      <c r="A29514" s="2" t="s">
        <v>1104</v>
      </c>
    </row>
    <row r="29515" spans="1:1" ht="12.75">
      <c r="A29515" s="2" t="s">
        <v>1104</v>
      </c>
    </row>
    <row r="29516" spans="1:1" ht="12.75">
      <c r="A29516" s="2" t="s">
        <v>1116</v>
      </c>
    </row>
    <row r="29518" spans="1:1" ht="12.75">
      <c r="A29518" s="2" t="s">
        <v>1116</v>
      </c>
    </row>
    <row r="29521" spans="1:1" ht="12.75">
      <c r="A29521" s="2" t="s">
        <v>488</v>
      </c>
    </row>
    <row r="29522" spans="1:1" ht="12.75">
      <c r="A29522" s="2" t="s">
        <v>488</v>
      </c>
    </row>
    <row r="29523" spans="1:1" ht="12.75">
      <c r="A29523" s="2" t="s">
        <v>488</v>
      </c>
    </row>
    <row r="29524" spans="1:1" ht="12.75">
      <c r="A29524" s="2" t="s">
        <v>488</v>
      </c>
    </row>
    <row r="29527" spans="1:1" ht="12.75">
      <c r="A29527" s="2" t="s">
        <v>488</v>
      </c>
    </row>
    <row r="29529" spans="1:1" ht="12.75">
      <c r="A29529" s="2" t="s">
        <v>1117</v>
      </c>
    </row>
    <row r="29530" spans="1:1" ht="12.75">
      <c r="A29530" s="2" t="s">
        <v>589</v>
      </c>
    </row>
    <row r="29531" spans="1:1" ht="12.75">
      <c r="A29531" s="2" t="s">
        <v>589</v>
      </c>
    </row>
    <row r="29533" spans="1:1" ht="12.75">
      <c r="A29533" s="2" t="s">
        <v>1118</v>
      </c>
    </row>
    <row r="29534" spans="1:1" ht="12.75">
      <c r="A29534" s="2" t="s">
        <v>1118</v>
      </c>
    </row>
    <row r="29535" spans="1:1" ht="12.75">
      <c r="A29535" s="2" t="s">
        <v>381</v>
      </c>
    </row>
    <row r="29536" spans="1:1" ht="12.75">
      <c r="A29536" s="2" t="s">
        <v>381</v>
      </c>
    </row>
    <row r="29537" spans="1:1" ht="12.75">
      <c r="A29537" s="2" t="s">
        <v>381</v>
      </c>
    </row>
    <row r="29538" spans="1:1" ht="12.75">
      <c r="A29538" s="2" t="s">
        <v>381</v>
      </c>
    </row>
    <row r="29542" spans="1:1" ht="12.75">
      <c r="A29542" s="2" t="s">
        <v>381</v>
      </c>
    </row>
    <row r="29543" spans="1:1" ht="12.75">
      <c r="A29543" s="2" t="s">
        <v>1119</v>
      </c>
    </row>
    <row r="29544" spans="1:1" ht="12.75">
      <c r="A29544" s="2" t="s">
        <v>381</v>
      </c>
    </row>
    <row r="29545" spans="1:1" ht="12.75">
      <c r="A29545" s="2" t="s">
        <v>381</v>
      </c>
    </row>
    <row r="29546" spans="1:1" ht="12.75">
      <c r="A29546" s="2" t="s">
        <v>381</v>
      </c>
    </row>
    <row r="29547" spans="1:1" ht="12.75">
      <c r="A29547" s="2" t="s">
        <v>381</v>
      </c>
    </row>
    <row r="29548" spans="1:1" ht="12.75">
      <c r="A29548" s="2" t="s">
        <v>381</v>
      </c>
    </row>
    <row r="29549" spans="1:1" ht="12.75">
      <c r="A29549" s="2" t="s">
        <v>381</v>
      </c>
    </row>
    <row r="29550" spans="1:1" ht="12.75">
      <c r="A29550" s="2" t="s">
        <v>381</v>
      </c>
    </row>
    <row r="29551" spans="1:1" ht="12.75">
      <c r="A29551" s="2" t="s">
        <v>381</v>
      </c>
    </row>
    <row r="29552" spans="1:1" ht="12.75">
      <c r="A29552" s="2" t="s">
        <v>381</v>
      </c>
    </row>
    <row r="29553" spans="1:1" ht="12.75">
      <c r="A29553" s="2" t="s">
        <v>381</v>
      </c>
    </row>
    <row r="29554" spans="1:1" ht="12.75">
      <c r="A29554" s="2" t="s">
        <v>381</v>
      </c>
    </row>
    <row r="29559" spans="1:1" ht="12.75">
      <c r="A29559" s="2" t="s">
        <v>721</v>
      </c>
    </row>
    <row r="29560" spans="1:1" ht="12.75">
      <c r="A29560" s="2" t="s">
        <v>721</v>
      </c>
    </row>
    <row r="29561" spans="1:1" ht="12.75">
      <c r="A29561" s="2" t="s">
        <v>721</v>
      </c>
    </row>
    <row r="29562" spans="1:1" ht="12.75">
      <c r="A29562" s="2" t="s">
        <v>721</v>
      </c>
    </row>
    <row r="29563" spans="1:1" ht="12.75">
      <c r="A29563" s="2" t="s">
        <v>721</v>
      </c>
    </row>
    <row r="29564" spans="1:1" ht="12.75">
      <c r="A29564" s="2" t="s">
        <v>721</v>
      </c>
    </row>
    <row r="29568" spans="1:1" ht="12.75">
      <c r="A29568" s="2" t="s">
        <v>987</v>
      </c>
    </row>
    <row r="29569" spans="1:1" ht="12.75">
      <c r="A29569" s="2" t="s">
        <v>1070</v>
      </c>
    </row>
    <row r="29571" spans="1:1" ht="12.75">
      <c r="A29571" s="2" t="s">
        <v>1120</v>
      </c>
    </row>
    <row r="29575" spans="1:1" ht="12.75">
      <c r="A29575" s="2" t="s">
        <v>1121</v>
      </c>
    </row>
    <row r="29577" spans="1:1" ht="12.75">
      <c r="A29577" s="2" t="s">
        <v>1122</v>
      </c>
    </row>
    <row r="29578" spans="1:1" ht="12.75">
      <c r="A29578" s="2" t="s">
        <v>1122</v>
      </c>
    </row>
    <row r="29583" spans="1:1" ht="12.75">
      <c r="A29583" s="2" t="s">
        <v>1123</v>
      </c>
    </row>
    <row r="29584" spans="1:1" ht="12.75">
      <c r="A29584" s="2" t="s">
        <v>1124</v>
      </c>
    </row>
    <row r="29585" spans="1:1" ht="12.75">
      <c r="A29585" s="2" t="s">
        <v>524</v>
      </c>
    </row>
    <row r="29586" spans="1:1" ht="12.75">
      <c r="A29586" s="2" t="s">
        <v>525</v>
      </c>
    </row>
    <row r="29587" spans="1:1" ht="12.75">
      <c r="A29587" s="2" t="s">
        <v>524</v>
      </c>
    </row>
    <row r="29588" spans="1:1" ht="12.75">
      <c r="A29588" s="2" t="s">
        <v>524</v>
      </c>
    </row>
    <row r="29589" spans="1:1" ht="12.75">
      <c r="A29589" s="2" t="s">
        <v>524</v>
      </c>
    </row>
    <row r="29590" spans="1:1" ht="12.75">
      <c r="A29590" s="2" t="s">
        <v>524</v>
      </c>
    </row>
    <row r="29591" spans="1:1" ht="12.75">
      <c r="A29591" s="2" t="s">
        <v>1125</v>
      </c>
    </row>
    <row r="29592" spans="1:1" ht="12.75">
      <c r="A29592" s="2" t="s">
        <v>524</v>
      </c>
    </row>
    <row r="29593" spans="1:1" ht="12.75">
      <c r="A29593" s="2" t="s">
        <v>524</v>
      </c>
    </row>
    <row r="29594" spans="1:1" ht="12.75">
      <c r="A29594" s="2" t="s">
        <v>993</v>
      </c>
    </row>
    <row r="29595" spans="1:1" ht="12.75">
      <c r="A29595" s="2" t="s">
        <v>525</v>
      </c>
    </row>
    <row r="29596" spans="1:1" ht="12.75">
      <c r="A29596" s="2" t="s">
        <v>524</v>
      </c>
    </row>
    <row r="29597" spans="1:1" ht="12.75">
      <c r="A29597" s="2" t="s">
        <v>524</v>
      </c>
    </row>
    <row r="29598" spans="1:1" ht="12.75">
      <c r="A29598" s="2" t="s">
        <v>524</v>
      </c>
    </row>
    <row r="29599" spans="1:1" ht="12.75">
      <c r="A29599" s="2" t="s">
        <v>1126</v>
      </c>
    </row>
    <row r="29600" spans="1:1" ht="12.75">
      <c r="A29600" s="2" t="s">
        <v>1126</v>
      </c>
    </row>
    <row r="29601" spans="1:1" ht="12.75">
      <c r="A29601" s="2" t="s">
        <v>1127</v>
      </c>
    </row>
    <row r="29602" spans="1:1" ht="12.75">
      <c r="A29602" s="2" t="s">
        <v>1128</v>
      </c>
    </row>
    <row r="29603" spans="1:1" ht="12.75">
      <c r="A29603" s="2" t="s">
        <v>1127</v>
      </c>
    </row>
    <row r="29604" spans="1:1" ht="12.75">
      <c r="A29604" s="2" t="s">
        <v>1128</v>
      </c>
    </row>
    <row r="29606" spans="1:1" ht="12.75">
      <c r="A29606" s="2" t="s">
        <v>341</v>
      </c>
    </row>
    <row r="29607" spans="1:1" ht="12.75">
      <c r="A29607" s="2" t="s">
        <v>342</v>
      </c>
    </row>
    <row r="29608" spans="1:1" ht="12.75">
      <c r="A29608" s="2" t="s">
        <v>338</v>
      </c>
    </row>
    <row r="29610" spans="1:1" ht="12.75">
      <c r="A29610" s="2" t="s">
        <v>342</v>
      </c>
    </row>
    <row r="29611" spans="1:1" ht="12.75">
      <c r="A29611" s="2" t="s">
        <v>341</v>
      </c>
    </row>
    <row r="29612" spans="1:1" ht="12.75">
      <c r="A29612" s="2" t="s">
        <v>341</v>
      </c>
    </row>
    <row r="29613" spans="1:1" ht="12.75">
      <c r="A29613" s="2" t="s">
        <v>342</v>
      </c>
    </row>
    <row r="29614" spans="1:1" ht="12.75">
      <c r="A29614" s="2" t="s">
        <v>341</v>
      </c>
    </row>
    <row r="29615" spans="1:1" ht="12.75">
      <c r="A29615" s="2" t="s">
        <v>331</v>
      </c>
    </row>
    <row r="29616" spans="1:1" ht="12.75">
      <c r="A29616" s="2" t="s">
        <v>331</v>
      </c>
    </row>
    <row r="29617" spans="1:1" ht="12.75">
      <c r="A29617" s="2" t="s">
        <v>331</v>
      </c>
    </row>
    <row r="29618" spans="1:1" ht="12.75">
      <c r="A29618" s="2" t="s">
        <v>331</v>
      </c>
    </row>
    <row r="29619" spans="1:1" ht="12.75">
      <c r="A29619" s="2" t="s">
        <v>331</v>
      </c>
    </row>
    <row r="29620" spans="1:1" ht="12.75">
      <c r="A29620" s="2" t="s">
        <v>331</v>
      </c>
    </row>
    <row r="29621" spans="1:1" ht="12.75">
      <c r="A29621" s="2" t="s">
        <v>331</v>
      </c>
    </row>
    <row r="29622" spans="1:1" ht="12.75">
      <c r="A29622" s="2" t="s">
        <v>331</v>
      </c>
    </row>
    <row r="29623" spans="1:1" ht="12.75">
      <c r="A29623" s="2" t="s">
        <v>331</v>
      </c>
    </row>
    <row r="29624" spans="1:1" ht="12.75">
      <c r="A29624" s="2" t="s">
        <v>331</v>
      </c>
    </row>
    <row r="29625" spans="1:1" ht="12.75">
      <c r="A29625" s="2" t="s">
        <v>331</v>
      </c>
    </row>
    <row r="29626" spans="1:1" ht="12.75">
      <c r="A29626" s="2" t="s">
        <v>331</v>
      </c>
    </row>
    <row r="29627" spans="1:1" ht="12.75">
      <c r="A29627" s="2" t="s">
        <v>331</v>
      </c>
    </row>
    <row r="29628" spans="1:1" ht="12.75">
      <c r="A29628" s="2" t="s">
        <v>331</v>
      </c>
    </row>
    <row r="29629" spans="1:1" ht="12.75">
      <c r="A29629" s="2" t="s">
        <v>331</v>
      </c>
    </row>
    <row r="29630" spans="1:1" ht="12.75">
      <c r="A29630" s="2" t="s">
        <v>331</v>
      </c>
    </row>
    <row r="29631" spans="1:1" ht="12.75">
      <c r="A29631" s="2" t="s">
        <v>331</v>
      </c>
    </row>
    <row r="29632" spans="1:1" ht="12.75">
      <c r="A29632" s="2" t="s">
        <v>331</v>
      </c>
    </row>
    <row r="29633" spans="1:1" ht="12.75">
      <c r="A29633" s="2" t="s">
        <v>332</v>
      </c>
    </row>
    <row r="29634" spans="1:1" ht="12.75">
      <c r="A29634" s="2" t="s">
        <v>331</v>
      </c>
    </row>
    <row r="29635" spans="1:1" ht="12.75">
      <c r="A29635" s="2" t="s">
        <v>332</v>
      </c>
    </row>
    <row r="29636" spans="1:1" ht="12.75">
      <c r="A29636" s="2" t="s">
        <v>331</v>
      </c>
    </row>
    <row r="29637" spans="1:1" ht="12.75">
      <c r="A29637" s="2" t="s">
        <v>332</v>
      </c>
    </row>
    <row r="29638" spans="1:1" ht="12.75">
      <c r="A29638" s="2" t="s">
        <v>331</v>
      </c>
    </row>
    <row r="29639" spans="1:1" ht="12.75">
      <c r="A29639" s="2" t="s">
        <v>332</v>
      </c>
    </row>
    <row r="29640" spans="1:1" ht="12.75">
      <c r="A29640" s="2" t="s">
        <v>331</v>
      </c>
    </row>
    <row r="29641" spans="1:1" ht="12.75">
      <c r="A29641" s="2" t="s">
        <v>332</v>
      </c>
    </row>
    <row r="29642" spans="1:1" ht="12.75">
      <c r="A29642" s="2" t="s">
        <v>331</v>
      </c>
    </row>
    <row r="29643" spans="1:1" ht="12.75">
      <c r="A29643" s="2" t="s">
        <v>332</v>
      </c>
    </row>
    <row r="29644" spans="1:1" ht="12.75">
      <c r="A29644" s="2" t="s">
        <v>331</v>
      </c>
    </row>
    <row r="29645" spans="1:1" ht="12.75">
      <c r="A29645" s="2" t="s">
        <v>332</v>
      </c>
    </row>
    <row r="29646" spans="1:1" ht="12.75">
      <c r="A29646" s="2" t="s">
        <v>331</v>
      </c>
    </row>
    <row r="29647" spans="1:1" ht="12.75">
      <c r="A29647" s="2" t="s">
        <v>332</v>
      </c>
    </row>
    <row r="29648" spans="1:1" ht="12.75">
      <c r="A29648" s="2" t="s">
        <v>302</v>
      </c>
    </row>
    <row r="29649" spans="1:1" ht="12.75">
      <c r="A29649" s="2" t="s">
        <v>332</v>
      </c>
    </row>
    <row r="29650" spans="1:1" ht="12.75">
      <c r="A29650" s="2" t="s">
        <v>302</v>
      </c>
    </row>
    <row r="29651" spans="1:1" ht="12.75">
      <c r="A29651" s="2" t="s">
        <v>332</v>
      </c>
    </row>
    <row r="29652" spans="1:1" ht="12.75">
      <c r="A29652" s="2" t="s">
        <v>302</v>
      </c>
    </row>
    <row r="29653" spans="1:1" ht="12.75">
      <c r="A29653" s="2" t="s">
        <v>302</v>
      </c>
    </row>
    <row r="29654" spans="1:1" ht="12.75">
      <c r="A29654" s="2" t="s">
        <v>331</v>
      </c>
    </row>
    <row r="29665" spans="1:1" ht="12.75">
      <c r="A29665" s="2" t="s">
        <v>645</v>
      </c>
    </row>
    <row r="29666" spans="1:1" ht="12.75">
      <c r="A29666" s="2" t="s">
        <v>645</v>
      </c>
    </row>
    <row r="29668" spans="1:1" ht="12.75">
      <c r="A29668" s="2" t="s">
        <v>536</v>
      </c>
    </row>
    <row r="29669" spans="1:1" ht="12.75">
      <c r="A29669" s="2" t="s">
        <v>536</v>
      </c>
    </row>
    <row r="29670" spans="1:1" ht="12.75">
      <c r="A29670" s="2" t="s">
        <v>377</v>
      </c>
    </row>
    <row r="29671" spans="1:1" ht="12.75">
      <c r="A29671" s="2" t="s">
        <v>377</v>
      </c>
    </row>
    <row r="29672" spans="1:1" ht="12.75">
      <c r="A29672" s="2" t="s">
        <v>377</v>
      </c>
    </row>
    <row r="29673" spans="1:1" ht="12.75">
      <c r="A29673" s="2" t="s">
        <v>955</v>
      </c>
    </row>
    <row r="29674" spans="1:1" ht="12.75">
      <c r="A29674" s="2" t="s">
        <v>377</v>
      </c>
    </row>
    <row r="29675" spans="1:1" ht="12.75">
      <c r="A29675" s="2" t="s">
        <v>377</v>
      </c>
    </row>
    <row r="29676" spans="1:1" ht="12.75">
      <c r="A29676" s="2" t="s">
        <v>955</v>
      </c>
    </row>
    <row r="29677" spans="1:1" ht="12.75">
      <c r="A29677" s="2" t="s">
        <v>955</v>
      </c>
    </row>
    <row r="29678" spans="1:1" ht="12.75">
      <c r="A29678" s="2" t="s">
        <v>377</v>
      </c>
    </row>
    <row r="29679" spans="1:1" ht="12.75">
      <c r="A29679" s="2" t="s">
        <v>377</v>
      </c>
    </row>
    <row r="29680" spans="1:1" ht="12.75">
      <c r="A29680" s="2" t="s">
        <v>1129</v>
      </c>
    </row>
    <row r="29682" spans="1:1" ht="12.75">
      <c r="A29682" s="2" t="s">
        <v>519</v>
      </c>
    </row>
    <row r="29683" spans="1:1" ht="12.75">
      <c r="A29683" s="2" t="s">
        <v>661</v>
      </c>
    </row>
    <row r="29684" spans="1:1" ht="12.75">
      <c r="A29684" s="2" t="s">
        <v>669</v>
      </c>
    </row>
    <row r="29685" spans="1:1" ht="12.75">
      <c r="A29685" s="2" t="s">
        <v>997</v>
      </c>
    </row>
    <row r="29687" spans="1:1" ht="12.75">
      <c r="A29687" s="2" t="s">
        <v>997</v>
      </c>
    </row>
    <row r="29688" spans="1:1" ht="12.75">
      <c r="A29688" s="2" t="s">
        <v>669</v>
      </c>
    </row>
    <row r="29689" spans="1:1" ht="12.75">
      <c r="A29689" s="2" t="s">
        <v>669</v>
      </c>
    </row>
    <row r="29690" spans="1:1" ht="12.75">
      <c r="A29690" s="2" t="s">
        <v>784</v>
      </c>
    </row>
    <row r="29691" spans="1:1" ht="12.75">
      <c r="A29691" s="2" t="s">
        <v>669</v>
      </c>
    </row>
    <row r="29693" spans="1:1" ht="12.75">
      <c r="A29693" s="2" t="s">
        <v>669</v>
      </c>
    </row>
    <row r="29694" spans="1:1" ht="12.75">
      <c r="A29694" s="2" t="s">
        <v>997</v>
      </c>
    </row>
    <row r="29695" spans="1:1" ht="12.75">
      <c r="A29695" s="2" t="s">
        <v>669</v>
      </c>
    </row>
    <row r="29696" spans="1:1" ht="12.75">
      <c r="A29696" s="2" t="s">
        <v>775</v>
      </c>
    </row>
    <row r="29697" spans="1:1" ht="12.75">
      <c r="A29697" s="2" t="s">
        <v>997</v>
      </c>
    </row>
    <row r="29698" spans="1:1" ht="12.75">
      <c r="A29698" s="2" t="s">
        <v>775</v>
      </c>
    </row>
    <row r="29699" spans="1:1" ht="12.75">
      <c r="A29699" s="2" t="s">
        <v>997</v>
      </c>
    </row>
    <row r="29700" spans="1:1" ht="12.75">
      <c r="A29700" s="2" t="s">
        <v>669</v>
      </c>
    </row>
    <row r="29701" spans="1:1" ht="12.75">
      <c r="A29701" s="2" t="s">
        <v>669</v>
      </c>
    </row>
    <row r="29702" spans="1:1" ht="12.75">
      <c r="A29702" s="2" t="s">
        <v>669</v>
      </c>
    </row>
    <row r="29704" spans="1:1" ht="12.75">
      <c r="A29704" s="2" t="s">
        <v>778</v>
      </c>
    </row>
    <row r="29705" spans="1:1" ht="12.75">
      <c r="A29705" s="2" t="s">
        <v>775</v>
      </c>
    </row>
    <row r="29706" spans="1:1" ht="12.75">
      <c r="A29706" s="2" t="s">
        <v>778</v>
      </c>
    </row>
    <row r="29707" spans="1:1" ht="12.75">
      <c r="A29707" s="2" t="s">
        <v>775</v>
      </c>
    </row>
    <row r="29708" spans="1:1" ht="12.75">
      <c r="A29708" s="2" t="s">
        <v>775</v>
      </c>
    </row>
    <row r="29709" spans="1:1" ht="12.75">
      <c r="A29709" s="2" t="s">
        <v>669</v>
      </c>
    </row>
    <row r="29710" spans="1:1" ht="12.75">
      <c r="A29710" s="2" t="s">
        <v>775</v>
      </c>
    </row>
    <row r="29711" spans="1:1" ht="12.75">
      <c r="A29711" s="2" t="s">
        <v>778</v>
      </c>
    </row>
    <row r="29712" spans="1:1" ht="12.75">
      <c r="A29712" s="2" t="s">
        <v>775</v>
      </c>
    </row>
    <row r="29713" spans="1:1" ht="12.75">
      <c r="A29713" s="2" t="s">
        <v>669</v>
      </c>
    </row>
    <row r="29714" spans="1:1" ht="12.75">
      <c r="A29714" s="2" t="s">
        <v>669</v>
      </c>
    </row>
    <row r="29715" spans="1:1" ht="12.75">
      <c r="A29715" s="2" t="s">
        <v>778</v>
      </c>
    </row>
    <row r="29716" spans="1:1" ht="12.75">
      <c r="A29716" s="2" t="s">
        <v>669</v>
      </c>
    </row>
    <row r="29717" spans="1:1" ht="12.75">
      <c r="A29717" s="2" t="s">
        <v>784</v>
      </c>
    </row>
    <row r="29718" spans="1:1" ht="12.75">
      <c r="A29718" s="2" t="s">
        <v>669</v>
      </c>
    </row>
    <row r="29719" spans="1:1" ht="12.75">
      <c r="A29719" s="2" t="s">
        <v>669</v>
      </c>
    </row>
    <row r="29720" spans="1:1" ht="12.75">
      <c r="A29720" s="2" t="s">
        <v>669</v>
      </c>
    </row>
    <row r="29721" spans="1:1" ht="12.75">
      <c r="A29721" s="2" t="s">
        <v>669</v>
      </c>
    </row>
    <row r="29722" spans="1:1" ht="12.75">
      <c r="A29722" s="2" t="s">
        <v>669</v>
      </c>
    </row>
    <row r="29723" spans="1:1" ht="12.75">
      <c r="A29723" s="2" t="s">
        <v>775</v>
      </c>
    </row>
    <row r="29725" spans="1:1" ht="12.75">
      <c r="A29725" s="2" t="s">
        <v>1130</v>
      </c>
    </row>
    <row r="29726" spans="1:1" ht="12.75">
      <c r="A29726" s="2" t="s">
        <v>669</v>
      </c>
    </row>
    <row r="29727" spans="1:1" ht="12.75">
      <c r="A29727" s="2" t="s">
        <v>669</v>
      </c>
    </row>
    <row r="29728" spans="1:1" ht="12.75">
      <c r="A29728" s="2" t="s">
        <v>669</v>
      </c>
    </row>
    <row r="29729" spans="1:1" ht="12.75">
      <c r="A29729" s="2" t="s">
        <v>778</v>
      </c>
    </row>
    <row r="29730" spans="1:1" ht="12.75">
      <c r="A29730" s="2" t="s">
        <v>669</v>
      </c>
    </row>
    <row r="29731" spans="1:1" ht="12.75">
      <c r="A29731" s="2" t="s">
        <v>778</v>
      </c>
    </row>
    <row r="29732" spans="1:1" ht="12.75">
      <c r="A29732" s="2" t="s">
        <v>669</v>
      </c>
    </row>
    <row r="29733" spans="1:1" ht="12.75">
      <c r="A29733" s="2" t="s">
        <v>1131</v>
      </c>
    </row>
    <row r="29734" spans="1:1" ht="12.75">
      <c r="A29734" s="2" t="s">
        <v>217</v>
      </c>
    </row>
    <row r="29735" spans="1:1" ht="12.75">
      <c r="A29735" s="2" t="s">
        <v>217</v>
      </c>
    </row>
    <row r="29736" spans="1:1" ht="12.75">
      <c r="A29736" s="2" t="s">
        <v>217</v>
      </c>
    </row>
    <row r="29737" spans="1:1" ht="12.75">
      <c r="A29737" s="2" t="s">
        <v>1132</v>
      </c>
    </row>
    <row r="29738" spans="1:1" ht="12.75">
      <c r="A29738" s="2" t="s">
        <v>708</v>
      </c>
    </row>
    <row r="29739" spans="1:1" ht="12.75">
      <c r="A29739" s="2" t="s">
        <v>708</v>
      </c>
    </row>
    <row r="29740" spans="1:1" ht="12.75">
      <c r="A29740" s="2" t="s">
        <v>1133</v>
      </c>
    </row>
    <row r="29741" spans="1:1" ht="12.75">
      <c r="A29741" s="2" t="s">
        <v>957</v>
      </c>
    </row>
    <row r="29742" spans="1:1" ht="12.75">
      <c r="A29742" s="2" t="s">
        <v>958</v>
      </c>
    </row>
    <row r="29743" spans="1:1" ht="12.75">
      <c r="A29743" s="2" t="s">
        <v>958</v>
      </c>
    </row>
    <row r="29744" spans="1:1" ht="12.75">
      <c r="A29744" s="2" t="s">
        <v>285</v>
      </c>
    </row>
    <row r="29745" spans="1:1" ht="12.75">
      <c r="A29745" s="2" t="s">
        <v>966</v>
      </c>
    </row>
    <row r="29748" spans="1:1" ht="12.75">
      <c r="A29748" s="2" t="s">
        <v>962</v>
      </c>
    </row>
    <row r="29749" spans="1:1" ht="12.75">
      <c r="A29749" s="2" t="s">
        <v>962</v>
      </c>
    </row>
    <row r="29750" spans="1:1" ht="12.75">
      <c r="A29750" s="2" t="s">
        <v>962</v>
      </c>
    </row>
    <row r="29751" spans="1:1" ht="12.75">
      <c r="A29751" s="2" t="s">
        <v>962</v>
      </c>
    </row>
    <row r="29752" spans="1:1" ht="12.75">
      <c r="A29752" s="2" t="s">
        <v>961</v>
      </c>
    </row>
    <row r="29753" spans="1:1" ht="12.75">
      <c r="A29753" s="2" t="s">
        <v>961</v>
      </c>
    </row>
    <row r="29754" spans="1:1" ht="12.75">
      <c r="A29754" s="2" t="s">
        <v>285</v>
      </c>
    </row>
    <row r="29755" spans="1:1" ht="12.75">
      <c r="A29755" s="2" t="s">
        <v>285</v>
      </c>
    </row>
    <row r="29756" spans="1:1" ht="12.75">
      <c r="A29756" s="2" t="s">
        <v>958</v>
      </c>
    </row>
    <row r="29757" spans="1:1" ht="12.75">
      <c r="A29757" s="2" t="s">
        <v>958</v>
      </c>
    </row>
    <row r="29758" spans="1:1" ht="12.75">
      <c r="A29758" s="2" t="s">
        <v>708</v>
      </c>
    </row>
    <row r="29759" spans="1:1" ht="12.75">
      <c r="A29759" s="2" t="s">
        <v>708</v>
      </c>
    </row>
    <row r="29760" spans="1:1" ht="12.75">
      <c r="A29760" s="2" t="s">
        <v>957</v>
      </c>
    </row>
    <row r="29761" spans="1:1" ht="12.75">
      <c r="A29761" s="2" t="s">
        <v>467</v>
      </c>
    </row>
    <row r="29764" spans="1:1" ht="12.75">
      <c r="A29764" s="2" t="s">
        <v>958</v>
      </c>
    </row>
    <row r="29765" spans="1:1" ht="12.75">
      <c r="A29765" s="2" t="s">
        <v>958</v>
      </c>
    </row>
    <row r="29766" spans="1:1" ht="12.75">
      <c r="A29766" s="2" t="s">
        <v>962</v>
      </c>
    </row>
    <row r="29767" spans="1:1" ht="12.75">
      <c r="A29767" s="2" t="s">
        <v>962</v>
      </c>
    </row>
    <row r="29771" spans="1:1" ht="12.75">
      <c r="A29771" s="2" t="s">
        <v>974</v>
      </c>
    </row>
    <row r="29776" spans="1:1" ht="12.75">
      <c r="A29776" s="2" t="s">
        <v>1134</v>
      </c>
    </row>
    <row r="29777" spans="1:1" ht="12.75">
      <c r="A29777" s="2" t="s">
        <v>1134</v>
      </c>
    </row>
    <row r="29778" spans="1:1" ht="12.75">
      <c r="A29778" s="2" t="s">
        <v>1135</v>
      </c>
    </row>
    <row r="29779" spans="1:1" ht="12.75">
      <c r="A29779" s="2" t="s">
        <v>1135</v>
      </c>
    </row>
    <row r="29780" spans="1:1" ht="12.75">
      <c r="A29780" s="2" t="s">
        <v>708</v>
      </c>
    </row>
    <row r="29781" spans="1:1" ht="12.75">
      <c r="A29781" s="2" t="s">
        <v>708</v>
      </c>
    </row>
    <row r="29782" spans="1:1" ht="12.75">
      <c r="A29782" s="2" t="s">
        <v>1136</v>
      </c>
    </row>
    <row r="29783" spans="1:1" ht="12.75">
      <c r="A29783" s="2" t="s">
        <v>1136</v>
      </c>
    </row>
    <row r="29784" spans="1:1" ht="12.75">
      <c r="A29784" s="2" t="s">
        <v>1137</v>
      </c>
    </row>
    <row r="29785" spans="1:1" ht="12.75">
      <c r="A29785" s="2" t="s">
        <v>708</v>
      </c>
    </row>
    <row r="29786" spans="1:1" ht="12.75">
      <c r="A29786" s="2" t="s">
        <v>962</v>
      </c>
    </row>
    <row r="29787" spans="1:1" ht="12.75">
      <c r="A29787" s="2" t="s">
        <v>962</v>
      </c>
    </row>
    <row r="29788" spans="1:1" ht="12.75">
      <c r="A29788" s="2" t="s">
        <v>958</v>
      </c>
    </row>
    <row r="29789" spans="1:1" ht="12.75">
      <c r="A29789" s="2" t="s">
        <v>958</v>
      </c>
    </row>
    <row r="29790" spans="1:1" ht="12.75">
      <c r="A29790" s="2" t="s">
        <v>957</v>
      </c>
    </row>
    <row r="29791" spans="1:1" ht="12.75">
      <c r="A29791" s="2" t="s">
        <v>957</v>
      </c>
    </row>
    <row r="29792" spans="1:1" ht="12.75">
      <c r="A29792" s="2" t="s">
        <v>962</v>
      </c>
    </row>
    <row r="29793" spans="1:1" ht="12.75">
      <c r="A29793" s="2" t="s">
        <v>962</v>
      </c>
    </row>
    <row r="29794" spans="1:1" ht="12.75">
      <c r="A29794" s="2" t="s">
        <v>957</v>
      </c>
    </row>
    <row r="29796" spans="1:1" ht="12.75">
      <c r="A29796" s="2" t="s">
        <v>957</v>
      </c>
    </row>
    <row r="29797" spans="1:1" ht="12.75">
      <c r="A29797" s="2" t="s">
        <v>957</v>
      </c>
    </row>
    <row r="29798" spans="1:1" ht="12.75">
      <c r="A29798" s="2" t="s">
        <v>763</v>
      </c>
    </row>
    <row r="29799" spans="1:1" ht="12.75">
      <c r="A29799" s="2" t="s">
        <v>763</v>
      </c>
    </row>
    <row r="29800" spans="1:1" ht="12.75">
      <c r="A29800" s="2" t="s">
        <v>961</v>
      </c>
    </row>
    <row r="29801" spans="1:1" ht="12.75">
      <c r="A29801" s="2" t="s">
        <v>961</v>
      </c>
    </row>
    <row r="29802" spans="1:1" ht="12.75">
      <c r="A29802" s="2" t="s">
        <v>1135</v>
      </c>
    </row>
    <row r="29803" spans="1:1" ht="12.75">
      <c r="A29803" s="2" t="s">
        <v>1135</v>
      </c>
    </row>
    <row r="29804" spans="1:1" ht="12.75">
      <c r="A29804" s="2" t="s">
        <v>974</v>
      </c>
    </row>
    <row r="29805" spans="1:1" ht="12.75">
      <c r="A29805" s="2" t="s">
        <v>974</v>
      </c>
    </row>
    <row r="29806" spans="1:1" ht="12.75">
      <c r="A29806" s="2" t="s">
        <v>1138</v>
      </c>
    </row>
    <row r="29807" spans="1:1" ht="12.75">
      <c r="A29807" s="2" t="s">
        <v>1138</v>
      </c>
    </row>
    <row r="29808" spans="1:1" ht="12.75">
      <c r="A29808" s="2" t="s">
        <v>974</v>
      </c>
    </row>
    <row r="29809" spans="1:1" ht="12.75">
      <c r="A29809" s="2" t="s">
        <v>974</v>
      </c>
    </row>
    <row r="29810" spans="1:1" ht="12.75">
      <c r="A29810" s="2" t="s">
        <v>1138</v>
      </c>
    </row>
    <row r="29811" spans="1:1" ht="12.75">
      <c r="A29811" s="2" t="s">
        <v>1138</v>
      </c>
    </row>
    <row r="29812" spans="1:1" ht="12.75">
      <c r="A29812" s="2" t="s">
        <v>1134</v>
      </c>
    </row>
    <row r="29813" spans="1:1" ht="12.75">
      <c r="A29813" s="2" t="s">
        <v>1134</v>
      </c>
    </row>
    <row r="29814" spans="1:1" ht="12.75">
      <c r="A29814" s="2" t="s">
        <v>1135</v>
      </c>
    </row>
    <row r="29815" spans="1:1" ht="12.75">
      <c r="A29815" s="2" t="s">
        <v>1135</v>
      </c>
    </row>
    <row r="29816" spans="1:1" ht="12.75">
      <c r="A29816" s="2" t="s">
        <v>1138</v>
      </c>
    </row>
    <row r="29817" spans="1:1" ht="12.75">
      <c r="A29817" s="2" t="s">
        <v>1139</v>
      </c>
    </row>
    <row r="29820" spans="1:1" ht="12.75">
      <c r="A29820" s="2" t="s">
        <v>763</v>
      </c>
    </row>
    <row r="29821" spans="1:1" ht="12.75">
      <c r="A29821" s="2" t="s">
        <v>763</v>
      </c>
    </row>
    <row r="29822" spans="1:1" ht="12.75">
      <c r="A29822" s="2" t="s">
        <v>974</v>
      </c>
    </row>
    <row r="29823" spans="1:1" ht="12.75">
      <c r="A29823" s="2" t="s">
        <v>974</v>
      </c>
    </row>
    <row r="29824" spans="1:1" ht="12.75">
      <c r="A29824" s="2" t="s">
        <v>708</v>
      </c>
    </row>
    <row r="29825" spans="1:1" ht="12.75">
      <c r="A29825" s="2" t="s">
        <v>1140</v>
      </c>
    </row>
    <row r="29827" spans="1:1" ht="12.75">
      <c r="A29827" s="2" t="s">
        <v>1138</v>
      </c>
    </row>
    <row r="29828" spans="1:1" ht="12.75">
      <c r="A29828" s="2" t="s">
        <v>1134</v>
      </c>
    </row>
    <row r="29829" spans="1:1" ht="12.75">
      <c r="A29829" s="2" t="s">
        <v>1134</v>
      </c>
    </row>
    <row r="29830" spans="1:1" ht="12.75">
      <c r="A29830" s="2" t="s">
        <v>1134</v>
      </c>
    </row>
    <row r="29831" spans="1:1" ht="12.75">
      <c r="A29831" s="2" t="s">
        <v>1134</v>
      </c>
    </row>
    <row r="29832" spans="1:1" ht="12.75">
      <c r="A29832" s="2" t="s">
        <v>961</v>
      </c>
    </row>
    <row r="29833" spans="1:1" ht="12.75">
      <c r="A29833" s="2" t="s">
        <v>961</v>
      </c>
    </row>
    <row r="29838" spans="1:1" ht="12.75">
      <c r="A29838" s="2" t="s">
        <v>308</v>
      </c>
    </row>
    <row r="29839" spans="1:1" ht="12.75">
      <c r="A29839" s="2" t="s">
        <v>308</v>
      </c>
    </row>
    <row r="29876" spans="1:1" ht="12.75">
      <c r="A29876" s="2" t="s">
        <v>763</v>
      </c>
    </row>
    <row r="29878" spans="1:1" ht="12.75">
      <c r="A29878" s="2" t="s">
        <v>1135</v>
      </c>
    </row>
    <row r="29879" spans="1:1" ht="12.75">
      <c r="A29879" s="2" t="s">
        <v>1135</v>
      </c>
    </row>
    <row r="29880" spans="1:1" ht="12.75">
      <c r="A29880" s="2" t="s">
        <v>974</v>
      </c>
    </row>
    <row r="29881" spans="1:1" ht="12.75">
      <c r="A29881" s="2" t="s">
        <v>974</v>
      </c>
    </row>
    <row r="29882" spans="1:1" ht="12.75">
      <c r="A29882" s="2" t="s">
        <v>1141</v>
      </c>
    </row>
    <row r="29883" spans="1:1" ht="12.75">
      <c r="A29883" s="2" t="s">
        <v>1141</v>
      </c>
    </row>
    <row r="29886" spans="1:1" ht="12.75">
      <c r="A29886" s="2" t="s">
        <v>1142</v>
      </c>
    </row>
    <row r="29887" spans="1:1" ht="12.75">
      <c r="A29887" s="2" t="s">
        <v>1141</v>
      </c>
    </row>
    <row r="29892" spans="1:1" ht="12.75">
      <c r="A29892" s="2" t="s">
        <v>957</v>
      </c>
    </row>
    <row r="29893" spans="1:1" ht="12.75">
      <c r="A29893" s="2" t="s">
        <v>957</v>
      </c>
    </row>
    <row r="29898" spans="1:1" ht="12.75">
      <c r="A29898" s="2" t="s">
        <v>1096</v>
      </c>
    </row>
    <row r="29899" spans="1:1" ht="12.75">
      <c r="A29899" s="2" t="s">
        <v>962</v>
      </c>
    </row>
    <row r="29900" spans="1:1" ht="12.75">
      <c r="A29900" s="2" t="s">
        <v>958</v>
      </c>
    </row>
    <row r="29901" spans="1:1" ht="12.75">
      <c r="A29901" s="2" t="s">
        <v>958</v>
      </c>
    </row>
    <row r="29902" spans="1:1" ht="12.75">
      <c r="A29902" s="2" t="s">
        <v>957</v>
      </c>
    </row>
    <row r="29903" spans="1:1" ht="12.75">
      <c r="A29903" s="2" t="s">
        <v>957</v>
      </c>
    </row>
    <row r="29904" spans="1:1" ht="12.75">
      <c r="A29904" s="2" t="s">
        <v>1143</v>
      </c>
    </row>
    <row r="29905" spans="1:1" ht="12.75">
      <c r="A29905" s="2" t="s">
        <v>708</v>
      </c>
    </row>
    <row r="29906" spans="1:1" ht="12.75">
      <c r="A29906" s="2" t="s">
        <v>957</v>
      </c>
    </row>
    <row r="29907" spans="1:1" ht="12.75">
      <c r="A29907" s="2" t="s">
        <v>957</v>
      </c>
    </row>
    <row r="29908" spans="1:1" ht="12.75">
      <c r="A29908" s="2" t="s">
        <v>1144</v>
      </c>
    </row>
    <row r="29909" spans="1:1" ht="12.75">
      <c r="A29909" s="2" t="s">
        <v>1144</v>
      </c>
    </row>
    <row r="29912" spans="1:1" ht="12.75">
      <c r="A29912" s="2" t="s">
        <v>1145</v>
      </c>
    </row>
    <row r="29913" spans="1:1" ht="12.75">
      <c r="A29913" s="2" t="s">
        <v>1145</v>
      </c>
    </row>
    <row r="29914" spans="1:1" ht="12.75">
      <c r="A29914" s="2" t="s">
        <v>957</v>
      </c>
    </row>
    <row r="29915" spans="1:1" ht="12.75">
      <c r="A29915" s="2" t="s">
        <v>957</v>
      </c>
    </row>
    <row r="29918" spans="1:1" ht="12.75">
      <c r="A29918" s="2" t="s">
        <v>708</v>
      </c>
    </row>
    <row r="29919" spans="1:1" ht="12.75">
      <c r="A29919" s="2" t="s">
        <v>708</v>
      </c>
    </row>
    <row r="29920" spans="1:1" ht="12.75">
      <c r="A29920" s="2" t="s">
        <v>1142</v>
      </c>
    </row>
    <row r="29922" spans="1:1" ht="12.75">
      <c r="A29922" s="2" t="s">
        <v>966</v>
      </c>
    </row>
    <row r="29923" spans="1:1" ht="12.75">
      <c r="A29923" s="2" t="s">
        <v>1146</v>
      </c>
    </row>
    <row r="29924" spans="1:1" ht="12.75">
      <c r="A29924" s="2" t="s">
        <v>708</v>
      </c>
    </row>
    <row r="29925" spans="1:1" ht="12.75">
      <c r="A29925" s="2" t="s">
        <v>708</v>
      </c>
    </row>
    <row r="29926" spans="1:1" ht="12.75">
      <c r="A29926" s="2" t="s">
        <v>958</v>
      </c>
    </row>
    <row r="29930" spans="1:1" ht="12.75">
      <c r="A29930" s="2" t="s">
        <v>1142</v>
      </c>
    </row>
    <row r="29931" spans="1:1" ht="12.75">
      <c r="A29931" s="2" t="s">
        <v>1142</v>
      </c>
    </row>
    <row r="29932" spans="1:1" ht="12.75">
      <c r="A29932" s="2" t="s">
        <v>1141</v>
      </c>
    </row>
    <row r="29933" spans="1:1" ht="12.75">
      <c r="A29933" s="2" t="s">
        <v>1141</v>
      </c>
    </row>
    <row r="29934" spans="1:1" ht="12.75">
      <c r="A29934" s="2" t="s">
        <v>1142</v>
      </c>
    </row>
    <row r="29935" spans="1:1" ht="12.75">
      <c r="A29935" s="2" t="s">
        <v>1142</v>
      </c>
    </row>
    <row r="29936" spans="1:1" ht="12.75">
      <c r="A29936" s="2" t="s">
        <v>1146</v>
      </c>
    </row>
    <row r="29937" spans="1:1" ht="12.75">
      <c r="A29937" s="2" t="s">
        <v>1146</v>
      </c>
    </row>
    <row r="29938" spans="1:1" ht="12.75">
      <c r="A29938" s="2" t="s">
        <v>974</v>
      </c>
    </row>
    <row r="29939" spans="1:1" ht="12.75">
      <c r="A29939" s="2" t="s">
        <v>975</v>
      </c>
    </row>
    <row r="29940" spans="1:1" ht="12.75">
      <c r="A29940" s="2" t="s">
        <v>1147</v>
      </c>
    </row>
    <row r="29941" spans="1:1" ht="12.75">
      <c r="A29941" s="2" t="s">
        <v>1147</v>
      </c>
    </row>
    <row r="29942" spans="1:1" ht="12.75">
      <c r="A29942" s="2" t="s">
        <v>581</v>
      </c>
    </row>
    <row r="29943" spans="1:1" ht="12.75">
      <c r="A29943" s="2" t="s">
        <v>581</v>
      </c>
    </row>
    <row r="29944" spans="1:1" ht="12.75">
      <c r="A29944" s="2" t="s">
        <v>701</v>
      </c>
    </row>
    <row r="29945" spans="1:1" ht="12.75">
      <c r="A29945" s="2" t="s">
        <v>701</v>
      </c>
    </row>
    <row r="29946" spans="1:1" ht="12.75">
      <c r="A29946" s="2" t="s">
        <v>1148</v>
      </c>
    </row>
    <row r="29947" spans="1:1" ht="12.75">
      <c r="A29947" s="2" t="s">
        <v>488</v>
      </c>
    </row>
    <row r="29948" spans="1:1" ht="12.75">
      <c r="A29948" s="2" t="s">
        <v>488</v>
      </c>
    </row>
    <row r="29949" spans="1:1" ht="12.75">
      <c r="A29949" s="2" t="s">
        <v>488</v>
      </c>
    </row>
    <row r="29951" spans="1:1" ht="12.75">
      <c r="A29951" s="2" t="s">
        <v>1149</v>
      </c>
    </row>
    <row r="29952" spans="1:1" ht="12.75">
      <c r="A29952" s="2" t="s">
        <v>1150</v>
      </c>
    </row>
    <row r="29953" spans="1:1" ht="12.75">
      <c r="A29953" s="2" t="s">
        <v>1151</v>
      </c>
    </row>
    <row r="29956" spans="1:1" ht="12.75">
      <c r="A29956" s="2" t="s">
        <v>353</v>
      </c>
    </row>
    <row r="29958" spans="1:1" ht="12.75">
      <c r="A29958" s="2" t="s">
        <v>353</v>
      </c>
    </row>
    <row r="29959" spans="1:1" ht="12.75">
      <c r="A29959" s="2" t="s">
        <v>353</v>
      </c>
    </row>
    <row r="29967" spans="1:1" ht="12.75">
      <c r="A29967" s="2" t="s">
        <v>1152</v>
      </c>
    </row>
    <row r="29968" spans="1:1" ht="12.75">
      <c r="A29968" s="2" t="s">
        <v>1153</v>
      </c>
    </row>
    <row r="29969" spans="1:1" ht="12.75">
      <c r="A29969" s="2" t="s">
        <v>1154</v>
      </c>
    </row>
    <row r="29970" spans="1:1" ht="12.75">
      <c r="A29970" s="2" t="s">
        <v>157</v>
      </c>
    </row>
    <row r="29971" spans="1:1" ht="12.75">
      <c r="A29971" s="2" t="s">
        <v>339</v>
      </c>
    </row>
    <row r="29972" spans="1:1" ht="12.75">
      <c r="A29972" s="2" t="s">
        <v>905</v>
      </c>
    </row>
    <row r="29973" spans="1:1" ht="12.75">
      <c r="A29973" s="2" t="s">
        <v>905</v>
      </c>
    </row>
    <row r="29974" spans="1:1" ht="12.75">
      <c r="A29974" s="2" t="s">
        <v>339</v>
      </c>
    </row>
    <row r="29975" spans="1:1" ht="12.75">
      <c r="A29975" s="2" t="s">
        <v>339</v>
      </c>
    </row>
    <row r="29976" spans="1:1" ht="12.75">
      <c r="A29976" s="2" t="s">
        <v>1018</v>
      </c>
    </row>
    <row r="29977" spans="1:1" ht="12.75">
      <c r="A29977" s="2" t="s">
        <v>1018</v>
      </c>
    </row>
    <row r="29978" spans="1:1" ht="12.75">
      <c r="A29978" s="2" t="s">
        <v>905</v>
      </c>
    </row>
    <row r="29979" spans="1:1" ht="12.75">
      <c r="A29979" s="2" t="s">
        <v>1019</v>
      </c>
    </row>
    <row r="29980" spans="1:1" ht="12.75">
      <c r="A29980" s="2" t="s">
        <v>1018</v>
      </c>
    </row>
    <row r="29981" spans="1:1" ht="12.75">
      <c r="A29981" s="2" t="s">
        <v>1018</v>
      </c>
    </row>
    <row r="29982" spans="1:1" ht="12.75">
      <c r="A29982" s="2" t="s">
        <v>1018</v>
      </c>
    </row>
    <row r="29983" spans="1:1" ht="12.75">
      <c r="A29983" s="2" t="s">
        <v>1018</v>
      </c>
    </row>
    <row r="29984" spans="1:1" ht="12.75">
      <c r="A29984" s="2" t="s">
        <v>905</v>
      </c>
    </row>
    <row r="29985" spans="1:1" ht="12.75">
      <c r="A29985" s="2" t="s">
        <v>905</v>
      </c>
    </row>
    <row r="29986" spans="1:1" ht="12.75">
      <c r="A29986" s="2" t="s">
        <v>905</v>
      </c>
    </row>
    <row r="29991" spans="1:1" ht="12.75">
      <c r="A29991" s="2" t="s">
        <v>709</v>
      </c>
    </row>
    <row r="29992" spans="1:1" ht="12.75">
      <c r="A29992" s="2" t="s">
        <v>709</v>
      </c>
    </row>
    <row r="29993" spans="1:1" ht="12.75">
      <c r="A29993" s="2" t="s">
        <v>709</v>
      </c>
    </row>
    <row r="29994" spans="1:1" ht="12.75">
      <c r="A29994" s="2" t="s">
        <v>709</v>
      </c>
    </row>
    <row r="29995" spans="1:1" ht="12.75">
      <c r="A29995" s="2" t="s">
        <v>1155</v>
      </c>
    </row>
    <row r="30001" spans="1:1" ht="12.75">
      <c r="A30001" s="2" t="s">
        <v>1155</v>
      </c>
    </row>
    <row r="30002" spans="1:1" ht="12.75">
      <c r="A30002" s="2" t="s">
        <v>641</v>
      </c>
    </row>
    <row r="30003" spans="1:1" ht="12.75">
      <c r="A30003" s="2" t="s">
        <v>1155</v>
      </c>
    </row>
    <row r="30004" spans="1:1" ht="12.75">
      <c r="A30004" s="2" t="s">
        <v>641</v>
      </c>
    </row>
    <row r="30014" spans="1:1" ht="12.75">
      <c r="A30014" s="2" t="s">
        <v>368</v>
      </c>
    </row>
    <row r="30017" spans="1:1" ht="12.75">
      <c r="A30017" s="2" t="s">
        <v>403</v>
      </c>
    </row>
    <row r="30018" spans="1:1" ht="12.75">
      <c r="A30018" s="2" t="s">
        <v>403</v>
      </c>
    </row>
    <row r="30019" spans="1:1" ht="12.75">
      <c r="A30019" s="2" t="s">
        <v>403</v>
      </c>
    </row>
    <row r="30020" spans="1:1" ht="12.75">
      <c r="A30020" s="2" t="s">
        <v>403</v>
      </c>
    </row>
    <row r="30021" spans="1:1" ht="12.75">
      <c r="A30021" s="2" t="s">
        <v>403</v>
      </c>
    </row>
    <row r="30022" spans="1:1" ht="12.75">
      <c r="A30022" s="2" t="s">
        <v>403</v>
      </c>
    </row>
    <row r="30023" spans="1:1" ht="12.75">
      <c r="A30023" s="2" t="s">
        <v>403</v>
      </c>
    </row>
    <row r="30024" spans="1:1" ht="12.75">
      <c r="A30024" s="2" t="s">
        <v>403</v>
      </c>
    </row>
    <row r="30025" spans="1:1" ht="12.75">
      <c r="A30025" s="2" t="s">
        <v>403</v>
      </c>
    </row>
    <row r="30026" spans="1:1" ht="12.75">
      <c r="A30026" s="2" t="s">
        <v>403</v>
      </c>
    </row>
    <row r="30029" spans="1:1" ht="12.75">
      <c r="A30029" s="2" t="s">
        <v>403</v>
      </c>
    </row>
    <row r="30030" spans="1:1" ht="12.75">
      <c r="A30030" s="2" t="s">
        <v>403</v>
      </c>
    </row>
    <row r="30031" spans="1:1" ht="12.75">
      <c r="A30031" s="2" t="s">
        <v>970</v>
      </c>
    </row>
    <row r="30032" spans="1:1" ht="12.75">
      <c r="A30032" s="2" t="s">
        <v>378</v>
      </c>
    </row>
    <row r="30033" spans="1:1" ht="12.75">
      <c r="A30033" s="2" t="s">
        <v>1156</v>
      </c>
    </row>
    <row r="30034" spans="1:1" ht="12.75">
      <c r="A30034" s="2" t="s">
        <v>970</v>
      </c>
    </row>
    <row r="30035" spans="1:1" ht="12.75">
      <c r="A30035" s="2" t="s">
        <v>264</v>
      </c>
    </row>
    <row r="30036" spans="1:1" ht="12.75">
      <c r="A30036" s="2" t="s">
        <v>264</v>
      </c>
    </row>
    <row r="30037" spans="1:1" ht="12.75">
      <c r="A30037" s="2" t="s">
        <v>378</v>
      </c>
    </row>
    <row r="30038" spans="1:1" ht="12.75">
      <c r="A30038" s="2" t="s">
        <v>1004</v>
      </c>
    </row>
    <row r="30039" spans="1:1" ht="12.75">
      <c r="A30039" s="2" t="s">
        <v>264</v>
      </c>
    </row>
    <row r="30040" spans="1:1" ht="12.75">
      <c r="A30040" s="2" t="s">
        <v>264</v>
      </c>
    </row>
    <row r="30041" spans="1:1" ht="12.75">
      <c r="A30041" s="2" t="s">
        <v>378</v>
      </c>
    </row>
    <row r="30042" spans="1:1" ht="12.75">
      <c r="A30042" s="2" t="s">
        <v>1004</v>
      </c>
    </row>
    <row r="30043" spans="1:1" ht="12.75">
      <c r="A30043" s="2" t="s">
        <v>378</v>
      </c>
    </row>
    <row r="30044" spans="1:1" ht="12.75">
      <c r="A30044" s="2" t="s">
        <v>378</v>
      </c>
    </row>
    <row r="30045" spans="1:1" ht="12.75">
      <c r="A30045" s="2" t="s">
        <v>970</v>
      </c>
    </row>
    <row r="30046" spans="1:1" ht="12.75">
      <c r="A30046" s="2" t="s">
        <v>970</v>
      </c>
    </row>
    <row r="30047" spans="1:1" ht="12.75">
      <c r="A30047" s="2" t="s">
        <v>264</v>
      </c>
    </row>
    <row r="30048" spans="1:1" ht="12.75">
      <c r="A30048" s="2" t="s">
        <v>970</v>
      </c>
    </row>
    <row r="30049" spans="1:1" ht="12.75">
      <c r="A30049" s="2" t="s">
        <v>378</v>
      </c>
    </row>
    <row r="30050" spans="1:1" ht="12.75">
      <c r="A30050" s="2" t="s">
        <v>1004</v>
      </c>
    </row>
    <row r="30051" spans="1:1" ht="12.75">
      <c r="A30051" s="2" t="s">
        <v>970</v>
      </c>
    </row>
    <row r="30052" spans="1:1" ht="12.75">
      <c r="A30052" s="2" t="s">
        <v>970</v>
      </c>
    </row>
    <row r="30053" spans="1:1" ht="12.75">
      <c r="A30053" s="2" t="s">
        <v>378</v>
      </c>
    </row>
    <row r="30054" spans="1:1" ht="12.75">
      <c r="A30054" s="2" t="s">
        <v>378</v>
      </c>
    </row>
    <row r="30055" spans="1:1" ht="12.75">
      <c r="A30055" s="2" t="s">
        <v>378</v>
      </c>
    </row>
    <row r="30056" spans="1:1" ht="12.75">
      <c r="A30056" s="2" t="s">
        <v>378</v>
      </c>
    </row>
    <row r="30057" spans="1:1" ht="12.75">
      <c r="A30057" s="2" t="s">
        <v>264</v>
      </c>
    </row>
    <row r="30058" spans="1:1" ht="12.75">
      <c r="A30058" s="2" t="s">
        <v>264</v>
      </c>
    </row>
    <row r="30059" spans="1:1" ht="12.75">
      <c r="A30059" s="2" t="s">
        <v>970</v>
      </c>
    </row>
    <row r="30060" spans="1:1" ht="12.75">
      <c r="A30060" s="2" t="s">
        <v>970</v>
      </c>
    </row>
    <row r="30061" spans="1:1" ht="12.75">
      <c r="A30061" s="2" t="s">
        <v>378</v>
      </c>
    </row>
    <row r="30062" spans="1:1" ht="12.75">
      <c r="A30062" s="2" t="s">
        <v>378</v>
      </c>
    </row>
    <row r="30063" spans="1:1" ht="12.75">
      <c r="A30063" s="2" t="s">
        <v>264</v>
      </c>
    </row>
    <row r="30064" spans="1:1" ht="12.75">
      <c r="A30064" s="2" t="s">
        <v>378</v>
      </c>
    </row>
    <row r="30065" spans="1:1" ht="12.75">
      <c r="A30065" s="2" t="s">
        <v>378</v>
      </c>
    </row>
    <row r="30066" spans="1:1" ht="12.75">
      <c r="A30066" s="2" t="s">
        <v>1004</v>
      </c>
    </row>
    <row r="30067" spans="1:1" ht="12.75">
      <c r="A30067" s="2" t="s">
        <v>970</v>
      </c>
    </row>
    <row r="30068" spans="1:1" ht="12.75">
      <c r="A30068" s="2" t="s">
        <v>970</v>
      </c>
    </row>
    <row r="30069" spans="1:1" ht="12.75">
      <c r="A30069" s="2" t="s">
        <v>264</v>
      </c>
    </row>
    <row r="30070" spans="1:1" ht="12.75">
      <c r="A30070" s="2" t="s">
        <v>264</v>
      </c>
    </row>
    <row r="30071" spans="1:1" ht="12.75">
      <c r="A30071" s="2" t="s">
        <v>970</v>
      </c>
    </row>
    <row r="30072" spans="1:1" ht="12.75">
      <c r="A30072" s="2" t="s">
        <v>970</v>
      </c>
    </row>
    <row r="30073" spans="1:1" ht="12.75">
      <c r="A30073" s="2" t="s">
        <v>254</v>
      </c>
    </row>
    <row r="30074" spans="1:1" ht="12.75">
      <c r="A30074" s="2" t="s">
        <v>254</v>
      </c>
    </row>
    <row r="30075" spans="1:1" ht="12.75">
      <c r="A30075" s="2" t="s">
        <v>256</v>
      </c>
    </row>
    <row r="30076" spans="1:1" ht="12.75">
      <c r="A30076" s="2" t="s">
        <v>256</v>
      </c>
    </row>
    <row r="30077" spans="1:1" ht="12.75">
      <c r="A30077" s="2" t="s">
        <v>769</v>
      </c>
    </row>
    <row r="30078" spans="1:1" ht="12.75">
      <c r="A30078" s="2" t="s">
        <v>769</v>
      </c>
    </row>
    <row r="30079" spans="1:1" ht="12.75">
      <c r="A30079" s="2" t="s">
        <v>769</v>
      </c>
    </row>
    <row r="30080" spans="1:1" ht="12.75">
      <c r="A30080" s="2" t="s">
        <v>256</v>
      </c>
    </row>
    <row r="30081" spans="1:1" ht="12.75">
      <c r="A30081" s="2" t="s">
        <v>254</v>
      </c>
    </row>
    <row r="30082" spans="1:1" ht="12.75">
      <c r="A30082" s="2" t="s">
        <v>254</v>
      </c>
    </row>
    <row r="30083" spans="1:1" ht="12.75">
      <c r="A30083" s="2" t="s">
        <v>769</v>
      </c>
    </row>
    <row r="30084" spans="1:1" ht="12.75">
      <c r="A30084" s="2" t="s">
        <v>769</v>
      </c>
    </row>
    <row r="30085" spans="1:1" ht="12.75">
      <c r="A30085" s="2" t="s">
        <v>256</v>
      </c>
    </row>
    <row r="30086" spans="1:1" ht="12.75">
      <c r="A30086" s="2" t="s">
        <v>256</v>
      </c>
    </row>
    <row r="30087" spans="1:1" ht="12.75">
      <c r="A30087" s="2" t="s">
        <v>254</v>
      </c>
    </row>
    <row r="30088" spans="1:1" ht="12.75">
      <c r="A30088" s="2" t="s">
        <v>254</v>
      </c>
    </row>
    <row r="30089" spans="1:1" ht="12.75">
      <c r="A30089" s="2" t="s">
        <v>516</v>
      </c>
    </row>
    <row r="30090" spans="1:1" ht="12.75">
      <c r="A30090" s="2" t="s">
        <v>516</v>
      </c>
    </row>
    <row r="30091" spans="1:1" ht="12.75">
      <c r="A30091" s="2" t="s">
        <v>516</v>
      </c>
    </row>
    <row r="30092" spans="1:1" ht="12.75">
      <c r="A30092" s="2" t="s">
        <v>516</v>
      </c>
    </row>
    <row r="30093" spans="1:1" ht="12.75">
      <c r="A30093" s="2" t="s">
        <v>516</v>
      </c>
    </row>
    <row r="30094" spans="1:1" ht="12.75">
      <c r="A30094" s="2" t="s">
        <v>516</v>
      </c>
    </row>
    <row r="30095" spans="1:1" ht="12.75">
      <c r="A30095" s="2" t="s">
        <v>516</v>
      </c>
    </row>
    <row r="30096" spans="1:1" ht="12.75">
      <c r="A30096" s="2" t="s">
        <v>516</v>
      </c>
    </row>
    <row r="30097" spans="1:1" ht="12.75">
      <c r="A30097" s="2" t="s">
        <v>516</v>
      </c>
    </row>
    <row r="30098" spans="1:1" ht="12.75">
      <c r="A30098" s="2" t="s">
        <v>516</v>
      </c>
    </row>
    <row r="30099" spans="1:1" ht="12.75">
      <c r="A30099" s="2" t="s">
        <v>254</v>
      </c>
    </row>
    <row r="30100" spans="1:1" ht="12.75">
      <c r="A30100" s="2" t="s">
        <v>769</v>
      </c>
    </row>
    <row r="30101" spans="1:1" ht="12.75">
      <c r="A30101" s="2" t="s">
        <v>256</v>
      </c>
    </row>
    <row r="30102" spans="1:1" ht="12.75">
      <c r="A30102" s="2" t="s">
        <v>256</v>
      </c>
    </row>
    <row r="30103" spans="1:1" ht="12.75">
      <c r="A30103" s="2" t="s">
        <v>256</v>
      </c>
    </row>
    <row r="30104" spans="1:1" ht="12.75">
      <c r="A30104" s="2" t="s">
        <v>256</v>
      </c>
    </row>
    <row r="30105" spans="1:1" ht="12.75">
      <c r="A30105" s="2" t="s">
        <v>256</v>
      </c>
    </row>
    <row r="30106" spans="1:1" ht="12.75">
      <c r="A30106" s="2" t="s">
        <v>256</v>
      </c>
    </row>
    <row r="30107" spans="1:1" ht="12.75">
      <c r="A30107" s="2" t="s">
        <v>256</v>
      </c>
    </row>
    <row r="30108" spans="1:1" ht="12.75">
      <c r="A30108" s="2" t="s">
        <v>256</v>
      </c>
    </row>
    <row r="30109" spans="1:1" ht="12.75">
      <c r="A30109" s="2" t="s">
        <v>256</v>
      </c>
    </row>
    <row r="30110" spans="1:1" ht="12.75">
      <c r="A30110" s="2" t="s">
        <v>256</v>
      </c>
    </row>
    <row r="30115" spans="1:1" ht="12.75">
      <c r="A30115" s="2" t="s">
        <v>254</v>
      </c>
    </row>
    <row r="30116" spans="1:1" ht="12.75">
      <c r="A30116" s="2" t="s">
        <v>254</v>
      </c>
    </row>
    <row r="30117" spans="1:1" ht="12.75">
      <c r="A30117" s="2" t="s">
        <v>256</v>
      </c>
    </row>
    <row r="30118" spans="1:1" ht="12.75">
      <c r="A30118" s="2" t="s">
        <v>254</v>
      </c>
    </row>
    <row r="30119" spans="1:1" ht="12.75">
      <c r="A30119" s="2" t="s">
        <v>254</v>
      </c>
    </row>
    <row r="30120" spans="1:1" ht="12.75">
      <c r="A30120" s="2" t="s">
        <v>254</v>
      </c>
    </row>
    <row r="30121" spans="1:1" ht="12.75">
      <c r="A30121" s="2" t="s">
        <v>254</v>
      </c>
    </row>
    <row r="30122" spans="1:1" ht="12.75">
      <c r="A30122" s="2" t="s">
        <v>254</v>
      </c>
    </row>
    <row r="30123" spans="1:1" ht="12.75">
      <c r="A30123" s="2" t="s">
        <v>769</v>
      </c>
    </row>
    <row r="30124" spans="1:1" ht="12.75">
      <c r="A30124" s="2" t="s">
        <v>256</v>
      </c>
    </row>
    <row r="30125" spans="1:1" ht="12.75">
      <c r="A30125" s="2" t="s">
        <v>769</v>
      </c>
    </row>
    <row r="30126" spans="1:1" ht="12.75">
      <c r="A30126" s="2" t="s">
        <v>769</v>
      </c>
    </row>
    <row r="30127" spans="1:1" ht="12.75">
      <c r="A30127" s="2" t="s">
        <v>769</v>
      </c>
    </row>
    <row r="30128" spans="1:1" ht="12.75">
      <c r="A30128" s="2" t="s">
        <v>769</v>
      </c>
    </row>
    <row r="30129" spans="1:1" ht="12.75">
      <c r="A30129" s="2" t="s">
        <v>769</v>
      </c>
    </row>
    <row r="30131" spans="1:1" ht="12.75">
      <c r="A30131" s="2" t="s">
        <v>207</v>
      </c>
    </row>
    <row r="30132" spans="1:1" ht="12.75">
      <c r="A30132" s="2" t="s">
        <v>207</v>
      </c>
    </row>
    <row r="30133" spans="1:1" ht="12.75">
      <c r="A30133" s="2">
        <v>5860</v>
      </c>
    </row>
    <row r="30134" spans="1:1" ht="12.75">
      <c r="A30134" s="2" t="s">
        <v>207</v>
      </c>
    </row>
    <row r="30135" spans="1:1" ht="12.75">
      <c r="A30135" s="2" t="s">
        <v>201</v>
      </c>
    </row>
    <row r="30136" spans="1:1" ht="12.75">
      <c r="A30136" s="2" t="s">
        <v>202</v>
      </c>
    </row>
    <row r="30137" spans="1:1" ht="12.75">
      <c r="A30137" s="2" t="s">
        <v>202</v>
      </c>
    </row>
    <row r="30138" spans="1:1" ht="12.75">
      <c r="A30138" s="2" t="s">
        <v>201</v>
      </c>
    </row>
    <row r="30139" spans="1:1" ht="12.75">
      <c r="A30139" s="2" t="s">
        <v>202</v>
      </c>
    </row>
    <row r="30140" spans="1:1" ht="12.75">
      <c r="A30140" s="2" t="s">
        <v>202</v>
      </c>
    </row>
    <row r="30141" spans="1:1" ht="12.75">
      <c r="A30141" s="2" t="s">
        <v>202</v>
      </c>
    </row>
    <row r="30142" spans="1:1" ht="12.75">
      <c r="A30142" s="2" t="s">
        <v>201</v>
      </c>
    </row>
    <row r="30143" spans="1:1" ht="12.75">
      <c r="A30143" s="2" t="s">
        <v>202</v>
      </c>
    </row>
    <row r="30144" spans="1:1" ht="12.75">
      <c r="A30144" s="2" t="s">
        <v>201</v>
      </c>
    </row>
    <row r="30145" spans="1:1" ht="12.75">
      <c r="A30145" s="2" t="s">
        <v>200</v>
      </c>
    </row>
    <row r="30146" spans="1:1" ht="12.75">
      <c r="A30146" s="2" t="s">
        <v>200</v>
      </c>
    </row>
    <row r="30147" spans="1:1" ht="12.75">
      <c r="A30147" s="2" t="s">
        <v>200</v>
      </c>
    </row>
    <row r="30148" spans="1:1" ht="12.75">
      <c r="A30148" s="2" t="s">
        <v>200</v>
      </c>
    </row>
    <row r="30149" spans="1:1" ht="12.75">
      <c r="A30149" s="2" t="s">
        <v>200</v>
      </c>
    </row>
    <row r="30150" spans="1:1" ht="12.75">
      <c r="A30150" s="2" t="s">
        <v>200</v>
      </c>
    </row>
    <row r="30151" spans="1:1" ht="12.75">
      <c r="A30151" s="2" t="s">
        <v>200</v>
      </c>
    </row>
    <row r="30152" spans="1:1" ht="12.75">
      <c r="A30152" s="2" t="s">
        <v>200</v>
      </c>
    </row>
    <row r="30153" spans="1:1" ht="12.75">
      <c r="A30153" s="2" t="s">
        <v>200</v>
      </c>
    </row>
    <row r="30154" spans="1:1" ht="12.75">
      <c r="A30154" s="2" t="s">
        <v>200</v>
      </c>
    </row>
    <row r="30155" spans="1:1" ht="12.75">
      <c r="A30155" s="2" t="s">
        <v>200</v>
      </c>
    </row>
    <row r="30156" spans="1:1" ht="12.75">
      <c r="A30156" s="2" t="s">
        <v>200</v>
      </c>
    </row>
    <row r="30157" spans="1:1" ht="12.75">
      <c r="A30157" s="2" t="s">
        <v>200</v>
      </c>
    </row>
    <row r="30158" spans="1:1" ht="12.75">
      <c r="A30158" s="2" t="s">
        <v>200</v>
      </c>
    </row>
    <row r="30163" spans="1:1" ht="12.75">
      <c r="A30163" s="2" t="s">
        <v>206</v>
      </c>
    </row>
    <row r="30164" spans="1:1" ht="12.75">
      <c r="A30164" s="2" t="s">
        <v>206</v>
      </c>
    </row>
    <row r="30165" spans="1:1" ht="12.75">
      <c r="A30165" s="2" t="s">
        <v>206</v>
      </c>
    </row>
    <row r="30166" spans="1:1" ht="12.75">
      <c r="A30166" s="2" t="s">
        <v>206</v>
      </c>
    </row>
    <row r="30167" spans="1:1" ht="12.75">
      <c r="A30167" s="2" t="s">
        <v>200</v>
      </c>
    </row>
    <row r="30168" spans="1:1" ht="12.75">
      <c r="A30168" s="2" t="s">
        <v>206</v>
      </c>
    </row>
    <row r="30169" spans="1:1" ht="12.75">
      <c r="A30169" s="2" t="s">
        <v>206</v>
      </c>
    </row>
    <row r="30170" spans="1:1" ht="12.75">
      <c r="A30170" s="2" t="s">
        <v>206</v>
      </c>
    </row>
    <row r="30171" spans="1:1" ht="12.75">
      <c r="A30171" s="2" t="s">
        <v>203</v>
      </c>
    </row>
    <row r="30172" spans="1:1" ht="12.75">
      <c r="A30172" s="2" t="s">
        <v>203</v>
      </c>
    </row>
    <row r="30173" spans="1:1" ht="12.75">
      <c r="A30173" s="2" t="s">
        <v>296</v>
      </c>
    </row>
    <row r="30175" spans="1:1" ht="12.75">
      <c r="A30175" s="2" t="s">
        <v>292</v>
      </c>
    </row>
    <row r="30176" spans="1:1" ht="12.75">
      <c r="A30176" s="2" t="s">
        <v>293</v>
      </c>
    </row>
    <row r="30177" spans="1:1" ht="12.75">
      <c r="A30177" s="2" t="s">
        <v>291</v>
      </c>
    </row>
    <row r="30178" spans="1:1" ht="12.75">
      <c r="A30178" s="2" t="s">
        <v>291</v>
      </c>
    </row>
    <row r="30179" spans="1:1" ht="12.75">
      <c r="A30179" s="2" t="s">
        <v>289</v>
      </c>
    </row>
    <row r="30180" spans="1:1" ht="12.75">
      <c r="A30180" s="2" t="s">
        <v>293</v>
      </c>
    </row>
    <row r="30181" spans="1:1" ht="12.75">
      <c r="A30181" s="2" t="s">
        <v>289</v>
      </c>
    </row>
    <row r="30182" spans="1:1" ht="12.75">
      <c r="A30182" s="2" t="s">
        <v>293</v>
      </c>
    </row>
    <row r="30183" spans="1:1" ht="12.75">
      <c r="A30183" s="2" t="s">
        <v>290</v>
      </c>
    </row>
    <row r="30185" spans="1:1" ht="12.75">
      <c r="A30185" s="2" t="s">
        <v>290</v>
      </c>
    </row>
    <row r="30187" spans="1:1" ht="12.75">
      <c r="A30187" s="2" t="s">
        <v>296</v>
      </c>
    </row>
    <row r="30189" spans="1:1" ht="12.75">
      <c r="A30189" s="2" t="s">
        <v>297</v>
      </c>
    </row>
    <row r="30190" spans="1:1" ht="12.75">
      <c r="A30190" s="2" t="s">
        <v>296</v>
      </c>
    </row>
    <row r="30191" spans="1:1" ht="12.75">
      <c r="A30191" s="2" t="s">
        <v>762</v>
      </c>
    </row>
    <row r="30192" spans="1:1" ht="12.75">
      <c r="A30192" s="2" t="s">
        <v>291</v>
      </c>
    </row>
    <row r="30193" spans="1:1" ht="12.75">
      <c r="A30193" s="2" t="s">
        <v>290</v>
      </c>
    </row>
    <row r="30194" spans="1:1" ht="12.75">
      <c r="A30194" s="2" t="s">
        <v>289</v>
      </c>
    </row>
    <row r="30195" spans="1:1" ht="12.75">
      <c r="A30195" s="2" t="s">
        <v>290</v>
      </c>
    </row>
    <row r="30196" spans="1:1" ht="12.75">
      <c r="A30196" s="2" t="s">
        <v>289</v>
      </c>
    </row>
    <row r="30198" spans="1:1" ht="12.75">
      <c r="A30198" s="2" t="s">
        <v>289</v>
      </c>
    </row>
    <row r="30199" spans="1:1" ht="12.75">
      <c r="A30199" s="2" t="s">
        <v>288</v>
      </c>
    </row>
    <row r="30200" spans="1:1" ht="12.75">
      <c r="A30200" s="2" t="s">
        <v>291</v>
      </c>
    </row>
    <row r="30202" spans="1:1" ht="12.75">
      <c r="A30202" s="2" t="s">
        <v>291</v>
      </c>
    </row>
    <row r="30203" spans="1:1" ht="12.75">
      <c r="A30203" s="2" t="s">
        <v>299</v>
      </c>
    </row>
    <row r="30204" spans="1:1" ht="12.75">
      <c r="A30204" s="2" t="s">
        <v>291</v>
      </c>
    </row>
    <row r="30205" spans="1:1" ht="12.75">
      <c r="A30205" s="2" t="s">
        <v>293</v>
      </c>
    </row>
    <row r="30206" spans="1:1" ht="12.75">
      <c r="A30206" s="2" t="s">
        <v>289</v>
      </c>
    </row>
    <row r="30207" spans="1:1" ht="12.75">
      <c r="A30207" s="2" t="s">
        <v>293</v>
      </c>
    </row>
    <row r="30208" spans="1:1" ht="12.75">
      <c r="A30208" s="2" t="s">
        <v>289</v>
      </c>
    </row>
    <row r="30209" spans="1:1" ht="12.75">
      <c r="A30209" s="2" t="s">
        <v>288</v>
      </c>
    </row>
    <row r="30210" spans="1:1" ht="12.75">
      <c r="A30210" s="2" t="s">
        <v>293</v>
      </c>
    </row>
    <row r="30211" spans="1:1" ht="12.75">
      <c r="A30211" s="2" t="s">
        <v>292</v>
      </c>
    </row>
    <row r="30212" spans="1:1" ht="12.75">
      <c r="A30212" s="2" t="s">
        <v>293</v>
      </c>
    </row>
    <row r="30213" spans="1:1" ht="12.75">
      <c r="A30213" s="2" t="s">
        <v>298</v>
      </c>
    </row>
    <row r="30214" spans="1:1" ht="12.75">
      <c r="A30214" s="2" t="s">
        <v>297</v>
      </c>
    </row>
    <row r="30215" spans="1:1" ht="12.75">
      <c r="A30215" s="2" t="s">
        <v>298</v>
      </c>
    </row>
    <row r="30216" spans="1:1" ht="12.75">
      <c r="A30216" s="2" t="s">
        <v>290</v>
      </c>
    </row>
    <row r="30217" spans="1:1" ht="12.75">
      <c r="A30217" s="2" t="s">
        <v>297</v>
      </c>
    </row>
    <row r="30218" spans="1:1" ht="12.75">
      <c r="A30218" s="2" t="s">
        <v>290</v>
      </c>
    </row>
    <row r="30219" spans="1:1" ht="12.75">
      <c r="A30219" s="2" t="s">
        <v>297</v>
      </c>
    </row>
    <row r="30220" spans="1:1" ht="12.75">
      <c r="A30220" s="2" t="s">
        <v>298</v>
      </c>
    </row>
    <row r="30221" spans="1:1" ht="12.75">
      <c r="A30221" s="2" t="s">
        <v>288</v>
      </c>
    </row>
    <row r="30222" spans="1:1" ht="12.75">
      <c r="A30222" s="2" t="s">
        <v>298</v>
      </c>
    </row>
    <row r="30223" spans="1:1" ht="12.75">
      <c r="A30223" s="2" t="s">
        <v>288</v>
      </c>
    </row>
    <row r="30224" spans="1:1" ht="12.75">
      <c r="A30224" s="2" t="s">
        <v>290</v>
      </c>
    </row>
    <row r="30225" spans="1:1" ht="12.75">
      <c r="A30225" s="2" t="s">
        <v>288</v>
      </c>
    </row>
    <row r="30226" spans="1:1" ht="12.75">
      <c r="A30226" s="2" t="s">
        <v>955</v>
      </c>
    </row>
    <row r="30227" spans="1:1" ht="12.75">
      <c r="A30227" s="2" t="s">
        <v>762</v>
      </c>
    </row>
    <row r="30228" spans="1:1" ht="12.75">
      <c r="A30228" s="2" t="s">
        <v>288</v>
      </c>
    </row>
    <row r="30229" spans="1:1" ht="12.75">
      <c r="A30229" s="2" t="s">
        <v>762</v>
      </c>
    </row>
    <row r="30230" spans="1:1" ht="12.75">
      <c r="A30230" s="2" t="s">
        <v>298</v>
      </c>
    </row>
    <row r="30231" spans="1:1" ht="12.75">
      <c r="A30231" s="2" t="s">
        <v>585</v>
      </c>
    </row>
    <row r="30232" spans="1:1" ht="12.75">
      <c r="A30232" s="2" t="s">
        <v>585</v>
      </c>
    </row>
    <row r="30241" spans="1:1" ht="12.75">
      <c r="A30241" s="2" t="s">
        <v>290</v>
      </c>
    </row>
    <row r="30242" spans="1:1" ht="12.75">
      <c r="A30242" s="2" t="s">
        <v>298</v>
      </c>
    </row>
    <row r="30243" spans="1:1" ht="12.75">
      <c r="A30243" s="2" t="s">
        <v>290</v>
      </c>
    </row>
    <row r="30244" spans="1:1" ht="12.75">
      <c r="A30244" s="2" t="s">
        <v>297</v>
      </c>
    </row>
    <row r="30245" spans="1:1" ht="12.75">
      <c r="A30245" s="2" t="s">
        <v>377</v>
      </c>
    </row>
    <row r="30246" spans="1:1" ht="12.75">
      <c r="A30246" s="2" t="s">
        <v>377</v>
      </c>
    </row>
    <row r="30247" spans="1:1" ht="12.75">
      <c r="A30247" s="2" t="s">
        <v>985</v>
      </c>
    </row>
    <row r="30248" spans="1:1" ht="12.75">
      <c r="A30248" s="2" t="s">
        <v>377</v>
      </c>
    </row>
    <row r="30250" spans="1:1" ht="12.75">
      <c r="A30250" s="2" t="s">
        <v>985</v>
      </c>
    </row>
    <row r="30251" spans="1:1" ht="12.75">
      <c r="A30251" s="2" t="s">
        <v>1157</v>
      </c>
    </row>
    <row r="30252" spans="1:1" ht="12.75">
      <c r="A30252" s="2" t="s">
        <v>1157</v>
      </c>
    </row>
    <row r="30253" spans="1:1" ht="12.75">
      <c r="A30253" s="2" t="s">
        <v>1157</v>
      </c>
    </row>
    <row r="30254" spans="1:1" ht="12.75">
      <c r="A30254" s="2" t="s">
        <v>1157</v>
      </c>
    </row>
    <row r="30255" spans="1:1" ht="12.75">
      <c r="A30255" s="2" t="s">
        <v>1157</v>
      </c>
    </row>
    <row r="30256" spans="1:1" ht="12.75">
      <c r="A30256" s="2" t="s">
        <v>1157</v>
      </c>
    </row>
    <row r="30257" spans="1:1" ht="12.75">
      <c r="A30257" s="2" t="s">
        <v>1158</v>
      </c>
    </row>
    <row r="30258" spans="1:1" ht="12.75">
      <c r="A30258" s="2" t="s">
        <v>1091</v>
      </c>
    </row>
    <row r="30259" spans="1:1" ht="12.75">
      <c r="A30259" s="2" t="s">
        <v>959</v>
      </c>
    </row>
    <row r="30260" spans="1:1" ht="12.75">
      <c r="A30260" s="2" t="s">
        <v>959</v>
      </c>
    </row>
    <row r="30261" spans="1:1" ht="12.75">
      <c r="A30261" s="2" t="s">
        <v>959</v>
      </c>
    </row>
    <row r="30262" spans="1:1" ht="12.75">
      <c r="A30262" s="2" t="s">
        <v>959</v>
      </c>
    </row>
    <row r="30265" spans="1:1" ht="12.75">
      <c r="A30265" s="2" t="s">
        <v>959</v>
      </c>
    </row>
    <row r="30266" spans="1:1" ht="12.75">
      <c r="A30266" s="2" t="s">
        <v>959</v>
      </c>
    </row>
    <row r="30267" spans="1:1" ht="12.75">
      <c r="A30267" s="2" t="s">
        <v>959</v>
      </c>
    </row>
    <row r="30268" spans="1:1" ht="12.75">
      <c r="A30268" s="2" t="s">
        <v>959</v>
      </c>
    </row>
    <row r="30269" spans="1:1" ht="12.75">
      <c r="A30269" s="2" t="s">
        <v>959</v>
      </c>
    </row>
    <row r="30270" spans="1:1" ht="12.75">
      <c r="A30270" s="2" t="s">
        <v>959</v>
      </c>
    </row>
    <row r="30271" spans="1:1" ht="12.75">
      <c r="A30271" s="2" t="s">
        <v>377</v>
      </c>
    </row>
    <row r="30272" spans="1:1" ht="12.75">
      <c r="A30272" s="2" t="s">
        <v>377</v>
      </c>
    </row>
    <row r="30273" spans="1:1" ht="12.75">
      <c r="A30273" s="2" t="s">
        <v>291</v>
      </c>
    </row>
    <row r="30274" spans="1:1" ht="12.75">
      <c r="A30274" s="2" t="s">
        <v>289</v>
      </c>
    </row>
    <row r="30275" spans="1:1" ht="12.75">
      <c r="A30275" s="2" t="s">
        <v>291</v>
      </c>
    </row>
    <row r="30276" spans="1:1" ht="12.75">
      <c r="A30276" s="2" t="s">
        <v>289</v>
      </c>
    </row>
    <row r="30277" spans="1:1" ht="12.75">
      <c r="A30277" s="2" t="s">
        <v>291</v>
      </c>
    </row>
    <row r="30278" spans="1:1" ht="12.75">
      <c r="A30278" s="2" t="s">
        <v>291</v>
      </c>
    </row>
    <row r="30279" spans="1:1" ht="12.75">
      <c r="A30279" s="2" t="s">
        <v>1094</v>
      </c>
    </row>
    <row r="30280" spans="1:1" ht="12.75">
      <c r="A30280" s="2" t="s">
        <v>242</v>
      </c>
    </row>
    <row r="30281" spans="1:1" ht="12.75">
      <c r="A30281" s="2" t="s">
        <v>1159</v>
      </c>
    </row>
    <row r="30282" spans="1:1" ht="12.75">
      <c r="A30282" s="2" t="s">
        <v>872</v>
      </c>
    </row>
    <row r="30283" spans="1:1" ht="12.75">
      <c r="A30283" s="2" t="s">
        <v>242</v>
      </c>
    </row>
    <row r="30284" spans="1:1" ht="12.75">
      <c r="A30284" s="2" t="s">
        <v>242</v>
      </c>
    </row>
    <row r="30285" spans="1:1" ht="12.75">
      <c r="A30285" s="2" t="s">
        <v>242</v>
      </c>
    </row>
    <row r="30287" spans="1:1" ht="12.75">
      <c r="A30287" s="2" t="s">
        <v>242</v>
      </c>
    </row>
    <row r="30288" spans="1:1" ht="12.75">
      <c r="A30288" s="2" t="s">
        <v>242</v>
      </c>
    </row>
    <row r="30289" spans="1:1" ht="12.75">
      <c r="A30289" s="2" t="s">
        <v>242</v>
      </c>
    </row>
    <row r="30290" spans="1:1" ht="12.75">
      <c r="A30290" s="2" t="s">
        <v>1160</v>
      </c>
    </row>
    <row r="30292" spans="1:1" ht="12.75">
      <c r="A30292" s="2" t="s">
        <v>242</v>
      </c>
    </row>
    <row r="30295" spans="1:1" ht="12.75">
      <c r="A30295" s="2" t="s">
        <v>242</v>
      </c>
    </row>
    <row r="30296" spans="1:1" ht="12.75">
      <c r="A30296" s="2" t="s">
        <v>242</v>
      </c>
    </row>
    <row r="30297" spans="1:1" ht="12.75">
      <c r="A30297" s="2" t="s">
        <v>242</v>
      </c>
    </row>
    <row r="30298" spans="1:1" ht="12.75">
      <c r="A30298" s="2" t="s">
        <v>242</v>
      </c>
    </row>
    <row r="30299" spans="1:1" ht="12.75">
      <c r="A30299" s="2" t="s">
        <v>298</v>
      </c>
    </row>
    <row r="30300" spans="1:1" ht="12.75">
      <c r="A30300" s="2" t="s">
        <v>289</v>
      </c>
    </row>
    <row r="30301" spans="1:1" ht="12.75">
      <c r="A30301" s="2" t="s">
        <v>293</v>
      </c>
    </row>
    <row r="30302" spans="1:1" ht="12.75">
      <c r="A30302" s="2" t="s">
        <v>293</v>
      </c>
    </row>
    <row r="30303" spans="1:1" ht="12.75">
      <c r="A30303" s="2" t="s">
        <v>293</v>
      </c>
    </row>
    <row r="30304" spans="1:1" ht="12.75">
      <c r="A30304" s="2" t="s">
        <v>293</v>
      </c>
    </row>
    <row r="30305" spans="1:1" ht="12.75">
      <c r="A30305" s="2" t="s">
        <v>762</v>
      </c>
    </row>
    <row r="30306" spans="1:1" ht="12.75">
      <c r="A30306" s="2" t="s">
        <v>290</v>
      </c>
    </row>
    <row r="30307" spans="1:1" ht="12.75">
      <c r="A30307" s="2" t="s">
        <v>1014</v>
      </c>
    </row>
    <row r="30308" spans="1:1" ht="12.75">
      <c r="A30308" s="2" t="s">
        <v>1014</v>
      </c>
    </row>
    <row r="30309" spans="1:1" ht="12.75">
      <c r="A30309" s="2" t="s">
        <v>1013</v>
      </c>
    </row>
    <row r="30310" spans="1:1" ht="12.75">
      <c r="A30310" s="2" t="s">
        <v>225</v>
      </c>
    </row>
    <row r="30311" spans="1:1" ht="12.75">
      <c r="A30311" s="2" t="s">
        <v>1014</v>
      </c>
    </row>
    <row r="30312" spans="1:1" ht="12.75">
      <c r="A30312" s="2" t="s">
        <v>1013</v>
      </c>
    </row>
    <row r="30313" spans="1:1" ht="12.75">
      <c r="A30313" s="2" t="s">
        <v>1014</v>
      </c>
    </row>
    <row r="30314" spans="1:1" ht="12.75">
      <c r="A30314" s="2" t="s">
        <v>1014</v>
      </c>
    </row>
    <row r="30315" spans="1:1" ht="12.75">
      <c r="A30315" s="2" t="s">
        <v>291</v>
      </c>
    </row>
    <row r="30316" spans="1:1" ht="12.75">
      <c r="A30316" s="2" t="s">
        <v>291</v>
      </c>
    </row>
    <row r="30317" spans="1:1" ht="12.75">
      <c r="A30317" s="2" t="s">
        <v>292</v>
      </c>
    </row>
    <row r="30318" spans="1:1" ht="12.75">
      <c r="A30318" s="2" t="s">
        <v>292</v>
      </c>
    </row>
    <row r="30319" spans="1:1" ht="12.75">
      <c r="A30319" s="2" t="s">
        <v>290</v>
      </c>
    </row>
    <row r="30320" spans="1:1" ht="12.75">
      <c r="A30320" s="2" t="s">
        <v>290</v>
      </c>
    </row>
    <row r="30321" spans="1:1" ht="12.75">
      <c r="A30321" s="2" t="s">
        <v>297</v>
      </c>
    </row>
    <row r="30322" spans="1:1" ht="12.75">
      <c r="A30322" s="2" t="s">
        <v>297</v>
      </c>
    </row>
    <row r="30323" spans="1:1" ht="12.75">
      <c r="A30323" s="2" t="s">
        <v>299</v>
      </c>
    </row>
    <row r="30325" spans="1:1" ht="12.75">
      <c r="A30325" s="2" t="s">
        <v>289</v>
      </c>
    </row>
    <row r="30326" spans="1:1" ht="12.75">
      <c r="A30326" s="2" t="s">
        <v>289</v>
      </c>
    </row>
    <row r="30327" spans="1:1" ht="12.75">
      <c r="A30327" s="2" t="s">
        <v>289</v>
      </c>
    </row>
    <row r="30328" spans="1:1" ht="12.75">
      <c r="A30328" s="2" t="s">
        <v>290</v>
      </c>
    </row>
    <row r="30329" spans="1:1" ht="12.75">
      <c r="A30329" s="2" t="s">
        <v>296</v>
      </c>
    </row>
    <row r="30330" spans="1:1" ht="12.75">
      <c r="A30330" s="2" t="s">
        <v>290</v>
      </c>
    </row>
    <row r="30331" spans="1:1" ht="12.75">
      <c r="A30331" s="2" t="s">
        <v>297</v>
      </c>
    </row>
    <row r="30332" spans="1:1" ht="12.75">
      <c r="A30332" s="2" t="s">
        <v>296</v>
      </c>
    </row>
    <row r="30333" spans="1:1" ht="12.75">
      <c r="A30333" s="2" t="s">
        <v>206</v>
      </c>
    </row>
    <row r="30334" spans="1:1" ht="12.75">
      <c r="A30334" s="2" t="s">
        <v>206</v>
      </c>
    </row>
    <row r="30340" spans="1:1" ht="12.75">
      <c r="A30340" s="2" t="s">
        <v>206</v>
      </c>
    </row>
    <row r="30341" spans="1:1" ht="12.75">
      <c r="A30341" s="2" t="s">
        <v>695</v>
      </c>
    </row>
    <row r="30342" spans="1:1" ht="12.75">
      <c r="A30342" s="2" t="s">
        <v>203</v>
      </c>
    </row>
    <row r="30343" spans="1:1" ht="12.75">
      <c r="A30343" s="2" t="s">
        <v>203</v>
      </c>
    </row>
    <row r="30347" spans="1:1" ht="12.75">
      <c r="A30347" s="2" t="s">
        <v>201</v>
      </c>
    </row>
    <row r="30348" spans="1:1" ht="12.75">
      <c r="A30348" s="2" t="s">
        <v>201</v>
      </c>
    </row>
    <row r="30349" spans="1:1" ht="12.75">
      <c r="A30349" s="2" t="s">
        <v>201</v>
      </c>
    </row>
    <row r="30353" spans="1:1" ht="12.75">
      <c r="A30353" s="2" t="s">
        <v>201</v>
      </c>
    </row>
    <row r="30360" spans="1:1" ht="12.75">
      <c r="A30360" s="2" t="s">
        <v>207</v>
      </c>
    </row>
    <row r="30361" spans="1:1" ht="12.75">
      <c r="A30361" s="2" t="s">
        <v>207</v>
      </c>
    </row>
    <row r="30362" spans="1:1" ht="12.75">
      <c r="A30362" s="2" t="s">
        <v>203</v>
      </c>
    </row>
    <row r="30363" spans="1:1" ht="12.75">
      <c r="A30363" s="2" t="s">
        <v>201</v>
      </c>
    </row>
    <row r="30368" spans="1:1" ht="12.75">
      <c r="A30368" s="2" t="s">
        <v>200</v>
      </c>
    </row>
    <row r="30369" spans="1:1" ht="12.75">
      <c r="A30369" s="2" t="s">
        <v>200</v>
      </c>
    </row>
    <row r="30370" spans="1:1" ht="12.75">
      <c r="A30370" s="2" t="s">
        <v>200</v>
      </c>
    </row>
    <row r="30371" spans="1:1" ht="12.75">
      <c r="A30371" s="2" t="s">
        <v>200</v>
      </c>
    </row>
    <row r="30372" spans="1:1" ht="12.75">
      <c r="A30372" s="2" t="s">
        <v>200</v>
      </c>
    </row>
    <row r="30373" spans="1:1" ht="12.75">
      <c r="A30373" s="2" t="s">
        <v>200</v>
      </c>
    </row>
    <row r="30374" spans="1:1" ht="12.75">
      <c r="A30374" s="2" t="s">
        <v>200</v>
      </c>
    </row>
    <row r="30375" spans="1:1" ht="12.75">
      <c r="A30375" s="2" t="s">
        <v>200</v>
      </c>
    </row>
    <row r="30378" spans="1:1" ht="12.75">
      <c r="A30378" s="2" t="s">
        <v>201</v>
      </c>
    </row>
    <row r="30380" spans="1:1" ht="12.75">
      <c r="A30380" s="2" t="s">
        <v>202</v>
      </c>
    </row>
    <row r="30381" spans="1:1" ht="12.75">
      <c r="A30381" s="2" t="s">
        <v>201</v>
      </c>
    </row>
    <row r="30382" spans="1:1" ht="12.75">
      <c r="A30382" s="2" t="s">
        <v>201</v>
      </c>
    </row>
    <row r="30383" spans="1:1" ht="12.75">
      <c r="A30383" s="2" t="s">
        <v>202</v>
      </c>
    </row>
    <row r="30384" spans="1:1" ht="12.75">
      <c r="A30384" s="2" t="s">
        <v>201</v>
      </c>
    </row>
    <row r="30385" spans="1:1" ht="12.75">
      <c r="A30385" s="2" t="s">
        <v>202</v>
      </c>
    </row>
    <row r="30386" spans="1:1" ht="12.75">
      <c r="A30386" s="2" t="s">
        <v>202</v>
      </c>
    </row>
    <row r="30387" spans="1:1" ht="12.75">
      <c r="A30387" s="2" t="s">
        <v>202</v>
      </c>
    </row>
    <row r="30388" spans="1:1" ht="12.75">
      <c r="A30388" s="2" t="s">
        <v>206</v>
      </c>
    </row>
    <row r="30389" spans="1:1" ht="12.75">
      <c r="A30389" s="2" t="s">
        <v>206</v>
      </c>
    </row>
    <row r="30390" spans="1:1" ht="12.75">
      <c r="A30390" s="2" t="s">
        <v>206</v>
      </c>
    </row>
    <row r="30391" spans="1:1" ht="12.75">
      <c r="A30391" s="2" t="s">
        <v>206</v>
      </c>
    </row>
    <row r="30392" spans="1:1" ht="12.75">
      <c r="A30392" s="2" t="s">
        <v>206</v>
      </c>
    </row>
    <row r="30393" spans="1:1" ht="12.75">
      <c r="A30393" s="2" t="s">
        <v>206</v>
      </c>
    </row>
    <row r="30396" spans="1:1" ht="12.75">
      <c r="A30396" s="2" t="s">
        <v>206</v>
      </c>
    </row>
    <row r="30397" spans="1:1" ht="12.75">
      <c r="A30397" s="2" t="s">
        <v>206</v>
      </c>
    </row>
    <row r="30398" spans="1:1" ht="12.75">
      <c r="A30398" s="2" t="s">
        <v>284</v>
      </c>
    </row>
    <row r="30399" spans="1:1" ht="12.75">
      <c r="A30399" s="2" t="s">
        <v>1161</v>
      </c>
    </row>
    <row r="30400" spans="1:1" ht="12.75">
      <c r="A30400" s="2" t="s">
        <v>284</v>
      </c>
    </row>
    <row r="30401" spans="1:1" ht="12.75">
      <c r="A30401" s="2" t="s">
        <v>284</v>
      </c>
    </row>
    <row r="30402" spans="1:1" ht="12.75">
      <c r="A30402" s="2" t="s">
        <v>284</v>
      </c>
    </row>
    <row r="30403" spans="1:1" ht="12.75">
      <c r="A30403" s="2" t="s">
        <v>284</v>
      </c>
    </row>
    <row r="30429" spans="1:1" ht="12.75">
      <c r="A30429" s="2" t="s">
        <v>1162</v>
      </c>
    </row>
    <row r="30432" spans="1:1" ht="12.75">
      <c r="A30432" s="2" t="s">
        <v>1162</v>
      </c>
    </row>
    <row r="30433" spans="1:1" ht="12.75">
      <c r="A30433" s="2" t="s">
        <v>1162</v>
      </c>
    </row>
    <row r="30436" spans="1:1" ht="12.75">
      <c r="A30436" s="2" t="s">
        <v>264</v>
      </c>
    </row>
    <row r="30437" spans="1:1" ht="12.75">
      <c r="A30437" s="2" t="s">
        <v>264</v>
      </c>
    </row>
    <row r="30438" spans="1:1" ht="12.75">
      <c r="A30438" s="2" t="s">
        <v>378</v>
      </c>
    </row>
    <row r="30439" spans="1:1" ht="12.75">
      <c r="A30439" s="2" t="s">
        <v>378</v>
      </c>
    </row>
    <row r="30440" spans="1:1" ht="12.75">
      <c r="A30440" s="2" t="s">
        <v>264</v>
      </c>
    </row>
    <row r="30441" spans="1:1" ht="12.75">
      <c r="A30441" s="2" t="s">
        <v>264</v>
      </c>
    </row>
    <row r="30443" spans="1:1" ht="12.75">
      <c r="A30443" s="2" t="s">
        <v>253</v>
      </c>
    </row>
    <row r="30444" spans="1:1" ht="12.75">
      <c r="A30444" s="2" t="s">
        <v>253</v>
      </c>
    </row>
    <row r="30445" spans="1:1" ht="12.75">
      <c r="A30445" s="2" t="s">
        <v>253</v>
      </c>
    </row>
    <row r="30446" spans="1:1" ht="12.75">
      <c r="A30446" s="2" t="s">
        <v>516</v>
      </c>
    </row>
    <row r="30447" spans="1:1" ht="12.75">
      <c r="A30447" s="2" t="s">
        <v>516</v>
      </c>
    </row>
    <row r="30448" spans="1:1" ht="12.75">
      <c r="A30448" s="2" t="s">
        <v>1163</v>
      </c>
    </row>
    <row r="30449" spans="1:1" ht="12.75">
      <c r="A30449" s="2" t="s">
        <v>769</v>
      </c>
    </row>
    <row r="30450" spans="1:1" ht="12.75">
      <c r="A30450" s="2" t="s">
        <v>256</v>
      </c>
    </row>
    <row r="30452" spans="1:1" ht="12.75">
      <c r="A30452" s="2" t="s">
        <v>1004</v>
      </c>
    </row>
    <row r="30453" spans="1:1" ht="12.75">
      <c r="A30453" s="2" t="s">
        <v>378</v>
      </c>
    </row>
    <row r="30454" spans="1:1" ht="12.75">
      <c r="A30454" s="2" t="s">
        <v>378</v>
      </c>
    </row>
    <row r="30455" spans="1:1" ht="12.75">
      <c r="A30455" s="2" t="s">
        <v>378</v>
      </c>
    </row>
    <row r="30456" spans="1:1" ht="12.75">
      <c r="A30456" s="2" t="s">
        <v>970</v>
      </c>
    </row>
    <row r="30458" spans="1:1" ht="12.75">
      <c r="A30458" s="2" t="s">
        <v>970</v>
      </c>
    </row>
    <row r="30460" spans="1:1" ht="12.75">
      <c r="A30460" s="2" t="s">
        <v>264</v>
      </c>
    </row>
    <row r="30461" spans="1:1" ht="12.75">
      <c r="A30461" s="2" t="s">
        <v>264</v>
      </c>
    </row>
    <row r="30462" spans="1:1" ht="12.75">
      <c r="A30462" s="2" t="s">
        <v>378</v>
      </c>
    </row>
    <row r="30463" spans="1:1" ht="12.75">
      <c r="A30463" s="2" t="s">
        <v>378</v>
      </c>
    </row>
    <row r="30464" spans="1:1" ht="12.75">
      <c r="A30464" s="2" t="s">
        <v>970</v>
      </c>
    </row>
    <row r="30465" spans="1:1" ht="12.75">
      <c r="A30465" s="2" t="s">
        <v>1164</v>
      </c>
    </row>
    <row r="30466" spans="1:1" ht="12.75">
      <c r="A30466" s="2" t="s">
        <v>264</v>
      </c>
    </row>
    <row r="30467" spans="1:1" ht="12.75">
      <c r="A30467" s="2" t="s">
        <v>264</v>
      </c>
    </row>
    <row r="30468" spans="1:1" ht="12.75">
      <c r="A30468" s="2" t="s">
        <v>378</v>
      </c>
    </row>
    <row r="30469" spans="1:1" ht="12.75">
      <c r="A30469" s="2" t="s">
        <v>378</v>
      </c>
    </row>
    <row r="30470" spans="1:1" ht="12.75">
      <c r="A30470" s="2" t="s">
        <v>378</v>
      </c>
    </row>
    <row r="30471" spans="1:1" ht="12.75">
      <c r="A30471" s="2" t="s">
        <v>378</v>
      </c>
    </row>
    <row r="30472" spans="1:1" ht="12.75">
      <c r="A30472" s="2" t="s">
        <v>378</v>
      </c>
    </row>
    <row r="30473" spans="1:1" ht="12.75">
      <c r="A30473" s="2" t="s">
        <v>378</v>
      </c>
    </row>
    <row r="30474" spans="1:1" ht="12.75">
      <c r="A30474" s="2" t="s">
        <v>1004</v>
      </c>
    </row>
    <row r="30475" spans="1:1" ht="12.75">
      <c r="A30475" s="2" t="s">
        <v>378</v>
      </c>
    </row>
    <row r="30476" spans="1:1" ht="12.75">
      <c r="A30476" s="2" t="s">
        <v>264</v>
      </c>
    </row>
    <row r="30477" spans="1:1" ht="12.75">
      <c r="A30477" s="2" t="s">
        <v>264</v>
      </c>
    </row>
    <row r="30480" spans="1:1" ht="12.75">
      <c r="A30480" s="2" t="s">
        <v>516</v>
      </c>
    </row>
    <row r="30481" spans="1:1" ht="12.75">
      <c r="A30481" s="2" t="s">
        <v>516</v>
      </c>
    </row>
    <row r="30482" spans="1:1" ht="12.75">
      <c r="A30482" s="2" t="s">
        <v>516</v>
      </c>
    </row>
    <row r="30483" spans="1:1" ht="12.75">
      <c r="A30483" s="2" t="s">
        <v>516</v>
      </c>
    </row>
    <row r="30484" spans="1:1" ht="12.75">
      <c r="A30484" s="2" t="s">
        <v>256</v>
      </c>
    </row>
    <row r="30485" spans="1:1" ht="12.75">
      <c r="A30485" s="2" t="s">
        <v>256</v>
      </c>
    </row>
    <row r="30486" spans="1:1" ht="12.75">
      <c r="A30486" s="2" t="s">
        <v>769</v>
      </c>
    </row>
    <row r="30487" spans="1:1" ht="12.75">
      <c r="A30487" s="2" t="s">
        <v>769</v>
      </c>
    </row>
    <row r="30488" spans="1:1" ht="12.75">
      <c r="A30488" s="2" t="s">
        <v>254</v>
      </c>
    </row>
    <row r="30489" spans="1:1" ht="12.75">
      <c r="A30489" s="2" t="s">
        <v>254</v>
      </c>
    </row>
    <row r="30490" spans="1:1" ht="12.75">
      <c r="A30490" s="2" t="s">
        <v>256</v>
      </c>
    </row>
    <row r="30491" spans="1:1" ht="12.75">
      <c r="A30491" s="2" t="s">
        <v>256</v>
      </c>
    </row>
    <row r="30492" spans="1:1" ht="12.75">
      <c r="A30492" s="2" t="s">
        <v>254</v>
      </c>
    </row>
    <row r="30493" spans="1:1" ht="12.75">
      <c r="A30493" s="2" t="s">
        <v>254</v>
      </c>
    </row>
    <row r="30494" spans="1:1" ht="12.75">
      <c r="A30494" s="2" t="s">
        <v>769</v>
      </c>
    </row>
    <row r="30495" spans="1:1" ht="12.75">
      <c r="A30495" s="2" t="s">
        <v>769</v>
      </c>
    </row>
    <row r="30498" spans="1:1" ht="12.75">
      <c r="A30498" s="2" t="s">
        <v>254</v>
      </c>
    </row>
    <row r="30500" spans="1:1" ht="12.75">
      <c r="A30500" s="2" t="s">
        <v>254</v>
      </c>
    </row>
    <row r="30502" spans="1:1" ht="12.75">
      <c r="A30502" s="2" t="s">
        <v>769</v>
      </c>
    </row>
    <row r="30503" spans="1:1" ht="12.75">
      <c r="A30503" s="2" t="s">
        <v>769</v>
      </c>
    </row>
    <row r="30504" spans="1:1" ht="12.75">
      <c r="A30504" s="2" t="s">
        <v>769</v>
      </c>
    </row>
    <row r="30505" spans="1:1" ht="12.75">
      <c r="A30505" s="2" t="s">
        <v>769</v>
      </c>
    </row>
    <row r="30507" spans="1:1" ht="12.75">
      <c r="A30507" s="2" t="s">
        <v>256</v>
      </c>
    </row>
    <row r="30508" spans="1:1" ht="12.75">
      <c r="A30508" s="2" t="s">
        <v>256</v>
      </c>
    </row>
    <row r="30509" spans="1:1" ht="12.75">
      <c r="A30509" s="2" t="s">
        <v>256</v>
      </c>
    </row>
    <row r="30512" spans="1:1" ht="12.75">
      <c r="A30512" s="2" t="s">
        <v>254</v>
      </c>
    </row>
    <row r="30513" spans="1:1" ht="12.75">
      <c r="A30513" s="2" t="s">
        <v>254</v>
      </c>
    </row>
    <row r="30528" spans="1:1" ht="12.75">
      <c r="A30528" s="2" t="s">
        <v>265</v>
      </c>
    </row>
    <row r="30529" spans="1:1" ht="12.75">
      <c r="A30529" s="2" t="s">
        <v>265</v>
      </c>
    </row>
    <row r="30536" spans="1:1" ht="12.75">
      <c r="A30536" s="2" t="s">
        <v>213</v>
      </c>
    </row>
    <row r="30537" spans="1:1" ht="12.75">
      <c r="A30537" s="2" t="s">
        <v>213</v>
      </c>
    </row>
    <row r="30538" spans="1:1" ht="12.75">
      <c r="A30538" s="2" t="s">
        <v>771</v>
      </c>
    </row>
    <row r="30539" spans="1:1" ht="12.75">
      <c r="A30539" s="2" t="s">
        <v>771</v>
      </c>
    </row>
    <row r="30540" spans="1:1" ht="12.75">
      <c r="A30540" s="2" t="s">
        <v>213</v>
      </c>
    </row>
    <row r="30541" spans="1:1" ht="12.75">
      <c r="A30541" s="2" t="s">
        <v>771</v>
      </c>
    </row>
    <row r="30542" spans="1:1" ht="12.75">
      <c r="A30542" s="2" t="s">
        <v>981</v>
      </c>
    </row>
    <row r="30543" spans="1:1" ht="12.75">
      <c r="A30543" s="2" t="s">
        <v>305</v>
      </c>
    </row>
    <row r="30544" spans="1:1" ht="12.75">
      <c r="A30544" s="2" t="s">
        <v>305</v>
      </c>
    </row>
    <row r="30545" spans="1:1" ht="12.75">
      <c r="A30545" s="2" t="s">
        <v>305</v>
      </c>
    </row>
    <row r="30547" spans="1:1" ht="12.75">
      <c r="A30547" s="2" t="s">
        <v>506</v>
      </c>
    </row>
    <row r="30548" spans="1:1" ht="12.75">
      <c r="A30548" s="2" t="s">
        <v>506</v>
      </c>
    </row>
    <row r="30549" spans="1:1" ht="12.75">
      <c r="A30549" s="2" t="s">
        <v>506</v>
      </c>
    </row>
    <row r="30550" spans="1:1" ht="12.75">
      <c r="A30550" s="2" t="s">
        <v>506</v>
      </c>
    </row>
    <row r="30558" spans="1:1" ht="12.75">
      <c r="A30558" s="2" t="s">
        <v>1165</v>
      </c>
    </row>
    <row r="30559" spans="1:1" ht="12.75">
      <c r="A30559" s="2" t="s">
        <v>1165</v>
      </c>
    </row>
    <row r="30560" spans="1:1" ht="12.75">
      <c r="A30560" s="2" t="s">
        <v>1165</v>
      </c>
    </row>
    <row r="30563" spans="1:1" ht="12.75">
      <c r="A30563" s="2" t="s">
        <v>899</v>
      </c>
    </row>
    <row r="30564" spans="1:1" ht="12.75">
      <c r="A30564" s="2" t="s">
        <v>899</v>
      </c>
    </row>
    <row r="30577" spans="1:1" ht="12.75">
      <c r="A30577" s="2" t="s">
        <v>217</v>
      </c>
    </row>
    <row r="30578" spans="1:1" ht="12.75">
      <c r="A30578" s="2" t="s">
        <v>217</v>
      </c>
    </row>
    <row r="30579" spans="1:1" ht="12.75">
      <c r="A30579" s="2" t="s">
        <v>217</v>
      </c>
    </row>
    <row r="30580" spans="1:1" ht="12.75">
      <c r="A30580" s="2" t="s">
        <v>217</v>
      </c>
    </row>
    <row r="30581" spans="1:1" ht="12.75">
      <c r="A30581" s="2" t="s">
        <v>217</v>
      </c>
    </row>
    <row r="30582" spans="1:1" ht="12.75">
      <c r="A30582" s="2" t="s">
        <v>393</v>
      </c>
    </row>
    <row r="30583" spans="1:1" ht="12.75">
      <c r="A30583" s="2" t="s">
        <v>217</v>
      </c>
    </row>
    <row r="30584" spans="1:1" ht="12.75">
      <c r="A30584" s="2" t="s">
        <v>217</v>
      </c>
    </row>
    <row r="30585" spans="1:1" ht="12.75">
      <c r="A30585" s="2" t="s">
        <v>217</v>
      </c>
    </row>
    <row r="30586" spans="1:1" ht="12.75">
      <c r="A30586" s="2" t="s">
        <v>217</v>
      </c>
    </row>
    <row r="30587" spans="1:1" ht="12.75">
      <c r="A30587" s="2" t="s">
        <v>452</v>
      </c>
    </row>
    <row r="30588" spans="1:1" ht="12.75">
      <c r="A30588" s="2" t="s">
        <v>452</v>
      </c>
    </row>
    <row r="30589" spans="1:1" ht="12.75">
      <c r="A30589" s="2" t="s">
        <v>452</v>
      </c>
    </row>
    <row r="30590" spans="1:1" ht="12.75">
      <c r="A30590" s="2" t="s">
        <v>452</v>
      </c>
    </row>
    <row r="30591" spans="1:1" ht="12.75">
      <c r="A30591" s="2" t="s">
        <v>452</v>
      </c>
    </row>
    <row r="30592" spans="1:1" ht="12.75">
      <c r="A30592" s="2" t="s">
        <v>452</v>
      </c>
    </row>
    <row r="30593" spans="1:1" ht="12.75">
      <c r="A30593" s="2" t="s">
        <v>452</v>
      </c>
    </row>
    <row r="30594" spans="1:1" ht="12.75">
      <c r="A30594" s="2" t="s">
        <v>452</v>
      </c>
    </row>
    <row r="30595" spans="1:1" ht="12.75">
      <c r="A30595" s="2" t="s">
        <v>452</v>
      </c>
    </row>
    <row r="30596" spans="1:1" ht="12.75">
      <c r="A30596" s="2" t="s">
        <v>449</v>
      </c>
    </row>
    <row r="30597" spans="1:1" ht="12.75">
      <c r="A30597" s="2" t="s">
        <v>435</v>
      </c>
    </row>
    <row r="30598" spans="1:1" ht="12.75">
      <c r="A30598" s="2" t="s">
        <v>435</v>
      </c>
    </row>
    <row r="30599" spans="1:1" ht="12.75">
      <c r="A30599" s="2" t="s">
        <v>434</v>
      </c>
    </row>
    <row r="30600" spans="1:1" ht="12.75">
      <c r="A30600" s="2" t="s">
        <v>434</v>
      </c>
    </row>
    <row r="30601" spans="1:1" ht="12.75">
      <c r="A30601" s="2" t="s">
        <v>465</v>
      </c>
    </row>
    <row r="30602" spans="1:1" ht="12.75">
      <c r="A30602" s="2" t="s">
        <v>465</v>
      </c>
    </row>
    <row r="30603" spans="1:1" ht="12.75">
      <c r="A30603" s="2" t="s">
        <v>479</v>
      </c>
    </row>
    <row r="30604" spans="1:1" ht="12.75">
      <c r="A30604" s="2" t="s">
        <v>433</v>
      </c>
    </row>
    <row r="30605" spans="1:1" ht="12.75">
      <c r="A30605" s="2" t="s">
        <v>622</v>
      </c>
    </row>
    <row r="30606" spans="1:1" ht="12.75">
      <c r="A30606" s="2" t="s">
        <v>479</v>
      </c>
    </row>
    <row r="30607" spans="1:1" ht="12.75">
      <c r="A30607" s="2" t="s">
        <v>465</v>
      </c>
    </row>
    <row r="30608" spans="1:1" ht="12.75">
      <c r="A30608" s="2" t="s">
        <v>465</v>
      </c>
    </row>
    <row r="30609" spans="1:1" ht="12.75">
      <c r="A30609" s="2" t="s">
        <v>404</v>
      </c>
    </row>
    <row r="30610" spans="1:1" ht="12.75">
      <c r="A30610" s="2" t="s">
        <v>466</v>
      </c>
    </row>
    <row r="30611" spans="1:1" ht="12.75">
      <c r="A30611" s="2" t="s">
        <v>404</v>
      </c>
    </row>
    <row r="30612" spans="1:1" ht="12.75">
      <c r="A30612" s="2" t="s">
        <v>404</v>
      </c>
    </row>
    <row r="30613" spans="1:1" ht="12.75">
      <c r="A30613" s="2" t="s">
        <v>432</v>
      </c>
    </row>
    <row r="30614" spans="1:1" ht="12.75">
      <c r="A30614" s="2" t="s">
        <v>432</v>
      </c>
    </row>
    <row r="30615" spans="1:1" ht="12.75">
      <c r="A30615" s="2" t="s">
        <v>615</v>
      </c>
    </row>
    <row r="30616" spans="1:1" ht="12.75">
      <c r="A30616" s="2" t="s">
        <v>634</v>
      </c>
    </row>
    <row r="30617" spans="1:1" ht="12.75">
      <c r="A30617" s="2" t="s">
        <v>634</v>
      </c>
    </row>
    <row r="30618" spans="1:1" ht="12.75">
      <c r="A30618" s="2" t="s">
        <v>634</v>
      </c>
    </row>
    <row r="30619" spans="1:1" ht="12.75">
      <c r="A30619" s="2" t="s">
        <v>633</v>
      </c>
    </row>
    <row r="30620" spans="1:1" ht="12.75">
      <c r="A30620" s="2" t="s">
        <v>633</v>
      </c>
    </row>
    <row r="30621" spans="1:1" ht="12.75">
      <c r="A30621" s="2" t="s">
        <v>633</v>
      </c>
    </row>
    <row r="30622" spans="1:1" ht="12.75">
      <c r="A30622" s="2" t="s">
        <v>448</v>
      </c>
    </row>
    <row r="30623" spans="1:1" ht="12.75">
      <c r="A30623" s="2" t="s">
        <v>448</v>
      </c>
    </row>
    <row r="30624" spans="1:1" ht="12.75">
      <c r="A30624" s="2" t="s">
        <v>448</v>
      </c>
    </row>
    <row r="30625" spans="1:1" ht="12.75">
      <c r="A30625" s="2" t="s">
        <v>448</v>
      </c>
    </row>
    <row r="30626" spans="1:1" ht="12.75">
      <c r="A30626" s="2" t="s">
        <v>448</v>
      </c>
    </row>
    <row r="30627" spans="1:1" ht="12.75">
      <c r="A30627" s="2" t="s">
        <v>446</v>
      </c>
    </row>
    <row r="30628" spans="1:1" ht="12.75">
      <c r="A30628" s="2" t="s">
        <v>446</v>
      </c>
    </row>
    <row r="30629" spans="1:1" ht="12.75">
      <c r="A30629" s="2" t="s">
        <v>446</v>
      </c>
    </row>
    <row r="30630" spans="1:1" ht="12.75">
      <c r="A30630" s="2" t="s">
        <v>446</v>
      </c>
    </row>
    <row r="30631" spans="1:1" ht="12.75">
      <c r="A30631" s="2" t="s">
        <v>446</v>
      </c>
    </row>
    <row r="30632" spans="1:1" ht="12.75">
      <c r="A30632" s="2" t="s">
        <v>446</v>
      </c>
    </row>
    <row r="30633" spans="1:1" ht="12.75">
      <c r="A30633" s="2" t="s">
        <v>473</v>
      </c>
    </row>
    <row r="30634" spans="1:1" ht="12.75">
      <c r="A30634" s="2" t="s">
        <v>446</v>
      </c>
    </row>
    <row r="30635" spans="1:1" ht="12.75">
      <c r="A30635" s="2" t="s">
        <v>432</v>
      </c>
    </row>
    <row r="30636" spans="1:1" ht="12.75">
      <c r="A30636" s="2" t="s">
        <v>432</v>
      </c>
    </row>
    <row r="30637" spans="1:1" ht="12.75">
      <c r="A30637" s="2" t="s">
        <v>446</v>
      </c>
    </row>
    <row r="30638" spans="1:1" ht="12.75">
      <c r="A30638" s="2" t="s">
        <v>446</v>
      </c>
    </row>
    <row r="30639" spans="1:1" ht="12.75">
      <c r="A30639" s="2" t="s">
        <v>446</v>
      </c>
    </row>
    <row r="30640" spans="1:1" ht="12.75">
      <c r="A30640" s="2" t="s">
        <v>446</v>
      </c>
    </row>
    <row r="30641" spans="1:1" ht="12.75">
      <c r="A30641" s="2" t="s">
        <v>446</v>
      </c>
    </row>
    <row r="30642" spans="1:1" ht="12.75">
      <c r="A30642" s="2" t="s">
        <v>446</v>
      </c>
    </row>
    <row r="30643" spans="1:1" ht="12.75">
      <c r="A30643" s="2" t="s">
        <v>446</v>
      </c>
    </row>
    <row r="30644" spans="1:1" ht="12.75">
      <c r="A30644" s="2" t="s">
        <v>446</v>
      </c>
    </row>
    <row r="30645" spans="1:1" ht="12.75">
      <c r="A30645" s="2" t="s">
        <v>446</v>
      </c>
    </row>
    <row r="30646" spans="1:1" ht="12.75">
      <c r="A30646" s="2" t="s">
        <v>446</v>
      </c>
    </row>
    <row r="30647" spans="1:1" ht="12.75">
      <c r="A30647" s="2" t="s">
        <v>447</v>
      </c>
    </row>
    <row r="30648" spans="1:1" ht="12.75">
      <c r="A30648" s="2" t="s">
        <v>447</v>
      </c>
    </row>
    <row r="30649" spans="1:1" ht="12.75">
      <c r="A30649" s="2" t="s">
        <v>447</v>
      </c>
    </row>
    <row r="30650" spans="1:1" ht="12.75">
      <c r="A30650" s="2" t="s">
        <v>447</v>
      </c>
    </row>
    <row r="30651" spans="1:1" ht="12.75">
      <c r="A30651" s="2" t="s">
        <v>447</v>
      </c>
    </row>
    <row r="30652" spans="1:1" ht="12.75">
      <c r="A30652" s="2" t="s">
        <v>448</v>
      </c>
    </row>
    <row r="30653" spans="1:1" ht="12.75">
      <c r="A30653" s="2" t="s">
        <v>448</v>
      </c>
    </row>
    <row r="30654" spans="1:1" ht="12.75">
      <c r="A30654" s="2" t="s">
        <v>448</v>
      </c>
    </row>
    <row r="30655" spans="1:1" ht="12.75">
      <c r="A30655" s="2" t="s">
        <v>473</v>
      </c>
    </row>
    <row r="30656" spans="1:1" ht="12.75">
      <c r="A30656" s="2" t="s">
        <v>473</v>
      </c>
    </row>
    <row r="30657" spans="1:1" ht="12.75">
      <c r="A30657" s="2" t="s">
        <v>446</v>
      </c>
    </row>
    <row r="30658" spans="1:1" ht="12.75">
      <c r="A30658" s="2" t="s">
        <v>473</v>
      </c>
    </row>
    <row r="30659" spans="1:1" ht="12.75">
      <c r="A30659" s="2" t="s">
        <v>473</v>
      </c>
    </row>
    <row r="30660" spans="1:1" ht="12.75">
      <c r="A30660" s="2" t="s">
        <v>446</v>
      </c>
    </row>
    <row r="30661" spans="1:1" ht="12.75">
      <c r="A30661" s="2" t="s">
        <v>446</v>
      </c>
    </row>
    <row r="30662" spans="1:1" ht="12.75">
      <c r="A30662" s="2" t="s">
        <v>446</v>
      </c>
    </row>
    <row r="30663" spans="1:1" ht="12.75">
      <c r="A30663" s="2" t="s">
        <v>446</v>
      </c>
    </row>
    <row r="30664" spans="1:1" ht="12.75">
      <c r="A30664" s="2" t="s">
        <v>446</v>
      </c>
    </row>
    <row r="30665" spans="1:1" ht="12.75">
      <c r="A30665" s="2" t="s">
        <v>446</v>
      </c>
    </row>
    <row r="30666" spans="1:1" ht="12.75">
      <c r="A30666" s="2" t="s">
        <v>448</v>
      </c>
    </row>
    <row r="30667" spans="1:1" ht="12.75">
      <c r="A30667" s="2" t="s">
        <v>453</v>
      </c>
    </row>
    <row r="30668" spans="1:1" ht="12.75">
      <c r="A30668" s="2" t="s">
        <v>453</v>
      </c>
    </row>
    <row r="30669" spans="1:1" ht="12.75">
      <c r="A30669" s="2" t="s">
        <v>451</v>
      </c>
    </row>
    <row r="30670" spans="1:1" ht="12.75">
      <c r="A30670" s="2" t="s">
        <v>447</v>
      </c>
    </row>
    <row r="30671" spans="1:1" ht="12.75">
      <c r="A30671" s="2" t="s">
        <v>447</v>
      </c>
    </row>
    <row r="30672" spans="1:1" ht="12.75">
      <c r="A30672" s="2" t="s">
        <v>447</v>
      </c>
    </row>
    <row r="30673" spans="1:1" ht="12.75">
      <c r="A30673" s="2" t="s">
        <v>447</v>
      </c>
    </row>
    <row r="30674" spans="1:1" ht="12.75">
      <c r="A30674" s="2" t="s">
        <v>453</v>
      </c>
    </row>
    <row r="30675" spans="1:1" ht="12.75">
      <c r="A30675" s="2" t="s">
        <v>473</v>
      </c>
    </row>
    <row r="30676" spans="1:1" ht="12.75">
      <c r="A30676" s="2" t="s">
        <v>473</v>
      </c>
    </row>
    <row r="30677" spans="1:1" ht="12.75">
      <c r="A30677" s="2" t="s">
        <v>448</v>
      </c>
    </row>
    <row r="30678" spans="1:1" ht="12.75">
      <c r="A30678" s="2" t="s">
        <v>448</v>
      </c>
    </row>
    <row r="30679" spans="1:1" ht="12.75">
      <c r="A30679" s="2" t="s">
        <v>448</v>
      </c>
    </row>
    <row r="30680" spans="1:1" ht="12.75">
      <c r="A30680" s="2" t="s">
        <v>448</v>
      </c>
    </row>
    <row r="30681" spans="1:1" ht="12.75">
      <c r="A30681" s="2" t="s">
        <v>447</v>
      </c>
    </row>
    <row r="30682" spans="1:1" ht="12.75">
      <c r="A30682" s="2" t="s">
        <v>447</v>
      </c>
    </row>
    <row r="30683" spans="1:1" ht="12.75">
      <c r="A30683" s="2" t="s">
        <v>447</v>
      </c>
    </row>
    <row r="30684" spans="1:1" ht="12.75">
      <c r="A30684" s="2" t="s">
        <v>447</v>
      </c>
    </row>
    <row r="30685" spans="1:1" ht="12.75">
      <c r="A30685" s="2" t="s">
        <v>447</v>
      </c>
    </row>
    <row r="30686" spans="1:1" ht="12.75">
      <c r="A30686" s="2" t="s">
        <v>447</v>
      </c>
    </row>
    <row r="30687" spans="1:1" ht="12.75">
      <c r="A30687" s="2" t="s">
        <v>851</v>
      </c>
    </row>
    <row r="30688" spans="1:1" ht="12.75">
      <c r="A30688" s="2" t="s">
        <v>851</v>
      </c>
    </row>
    <row r="30689" spans="1:1" ht="12.75">
      <c r="A30689" s="2" t="s">
        <v>852</v>
      </c>
    </row>
    <row r="30690" spans="1:1" ht="12.75">
      <c r="A30690" s="2" t="s">
        <v>852</v>
      </c>
    </row>
    <row r="30691" spans="1:1" ht="12.75">
      <c r="A30691" s="2" t="s">
        <v>848</v>
      </c>
    </row>
    <row r="30692" spans="1:1" ht="12.75">
      <c r="A30692" s="2" t="s">
        <v>846</v>
      </c>
    </row>
    <row r="30693" spans="1:1" ht="12.75">
      <c r="A30693" s="2" t="s">
        <v>483</v>
      </c>
    </row>
    <row r="30694" spans="1:1" ht="12.75">
      <c r="A30694" s="2" t="s">
        <v>1166</v>
      </c>
    </row>
    <row r="30695" spans="1:1" ht="12.75">
      <c r="A30695" s="2" t="s">
        <v>483</v>
      </c>
    </row>
    <row r="30696" spans="1:1" ht="12.75">
      <c r="A30696" s="2" t="s">
        <v>483</v>
      </c>
    </row>
    <row r="30697" spans="1:1" ht="12.75">
      <c r="A30697" s="2" t="s">
        <v>483</v>
      </c>
    </row>
    <row r="30698" spans="1:1" ht="12.75">
      <c r="A30698" s="2" t="s">
        <v>1166</v>
      </c>
    </row>
    <row r="30699" spans="1:1" ht="12.75">
      <c r="A30699" s="2" t="s">
        <v>483</v>
      </c>
    </row>
    <row r="30700" spans="1:1" ht="12.75">
      <c r="A30700" s="2" t="s">
        <v>483</v>
      </c>
    </row>
    <row r="30701" spans="1:1" ht="12.75">
      <c r="A30701" s="2" t="s">
        <v>483</v>
      </c>
    </row>
    <row r="30702" spans="1:1" ht="12.75">
      <c r="A30702" s="2" t="s">
        <v>483</v>
      </c>
    </row>
    <row r="30703" spans="1:1" ht="12.75">
      <c r="A30703" s="2" t="s">
        <v>845</v>
      </c>
    </row>
    <row r="30704" spans="1:1" ht="12.75">
      <c r="A30704" s="2" t="s">
        <v>845</v>
      </c>
    </row>
    <row r="30705" spans="1:1" ht="12.75">
      <c r="A30705" s="2" t="s">
        <v>845</v>
      </c>
    </row>
    <row r="30706" spans="1:1" ht="12.75">
      <c r="A30706" s="2" t="s">
        <v>845</v>
      </c>
    </row>
    <row r="30707" spans="1:1" ht="12.75">
      <c r="A30707" s="2" t="s">
        <v>845</v>
      </c>
    </row>
    <row r="30708" spans="1:1" ht="12.75">
      <c r="A30708" s="2" t="s">
        <v>845</v>
      </c>
    </row>
    <row r="30709" spans="1:1" ht="12.75">
      <c r="A30709" s="2" t="s">
        <v>845</v>
      </c>
    </row>
    <row r="30710" spans="1:1" ht="12.75">
      <c r="A30710" s="2" t="s">
        <v>845</v>
      </c>
    </row>
    <row r="30711" spans="1:1" ht="12.75">
      <c r="A30711" s="2" t="s">
        <v>480</v>
      </c>
    </row>
    <row r="30712" spans="1:1" ht="12.75">
      <c r="A30712" s="2" t="s">
        <v>480</v>
      </c>
    </row>
    <row r="30713" spans="1:1" ht="12.75">
      <c r="A30713" s="2" t="s">
        <v>480</v>
      </c>
    </row>
    <row r="30714" spans="1:1" ht="12.75">
      <c r="A30714" s="2" t="s">
        <v>480</v>
      </c>
    </row>
    <row r="30716" spans="1:1" ht="12.75">
      <c r="A30716" s="2" t="s">
        <v>480</v>
      </c>
    </row>
    <row r="30717" spans="1:1" ht="12.75">
      <c r="A30717" s="2" t="s">
        <v>916</v>
      </c>
    </row>
    <row r="30718" spans="1:1" ht="12.75">
      <c r="A30718" s="2" t="s">
        <v>916</v>
      </c>
    </row>
    <row r="30719" spans="1:1" ht="12.75">
      <c r="A30719" s="2" t="s">
        <v>916</v>
      </c>
    </row>
    <row r="30720" spans="1:1" ht="12.75">
      <c r="A30720" s="2" t="s">
        <v>916</v>
      </c>
    </row>
    <row r="30721" spans="1:1" ht="12.75">
      <c r="A30721" s="2" t="s">
        <v>623</v>
      </c>
    </row>
    <row r="30722" spans="1:1" ht="12.75">
      <c r="A30722" s="2" t="s">
        <v>623</v>
      </c>
    </row>
    <row r="30723" spans="1:1" ht="12.75">
      <c r="A30723" s="2" t="s">
        <v>623</v>
      </c>
    </row>
    <row r="30724" spans="1:1" ht="12.75">
      <c r="A30724" s="2" t="s">
        <v>623</v>
      </c>
    </row>
    <row r="30725" spans="1:1" ht="12.75">
      <c r="A30725" s="2" t="s">
        <v>623</v>
      </c>
    </row>
    <row r="30726" spans="1:1" ht="12.75">
      <c r="A30726" s="2" t="s">
        <v>623</v>
      </c>
    </row>
    <row r="30728" spans="1:1" ht="12.75">
      <c r="A30728" s="2" t="s">
        <v>477</v>
      </c>
    </row>
    <row r="30729" spans="1:1" ht="12.75">
      <c r="A30729" s="2" t="s">
        <v>916</v>
      </c>
    </row>
    <row r="30730" spans="1:1" ht="12.75">
      <c r="A30730" s="2" t="s">
        <v>916</v>
      </c>
    </row>
    <row r="30731" spans="1:1" ht="12.75">
      <c r="A30731" s="2" t="s">
        <v>916</v>
      </c>
    </row>
    <row r="30732" spans="1:1" ht="12.75">
      <c r="A30732" s="2" t="s">
        <v>916</v>
      </c>
    </row>
    <row r="30733" spans="1:1" ht="12.75">
      <c r="A30733" s="2" t="s">
        <v>433</v>
      </c>
    </row>
    <row r="30734" spans="1:1" ht="12.75">
      <c r="A30734" s="2" t="s">
        <v>433</v>
      </c>
    </row>
    <row r="30735" spans="1:1" ht="12.75">
      <c r="A30735" s="2" t="s">
        <v>434</v>
      </c>
    </row>
    <row r="30736" spans="1:1" ht="12.75">
      <c r="A30736" s="2" t="s">
        <v>433</v>
      </c>
    </row>
    <row r="30737" spans="1:1" ht="12.75">
      <c r="A30737" s="2" t="s">
        <v>1167</v>
      </c>
    </row>
    <row r="30738" spans="1:1" ht="12.75">
      <c r="A30738" s="2" t="s">
        <v>1167</v>
      </c>
    </row>
    <row r="30739" spans="1:1" ht="12.75">
      <c r="A30739" s="2" t="s">
        <v>433</v>
      </c>
    </row>
    <row r="30740" spans="1:1" ht="12.75">
      <c r="A30740" s="2" t="s">
        <v>433</v>
      </c>
    </row>
    <row r="30741" spans="1:1" ht="12.75">
      <c r="A30741" s="2" t="s">
        <v>817</v>
      </c>
    </row>
    <row r="30742" spans="1:1" ht="12.75">
      <c r="A30742" s="2" t="s">
        <v>817</v>
      </c>
    </row>
    <row r="30743" spans="1:1" ht="12.75">
      <c r="A30743" s="2" t="s">
        <v>817</v>
      </c>
    </row>
    <row r="30744" spans="1:1" ht="12.75">
      <c r="A30744" s="2" t="s">
        <v>916</v>
      </c>
    </row>
    <row r="30745" spans="1:1" ht="12.75">
      <c r="A30745" s="2" t="s">
        <v>404</v>
      </c>
    </row>
    <row r="30746" spans="1:1" ht="12.75">
      <c r="A30746" s="2" t="s">
        <v>404</v>
      </c>
    </row>
    <row r="30747" spans="1:1" ht="12.75">
      <c r="A30747" s="2" t="s">
        <v>916</v>
      </c>
    </row>
    <row r="30748" spans="1:1" ht="12.75">
      <c r="A30748" s="2" t="s">
        <v>404</v>
      </c>
    </row>
    <row r="30749" spans="1:1" ht="12.75">
      <c r="A30749" s="2" t="s">
        <v>817</v>
      </c>
    </row>
    <row r="30750" spans="1:1" ht="12.75">
      <c r="A30750" s="2" t="s">
        <v>817</v>
      </c>
    </row>
    <row r="30751" spans="1:1" ht="12.75">
      <c r="A30751" s="2" t="s">
        <v>817</v>
      </c>
    </row>
    <row r="30752" spans="1:1" ht="12.75">
      <c r="A30752" s="2" t="s">
        <v>817</v>
      </c>
    </row>
    <row r="30753" spans="1:1" ht="12.75">
      <c r="A30753" s="2" t="s">
        <v>432</v>
      </c>
    </row>
    <row r="30754" spans="1:1" ht="12.75">
      <c r="A30754" s="2" t="s">
        <v>404</v>
      </c>
    </row>
    <row r="30755" spans="1:1" ht="12.75">
      <c r="A30755" s="2" t="s">
        <v>404</v>
      </c>
    </row>
    <row r="30756" spans="1:1" ht="12.75">
      <c r="A30756" s="2" t="s">
        <v>404</v>
      </c>
    </row>
    <row r="30757" spans="1:1" ht="12.75">
      <c r="A30757" s="2" t="s">
        <v>452</v>
      </c>
    </row>
    <row r="30758" spans="1:1" ht="12.75">
      <c r="A30758" s="2" t="s">
        <v>449</v>
      </c>
    </row>
    <row r="30759" spans="1:1" ht="12.75">
      <c r="A30759" s="2" t="s">
        <v>452</v>
      </c>
    </row>
    <row r="30760" spans="1:1" ht="12.75">
      <c r="A30760" s="2" t="s">
        <v>452</v>
      </c>
    </row>
    <row r="30761" spans="1:1" ht="12.75">
      <c r="A30761" s="2" t="s">
        <v>452</v>
      </c>
    </row>
    <row r="30762" spans="1:1" ht="12.75">
      <c r="A30762" s="2">
        <v>48</v>
      </c>
    </row>
    <row r="30763" spans="1:1" ht="12.75">
      <c r="A30763" s="2" t="s">
        <v>452</v>
      </c>
    </row>
    <row r="30764" spans="1:1" ht="12.75">
      <c r="A30764" s="2" t="s">
        <v>452</v>
      </c>
    </row>
    <row r="30765" spans="1:1" ht="12.75">
      <c r="A30765" s="2" t="s">
        <v>452</v>
      </c>
    </row>
    <row r="30766" spans="1:1" ht="12.75">
      <c r="A30766" s="2" t="s">
        <v>452</v>
      </c>
    </row>
    <row r="30767" spans="1:1" ht="12.75">
      <c r="A30767" s="2" t="s">
        <v>452</v>
      </c>
    </row>
    <row r="30768" spans="1:1" ht="12.75">
      <c r="A30768" s="2" t="s">
        <v>452</v>
      </c>
    </row>
    <row r="30769" spans="1:1" ht="12.75">
      <c r="A30769" s="2" t="s">
        <v>452</v>
      </c>
    </row>
    <row r="30770" spans="1:1" ht="12.75">
      <c r="A30770" s="2" t="s">
        <v>452</v>
      </c>
    </row>
    <row r="30771" spans="1:1" ht="12.75">
      <c r="A30771" s="2" t="s">
        <v>452</v>
      </c>
    </row>
    <row r="30772" spans="1:1" ht="12.75">
      <c r="A30772" s="2" t="s">
        <v>452</v>
      </c>
    </row>
    <row r="30773" spans="1:1" ht="12.75">
      <c r="A30773" s="2" t="s">
        <v>452</v>
      </c>
    </row>
    <row r="30774" spans="1:1" ht="12.75">
      <c r="A30774" s="2" t="s">
        <v>452</v>
      </c>
    </row>
    <row r="30775" spans="1:1" ht="12.75">
      <c r="A30775" s="2" t="s">
        <v>452</v>
      </c>
    </row>
    <row r="30776" spans="1:1" ht="12.75">
      <c r="A30776" s="2" t="s">
        <v>452</v>
      </c>
    </row>
    <row r="30777" spans="1:1" ht="12.75">
      <c r="A30777" s="2" t="s">
        <v>620</v>
      </c>
    </row>
    <row r="30778" spans="1:1" ht="12.75">
      <c r="A30778" s="2" t="s">
        <v>620</v>
      </c>
    </row>
    <row r="30779" spans="1:1" ht="12.75">
      <c r="A30779" s="2" t="s">
        <v>620</v>
      </c>
    </row>
    <row r="30780" spans="1:1" ht="12.75">
      <c r="A30780" s="2" t="s">
        <v>620</v>
      </c>
    </row>
    <row r="30781" spans="1:1" ht="12.75">
      <c r="A30781" s="2" t="s">
        <v>432</v>
      </c>
    </row>
    <row r="30782" spans="1:1" ht="12.75">
      <c r="A30782" s="2" t="s">
        <v>432</v>
      </c>
    </row>
    <row r="30783" spans="1:1" ht="12.75">
      <c r="A30783" s="2" t="s">
        <v>432</v>
      </c>
    </row>
    <row r="30784" spans="1:1" ht="12.75">
      <c r="A30784" s="2" t="s">
        <v>432</v>
      </c>
    </row>
    <row r="30785" spans="1:1" ht="12.75">
      <c r="A30785" s="2" t="s">
        <v>452</v>
      </c>
    </row>
    <row r="30786" spans="1:1" ht="12.75">
      <c r="A30786" s="2" t="s">
        <v>452</v>
      </c>
    </row>
    <row r="30787" spans="1:1" ht="12.75">
      <c r="A30787" s="2" t="s">
        <v>821</v>
      </c>
    </row>
    <row r="30788" spans="1:1" ht="12.75">
      <c r="A30788" s="2" t="s">
        <v>829</v>
      </c>
    </row>
    <row r="30789" spans="1:1" ht="12.75">
      <c r="A30789" s="2" t="s">
        <v>821</v>
      </c>
    </row>
    <row r="30790" spans="1:1" ht="12.75">
      <c r="A30790" s="2" t="s">
        <v>829</v>
      </c>
    </row>
    <row r="30791" spans="1:1" ht="12.75">
      <c r="A30791" s="2" t="s">
        <v>1168</v>
      </c>
    </row>
    <row r="30792" spans="1:1" ht="12.75">
      <c r="A30792" s="2" t="s">
        <v>829</v>
      </c>
    </row>
    <row r="30793" spans="1:1" ht="12.75">
      <c r="A30793" s="2" t="s">
        <v>920</v>
      </c>
    </row>
    <row r="30794" spans="1:1" ht="12.75">
      <c r="A30794" s="2">
        <v>664</v>
      </c>
    </row>
    <row r="30795" spans="1:1" ht="12.75">
      <c r="A30795" s="2" t="s">
        <v>829</v>
      </c>
    </row>
    <row r="30796" spans="1:1" ht="12.75">
      <c r="A30796" s="2" t="s">
        <v>836</v>
      </c>
    </row>
    <row r="30797" spans="1:1" ht="12.75">
      <c r="A30797" s="2" t="s">
        <v>634</v>
      </c>
    </row>
    <row r="30798" spans="1:1" ht="12.75">
      <c r="A30798" s="2" t="s">
        <v>634</v>
      </c>
    </row>
    <row r="30799" spans="1:1" ht="12.75">
      <c r="A30799" s="2" t="s">
        <v>615</v>
      </c>
    </row>
    <row r="30800" spans="1:1" ht="12.75">
      <c r="A30800" s="2" t="s">
        <v>447</v>
      </c>
    </row>
    <row r="30801" spans="1:1" ht="12.75">
      <c r="A30801" s="2" t="s">
        <v>615</v>
      </c>
    </row>
    <row r="30802" spans="1:1" ht="12.75">
      <c r="A30802" s="2" t="s">
        <v>615</v>
      </c>
    </row>
    <row r="30803" spans="1:1" ht="12.75">
      <c r="A30803" s="2" t="s">
        <v>191</v>
      </c>
    </row>
    <row r="30804" spans="1:1" ht="12.75">
      <c r="A30804" s="2" t="s">
        <v>446</v>
      </c>
    </row>
    <row r="30805" spans="1:1" ht="12.75">
      <c r="A30805" s="2" t="s">
        <v>446</v>
      </c>
    </row>
    <row r="30806" spans="1:1" ht="12.75">
      <c r="A30806" s="2" t="s">
        <v>446</v>
      </c>
    </row>
    <row r="30807" spans="1:1" ht="12.75">
      <c r="A30807" s="2" t="s">
        <v>446</v>
      </c>
    </row>
    <row r="30808" spans="1:1" ht="12.75">
      <c r="A30808" s="2" t="s">
        <v>446</v>
      </c>
    </row>
    <row r="30809" spans="1:1" ht="12.75">
      <c r="A30809" s="2" t="s">
        <v>447</v>
      </c>
    </row>
    <row r="30810" spans="1:1" ht="12.75">
      <c r="A30810" s="2" t="s">
        <v>447</v>
      </c>
    </row>
    <row r="30811" spans="1:1" ht="12.75">
      <c r="A30811" s="2" t="s">
        <v>615</v>
      </c>
    </row>
    <row r="30812" spans="1:1" ht="12.75">
      <c r="A30812" s="2" t="s">
        <v>447</v>
      </c>
    </row>
    <row r="30813" spans="1:1" ht="12.75">
      <c r="A30813" s="2" t="s">
        <v>448</v>
      </c>
    </row>
    <row r="30814" spans="1:1" ht="12.75">
      <c r="A30814" s="2" t="s">
        <v>448</v>
      </c>
    </row>
    <row r="30815" spans="1:1" ht="12.75">
      <c r="A30815" s="2" t="s">
        <v>633</v>
      </c>
    </row>
    <row r="30816" spans="1:1" ht="12.75">
      <c r="A30816" s="2" t="s">
        <v>448</v>
      </c>
    </row>
    <row r="30817" spans="1:1" ht="12.75">
      <c r="A30817" s="2" t="s">
        <v>446</v>
      </c>
    </row>
    <row r="30818" spans="1:1" ht="12.75">
      <c r="A30818" s="2" t="s">
        <v>446</v>
      </c>
    </row>
    <row r="30819" spans="1:1" ht="12.75">
      <c r="A30819" s="2" t="s">
        <v>446</v>
      </c>
    </row>
    <row r="30820" spans="1:1" ht="12.75">
      <c r="A30820" s="2" t="s">
        <v>446</v>
      </c>
    </row>
    <row r="30821" spans="1:1" ht="12.75">
      <c r="A30821" s="2" t="s">
        <v>446</v>
      </c>
    </row>
    <row r="30822" spans="1:1" ht="12.75">
      <c r="A30822" s="2" t="s">
        <v>446</v>
      </c>
    </row>
    <row r="30823" spans="1:1" ht="12.75">
      <c r="A30823" s="2" t="s">
        <v>446</v>
      </c>
    </row>
    <row r="30824" spans="1:1" ht="12.75">
      <c r="A30824" s="2" t="s">
        <v>447</v>
      </c>
    </row>
    <row r="30825" spans="1:1" ht="12.75">
      <c r="A30825" s="2" t="s">
        <v>447</v>
      </c>
    </row>
    <row r="30826" spans="1:1" ht="12.75">
      <c r="A30826" s="2" t="s">
        <v>447</v>
      </c>
    </row>
    <row r="30827" spans="1:1" ht="12.75">
      <c r="A30827" s="2" t="s">
        <v>447</v>
      </c>
    </row>
    <row r="30828" spans="1:1" ht="12.75">
      <c r="A30828" s="2" t="s">
        <v>447</v>
      </c>
    </row>
    <row r="30829" spans="1:1" ht="12.75">
      <c r="A30829" s="2" t="s">
        <v>473</v>
      </c>
    </row>
    <row r="30830" spans="1:1" ht="12.75">
      <c r="A30830" s="2" t="s">
        <v>473</v>
      </c>
    </row>
    <row r="30831" spans="1:1" ht="12.75">
      <c r="A30831" s="2" t="s">
        <v>448</v>
      </c>
    </row>
    <row r="30832" spans="1:1" ht="12.75">
      <c r="A30832" s="2" t="s">
        <v>473</v>
      </c>
    </row>
    <row r="30833" spans="1:1" ht="12.75">
      <c r="A30833" s="2" t="s">
        <v>634</v>
      </c>
    </row>
    <row r="30834" spans="1:1" ht="12.75">
      <c r="A30834" s="2" t="s">
        <v>448</v>
      </c>
    </row>
    <row r="30835" spans="1:1" ht="12.75">
      <c r="A30835" s="2" t="s">
        <v>634</v>
      </c>
    </row>
    <row r="30836" spans="1:1" ht="12.75">
      <c r="A30836" s="2" t="s">
        <v>634</v>
      </c>
    </row>
    <row r="30837" spans="1:1" ht="12.75">
      <c r="A30837" s="2" t="s">
        <v>1053</v>
      </c>
    </row>
    <row r="30838" spans="1:1" ht="12.75">
      <c r="A30838" s="2" t="s">
        <v>847</v>
      </c>
    </row>
    <row r="30839" spans="1:1" ht="12.75">
      <c r="A30839" s="2" t="s">
        <v>1053</v>
      </c>
    </row>
    <row r="30840" spans="1:1" ht="12.75">
      <c r="A30840" s="2" t="s">
        <v>613</v>
      </c>
    </row>
    <row r="30841" spans="1:1" ht="12.75">
      <c r="A30841" s="2" t="s">
        <v>613</v>
      </c>
    </row>
    <row r="30842" spans="1:1" ht="12.75">
      <c r="A30842" s="2" t="s">
        <v>492</v>
      </c>
    </row>
    <row r="30843" spans="1:1" ht="12.75">
      <c r="A30843" s="2" t="s">
        <v>1169</v>
      </c>
    </row>
    <row r="30844" spans="1:1" ht="12.75">
      <c r="A30844" s="2" t="s">
        <v>492</v>
      </c>
    </row>
    <row r="30845" spans="1:1" ht="12.75">
      <c r="A30845" s="2" t="s">
        <v>443</v>
      </c>
    </row>
    <row r="30846" spans="1:1" ht="12.75">
      <c r="A30846" s="2" t="s">
        <v>613</v>
      </c>
    </row>
    <row r="30847" spans="1:1" ht="12.75">
      <c r="A30847" s="2" t="s">
        <v>492</v>
      </c>
    </row>
    <row r="30848" spans="1:1" ht="12.75">
      <c r="A30848" s="2" t="s">
        <v>492</v>
      </c>
    </row>
    <row r="30849" spans="1:1" ht="12.75">
      <c r="A30849" s="2" t="s">
        <v>483</v>
      </c>
    </row>
    <row r="30850" spans="1:1" ht="12.75">
      <c r="A30850" s="2" t="s">
        <v>1170</v>
      </c>
    </row>
    <row r="30851" spans="1:1" ht="12.75">
      <c r="A30851" s="2" t="s">
        <v>850</v>
      </c>
    </row>
    <row r="30852" spans="1:1" ht="12.75">
      <c r="A30852" s="2" t="s">
        <v>484</v>
      </c>
    </row>
    <row r="30853" spans="1:1" ht="12.75">
      <c r="A30853" s="2" t="s">
        <v>483</v>
      </c>
    </row>
    <row r="30854" spans="1:1" ht="12.75">
      <c r="A30854" s="2" t="s">
        <v>483</v>
      </c>
    </row>
    <row r="30855" spans="1:1" ht="12.75">
      <c r="A30855" s="2" t="s">
        <v>483</v>
      </c>
    </row>
    <row r="30856" spans="1:1" ht="12.75">
      <c r="A30856" s="2" t="s">
        <v>483</v>
      </c>
    </row>
    <row r="30857" spans="1:1" ht="12.75">
      <c r="A30857" s="2" t="s">
        <v>846</v>
      </c>
    </row>
    <row r="30858" spans="1:1" ht="12.75">
      <c r="A30858" s="2" t="s">
        <v>483</v>
      </c>
    </row>
    <row r="30859" spans="1:1" ht="12.75">
      <c r="A30859" s="2" t="s">
        <v>849</v>
      </c>
    </row>
    <row r="30860" spans="1:1" ht="12.75">
      <c r="A30860" s="2" t="s">
        <v>1166</v>
      </c>
    </row>
    <row r="30861" spans="1:1" ht="12.75">
      <c r="A30861" s="2" t="s">
        <v>1166</v>
      </c>
    </row>
    <row r="30862" spans="1:1" ht="12.75">
      <c r="A30862" s="2" t="s">
        <v>1166</v>
      </c>
    </row>
    <row r="30863" spans="1:1" ht="12.75">
      <c r="A30863" s="2" t="s">
        <v>1166</v>
      </c>
    </row>
    <row r="30864" spans="1:1" ht="12.75">
      <c r="A30864" s="2" t="s">
        <v>1166</v>
      </c>
    </row>
    <row r="30865" spans="1:1" ht="12.75">
      <c r="A30865" s="2" t="s">
        <v>1171</v>
      </c>
    </row>
    <row r="30866" spans="1:1" ht="12.75">
      <c r="A30866" s="2" t="s">
        <v>1172</v>
      </c>
    </row>
    <row r="30867" spans="1:1" ht="12.75">
      <c r="A30867" s="2" t="s">
        <v>438</v>
      </c>
    </row>
    <row r="30868" spans="1:1" ht="12.75">
      <c r="A30868" s="2" t="s">
        <v>439</v>
      </c>
    </row>
    <row r="30869" spans="1:1" ht="12.75">
      <c r="A30869" s="2" t="s">
        <v>439</v>
      </c>
    </row>
    <row r="30870" spans="1:1" ht="12.75">
      <c r="A30870" s="2" t="s">
        <v>440</v>
      </c>
    </row>
    <row r="30871" spans="1:1" ht="12.75">
      <c r="A30871" s="2" t="s">
        <v>853</v>
      </c>
    </row>
    <row r="30872" spans="1:1" ht="12.75">
      <c r="A30872" s="2" t="s">
        <v>1173</v>
      </c>
    </row>
    <row r="30873" spans="1:1" ht="12.75">
      <c r="A30873" s="2" t="s">
        <v>612</v>
      </c>
    </row>
    <row r="30874" spans="1:1" ht="12.75">
      <c r="A30874" s="2" t="s">
        <v>492</v>
      </c>
    </row>
    <row r="30875" spans="1:1" ht="12.75">
      <c r="A30875" s="2" t="s">
        <v>851</v>
      </c>
    </row>
    <row r="30876" spans="1:1" ht="12.75">
      <c r="A30876" s="2" t="s">
        <v>1059</v>
      </c>
    </row>
    <row r="30877" spans="1:1" ht="12.75">
      <c r="A30877" s="2" t="s">
        <v>845</v>
      </c>
    </row>
    <row r="30878" spans="1:1" ht="12.75">
      <c r="A30878" s="2" t="s">
        <v>852</v>
      </c>
    </row>
    <row r="30879" spans="1:1" ht="12.75">
      <c r="A30879" s="2" t="s">
        <v>1059</v>
      </c>
    </row>
    <row r="30880" spans="1:1" ht="12.75">
      <c r="A30880" s="2" t="s">
        <v>852</v>
      </c>
    </row>
    <row r="30881" spans="1:1" ht="12.75">
      <c r="A30881" s="2" t="s">
        <v>1174</v>
      </c>
    </row>
    <row r="30882" spans="1:1" ht="12.75">
      <c r="A30882" s="2" t="s">
        <v>1174</v>
      </c>
    </row>
    <row r="30883" spans="1:1" ht="12.75">
      <c r="A30883" s="2" t="s">
        <v>851</v>
      </c>
    </row>
    <row r="30884" spans="1:1" ht="12.75">
      <c r="A30884" s="2" t="s">
        <v>851</v>
      </c>
    </row>
    <row r="30885" spans="1:1" ht="12.75">
      <c r="A30885" s="2" t="s">
        <v>850</v>
      </c>
    </row>
    <row r="30886" spans="1:1" ht="12.75">
      <c r="A30886" s="2" t="s">
        <v>1059</v>
      </c>
    </row>
    <row r="30887" spans="1:1" ht="12.75">
      <c r="A30887" s="2" t="s">
        <v>849</v>
      </c>
    </row>
    <row r="30888" spans="1:1" ht="12.75">
      <c r="A30888" s="2" t="s">
        <v>849</v>
      </c>
    </row>
    <row r="30889" spans="1:1" ht="12.75">
      <c r="A30889" s="2" t="s">
        <v>1175</v>
      </c>
    </row>
    <row r="30890" spans="1:1" ht="12.75">
      <c r="A30890" s="2" t="s">
        <v>849</v>
      </c>
    </row>
    <row r="30891" spans="1:1" ht="12.75">
      <c r="A30891" s="2" t="s">
        <v>849</v>
      </c>
    </row>
    <row r="30892" spans="1:1" ht="12.75">
      <c r="A30892" s="2" t="s">
        <v>1176</v>
      </c>
    </row>
    <row r="30893" spans="1:1" ht="12.75">
      <c r="A30893" s="2" t="s">
        <v>849</v>
      </c>
    </row>
    <row r="30894" spans="1:1" ht="12.75">
      <c r="A30894" s="2" t="s">
        <v>849</v>
      </c>
    </row>
    <row r="30895" spans="1:1" ht="12.75">
      <c r="A30895" s="2" t="s">
        <v>849</v>
      </c>
    </row>
    <row r="30896" spans="1:1" ht="12.75">
      <c r="A30896" s="2" t="s">
        <v>849</v>
      </c>
    </row>
    <row r="30897" spans="1:1" ht="12.75">
      <c r="A30897" s="2" t="s">
        <v>615</v>
      </c>
    </row>
    <row r="30898" spans="1:1" ht="12.75">
      <c r="A30898" s="2" t="s">
        <v>615</v>
      </c>
    </row>
    <row r="30899" spans="1:1" ht="12.75">
      <c r="A30899" s="2" t="s">
        <v>447</v>
      </c>
    </row>
    <row r="30900" spans="1:1" ht="12.75">
      <c r="A30900" s="2" t="s">
        <v>634</v>
      </c>
    </row>
    <row r="30901" spans="1:1" ht="12.75">
      <c r="A30901" s="2" t="s">
        <v>634</v>
      </c>
    </row>
    <row r="30902" spans="1:1" ht="12.75">
      <c r="A30902" s="2" t="s">
        <v>447</v>
      </c>
    </row>
    <row r="30903" spans="1:1" ht="12.75">
      <c r="A30903" s="2" t="s">
        <v>448</v>
      </c>
    </row>
    <row r="30904" spans="1:1" ht="12.75">
      <c r="A30904" s="2" t="s">
        <v>448</v>
      </c>
    </row>
    <row r="30905" spans="1:1" ht="12.75">
      <c r="A30905" s="2" t="s">
        <v>448</v>
      </c>
    </row>
    <row r="30906" spans="1:1" ht="12.75">
      <c r="A30906" s="2" t="s">
        <v>446</v>
      </c>
    </row>
    <row r="30907" spans="1:1" ht="12.75">
      <c r="A30907" s="2" t="s">
        <v>473</v>
      </c>
    </row>
    <row r="30908" spans="1:1" ht="12.75">
      <c r="A30908" s="2" t="s">
        <v>473</v>
      </c>
    </row>
    <row r="30909" spans="1:1" ht="12.75">
      <c r="A30909" s="2" t="s">
        <v>446</v>
      </c>
    </row>
    <row r="30910" spans="1:1" ht="12.75">
      <c r="A30910" s="2" t="s">
        <v>446</v>
      </c>
    </row>
    <row r="30911" spans="1:1" ht="12.75">
      <c r="A30911" s="2" t="s">
        <v>446</v>
      </c>
    </row>
    <row r="30912" spans="1:1" ht="12.75">
      <c r="A30912" s="2" t="s">
        <v>446</v>
      </c>
    </row>
    <row r="30913" spans="1:1" ht="12.75">
      <c r="A30913" s="2" t="s">
        <v>446</v>
      </c>
    </row>
    <row r="30914" spans="1:1" ht="12.75">
      <c r="A30914" s="2" t="s">
        <v>448</v>
      </c>
    </row>
    <row r="30915" spans="1:1" ht="12.75">
      <c r="A30915" s="2" t="s">
        <v>615</v>
      </c>
    </row>
    <row r="30916" spans="1:1" ht="12.75">
      <c r="A30916" s="2" t="s">
        <v>615</v>
      </c>
    </row>
    <row r="30917" spans="1:1" ht="12.75">
      <c r="A30917" s="2" t="s">
        <v>448</v>
      </c>
    </row>
    <row r="30918" spans="1:1" ht="12.75">
      <c r="A30918" s="2" t="s">
        <v>448</v>
      </c>
    </row>
    <row r="30919" spans="1:1" ht="12.75">
      <c r="A30919" s="2" t="s">
        <v>450</v>
      </c>
    </row>
    <row r="30920" spans="1:1" ht="12.75">
      <c r="A30920" s="2" t="s">
        <v>450</v>
      </c>
    </row>
    <row r="30921" spans="1:1" ht="12.75">
      <c r="A30921" s="2" t="s">
        <v>450</v>
      </c>
    </row>
    <row r="30922" spans="1:1" ht="12.75">
      <c r="A30922" s="2" t="s">
        <v>473</v>
      </c>
    </row>
    <row r="30923" spans="1:1" ht="12.75">
      <c r="A30923" s="2" t="s">
        <v>473</v>
      </c>
    </row>
    <row r="30924" spans="1:1" ht="12.75">
      <c r="A30924" s="2" t="s">
        <v>473</v>
      </c>
    </row>
    <row r="30925" spans="1:1" ht="12.75">
      <c r="A30925" s="2" t="s">
        <v>615</v>
      </c>
    </row>
    <row r="30926" spans="1:1" ht="12.75">
      <c r="A30926" s="2" t="s">
        <v>615</v>
      </c>
    </row>
    <row r="30927" spans="1:1" ht="12.75">
      <c r="A30927" s="2" t="s">
        <v>819</v>
      </c>
    </row>
    <row r="30929" spans="1:1" ht="12.75">
      <c r="A30929" s="2" t="s">
        <v>825</v>
      </c>
    </row>
    <row r="30930" spans="1:1" ht="12.75">
      <c r="A30930" s="2" t="s">
        <v>1177</v>
      </c>
    </row>
    <row r="30931" spans="1:1" ht="12.75">
      <c r="A30931" s="2" t="s">
        <v>835</v>
      </c>
    </row>
    <row r="30932" spans="1:1" ht="12.75">
      <c r="A30932" s="2" t="s">
        <v>1177</v>
      </c>
    </row>
    <row r="30933" spans="1:1" ht="12.75">
      <c r="A30933" s="2" t="s">
        <v>819</v>
      </c>
    </row>
    <row r="30934" spans="1:1" ht="12.75">
      <c r="A30934" s="2" t="s">
        <v>819</v>
      </c>
    </row>
    <row r="30935" spans="1:1" ht="12.75">
      <c r="A30935" s="2" t="s">
        <v>821</v>
      </c>
    </row>
    <row r="30936" spans="1:1" ht="12.75">
      <c r="A30936" s="2" t="s">
        <v>821</v>
      </c>
    </row>
    <row r="30937" spans="1:1" ht="12.75">
      <c r="A30937" s="2" t="s">
        <v>825</v>
      </c>
    </row>
    <row r="30938" spans="1:1" ht="12.75">
      <c r="A30938" s="2" t="s">
        <v>825</v>
      </c>
    </row>
    <row r="30939" spans="1:1" ht="12.75">
      <c r="A30939" s="2" t="s">
        <v>819</v>
      </c>
    </row>
    <row r="30940" spans="1:1" ht="12.75">
      <c r="A30940" s="2" t="s">
        <v>819</v>
      </c>
    </row>
    <row r="30941" spans="1:1" ht="12.75">
      <c r="A30941" s="2" t="s">
        <v>821</v>
      </c>
    </row>
    <row r="30942" spans="1:1" ht="12.75">
      <c r="A30942" s="2" t="s">
        <v>825</v>
      </c>
    </row>
    <row r="30943" spans="1:1" ht="12.75">
      <c r="A30943" s="2" t="s">
        <v>825</v>
      </c>
    </row>
    <row r="30944" spans="1:1" ht="12.75">
      <c r="A30944" s="2" t="s">
        <v>820</v>
      </c>
    </row>
    <row r="30945" spans="1:1" ht="12.75">
      <c r="A30945" s="2" t="s">
        <v>820</v>
      </c>
    </row>
    <row r="30946" spans="1:1" ht="12.75">
      <c r="A30946" s="2" t="s">
        <v>854</v>
      </c>
    </row>
    <row r="30947" spans="1:1" ht="12.75">
      <c r="A30947" s="2" t="s">
        <v>1178</v>
      </c>
    </row>
    <row r="30948" spans="1:1" ht="12.75">
      <c r="A30948" s="2" t="s">
        <v>844</v>
      </c>
    </row>
    <row r="30949" spans="1:1" ht="12.75">
      <c r="A30949" s="2" t="s">
        <v>844</v>
      </c>
    </row>
    <row r="30950" spans="1:1" ht="12.75">
      <c r="A30950" s="2" t="s">
        <v>1179</v>
      </c>
    </row>
    <row r="30951" spans="1:1" ht="12.75">
      <c r="A30951" s="2" t="s">
        <v>819</v>
      </c>
    </row>
    <row r="30952" spans="1:1" ht="12.75">
      <c r="A30952" s="2" t="s">
        <v>825</v>
      </c>
    </row>
    <row r="30953" spans="1:1" ht="12.75">
      <c r="A30953" s="2" t="s">
        <v>836</v>
      </c>
    </row>
    <row r="30954" spans="1:1" ht="12.75">
      <c r="A30954" s="2" t="s">
        <v>836</v>
      </c>
    </row>
    <row r="30955" spans="1:1" ht="12.75">
      <c r="A30955" s="2" t="s">
        <v>836</v>
      </c>
    </row>
    <row r="30956" spans="1:1" ht="12.75">
      <c r="A30956" s="2" t="s">
        <v>819</v>
      </c>
    </row>
    <row r="30957" spans="1:1" ht="12.75">
      <c r="A30957" s="2" t="s">
        <v>821</v>
      </c>
    </row>
    <row r="30958" spans="1:1" ht="12.75">
      <c r="A30958" s="2" t="s">
        <v>819</v>
      </c>
    </row>
    <row r="30959" spans="1:1" ht="12.75">
      <c r="A30959" s="2" t="s">
        <v>819</v>
      </c>
    </row>
    <row r="30960" spans="1:1" ht="12.75">
      <c r="A30960" s="2" t="s">
        <v>821</v>
      </c>
    </row>
    <row r="30962" spans="1:1" ht="12.75">
      <c r="A30962" s="2" t="s">
        <v>1180</v>
      </c>
    </row>
    <row r="30963" spans="1:1" ht="12.75">
      <c r="A30963" s="2" t="s">
        <v>856</v>
      </c>
    </row>
    <row r="30964" spans="1:1" ht="12.75">
      <c r="A30964" s="2" t="s">
        <v>827</v>
      </c>
    </row>
    <row r="30965" spans="1:1" ht="12.75">
      <c r="A30965" s="2" t="s">
        <v>844</v>
      </c>
    </row>
    <row r="30966" spans="1:1" ht="12.75">
      <c r="A30966" s="2" t="s">
        <v>854</v>
      </c>
    </row>
    <row r="30967" spans="1:1" ht="12.75">
      <c r="A30967" s="2" t="s">
        <v>844</v>
      </c>
    </row>
    <row r="30968" spans="1:1" ht="12.75">
      <c r="A30968" s="2" t="s">
        <v>854</v>
      </c>
    </row>
    <row r="30969" spans="1:1" ht="12.75">
      <c r="A30969" s="2" t="s">
        <v>829</v>
      </c>
    </row>
    <row r="30970" spans="1:1" ht="12.75">
      <c r="A30970" s="2" t="s">
        <v>854</v>
      </c>
    </row>
    <row r="30971" spans="1:1" ht="12.75">
      <c r="A30971" s="2" t="s">
        <v>836</v>
      </c>
    </row>
    <row r="30972" spans="1:1" ht="12.75">
      <c r="A30972" s="2" t="s">
        <v>854</v>
      </c>
    </row>
    <row r="30973" spans="1:1" ht="12.75">
      <c r="A30973" s="2" t="s">
        <v>857</v>
      </c>
    </row>
    <row r="30974" spans="1:1" ht="12.75">
      <c r="A30974" s="2" t="s">
        <v>827</v>
      </c>
    </row>
    <row r="30975" spans="1:1" ht="12.75">
      <c r="A30975" s="2" t="s">
        <v>854</v>
      </c>
    </row>
    <row r="30976" spans="1:1" ht="12.75">
      <c r="A30976" s="2" t="s">
        <v>844</v>
      </c>
    </row>
    <row r="30977" spans="1:1" ht="12.75">
      <c r="A30977" s="2" t="s">
        <v>858</v>
      </c>
    </row>
    <row r="30978" spans="1:1" ht="12.75">
      <c r="A30978" s="2" t="s">
        <v>844</v>
      </c>
    </row>
    <row r="30979" spans="1:1" ht="12.75">
      <c r="A30979" s="2" t="s">
        <v>844</v>
      </c>
    </row>
    <row r="30980" spans="1:1" ht="12.75">
      <c r="A30980" s="2" t="s">
        <v>825</v>
      </c>
    </row>
    <row r="30981" spans="1:1" ht="12.75">
      <c r="A30981" s="2" t="s">
        <v>844</v>
      </c>
    </row>
    <row r="30982" spans="1:1" ht="12.75">
      <c r="A30982" s="2" t="s">
        <v>857</v>
      </c>
    </row>
    <row r="30983" spans="1:1" ht="12.75">
      <c r="A30983" s="2" t="s">
        <v>821</v>
      </c>
    </row>
    <row r="30984" spans="1:1" ht="12.75">
      <c r="A30984" s="2" t="s">
        <v>825</v>
      </c>
    </row>
    <row r="30985" spans="1:1" ht="12.75">
      <c r="A30985" s="2" t="s">
        <v>819</v>
      </c>
    </row>
    <row r="30986" spans="1:1" ht="12.75">
      <c r="A30986" s="2" t="s">
        <v>858</v>
      </c>
    </row>
    <row r="30987" spans="1:1" ht="12.75">
      <c r="A30987" s="2" t="s">
        <v>819</v>
      </c>
    </row>
    <row r="30988" spans="1:1" ht="12.75">
      <c r="A30988" s="2" t="s">
        <v>829</v>
      </c>
    </row>
    <row r="30989" spans="1:1" ht="12.75">
      <c r="A30989" s="2" t="s">
        <v>836</v>
      </c>
    </row>
    <row r="30990" spans="1:1" ht="12.75">
      <c r="A30990" s="2" t="s">
        <v>826</v>
      </c>
    </row>
    <row r="30991" spans="1:1" ht="12.75">
      <c r="A30991" s="2" t="s">
        <v>834</v>
      </c>
    </row>
    <row r="30992" spans="1:1" ht="12.75">
      <c r="A30992" s="2" t="s">
        <v>854</v>
      </c>
    </row>
    <row r="30993" spans="1:1" ht="12.75">
      <c r="A30993" s="2" t="s">
        <v>821</v>
      </c>
    </row>
    <row r="30994" spans="1:1" ht="12.75">
      <c r="A30994" s="2" t="s">
        <v>821</v>
      </c>
    </row>
    <row r="30995" spans="1:1" ht="12.75">
      <c r="A30995" s="2" t="s">
        <v>836</v>
      </c>
    </row>
    <row r="30996" spans="1:1" ht="12.75">
      <c r="A30996" s="2" t="s">
        <v>836</v>
      </c>
    </row>
    <row r="30997" spans="1:1" ht="12.75">
      <c r="A30997" s="2" t="s">
        <v>824</v>
      </c>
    </row>
    <row r="30998" spans="1:1" ht="12.75">
      <c r="A30998" s="2" t="s">
        <v>825</v>
      </c>
    </row>
    <row r="30999" spans="1:1" ht="12.75">
      <c r="A30999" s="2" t="s">
        <v>829</v>
      </c>
    </row>
    <row r="31000" spans="1:1" ht="12.75">
      <c r="A31000" s="2" t="s">
        <v>825</v>
      </c>
    </row>
    <row r="31001" spans="1:1" ht="12.75">
      <c r="A31001" s="2" t="s">
        <v>920</v>
      </c>
    </row>
    <row r="31002" spans="1:1" ht="12.75">
      <c r="A31002" s="2" t="s">
        <v>819</v>
      </c>
    </row>
    <row r="31003" spans="1:1" ht="12.75">
      <c r="A31003" s="2" t="s">
        <v>829</v>
      </c>
    </row>
    <row r="31004" spans="1:1" ht="12.75">
      <c r="A31004" s="2" t="s">
        <v>821</v>
      </c>
    </row>
    <row r="31005" spans="1:1" ht="12.75">
      <c r="A31005" s="2" t="s">
        <v>920</v>
      </c>
    </row>
    <row r="31006" spans="1:1" ht="12.75">
      <c r="A31006" s="2" t="s">
        <v>825</v>
      </c>
    </row>
    <row r="31007" spans="1:1" ht="12.75">
      <c r="A31007" s="2" t="s">
        <v>821</v>
      </c>
    </row>
    <row r="31008" spans="1:1" ht="12.75">
      <c r="A31008" s="2" t="s">
        <v>825</v>
      </c>
    </row>
    <row r="31009" spans="1:1" ht="12.75">
      <c r="A31009" s="2" t="s">
        <v>1179</v>
      </c>
    </row>
    <row r="31010" spans="1:1" ht="12.75">
      <c r="A31010" s="2" t="s">
        <v>1181</v>
      </c>
    </row>
    <row r="31011" spans="1:1" ht="12.75">
      <c r="A31011" s="2" t="s">
        <v>1179</v>
      </c>
    </row>
    <row r="31012" spans="1:1" ht="12.75">
      <c r="A31012" s="2" t="s">
        <v>819</v>
      </c>
    </row>
    <row r="31013" spans="1:1" ht="12.75">
      <c r="A31013" s="2" t="s">
        <v>825</v>
      </c>
    </row>
    <row r="31014" spans="1:1" ht="12.75">
      <c r="A31014" s="2" t="s">
        <v>819</v>
      </c>
    </row>
    <row r="31015" spans="1:1" ht="12.75">
      <c r="A31015" s="2" t="s">
        <v>821</v>
      </c>
    </row>
    <row r="31016" spans="1:1" ht="12.75">
      <c r="A31016" s="2" t="s">
        <v>821</v>
      </c>
    </row>
    <row r="31017" spans="1:1" ht="12.75">
      <c r="A31017" s="2" t="s">
        <v>836</v>
      </c>
    </row>
    <row r="31018" spans="1:1" ht="12.75">
      <c r="A31018" s="2" t="s">
        <v>836</v>
      </c>
    </row>
    <row r="31019" spans="1:1" ht="12.75">
      <c r="A31019" s="2" t="s">
        <v>821</v>
      </c>
    </row>
    <row r="31020" spans="1:1" ht="12.75">
      <c r="A31020" s="2" t="s">
        <v>836</v>
      </c>
    </row>
    <row r="31021" spans="1:1" ht="12.75">
      <c r="A31021" s="2" t="s">
        <v>819</v>
      </c>
    </row>
    <row r="31022" spans="1:1" ht="12.75">
      <c r="A31022" s="2" t="s">
        <v>836</v>
      </c>
    </row>
    <row r="31023" spans="1:1" ht="12.75">
      <c r="A31023" s="2" t="s">
        <v>829</v>
      </c>
    </row>
    <row r="31024" spans="1:1" ht="12.75">
      <c r="A31024" s="2" t="s">
        <v>821</v>
      </c>
    </row>
    <row r="31025" spans="1:1" ht="12.75">
      <c r="A31025" s="2" t="s">
        <v>819</v>
      </c>
    </row>
    <row r="31026" spans="1:1" ht="12.75">
      <c r="A31026" s="2" t="s">
        <v>829</v>
      </c>
    </row>
    <row r="31027" spans="1:1" ht="12.75">
      <c r="A31027" s="2" t="s">
        <v>836</v>
      </c>
    </row>
    <row r="31028" spans="1:1" ht="12.75">
      <c r="A31028" s="2" t="s">
        <v>829</v>
      </c>
    </row>
    <row r="31029" spans="1:1" ht="12.75">
      <c r="A31029" s="2" t="s">
        <v>824</v>
      </c>
    </row>
    <row r="31030" spans="1:1" ht="12.75">
      <c r="A31030" s="2" t="s">
        <v>920</v>
      </c>
    </row>
    <row r="31031" spans="1:1" ht="12.75">
      <c r="A31031" s="2" t="s">
        <v>825</v>
      </c>
    </row>
    <row r="31032" spans="1:1" ht="12.75">
      <c r="A31032" s="2" t="s">
        <v>836</v>
      </c>
    </row>
    <row r="31033" spans="1:1" ht="12.75">
      <c r="A31033" s="2" t="s">
        <v>825</v>
      </c>
    </row>
    <row r="31034" spans="1:1" ht="12.75">
      <c r="A31034" s="2" t="s">
        <v>836</v>
      </c>
    </row>
    <row r="31035" spans="1:1" ht="12.75">
      <c r="A31035" s="2" t="s">
        <v>821</v>
      </c>
    </row>
    <row r="31036" spans="1:1" ht="12.75">
      <c r="A31036" s="2" t="s">
        <v>819</v>
      </c>
    </row>
    <row r="31037" spans="1:1" ht="12.75">
      <c r="A31037" s="2" t="s">
        <v>1179</v>
      </c>
    </row>
    <row r="31038" spans="1:1" ht="12.75">
      <c r="A31038" s="2" t="s">
        <v>921</v>
      </c>
    </row>
    <row r="31039" spans="1:1" ht="12.75">
      <c r="A31039" s="2" t="s">
        <v>836</v>
      </c>
    </row>
    <row r="31040" spans="1:1" ht="12.75">
      <c r="A31040" s="2" t="s">
        <v>826</v>
      </c>
    </row>
    <row r="31041" spans="1:1" ht="12.75">
      <c r="A31041" s="2" t="s">
        <v>820</v>
      </c>
    </row>
    <row r="31042" spans="1:1" ht="12.75">
      <c r="A31042" s="2" t="s">
        <v>820</v>
      </c>
    </row>
    <row r="31043" spans="1:1" ht="12.75">
      <c r="A31043" s="2" t="s">
        <v>836</v>
      </c>
    </row>
    <row r="31044" spans="1:1" ht="12.75">
      <c r="A31044" s="2" t="s">
        <v>820</v>
      </c>
    </row>
    <row r="31045" spans="1:1" ht="12.75">
      <c r="A31045" s="2" t="s">
        <v>836</v>
      </c>
    </row>
    <row r="31046" spans="1:1" ht="12.75">
      <c r="A31046" s="2" t="s">
        <v>820</v>
      </c>
    </row>
    <row r="31047" spans="1:1" ht="12.75">
      <c r="A31047" s="2" t="s">
        <v>829</v>
      </c>
    </row>
    <row r="31048" spans="1:1" ht="12.75">
      <c r="A31048" s="2" t="s">
        <v>829</v>
      </c>
    </row>
    <row r="31049" spans="1:1" ht="12.75">
      <c r="A31049" s="2" t="s">
        <v>829</v>
      </c>
    </row>
    <row r="31050" spans="1:1" ht="12.75">
      <c r="A31050" s="2" t="s">
        <v>829</v>
      </c>
    </row>
    <row r="31051" spans="1:1" ht="12.75">
      <c r="A31051" s="2" t="s">
        <v>662</v>
      </c>
    </row>
    <row r="31052" spans="1:1" ht="12.75">
      <c r="A31052" s="2" t="s">
        <v>829</v>
      </c>
    </row>
    <row r="31053" spans="1:1" ht="12.75">
      <c r="A31053" s="2" t="s">
        <v>821</v>
      </c>
    </row>
    <row r="31054" spans="1:1" ht="12.75">
      <c r="A31054" s="2" t="s">
        <v>829</v>
      </c>
    </row>
    <row r="31055" spans="1:1" ht="12.75">
      <c r="A31055" s="2" t="s">
        <v>825</v>
      </c>
    </row>
    <row r="31056" spans="1:1" ht="12.75">
      <c r="A31056" s="2" t="s">
        <v>1182</v>
      </c>
    </row>
    <row r="31057" spans="1:1" ht="12.75">
      <c r="A31057" s="2" t="s">
        <v>849</v>
      </c>
    </row>
    <row r="31058" spans="1:1" ht="12.75">
      <c r="A31058" s="2" t="s">
        <v>849</v>
      </c>
    </row>
    <row r="31059" spans="1:1" ht="12.75">
      <c r="A31059" s="2" t="s">
        <v>845</v>
      </c>
    </row>
    <row r="31060" spans="1:1" ht="12.75">
      <c r="A31060" s="2" t="s">
        <v>845</v>
      </c>
    </row>
    <row r="31061" spans="1:1" ht="12.75">
      <c r="A31061" s="2" t="s">
        <v>845</v>
      </c>
    </row>
    <row r="31062" spans="1:1" ht="12.75">
      <c r="A31062" s="2" t="s">
        <v>845</v>
      </c>
    </row>
    <row r="31063" spans="1:1" ht="12.75">
      <c r="A31063" s="2" t="s">
        <v>845</v>
      </c>
    </row>
    <row r="31064" spans="1:1" ht="12.75">
      <c r="A31064" s="2" t="s">
        <v>845</v>
      </c>
    </row>
    <row r="31065" spans="1:1" ht="12.75">
      <c r="A31065" s="2" t="s">
        <v>845</v>
      </c>
    </row>
    <row r="31066" spans="1:1" ht="12.75">
      <c r="A31066" s="2" t="s">
        <v>845</v>
      </c>
    </row>
    <row r="31067" spans="1:1" ht="12.75">
      <c r="A31067" s="2" t="s">
        <v>845</v>
      </c>
    </row>
    <row r="31068" spans="1:1" ht="12.75">
      <c r="A31068" s="2" t="s">
        <v>845</v>
      </c>
    </row>
    <row r="31069" spans="1:1" ht="12.75">
      <c r="A31069" s="2" t="s">
        <v>849</v>
      </c>
    </row>
    <row r="31070" spans="1:1" ht="12.75">
      <c r="A31070" s="2" t="s">
        <v>849</v>
      </c>
    </row>
    <row r="31071" spans="1:1" ht="12.75">
      <c r="A31071" s="2" t="s">
        <v>849</v>
      </c>
    </row>
    <row r="31072" spans="1:1" ht="12.75">
      <c r="A31072" s="2" t="s">
        <v>849</v>
      </c>
    </row>
    <row r="31073" spans="1:1" ht="12.75">
      <c r="A31073" s="2" t="s">
        <v>849</v>
      </c>
    </row>
    <row r="31074" spans="1:1" ht="12.75">
      <c r="A31074" s="2" t="s">
        <v>849</v>
      </c>
    </row>
    <row r="31075" spans="1:1" ht="12.75">
      <c r="A31075" s="2" t="s">
        <v>849</v>
      </c>
    </row>
    <row r="31076" spans="1:1" ht="12.75">
      <c r="A31076" s="2" t="s">
        <v>849</v>
      </c>
    </row>
    <row r="31077" spans="1:1" ht="12.75">
      <c r="A31077" s="2" t="s">
        <v>849</v>
      </c>
    </row>
    <row r="31078" spans="1:1" ht="12.75">
      <c r="A31078" s="2" t="s">
        <v>849</v>
      </c>
    </row>
    <row r="31079" spans="1:1" ht="12.75">
      <c r="A31079" s="2" t="s">
        <v>849</v>
      </c>
    </row>
    <row r="31080" spans="1:1" ht="12.75">
      <c r="A31080" s="2" t="s">
        <v>849</v>
      </c>
    </row>
    <row r="31081" spans="1:1" ht="12.75">
      <c r="A31081" s="2" t="s">
        <v>1183</v>
      </c>
    </row>
    <row r="31082" spans="1:1" ht="12.75">
      <c r="A31082" s="2" t="s">
        <v>1183</v>
      </c>
    </row>
    <row r="31085" spans="1:1" ht="12.75">
      <c r="A31085" s="2" t="s">
        <v>849</v>
      </c>
    </row>
    <row r="31086" spans="1:1" ht="12.75">
      <c r="A31086" s="2" t="s">
        <v>849</v>
      </c>
    </row>
    <row r="31097" spans="1:1" ht="12.75">
      <c r="A31097" s="2" t="s">
        <v>1184</v>
      </c>
    </row>
    <row r="31099" spans="1:1" ht="12.75">
      <c r="A31099" s="2" t="s">
        <v>1185</v>
      </c>
    </row>
    <row r="31100" spans="1:1" ht="12.75">
      <c r="A31100" s="2" t="s">
        <v>1185</v>
      </c>
    </row>
    <row r="31101" spans="1:1" ht="12.75">
      <c r="A31101" s="2" t="s">
        <v>1185</v>
      </c>
    </row>
    <row r="31102" spans="1:1" ht="12.75">
      <c r="A31102" s="2" t="s">
        <v>1185</v>
      </c>
    </row>
    <row r="31103" spans="1:1" ht="12.75">
      <c r="A31103" s="2" t="s">
        <v>1185</v>
      </c>
    </row>
    <row r="31104" spans="1:1" ht="12.75">
      <c r="A31104" s="2" t="s">
        <v>358</v>
      </c>
    </row>
    <row r="31105" spans="1:1" ht="12.75">
      <c r="A31105" s="2" t="s">
        <v>358</v>
      </c>
    </row>
    <row r="31106" spans="1:1" ht="12.75">
      <c r="A31106" s="2" t="s">
        <v>358</v>
      </c>
    </row>
    <row r="31107" spans="1:1" ht="12.75">
      <c r="A31107" s="2" t="s">
        <v>1185</v>
      </c>
    </row>
    <row r="31108" spans="1:1" ht="12.75">
      <c r="A31108" s="2" t="s">
        <v>1185</v>
      </c>
    </row>
    <row r="31109" spans="1:1" ht="12.75">
      <c r="A31109" s="2" t="s">
        <v>1185</v>
      </c>
    </row>
    <row r="31110" spans="1:1" ht="12.75">
      <c r="A31110" s="2" t="s">
        <v>1185</v>
      </c>
    </row>
    <row r="31111" spans="1:1" ht="12.75">
      <c r="A31111" s="2" t="s">
        <v>1185</v>
      </c>
    </row>
    <row r="31112" spans="1:1" ht="12.75">
      <c r="A31112" s="2" t="s">
        <v>1185</v>
      </c>
    </row>
    <row r="31113" spans="1:1" ht="12.75">
      <c r="A31113" s="2" t="s">
        <v>1185</v>
      </c>
    </row>
    <row r="31114" spans="1:1" ht="12.75">
      <c r="A31114" s="2" t="s">
        <v>1184</v>
      </c>
    </row>
    <row r="31115" spans="1:1" ht="12.75">
      <c r="A31115" s="2" t="s">
        <v>1185</v>
      </c>
    </row>
    <row r="31116" spans="1:1" ht="12.75">
      <c r="A31116" s="2" t="s">
        <v>1186</v>
      </c>
    </row>
    <row r="31117" spans="1:1" ht="12.75">
      <c r="A31117" s="2" t="s">
        <v>1187</v>
      </c>
    </row>
    <row r="31118" spans="1:1" ht="12.75">
      <c r="A31118" s="2" t="s">
        <v>1187</v>
      </c>
    </row>
    <row r="31120" spans="1:1" ht="12.75">
      <c r="A31120" s="2" t="s">
        <v>155</v>
      </c>
    </row>
    <row r="31123" spans="1:1" ht="12.75">
      <c r="A31123" s="2" t="s">
        <v>155</v>
      </c>
    </row>
    <row r="31124" spans="1:1" ht="12.75">
      <c r="A31124" s="2" t="s">
        <v>155</v>
      </c>
    </row>
    <row r="31125" spans="1:1" ht="12.75">
      <c r="A31125" s="2" t="s">
        <v>400</v>
      </c>
    </row>
    <row r="31126" spans="1:1" ht="12.75">
      <c r="A31126" s="2" t="s">
        <v>400</v>
      </c>
    </row>
    <row r="31127" spans="1:1" ht="12.75">
      <c r="A31127" s="2" t="s">
        <v>400</v>
      </c>
    </row>
    <row r="31128" spans="1:1" ht="12.75">
      <c r="A31128" s="2" t="s">
        <v>400</v>
      </c>
    </row>
    <row r="31129" spans="1:1" ht="12.75">
      <c r="A31129" s="2" t="s">
        <v>400</v>
      </c>
    </row>
    <row r="31130" spans="1:1" ht="12.75">
      <c r="A31130" s="2" t="s">
        <v>1188</v>
      </c>
    </row>
    <row r="31135" spans="1:1" ht="12.75">
      <c r="A31135" s="2" t="s">
        <v>1189</v>
      </c>
    </row>
    <row r="31136" spans="1:1" ht="12.75">
      <c r="A31136" s="2" t="s">
        <v>578</v>
      </c>
    </row>
    <row r="31137" spans="1:1" ht="12.75">
      <c r="A31137" s="2" t="s">
        <v>578</v>
      </c>
    </row>
    <row r="31138" spans="1:1" ht="12.75">
      <c r="A31138" s="2" t="s">
        <v>578</v>
      </c>
    </row>
    <row r="31139" spans="1:1" ht="12.75">
      <c r="A31139" s="2" t="s">
        <v>578</v>
      </c>
    </row>
    <row r="31140" spans="1:1" ht="12.75">
      <c r="A31140" s="2" t="s">
        <v>578</v>
      </c>
    </row>
    <row r="31143" spans="1:1" ht="12.75">
      <c r="A31143" s="2" t="s">
        <v>388</v>
      </c>
    </row>
    <row r="31144" spans="1:1" ht="12.75">
      <c r="A31144" s="2" t="s">
        <v>388</v>
      </c>
    </row>
    <row r="31145" spans="1:1" ht="12.75">
      <c r="A31145" s="2" t="s">
        <v>388</v>
      </c>
    </row>
    <row r="31146" spans="1:1" ht="12.75">
      <c r="A31146" s="2" t="s">
        <v>388</v>
      </c>
    </row>
    <row r="31147" spans="1:1" ht="12.75">
      <c r="A31147" s="2" t="s">
        <v>388</v>
      </c>
    </row>
    <row r="31148" spans="1:1" ht="12.75">
      <c r="A31148" s="2" t="s">
        <v>388</v>
      </c>
    </row>
    <row r="31149" spans="1:1" ht="12.75">
      <c r="A31149" s="2" t="s">
        <v>388</v>
      </c>
    </row>
    <row r="31150" spans="1:1" ht="12.75">
      <c r="A31150" s="2" t="s">
        <v>388</v>
      </c>
    </row>
    <row r="31151" spans="1:1" ht="12.75">
      <c r="A31151" s="2" t="s">
        <v>1190</v>
      </c>
    </row>
    <row r="31153" spans="1:1" ht="12.75">
      <c r="A31153" s="2" t="s">
        <v>222</v>
      </c>
    </row>
    <row r="31154" spans="1:1" ht="12.75">
      <c r="A31154" s="2" t="s">
        <v>222</v>
      </c>
    </row>
    <row r="31155" spans="1:1" ht="12.75">
      <c r="A31155" s="2" t="s">
        <v>222</v>
      </c>
    </row>
    <row r="31156" spans="1:1" ht="12.75">
      <c r="A31156" s="2" t="s">
        <v>222</v>
      </c>
    </row>
    <row r="31157" spans="1:1" ht="12.75">
      <c r="A31157" s="2" t="s">
        <v>222</v>
      </c>
    </row>
    <row r="31158" spans="1:1" ht="12.75">
      <c r="A31158" s="2" t="s">
        <v>222</v>
      </c>
    </row>
    <row r="31159" spans="1:1" ht="12.75">
      <c r="A31159" s="2" t="s">
        <v>222</v>
      </c>
    </row>
    <row r="31160" spans="1:1" ht="12.75">
      <c r="A31160" s="2" t="s">
        <v>222</v>
      </c>
    </row>
    <row r="31161" spans="1:1" ht="12.75">
      <c r="A31161" s="2" t="s">
        <v>222</v>
      </c>
    </row>
    <row r="31162" spans="1:1" ht="12.75">
      <c r="A31162" s="2" t="s">
        <v>222</v>
      </c>
    </row>
    <row r="31163" spans="1:1" ht="12.75">
      <c r="A31163" s="2" t="s">
        <v>222</v>
      </c>
    </row>
    <row r="31164" spans="1:1" ht="12.75">
      <c r="A31164" s="2" t="s">
        <v>222</v>
      </c>
    </row>
    <row r="31165" spans="1:1" ht="12.75">
      <c r="A31165" s="2" t="s">
        <v>222</v>
      </c>
    </row>
    <row r="31166" spans="1:1" ht="12.75">
      <c r="A31166" s="2" t="s">
        <v>222</v>
      </c>
    </row>
    <row r="31167" spans="1:1" ht="12.75">
      <c r="A31167" s="2" t="s">
        <v>222</v>
      </c>
    </row>
    <row r="31168" spans="1:1" ht="12.75">
      <c r="A31168" s="2" t="s">
        <v>222</v>
      </c>
    </row>
    <row r="31169" spans="1:1" ht="12.75">
      <c r="A31169" s="2" t="s">
        <v>875</v>
      </c>
    </row>
    <row r="31170" spans="1:1" ht="12.75">
      <c r="A31170" s="2" t="s">
        <v>222</v>
      </c>
    </row>
    <row r="31171" spans="1:1" ht="12.75">
      <c r="A31171" s="2" t="s">
        <v>222</v>
      </c>
    </row>
    <row r="31172" spans="1:1" ht="12.75">
      <c r="A31172" s="2" t="s">
        <v>222</v>
      </c>
    </row>
    <row r="31173" spans="1:1" ht="12.75">
      <c r="A31173" s="2" t="s">
        <v>1191</v>
      </c>
    </row>
    <row r="31174" spans="1:1" ht="12.75">
      <c r="A31174" s="2" t="s">
        <v>1192</v>
      </c>
    </row>
    <row r="31175" spans="1:1" ht="12.75">
      <c r="A31175" s="2" t="s">
        <v>1193</v>
      </c>
    </row>
    <row r="31176" spans="1:1" ht="12.75">
      <c r="A31176" s="2" t="s">
        <v>1194</v>
      </c>
    </row>
    <row r="31177" spans="1:1" ht="12.75">
      <c r="A31177" s="2" t="s">
        <v>1193</v>
      </c>
    </row>
    <row r="31178" spans="1:1" ht="12.75">
      <c r="A31178" s="2" t="s">
        <v>1194</v>
      </c>
    </row>
    <row r="31179" spans="1:1" ht="12.75">
      <c r="A31179" s="2" t="s">
        <v>1195</v>
      </c>
    </row>
    <row r="31180" spans="1:1" ht="12.75">
      <c r="A31180" s="2" t="s">
        <v>1194</v>
      </c>
    </row>
    <row r="31181" spans="1:1" ht="12.75">
      <c r="A31181" s="2" t="s">
        <v>1196</v>
      </c>
    </row>
    <row r="31182" spans="1:1" ht="12.75">
      <c r="A31182" s="2" t="s">
        <v>1191</v>
      </c>
    </row>
    <row r="31183" spans="1:1" ht="12.75">
      <c r="A31183" s="2" t="s">
        <v>1193</v>
      </c>
    </row>
    <row r="31184" spans="1:1" ht="12.75">
      <c r="A31184" s="2" t="s">
        <v>1197</v>
      </c>
    </row>
    <row r="31186" spans="1:1" ht="12.75">
      <c r="A31186" s="2" t="s">
        <v>1198</v>
      </c>
    </row>
    <row r="31187" spans="1:1" ht="12.75">
      <c r="A31187" s="2" t="s">
        <v>1193</v>
      </c>
    </row>
    <row r="31188" spans="1:1" ht="12.75">
      <c r="A31188" s="2" t="s">
        <v>1193</v>
      </c>
    </row>
    <row r="31189" spans="1:1" ht="12.75">
      <c r="A31189" s="2" t="s">
        <v>1195</v>
      </c>
    </row>
    <row r="31190" spans="1:1" ht="12.75">
      <c r="A31190" s="2" t="s">
        <v>1195</v>
      </c>
    </row>
    <row r="31191" spans="1:1" ht="12.75">
      <c r="A31191" s="2" t="s">
        <v>1195</v>
      </c>
    </row>
    <row r="31192" spans="1:1" ht="12.75">
      <c r="A31192" s="2" t="s">
        <v>1192</v>
      </c>
    </row>
    <row r="31194" spans="1:1" ht="12.75">
      <c r="A31194" s="2" t="s">
        <v>153</v>
      </c>
    </row>
    <row r="31196" spans="1:1" ht="12.75">
      <c r="A31196" s="2" t="s">
        <v>153</v>
      </c>
    </row>
    <row r="31197" spans="1:1" ht="12.75">
      <c r="A31197" s="2" t="s">
        <v>153</v>
      </c>
    </row>
    <row r="31198" spans="1:1" ht="12.75">
      <c r="A31198" s="2" t="s">
        <v>153</v>
      </c>
    </row>
    <row r="31201" spans="1:1" ht="12.75">
      <c r="A31201" s="2" t="s">
        <v>1199</v>
      </c>
    </row>
    <row r="31202" spans="1:1" ht="12.75">
      <c r="A31202" s="2" t="s">
        <v>1118</v>
      </c>
    </row>
    <row r="31203" spans="1:1" ht="12.75">
      <c r="A31203" s="2" t="s">
        <v>1118</v>
      </c>
    </row>
    <row r="31204" spans="1:1" ht="12.75">
      <c r="A31204" s="2" t="s">
        <v>1118</v>
      </c>
    </row>
    <row r="31205" spans="1:1" ht="12.75">
      <c r="A31205" s="2" t="s">
        <v>1118</v>
      </c>
    </row>
    <row r="31206" spans="1:1" ht="12.75">
      <c r="A31206" s="2" t="s">
        <v>244</v>
      </c>
    </row>
    <row r="31207" spans="1:1" ht="12.75">
      <c r="A31207" s="2" t="s">
        <v>245</v>
      </c>
    </row>
    <row r="31208" spans="1:1" ht="12.75">
      <c r="A31208" s="2" t="s">
        <v>245</v>
      </c>
    </row>
    <row r="31209" spans="1:1" ht="12.75">
      <c r="A31209" s="2" t="s">
        <v>245</v>
      </c>
    </row>
    <row r="31210" spans="1:1" ht="12.75">
      <c r="A31210" s="2" t="s">
        <v>1200</v>
      </c>
    </row>
    <row r="31211" spans="1:1" ht="12.75">
      <c r="A31211" s="2" t="s">
        <v>245</v>
      </c>
    </row>
    <row r="31212" spans="1:1" ht="12.75">
      <c r="A31212" s="2" t="s">
        <v>244</v>
      </c>
    </row>
    <row r="31213" spans="1:1" ht="12.75">
      <c r="A31213" s="2" t="s">
        <v>245</v>
      </c>
    </row>
    <row r="31214" spans="1:1" ht="12.75">
      <c r="A31214" s="2" t="s">
        <v>244</v>
      </c>
    </row>
    <row r="31215" spans="1:1" ht="12.75">
      <c r="A31215" s="2" t="s">
        <v>245</v>
      </c>
    </row>
    <row r="31216" spans="1:1" ht="12.75">
      <c r="A31216" s="2" t="s">
        <v>245</v>
      </c>
    </row>
    <row r="31217" spans="1:1" ht="12.75">
      <c r="A31217" s="2" t="s">
        <v>245</v>
      </c>
    </row>
    <row r="31218" spans="1:1" ht="12.75">
      <c r="A31218" s="2" t="s">
        <v>245</v>
      </c>
    </row>
    <row r="31219" spans="1:1" ht="12.75">
      <c r="A31219" s="2" t="s">
        <v>244</v>
      </c>
    </row>
    <row r="31220" spans="1:1" ht="12.75">
      <c r="A31220" s="2" t="s">
        <v>1200</v>
      </c>
    </row>
    <row r="31221" spans="1:1" ht="12.75">
      <c r="A31221" s="2" t="s">
        <v>245</v>
      </c>
    </row>
    <row r="31222" spans="1:1" ht="12.75">
      <c r="A31222" s="2" t="s">
        <v>244</v>
      </c>
    </row>
    <row r="31223" spans="1:1" ht="12.75">
      <c r="A31223" s="2" t="s">
        <v>245</v>
      </c>
    </row>
    <row r="31224" spans="1:1" ht="12.75">
      <c r="A31224" s="2" t="s">
        <v>244</v>
      </c>
    </row>
    <row r="31225" spans="1:1" ht="12.75">
      <c r="A31225" s="2" t="s">
        <v>245</v>
      </c>
    </row>
    <row r="31226" spans="1:1" ht="12.75">
      <c r="A31226" s="2" t="s">
        <v>1200</v>
      </c>
    </row>
    <row r="31227" spans="1:1" ht="12.75">
      <c r="A31227" s="2" t="s">
        <v>245</v>
      </c>
    </row>
    <row r="31228" spans="1:1" ht="12.75">
      <c r="A31228" s="2" t="s">
        <v>245</v>
      </c>
    </row>
    <row r="31229" spans="1:1" ht="12.75">
      <c r="A31229" s="2" t="s">
        <v>245</v>
      </c>
    </row>
    <row r="31230" spans="1:1" ht="12.75">
      <c r="A31230" s="2" t="s">
        <v>245</v>
      </c>
    </row>
    <row r="31231" spans="1:1" ht="12.75">
      <c r="A31231" s="2" t="s">
        <v>245</v>
      </c>
    </row>
    <row r="31232" spans="1:1" ht="12.75">
      <c r="A31232" s="2" t="s">
        <v>533</v>
      </c>
    </row>
    <row r="31233" spans="1:1" ht="12.75">
      <c r="A31233" s="2" t="s">
        <v>245</v>
      </c>
    </row>
    <row r="31234" spans="1:1" ht="12.75">
      <c r="A31234" s="2" t="s">
        <v>533</v>
      </c>
    </row>
    <row r="31235" spans="1:1" ht="12.75">
      <c r="A31235" s="2" t="s">
        <v>533</v>
      </c>
    </row>
    <row r="31236" spans="1:1" ht="12.75">
      <c r="A31236" s="2" t="s">
        <v>1200</v>
      </c>
    </row>
    <row r="31237" spans="1:1" ht="12.75">
      <c r="A31237" s="2" t="s">
        <v>244</v>
      </c>
    </row>
    <row r="31238" spans="1:1" ht="12.75">
      <c r="A31238" s="2" t="s">
        <v>244</v>
      </c>
    </row>
    <row r="31256" spans="1:1" ht="12.75">
      <c r="A31256" s="2" t="s">
        <v>281</v>
      </c>
    </row>
    <row r="31257" spans="1:1" ht="12.75">
      <c r="A31257" s="2" t="s">
        <v>281</v>
      </c>
    </row>
    <row r="31258" spans="1:1" ht="12.75">
      <c r="A31258" s="2" t="s">
        <v>281</v>
      </c>
    </row>
    <row r="31259" spans="1:1" ht="12.75">
      <c r="A31259" s="2" t="s">
        <v>281</v>
      </c>
    </row>
    <row r="31260" spans="1:1" ht="12.75">
      <c r="A31260" s="2" t="s">
        <v>281</v>
      </c>
    </row>
    <row r="31261" spans="1:1" ht="12.75">
      <c r="A31261" s="2" t="s">
        <v>281</v>
      </c>
    </row>
    <row r="31262" spans="1:1" ht="12.75">
      <c r="A31262" s="2" t="s">
        <v>281</v>
      </c>
    </row>
    <row r="31263" spans="1:1" ht="12.75">
      <c r="A31263" s="2" t="s">
        <v>281</v>
      </c>
    </row>
    <row r="31270" spans="1:1" ht="12.75">
      <c r="A31270" s="2" t="s">
        <v>1201</v>
      </c>
    </row>
    <row r="31271" spans="1:1" ht="12.75">
      <c r="A31271" s="2" t="s">
        <v>283</v>
      </c>
    </row>
    <row r="31278" spans="1:1" ht="12.75">
      <c r="A31278" s="2" t="s">
        <v>1202</v>
      </c>
    </row>
    <row r="31288" spans="1:1" ht="12.75">
      <c r="A31288" s="2" t="s">
        <v>317</v>
      </c>
    </row>
    <row r="31290" spans="1:1" ht="12.75">
      <c r="A31290" s="2" t="s">
        <v>1203</v>
      </c>
    </row>
    <row r="31292" spans="1:1" ht="12.75">
      <c r="A31292" s="2" t="s">
        <v>1204</v>
      </c>
    </row>
    <row r="31293" spans="1:1" ht="12.75">
      <c r="A31293" s="2" t="s">
        <v>1205</v>
      </c>
    </row>
    <row r="31294" spans="1:1" ht="12.75">
      <c r="A31294" s="2" t="s">
        <v>1199</v>
      </c>
    </row>
    <row r="31301" spans="1:1" ht="12.75">
      <c r="A31301" s="2" t="s">
        <v>210</v>
      </c>
    </row>
    <row r="31302" spans="1:1" ht="12.75">
      <c r="A31302" s="2" t="s">
        <v>366</v>
      </c>
    </row>
    <row r="31305" spans="1:1" ht="12.75">
      <c r="A31305" s="2" t="s">
        <v>211</v>
      </c>
    </row>
    <row r="31306" spans="1:1" ht="12.75">
      <c r="A31306" s="2" t="s">
        <v>211</v>
      </c>
    </row>
    <row r="31307" spans="1:1" ht="12.75">
      <c r="A31307" s="2" t="s">
        <v>787</v>
      </c>
    </row>
    <row r="31308" spans="1:1" ht="12.75">
      <c r="A31308" s="2" t="s">
        <v>787</v>
      </c>
    </row>
    <row r="31309" spans="1:1" ht="12.75">
      <c r="A31309" s="2" t="s">
        <v>787</v>
      </c>
    </row>
    <row r="31310" spans="1:1" ht="12.75">
      <c r="A31310" s="2" t="s">
        <v>787</v>
      </c>
    </row>
    <row r="31311" spans="1:1" ht="12.75">
      <c r="A31311" s="2" t="s">
        <v>787</v>
      </c>
    </row>
    <row r="31312" spans="1:1" ht="12.75">
      <c r="A31312" s="2" t="s">
        <v>787</v>
      </c>
    </row>
    <row r="31313" spans="1:1" ht="12.75">
      <c r="A31313" s="2" t="s">
        <v>210</v>
      </c>
    </row>
    <row r="31314" spans="1:1" ht="12.75">
      <c r="A31314" s="2" t="s">
        <v>364</v>
      </c>
    </row>
    <row r="31315" spans="1:1" ht="12.75">
      <c r="A31315" s="2" t="s">
        <v>211</v>
      </c>
    </row>
    <row r="31316" spans="1:1" ht="12.75">
      <c r="A31316" s="2" t="s">
        <v>211</v>
      </c>
    </row>
    <row r="31317" spans="1:1" ht="12.75">
      <c r="A31317" s="2" t="s">
        <v>210</v>
      </c>
    </row>
    <row r="31318" spans="1:1" ht="12.75">
      <c r="A31318" s="2" t="s">
        <v>1206</v>
      </c>
    </row>
    <row r="31319" spans="1:1" ht="12.75">
      <c r="A31319" s="2" t="s">
        <v>210</v>
      </c>
    </row>
    <row r="31320" spans="1:1" ht="12.75">
      <c r="A31320" s="2" t="s">
        <v>210</v>
      </c>
    </row>
    <row r="31321" spans="1:1" ht="12.75">
      <c r="A31321" s="2" t="s">
        <v>210</v>
      </c>
    </row>
    <row r="31322" spans="1:1" ht="12.75">
      <c r="A31322" s="2" t="s">
        <v>210</v>
      </c>
    </row>
    <row r="31323" spans="1:1" ht="12.75">
      <c r="A31323" s="2" t="s">
        <v>210</v>
      </c>
    </row>
    <row r="31324" spans="1:1" ht="12.75">
      <c r="A31324" s="2" t="s">
        <v>210</v>
      </c>
    </row>
    <row r="31325" spans="1:1" ht="12.75">
      <c r="A31325" s="2" t="s">
        <v>364</v>
      </c>
    </row>
    <row r="31326" spans="1:1" ht="12.75">
      <c r="A31326" s="2" t="s">
        <v>364</v>
      </c>
    </row>
    <row r="31327" spans="1:1" ht="12.75">
      <c r="A31327" s="2" t="s">
        <v>148</v>
      </c>
    </row>
    <row r="31328" spans="1:1" ht="12.75">
      <c r="A31328" s="2" t="s">
        <v>364</v>
      </c>
    </row>
    <row r="31329" spans="1:1" ht="12.75">
      <c r="A31329" s="2" t="s">
        <v>148</v>
      </c>
    </row>
    <row r="31330" spans="1:1" ht="12.75">
      <c r="A31330" s="2" t="s">
        <v>148</v>
      </c>
    </row>
    <row r="31331" spans="1:1" ht="12.75">
      <c r="A31331" s="2" t="s">
        <v>210</v>
      </c>
    </row>
    <row r="31332" spans="1:1" ht="12.75">
      <c r="A31332" s="2" t="s">
        <v>210</v>
      </c>
    </row>
    <row r="31333" spans="1:1" ht="12.75">
      <c r="A31333" s="2" t="s">
        <v>210</v>
      </c>
    </row>
    <row r="31334" spans="1:1" ht="12.75">
      <c r="A31334" s="2" t="s">
        <v>210</v>
      </c>
    </row>
    <row r="31335" spans="1:1" ht="12.75">
      <c r="A31335" s="2" t="s">
        <v>210</v>
      </c>
    </row>
    <row r="31336" spans="1:1" ht="12.75">
      <c r="A31336" s="2" t="s">
        <v>210</v>
      </c>
    </row>
    <row r="31337" spans="1:1" ht="12.75">
      <c r="A31337" s="2" t="s">
        <v>787</v>
      </c>
    </row>
    <row r="31338" spans="1:1" ht="12.75">
      <c r="A31338" s="2" t="s">
        <v>787</v>
      </c>
    </row>
    <row r="31339" spans="1:1" ht="12.75">
      <c r="A31339" s="2" t="s">
        <v>787</v>
      </c>
    </row>
    <row r="31340" spans="1:1" ht="12.75">
      <c r="A31340" s="2" t="s">
        <v>787</v>
      </c>
    </row>
    <row r="31341" spans="1:1" ht="12.75">
      <c r="A31341" s="2" t="s">
        <v>211</v>
      </c>
    </row>
    <row r="31342" spans="1:1" ht="12.75">
      <c r="A31342" s="2" t="s">
        <v>209</v>
      </c>
    </row>
    <row r="31343" spans="1:1" ht="12.75">
      <c r="A31343" s="2" t="s">
        <v>209</v>
      </c>
    </row>
    <row r="31344" spans="1:1" ht="12.75">
      <c r="A31344" s="2" t="s">
        <v>209</v>
      </c>
    </row>
    <row r="31345" spans="1:1" ht="12.75">
      <c r="A31345" s="2" t="s">
        <v>209</v>
      </c>
    </row>
    <row r="31346" spans="1:1" ht="12.75">
      <c r="A31346" s="2" t="s">
        <v>209</v>
      </c>
    </row>
    <row r="31347" spans="1:1" ht="12.75">
      <c r="A31347" s="2" t="s">
        <v>787</v>
      </c>
    </row>
    <row r="31348" spans="1:1" ht="12.75">
      <c r="A31348" s="2" t="s">
        <v>787</v>
      </c>
    </row>
    <row r="31349" spans="1:1" ht="12.75">
      <c r="A31349" s="2" t="s">
        <v>787</v>
      </c>
    </row>
    <row r="31350" spans="1:1" ht="12.75">
      <c r="A31350" s="2" t="s">
        <v>787</v>
      </c>
    </row>
    <row r="31351" spans="1:1" ht="12.75">
      <c r="A31351" s="2" t="s">
        <v>787</v>
      </c>
    </row>
    <row r="31352" spans="1:1" ht="12.75">
      <c r="A31352" s="2" t="s">
        <v>787</v>
      </c>
    </row>
    <row r="31353" spans="1:1" ht="12.75">
      <c r="A31353" s="2" t="s">
        <v>364</v>
      </c>
    </row>
    <row r="31354" spans="1:1" ht="12.75">
      <c r="A31354" s="2" t="s">
        <v>364</v>
      </c>
    </row>
    <row r="31357" spans="1:1" ht="12.75">
      <c r="A31357" s="2" t="s">
        <v>210</v>
      </c>
    </row>
    <row r="31358" spans="1:1" ht="12.75">
      <c r="A31358" s="2" t="s">
        <v>210</v>
      </c>
    </row>
    <row r="31359" spans="1:1" ht="12.75">
      <c r="A31359" s="2" t="s">
        <v>210</v>
      </c>
    </row>
    <row r="31360" spans="1:1" ht="12.75">
      <c r="A31360" s="2" t="s">
        <v>210</v>
      </c>
    </row>
    <row r="31361" spans="1:1" ht="12.75">
      <c r="A31361" s="2" t="s">
        <v>210</v>
      </c>
    </row>
    <row r="31362" spans="1:1" ht="12.75">
      <c r="A31362" s="2" t="s">
        <v>210</v>
      </c>
    </row>
    <row r="31363" spans="1:1" ht="12.75">
      <c r="A31363" s="2" t="s">
        <v>210</v>
      </c>
    </row>
    <row r="31364" spans="1:1" ht="12.75">
      <c r="A31364" s="2" t="s">
        <v>210</v>
      </c>
    </row>
    <row r="31365" spans="1:1" ht="12.75">
      <c r="A31365" s="2" t="s">
        <v>486</v>
      </c>
    </row>
    <row r="31366" spans="1:1" ht="12.75">
      <c r="A31366" s="2" t="s">
        <v>521</v>
      </c>
    </row>
    <row r="31367" spans="1:1" ht="12.75">
      <c r="A31367" s="2" t="s">
        <v>486</v>
      </c>
    </row>
    <row r="31368" spans="1:1" ht="12.75">
      <c r="A31368" s="2" t="s">
        <v>486</v>
      </c>
    </row>
    <row r="31369" spans="1:1" ht="12.75">
      <c r="A31369" s="2" t="s">
        <v>366</v>
      </c>
    </row>
    <row r="31370" spans="1:1" ht="12.75">
      <c r="A31370" s="2" t="s">
        <v>366</v>
      </c>
    </row>
    <row r="31371" spans="1:1" ht="12.75">
      <c r="A31371" s="2" t="s">
        <v>787</v>
      </c>
    </row>
    <row r="31372" spans="1:1" ht="12.75">
      <c r="A31372" s="2" t="s">
        <v>787</v>
      </c>
    </row>
    <row r="31373" spans="1:1" ht="12.75">
      <c r="A31373" s="2" t="s">
        <v>787</v>
      </c>
    </row>
    <row r="31374" spans="1:1" ht="12.75">
      <c r="A31374" s="2" t="s">
        <v>787</v>
      </c>
    </row>
    <row r="31375" spans="1:1" ht="12.75">
      <c r="A31375" s="2" t="s">
        <v>787</v>
      </c>
    </row>
    <row r="31376" spans="1:1" ht="12.75">
      <c r="A31376" s="2" t="s">
        <v>787</v>
      </c>
    </row>
    <row r="31377" spans="1:1" ht="12.75">
      <c r="A31377" s="2" t="s">
        <v>364</v>
      </c>
    </row>
    <row r="31378" spans="1:1" ht="12.75">
      <c r="A31378" s="2" t="s">
        <v>364</v>
      </c>
    </row>
    <row r="31379" spans="1:1" ht="12.75">
      <c r="A31379" s="2" t="s">
        <v>364</v>
      </c>
    </row>
    <row r="31380" spans="1:1" ht="12.75">
      <c r="A31380" s="2" t="s">
        <v>364</v>
      </c>
    </row>
    <row r="31381" spans="1:1" ht="12.75">
      <c r="A31381" s="2" t="s">
        <v>364</v>
      </c>
    </row>
    <row r="31382" spans="1:1" ht="12.75">
      <c r="A31382" s="2" t="s">
        <v>364</v>
      </c>
    </row>
    <row r="31383" spans="1:1" ht="12.75">
      <c r="A31383" s="2" t="s">
        <v>364</v>
      </c>
    </row>
    <row r="31384" spans="1:1" ht="12.75">
      <c r="A31384" s="2" t="s">
        <v>209</v>
      </c>
    </row>
    <row r="31385" spans="1:1" ht="12.75">
      <c r="A31385" s="2" t="s">
        <v>486</v>
      </c>
    </row>
    <row r="31386" spans="1:1" ht="12.75">
      <c r="A31386" s="2" t="s">
        <v>366</v>
      </c>
    </row>
    <row r="31387" spans="1:1" ht="12.75">
      <c r="A31387" s="2" t="s">
        <v>787</v>
      </c>
    </row>
    <row r="31388" spans="1:1" ht="12.75">
      <c r="A31388" s="2" t="s">
        <v>787</v>
      </c>
    </row>
    <row r="31389" spans="1:1" ht="12.75">
      <c r="A31389" s="2" t="s">
        <v>787</v>
      </c>
    </row>
    <row r="31390" spans="1:1" ht="12.75">
      <c r="A31390" s="2" t="s">
        <v>787</v>
      </c>
    </row>
    <row r="31391" spans="1:1" ht="12.75">
      <c r="A31391" s="2" t="s">
        <v>787</v>
      </c>
    </row>
    <row r="31392" spans="1:1" ht="12.75">
      <c r="A31392" s="2" t="s">
        <v>787</v>
      </c>
    </row>
    <row r="31393" spans="1:1" ht="12.75">
      <c r="A31393" s="2" t="s">
        <v>787</v>
      </c>
    </row>
    <row r="31394" spans="1:1" ht="12.75">
      <c r="A31394" s="2" t="s">
        <v>787</v>
      </c>
    </row>
    <row r="31395" spans="1:1" ht="12.75">
      <c r="A31395" s="2" t="s">
        <v>366</v>
      </c>
    </row>
    <row r="31396" spans="1:1" ht="12.75">
      <c r="A31396" s="2" t="s">
        <v>486</v>
      </c>
    </row>
    <row r="31397" spans="1:1" ht="12.75">
      <c r="A31397" s="2" t="s">
        <v>486</v>
      </c>
    </row>
    <row r="31398" spans="1:1" ht="12.75">
      <c r="A31398" s="2" t="s">
        <v>209</v>
      </c>
    </row>
    <row r="31399" spans="1:1" ht="12.75">
      <c r="A31399" s="2" t="s">
        <v>211</v>
      </c>
    </row>
    <row r="31400" spans="1:1" ht="12.75">
      <c r="A31400" s="2" t="s">
        <v>486</v>
      </c>
    </row>
    <row r="31401" spans="1:1" ht="12.75">
      <c r="A31401" s="2" t="s">
        <v>209</v>
      </c>
    </row>
    <row r="31402" spans="1:1" ht="12.75">
      <c r="A31402" s="2" t="s">
        <v>209</v>
      </c>
    </row>
    <row r="31403" spans="1:1" ht="12.75">
      <c r="A31403" s="2" t="s">
        <v>209</v>
      </c>
    </row>
    <row r="31404" spans="1:1" ht="12.75">
      <c r="A31404" s="2" t="s">
        <v>209</v>
      </c>
    </row>
    <row r="31405" spans="1:1" ht="12.75">
      <c r="A31405" s="2" t="s">
        <v>209</v>
      </c>
    </row>
    <row r="31406" spans="1:1" ht="12.75">
      <c r="A31406" s="2" t="s">
        <v>209</v>
      </c>
    </row>
    <row r="31407" spans="1:1" ht="12.75">
      <c r="A31407" s="2" t="s">
        <v>210</v>
      </c>
    </row>
    <row r="31408" spans="1:1" ht="12.75">
      <c r="A31408" s="2" t="s">
        <v>210</v>
      </c>
    </row>
    <row r="31409" spans="1:1" ht="12.75">
      <c r="A31409" s="2" t="s">
        <v>210</v>
      </c>
    </row>
    <row r="31410" spans="1:1" ht="12.75">
      <c r="A31410" s="2" t="s">
        <v>210</v>
      </c>
    </row>
    <row r="31411" spans="1:1" ht="12.75">
      <c r="A31411" s="2" t="s">
        <v>787</v>
      </c>
    </row>
    <row r="31412" spans="1:1" ht="12.75">
      <c r="A31412" s="2" t="s">
        <v>787</v>
      </c>
    </row>
    <row r="31413" spans="1:1" ht="12.75">
      <c r="A31413" s="2" t="s">
        <v>787</v>
      </c>
    </row>
    <row r="31414" spans="1:1" ht="12.75">
      <c r="A31414" s="2" t="s">
        <v>787</v>
      </c>
    </row>
    <row r="31415" spans="1:1" ht="12.75">
      <c r="A31415" s="2" t="s">
        <v>787</v>
      </c>
    </row>
    <row r="31416" spans="1:1" ht="12.75">
      <c r="A31416" s="2" t="s">
        <v>787</v>
      </c>
    </row>
    <row r="31417" spans="1:1" ht="12.75">
      <c r="A31417" s="2" t="s">
        <v>211</v>
      </c>
    </row>
    <row r="31418" spans="1:1" ht="12.75">
      <c r="A31418" s="2" t="s">
        <v>211</v>
      </c>
    </row>
    <row r="31419" spans="1:1" ht="12.75">
      <c r="A31419" s="2" t="s">
        <v>211</v>
      </c>
    </row>
    <row r="31420" spans="1:1" ht="12.75">
      <c r="A31420" s="2" t="s">
        <v>210</v>
      </c>
    </row>
    <row r="31421" spans="1:1" ht="12.75">
      <c r="A31421" s="2" t="s">
        <v>787</v>
      </c>
    </row>
    <row r="31422" spans="1:1" ht="12.75">
      <c r="A31422" s="2" t="s">
        <v>788</v>
      </c>
    </row>
    <row r="31423" spans="1:1" ht="12.75">
      <c r="A31423" s="2" t="s">
        <v>486</v>
      </c>
    </row>
    <row r="31424" spans="1:1" ht="12.75">
      <c r="A31424" s="2" t="s">
        <v>366</v>
      </c>
    </row>
    <row r="31425" spans="1:1" ht="12.75">
      <c r="A31425" s="2" t="s">
        <v>364</v>
      </c>
    </row>
    <row r="31437" spans="1:1" ht="12.75">
      <c r="A31437" s="2" t="s">
        <v>209</v>
      </c>
    </row>
    <row r="31501" spans="1:1" ht="12.75">
      <c r="A31501" s="2" t="s">
        <v>997</v>
      </c>
    </row>
    <row r="31502" spans="1:1" ht="12.75">
      <c r="A31502" s="2" t="s">
        <v>190</v>
      </c>
    </row>
    <row r="31504" spans="1:1" ht="12.75">
      <c r="A31504" s="2" t="s">
        <v>995</v>
      </c>
    </row>
    <row r="31506" spans="1:1" ht="12.75">
      <c r="A31506" s="2" t="s">
        <v>190</v>
      </c>
    </row>
    <row r="31507" spans="1:1" ht="12.75">
      <c r="A31507" s="2" t="s">
        <v>190</v>
      </c>
    </row>
    <row r="31508" spans="1:1" ht="12.75">
      <c r="A31508" s="2" t="s">
        <v>190</v>
      </c>
    </row>
    <row r="31509" spans="1:1" ht="12.75">
      <c r="A31509" s="2" t="s">
        <v>190</v>
      </c>
    </row>
    <row r="31510" spans="1:1" ht="12.75">
      <c r="A31510" s="2" t="s">
        <v>313</v>
      </c>
    </row>
    <row r="31511" spans="1:1" ht="12.75">
      <c r="A31511" s="2" t="s">
        <v>190</v>
      </c>
    </row>
    <row r="31513" spans="1:1" ht="12.75">
      <c r="A31513" s="2" t="s">
        <v>190</v>
      </c>
    </row>
    <row r="31514" spans="1:1" ht="12.75">
      <c r="A31514" s="2" t="s">
        <v>313</v>
      </c>
    </row>
    <row r="31515" spans="1:1" ht="12.75">
      <c r="A31515" s="2" t="s">
        <v>313</v>
      </c>
    </row>
    <row r="31516" spans="1:1" ht="12.75">
      <c r="A31516" s="2" t="s">
        <v>313</v>
      </c>
    </row>
    <row r="31517" spans="1:1" ht="12.75">
      <c r="A31517" s="2" t="s">
        <v>313</v>
      </c>
    </row>
    <row r="31518" spans="1:1" ht="12.75">
      <c r="A31518" s="2" t="s">
        <v>1207</v>
      </c>
    </row>
    <row r="31520" spans="1:1" ht="12.75">
      <c r="A31520" s="2" t="s">
        <v>1207</v>
      </c>
    </row>
    <row r="31522" spans="1:1" ht="12.75">
      <c r="A31522" s="2" t="s">
        <v>995</v>
      </c>
    </row>
    <row r="31523" spans="1:1" ht="12.75">
      <c r="A31523" s="2" t="s">
        <v>313</v>
      </c>
    </row>
    <row r="31525" spans="1:1" ht="12.75">
      <c r="A31525" s="2" t="s">
        <v>1207</v>
      </c>
    </row>
    <row r="31526" spans="1:1" ht="12.75">
      <c r="A31526" s="2" t="s">
        <v>775</v>
      </c>
    </row>
    <row r="31527" spans="1:1" ht="12.75">
      <c r="A31527" s="2" t="s">
        <v>1207</v>
      </c>
    </row>
    <row r="31528" spans="1:1" ht="12.75">
      <c r="A31528" s="2" t="s">
        <v>997</v>
      </c>
    </row>
    <row r="31529" spans="1:1" ht="12.75">
      <c r="A31529" s="2" t="s">
        <v>775</v>
      </c>
    </row>
    <row r="31530" spans="1:1" ht="12.75">
      <c r="A31530" s="2" t="s">
        <v>997</v>
      </c>
    </row>
    <row r="31531" spans="1:1" ht="12.75">
      <c r="A31531" s="2" t="s">
        <v>995</v>
      </c>
    </row>
    <row r="31532" spans="1:1" ht="12.75">
      <c r="A31532" s="2" t="s">
        <v>313</v>
      </c>
    </row>
    <row r="31533" spans="1:1" ht="12.75">
      <c r="A31533" s="2" t="s">
        <v>997</v>
      </c>
    </row>
    <row r="31534" spans="1:1" ht="12.75">
      <c r="A31534" s="2" t="s">
        <v>313</v>
      </c>
    </row>
    <row r="31535" spans="1:1" ht="12.75">
      <c r="A31535" s="2" t="s">
        <v>997</v>
      </c>
    </row>
    <row r="31536" spans="1:1" ht="12.75">
      <c r="A31536" s="2" t="s">
        <v>190</v>
      </c>
    </row>
    <row r="31537" spans="1:1" ht="12.75">
      <c r="A31537" s="2" t="s">
        <v>190</v>
      </c>
    </row>
    <row r="31538" spans="1:1" ht="12.75">
      <c r="A31538" s="2" t="s">
        <v>190</v>
      </c>
    </row>
    <row r="31540" spans="1:1" ht="12.75">
      <c r="A31540" s="2" t="s">
        <v>190</v>
      </c>
    </row>
    <row r="31542" spans="1:1" ht="12.75">
      <c r="A31542" s="2" t="s">
        <v>669</v>
      </c>
    </row>
    <row r="31543" spans="1:1" ht="12.75">
      <c r="A31543" s="2" t="s">
        <v>313</v>
      </c>
    </row>
    <row r="31544" spans="1:1" ht="12.75">
      <c r="A31544" s="2" t="s">
        <v>190</v>
      </c>
    </row>
    <row r="31546" spans="1:1" ht="12.75">
      <c r="A31546" s="2" t="s">
        <v>669</v>
      </c>
    </row>
    <row r="31550" spans="1:1" ht="12.75">
      <c r="A31550" s="2" t="s">
        <v>313</v>
      </c>
    </row>
    <row r="31551" spans="1:1" ht="12.75">
      <c r="A31551" s="2" t="s">
        <v>190</v>
      </c>
    </row>
    <row r="31553" spans="1:1" ht="12.75">
      <c r="A31553" s="2" t="s">
        <v>190</v>
      </c>
    </row>
    <row r="31555" spans="1:1" ht="12.75">
      <c r="A31555" s="2" t="s">
        <v>313</v>
      </c>
    </row>
    <row r="31556" spans="1:1" ht="12.75">
      <c r="A31556" s="2" t="s">
        <v>190</v>
      </c>
    </row>
    <row r="31557" spans="1:1" ht="12.75">
      <c r="A31557" s="2" t="s">
        <v>313</v>
      </c>
    </row>
    <row r="31558" spans="1:1" ht="12.75">
      <c r="A31558" s="2" t="s">
        <v>669</v>
      </c>
    </row>
    <row r="31559" spans="1:1" ht="12.75">
      <c r="A31559" s="2" t="s">
        <v>190</v>
      </c>
    </row>
    <row r="31560" spans="1:1" ht="12.75">
      <c r="A31560" s="2" t="s">
        <v>669</v>
      </c>
    </row>
    <row r="31561" spans="1:1" ht="12.75">
      <c r="A31561" s="2" t="s">
        <v>669</v>
      </c>
    </row>
    <row r="31562" spans="1:1" ht="12.75">
      <c r="A31562" s="2" t="s">
        <v>190</v>
      </c>
    </row>
    <row r="31563" spans="1:1" ht="12.75">
      <c r="A31563" s="2" t="s">
        <v>669</v>
      </c>
    </row>
    <row r="31564" spans="1:1" ht="12.75">
      <c r="A31564" s="2" t="s">
        <v>313</v>
      </c>
    </row>
    <row r="31565" spans="1:1" ht="12.75">
      <c r="A31565" s="2" t="s">
        <v>1207</v>
      </c>
    </row>
    <row r="31566" spans="1:1" ht="12.75">
      <c r="A31566" s="2" t="s">
        <v>313</v>
      </c>
    </row>
    <row r="31567" spans="1:1" ht="12.75">
      <c r="A31567" s="2" t="s">
        <v>1207</v>
      </c>
    </row>
    <row r="31568" spans="1:1" ht="12.75">
      <c r="A31568" s="2" t="s">
        <v>1207</v>
      </c>
    </row>
    <row r="31569" spans="1:1" ht="12.75">
      <c r="A31569" s="2" t="s">
        <v>669</v>
      </c>
    </row>
    <row r="31570" spans="1:1" ht="12.75">
      <c r="A31570" s="2" t="s">
        <v>775</v>
      </c>
    </row>
    <row r="31571" spans="1:1" ht="12.75">
      <c r="A31571" s="2" t="s">
        <v>997</v>
      </c>
    </row>
    <row r="31572" spans="1:1" ht="12.75">
      <c r="A31572" s="2" t="s">
        <v>997</v>
      </c>
    </row>
    <row r="31573" spans="1:1" ht="12.75">
      <c r="A31573" s="2" t="s">
        <v>669</v>
      </c>
    </row>
    <row r="31574" spans="1:1" ht="12.75">
      <c r="A31574" s="2" t="s">
        <v>313</v>
      </c>
    </row>
    <row r="31576" spans="1:1" ht="12.75">
      <c r="A31576" s="2" t="s">
        <v>1207</v>
      </c>
    </row>
    <row r="31578" spans="1:1" ht="12.75">
      <c r="A31578" s="2" t="s">
        <v>995</v>
      </c>
    </row>
    <row r="31584" spans="1:1" ht="12.75">
      <c r="A31584" s="2" t="s">
        <v>775</v>
      </c>
    </row>
    <row r="31585" spans="1:1" ht="12.75">
      <c r="A31585" s="2" t="s">
        <v>997</v>
      </c>
    </row>
    <row r="31588" spans="1:1" ht="12.75">
      <c r="A31588" s="2" t="s">
        <v>661</v>
      </c>
    </row>
    <row r="31592" spans="1:1" ht="12.75">
      <c r="A31592" s="2" t="s">
        <v>190</v>
      </c>
    </row>
    <row r="31593" spans="1:1" ht="12.75">
      <c r="A31593" s="2" t="s">
        <v>190</v>
      </c>
    </row>
    <row r="31594" spans="1:1" ht="12.75">
      <c r="A31594" s="2" t="s">
        <v>190</v>
      </c>
    </row>
    <row r="31595" spans="1:1" ht="12.75">
      <c r="A31595" s="2" t="s">
        <v>669</v>
      </c>
    </row>
    <row r="31597" spans="1:1" ht="12.75">
      <c r="A31597" s="2" t="s">
        <v>313</v>
      </c>
    </row>
    <row r="31599" spans="1:1" ht="12.75">
      <c r="A31599" s="2" t="s">
        <v>313</v>
      </c>
    </row>
    <row r="31600" spans="1:1" ht="12.75">
      <c r="A31600" s="2" t="s">
        <v>669</v>
      </c>
    </row>
    <row r="31601" spans="1:1" ht="12.75">
      <c r="A31601" s="2" t="s">
        <v>1208</v>
      </c>
    </row>
    <row r="31602" spans="1:1" ht="12.75">
      <c r="A31602" s="2" t="s">
        <v>1209</v>
      </c>
    </row>
    <row r="31603" spans="1:1" ht="12.75">
      <c r="A31603" s="2" t="s">
        <v>1209</v>
      </c>
    </row>
    <row r="31604" spans="1:1" ht="12.75">
      <c r="A31604" s="2" t="s">
        <v>1208</v>
      </c>
    </row>
    <row r="31605" spans="1:1" ht="12.75">
      <c r="A31605" s="2" t="s">
        <v>1209</v>
      </c>
    </row>
    <row r="31606" spans="1:1" ht="12.75">
      <c r="A31606" s="2" t="s">
        <v>1209</v>
      </c>
    </row>
    <row r="31607" spans="1:1" ht="12.75">
      <c r="A31607" s="2" t="s">
        <v>1208</v>
      </c>
    </row>
    <row r="31608" spans="1:1" ht="12.75">
      <c r="A31608" s="2" t="s">
        <v>1208</v>
      </c>
    </row>
    <row r="31609" spans="1:1" ht="12.75">
      <c r="A31609" s="2" t="s">
        <v>1210</v>
      </c>
    </row>
    <row r="31610" spans="1:1" ht="12.75">
      <c r="A31610" s="2" t="s">
        <v>317</v>
      </c>
    </row>
    <row r="31611" spans="1:1" ht="12.75">
      <c r="A31611" s="2" t="s">
        <v>664</v>
      </c>
    </row>
    <row r="31612" spans="1:1" ht="12.75">
      <c r="A31612" s="2" t="s">
        <v>665</v>
      </c>
    </row>
    <row r="31613" spans="1:1" ht="12.75">
      <c r="A31613" s="2" t="s">
        <v>665</v>
      </c>
    </row>
    <row r="31614" spans="1:1" ht="12.75">
      <c r="A31614" s="2" t="s">
        <v>992</v>
      </c>
    </row>
    <row r="31615" spans="1:1" ht="12.75">
      <c r="A31615" s="2" t="s">
        <v>780</v>
      </c>
    </row>
    <row r="31616" spans="1:1" ht="12.75">
      <c r="A31616" s="2" t="s">
        <v>1208</v>
      </c>
    </row>
    <row r="31617" spans="1:1" ht="12.75">
      <c r="A31617" s="2" t="s">
        <v>670</v>
      </c>
    </row>
    <row r="31618" spans="1:1" ht="12.75">
      <c r="A31618" s="2" t="s">
        <v>670</v>
      </c>
    </row>
    <row r="31619" spans="1:1" ht="12.75">
      <c r="A31619" s="2" t="s">
        <v>1209</v>
      </c>
    </row>
    <row r="31620" spans="1:1" ht="12.75">
      <c r="A31620" s="2" t="s">
        <v>662</v>
      </c>
    </row>
    <row r="31621" spans="1:1" ht="12.75">
      <c r="A31621" s="2" t="s">
        <v>1208</v>
      </c>
    </row>
    <row r="31622" spans="1:1" ht="12.75">
      <c r="A31622" s="2" t="s">
        <v>666</v>
      </c>
    </row>
    <row r="31623" spans="1:1" ht="12.75">
      <c r="A31623" s="2" t="s">
        <v>312</v>
      </c>
    </row>
    <row r="31624" spans="1:1" ht="12.75">
      <c r="A31624" s="2" t="s">
        <v>312</v>
      </c>
    </row>
    <row r="31625" spans="1:1" ht="12.75">
      <c r="A31625" s="2" t="s">
        <v>1209</v>
      </c>
    </row>
    <row r="31626" spans="1:1" ht="12.75">
      <c r="A31626" s="2" t="s">
        <v>664</v>
      </c>
    </row>
    <row r="31627" spans="1:1" ht="12.75">
      <c r="A31627" s="2" t="s">
        <v>1211</v>
      </c>
    </row>
    <row r="31628" spans="1:1" ht="12.75">
      <c r="A31628" s="2" t="s">
        <v>665</v>
      </c>
    </row>
    <row r="31629" spans="1:1" ht="12.75">
      <c r="A31629" s="2" t="s">
        <v>665</v>
      </c>
    </row>
    <row r="31630" spans="1:1" ht="12.75">
      <c r="A31630" s="2" t="s">
        <v>1212</v>
      </c>
    </row>
    <row r="31631" spans="1:1" ht="12.75">
      <c r="A31631" s="2" t="s">
        <v>992</v>
      </c>
    </row>
    <row r="31632" spans="1:1" ht="12.75">
      <c r="A31632" s="2" t="s">
        <v>670</v>
      </c>
    </row>
    <row r="31633" spans="1:1" ht="12.75">
      <c r="A31633" s="2" t="s">
        <v>1209</v>
      </c>
    </row>
    <row r="31634" spans="1:1" ht="12.75">
      <c r="A31634" s="2" t="s">
        <v>670</v>
      </c>
    </row>
    <row r="31635" spans="1:1" ht="12.75">
      <c r="A31635" s="2" t="s">
        <v>662</v>
      </c>
    </row>
    <row r="31636" spans="1:1" ht="12.75">
      <c r="A31636" s="2" t="s">
        <v>662</v>
      </c>
    </row>
    <row r="31637" spans="1:1" ht="12.75">
      <c r="A31637" s="2" t="s">
        <v>1209</v>
      </c>
    </row>
    <row r="31638" spans="1:1" ht="12.75">
      <c r="A31638" s="2" t="s">
        <v>673</v>
      </c>
    </row>
    <row r="31639" spans="1:1" ht="12.75">
      <c r="A31639" s="2" t="s">
        <v>312</v>
      </c>
    </row>
    <row r="31640" spans="1:1" ht="12.75">
      <c r="A31640" s="2" t="s">
        <v>312</v>
      </c>
    </row>
    <row r="31641" spans="1:1" ht="12.75">
      <c r="A31641" s="2" t="s">
        <v>664</v>
      </c>
    </row>
    <row r="31642" spans="1:1" ht="12.75">
      <c r="A31642" s="2" t="s">
        <v>664</v>
      </c>
    </row>
    <row r="31643" spans="1:1" ht="12.75">
      <c r="A31643" s="2" t="s">
        <v>1208</v>
      </c>
    </row>
    <row r="31644" spans="1:1" ht="12.75">
      <c r="A31644" s="2" t="s">
        <v>789</v>
      </c>
    </row>
    <row r="31645" spans="1:1" ht="12.75">
      <c r="A31645" s="2" t="s">
        <v>667</v>
      </c>
    </row>
    <row r="31647" spans="1:1" ht="12.75">
      <c r="A31647" s="2" t="s">
        <v>673</v>
      </c>
    </row>
    <row r="31648" spans="1:1" ht="12.75">
      <c r="A31648" s="2" t="s">
        <v>667</v>
      </c>
    </row>
    <row r="31649" spans="1:1" ht="12.75">
      <c r="A31649" s="2" t="s">
        <v>671</v>
      </c>
    </row>
    <row r="31650" spans="1:1" ht="12.75">
      <c r="A31650" s="2" t="s">
        <v>780</v>
      </c>
    </row>
    <row r="31651" spans="1:1" ht="12.75">
      <c r="A31651" s="2" t="s">
        <v>671</v>
      </c>
    </row>
    <row r="31652" spans="1:1" ht="12.75">
      <c r="A31652" s="2" t="s">
        <v>670</v>
      </c>
    </row>
    <row r="31653" spans="1:1" ht="12.75">
      <c r="A31653" s="2" t="s">
        <v>662</v>
      </c>
    </row>
    <row r="31654" spans="1:1" ht="12.75">
      <c r="A31654" s="2" t="s">
        <v>312</v>
      </c>
    </row>
    <row r="31655" spans="1:1" ht="12.75">
      <c r="A31655" s="2" t="s">
        <v>666</v>
      </c>
    </row>
    <row r="31656" spans="1:1" ht="12.75">
      <c r="A31656" s="2" t="s">
        <v>666</v>
      </c>
    </row>
    <row r="31657" spans="1:1" ht="12.75">
      <c r="A31657" s="2" t="s">
        <v>1208</v>
      </c>
    </row>
    <row r="31658" spans="1:1" ht="12.75">
      <c r="A31658" s="2" t="s">
        <v>312</v>
      </c>
    </row>
    <row r="31659" spans="1:1" ht="12.75">
      <c r="A31659" s="2" t="s">
        <v>1208</v>
      </c>
    </row>
    <row r="31660" spans="1:1" ht="12.75">
      <c r="A31660" s="2" t="s">
        <v>1209</v>
      </c>
    </row>
    <row r="31661" spans="1:1" ht="12.75">
      <c r="A31661" s="2" t="s">
        <v>664</v>
      </c>
    </row>
    <row r="31662" spans="1:1" ht="12.75">
      <c r="A31662" s="2" t="s">
        <v>1209</v>
      </c>
    </row>
    <row r="31663" spans="1:1" ht="12.75">
      <c r="A31663" s="2" t="s">
        <v>664</v>
      </c>
    </row>
    <row r="31664" spans="1:1" ht="12.75">
      <c r="A31664" s="2" t="s">
        <v>664</v>
      </c>
    </row>
    <row r="31665" spans="1:1" ht="12.75">
      <c r="A31665" s="2" t="s">
        <v>665</v>
      </c>
    </row>
    <row r="31666" spans="1:1" ht="12.75">
      <c r="A31666" s="2" t="s">
        <v>665</v>
      </c>
    </row>
    <row r="31667" spans="1:1" ht="12.75">
      <c r="A31667" s="2" t="s">
        <v>782</v>
      </c>
    </row>
    <row r="31668" spans="1:1" ht="12.75">
      <c r="A31668" s="2" t="s">
        <v>780</v>
      </c>
    </row>
    <row r="31669" spans="1:1" ht="12.75">
      <c r="A31669" s="2" t="s">
        <v>670</v>
      </c>
    </row>
    <row r="31670" spans="1:1" ht="12.75">
      <c r="A31670" s="2" t="s">
        <v>312</v>
      </c>
    </row>
    <row r="31671" spans="1:1" ht="12.75">
      <c r="A31671" s="2" t="s">
        <v>662</v>
      </c>
    </row>
    <row r="31672" spans="1:1" ht="12.75">
      <c r="A31672" s="2" t="s">
        <v>662</v>
      </c>
    </row>
    <row r="31673" spans="1:1" ht="12.75">
      <c r="A31673" s="2" t="s">
        <v>673</v>
      </c>
    </row>
    <row r="31674" spans="1:1" ht="12.75">
      <c r="A31674" s="2" t="s">
        <v>673</v>
      </c>
    </row>
    <row r="31675" spans="1:1" ht="12.75">
      <c r="A31675" s="2" t="s">
        <v>1213</v>
      </c>
    </row>
    <row r="31676" spans="1:1" ht="12.75">
      <c r="A31676" s="2" t="s">
        <v>312</v>
      </c>
    </row>
    <row r="31677" spans="1:1" ht="12.75">
      <c r="A31677" s="2" t="s">
        <v>673</v>
      </c>
    </row>
    <row r="31678" spans="1:1" ht="12.75">
      <c r="A31678" s="2" t="s">
        <v>673</v>
      </c>
    </row>
    <row r="31679" spans="1:1" ht="12.75">
      <c r="A31679" s="2" t="s">
        <v>1214</v>
      </c>
    </row>
    <row r="31680" spans="1:1" ht="12.75">
      <c r="A31680" s="2" t="s">
        <v>1208</v>
      </c>
    </row>
    <row r="31681" spans="1:1" ht="12.75">
      <c r="A31681" s="2" t="s">
        <v>1209</v>
      </c>
    </row>
    <row r="31691" spans="1:1" ht="12.75">
      <c r="A31691" s="2" t="s">
        <v>782</v>
      </c>
    </row>
    <row r="31692" spans="1:1" ht="12.75">
      <c r="A31692" s="2" t="s">
        <v>664</v>
      </c>
    </row>
    <row r="31694" spans="1:1" ht="12.75">
      <c r="A31694" s="2" t="s">
        <v>664</v>
      </c>
    </row>
    <row r="31695" spans="1:1" ht="12.75">
      <c r="A31695" s="2" t="s">
        <v>662</v>
      </c>
    </row>
    <row r="31696" spans="1:1" ht="12.75">
      <c r="A31696" s="2" t="s">
        <v>670</v>
      </c>
    </row>
    <row r="31697" spans="1:1" ht="12.75">
      <c r="A31697" s="2" t="s">
        <v>666</v>
      </c>
    </row>
    <row r="31699" spans="1:1" ht="12.75">
      <c r="A31699" s="2" t="s">
        <v>1215</v>
      </c>
    </row>
    <row r="31700" spans="1:1" ht="12.75">
      <c r="A31700" s="2" t="s">
        <v>1215</v>
      </c>
    </row>
    <row r="31701" spans="1:1" ht="12.75">
      <c r="A31701" s="2" t="s">
        <v>1216</v>
      </c>
    </row>
    <row r="31702" spans="1:1" ht="12.75">
      <c r="A31702" s="2" t="s">
        <v>1216</v>
      </c>
    </row>
    <row r="31703" spans="1:1" ht="12.75">
      <c r="A31703" s="2" t="s">
        <v>664</v>
      </c>
    </row>
    <row r="31704" spans="1:1" ht="12.75">
      <c r="A31704" s="2" t="s">
        <v>664</v>
      </c>
    </row>
    <row r="31706" spans="1:1" ht="12.75">
      <c r="A31706" s="2" t="s">
        <v>664</v>
      </c>
    </row>
    <row r="31707" spans="1:1" ht="12.75">
      <c r="A31707" s="2" t="s">
        <v>670</v>
      </c>
    </row>
    <row r="31708" spans="1:1" ht="12.75">
      <c r="A31708" s="2" t="s">
        <v>782</v>
      </c>
    </row>
    <row r="31710" spans="1:1" ht="12.75">
      <c r="A31710" s="2" t="s">
        <v>670</v>
      </c>
    </row>
    <row r="31712" spans="1:1" ht="12.75">
      <c r="A31712" s="2" t="s">
        <v>662</v>
      </c>
    </row>
    <row r="31713" spans="1:1" ht="12.75">
      <c r="A31713" s="2" t="s">
        <v>789</v>
      </c>
    </row>
    <row r="31714" spans="1:1" ht="12.75">
      <c r="A31714" s="2" t="s">
        <v>673</v>
      </c>
    </row>
    <row r="31715" spans="1:1" ht="12.75">
      <c r="A31715" s="2" t="s">
        <v>789</v>
      </c>
    </row>
    <row r="31716" spans="1:1" ht="12.75">
      <c r="A31716" s="2" t="s">
        <v>789</v>
      </c>
    </row>
    <row r="31717" spans="1:1" ht="12.75">
      <c r="A31717" s="2" t="s">
        <v>665</v>
      </c>
    </row>
    <row r="31718" spans="1:1" ht="12.75">
      <c r="A31718" s="2" t="s">
        <v>665</v>
      </c>
    </row>
    <row r="31719" spans="1:1" ht="12.75">
      <c r="A31719" s="2" t="s">
        <v>780</v>
      </c>
    </row>
    <row r="31720" spans="1:1" ht="12.75">
      <c r="A31720" s="2" t="s">
        <v>780</v>
      </c>
    </row>
    <row r="31721" spans="1:1" ht="12.75">
      <c r="A31721" s="2" t="s">
        <v>670</v>
      </c>
    </row>
    <row r="31722" spans="1:1" ht="12.75">
      <c r="A31722" s="2" t="s">
        <v>670</v>
      </c>
    </row>
    <row r="31723" spans="1:1" ht="12.75">
      <c r="A31723" s="2" t="s">
        <v>662</v>
      </c>
    </row>
    <row r="31724" spans="1:1" ht="12.75">
      <c r="A31724" s="2" t="s">
        <v>1215</v>
      </c>
    </row>
    <row r="31725" spans="1:1" ht="12.75">
      <c r="A31725" s="2" t="s">
        <v>673</v>
      </c>
    </row>
    <row r="31726" spans="1:1" ht="12.75">
      <c r="A31726" s="2" t="s">
        <v>673</v>
      </c>
    </row>
    <row r="31727" spans="1:1" ht="12.75">
      <c r="A31727" s="2" t="s">
        <v>1215</v>
      </c>
    </row>
    <row r="31728" spans="1:1" ht="12.75">
      <c r="A31728" s="2" t="s">
        <v>1215</v>
      </c>
    </row>
    <row r="31729" spans="1:1" ht="12.75">
      <c r="A31729" s="2" t="s">
        <v>1215</v>
      </c>
    </row>
    <row r="31731" spans="1:1" ht="12.75">
      <c r="A31731" s="2" t="s">
        <v>784</v>
      </c>
    </row>
    <row r="31732" spans="1:1" ht="12.75">
      <c r="A31732" s="2" t="s">
        <v>784</v>
      </c>
    </row>
    <row r="31733" spans="1:1" ht="12.75">
      <c r="A31733" s="2" t="s">
        <v>664</v>
      </c>
    </row>
    <row r="31734" spans="1:1" ht="12.75">
      <c r="A31734" s="2" t="s">
        <v>664</v>
      </c>
    </row>
    <row r="31735" spans="1:1" ht="12.75">
      <c r="A31735" s="2" t="s">
        <v>312</v>
      </c>
    </row>
    <row r="31736" spans="1:1" ht="12.75">
      <c r="A31736" s="2" t="s">
        <v>673</v>
      </c>
    </row>
    <row r="31737" spans="1:1" ht="12.75">
      <c r="A31737" s="2" t="s">
        <v>784</v>
      </c>
    </row>
    <row r="31738" spans="1:1" ht="12.75">
      <c r="A31738" s="2" t="s">
        <v>312</v>
      </c>
    </row>
    <row r="31739" spans="1:1" ht="12.75">
      <c r="A31739" s="2" t="s">
        <v>665</v>
      </c>
    </row>
    <row r="31740" spans="1:1" ht="12.75">
      <c r="A31740" s="2" t="s">
        <v>664</v>
      </c>
    </row>
    <row r="31741" spans="1:1" ht="12.75">
      <c r="A31741" s="2" t="s">
        <v>780</v>
      </c>
    </row>
    <row r="31742" spans="1:1" ht="12.75">
      <c r="A31742" s="2" t="s">
        <v>665</v>
      </c>
    </row>
    <row r="31743" spans="1:1" ht="12.75">
      <c r="A31743" s="2" t="s">
        <v>784</v>
      </c>
    </row>
    <row r="31744" spans="1:1" ht="12.75">
      <c r="A31744" s="2" t="s">
        <v>780</v>
      </c>
    </row>
    <row r="31745" spans="1:1" ht="12.75">
      <c r="A31745" s="2" t="s">
        <v>784</v>
      </c>
    </row>
    <row r="31746" spans="1:1" ht="12.75">
      <c r="A31746" s="2" t="s">
        <v>784</v>
      </c>
    </row>
    <row r="31747" spans="1:1" ht="12.75">
      <c r="A31747" s="2" t="s">
        <v>673</v>
      </c>
    </row>
    <row r="31748" spans="1:1" ht="12.75">
      <c r="A31748" s="2" t="s">
        <v>789</v>
      </c>
    </row>
    <row r="31749" spans="1:1" ht="12.75">
      <c r="A31749" s="2" t="s">
        <v>665</v>
      </c>
    </row>
    <row r="31750" spans="1:1" ht="12.75">
      <c r="A31750" s="2" t="s">
        <v>664</v>
      </c>
    </row>
    <row r="31751" spans="1:1" ht="12.75">
      <c r="A31751" s="2" t="s">
        <v>662</v>
      </c>
    </row>
    <row r="31752" spans="1:1" ht="12.75">
      <c r="A31752" s="2" t="s">
        <v>665</v>
      </c>
    </row>
    <row r="31753" spans="1:1" ht="12.75">
      <c r="A31753" s="2" t="s">
        <v>670</v>
      </c>
    </row>
    <row r="31754" spans="1:1" ht="12.75">
      <c r="A31754" s="2" t="s">
        <v>666</v>
      </c>
    </row>
    <row r="31755" spans="1:1" ht="12.75">
      <c r="A31755" s="2" t="s">
        <v>670</v>
      </c>
    </row>
    <row r="31756" spans="1:1" ht="12.75">
      <c r="A31756" s="2" t="s">
        <v>670</v>
      </c>
    </row>
    <row r="31757" spans="1:1" ht="12.75">
      <c r="A31757" s="2" t="s">
        <v>662</v>
      </c>
    </row>
    <row r="31758" spans="1:1" ht="12.75">
      <c r="A31758" s="2" t="s">
        <v>662</v>
      </c>
    </row>
    <row r="31759" spans="1:1" ht="12.75">
      <c r="A31759" s="2" t="s">
        <v>789</v>
      </c>
    </row>
    <row r="31760" spans="1:1" ht="12.75">
      <c r="A31760" s="2" t="s">
        <v>664</v>
      </c>
    </row>
    <row r="31761" spans="1:1" ht="12.75">
      <c r="A31761" s="2" t="s">
        <v>665</v>
      </c>
    </row>
    <row r="31762" spans="1:1" ht="12.75">
      <c r="A31762" s="2" t="s">
        <v>664</v>
      </c>
    </row>
    <row r="31763" spans="1:1" ht="12.75">
      <c r="A31763" s="2" t="s">
        <v>665</v>
      </c>
    </row>
    <row r="31764" spans="1:1" ht="12.75">
      <c r="A31764" s="2" t="s">
        <v>312</v>
      </c>
    </row>
    <row r="31765" spans="1:1" ht="12.75">
      <c r="A31765" s="2" t="s">
        <v>664</v>
      </c>
    </row>
    <row r="31766" spans="1:1" ht="12.75">
      <c r="A31766" s="2" t="s">
        <v>312</v>
      </c>
    </row>
    <row r="31767" spans="1:1" ht="12.75">
      <c r="A31767" s="2" t="s">
        <v>665</v>
      </c>
    </row>
    <row r="31768" spans="1:1" ht="12.75">
      <c r="A31768" s="2" t="s">
        <v>664</v>
      </c>
    </row>
    <row r="31769" spans="1:1" ht="12.75">
      <c r="A31769" s="2" t="s">
        <v>312</v>
      </c>
    </row>
    <row r="31770" spans="1:1" ht="12.75">
      <c r="A31770" s="2" t="s">
        <v>665</v>
      </c>
    </row>
    <row r="31771" spans="1:1" ht="12.75">
      <c r="A31771" s="2" t="s">
        <v>670</v>
      </c>
    </row>
    <row r="31772" spans="1:1" ht="12.75">
      <c r="A31772" s="2" t="s">
        <v>666</v>
      </c>
    </row>
    <row r="31773" spans="1:1" ht="12.75">
      <c r="A31773" s="2" t="s">
        <v>662</v>
      </c>
    </row>
    <row r="31774" spans="1:1" ht="12.75">
      <c r="A31774" s="2" t="s">
        <v>670</v>
      </c>
    </row>
    <row r="31775" spans="1:1" ht="12.75">
      <c r="A31775" s="2" t="s">
        <v>673</v>
      </c>
    </row>
    <row r="31776" spans="1:1" ht="12.75">
      <c r="A31776" s="2" t="s">
        <v>662</v>
      </c>
    </row>
    <row r="31777" spans="1:1" ht="12.75">
      <c r="A31777" s="2" t="s">
        <v>312</v>
      </c>
    </row>
    <row r="31778" spans="1:1" ht="12.75">
      <c r="A31778" s="2" t="s">
        <v>673</v>
      </c>
    </row>
    <row r="31779" spans="1:1" ht="12.75">
      <c r="A31779" s="2" t="s">
        <v>789</v>
      </c>
    </row>
    <row r="31780" spans="1:1" ht="12.75">
      <c r="A31780" s="2" t="s">
        <v>312</v>
      </c>
    </row>
    <row r="31781" spans="1:1" ht="12.75">
      <c r="A31781" s="2" t="s">
        <v>664</v>
      </c>
    </row>
    <row r="31782" spans="1:1" ht="12.75">
      <c r="A31782" s="2" t="s">
        <v>664</v>
      </c>
    </row>
    <row r="31783" spans="1:1" ht="12.75">
      <c r="A31783" s="2" t="s">
        <v>671</v>
      </c>
    </row>
    <row r="31784" spans="1:1" ht="12.75">
      <c r="A31784" s="2" t="s">
        <v>662</v>
      </c>
    </row>
    <row r="31785" spans="1:1" ht="12.75">
      <c r="A31785" s="2" t="s">
        <v>666</v>
      </c>
    </row>
    <row r="31786" spans="1:1" ht="12.75">
      <c r="A31786" s="2" t="s">
        <v>662</v>
      </c>
    </row>
    <row r="31787" spans="1:1" ht="12.75">
      <c r="A31787" s="2" t="s">
        <v>312</v>
      </c>
    </row>
    <row r="31788" spans="1:1" ht="12.75">
      <c r="A31788" s="2" t="s">
        <v>666</v>
      </c>
    </row>
    <row r="31789" spans="1:1" ht="12.75">
      <c r="A31789" s="2" t="s">
        <v>664</v>
      </c>
    </row>
    <row r="31790" spans="1:1" ht="12.75">
      <c r="A31790" s="2" t="s">
        <v>312</v>
      </c>
    </row>
    <row r="31791" spans="1:1" ht="12.75">
      <c r="A31791" s="2" t="s">
        <v>789</v>
      </c>
    </row>
    <row r="31792" spans="1:1" ht="12.75">
      <c r="A31792" s="2" t="s">
        <v>664</v>
      </c>
    </row>
    <row r="31793" spans="1:1" ht="12.75">
      <c r="A31793" s="2" t="s">
        <v>780</v>
      </c>
    </row>
    <row r="31794" spans="1:1" ht="12.75">
      <c r="A31794" s="2" t="s">
        <v>662</v>
      </c>
    </row>
    <row r="31795" spans="1:1" ht="12.75">
      <c r="A31795" s="2" t="s">
        <v>671</v>
      </c>
    </row>
    <row r="31796" spans="1:1" ht="12.75">
      <c r="A31796" s="2" t="s">
        <v>1217</v>
      </c>
    </row>
    <row r="31797" spans="1:1" ht="12.75">
      <c r="A31797" s="2" t="s">
        <v>662</v>
      </c>
    </row>
    <row r="31798" spans="1:1" ht="12.75">
      <c r="A31798" s="2" t="s">
        <v>673</v>
      </c>
    </row>
    <row r="31799" spans="1:1" ht="12.75">
      <c r="A31799" s="2" t="s">
        <v>666</v>
      </c>
    </row>
    <row r="31800" spans="1:1" ht="12.75">
      <c r="A31800" s="2" t="s">
        <v>673</v>
      </c>
    </row>
    <row r="31801" spans="1:1" ht="12.75">
      <c r="A31801" s="2" t="s">
        <v>312</v>
      </c>
    </row>
    <row r="31802" spans="1:1" ht="12.75">
      <c r="A31802" s="2" t="s">
        <v>312</v>
      </c>
    </row>
    <row r="31803" spans="1:1" ht="12.75">
      <c r="A31803" s="2" t="s">
        <v>1218</v>
      </c>
    </row>
    <row r="31804" spans="1:1" ht="12.75">
      <c r="A31804" s="2" t="s">
        <v>1218</v>
      </c>
    </row>
    <row r="31820" spans="1:1" ht="12.75">
      <c r="A31820" s="2" t="s">
        <v>523</v>
      </c>
    </row>
    <row r="31821" spans="1:1" ht="12.75">
      <c r="A31821" s="2" t="s">
        <v>523</v>
      </c>
    </row>
    <row r="31822" spans="1:1" ht="12.75">
      <c r="A31822" s="2" t="s">
        <v>523</v>
      </c>
    </row>
    <row r="31823" spans="1:1" ht="12.75">
      <c r="A31823" s="2" t="s">
        <v>523</v>
      </c>
    </row>
    <row r="31824" spans="1:1" ht="12.75">
      <c r="A31824" s="2" t="s">
        <v>523</v>
      </c>
    </row>
    <row r="31825" spans="1:1" ht="12.75">
      <c r="A31825" s="2" t="s">
        <v>523</v>
      </c>
    </row>
    <row r="31826" spans="1:1" ht="12.75">
      <c r="A31826" s="2" t="s">
        <v>523</v>
      </c>
    </row>
    <row r="31827" spans="1:1" ht="12.75">
      <c r="A31827" s="2" t="s">
        <v>523</v>
      </c>
    </row>
    <row r="31828" spans="1:1" ht="12.75">
      <c r="A31828" s="2" t="s">
        <v>523</v>
      </c>
    </row>
    <row r="31829" spans="1:1" ht="12.75">
      <c r="A31829" s="2" t="s">
        <v>523</v>
      </c>
    </row>
    <row r="31830" spans="1:1" ht="12.75">
      <c r="A31830" s="2" t="s">
        <v>523</v>
      </c>
    </row>
    <row r="31831" spans="1:1" ht="12.75">
      <c r="A31831" s="2" t="s">
        <v>523</v>
      </c>
    </row>
    <row r="31832" spans="1:1" ht="12.75">
      <c r="A31832" s="2" t="s">
        <v>523</v>
      </c>
    </row>
    <row r="31833" spans="1:1" ht="12.75">
      <c r="A31833" s="2" t="s">
        <v>523</v>
      </c>
    </row>
    <row r="31834" spans="1:1" ht="12.75">
      <c r="A31834" s="2" t="s">
        <v>523</v>
      </c>
    </row>
    <row r="31835" spans="1:1" ht="12.75">
      <c r="A31835" s="2" t="s">
        <v>523</v>
      </c>
    </row>
    <row r="31937" spans="1:1" ht="12.75">
      <c r="A31937" s="2" t="s">
        <v>784</v>
      </c>
    </row>
    <row r="31938" spans="1:1" ht="12.75">
      <c r="A31938" s="2" t="s">
        <v>310</v>
      </c>
    </row>
    <row r="31939" spans="1:1" ht="12.75">
      <c r="A31939" s="2" t="s">
        <v>997</v>
      </c>
    </row>
    <row r="31940" spans="1:1" ht="12.75">
      <c r="A31940" s="2" t="s">
        <v>310</v>
      </c>
    </row>
    <row r="31941" spans="1:1" ht="12.75">
      <c r="A31941" s="2" t="s">
        <v>784</v>
      </c>
    </row>
    <row r="31942" spans="1:1" ht="12.75">
      <c r="A31942" s="2" t="s">
        <v>190</v>
      </c>
    </row>
    <row r="31943" spans="1:1" ht="12.75">
      <c r="A31943" s="2" t="s">
        <v>661</v>
      </c>
    </row>
    <row r="31944" spans="1:1" ht="12.75">
      <c r="A31944" s="2" t="s">
        <v>311</v>
      </c>
    </row>
    <row r="31945" spans="1:1" ht="12.75">
      <c r="A31945" s="2" t="s">
        <v>784</v>
      </c>
    </row>
    <row r="31946" spans="1:1" ht="12.75">
      <c r="A31946" s="2" t="s">
        <v>312</v>
      </c>
    </row>
    <row r="31947" spans="1:1" ht="12.75">
      <c r="A31947" s="2" t="s">
        <v>997</v>
      </c>
    </row>
    <row r="31948" spans="1:1" ht="12.75">
      <c r="A31948" s="2" t="s">
        <v>313</v>
      </c>
    </row>
    <row r="31949" spans="1:1" ht="12.75">
      <c r="A31949" s="2" t="s">
        <v>311</v>
      </c>
    </row>
    <row r="31950" spans="1:1" ht="12.75">
      <c r="A31950" s="2" t="s">
        <v>313</v>
      </c>
    </row>
    <row r="31951" spans="1:1" ht="12.75">
      <c r="A31951" s="2" t="s">
        <v>313</v>
      </c>
    </row>
    <row r="31952" spans="1:1" ht="12.75">
      <c r="A31952" s="2" t="s">
        <v>661</v>
      </c>
    </row>
    <row r="31953" spans="1:1" ht="12.75">
      <c r="A31953" s="2" t="s">
        <v>995</v>
      </c>
    </row>
    <row r="31954" spans="1:1" ht="12.75">
      <c r="A31954" s="2" t="s">
        <v>190</v>
      </c>
    </row>
    <row r="31955" spans="1:1" ht="12.75">
      <c r="A31955" s="2" t="s">
        <v>995</v>
      </c>
    </row>
    <row r="31956" spans="1:1" ht="12.75">
      <c r="A31956" s="2" t="s">
        <v>1219</v>
      </c>
    </row>
    <row r="31957" spans="1:1" ht="12.75">
      <c r="A31957" s="2" t="s">
        <v>311</v>
      </c>
    </row>
    <row r="31958" spans="1:1" ht="12.75">
      <c r="A31958" s="2" t="s">
        <v>995</v>
      </c>
    </row>
    <row r="31959" spans="1:1" ht="12.75">
      <c r="A31959" s="2" t="s">
        <v>313</v>
      </c>
    </row>
    <row r="31960" spans="1:1" ht="12.75">
      <c r="A31960" s="2" t="s">
        <v>312</v>
      </c>
    </row>
    <row r="31961" spans="1:1" ht="12.75">
      <c r="A31961" s="2" t="s">
        <v>995</v>
      </c>
    </row>
    <row r="31962" spans="1:1" ht="12.75">
      <c r="A31962" s="2" t="s">
        <v>313</v>
      </c>
    </row>
    <row r="31963" spans="1:1" ht="12.75">
      <c r="A31963" s="2" t="s">
        <v>310</v>
      </c>
    </row>
    <row r="31965" spans="1:1" ht="12.75">
      <c r="A31965" s="2" t="s">
        <v>310</v>
      </c>
    </row>
    <row r="31966" spans="1:1" ht="12.75">
      <c r="A31966" s="2" t="s">
        <v>997</v>
      </c>
    </row>
    <row r="31967" spans="1:1" ht="12.75">
      <c r="A31967" s="2" t="s">
        <v>310</v>
      </c>
    </row>
    <row r="31968" spans="1:1" ht="12.75">
      <c r="A31968" s="2" t="s">
        <v>995</v>
      </c>
    </row>
    <row r="31969" spans="1:1" ht="12.75">
      <c r="A31969" s="2" t="s">
        <v>310</v>
      </c>
    </row>
    <row r="31970" spans="1:1" ht="12.75">
      <c r="A31970" s="2" t="s">
        <v>995</v>
      </c>
    </row>
    <row r="31971" spans="1:1" ht="12.75">
      <c r="A31971" s="2" t="s">
        <v>313</v>
      </c>
    </row>
    <row r="31972" spans="1:1" ht="12.75">
      <c r="A31972" s="2" t="s">
        <v>313</v>
      </c>
    </row>
    <row r="31973" spans="1:1" ht="12.75">
      <c r="A31973" s="2" t="s">
        <v>784</v>
      </c>
    </row>
    <row r="31974" spans="1:1" ht="12.75">
      <c r="A31974" s="2" t="s">
        <v>313</v>
      </c>
    </row>
    <row r="31975" spans="1:1" ht="12.75">
      <c r="A31975" s="2" t="s">
        <v>310</v>
      </c>
    </row>
    <row r="31976" spans="1:1" ht="12.75">
      <c r="A31976" s="2" t="s">
        <v>311</v>
      </c>
    </row>
    <row r="31977" spans="1:1" ht="12.75">
      <c r="A31977" s="2" t="s">
        <v>310</v>
      </c>
    </row>
    <row r="31978" spans="1:1" ht="12.75">
      <c r="A31978" s="2" t="s">
        <v>776</v>
      </c>
    </row>
    <row r="31979" spans="1:1" ht="12.75">
      <c r="A31979" s="2" t="s">
        <v>784</v>
      </c>
    </row>
    <row r="31980" spans="1:1" ht="12.75">
      <c r="A31980" s="2" t="s">
        <v>995</v>
      </c>
    </row>
    <row r="31981" spans="1:1" ht="12.75">
      <c r="A31981" s="2" t="s">
        <v>784</v>
      </c>
    </row>
    <row r="31982" spans="1:1" ht="12.75">
      <c r="A31982" s="2" t="s">
        <v>313</v>
      </c>
    </row>
    <row r="31983" spans="1:1" ht="12.75">
      <c r="A31983" s="2" t="s">
        <v>311</v>
      </c>
    </row>
    <row r="31984" spans="1:1" ht="12.75">
      <c r="A31984" s="2" t="s">
        <v>313</v>
      </c>
    </row>
    <row r="31985" spans="1:1" ht="12.75">
      <c r="A31985" s="2" t="s">
        <v>997</v>
      </c>
    </row>
    <row r="31986" spans="1:1" ht="12.75">
      <c r="A31986" s="2" t="s">
        <v>313</v>
      </c>
    </row>
    <row r="31987" spans="1:1" ht="12.75">
      <c r="A31987" s="2" t="s">
        <v>310</v>
      </c>
    </row>
    <row r="31988" spans="1:1" ht="12.75">
      <c r="A31988" s="2" t="s">
        <v>311</v>
      </c>
    </row>
    <row r="31989" spans="1:1" ht="12.75">
      <c r="A31989" s="2" t="s">
        <v>778</v>
      </c>
    </row>
    <row r="31990" spans="1:1" ht="12.75">
      <c r="A31990" s="2" t="s">
        <v>311</v>
      </c>
    </row>
    <row r="31991" spans="1:1" ht="12.75">
      <c r="A31991" s="2" t="s">
        <v>310</v>
      </c>
    </row>
    <row r="31993" spans="1:1" ht="12.75">
      <c r="A31993" s="2" t="s">
        <v>310</v>
      </c>
    </row>
    <row r="31994" spans="1:1" ht="12.75">
      <c r="A31994" s="2" t="s">
        <v>313</v>
      </c>
    </row>
    <row r="31996" spans="1:1" ht="12.75">
      <c r="A31996" s="2" t="s">
        <v>311</v>
      </c>
    </row>
    <row r="31997" spans="1:1" ht="12.75">
      <c r="A31997" s="2" t="s">
        <v>313</v>
      </c>
    </row>
    <row r="31998" spans="1:1" ht="12.75">
      <c r="A31998" s="2" t="s">
        <v>310</v>
      </c>
    </row>
    <row r="31999" spans="1:1" ht="12.75">
      <c r="A31999" s="2" t="s">
        <v>313</v>
      </c>
    </row>
    <row r="32000" spans="1:1" ht="12.75">
      <c r="A32000" s="2" t="s">
        <v>310</v>
      </c>
    </row>
    <row r="32001" spans="1:1" ht="12.75">
      <c r="A32001" s="2" t="s">
        <v>995</v>
      </c>
    </row>
    <row r="32002" spans="1:1" ht="12.75">
      <c r="A32002" s="2" t="s">
        <v>669</v>
      </c>
    </row>
    <row r="32003" spans="1:1" ht="12.75">
      <c r="A32003" s="2" t="s">
        <v>997</v>
      </c>
    </row>
    <row r="32004" spans="1:1" ht="12.75">
      <c r="A32004" s="2" t="s">
        <v>995</v>
      </c>
    </row>
    <row r="32006" spans="1:1" ht="12.75">
      <c r="A32006" s="2" t="s">
        <v>995</v>
      </c>
    </row>
    <row r="32007" spans="1:1" ht="12.75">
      <c r="A32007" s="2" t="s">
        <v>310</v>
      </c>
    </row>
    <row r="32008" spans="1:1" ht="12.75">
      <c r="A32008" s="2" t="s">
        <v>995</v>
      </c>
    </row>
    <row r="32009" spans="1:1" ht="12.75">
      <c r="A32009" s="2" t="s">
        <v>310</v>
      </c>
    </row>
    <row r="32010" spans="1:1" ht="12.75">
      <c r="A32010" s="2" t="s">
        <v>995</v>
      </c>
    </row>
    <row r="32011" spans="1:1" ht="12.75">
      <c r="A32011" s="2" t="s">
        <v>995</v>
      </c>
    </row>
    <row r="32012" spans="1:1" ht="12.75">
      <c r="A32012" s="2" t="s">
        <v>313</v>
      </c>
    </row>
    <row r="32013" spans="1:1" ht="12.75">
      <c r="A32013" s="2" t="s">
        <v>311</v>
      </c>
    </row>
    <row r="32014" spans="1:1" ht="12.75">
      <c r="A32014" s="2" t="s">
        <v>313</v>
      </c>
    </row>
    <row r="32015" spans="1:1" ht="12.75">
      <c r="A32015" s="2" t="s">
        <v>313</v>
      </c>
    </row>
    <row r="32016" spans="1:1" ht="12.75">
      <c r="A32016" s="2" t="s">
        <v>995</v>
      </c>
    </row>
    <row r="32017" spans="1:1" ht="12.75">
      <c r="A32017" s="2" t="s">
        <v>313</v>
      </c>
    </row>
    <row r="32019" spans="1:1" ht="12.75">
      <c r="A32019" s="2" t="s">
        <v>775</v>
      </c>
    </row>
    <row r="32020" spans="1:1" ht="12.75">
      <c r="A32020" s="2" t="s">
        <v>669</v>
      </c>
    </row>
    <row r="32021" spans="1:1" ht="12.75">
      <c r="A32021" s="2" t="s">
        <v>995</v>
      </c>
    </row>
    <row r="32022" spans="1:1" ht="12.75">
      <c r="A32022" s="2" t="s">
        <v>661</v>
      </c>
    </row>
    <row r="32023" spans="1:1" ht="12.75">
      <c r="A32023" s="2" t="s">
        <v>784</v>
      </c>
    </row>
    <row r="32024" spans="1:1" ht="12.75">
      <c r="A32024" s="2" t="s">
        <v>995</v>
      </c>
    </row>
    <row r="32025" spans="1:1" ht="12.75">
      <c r="A32025" s="2" t="s">
        <v>784</v>
      </c>
    </row>
    <row r="32026" spans="1:1" ht="12.75">
      <c r="A32026" s="2" t="s">
        <v>995</v>
      </c>
    </row>
    <row r="32028" spans="1:1" ht="12.75">
      <c r="A32028" s="2" t="s">
        <v>313</v>
      </c>
    </row>
    <row r="32029" spans="1:1" ht="12.75">
      <c r="A32029" s="2" t="s">
        <v>310</v>
      </c>
    </row>
    <row r="32030" spans="1:1" ht="12.75">
      <c r="A32030" s="2" t="s">
        <v>313</v>
      </c>
    </row>
    <row r="32031" spans="1:1" ht="12.75">
      <c r="A32031" s="2" t="s">
        <v>310</v>
      </c>
    </row>
    <row r="32032" spans="1:1" ht="12.75">
      <c r="A32032" s="2" t="s">
        <v>313</v>
      </c>
    </row>
    <row r="32033" spans="1:1" ht="12.75">
      <c r="A32033" s="2" t="s">
        <v>311</v>
      </c>
    </row>
    <row r="32034" spans="1:1" ht="12.75">
      <c r="A32034" s="2" t="s">
        <v>313</v>
      </c>
    </row>
    <row r="32035" spans="1:1" ht="12.75">
      <c r="A32035" s="2" t="s">
        <v>995</v>
      </c>
    </row>
    <row r="32040" spans="1:1" ht="12.75">
      <c r="A32040" s="2" t="s">
        <v>1220</v>
      </c>
    </row>
    <row r="32042" spans="1:1" ht="12.75">
      <c r="A32042" s="2" t="s">
        <v>778</v>
      </c>
    </row>
    <row r="32043" spans="1:1" ht="12.75">
      <c r="A32043" s="2" t="s">
        <v>997</v>
      </c>
    </row>
    <row r="32044" spans="1:1" ht="12.75">
      <c r="A32044" s="2" t="s">
        <v>778</v>
      </c>
    </row>
    <row r="32045" spans="1:1" ht="12.75">
      <c r="A32045" s="2" t="s">
        <v>997</v>
      </c>
    </row>
    <row r="32047" spans="1:1" ht="12.75">
      <c r="A32047" s="2" t="s">
        <v>997</v>
      </c>
    </row>
    <row r="32048" spans="1:1" ht="12.75">
      <c r="A32048" s="2" t="s">
        <v>661</v>
      </c>
    </row>
    <row r="32049" spans="1:1" ht="12.75">
      <c r="A32049" s="2" t="s">
        <v>661</v>
      </c>
    </row>
    <row r="32050" spans="1:1" ht="12.75">
      <c r="A32050" s="2" t="s">
        <v>778</v>
      </c>
    </row>
    <row r="32051" spans="1:1" ht="12.75">
      <c r="A32051" s="2" t="s">
        <v>311</v>
      </c>
    </row>
    <row r="32052" spans="1:1" ht="12.75">
      <c r="A32052" s="2" t="s">
        <v>778</v>
      </c>
    </row>
    <row r="32053" spans="1:1" ht="12.75">
      <c r="A32053" s="2" t="s">
        <v>311</v>
      </c>
    </row>
    <row r="32055" spans="1:1" ht="12.75">
      <c r="A32055" s="2" t="s">
        <v>775</v>
      </c>
    </row>
    <row r="32056" spans="1:1" ht="12.75">
      <c r="A32056" s="2" t="s">
        <v>313</v>
      </c>
    </row>
    <row r="32057" spans="1:1" ht="12.75">
      <c r="A32057" s="2" t="s">
        <v>190</v>
      </c>
    </row>
    <row r="32058" spans="1:1" ht="12.75">
      <c r="A32058" s="2" t="s">
        <v>313</v>
      </c>
    </row>
    <row r="32059" spans="1:1" ht="12.75">
      <c r="A32059" s="2" t="s">
        <v>313</v>
      </c>
    </row>
    <row r="32060" spans="1:1" ht="12.75">
      <c r="A32060" s="2" t="s">
        <v>995</v>
      </c>
    </row>
    <row r="32061" spans="1:1" ht="12.75">
      <c r="A32061" s="2" t="s">
        <v>313</v>
      </c>
    </row>
    <row r="32062" spans="1:1" ht="12.75">
      <c r="A32062" s="2" t="s">
        <v>995</v>
      </c>
    </row>
    <row r="32063" spans="1:1" ht="12.75">
      <c r="A32063" s="2" t="s">
        <v>776</v>
      </c>
    </row>
    <row r="32064" spans="1:1" ht="12.75">
      <c r="A32064" s="2" t="s">
        <v>311</v>
      </c>
    </row>
    <row r="32065" spans="1:1" ht="12.75">
      <c r="A32065" s="2" t="s">
        <v>995</v>
      </c>
    </row>
    <row r="32066" spans="1:1" ht="12.75">
      <c r="A32066" s="2" t="s">
        <v>310</v>
      </c>
    </row>
    <row r="32067" spans="1:1" ht="12.75">
      <c r="A32067" s="2" t="s">
        <v>784</v>
      </c>
    </row>
    <row r="32068" spans="1:1" ht="12.75">
      <c r="A32068" s="2" t="s">
        <v>310</v>
      </c>
    </row>
    <row r="32069" spans="1:1" ht="12.75">
      <c r="A32069" s="2" t="s">
        <v>784</v>
      </c>
    </row>
    <row r="32070" spans="1:1" ht="12.75">
      <c r="A32070" s="2" t="s">
        <v>190</v>
      </c>
    </row>
    <row r="32071" spans="1:1" ht="12.75">
      <c r="A32071" s="2" t="s">
        <v>995</v>
      </c>
    </row>
    <row r="32072" spans="1:1" ht="12.75">
      <c r="A32072" s="2" t="s">
        <v>190</v>
      </c>
    </row>
    <row r="32073" spans="1:1" ht="12.75">
      <c r="A32073" s="2" t="s">
        <v>776</v>
      </c>
    </row>
    <row r="32074" spans="1:1" ht="12.75">
      <c r="A32074" s="2" t="s">
        <v>311</v>
      </c>
    </row>
    <row r="32075" spans="1:1" ht="12.75">
      <c r="A32075" s="2" t="s">
        <v>776</v>
      </c>
    </row>
    <row r="32076" spans="1:1" ht="12.75">
      <c r="A32076" s="2" t="s">
        <v>313</v>
      </c>
    </row>
    <row r="32077" spans="1:1" ht="12.75">
      <c r="A32077" s="2" t="s">
        <v>310</v>
      </c>
    </row>
    <row r="32078" spans="1:1" ht="12.75">
      <c r="A32078" s="2" t="s">
        <v>313</v>
      </c>
    </row>
    <row r="32079" spans="1:1" ht="12.75">
      <c r="A32079" s="2" t="s">
        <v>310</v>
      </c>
    </row>
    <row r="32080" spans="1:1" ht="12.75">
      <c r="A32080" s="2" t="s">
        <v>313</v>
      </c>
    </row>
    <row r="32081" spans="1:1" ht="12.75">
      <c r="A32081" s="2" t="s">
        <v>311</v>
      </c>
    </row>
    <row r="32082" spans="1:1" ht="12.75">
      <c r="A32082" s="2" t="s">
        <v>997</v>
      </c>
    </row>
    <row r="32083" spans="1:1" ht="12.75">
      <c r="A32083" s="2" t="s">
        <v>669</v>
      </c>
    </row>
    <row r="32084" spans="1:1" ht="12.75">
      <c r="A32084" s="2" t="s">
        <v>997</v>
      </c>
    </row>
    <row r="32085" spans="1:1" ht="12.75">
      <c r="A32085" s="2" t="s">
        <v>784</v>
      </c>
    </row>
    <row r="32086" spans="1:1" ht="12.75">
      <c r="A32086" s="2" t="s">
        <v>1207</v>
      </c>
    </row>
    <row r="32087" spans="1:1" ht="12.75">
      <c r="A32087" s="2" t="s">
        <v>784</v>
      </c>
    </row>
    <row r="32088" spans="1:1" ht="12.75">
      <c r="A32088" s="2" t="s">
        <v>784</v>
      </c>
    </row>
    <row r="32089" spans="1:1" ht="12.75">
      <c r="A32089" s="2" t="s">
        <v>669</v>
      </c>
    </row>
    <row r="32090" spans="1:1" ht="12.75">
      <c r="A32090" s="2" t="s">
        <v>784</v>
      </c>
    </row>
    <row r="32091" spans="1:1" ht="12.75">
      <c r="A32091" s="2" t="s">
        <v>775</v>
      </c>
    </row>
    <row r="32092" spans="1:1" ht="12.75">
      <c r="A32092" s="2" t="s">
        <v>190</v>
      </c>
    </row>
    <row r="32093" spans="1:1" ht="12.75">
      <c r="A32093" s="2" t="s">
        <v>997</v>
      </c>
    </row>
    <row r="32094" spans="1:1" ht="12.75">
      <c r="A32094" s="2" t="s">
        <v>778</v>
      </c>
    </row>
    <row r="32095" spans="1:1" ht="12.75">
      <c r="A32095" s="2" t="s">
        <v>997</v>
      </c>
    </row>
    <row r="32096" spans="1:1" ht="12.75">
      <c r="A32096" s="2" t="s">
        <v>778</v>
      </c>
    </row>
    <row r="32097" spans="1:1" ht="12.75">
      <c r="A32097" s="2" t="s">
        <v>190</v>
      </c>
    </row>
    <row r="32098" spans="1:1" ht="12.75">
      <c r="A32098" s="2" t="s">
        <v>177</v>
      </c>
    </row>
    <row r="32099" spans="1:1" ht="12.75">
      <c r="A32099" s="2" t="s">
        <v>778</v>
      </c>
    </row>
    <row r="32100" spans="1:1" ht="12.75">
      <c r="A32100" s="2" t="s">
        <v>190</v>
      </c>
    </row>
    <row r="32102" spans="1:1" ht="12.75">
      <c r="A32102" s="2" t="s">
        <v>190</v>
      </c>
    </row>
    <row r="32106" spans="1:1" ht="12.75">
      <c r="A32106" s="2" t="s">
        <v>778</v>
      </c>
    </row>
    <row r="32107" spans="1:1" ht="12.75">
      <c r="A32107" s="2" t="s">
        <v>997</v>
      </c>
    </row>
    <row r="32108" spans="1:1" ht="12.75">
      <c r="A32108" s="2" t="s">
        <v>1207</v>
      </c>
    </row>
    <row r="32109" spans="1:1" ht="12.75">
      <c r="A32109" s="2" t="s">
        <v>311</v>
      </c>
    </row>
    <row r="32110" spans="1:1" ht="12.75">
      <c r="A32110" s="2" t="s">
        <v>1207</v>
      </c>
    </row>
    <row r="32112" spans="1:1" ht="12.75">
      <c r="A32112" s="2" t="s">
        <v>1207</v>
      </c>
    </row>
    <row r="32113" spans="1:1" ht="12.75">
      <c r="A32113" s="2" t="s">
        <v>313</v>
      </c>
    </row>
    <row r="32114" spans="1:1" ht="12.75">
      <c r="A32114" s="2" t="s">
        <v>190</v>
      </c>
    </row>
    <row r="32115" spans="1:1" ht="12.75">
      <c r="A32115" s="2" t="s">
        <v>313</v>
      </c>
    </row>
    <row r="32117" spans="1:1" ht="12.75">
      <c r="A32117" s="2" t="s">
        <v>313</v>
      </c>
    </row>
    <row r="32118" spans="1:1" ht="12.75">
      <c r="A32118" s="2" t="s">
        <v>190</v>
      </c>
    </row>
    <row r="32119" spans="1:1" ht="12.75">
      <c r="A32119" s="2" t="s">
        <v>669</v>
      </c>
    </row>
    <row r="32120" spans="1:1" ht="12.75">
      <c r="A32120" s="2" t="s">
        <v>313</v>
      </c>
    </row>
    <row r="32121" spans="1:1" ht="12.75">
      <c r="A32121" s="2" t="s">
        <v>190</v>
      </c>
    </row>
    <row r="32122" spans="1:1" ht="12.75">
      <c r="A32122" s="2" t="s">
        <v>775</v>
      </c>
    </row>
    <row r="32123" spans="1:1" ht="12.75">
      <c r="A32123" s="2" t="s">
        <v>190</v>
      </c>
    </row>
    <row r="32124" spans="1:1" ht="12.75">
      <c r="A32124" s="2" t="s">
        <v>190</v>
      </c>
    </row>
    <row r="32125" spans="1:1" ht="12.75">
      <c r="A32125" s="2" t="s">
        <v>190</v>
      </c>
    </row>
    <row r="32127" spans="1:1" ht="12.75">
      <c r="A32127" s="2" t="s">
        <v>1207</v>
      </c>
    </row>
    <row r="32128" spans="1:1" ht="12.75">
      <c r="A32128" s="2" t="s">
        <v>997</v>
      </c>
    </row>
    <row r="32129" spans="1:1" ht="12.75">
      <c r="A32129" s="2" t="s">
        <v>311</v>
      </c>
    </row>
    <row r="32130" spans="1:1" ht="12.75">
      <c r="A32130" s="2" t="s">
        <v>669</v>
      </c>
    </row>
    <row r="32132" spans="1:1" ht="12.75">
      <c r="A32132" s="2" t="s">
        <v>784</v>
      </c>
    </row>
    <row r="32134" spans="1:1" ht="12.75">
      <c r="A32134" s="2" t="s">
        <v>784</v>
      </c>
    </row>
    <row r="32135" spans="1:1" ht="12.75">
      <c r="A32135" s="2" t="s">
        <v>313</v>
      </c>
    </row>
    <row r="32137" spans="1:1" ht="12.75">
      <c r="A32137" s="2" t="s">
        <v>313</v>
      </c>
    </row>
    <row r="32138" spans="1:1" ht="12.75">
      <c r="A32138" s="2" t="s">
        <v>660</v>
      </c>
    </row>
    <row r="32139" spans="1:1" ht="12.75">
      <c r="A32139" s="2" t="s">
        <v>669</v>
      </c>
    </row>
    <row r="32140" spans="1:1" ht="12.75">
      <c r="A32140" s="2" t="s">
        <v>313</v>
      </c>
    </row>
    <row r="32141" spans="1:1" ht="12.75">
      <c r="A32141" s="2" t="s">
        <v>1221</v>
      </c>
    </row>
    <row r="32142" spans="1:1" ht="12.75">
      <c r="A32142" s="2" t="s">
        <v>313</v>
      </c>
    </row>
    <row r="32143" spans="1:1" ht="12.75">
      <c r="A32143" s="2" t="s">
        <v>313</v>
      </c>
    </row>
    <row r="32144" spans="1:1" ht="12.75">
      <c r="A32144" s="2" t="s">
        <v>190</v>
      </c>
    </row>
    <row r="32145" spans="1:1" ht="12.75">
      <c r="A32145" s="2" t="s">
        <v>784</v>
      </c>
    </row>
    <row r="32147" spans="1:1" ht="12.75">
      <c r="A32147" s="2" t="s">
        <v>784</v>
      </c>
    </row>
    <row r="32148" spans="1:1" ht="12.75">
      <c r="A32148" s="2" t="s">
        <v>997</v>
      </c>
    </row>
    <row r="32149" spans="1:1" ht="12.75">
      <c r="A32149" s="2" t="s">
        <v>190</v>
      </c>
    </row>
    <row r="32150" spans="1:1" ht="12.75">
      <c r="A32150" s="2" t="s">
        <v>775</v>
      </c>
    </row>
    <row r="32151" spans="1:1" ht="12.75">
      <c r="A32151" s="2" t="s">
        <v>190</v>
      </c>
    </row>
    <row r="32152" spans="1:1" ht="12.75">
      <c r="A32152" s="2" t="s">
        <v>784</v>
      </c>
    </row>
    <row r="32153" spans="1:1" ht="12.75">
      <c r="A32153" s="2" t="s">
        <v>190</v>
      </c>
    </row>
    <row r="32154" spans="1:1" ht="12.75">
      <c r="A32154" s="2" t="s">
        <v>190</v>
      </c>
    </row>
    <row r="32155" spans="1:1" ht="12.75">
      <c r="A32155" s="2" t="s">
        <v>784</v>
      </c>
    </row>
    <row r="32156" spans="1:1" ht="12.75">
      <c r="A32156" s="2" t="s">
        <v>310</v>
      </c>
    </row>
    <row r="32157" spans="1:1" ht="12.75">
      <c r="A32157" s="2" t="s">
        <v>784</v>
      </c>
    </row>
    <row r="32158" spans="1:1" ht="12.75">
      <c r="A32158" s="2" t="s">
        <v>311</v>
      </c>
    </row>
    <row r="32159" spans="1:1" ht="12.75">
      <c r="A32159" s="2" t="s">
        <v>775</v>
      </c>
    </row>
    <row r="32160" spans="1:1" ht="12.75">
      <c r="A32160" s="2" t="s">
        <v>311</v>
      </c>
    </row>
    <row r="32161" spans="1:1" ht="12.75">
      <c r="A32161" s="2" t="s">
        <v>775</v>
      </c>
    </row>
    <row r="32162" spans="1:1" ht="12.75">
      <c r="A32162" s="2" t="s">
        <v>311</v>
      </c>
    </row>
    <row r="32163" spans="1:1" ht="12.75">
      <c r="A32163" s="2" t="s">
        <v>190</v>
      </c>
    </row>
    <row r="32164" spans="1:1" ht="12.75">
      <c r="A32164" s="2" t="s">
        <v>313</v>
      </c>
    </row>
    <row r="32165" spans="1:1" ht="12.75">
      <c r="A32165" s="2" t="s">
        <v>311</v>
      </c>
    </row>
    <row r="32166" spans="1:1" ht="12.75">
      <c r="A32166" s="2" t="s">
        <v>310</v>
      </c>
    </row>
    <row r="32167" spans="1:1" ht="12.75">
      <c r="A32167" s="2" t="s">
        <v>313</v>
      </c>
    </row>
    <row r="32168" spans="1:1" ht="12.75">
      <c r="A32168" s="2" t="s">
        <v>311</v>
      </c>
    </row>
    <row r="32169" spans="1:1" ht="12.75">
      <c r="A32169" s="2" t="s">
        <v>313</v>
      </c>
    </row>
    <row r="32170" spans="1:1" ht="12.75">
      <c r="A32170" s="2" t="s">
        <v>313</v>
      </c>
    </row>
    <row r="32171" spans="1:1" ht="12.75">
      <c r="A32171" s="2" t="s">
        <v>995</v>
      </c>
    </row>
    <row r="32172" spans="1:1" ht="12.75">
      <c r="A32172" s="2" t="s">
        <v>313</v>
      </c>
    </row>
    <row r="32173" spans="1:1" ht="12.75">
      <c r="A32173" s="2" t="s">
        <v>995</v>
      </c>
    </row>
    <row r="32174" spans="1:1" ht="12.75">
      <c r="A32174" s="2" t="s">
        <v>313</v>
      </c>
    </row>
    <row r="32175" spans="1:1" ht="12.75">
      <c r="A32175" s="2" t="s">
        <v>310</v>
      </c>
    </row>
    <row r="32177" spans="1:1" ht="12.75">
      <c r="A32177" s="2" t="s">
        <v>997</v>
      </c>
    </row>
    <row r="32178" spans="1:1" ht="12.75">
      <c r="A32178" s="2" t="s">
        <v>311</v>
      </c>
    </row>
    <row r="32179" spans="1:1" ht="12.75">
      <c r="A32179" s="2" t="s">
        <v>997</v>
      </c>
    </row>
    <row r="32180" spans="1:1" ht="12.75">
      <c r="A32180" s="2" t="s">
        <v>313</v>
      </c>
    </row>
    <row r="32181" spans="1:1" ht="12.75">
      <c r="A32181" s="2" t="s">
        <v>784</v>
      </c>
    </row>
    <row r="32182" spans="1:1" ht="12.75">
      <c r="A32182" s="2">
        <v>475</v>
      </c>
    </row>
    <row r="32183" spans="1:1" ht="12.75">
      <c r="A32183" s="2" t="s">
        <v>1207</v>
      </c>
    </row>
    <row r="32184" spans="1:1" ht="12.75">
      <c r="A32184" s="2" t="s">
        <v>995</v>
      </c>
    </row>
    <row r="32185" spans="1:1" ht="12.75">
      <c r="A32185" s="2" t="s">
        <v>784</v>
      </c>
    </row>
    <row r="32186" spans="1:1" ht="12.75">
      <c r="A32186" s="2" t="s">
        <v>995</v>
      </c>
    </row>
    <row r="32187" spans="1:1" ht="12.75">
      <c r="A32187" s="2" t="s">
        <v>190</v>
      </c>
    </row>
    <row r="32188" spans="1:1" ht="12.75">
      <c r="A32188" s="2" t="s">
        <v>669</v>
      </c>
    </row>
    <row r="32189" spans="1:1" ht="12.75">
      <c r="A32189" s="2" t="s">
        <v>190</v>
      </c>
    </row>
    <row r="32190" spans="1:1" ht="12.75">
      <c r="A32190" s="2" t="s">
        <v>669</v>
      </c>
    </row>
    <row r="32191" spans="1:1" ht="12.75">
      <c r="A32191" s="2" t="s">
        <v>190</v>
      </c>
    </row>
    <row r="32193" spans="1:1" ht="12.75">
      <c r="A32193" s="2" t="s">
        <v>1207</v>
      </c>
    </row>
    <row r="32194" spans="1:1" ht="12.75">
      <c r="A32194" s="2" t="s">
        <v>190</v>
      </c>
    </row>
    <row r="32195" spans="1:1" ht="12.75">
      <c r="A32195" s="2" t="s">
        <v>313</v>
      </c>
    </row>
    <row r="32197" spans="1:1" ht="12.75">
      <c r="A32197" s="2" t="s">
        <v>669</v>
      </c>
    </row>
    <row r="32198" spans="1:1" ht="12.75">
      <c r="A32198" s="2" t="s">
        <v>778</v>
      </c>
    </row>
    <row r="32199" spans="1:1" ht="12.75">
      <c r="A32199" s="2" t="s">
        <v>313</v>
      </c>
    </row>
    <row r="32200" spans="1:1" ht="12.75">
      <c r="A32200" s="2" t="s">
        <v>778</v>
      </c>
    </row>
    <row r="32201" spans="1:1" ht="12.75">
      <c r="A32201" s="2" t="s">
        <v>311</v>
      </c>
    </row>
    <row r="32205" spans="1:1" ht="12.75">
      <c r="A32205" s="2" t="s">
        <v>313</v>
      </c>
    </row>
    <row r="32207" spans="1:1" ht="12.75">
      <c r="A32207" s="2" t="s">
        <v>1207</v>
      </c>
    </row>
    <row r="32208" spans="1:1" ht="12.75">
      <c r="A32208" s="2" t="s">
        <v>1207</v>
      </c>
    </row>
    <row r="32209" spans="1:1" ht="12.75">
      <c r="A32209" s="2" t="s">
        <v>1207</v>
      </c>
    </row>
    <row r="32210" spans="1:1" ht="12.75">
      <c r="A32210" s="2" t="s">
        <v>997</v>
      </c>
    </row>
    <row r="32211" spans="1:1" ht="12.75">
      <c r="A32211" s="2" t="s">
        <v>778</v>
      </c>
    </row>
    <row r="32212" spans="1:1" ht="12.75">
      <c r="A32212" s="2" t="s">
        <v>997</v>
      </c>
    </row>
    <row r="32213" spans="1:1" ht="12.75">
      <c r="A32213" s="2" t="s">
        <v>778</v>
      </c>
    </row>
    <row r="32214" spans="1:1" ht="12.75">
      <c r="A32214" s="2" t="s">
        <v>1207</v>
      </c>
    </row>
    <row r="32215" spans="1:1" ht="12.75">
      <c r="A32215" s="2" t="s">
        <v>775</v>
      </c>
    </row>
    <row r="32216" spans="1:1" ht="12.75">
      <c r="A32216" s="2" t="s">
        <v>190</v>
      </c>
    </row>
    <row r="32217" spans="1:1" ht="12.75">
      <c r="A32217" s="2" t="s">
        <v>997</v>
      </c>
    </row>
    <row r="32218" spans="1:1" ht="12.75">
      <c r="A32218" s="2" t="s">
        <v>190</v>
      </c>
    </row>
    <row r="32221" spans="1:1" ht="12.75">
      <c r="A32221" s="2" t="s">
        <v>190</v>
      </c>
    </row>
    <row r="32222" spans="1:1" ht="12.75">
      <c r="A32222" s="2" t="s">
        <v>311</v>
      </c>
    </row>
    <row r="32223" spans="1:1" ht="12.75">
      <c r="A32223" s="2" t="s">
        <v>784</v>
      </c>
    </row>
    <row r="32224" spans="1:1" ht="12.75">
      <c r="A32224" s="2" t="s">
        <v>313</v>
      </c>
    </row>
    <row r="32225" spans="1:1" ht="12.75">
      <c r="A32225" s="2" t="s">
        <v>784</v>
      </c>
    </row>
    <row r="32226" spans="1:1" ht="12.75">
      <c r="A32226" s="2" t="s">
        <v>313</v>
      </c>
    </row>
    <row r="32227" spans="1:1" ht="12.75">
      <c r="A32227" s="2" t="s">
        <v>190</v>
      </c>
    </row>
    <row r="32229" spans="1:1" ht="12.75">
      <c r="A32229" s="2" t="s">
        <v>313</v>
      </c>
    </row>
    <row r="32230" spans="1:1" ht="12.75">
      <c r="A32230" s="2" t="s">
        <v>313</v>
      </c>
    </row>
    <row r="32231" spans="1:1" ht="12.75">
      <c r="A32231" s="2" t="s">
        <v>313</v>
      </c>
    </row>
    <row r="32232" spans="1:1" ht="12.75">
      <c r="A32232" s="2" t="s">
        <v>778</v>
      </c>
    </row>
    <row r="32233" spans="1:1" ht="12.75">
      <c r="A32233" s="2" t="s">
        <v>1207</v>
      </c>
    </row>
    <row r="32235" spans="1:1" ht="12.75">
      <c r="A32235" s="2" t="s">
        <v>1207</v>
      </c>
    </row>
    <row r="32237" spans="1:1" ht="12.75">
      <c r="A32237" s="2" t="s">
        <v>1207</v>
      </c>
    </row>
    <row r="32239" spans="1:1" ht="12.75">
      <c r="A32239" s="2" t="s">
        <v>669</v>
      </c>
    </row>
    <row r="32240" spans="1:1" ht="12.75">
      <c r="A32240" s="2" t="s">
        <v>1207</v>
      </c>
    </row>
    <row r="32241" spans="1:1" ht="12.75">
      <c r="A32241" s="2" t="s">
        <v>311</v>
      </c>
    </row>
    <row r="32298" spans="1:1" ht="12.75">
      <c r="A32298" s="2" t="s">
        <v>184</v>
      </c>
    </row>
    <row r="32342" spans="1:1" ht="12.75">
      <c r="A32342" s="2" t="s">
        <v>1222</v>
      </c>
    </row>
    <row r="32351" spans="1:1" ht="12.75">
      <c r="A32351" s="2" t="s">
        <v>363</v>
      </c>
    </row>
    <row r="32352" spans="1:1" ht="12.75">
      <c r="A32352" s="2" t="s">
        <v>363</v>
      </c>
    </row>
    <row r="32353" spans="1:1" ht="12.75">
      <c r="A32353" s="2" t="s">
        <v>363</v>
      </c>
    </row>
    <row r="32354" spans="1:1" ht="12.75">
      <c r="A32354" s="2" t="s">
        <v>363</v>
      </c>
    </row>
    <row r="32355" spans="1:1" ht="12.75">
      <c r="A32355" s="2" t="s">
        <v>363</v>
      </c>
    </row>
    <row r="32356" spans="1:1" ht="12.75">
      <c r="A32356" s="2" t="s">
        <v>363</v>
      </c>
    </row>
    <row r="32357" spans="1:1" ht="12.75">
      <c r="A32357" s="2" t="s">
        <v>177</v>
      </c>
    </row>
    <row r="32358" spans="1:1" ht="12.75">
      <c r="A32358" s="2" t="s">
        <v>176</v>
      </c>
    </row>
    <row r="32359" spans="1:1" ht="12.75">
      <c r="A32359" s="2" t="s">
        <v>165</v>
      </c>
    </row>
    <row r="32360" spans="1:1" ht="12.75">
      <c r="A32360" s="2" t="s">
        <v>166</v>
      </c>
    </row>
    <row r="32361" spans="1:1" ht="12.75">
      <c r="A32361" s="2" t="s">
        <v>181</v>
      </c>
    </row>
    <row r="32362" spans="1:1" ht="12.75">
      <c r="A32362" s="2" t="s">
        <v>182</v>
      </c>
    </row>
    <row r="32363" spans="1:1" ht="12.75">
      <c r="A32363" s="2" t="s">
        <v>182</v>
      </c>
    </row>
    <row r="32364" spans="1:1" ht="12.75">
      <c r="A32364" s="2" t="s">
        <v>183</v>
      </c>
    </row>
    <row r="32365" spans="1:1" ht="12.75">
      <c r="A32365" s="2" t="s">
        <v>182</v>
      </c>
    </row>
    <row r="32366" spans="1:1" ht="12.75">
      <c r="A32366" s="2" t="s">
        <v>183</v>
      </c>
    </row>
    <row r="32367" spans="1:1" ht="12.75">
      <c r="A32367" s="2" t="s">
        <v>224</v>
      </c>
    </row>
    <row r="32368" spans="1:1" ht="12.75">
      <c r="A32368" s="2" t="s">
        <v>217</v>
      </c>
    </row>
    <row r="32369" spans="1:1" ht="12.75">
      <c r="A32369" s="2" t="s">
        <v>217</v>
      </c>
    </row>
    <row r="32370" spans="1:1" ht="12.75">
      <c r="A32370" s="2" t="s">
        <v>193</v>
      </c>
    </row>
    <row r="32371" spans="1:1" ht="12.75">
      <c r="A32371" s="2" t="s">
        <v>393</v>
      </c>
    </row>
    <row r="32372" spans="1:1" ht="12.75">
      <c r="A32372" s="2" t="s">
        <v>193</v>
      </c>
    </row>
    <row r="32373" spans="1:1" ht="12.75">
      <c r="A32373" s="2" t="s">
        <v>217</v>
      </c>
    </row>
    <row r="32374" spans="1:1" ht="12.75">
      <c r="A32374" s="2" t="s">
        <v>181</v>
      </c>
    </row>
    <row r="32375" spans="1:1" ht="12.75">
      <c r="A32375" s="2" t="s">
        <v>217</v>
      </c>
    </row>
    <row r="32376" spans="1:1" ht="12.75">
      <c r="A32376" s="2" t="s">
        <v>181</v>
      </c>
    </row>
    <row r="32377" spans="1:1" ht="12.75">
      <c r="A32377" s="2" t="s">
        <v>734</v>
      </c>
    </row>
    <row r="32378" spans="1:1" ht="12.75">
      <c r="A32378" s="2" t="s">
        <v>224</v>
      </c>
    </row>
    <row r="32379" spans="1:1" ht="12.75">
      <c r="A32379" s="2" t="s">
        <v>169</v>
      </c>
    </row>
    <row r="32380" spans="1:1" ht="12.75">
      <c r="A32380" s="2" t="s">
        <v>224</v>
      </c>
    </row>
    <row r="32381" spans="1:1" ht="12.75">
      <c r="A32381" s="2" t="s">
        <v>224</v>
      </c>
    </row>
    <row r="32382" spans="1:1" ht="12.75">
      <c r="A32382" s="2" t="s">
        <v>224</v>
      </c>
    </row>
    <row r="32383" spans="1:1" ht="12.75">
      <c r="A32383" s="2" t="s">
        <v>224</v>
      </c>
    </row>
    <row r="32385" spans="1:1" ht="12.75">
      <c r="A32385" s="2" t="s">
        <v>741</v>
      </c>
    </row>
    <row r="32387" spans="1:1" ht="12.75">
      <c r="A32387" s="2" t="s">
        <v>1223</v>
      </c>
    </row>
    <row r="32389" spans="1:1" ht="12.75">
      <c r="A32389" s="2" t="s">
        <v>159</v>
      </c>
    </row>
    <row r="32390" spans="1:1" ht="12.75">
      <c r="A32390" s="2" t="s">
        <v>734</v>
      </c>
    </row>
    <row r="32391" spans="1:1" ht="12.75">
      <c r="A32391" s="2" t="s">
        <v>743</v>
      </c>
    </row>
    <row r="32392" spans="1:1" ht="12.75">
      <c r="A32392" s="2" t="s">
        <v>1223</v>
      </c>
    </row>
    <row r="32393" spans="1:1" ht="12.75">
      <c r="A32393" s="2" t="s">
        <v>741</v>
      </c>
    </row>
    <row r="32394" spans="1:1" ht="12.75">
      <c r="A32394" s="2" t="s">
        <v>741</v>
      </c>
    </row>
    <row r="32395" spans="1:1" ht="12.75">
      <c r="A32395" s="2" t="s">
        <v>1224</v>
      </c>
    </row>
    <row r="32396" spans="1:1" ht="12.75">
      <c r="A32396" s="2" t="s">
        <v>743</v>
      </c>
    </row>
    <row r="32397" spans="1:1" ht="12.75">
      <c r="A32397" s="2" t="s">
        <v>1224</v>
      </c>
    </row>
    <row r="32398" spans="1:1" ht="12.75">
      <c r="A32398" s="2" t="s">
        <v>743</v>
      </c>
    </row>
    <row r="32399" spans="1:1" ht="12.75">
      <c r="A32399" s="2" t="s">
        <v>804</v>
      </c>
    </row>
    <row r="32400" spans="1:1" ht="12.75">
      <c r="A32400" s="2" t="s">
        <v>743</v>
      </c>
    </row>
    <row r="32401" spans="1:1" ht="12.75">
      <c r="A32401" s="2" t="s">
        <v>741</v>
      </c>
    </row>
    <row r="32402" spans="1:1" ht="12.75">
      <c r="A32402" s="2" t="s">
        <v>1223</v>
      </c>
    </row>
    <row r="32403" spans="1:1" ht="12.75">
      <c r="A32403" s="2" t="s">
        <v>1225</v>
      </c>
    </row>
    <row r="32404" spans="1:1" ht="12.75">
      <c r="A32404" s="2" t="s">
        <v>1224</v>
      </c>
    </row>
    <row r="32405" spans="1:1" ht="12.75">
      <c r="A32405" s="2" t="s">
        <v>177</v>
      </c>
    </row>
    <row r="32406" spans="1:1" ht="12.75">
      <c r="A32406" s="2" t="s">
        <v>172</v>
      </c>
    </row>
    <row r="32407" spans="1:1" ht="12.75">
      <c r="A32407" s="2" t="s">
        <v>184</v>
      </c>
    </row>
    <row r="32408" spans="1:1" ht="12.75">
      <c r="A32408" s="2" t="s">
        <v>176</v>
      </c>
    </row>
    <row r="32409" spans="1:1" ht="12.75">
      <c r="A32409" s="2" t="s">
        <v>184</v>
      </c>
    </row>
    <row r="32410" spans="1:1" ht="12.75">
      <c r="A32410" s="2" t="s">
        <v>176</v>
      </c>
    </row>
    <row r="32411" spans="1:1" ht="12.75">
      <c r="A32411" s="2" t="s">
        <v>184</v>
      </c>
    </row>
    <row r="32412" spans="1:1" ht="12.75">
      <c r="A32412" s="2" t="s">
        <v>176</v>
      </c>
    </row>
    <row r="32413" spans="1:1" ht="12.75">
      <c r="A32413" s="2" t="s">
        <v>172</v>
      </c>
    </row>
    <row r="32414" spans="1:1" ht="12.75">
      <c r="A32414" s="2" t="s">
        <v>165</v>
      </c>
    </row>
    <row r="32415" spans="1:1" ht="12.75">
      <c r="A32415" s="2" t="s">
        <v>172</v>
      </c>
    </row>
    <row r="32416" spans="1:1" ht="12.75">
      <c r="A32416" s="2" t="s">
        <v>169</v>
      </c>
    </row>
    <row r="32417" spans="1:1" ht="12.75">
      <c r="A32417" s="2" t="s">
        <v>182</v>
      </c>
    </row>
    <row r="32419" spans="1:1" ht="12.75">
      <c r="A32419" s="2" t="s">
        <v>182</v>
      </c>
    </row>
    <row r="32421" spans="1:1" ht="12.75">
      <c r="A32421" s="2" t="s">
        <v>177</v>
      </c>
    </row>
    <row r="32423" spans="1:1" ht="12.75">
      <c r="A32423" s="2" t="s">
        <v>177</v>
      </c>
    </row>
    <row r="32424" spans="1:1" ht="12.75">
      <c r="A32424" s="2" t="s">
        <v>182</v>
      </c>
    </row>
    <row r="32425" spans="1:1" ht="12.75">
      <c r="A32425" s="2" t="s">
        <v>163</v>
      </c>
    </row>
    <row r="32426" spans="1:1" ht="12.75">
      <c r="A32426" s="2" t="s">
        <v>162</v>
      </c>
    </row>
    <row r="32427" spans="1:1" ht="12.75">
      <c r="A32427" s="2" t="s">
        <v>163</v>
      </c>
    </row>
    <row r="32428" spans="1:1" ht="12.75">
      <c r="A32428" s="2" t="s">
        <v>193</v>
      </c>
    </row>
    <row r="32429" spans="1:1" ht="12.75">
      <c r="A32429" s="2" t="s">
        <v>182</v>
      </c>
    </row>
    <row r="32430" spans="1:1" ht="12.75">
      <c r="A32430" s="2" t="s">
        <v>193</v>
      </c>
    </row>
    <row r="32431" spans="1:1" ht="12.75">
      <c r="A32431" s="2" t="s">
        <v>162</v>
      </c>
    </row>
    <row r="32432" spans="1:1" ht="12.75">
      <c r="A32432" s="2" t="s">
        <v>193</v>
      </c>
    </row>
    <row r="32433" spans="1:1" ht="12.75">
      <c r="A32433" s="2" t="s">
        <v>171</v>
      </c>
    </row>
    <row r="32434" spans="1:1" ht="12.75">
      <c r="A32434" s="2" t="s">
        <v>193</v>
      </c>
    </row>
    <row r="32436" spans="1:1" ht="12.75">
      <c r="A32436" s="2" t="s">
        <v>175</v>
      </c>
    </row>
    <row r="32438" spans="1:1" ht="12.75">
      <c r="A32438" s="2" t="s">
        <v>175</v>
      </c>
    </row>
    <row r="32440" spans="1:1" ht="12.75">
      <c r="A32440" s="2" t="s">
        <v>163</v>
      </c>
    </row>
    <row r="32441" spans="1:1" ht="12.75">
      <c r="A32441" s="2" t="s">
        <v>224</v>
      </c>
    </row>
    <row r="32442" spans="1:1" ht="12.75">
      <c r="A32442" s="2" t="s">
        <v>217</v>
      </c>
    </row>
    <row r="32443" spans="1:1" ht="12.75">
      <c r="A32443" s="2" t="s">
        <v>224</v>
      </c>
    </row>
    <row r="32444" spans="1:1" ht="12.75">
      <c r="A32444" s="2" t="s">
        <v>734</v>
      </c>
    </row>
    <row r="32445" spans="1:1" ht="12.75">
      <c r="A32445" s="2" t="s">
        <v>224</v>
      </c>
    </row>
    <row r="32446" spans="1:1" ht="12.75">
      <c r="A32446" s="2" t="s">
        <v>734</v>
      </c>
    </row>
    <row r="32447" spans="1:1" ht="12.75">
      <c r="A32447" s="2" t="s">
        <v>217</v>
      </c>
    </row>
    <row r="32448" spans="1:1" ht="12.75">
      <c r="A32448" s="2" t="s">
        <v>734</v>
      </c>
    </row>
    <row r="32449" spans="1:1" ht="12.75">
      <c r="A32449" s="2" t="s">
        <v>217</v>
      </c>
    </row>
    <row r="32450" spans="1:1" ht="12.75">
      <c r="A32450" s="2" t="s">
        <v>223</v>
      </c>
    </row>
    <row r="32451" spans="1:1" ht="12.75">
      <c r="A32451" s="2" t="s">
        <v>217</v>
      </c>
    </row>
    <row r="32452" spans="1:1" ht="12.75">
      <c r="A32452" s="2" t="s">
        <v>223</v>
      </c>
    </row>
    <row r="32453" spans="1:1" ht="12.75">
      <c r="A32453" s="2" t="s">
        <v>737</v>
      </c>
    </row>
    <row r="32454" spans="1:1" ht="12.75">
      <c r="A32454" s="2" t="s">
        <v>733</v>
      </c>
    </row>
    <row r="32455" spans="1:1" ht="12.75">
      <c r="A32455" s="2" t="s">
        <v>160</v>
      </c>
    </row>
    <row r="32456" spans="1:1" ht="12.75">
      <c r="A32456" s="2" t="s">
        <v>734</v>
      </c>
    </row>
    <row r="32457" spans="1:1" ht="12.75">
      <c r="A32457" s="2" t="s">
        <v>167</v>
      </c>
    </row>
    <row r="32458" spans="1:1" ht="12.75">
      <c r="A32458" s="2" t="s">
        <v>735</v>
      </c>
    </row>
    <row r="32459" spans="1:1" ht="12.75">
      <c r="A32459" s="2" t="s">
        <v>1226</v>
      </c>
    </row>
    <row r="32460" spans="1:1" ht="12.75">
      <c r="A32460" s="2" t="s">
        <v>734</v>
      </c>
    </row>
    <row r="32461" spans="1:1" ht="12.75">
      <c r="A32461" s="2" t="s">
        <v>172</v>
      </c>
    </row>
    <row r="32463" spans="1:1" ht="12.75">
      <c r="A32463" s="2" t="s">
        <v>172</v>
      </c>
    </row>
    <row r="32464" spans="1:1" ht="12.75">
      <c r="A32464" s="2" t="s">
        <v>174</v>
      </c>
    </row>
    <row r="32465" spans="1:1" ht="12.75">
      <c r="A32465" s="2" t="s">
        <v>225</v>
      </c>
    </row>
    <row r="32466" spans="1:1" ht="12.75">
      <c r="A32466" s="2" t="s">
        <v>174</v>
      </c>
    </row>
    <row r="32467" spans="1:1" ht="12.75">
      <c r="A32467" s="2" t="s">
        <v>225</v>
      </c>
    </row>
    <row r="32468" spans="1:1" ht="12.75">
      <c r="A32468" s="2" t="s">
        <v>160</v>
      </c>
    </row>
    <row r="32469" spans="1:1" ht="12.75">
      <c r="A32469" s="2" t="s">
        <v>183</v>
      </c>
    </row>
    <row r="32470" spans="1:1" ht="12.75">
      <c r="A32470" s="2" t="s">
        <v>165</v>
      </c>
    </row>
    <row r="32471" spans="1:1" ht="12.75">
      <c r="A32471" s="2" t="s">
        <v>177</v>
      </c>
    </row>
    <row r="32472" spans="1:1" ht="12.75">
      <c r="A32472" s="2" t="s">
        <v>165</v>
      </c>
    </row>
    <row r="32473" spans="1:1" ht="12.75">
      <c r="A32473" s="2" t="s">
        <v>177</v>
      </c>
    </row>
    <row r="32474" spans="1:1" ht="12.75">
      <c r="A32474" s="2" t="s">
        <v>176</v>
      </c>
    </row>
    <row r="32475" spans="1:1" ht="12.75">
      <c r="A32475" s="2" t="s">
        <v>343</v>
      </c>
    </row>
    <row r="32476" spans="1:1" ht="12.75">
      <c r="A32476" s="2" t="s">
        <v>343</v>
      </c>
    </row>
    <row r="32477" spans="1:1" ht="12.75">
      <c r="A32477" s="2" t="s">
        <v>343</v>
      </c>
    </row>
    <row r="32478" spans="1:1" ht="12.75">
      <c r="A32478" s="2" t="s">
        <v>343</v>
      </c>
    </row>
    <row r="32479" spans="1:1" ht="12.75">
      <c r="A32479" s="2" t="s">
        <v>343</v>
      </c>
    </row>
    <row r="32480" spans="1:1" ht="12.75">
      <c r="A32480" s="2" t="s">
        <v>343</v>
      </c>
    </row>
    <row r="32481" spans="1:1" ht="12.75">
      <c r="A32481" s="2" t="s">
        <v>343</v>
      </c>
    </row>
    <row r="32482" spans="1:1" ht="12.75">
      <c r="A32482" s="2" t="s">
        <v>743</v>
      </c>
    </row>
    <row r="32494" spans="1:1" ht="12.75">
      <c r="A32494" s="2" t="s">
        <v>274</v>
      </c>
    </row>
    <row r="32495" spans="1:1" ht="12.75">
      <c r="A32495" s="2" t="s">
        <v>178</v>
      </c>
    </row>
    <row r="32496" spans="1:1" ht="12.75">
      <c r="A32496" s="2" t="s">
        <v>274</v>
      </c>
    </row>
    <row r="32497" spans="1:1" ht="12.75">
      <c r="A32497" s="2" t="s">
        <v>178</v>
      </c>
    </row>
    <row r="32499" spans="1:1" ht="12.75">
      <c r="A32499" s="2" t="s">
        <v>225</v>
      </c>
    </row>
    <row r="32501" spans="1:1" ht="12.75">
      <c r="A32501" s="2" t="s">
        <v>225</v>
      </c>
    </row>
    <row r="32503" spans="1:1" ht="12.75">
      <c r="A32503" s="2" t="s">
        <v>169</v>
      </c>
    </row>
    <row r="32504" spans="1:1" ht="12.75">
      <c r="A32504" s="2" t="s">
        <v>160</v>
      </c>
    </row>
    <row r="32505" spans="1:1" ht="12.75">
      <c r="A32505" s="2" t="s">
        <v>169</v>
      </c>
    </row>
    <row r="32506" spans="1:1" ht="12.75">
      <c r="A32506" s="2" t="s">
        <v>160</v>
      </c>
    </row>
    <row r="32507" spans="1:1" ht="12.75">
      <c r="A32507" s="2" t="s">
        <v>169</v>
      </c>
    </row>
    <row r="32508" spans="1:1" ht="12.75">
      <c r="A32508" s="2" t="s">
        <v>185</v>
      </c>
    </row>
    <row r="32509" spans="1:1" ht="12.75">
      <c r="A32509" s="2" t="s">
        <v>160</v>
      </c>
    </row>
    <row r="32510" spans="1:1" ht="12.75">
      <c r="A32510" s="2" t="s">
        <v>185</v>
      </c>
    </row>
    <row r="32511" spans="1:1" ht="12.75">
      <c r="A32511" s="2" t="s">
        <v>162</v>
      </c>
    </row>
    <row r="32512" spans="1:1" ht="12.75">
      <c r="A32512" s="2" t="s">
        <v>165</v>
      </c>
    </row>
    <row r="32513" spans="1:1" ht="12.75">
      <c r="A32513" s="2" t="s">
        <v>162</v>
      </c>
    </row>
    <row r="32514" spans="1:1" ht="12.75">
      <c r="A32514" s="2" t="s">
        <v>166</v>
      </c>
    </row>
    <row r="32516" spans="1:1" ht="12.75">
      <c r="A32516" s="2" t="s">
        <v>166</v>
      </c>
    </row>
    <row r="32517" spans="1:1" ht="12.75">
      <c r="A32517" s="2" t="s">
        <v>221</v>
      </c>
    </row>
    <row r="32518" spans="1:1" ht="12.75">
      <c r="A32518" s="2" t="s">
        <v>166</v>
      </c>
    </row>
    <row r="32519" spans="1:1" ht="12.75">
      <c r="A32519" s="2" t="s">
        <v>185</v>
      </c>
    </row>
    <row r="32520" spans="1:1" ht="12.75">
      <c r="A32520" s="2" t="s">
        <v>175</v>
      </c>
    </row>
    <row r="32521" spans="1:1" ht="12.75">
      <c r="A32521" s="2" t="s">
        <v>185</v>
      </c>
    </row>
    <row r="32522" spans="1:1" ht="12.75">
      <c r="A32522" s="2" t="s">
        <v>163</v>
      </c>
    </row>
    <row r="32523" spans="1:1" ht="12.75">
      <c r="A32523" s="2" t="s">
        <v>185</v>
      </c>
    </row>
    <row r="32524" spans="1:1" ht="12.75">
      <c r="A32524" s="2" t="s">
        <v>163</v>
      </c>
    </row>
    <row r="32525" spans="1:1" ht="12.75">
      <c r="A32525" s="2" t="s">
        <v>175</v>
      </c>
    </row>
    <row r="32526" spans="1:1" ht="12.75">
      <c r="A32526" s="2" t="s">
        <v>163</v>
      </c>
    </row>
    <row r="32527" spans="1:1" ht="12.75">
      <c r="A32527" s="2" t="s">
        <v>175</v>
      </c>
    </row>
    <row r="32528" spans="1:1" ht="12.75">
      <c r="A32528" s="2" t="s">
        <v>162</v>
      </c>
    </row>
    <row r="32529" spans="1:1" ht="12.75">
      <c r="A32529" s="2" t="s">
        <v>176</v>
      </c>
    </row>
    <row r="32530" spans="1:1" ht="12.75">
      <c r="A32530" s="2" t="s">
        <v>225</v>
      </c>
    </row>
    <row r="32531" spans="1:1" ht="12.75">
      <c r="A32531" s="2" t="s">
        <v>189</v>
      </c>
    </row>
    <row r="32532" spans="1:1" ht="12.75">
      <c r="A32532" s="2" t="s">
        <v>225</v>
      </c>
    </row>
    <row r="32533" spans="1:1" ht="12.75">
      <c r="A32533" s="2" t="s">
        <v>442</v>
      </c>
    </row>
    <row r="32534" spans="1:1" ht="12.75">
      <c r="A32534" s="2" t="s">
        <v>173</v>
      </c>
    </row>
    <row r="32535" spans="1:1" ht="12.75">
      <c r="A32535" s="2" t="s">
        <v>191</v>
      </c>
    </row>
    <row r="32536" spans="1:1" ht="12.75">
      <c r="A32536" s="2" t="s">
        <v>173</v>
      </c>
    </row>
    <row r="32537" spans="1:1" ht="12.75">
      <c r="A32537" s="2" t="s">
        <v>191</v>
      </c>
    </row>
    <row r="32538" spans="1:1" ht="12.75">
      <c r="A32538" s="2" t="s">
        <v>173</v>
      </c>
    </row>
    <row r="32539" spans="1:1" ht="12.75">
      <c r="A32539" s="2" t="s">
        <v>191</v>
      </c>
    </row>
    <row r="32540" spans="1:1" ht="12.75">
      <c r="A32540" s="2" t="s">
        <v>177</v>
      </c>
    </row>
    <row r="32541" spans="1:1" ht="12.75">
      <c r="A32541" s="2" t="s">
        <v>196</v>
      </c>
    </row>
    <row r="32542" spans="1:1" ht="12.75">
      <c r="A32542" s="2" t="s">
        <v>170</v>
      </c>
    </row>
    <row r="32543" spans="1:1" ht="12.75">
      <c r="A32543" s="2" t="s">
        <v>196</v>
      </c>
    </row>
    <row r="32544" spans="1:1" ht="12.75">
      <c r="A32544" s="2" t="s">
        <v>170</v>
      </c>
    </row>
    <row r="32545" spans="1:1" ht="12.75">
      <c r="A32545" s="2" t="s">
        <v>196</v>
      </c>
    </row>
    <row r="32546" spans="1:1" ht="12.75">
      <c r="A32546" s="2" t="s">
        <v>170</v>
      </c>
    </row>
    <row r="32547" spans="1:1" ht="12.75">
      <c r="A32547" s="2" t="s">
        <v>196</v>
      </c>
    </row>
    <row r="32548" spans="1:1" ht="12.75">
      <c r="A32548" s="2" t="s">
        <v>170</v>
      </c>
    </row>
    <row r="32549" spans="1:1" ht="12.75">
      <c r="A32549" s="2" t="s">
        <v>743</v>
      </c>
    </row>
    <row r="32550" spans="1:1" ht="12.75">
      <c r="A32550" s="2" t="s">
        <v>223</v>
      </c>
    </row>
    <row r="32551" spans="1:1" ht="12.75">
      <c r="A32551" s="2" t="s">
        <v>741</v>
      </c>
    </row>
    <row r="32552" spans="1:1" ht="12.75">
      <c r="A32552" s="2" t="s">
        <v>223</v>
      </c>
    </row>
    <row r="32553" spans="1:1" ht="12.75">
      <c r="A32553" s="2" t="s">
        <v>741</v>
      </c>
    </row>
    <row r="32554" spans="1:1" ht="12.75">
      <c r="A32554" s="2" t="s">
        <v>223</v>
      </c>
    </row>
    <row r="32555" spans="1:1" ht="12.75">
      <c r="A32555" s="2" t="s">
        <v>741</v>
      </c>
    </row>
    <row r="32556" spans="1:1" ht="12.75">
      <c r="A32556" s="2" t="s">
        <v>223</v>
      </c>
    </row>
    <row r="32557" spans="1:1" ht="12.75">
      <c r="A32557" s="2" t="s">
        <v>741</v>
      </c>
    </row>
    <row r="32558" spans="1:1" ht="12.75">
      <c r="A32558" s="2" t="s">
        <v>743</v>
      </c>
    </row>
    <row r="32559" spans="1:1" ht="12.75">
      <c r="A32559" s="2" t="s">
        <v>741</v>
      </c>
    </row>
    <row r="32560" spans="1:1" ht="12.75">
      <c r="A32560" s="2" t="s">
        <v>741</v>
      </c>
    </row>
    <row r="32561" spans="1:1" ht="12.75">
      <c r="A32561" s="2" t="s">
        <v>173</v>
      </c>
    </row>
    <row r="32562" spans="1:1" ht="12.75">
      <c r="A32562" s="2" t="s">
        <v>163</v>
      </c>
    </row>
    <row r="32564" spans="1:1" ht="12.75">
      <c r="A32564" s="2" t="s">
        <v>163</v>
      </c>
    </row>
    <row r="32565" spans="1:1" ht="12.75">
      <c r="A32565" s="2" t="s">
        <v>185</v>
      </c>
    </row>
    <row r="32566" spans="1:1" ht="12.75">
      <c r="A32566" s="2" t="s">
        <v>738</v>
      </c>
    </row>
    <row r="32567" spans="1:1" ht="12.75">
      <c r="A32567" s="2" t="s">
        <v>185</v>
      </c>
    </row>
    <row r="32568" spans="1:1" ht="12.75">
      <c r="A32568" s="2" t="s">
        <v>740</v>
      </c>
    </row>
    <row r="32569" spans="1:1" ht="12.75">
      <c r="A32569" s="2" t="s">
        <v>170</v>
      </c>
    </row>
    <row r="32570" spans="1:1" ht="12.75">
      <c r="A32570" s="2" t="s">
        <v>740</v>
      </c>
    </row>
    <row r="32571" spans="1:1" ht="12.75">
      <c r="A32571" s="2" t="s">
        <v>175</v>
      </c>
    </row>
    <row r="32572" spans="1:1" ht="12.75">
      <c r="A32572" s="2" t="s">
        <v>738</v>
      </c>
    </row>
    <row r="32573" spans="1:1" ht="12.75">
      <c r="A32573" s="2" t="s">
        <v>175</v>
      </c>
    </row>
    <row r="32574" spans="1:1" ht="12.75">
      <c r="A32574" s="2" t="s">
        <v>738</v>
      </c>
    </row>
    <row r="32575" spans="1:1" ht="12.75">
      <c r="A32575" s="2" t="s">
        <v>161</v>
      </c>
    </row>
    <row r="32577" spans="1:1" ht="12.75">
      <c r="A32577" s="2" t="s">
        <v>171</v>
      </c>
    </row>
    <row r="32578" spans="1:1" ht="12.75">
      <c r="A32578" s="2" t="s">
        <v>225</v>
      </c>
    </row>
    <row r="32580" spans="1:1" ht="12.75">
      <c r="A32580" s="2" t="s">
        <v>173</v>
      </c>
    </row>
    <row r="32581" spans="1:1" ht="12.75">
      <c r="A32581" s="2" t="s">
        <v>174</v>
      </c>
    </row>
    <row r="32582" spans="1:1" ht="12.75">
      <c r="A32582" s="2" t="s">
        <v>173</v>
      </c>
    </row>
    <row r="32583" spans="1:1" ht="12.75">
      <c r="A32583" s="2" t="s">
        <v>165</v>
      </c>
    </row>
    <row r="32584" spans="1:1" ht="12.75">
      <c r="A32584" s="2" t="s">
        <v>160</v>
      </c>
    </row>
    <row r="32585" spans="1:1" ht="12.75">
      <c r="A32585" s="2" t="s">
        <v>176</v>
      </c>
    </row>
    <row r="32587" spans="1:1" ht="12.75">
      <c r="A32587" s="2" t="s">
        <v>165</v>
      </c>
    </row>
    <row r="32588" spans="1:1" ht="12.75">
      <c r="A32588" s="2" t="s">
        <v>174</v>
      </c>
    </row>
    <row r="32589" spans="1:1" ht="12.75">
      <c r="A32589" s="2" t="s">
        <v>169</v>
      </c>
    </row>
    <row r="32590" spans="1:1" ht="12.75">
      <c r="A32590" s="2" t="s">
        <v>174</v>
      </c>
    </row>
    <row r="32591" spans="1:1" ht="12.75">
      <c r="A32591" s="2" t="s">
        <v>160</v>
      </c>
    </row>
    <row r="32592" spans="1:1" ht="12.75">
      <c r="A32592" s="2" t="s">
        <v>161</v>
      </c>
    </row>
    <row r="32593" spans="1:1" ht="12.75">
      <c r="A32593" s="2" t="s">
        <v>170</v>
      </c>
    </row>
    <row r="32594" spans="1:1" ht="12.75">
      <c r="A32594" s="2" t="s">
        <v>184</v>
      </c>
    </row>
    <row r="32595" spans="1:1" ht="12.75">
      <c r="A32595" s="2" t="s">
        <v>194</v>
      </c>
    </row>
    <row r="32596" spans="1:1" ht="12.75">
      <c r="A32596" s="2" t="s">
        <v>184</v>
      </c>
    </row>
    <row r="32597" spans="1:1" ht="12.75">
      <c r="A32597" s="2" t="s">
        <v>194</v>
      </c>
    </row>
    <row r="32598" spans="1:1" ht="12.75">
      <c r="A32598" s="2" t="s">
        <v>184</v>
      </c>
    </row>
    <row r="32599" spans="1:1" ht="12.75">
      <c r="A32599" s="2" t="s">
        <v>172</v>
      </c>
    </row>
    <row r="32600" spans="1:1" ht="12.75">
      <c r="A32600" s="2" t="s">
        <v>177</v>
      </c>
    </row>
    <row r="32601" spans="1:1" ht="12.75">
      <c r="A32601" s="2" t="s">
        <v>172</v>
      </c>
    </row>
    <row r="32602" spans="1:1" ht="12.75">
      <c r="A32602" s="2" t="s">
        <v>177</v>
      </c>
    </row>
    <row r="32603" spans="1:1" ht="12.75">
      <c r="A32603" s="2" t="s">
        <v>172</v>
      </c>
    </row>
    <row r="32604" spans="1:1" ht="12.75">
      <c r="A32604" s="2" t="s">
        <v>177</v>
      </c>
    </row>
    <row r="32605" spans="1:1" ht="12.75">
      <c r="A32605" s="2" t="s">
        <v>307</v>
      </c>
    </row>
    <row r="32606" spans="1:1" ht="12.75">
      <c r="A32606" s="2" t="s">
        <v>181</v>
      </c>
    </row>
    <row r="32607" spans="1:1" ht="12.75">
      <c r="A32607" s="2" t="s">
        <v>307</v>
      </c>
    </row>
    <row r="32608" spans="1:1" ht="12.75">
      <c r="A32608" s="2" t="s">
        <v>182</v>
      </c>
    </row>
    <row r="32609" spans="1:1" ht="12.75">
      <c r="A32609" s="2" t="s">
        <v>307</v>
      </c>
    </row>
    <row r="32610" spans="1:1" ht="12.75">
      <c r="A32610" s="2" t="s">
        <v>182</v>
      </c>
    </row>
    <row r="32611" spans="1:1" ht="12.75">
      <c r="A32611" s="2" t="s">
        <v>307</v>
      </c>
    </row>
    <row r="32612" spans="1:1" ht="12.75">
      <c r="A32612" s="2" t="s">
        <v>182</v>
      </c>
    </row>
    <row r="32613" spans="1:1" ht="12.75">
      <c r="A32613" s="2" t="s">
        <v>260</v>
      </c>
    </row>
    <row r="32614" spans="1:1" ht="12.75">
      <c r="A32614" s="2" t="s">
        <v>260</v>
      </c>
    </row>
    <row r="32615" spans="1:1" ht="12.75">
      <c r="A32615" s="2" t="s">
        <v>260</v>
      </c>
    </row>
    <row r="32616" spans="1:1" ht="12.75">
      <c r="A32616" s="2" t="s">
        <v>259</v>
      </c>
    </row>
    <row r="32617" spans="1:1" ht="12.75">
      <c r="A32617" s="2" t="s">
        <v>259</v>
      </c>
    </row>
    <row r="32618" spans="1:1" ht="12.75">
      <c r="A32618" s="2" t="s">
        <v>307</v>
      </c>
    </row>
    <row r="32619" spans="1:1" ht="12.75">
      <c r="A32619" s="2" t="s">
        <v>259</v>
      </c>
    </row>
    <row r="32620" spans="1:1" ht="12.75">
      <c r="A32620" s="2" t="s">
        <v>259</v>
      </c>
    </row>
    <row r="32621" spans="1:1" ht="12.75">
      <c r="A32621" s="2" t="s">
        <v>743</v>
      </c>
    </row>
    <row r="32622" spans="1:1" ht="12.75">
      <c r="A32622" s="2" t="s">
        <v>804</v>
      </c>
    </row>
    <row r="32623" spans="1:1" ht="12.75">
      <c r="A32623" s="2" t="s">
        <v>741</v>
      </c>
    </row>
    <row r="32624" spans="1:1" ht="12.75">
      <c r="A32624" s="2" t="s">
        <v>741</v>
      </c>
    </row>
    <row r="32625" spans="1:1" ht="12.75">
      <c r="A32625" s="2" t="s">
        <v>741</v>
      </c>
    </row>
    <row r="32626" spans="1:1" ht="12.75">
      <c r="A32626" s="2" t="s">
        <v>741</v>
      </c>
    </row>
    <row r="32627" spans="1:1" ht="12.75">
      <c r="A32627" s="2" t="s">
        <v>741</v>
      </c>
    </row>
    <row r="32628" spans="1:1" ht="12.75">
      <c r="A32628" s="2" t="s">
        <v>743</v>
      </c>
    </row>
    <row r="32629" spans="1:1" ht="12.75">
      <c r="A32629" s="2" t="s">
        <v>1223</v>
      </c>
    </row>
    <row r="32630" spans="1:1" ht="12.75">
      <c r="A32630" s="2" t="s">
        <v>741</v>
      </c>
    </row>
    <row r="32631" spans="1:1" ht="12.75">
      <c r="A32631" s="2" t="s">
        <v>1224</v>
      </c>
    </row>
    <row r="32632" spans="1:1" ht="12.75">
      <c r="A32632" s="2" t="s">
        <v>741</v>
      </c>
    </row>
    <row r="32633" spans="1:1" ht="12.75">
      <c r="A32633" s="2" t="s">
        <v>741</v>
      </c>
    </row>
    <row r="32634" spans="1:1" ht="12.75">
      <c r="A32634" s="2" t="s">
        <v>743</v>
      </c>
    </row>
    <row r="32635" spans="1:1" ht="12.75">
      <c r="A32635" s="2" t="s">
        <v>217</v>
      </c>
    </row>
    <row r="32636" spans="1:1" ht="12.75">
      <c r="A32636" s="2" t="s">
        <v>224</v>
      </c>
    </row>
    <row r="32637" spans="1:1" ht="12.75">
      <c r="A32637" s="2" t="s">
        <v>217</v>
      </c>
    </row>
    <row r="32638" spans="1:1" ht="12.75">
      <c r="A32638" s="2" t="s">
        <v>224</v>
      </c>
    </row>
    <row r="32639" spans="1:1" ht="12.75">
      <c r="A32639" s="2" t="s">
        <v>217</v>
      </c>
    </row>
    <row r="32640" spans="1:1" ht="12.75">
      <c r="A32640" s="2" t="s">
        <v>224</v>
      </c>
    </row>
    <row r="32641" spans="1:1" ht="12.75">
      <c r="A32641" s="2" t="s">
        <v>217</v>
      </c>
    </row>
    <row r="32642" spans="1:1" ht="12.75">
      <c r="A32642" s="2" t="s">
        <v>742</v>
      </c>
    </row>
    <row r="32643" spans="1:1" ht="12.75">
      <c r="A32643" s="2" t="s">
        <v>160</v>
      </c>
    </row>
    <row r="32644" spans="1:1" ht="12.75">
      <c r="A32644" s="2" t="s">
        <v>740</v>
      </c>
    </row>
    <row r="32645" spans="1:1" ht="12.75">
      <c r="A32645" s="2" t="s">
        <v>160</v>
      </c>
    </row>
    <row r="32646" spans="1:1" ht="12.75">
      <c r="A32646" s="2" t="s">
        <v>783</v>
      </c>
    </row>
    <row r="32647" spans="1:1" ht="12.75">
      <c r="A32647" s="2" t="s">
        <v>160</v>
      </c>
    </row>
    <row r="32648" spans="1:1" ht="12.75">
      <c r="A32648" s="2" t="s">
        <v>740</v>
      </c>
    </row>
    <row r="32649" spans="1:1" ht="12.75">
      <c r="A32649" s="2" t="s">
        <v>736</v>
      </c>
    </row>
    <row r="32650" spans="1:1" ht="12.75">
      <c r="A32650" s="2" t="s">
        <v>740</v>
      </c>
    </row>
    <row r="32651" spans="1:1" ht="12.75">
      <c r="A32651" s="2" t="s">
        <v>177</v>
      </c>
    </row>
    <row r="32652" spans="1:1" ht="12.75">
      <c r="A32652" s="2" t="s">
        <v>165</v>
      </c>
    </row>
    <row r="32653" spans="1:1" ht="12.75">
      <c r="A32653" s="2" t="s">
        <v>193</v>
      </c>
    </row>
    <row r="32654" spans="1:1" ht="12.75">
      <c r="A32654" s="2" t="s">
        <v>169</v>
      </c>
    </row>
    <row r="32655" spans="1:1" ht="12.75">
      <c r="A32655" s="2" t="s">
        <v>165</v>
      </c>
    </row>
    <row r="32656" spans="1:1" ht="12.75">
      <c r="A32656" s="2" t="s">
        <v>169</v>
      </c>
    </row>
    <row r="32657" spans="1:1" ht="12.75">
      <c r="A32657" s="2" t="s">
        <v>165</v>
      </c>
    </row>
    <row r="32658" spans="1:1" ht="12.75">
      <c r="A32658" s="2" t="s">
        <v>169</v>
      </c>
    </row>
    <row r="32659" spans="1:1" ht="12.75">
      <c r="A32659" s="2" t="s">
        <v>172</v>
      </c>
    </row>
    <row r="32660" spans="1:1" ht="12.75">
      <c r="A32660" s="2" t="s">
        <v>196</v>
      </c>
    </row>
    <row r="32661" spans="1:1" ht="12.75">
      <c r="A32661" s="2" t="s">
        <v>172</v>
      </c>
    </row>
    <row r="32663" spans="1:1" ht="12.75">
      <c r="A32663" s="2" t="s">
        <v>225</v>
      </c>
    </row>
    <row r="32664" spans="1:1" ht="12.75">
      <c r="A32664" s="2" t="s">
        <v>177</v>
      </c>
    </row>
    <row r="32665" spans="1:1" ht="12.75">
      <c r="A32665" s="2" t="s">
        <v>176</v>
      </c>
    </row>
    <row r="32667" spans="1:1" ht="12.75">
      <c r="A32667" s="2" t="s">
        <v>184</v>
      </c>
    </row>
    <row r="32668" spans="1:1" ht="12.75">
      <c r="A32668" s="2" t="s">
        <v>194</v>
      </c>
    </row>
    <row r="32669" spans="1:1" ht="12.75">
      <c r="A32669" s="2" t="s">
        <v>182</v>
      </c>
    </row>
    <row r="32670" spans="1:1" ht="12.75">
      <c r="A32670" s="2" t="s">
        <v>194</v>
      </c>
    </row>
    <row r="32671" spans="1:1" ht="12.75">
      <c r="A32671" s="2" t="s">
        <v>182</v>
      </c>
    </row>
    <row r="32672" spans="1:1" ht="12.75">
      <c r="A32672" s="2" t="s">
        <v>194</v>
      </c>
    </row>
    <row r="32673" spans="1:1" ht="12.75">
      <c r="A32673" s="2" t="s">
        <v>182</v>
      </c>
    </row>
    <row r="32674" spans="1:1" ht="12.75">
      <c r="A32674" s="2" t="s">
        <v>172</v>
      </c>
    </row>
    <row r="32675" spans="1:1" ht="12.75">
      <c r="A32675" s="2" t="s">
        <v>162</v>
      </c>
    </row>
    <row r="32676" spans="1:1" ht="12.75">
      <c r="A32676" s="2" t="s">
        <v>161</v>
      </c>
    </row>
    <row r="32677" spans="1:1" ht="12.75">
      <c r="A32677" s="2" t="s">
        <v>181</v>
      </c>
    </row>
    <row r="32678" spans="1:1" ht="12.75">
      <c r="A32678" s="2" t="s">
        <v>170</v>
      </c>
    </row>
    <row r="32679" spans="1:1" ht="12.75">
      <c r="A32679" s="2" t="s">
        <v>181</v>
      </c>
    </row>
    <row r="32680" spans="1:1" ht="12.75">
      <c r="A32680" s="2" t="s">
        <v>184</v>
      </c>
    </row>
    <row r="32681" spans="1:1" ht="12.75">
      <c r="A32681" s="2" t="s">
        <v>182</v>
      </c>
    </row>
    <row r="32682" spans="1:1" ht="12.75">
      <c r="A32682" s="2" t="s">
        <v>194</v>
      </c>
    </row>
    <row r="32683" spans="1:1" ht="12.75">
      <c r="A32683" s="2" t="s">
        <v>163</v>
      </c>
    </row>
    <row r="32684" spans="1:1" ht="12.75">
      <c r="A32684" s="2" t="s">
        <v>179</v>
      </c>
    </row>
    <row r="32685" spans="1:1" ht="12.75">
      <c r="A32685" s="2" t="s">
        <v>162</v>
      </c>
    </row>
    <row r="32686" spans="1:1" ht="12.75">
      <c r="A32686" s="2" t="s">
        <v>179</v>
      </c>
    </row>
    <row r="32687" spans="1:1" ht="12.75">
      <c r="A32687" s="2" t="s">
        <v>162</v>
      </c>
    </row>
    <row r="32688" spans="1:1" ht="12.75">
      <c r="A32688" s="2" t="s">
        <v>179</v>
      </c>
    </row>
    <row r="32689" spans="1:1" ht="12.75">
      <c r="A32689" s="2" t="s">
        <v>162</v>
      </c>
    </row>
    <row r="32690" spans="1:1" ht="12.75">
      <c r="A32690" s="2" t="s">
        <v>176</v>
      </c>
    </row>
    <row r="32691" spans="1:1" ht="12.75">
      <c r="A32691" s="2" t="s">
        <v>177</v>
      </c>
    </row>
    <row r="32693" spans="1:1" ht="12.75">
      <c r="A32693" s="2" t="s">
        <v>178</v>
      </c>
    </row>
    <row r="32694" spans="1:1" ht="12.75">
      <c r="A32694" s="2" t="s">
        <v>174</v>
      </c>
    </row>
    <row r="32696" spans="1:1" ht="12.75">
      <c r="A32696" s="2" t="s">
        <v>174</v>
      </c>
    </row>
    <row r="32697" spans="1:1" ht="12.75">
      <c r="A32697" s="2" t="s">
        <v>184</v>
      </c>
    </row>
    <row r="32698" spans="1:1" ht="12.75">
      <c r="A32698" s="2" t="s">
        <v>185</v>
      </c>
    </row>
    <row r="32702" spans="1:1" ht="12.75">
      <c r="A32702" s="2" t="s">
        <v>185</v>
      </c>
    </row>
    <row r="32703" spans="1:1" ht="12.75">
      <c r="A32703" s="2" t="s">
        <v>169</v>
      </c>
    </row>
    <row r="32704" spans="1:1" ht="12.75">
      <c r="A32704" s="2" t="s">
        <v>172</v>
      </c>
    </row>
    <row r="32705" spans="1:1" ht="12.75">
      <c r="A32705" s="2" t="s">
        <v>183</v>
      </c>
    </row>
    <row r="32706" spans="1:1" ht="12.75">
      <c r="A32706" s="2" t="s">
        <v>172</v>
      </c>
    </row>
    <row r="32707" spans="1:1" ht="12.75">
      <c r="A32707" s="2" t="s">
        <v>183</v>
      </c>
    </row>
    <row r="32708" spans="1:1" ht="12.75">
      <c r="A32708" s="2" t="s">
        <v>177</v>
      </c>
    </row>
    <row r="32709" spans="1:1" ht="12.75">
      <c r="A32709" s="2" t="s">
        <v>172</v>
      </c>
    </row>
    <row r="32710" spans="1:1" ht="12.75">
      <c r="A32710" s="2" t="s">
        <v>177</v>
      </c>
    </row>
    <row r="32711" spans="1:1" ht="12.75">
      <c r="A32711" s="2" t="s">
        <v>170</v>
      </c>
    </row>
    <row r="32712" spans="1:1" ht="12.75">
      <c r="A32712" s="2" t="s">
        <v>1227</v>
      </c>
    </row>
    <row r="32713" spans="1:1" ht="12.75">
      <c r="A32713" s="2" t="s">
        <v>179</v>
      </c>
    </row>
    <row r="32714" spans="1:1" ht="12.75">
      <c r="A32714" s="2" t="s">
        <v>176</v>
      </c>
    </row>
    <row r="32715" spans="1:1" ht="12.75">
      <c r="A32715" s="2" t="s">
        <v>179</v>
      </c>
    </row>
    <row r="32716" spans="1:1" ht="12.75">
      <c r="A32716" s="2" t="s">
        <v>176</v>
      </c>
    </row>
    <row r="32717" spans="1:1" ht="12.75">
      <c r="A32717" s="2" t="s">
        <v>196</v>
      </c>
    </row>
    <row r="32718" spans="1:1" ht="12.75">
      <c r="A32718" s="2" t="s">
        <v>163</v>
      </c>
    </row>
    <row r="32719" spans="1:1" ht="12.75">
      <c r="A32719" s="2" t="s">
        <v>160</v>
      </c>
    </row>
    <row r="32720" spans="1:1" ht="12.75">
      <c r="A32720" s="2" t="s">
        <v>162</v>
      </c>
    </row>
    <row r="32721" spans="1:1" ht="12.75">
      <c r="A32721" s="2" t="s">
        <v>163</v>
      </c>
    </row>
    <row r="32722" spans="1:1" ht="12.75">
      <c r="A32722" s="2" t="s">
        <v>162</v>
      </c>
    </row>
    <row r="32723" spans="1:1" ht="12.75">
      <c r="A32723" s="2" t="s">
        <v>162</v>
      </c>
    </row>
    <row r="32724" spans="1:1" ht="12.75">
      <c r="A32724" s="2" t="s">
        <v>162</v>
      </c>
    </row>
    <row r="32725" spans="1:1" ht="12.75">
      <c r="A32725" s="2" t="s">
        <v>193</v>
      </c>
    </row>
    <row r="32726" spans="1:1" ht="12.75">
      <c r="A32726" s="2" t="s">
        <v>184</v>
      </c>
    </row>
    <row r="32727" spans="1:1" ht="12.75">
      <c r="A32727" s="2" t="s">
        <v>1228</v>
      </c>
    </row>
    <row r="32728" spans="1:1" ht="12.75">
      <c r="A32728" s="2" t="s">
        <v>225</v>
      </c>
    </row>
    <row r="32729" spans="1:1" ht="12.75">
      <c r="A32729" s="2" t="s">
        <v>171</v>
      </c>
    </row>
    <row r="32730" spans="1:1" ht="12.75">
      <c r="A32730" s="2" t="s">
        <v>225</v>
      </c>
    </row>
    <row r="32731" spans="1:1" ht="12.75">
      <c r="A32731" s="2" t="s">
        <v>184</v>
      </c>
    </row>
    <row r="32732" spans="1:1" ht="12.75">
      <c r="A32732" s="2" t="s">
        <v>175</v>
      </c>
    </row>
    <row r="32733" spans="1:1" ht="12.75">
      <c r="A32733" s="2" t="s">
        <v>189</v>
      </c>
    </row>
    <row r="32734" spans="1:1" ht="12.75">
      <c r="A32734" s="2" t="s">
        <v>169</v>
      </c>
    </row>
    <row r="32735" spans="1:1" ht="12.75">
      <c r="A32735" s="2" t="s">
        <v>160</v>
      </c>
    </row>
    <row r="32736" spans="1:1" ht="12.75">
      <c r="A32736" s="2" t="s">
        <v>169</v>
      </c>
    </row>
    <row r="32737" spans="1:1" ht="12.75">
      <c r="A32737" s="2" t="s">
        <v>737</v>
      </c>
    </row>
    <row r="32738" spans="1:1" ht="12.75">
      <c r="A32738" s="2" t="s">
        <v>169</v>
      </c>
    </row>
    <row r="32739" spans="1:1" ht="12.75">
      <c r="A32739" s="2" t="s">
        <v>160</v>
      </c>
    </row>
    <row r="32740" spans="1:1" ht="12.75">
      <c r="A32740" s="2" t="s">
        <v>174</v>
      </c>
    </row>
    <row r="32741" spans="1:1" ht="12.75">
      <c r="A32741" s="2" t="s">
        <v>170</v>
      </c>
    </row>
    <row r="32742" spans="1:1" ht="12.75">
      <c r="A32742" s="2" t="s">
        <v>184</v>
      </c>
    </row>
    <row r="32743" spans="1:1" ht="12.75">
      <c r="A32743" s="2" t="s">
        <v>221</v>
      </c>
    </row>
    <row r="32744" spans="1:1" ht="12.75">
      <c r="A32744" s="2" t="s">
        <v>184</v>
      </c>
    </row>
    <row r="32745" spans="1:1" ht="12.75">
      <c r="A32745" s="2" t="s">
        <v>169</v>
      </c>
    </row>
    <row r="32746" spans="1:1" ht="12.75">
      <c r="A32746" s="2" t="s">
        <v>184</v>
      </c>
    </row>
    <row r="32747" spans="1:1" ht="12.75">
      <c r="A32747" s="2" t="s">
        <v>174</v>
      </c>
    </row>
    <row r="32748" spans="1:1" ht="12.75">
      <c r="A32748" s="2" t="s">
        <v>184</v>
      </c>
    </row>
    <row r="32749" spans="1:1" ht="12.75">
      <c r="A32749" s="2" t="s">
        <v>170</v>
      </c>
    </row>
    <row r="32750" spans="1:1" ht="12.75">
      <c r="A32750" s="2" t="s">
        <v>196</v>
      </c>
    </row>
    <row r="32751" spans="1:1" ht="12.75">
      <c r="A32751" s="2" t="s">
        <v>194</v>
      </c>
    </row>
    <row r="32752" spans="1:1" ht="12.75">
      <c r="A32752" s="2" t="s">
        <v>196</v>
      </c>
    </row>
    <row r="32753" spans="1:1" ht="12.75">
      <c r="A32753" s="2" t="s">
        <v>194</v>
      </c>
    </row>
    <row r="32754" spans="1:1" ht="12.75">
      <c r="A32754" s="2" t="s">
        <v>196</v>
      </c>
    </row>
    <row r="32755" spans="1:1" ht="12.75">
      <c r="A32755" s="2" t="s">
        <v>194</v>
      </c>
    </row>
    <row r="32756" spans="1:1" ht="12.75">
      <c r="A32756" s="2" t="s">
        <v>170</v>
      </c>
    </row>
    <row r="32757" spans="1:1" ht="12.75">
      <c r="A32757" s="2" t="s">
        <v>170</v>
      </c>
    </row>
    <row r="32758" spans="1:1" ht="12.75">
      <c r="A32758" s="2" t="s">
        <v>223</v>
      </c>
    </row>
    <row r="32759" spans="1:1" ht="12.75">
      <c r="A32759" s="2" t="s">
        <v>196</v>
      </c>
    </row>
    <row r="32760" spans="1:1" ht="12.75">
      <c r="A32760" s="2" t="s">
        <v>179</v>
      </c>
    </row>
    <row r="32761" spans="1:1" ht="12.75">
      <c r="A32761" s="2" t="s">
        <v>223</v>
      </c>
    </row>
    <row r="32762" spans="1:1" ht="12.75">
      <c r="A32762" s="2" t="s">
        <v>223</v>
      </c>
    </row>
    <row r="32763" spans="1:1" ht="12.75">
      <c r="A32763" s="2" t="s">
        <v>223</v>
      </c>
    </row>
    <row r="32764" spans="1:1" ht="12.75">
      <c r="A32764" s="2" t="s">
        <v>170</v>
      </c>
    </row>
    <row r="32765" spans="1:1" ht="12.75">
      <c r="A32765" s="2" t="s">
        <v>169</v>
      </c>
    </row>
    <row r="32766" spans="1:1" ht="12.75">
      <c r="A32766" s="2" t="s">
        <v>393</v>
      </c>
    </row>
    <row r="32767" spans="1:1" ht="12.75">
      <c r="A32767" s="2" t="s">
        <v>169</v>
      </c>
    </row>
    <row r="32768" spans="1:1" ht="12.75">
      <c r="A32768" s="2" t="s">
        <v>193</v>
      </c>
    </row>
    <row r="32769" spans="1:1" ht="12.75">
      <c r="A32769" s="2" t="s">
        <v>169</v>
      </c>
    </row>
    <row r="32770" spans="1:1" ht="12.75">
      <c r="A32770" s="2" t="s">
        <v>217</v>
      </c>
    </row>
    <row r="32771" spans="1:1" ht="12.75">
      <c r="A32771" s="2" t="s">
        <v>184</v>
      </c>
    </row>
    <row r="32772" spans="1:1" ht="12.75">
      <c r="A32772" s="2" t="s">
        <v>949</v>
      </c>
    </row>
    <row r="32773" spans="1:1" ht="12.75">
      <c r="A32773" s="2" t="s">
        <v>184</v>
      </c>
    </row>
    <row r="32774" spans="1:1" ht="12.75">
      <c r="A32774" s="2" t="s">
        <v>224</v>
      </c>
    </row>
    <row r="32775" spans="1:1" ht="12.75">
      <c r="A32775" s="2" t="s">
        <v>174</v>
      </c>
    </row>
    <row r="32776" spans="1:1" ht="12.75">
      <c r="A32776" s="2" t="s">
        <v>194</v>
      </c>
    </row>
    <row r="32777" spans="1:1" ht="12.75">
      <c r="A32777" s="2" t="s">
        <v>174</v>
      </c>
    </row>
    <row r="32778" spans="1:1" ht="12.75">
      <c r="A32778" s="2" t="s">
        <v>194</v>
      </c>
    </row>
    <row r="32779" spans="1:1" ht="12.75">
      <c r="A32779" s="2" t="s">
        <v>176</v>
      </c>
    </row>
    <row r="32780" spans="1:1" ht="12.75">
      <c r="A32780" s="2" t="s">
        <v>165</v>
      </c>
    </row>
    <row r="32781" spans="1:1" ht="12.75">
      <c r="A32781" s="2" t="s">
        <v>177</v>
      </c>
    </row>
    <row r="32782" spans="1:1" ht="12.75">
      <c r="A32782" s="2" t="s">
        <v>165</v>
      </c>
    </row>
    <row r="32783" spans="1:1" ht="12.75">
      <c r="A32783" s="2" t="s">
        <v>177</v>
      </c>
    </row>
    <row r="32784" spans="1:1" ht="12.75">
      <c r="A32784" s="2" t="s">
        <v>165</v>
      </c>
    </row>
    <row r="32785" spans="1:1" ht="12.75">
      <c r="A32785" s="2" t="s">
        <v>194</v>
      </c>
    </row>
    <row r="32786" spans="1:1" ht="12.75">
      <c r="A32786" s="2" t="s">
        <v>169</v>
      </c>
    </row>
    <row r="32787" spans="1:1" ht="12.75">
      <c r="A32787" s="2" t="s">
        <v>182</v>
      </c>
    </row>
    <row r="32788" spans="1:1" ht="12.75">
      <c r="A32788" s="2" t="s">
        <v>183</v>
      </c>
    </row>
    <row r="32789" spans="1:1" ht="12.75">
      <c r="A32789" s="2" t="s">
        <v>182</v>
      </c>
    </row>
    <row r="32790" spans="1:1" ht="12.75">
      <c r="A32790" s="2" t="s">
        <v>171</v>
      </c>
    </row>
    <row r="32791" spans="1:1" ht="12.75">
      <c r="A32791" s="2" t="s">
        <v>182</v>
      </c>
    </row>
    <row r="32792" spans="1:1" ht="12.75">
      <c r="A32792" s="2" t="s">
        <v>172</v>
      </c>
    </row>
    <row r="32793" spans="1:1" ht="12.75">
      <c r="A32793" s="2" t="s">
        <v>196</v>
      </c>
    </row>
    <row r="32794" spans="1:1" ht="12.75">
      <c r="A32794" s="2" t="s">
        <v>172</v>
      </c>
    </row>
    <row r="32795" spans="1:1" ht="12.75">
      <c r="A32795" s="2" t="s">
        <v>183</v>
      </c>
    </row>
    <row r="32796" spans="1:1" ht="12.75">
      <c r="A32796" s="2" t="s">
        <v>172</v>
      </c>
    </row>
    <row r="32797" spans="1:1" ht="12.75">
      <c r="A32797" s="2" t="s">
        <v>162</v>
      </c>
    </row>
    <row r="32798" spans="1:1" ht="12.75">
      <c r="A32798" s="2" t="s">
        <v>179</v>
      </c>
    </row>
    <row r="32799" spans="1:1" ht="12.75">
      <c r="A32799" s="2" t="s">
        <v>162</v>
      </c>
    </row>
    <row r="32800" spans="1:1" ht="12.75">
      <c r="A32800" s="2" t="s">
        <v>223</v>
      </c>
    </row>
    <row r="32801" spans="1:1" ht="12.75">
      <c r="A32801" s="2" t="s">
        <v>193</v>
      </c>
    </row>
    <row r="32802" spans="1:1" ht="12.75">
      <c r="A32802" s="2" t="s">
        <v>164</v>
      </c>
    </row>
    <row r="32803" spans="1:1" ht="12.75">
      <c r="A32803" s="2" t="s">
        <v>179</v>
      </c>
    </row>
    <row r="32804" spans="1:1" ht="12.75">
      <c r="A32804" s="2" t="s">
        <v>164</v>
      </c>
    </row>
    <row r="32805" spans="1:1" ht="12.75">
      <c r="A32805" s="2" t="s">
        <v>185</v>
      </c>
    </row>
    <row r="32806" spans="1:1" ht="12.75">
      <c r="A32806" s="2" t="s">
        <v>162</v>
      </c>
    </row>
    <row r="32807" spans="1:1" ht="12.75">
      <c r="A32807" s="2" t="s">
        <v>175</v>
      </c>
    </row>
    <row r="32808" spans="1:1" ht="12.75">
      <c r="A32808" s="2" t="s">
        <v>163</v>
      </c>
    </row>
    <row r="32809" spans="1:1" ht="12.75">
      <c r="A32809" s="2" t="s">
        <v>175</v>
      </c>
    </row>
    <row r="32810" spans="1:1" ht="12.75">
      <c r="A32810" s="2" t="s">
        <v>163</v>
      </c>
    </row>
    <row r="32811" spans="1:1" ht="12.75">
      <c r="A32811" s="2" t="s">
        <v>944</v>
      </c>
    </row>
    <row r="32812" spans="1:1" ht="12.75">
      <c r="A32812" s="2" t="s">
        <v>162</v>
      </c>
    </row>
    <row r="32813" spans="1:1" ht="12.75">
      <c r="A32813" s="2" t="s">
        <v>191</v>
      </c>
    </row>
    <row r="32814" spans="1:1" ht="12.75">
      <c r="A32814" s="2" t="s">
        <v>173</v>
      </c>
    </row>
    <row r="32815" spans="1:1" ht="12.75">
      <c r="A32815" s="2" t="s">
        <v>191</v>
      </c>
    </row>
    <row r="32816" spans="1:1" ht="12.75">
      <c r="A32816" s="2" t="s">
        <v>173</v>
      </c>
    </row>
    <row r="32817" spans="1:1" ht="12.75">
      <c r="A32817" s="2" t="s">
        <v>191</v>
      </c>
    </row>
    <row r="32818" spans="1:1" ht="12.75">
      <c r="A32818" s="2" t="s">
        <v>173</v>
      </c>
    </row>
    <row r="32819" spans="1:1" ht="12.75">
      <c r="A32819" s="2" t="s">
        <v>225</v>
      </c>
    </row>
    <row r="32820" spans="1:1" ht="12.75">
      <c r="A32820" s="2" t="s">
        <v>185</v>
      </c>
    </row>
    <row r="32821" spans="1:1" ht="12.75">
      <c r="A32821" s="2" t="s">
        <v>225</v>
      </c>
    </row>
    <row r="32822" spans="1:1" ht="12.75">
      <c r="A32822" s="2" t="s">
        <v>185</v>
      </c>
    </row>
    <row r="32823" spans="1:1" ht="12.75">
      <c r="A32823" s="2" t="s">
        <v>176</v>
      </c>
    </row>
    <row r="32824" spans="1:1" ht="12.75">
      <c r="A32824" s="2" t="s">
        <v>177</v>
      </c>
    </row>
    <row r="32825" spans="1:1" ht="12.75">
      <c r="A32825" s="2" t="s">
        <v>173</v>
      </c>
    </row>
    <row r="32826" spans="1:1" ht="12.75">
      <c r="A32826" s="2" t="s">
        <v>177</v>
      </c>
    </row>
    <row r="32827" spans="1:1" ht="12.75">
      <c r="A32827" s="2" t="s">
        <v>173</v>
      </c>
    </row>
    <row r="32828" spans="1:1" ht="12.75">
      <c r="A32828" s="2" t="s">
        <v>189</v>
      </c>
    </row>
    <row r="32829" spans="1:1" ht="12.75">
      <c r="A32829" s="2" t="s">
        <v>177</v>
      </c>
    </row>
    <row r="32830" spans="1:1" ht="12.75">
      <c r="A32830" s="2" t="s">
        <v>189</v>
      </c>
    </row>
    <row r="32831" spans="1:1" ht="12.75">
      <c r="A32831" s="2" t="s">
        <v>185</v>
      </c>
    </row>
    <row r="32832" spans="1:1" ht="12.75">
      <c r="A32832" s="2" t="s">
        <v>163</v>
      </c>
    </row>
    <row r="32833" spans="1:1" ht="12.75">
      <c r="A32833" s="2" t="s">
        <v>185</v>
      </c>
    </row>
    <row r="32834" spans="1:1" ht="12.75">
      <c r="A32834" s="2" t="s">
        <v>163</v>
      </c>
    </row>
    <row r="32835" spans="1:1" ht="12.75">
      <c r="A32835" s="2" t="s">
        <v>175</v>
      </c>
    </row>
    <row r="32836" spans="1:1" ht="12.75">
      <c r="A32836" s="2" t="s">
        <v>163</v>
      </c>
    </row>
    <row r="32837" spans="1:1" ht="12.75">
      <c r="A32837" s="2" t="s">
        <v>175</v>
      </c>
    </row>
    <row r="32838" spans="1:1" ht="12.75">
      <c r="A32838" s="2" t="s">
        <v>162</v>
      </c>
    </row>
    <row r="32839" spans="1:1" ht="12.75">
      <c r="A32839" s="2" t="s">
        <v>175</v>
      </c>
    </row>
    <row r="32840" spans="1:1" ht="12.75">
      <c r="A32840" s="2" t="s">
        <v>162</v>
      </c>
    </row>
    <row r="32841" spans="1:1" ht="12.75">
      <c r="A32841" s="2" t="s">
        <v>739</v>
      </c>
    </row>
    <row r="32842" spans="1:1" ht="12.75">
      <c r="A32842" s="2" t="s">
        <v>173</v>
      </c>
    </row>
    <row r="32843" spans="1:1" ht="12.75">
      <c r="A32843" s="2" t="s">
        <v>225</v>
      </c>
    </row>
    <row r="32844" spans="1:1" ht="12.75">
      <c r="A32844" s="2" t="s">
        <v>173</v>
      </c>
    </row>
    <row r="32845" spans="1:1" ht="12.75">
      <c r="A32845" s="2" t="s">
        <v>225</v>
      </c>
    </row>
    <row r="32846" spans="1:1" ht="12.75">
      <c r="A32846" s="2" t="s">
        <v>173</v>
      </c>
    </row>
    <row r="32847" spans="1:1" ht="12.75">
      <c r="A32847" s="2" t="s">
        <v>225</v>
      </c>
    </row>
    <row r="32848" spans="1:1" ht="12.75">
      <c r="A32848" s="2" t="s">
        <v>185</v>
      </c>
    </row>
    <row r="32849" spans="1:1" ht="12.75">
      <c r="A32849" s="2" t="s">
        <v>738</v>
      </c>
    </row>
    <row r="32850" spans="1:1" ht="12.75">
      <c r="A32850" s="2" t="s">
        <v>739</v>
      </c>
    </row>
    <row r="32851" spans="1:1" ht="12.75">
      <c r="A32851" s="2" t="s">
        <v>740</v>
      </c>
    </row>
    <row r="32852" spans="1:1" ht="12.75">
      <c r="A32852" s="2" t="s">
        <v>739</v>
      </c>
    </row>
    <row r="32853" spans="1:1" ht="12.75">
      <c r="A32853" s="2" t="s">
        <v>740</v>
      </c>
    </row>
    <row r="32854" spans="1:1" ht="12.75">
      <c r="A32854" s="2" t="s">
        <v>739</v>
      </c>
    </row>
    <row r="32855" spans="1:1" ht="12.75">
      <c r="A32855" s="2" t="s">
        <v>739</v>
      </c>
    </row>
    <row r="32856" spans="1:1" ht="12.75">
      <c r="A32856" s="2" t="s">
        <v>739</v>
      </c>
    </row>
    <row r="32857" spans="1:1" ht="12.75">
      <c r="A32857" s="2" t="s">
        <v>739</v>
      </c>
    </row>
    <row r="32858" spans="1:1" ht="12.75">
      <c r="A32858" s="2" t="s">
        <v>739</v>
      </c>
    </row>
    <row r="32859" spans="1:1" ht="12.75">
      <c r="A32859" s="2" t="s">
        <v>259</v>
      </c>
    </row>
    <row r="32860" spans="1:1" ht="12.75">
      <c r="A32860" s="2" t="s">
        <v>259</v>
      </c>
    </row>
    <row r="32861" spans="1:1" ht="12.75">
      <c r="A32861" s="2" t="s">
        <v>301</v>
      </c>
    </row>
    <row r="32862" spans="1:1" ht="12.75">
      <c r="A32862" s="2" t="s">
        <v>301</v>
      </c>
    </row>
    <row r="32863" spans="1:1" ht="12.75">
      <c r="A32863" s="2" t="s">
        <v>301</v>
      </c>
    </row>
    <row r="32864" spans="1:1" ht="12.75">
      <c r="A32864" s="2" t="s">
        <v>301</v>
      </c>
    </row>
    <row r="32865" spans="1:1" ht="12.75">
      <c r="A32865" s="2" t="s">
        <v>301</v>
      </c>
    </row>
    <row r="32866" spans="1:1" ht="12.75">
      <c r="A32866" s="2" t="s">
        <v>301</v>
      </c>
    </row>
    <row r="32867" spans="1:1" ht="12.75">
      <c r="A32867" s="2" t="s">
        <v>258</v>
      </c>
    </row>
    <row r="32868" spans="1:1" ht="12.75">
      <c r="A32868" s="2" t="s">
        <v>258</v>
      </c>
    </row>
    <row r="32869" spans="1:1" ht="12.75">
      <c r="A32869" s="2" t="s">
        <v>258</v>
      </c>
    </row>
    <row r="32870" spans="1:1" ht="12.75">
      <c r="A32870" s="2" t="s">
        <v>258</v>
      </c>
    </row>
    <row r="32871" spans="1:1" ht="12.75">
      <c r="A32871" s="2" t="s">
        <v>258</v>
      </c>
    </row>
    <row r="32872" spans="1:1" ht="12.75">
      <c r="A32872" s="2" t="s">
        <v>258</v>
      </c>
    </row>
    <row r="32873" spans="1:1" ht="12.75">
      <c r="A32873" s="2" t="s">
        <v>260</v>
      </c>
    </row>
    <row r="32874" spans="1:1" ht="12.75">
      <c r="A32874" s="2" t="s">
        <v>260</v>
      </c>
    </row>
    <row r="32875" spans="1:1" ht="12.75">
      <c r="A32875" s="2" t="s">
        <v>260</v>
      </c>
    </row>
    <row r="32876" spans="1:1" ht="12.75">
      <c r="A32876" s="2" t="s">
        <v>260</v>
      </c>
    </row>
    <row r="32877" spans="1:1" ht="12.75">
      <c r="A32877" s="2" t="s">
        <v>260</v>
      </c>
    </row>
    <row r="32878" spans="1:1" ht="12.75">
      <c r="A32878" s="2" t="s">
        <v>260</v>
      </c>
    </row>
    <row r="32879" spans="1:1" ht="12.75">
      <c r="A32879" s="2" t="s">
        <v>227</v>
      </c>
    </row>
    <row r="32880" spans="1:1" ht="12.75">
      <c r="A32880" s="2" t="s">
        <v>227</v>
      </c>
    </row>
    <row r="32881" spans="1:1" ht="12.75">
      <c r="A32881" s="2" t="s">
        <v>228</v>
      </c>
    </row>
    <row r="32882" spans="1:1" ht="12.75">
      <c r="A32882" s="2" t="s">
        <v>228</v>
      </c>
    </row>
    <row r="32883" spans="1:1" ht="12.75">
      <c r="A32883" s="2" t="s">
        <v>228</v>
      </c>
    </row>
    <row r="32884" spans="1:1" ht="12.75">
      <c r="A32884" s="2" t="s">
        <v>228</v>
      </c>
    </row>
    <row r="32885" spans="1:1" ht="12.75">
      <c r="A32885" s="2" t="s">
        <v>227</v>
      </c>
    </row>
    <row r="32886" spans="1:1" ht="12.75">
      <c r="A32886" s="2" t="s">
        <v>259</v>
      </c>
    </row>
    <row r="32887" spans="1:1" ht="12.75">
      <c r="A32887" s="2" t="s">
        <v>227</v>
      </c>
    </row>
    <row r="32888" spans="1:1" ht="12.75">
      <c r="A32888" s="2" t="s">
        <v>259</v>
      </c>
    </row>
    <row r="32889" spans="1:1" ht="12.75">
      <c r="A32889" s="2" t="s">
        <v>227</v>
      </c>
    </row>
    <row r="32890" spans="1:1" ht="12.75">
      <c r="A32890" s="2" t="s">
        <v>259</v>
      </c>
    </row>
    <row r="32891" spans="1:1" ht="12.75">
      <c r="A32891" s="2" t="s">
        <v>159</v>
      </c>
    </row>
    <row r="32892" spans="1:1" ht="12.75">
      <c r="A32892" s="2" t="s">
        <v>345</v>
      </c>
    </row>
    <row r="32893" spans="1:1" ht="12.75">
      <c r="A32893" s="2" t="s">
        <v>159</v>
      </c>
    </row>
    <row r="32894" spans="1:1" ht="12.75">
      <c r="A32894" s="2" t="s">
        <v>345</v>
      </c>
    </row>
    <row r="32895" spans="1:1" ht="12.75">
      <c r="A32895" s="2" t="s">
        <v>345</v>
      </c>
    </row>
    <row r="32896" spans="1:1" ht="12.75">
      <c r="A32896" s="2" t="s">
        <v>345</v>
      </c>
    </row>
    <row r="32897" spans="1:1" ht="12.75">
      <c r="A32897" s="2" t="s">
        <v>345</v>
      </c>
    </row>
    <row r="32898" spans="1:1" ht="12.75">
      <c r="A32898" s="2" t="s">
        <v>345</v>
      </c>
    </row>
    <row r="32899" spans="1:1" ht="12.75">
      <c r="A32899" s="2" t="s">
        <v>345</v>
      </c>
    </row>
    <row r="32900" spans="1:1" ht="12.75">
      <c r="A32900" s="2" t="s">
        <v>227</v>
      </c>
    </row>
    <row r="32902" spans="1:1" ht="12.75">
      <c r="A32902" s="2" t="s">
        <v>345</v>
      </c>
    </row>
    <row r="32903" spans="1:1" ht="12.75">
      <c r="A32903" s="2" t="s">
        <v>345</v>
      </c>
    </row>
    <row r="32904" spans="1:1" ht="12.75">
      <c r="A32904" s="2" t="s">
        <v>345</v>
      </c>
    </row>
    <row r="32905" spans="1:1" ht="12.75">
      <c r="A32905" s="2" t="s">
        <v>159</v>
      </c>
    </row>
    <row r="32906" spans="1:1" ht="12.75">
      <c r="A32906" s="2" t="s">
        <v>345</v>
      </c>
    </row>
    <row r="32907" spans="1:1" ht="12.75">
      <c r="A32907" s="2" t="s">
        <v>748</v>
      </c>
    </row>
    <row r="32908" spans="1:1" ht="12.75">
      <c r="A32908" s="2" t="s">
        <v>345</v>
      </c>
    </row>
    <row r="32909" spans="1:1" ht="12.75">
      <c r="A32909" s="2" t="s">
        <v>345</v>
      </c>
    </row>
    <row r="32910" spans="1:1" ht="12.75">
      <c r="A32910" s="2" t="s">
        <v>159</v>
      </c>
    </row>
    <row r="32911" spans="1:1" ht="12.75">
      <c r="A32911" s="2" t="s">
        <v>345</v>
      </c>
    </row>
    <row r="32912" spans="1:1" ht="12.75">
      <c r="A32912" s="2" t="s">
        <v>159</v>
      </c>
    </row>
    <row r="32914" spans="1:1" ht="12.75">
      <c r="A32914" s="2" t="s">
        <v>159</v>
      </c>
    </row>
    <row r="32916" spans="1:1" ht="12.75">
      <c r="A32916" s="2" t="s">
        <v>345</v>
      </c>
    </row>
    <row r="32917" spans="1:1" ht="12.75">
      <c r="A32917" s="2" t="s">
        <v>159</v>
      </c>
    </row>
    <row r="32918" spans="1:1" ht="12.75">
      <c r="A32918" s="2" t="s">
        <v>345</v>
      </c>
    </row>
    <row r="32919" spans="1:1" ht="12.75">
      <c r="A32919" s="2" t="s">
        <v>165</v>
      </c>
    </row>
    <row r="32920" spans="1:1" ht="12.75">
      <c r="A32920" s="2" t="s">
        <v>169</v>
      </c>
    </row>
    <row r="32921" spans="1:1" ht="12.75">
      <c r="A32921" s="2" t="s">
        <v>170</v>
      </c>
    </row>
    <row r="32922" spans="1:1" ht="12.75">
      <c r="A32922" s="2" t="s">
        <v>169</v>
      </c>
    </row>
    <row r="32923" spans="1:1" ht="12.75">
      <c r="A32923" s="2" t="s">
        <v>165</v>
      </c>
    </row>
    <row r="32924" spans="1:1" ht="12.75">
      <c r="A32924" s="2" t="s">
        <v>169</v>
      </c>
    </row>
    <row r="32925" spans="1:1" ht="12.75">
      <c r="A32925" s="2" t="s">
        <v>177</v>
      </c>
    </row>
    <row r="32926" spans="1:1" ht="12.75">
      <c r="A32926" s="2" t="s">
        <v>184</v>
      </c>
    </row>
    <row r="32927" spans="1:1" ht="12.75">
      <c r="A32927" s="2" t="s">
        <v>177</v>
      </c>
    </row>
    <row r="32928" spans="1:1" ht="12.75">
      <c r="A32928" s="2" t="s">
        <v>184</v>
      </c>
    </row>
    <row r="32929" spans="1:1" ht="12.75">
      <c r="A32929" s="2" t="s">
        <v>177</v>
      </c>
    </row>
    <row r="32930" spans="1:1" ht="12.75">
      <c r="A32930" s="2" t="s">
        <v>184</v>
      </c>
    </row>
    <row r="32931" spans="1:1" ht="12.75">
      <c r="A32931" s="2" t="s">
        <v>172</v>
      </c>
    </row>
    <row r="32932" spans="1:1" ht="12.75">
      <c r="A32932" s="2" t="s">
        <v>173</v>
      </c>
    </row>
    <row r="32933" spans="1:1" ht="12.75">
      <c r="A32933" s="2" t="s">
        <v>172</v>
      </c>
    </row>
    <row r="32934" spans="1:1" ht="12.75">
      <c r="A32934" s="2" t="s">
        <v>176</v>
      </c>
    </row>
    <row r="32935" spans="1:1" ht="12.75">
      <c r="A32935" s="2" t="s">
        <v>172</v>
      </c>
    </row>
    <row r="32936" spans="1:1" ht="12.75">
      <c r="A32936" s="2" t="s">
        <v>169</v>
      </c>
    </row>
    <row r="32937" spans="1:1" ht="12.75">
      <c r="A32937" s="2" t="s">
        <v>181</v>
      </c>
    </row>
    <row r="32938" spans="1:1" ht="12.75">
      <c r="A32938" s="2" t="s">
        <v>182</v>
      </c>
    </row>
    <row r="32939" spans="1:1" ht="12.75">
      <c r="A32939" s="2" t="s">
        <v>181</v>
      </c>
    </row>
    <row r="32940" spans="1:1" ht="12.75">
      <c r="A32940" s="2" t="s">
        <v>194</v>
      </c>
    </row>
    <row r="32941" spans="1:1" ht="12.75">
      <c r="A32941" s="2" t="s">
        <v>182</v>
      </c>
    </row>
    <row r="32942" spans="1:1" ht="12.75">
      <c r="A32942" s="2" t="s">
        <v>194</v>
      </c>
    </row>
    <row r="32943" spans="1:1" ht="12.75">
      <c r="A32943" s="2" t="s">
        <v>169</v>
      </c>
    </row>
    <row r="32944" spans="1:1" ht="12.75">
      <c r="A32944" s="2" t="s">
        <v>160</v>
      </c>
    </row>
    <row r="32947" spans="1:1" ht="12.75">
      <c r="A32947" s="2" t="s">
        <v>169</v>
      </c>
    </row>
    <row r="32948" spans="1:1" ht="12.75">
      <c r="A32948" s="2" t="s">
        <v>182</v>
      </c>
    </row>
    <row r="32949" spans="1:1" ht="12.75">
      <c r="A32949" s="2" t="s">
        <v>160</v>
      </c>
    </row>
    <row r="32950" spans="1:1" ht="12.75">
      <c r="A32950" s="2" t="s">
        <v>182</v>
      </c>
    </row>
    <row r="32951" spans="1:1" ht="12.75">
      <c r="A32951" s="2" t="s">
        <v>160</v>
      </c>
    </row>
    <row r="32952" spans="1:1" ht="12.75">
      <c r="A32952" s="2" t="s">
        <v>182</v>
      </c>
    </row>
    <row r="32953" spans="1:1" ht="12.75">
      <c r="A32953" s="2" t="s">
        <v>174</v>
      </c>
    </row>
    <row r="32954" spans="1:1" ht="12.75">
      <c r="A32954" s="2" t="s">
        <v>165</v>
      </c>
    </row>
    <row r="32955" spans="1:1" ht="12.75">
      <c r="A32955" s="2" t="s">
        <v>184</v>
      </c>
    </row>
    <row r="32956" spans="1:1" ht="12.75">
      <c r="A32956" s="2" t="s">
        <v>165</v>
      </c>
    </row>
    <row r="32957" spans="1:1" ht="12.75">
      <c r="A32957" s="2" t="s">
        <v>184</v>
      </c>
    </row>
    <row r="32958" spans="1:1" ht="12.75">
      <c r="A32958" s="2" t="s">
        <v>165</v>
      </c>
    </row>
    <row r="32959" spans="1:1" ht="12.75">
      <c r="A32959" s="2" t="s">
        <v>196</v>
      </c>
    </row>
    <row r="32960" spans="1:1" ht="12.75">
      <c r="A32960" s="2" t="s">
        <v>169</v>
      </c>
    </row>
    <row r="32961" spans="1:1" ht="12.75">
      <c r="A32961" s="2" t="s">
        <v>1229</v>
      </c>
    </row>
    <row r="32962" spans="1:1" ht="12.75">
      <c r="A32962" s="2" t="s">
        <v>183</v>
      </c>
    </row>
    <row r="32963" spans="1:1" ht="12.75">
      <c r="A32963" s="2" t="s">
        <v>176</v>
      </c>
    </row>
    <row r="32964" spans="1:1" ht="12.75">
      <c r="A32964" s="2" t="s">
        <v>172</v>
      </c>
    </row>
    <row r="32965" spans="1:1" ht="12.75">
      <c r="A32965" s="2" t="s">
        <v>176</v>
      </c>
    </row>
    <row r="32966" spans="1:1" ht="12.75">
      <c r="A32966" s="2" t="s">
        <v>172</v>
      </c>
    </row>
    <row r="32967" spans="1:1" ht="12.75">
      <c r="A32967" s="2" t="s">
        <v>183</v>
      </c>
    </row>
    <row r="32968" spans="1:1" ht="12.75">
      <c r="A32968" s="2" t="s">
        <v>172</v>
      </c>
    </row>
    <row r="32969" spans="1:1" ht="12.75">
      <c r="A32969" s="2" t="s">
        <v>163</v>
      </c>
    </row>
    <row r="32970" spans="1:1" ht="12.75">
      <c r="A32970" s="2" t="s">
        <v>179</v>
      </c>
    </row>
    <row r="32971" spans="1:1" ht="12.75">
      <c r="A32971" s="2" t="s">
        <v>162</v>
      </c>
    </row>
    <row r="32972" spans="1:1" ht="12.75">
      <c r="A32972" s="2" t="s">
        <v>179</v>
      </c>
    </row>
    <row r="32973" spans="1:1" ht="12.75">
      <c r="A32973" s="2" t="s">
        <v>162</v>
      </c>
    </row>
    <row r="32974" spans="1:1" ht="12.75">
      <c r="A32974" s="2" t="s">
        <v>196</v>
      </c>
    </row>
    <row r="32975" spans="1:1" ht="12.75">
      <c r="A32975" s="2" t="s">
        <v>162</v>
      </c>
    </row>
    <row r="32976" spans="1:1" ht="12.75">
      <c r="A32976" s="2" t="s">
        <v>176</v>
      </c>
    </row>
    <row r="32977" spans="1:1" ht="12.75">
      <c r="A32977" s="2" t="s">
        <v>185</v>
      </c>
    </row>
    <row r="32978" spans="1:1" ht="12.75">
      <c r="A32978" s="2" t="s">
        <v>175</v>
      </c>
    </row>
    <row r="32979" spans="1:1" ht="12.75">
      <c r="A32979" s="2" t="s">
        <v>185</v>
      </c>
    </row>
    <row r="32980" spans="1:1" ht="12.75">
      <c r="A32980" s="2" t="s">
        <v>175</v>
      </c>
    </row>
    <row r="32981" spans="1:1" ht="12.75">
      <c r="A32981" s="2" t="s">
        <v>185</v>
      </c>
    </row>
    <row r="32982" spans="1:1" ht="12.75">
      <c r="A32982" s="2" t="s">
        <v>163</v>
      </c>
    </row>
    <row r="32983" spans="1:1" ht="12.75">
      <c r="A32983" s="2" t="s">
        <v>945</v>
      </c>
    </row>
    <row r="32984" spans="1:1" ht="12.75">
      <c r="A32984" s="2" t="s">
        <v>163</v>
      </c>
    </row>
    <row r="32986" spans="1:1" ht="12.75">
      <c r="A32986" s="2" t="s">
        <v>169</v>
      </c>
    </row>
    <row r="32987" spans="1:1" ht="12.75">
      <c r="A32987" s="2" t="s">
        <v>164</v>
      </c>
    </row>
    <row r="32988" spans="1:1" ht="12.75">
      <c r="A32988" s="2" t="s">
        <v>169</v>
      </c>
    </row>
    <row r="32989" spans="1:1" ht="12.75">
      <c r="A32989" s="2" t="s">
        <v>165</v>
      </c>
    </row>
    <row r="32990" spans="1:1" ht="12.75">
      <c r="A32990" s="2" t="s">
        <v>169</v>
      </c>
    </row>
    <row r="32991" spans="1:1" ht="12.75">
      <c r="A32991" s="2" t="s">
        <v>196</v>
      </c>
    </row>
    <row r="32992" spans="1:1" ht="12.75">
      <c r="A32992" s="2" t="s">
        <v>171</v>
      </c>
    </row>
    <row r="32993" spans="1:1" ht="12.75">
      <c r="A32993" s="2" t="s">
        <v>165</v>
      </c>
    </row>
    <row r="32994" spans="1:1" ht="12.75">
      <c r="A32994" s="2" t="s">
        <v>191</v>
      </c>
    </row>
    <row r="32995" spans="1:1" ht="12.75">
      <c r="A32995" s="2" t="s">
        <v>166</v>
      </c>
    </row>
    <row r="32996" spans="1:1" ht="12.75">
      <c r="A32996" s="2" t="s">
        <v>191</v>
      </c>
    </row>
    <row r="32997" spans="1:1" ht="12.75">
      <c r="A32997" s="2" t="s">
        <v>166</v>
      </c>
    </row>
    <row r="32998" spans="1:1" ht="12.75">
      <c r="A32998" s="2" t="s">
        <v>225</v>
      </c>
    </row>
    <row r="32999" spans="1:1" ht="12.75">
      <c r="A32999" s="2" t="s">
        <v>166</v>
      </c>
    </row>
    <row r="33000" spans="1:1" ht="12.75">
      <c r="A33000" s="2" t="s">
        <v>225</v>
      </c>
    </row>
    <row r="33001" spans="1:1" ht="12.75">
      <c r="A33001" s="2" t="s">
        <v>193</v>
      </c>
    </row>
    <row r="33002" spans="1:1" ht="12.75">
      <c r="A33002" s="2" t="s">
        <v>174</v>
      </c>
    </row>
    <row r="33003" spans="1:1" ht="12.75">
      <c r="A33003" s="2" t="s">
        <v>193</v>
      </c>
    </row>
    <row r="33004" spans="1:1" ht="12.75">
      <c r="A33004" s="2" t="s">
        <v>174</v>
      </c>
    </row>
    <row r="33005" spans="1:1" ht="12.75">
      <c r="A33005" s="2" t="s">
        <v>193</v>
      </c>
    </row>
    <row r="33006" spans="1:1" ht="12.75">
      <c r="A33006" s="2" t="s">
        <v>177</v>
      </c>
    </row>
    <row r="33007" spans="1:1" ht="12.75">
      <c r="A33007" s="2" t="s">
        <v>172</v>
      </c>
    </row>
    <row r="33008" spans="1:1" ht="12.75">
      <c r="A33008" s="2" t="s">
        <v>177</v>
      </c>
    </row>
    <row r="33009" spans="1:1" ht="12.75">
      <c r="A33009" s="2" t="s">
        <v>172</v>
      </c>
    </row>
    <row r="33010" spans="1:1" ht="12.75">
      <c r="A33010" s="2" t="s">
        <v>177</v>
      </c>
    </row>
    <row r="33011" spans="1:1" ht="12.75">
      <c r="A33011" s="2" t="s">
        <v>172</v>
      </c>
    </row>
    <row r="33012" spans="1:1" ht="12.75">
      <c r="A33012" s="2" t="s">
        <v>184</v>
      </c>
    </row>
    <row r="33013" spans="1:1" ht="12.75">
      <c r="A33013" s="2" t="s">
        <v>162</v>
      </c>
    </row>
    <row r="33014" spans="1:1" ht="12.75">
      <c r="A33014" s="2" t="s">
        <v>181</v>
      </c>
    </row>
    <row r="33015" spans="1:1" ht="12.75">
      <c r="A33015" s="2" t="s">
        <v>162</v>
      </c>
    </row>
    <row r="33016" spans="1:1" ht="12.75">
      <c r="A33016" s="2" t="s">
        <v>181</v>
      </c>
    </row>
    <row r="33017" spans="1:1" ht="12.75">
      <c r="A33017" s="2" t="s">
        <v>162</v>
      </c>
    </row>
    <row r="33018" spans="1:1" ht="12.75">
      <c r="A33018" s="2" t="s">
        <v>181</v>
      </c>
    </row>
    <row r="33019" spans="1:1" ht="12.75">
      <c r="A33019" s="2" t="s">
        <v>170</v>
      </c>
    </row>
    <row r="33020" spans="1:1" ht="12.75">
      <c r="A33020" s="2" t="s">
        <v>182</v>
      </c>
    </row>
    <row r="33021" spans="1:1" ht="12.75">
      <c r="A33021" s="2" t="s">
        <v>179</v>
      </c>
    </row>
    <row r="33022" spans="1:1" ht="12.75">
      <c r="A33022" s="2" t="s">
        <v>182</v>
      </c>
    </row>
    <row r="33023" spans="1:1" ht="12.75">
      <c r="A33023" s="2" t="s">
        <v>179</v>
      </c>
    </row>
    <row r="33024" spans="1:1" ht="12.75">
      <c r="A33024" s="2" t="s">
        <v>182</v>
      </c>
    </row>
    <row r="33025" spans="1:1" ht="12.75">
      <c r="A33025" s="2" t="s">
        <v>185</v>
      </c>
    </row>
    <row r="33026" spans="1:1" ht="12.75">
      <c r="A33026" s="2" t="s">
        <v>196</v>
      </c>
    </row>
    <row r="33027" spans="1:1" ht="12.75">
      <c r="A33027" s="2" t="s">
        <v>185</v>
      </c>
    </row>
    <row r="33028" spans="1:1" ht="12.75">
      <c r="A33028" s="2" t="s">
        <v>163</v>
      </c>
    </row>
    <row r="33029" spans="1:1" ht="12.75">
      <c r="A33029" s="2" t="s">
        <v>175</v>
      </c>
    </row>
    <row r="33030" spans="1:1" ht="12.75">
      <c r="A33030" s="2" t="s">
        <v>163</v>
      </c>
    </row>
    <row r="33031" spans="1:1" ht="12.75">
      <c r="A33031" s="2" t="s">
        <v>175</v>
      </c>
    </row>
    <row r="33032" spans="1:1" ht="12.75">
      <c r="A33032" s="2" t="s">
        <v>163</v>
      </c>
    </row>
    <row r="33033" spans="1:1" ht="12.75">
      <c r="A33033" s="2" t="s">
        <v>1230</v>
      </c>
    </row>
    <row r="33034" spans="1:1" ht="12.75">
      <c r="A33034" s="2" t="s">
        <v>225</v>
      </c>
    </row>
    <row r="33035" spans="1:1" ht="12.75">
      <c r="A33035" s="2" t="s">
        <v>171</v>
      </c>
    </row>
    <row r="33037" spans="1:1" ht="12.75">
      <c r="A33037" s="2" t="s">
        <v>178</v>
      </c>
    </row>
    <row r="33038" spans="1:1" ht="12.75">
      <c r="A33038" s="2" t="s">
        <v>173</v>
      </c>
    </row>
    <row r="33039" spans="1:1" ht="12.75">
      <c r="A33039" s="2" t="s">
        <v>178</v>
      </c>
    </row>
    <row r="33040" spans="1:1" ht="12.75">
      <c r="A33040" s="2" t="s">
        <v>173</v>
      </c>
    </row>
    <row r="33041" spans="1:1" ht="12.75">
      <c r="A33041" s="2" t="s">
        <v>225</v>
      </c>
    </row>
    <row r="33042" spans="1:1" ht="12.75">
      <c r="A33042" s="2" t="s">
        <v>185</v>
      </c>
    </row>
    <row r="33050" spans="1:1" ht="12.75">
      <c r="A33050" s="2" t="s">
        <v>719</v>
      </c>
    </row>
    <row r="33051" spans="1:1" ht="12.75">
      <c r="A33051" s="2" t="s">
        <v>719</v>
      </c>
    </row>
    <row r="33052" spans="1:1" ht="12.75">
      <c r="A33052" s="2" t="s">
        <v>719</v>
      </c>
    </row>
    <row r="33053" spans="1:1" ht="12.75">
      <c r="A33053" s="2" t="s">
        <v>1231</v>
      </c>
    </row>
    <row r="33055" spans="1:1" ht="12.75">
      <c r="A33055" s="2" t="s">
        <v>1231</v>
      </c>
    </row>
    <row r="33056" spans="1:1" ht="12.75">
      <c r="A33056" s="2" t="s">
        <v>1232</v>
      </c>
    </row>
    <row r="33057" spans="1:1" ht="12.75">
      <c r="A33057" s="2" t="s">
        <v>302</v>
      </c>
    </row>
    <row r="33058" spans="1:1" ht="12.75">
      <c r="A33058" s="2" t="s">
        <v>302</v>
      </c>
    </row>
    <row r="33059" spans="1:1" ht="12.75">
      <c r="A33059" s="2" t="s">
        <v>302</v>
      </c>
    </row>
    <row r="33060" spans="1:1" ht="12.75">
      <c r="A33060" s="2" t="s">
        <v>302</v>
      </c>
    </row>
    <row r="33061" spans="1:1" ht="12.75">
      <c r="A33061" s="2" t="s">
        <v>302</v>
      </c>
    </row>
    <row r="33062" spans="1:1" ht="12.75">
      <c r="A33062" s="2" t="s">
        <v>302</v>
      </c>
    </row>
    <row r="33063" spans="1:1" ht="12.75">
      <c r="A33063" s="2" t="s">
        <v>302</v>
      </c>
    </row>
    <row r="33064" spans="1:1" ht="12.75">
      <c r="A33064" s="2" t="s">
        <v>302</v>
      </c>
    </row>
    <row r="33065" spans="1:1" ht="12.75">
      <c r="A33065" s="2" t="s">
        <v>302</v>
      </c>
    </row>
    <row r="33066" spans="1:1" ht="12.75">
      <c r="A33066" s="2" t="s">
        <v>302</v>
      </c>
    </row>
    <row r="33067" spans="1:1" ht="12.75">
      <c r="A33067" s="2" t="s">
        <v>302</v>
      </c>
    </row>
    <row r="33068" spans="1:1" ht="12.75">
      <c r="A33068" s="2" t="s">
        <v>302</v>
      </c>
    </row>
    <row r="33069" spans="1:1" ht="12.75">
      <c r="A33069" s="2" t="s">
        <v>302</v>
      </c>
    </row>
    <row r="33070" spans="1:1" ht="12.75">
      <c r="A33070" s="2" t="s">
        <v>302</v>
      </c>
    </row>
    <row r="33071" spans="1:1" ht="12.75">
      <c r="A33071" s="2" t="s">
        <v>302</v>
      </c>
    </row>
    <row r="33072" spans="1:1" ht="12.75">
      <c r="A33072" s="2" t="s">
        <v>302</v>
      </c>
    </row>
    <row r="33073" spans="1:1" ht="12.75">
      <c r="A33073" s="2" t="s">
        <v>302</v>
      </c>
    </row>
    <row r="33074" spans="1:1" ht="12.75">
      <c r="A33074" s="2" t="s">
        <v>302</v>
      </c>
    </row>
    <row r="33075" spans="1:1" ht="12.75">
      <c r="A33075" s="2" t="s">
        <v>302</v>
      </c>
    </row>
    <row r="33076" spans="1:1" ht="12.75">
      <c r="A33076" s="2" t="s">
        <v>302</v>
      </c>
    </row>
    <row r="33077" spans="1:1" ht="12.75">
      <c r="A33077" s="2" t="s">
        <v>302</v>
      </c>
    </row>
    <row r="33078" spans="1:1" ht="12.75">
      <c r="A33078" s="2" t="s">
        <v>302</v>
      </c>
    </row>
    <row r="33081" spans="1:1" ht="12.75">
      <c r="A33081" s="2" t="s">
        <v>1233</v>
      </c>
    </row>
    <row r="33082" spans="1:1" ht="12.75">
      <c r="A33082" s="2" t="s">
        <v>488</v>
      </c>
    </row>
    <row r="33088" spans="1:1" ht="12.75">
      <c r="A33088" s="2" t="s">
        <v>377</v>
      </c>
    </row>
    <row r="33089" spans="1:1" ht="12.75">
      <c r="A33089" s="2" t="s">
        <v>1234</v>
      </c>
    </row>
    <row r="33090" spans="1:1" ht="12.75">
      <c r="A33090" s="2" t="s">
        <v>1234</v>
      </c>
    </row>
    <row r="33091" spans="1:1" ht="12.75">
      <c r="A33091" s="2" t="s">
        <v>1235</v>
      </c>
    </row>
    <row r="33092" spans="1:1" ht="12.75">
      <c r="A33092" s="2" t="s">
        <v>489</v>
      </c>
    </row>
    <row r="33094" spans="1:1" ht="12.75">
      <c r="A33094" s="2" t="s">
        <v>489</v>
      </c>
    </row>
    <row r="33108" spans="1:1" ht="12.75">
      <c r="A33108" s="2" t="s">
        <v>461</v>
      </c>
    </row>
    <row r="33110" spans="1:1" ht="12.75">
      <c r="A33110" s="2" t="s">
        <v>1236</v>
      </c>
    </row>
    <row r="33112" spans="1:1" ht="12.75">
      <c r="A33112" s="2" t="s">
        <v>531</v>
      </c>
    </row>
    <row r="33113" spans="1:1" ht="12.75">
      <c r="A33113" s="2" t="s">
        <v>513</v>
      </c>
    </row>
    <row r="33114" spans="1:1" ht="12.75">
      <c r="A33114" s="2" t="s">
        <v>531</v>
      </c>
    </row>
    <row r="33115" spans="1:1" ht="12.75">
      <c r="A33115" s="2" t="s">
        <v>513</v>
      </c>
    </row>
    <row r="33116" spans="1:1" ht="12.75">
      <c r="A33116" s="2" t="s">
        <v>532</v>
      </c>
    </row>
    <row r="33117" spans="1:1" ht="12.75">
      <c r="A33117" s="2" t="s">
        <v>528</v>
      </c>
    </row>
    <row r="33118" spans="1:1" ht="12.75">
      <c r="A33118" s="2" t="s">
        <v>532</v>
      </c>
    </row>
    <row r="33119" spans="1:1" ht="12.75">
      <c r="A33119" s="2" t="s">
        <v>547</v>
      </c>
    </row>
    <row r="33120" spans="1:1" ht="12.75">
      <c r="A33120" s="2" t="s">
        <v>531</v>
      </c>
    </row>
    <row r="33121" spans="1:1" ht="12.75">
      <c r="A33121" s="2" t="s">
        <v>531</v>
      </c>
    </row>
    <row r="33122" spans="1:1" ht="12.75">
      <c r="A33122" s="2" t="s">
        <v>531</v>
      </c>
    </row>
    <row r="33123" spans="1:1" ht="12.75">
      <c r="A33123" s="2" t="s">
        <v>528</v>
      </c>
    </row>
    <row r="33124" spans="1:1" ht="12.75">
      <c r="A33124" s="2" t="s">
        <v>794</v>
      </c>
    </row>
    <row r="33125" spans="1:1" ht="12.75">
      <c r="A33125" s="2" t="s">
        <v>528</v>
      </c>
    </row>
    <row r="33126" spans="1:1" ht="12.75">
      <c r="A33126" s="2" t="s">
        <v>529</v>
      </c>
    </row>
    <row r="33127" spans="1:1" ht="12.75">
      <c r="A33127" s="2" t="s">
        <v>528</v>
      </c>
    </row>
    <row r="33128" spans="1:1" ht="12.75">
      <c r="A33128" s="2" t="s">
        <v>528</v>
      </c>
    </row>
    <row r="33129" spans="1:1" ht="12.75">
      <c r="A33129" s="2" t="s">
        <v>532</v>
      </c>
    </row>
    <row r="33130" spans="1:1" ht="12.75">
      <c r="A33130" s="2" t="s">
        <v>576</v>
      </c>
    </row>
    <row r="33131" spans="1:1" ht="12.75">
      <c r="A33131" s="2" t="s">
        <v>799</v>
      </c>
    </row>
    <row r="33132" spans="1:1" ht="12.75">
      <c r="A33132" s="2" t="s">
        <v>799</v>
      </c>
    </row>
    <row r="33133" spans="1:1" ht="12.75">
      <c r="A33133" s="2" t="s">
        <v>798</v>
      </c>
    </row>
    <row r="33134" spans="1:1" ht="12.75">
      <c r="A33134" s="2" t="s">
        <v>546</v>
      </c>
    </row>
    <row r="33135" spans="1:1" ht="12.75">
      <c r="A33135" s="2" t="s">
        <v>576</v>
      </c>
    </row>
    <row r="33136" spans="1:1" ht="12.75">
      <c r="A33136" s="2" t="s">
        <v>546</v>
      </c>
    </row>
    <row r="33137" spans="1:1" ht="12.75">
      <c r="A33137" s="2" t="s">
        <v>530</v>
      </c>
    </row>
    <row r="33138" spans="1:1" ht="12.75">
      <c r="A33138" s="2" t="s">
        <v>547</v>
      </c>
    </row>
    <row r="33139" spans="1:1" ht="12.75">
      <c r="A33139" s="2" t="s">
        <v>547</v>
      </c>
    </row>
    <row r="33140" spans="1:1" ht="12.75">
      <c r="A33140" s="2" t="s">
        <v>528</v>
      </c>
    </row>
    <row r="33141" spans="1:1" ht="12.75">
      <c r="A33141" s="2" t="s">
        <v>514</v>
      </c>
    </row>
    <row r="33142" spans="1:1" ht="12.75">
      <c r="A33142" s="2" t="s">
        <v>528</v>
      </c>
    </row>
    <row r="33143" spans="1:1" ht="12.75">
      <c r="A33143" s="2" t="s">
        <v>514</v>
      </c>
    </row>
    <row r="33144" spans="1:1" ht="12.75">
      <c r="A33144" s="2" t="s">
        <v>546</v>
      </c>
    </row>
    <row r="33145" spans="1:1" ht="12.75">
      <c r="A33145" s="2" t="s">
        <v>532</v>
      </c>
    </row>
    <row r="33146" spans="1:1" ht="12.75">
      <c r="A33146" s="2" t="s">
        <v>546</v>
      </c>
    </row>
    <row r="33147" spans="1:1" ht="12.75">
      <c r="A33147" s="2" t="s">
        <v>532</v>
      </c>
    </row>
    <row r="33148" spans="1:1" ht="12.75">
      <c r="A33148" s="2" t="s">
        <v>798</v>
      </c>
    </row>
    <row r="33149" spans="1:1" ht="12.75">
      <c r="A33149" s="2" t="s">
        <v>531</v>
      </c>
    </row>
    <row r="33150" spans="1:1" ht="12.75">
      <c r="A33150" s="2" t="s">
        <v>799</v>
      </c>
    </row>
    <row r="33151" spans="1:1" ht="12.75">
      <c r="A33151" s="2" t="s">
        <v>531</v>
      </c>
    </row>
    <row r="33152" spans="1:1" ht="12.75">
      <c r="A33152" s="2" t="s">
        <v>798</v>
      </c>
    </row>
    <row r="33153" spans="1:1" ht="12.75">
      <c r="A33153" s="2" t="s">
        <v>529</v>
      </c>
    </row>
    <row r="33154" spans="1:1" ht="12.75">
      <c r="A33154" s="2" t="s">
        <v>512</v>
      </c>
    </row>
    <row r="33155" spans="1:1" ht="12.75">
      <c r="A33155" s="2" t="s">
        <v>794</v>
      </c>
    </row>
    <row r="33156" spans="1:1" ht="12.75">
      <c r="A33156" s="2" t="s">
        <v>799</v>
      </c>
    </row>
    <row r="33157" spans="1:1" ht="12.75">
      <c r="A33157" s="2" t="s">
        <v>576</v>
      </c>
    </row>
    <row r="33159" spans="1:1" ht="12.75">
      <c r="A33159" s="2" t="s">
        <v>514</v>
      </c>
    </row>
    <row r="33161" spans="1:1" ht="12.75">
      <c r="A33161" s="2" t="s">
        <v>514</v>
      </c>
    </row>
    <row r="33162" spans="1:1" ht="12.75">
      <c r="A33162" s="2" t="s">
        <v>514</v>
      </c>
    </row>
    <row r="33163" spans="1:1" ht="12.75">
      <c r="A33163" s="2" t="s">
        <v>799</v>
      </c>
    </row>
    <row r="33164" spans="1:1" ht="12.75">
      <c r="A33164" s="2" t="s">
        <v>514</v>
      </c>
    </row>
    <row r="33165" spans="1:1" ht="12.75">
      <c r="A33165" s="2" t="s">
        <v>798</v>
      </c>
    </row>
    <row r="33166" spans="1:1" ht="12.75">
      <c r="A33166" s="2" t="s">
        <v>528</v>
      </c>
    </row>
    <row r="33167" spans="1:1" ht="12.75">
      <c r="A33167" s="2" t="s">
        <v>530</v>
      </c>
    </row>
    <row r="33168" spans="1:1" ht="12.75">
      <c r="A33168" s="2" t="s">
        <v>528</v>
      </c>
    </row>
    <row r="33169" spans="1:1" ht="12.75">
      <c r="A33169" s="2" t="s">
        <v>531</v>
      </c>
    </row>
    <row r="33170" spans="1:1" ht="12.75">
      <c r="A33170" s="2" t="s">
        <v>528</v>
      </c>
    </row>
    <row r="33171" spans="1:1" ht="12.75">
      <c r="A33171" s="2" t="s">
        <v>529</v>
      </c>
    </row>
    <row r="33172" spans="1:1" ht="12.75">
      <c r="A33172" s="2" t="s">
        <v>514</v>
      </c>
    </row>
    <row r="33173" spans="1:1" ht="12.75">
      <c r="A33173" s="2" t="s">
        <v>529</v>
      </c>
    </row>
    <row r="33174" spans="1:1" ht="12.75">
      <c r="A33174" s="2" t="s">
        <v>576</v>
      </c>
    </row>
    <row r="33175" spans="1:1" ht="12.75">
      <c r="A33175" s="2" t="s">
        <v>529</v>
      </c>
    </row>
    <row r="33176" spans="1:1" ht="12.75">
      <c r="A33176" s="2" t="s">
        <v>797</v>
      </c>
    </row>
    <row r="33177" spans="1:1" ht="12.75">
      <c r="A33177" s="2" t="s">
        <v>513</v>
      </c>
    </row>
    <row r="33178" spans="1:1" ht="12.75">
      <c r="A33178" s="2" t="s">
        <v>576</v>
      </c>
    </row>
    <row r="33179" spans="1:1" ht="12.75">
      <c r="A33179" s="2" t="s">
        <v>513</v>
      </c>
    </row>
    <row r="33180" spans="1:1" ht="12.75">
      <c r="A33180" s="2" t="s">
        <v>576</v>
      </c>
    </row>
    <row r="33181" spans="1:1" ht="12.75">
      <c r="A33181" s="2" t="s">
        <v>514</v>
      </c>
    </row>
    <row r="33182" spans="1:1" ht="12.75">
      <c r="A33182" s="2" t="s">
        <v>547</v>
      </c>
    </row>
    <row r="33183" spans="1:1" ht="12.75">
      <c r="A33183" s="2" t="s">
        <v>798</v>
      </c>
    </row>
    <row r="33184" spans="1:1" ht="12.75">
      <c r="A33184" s="2" t="s">
        <v>530</v>
      </c>
    </row>
    <row r="33185" spans="1:1" ht="12.75">
      <c r="A33185" s="2" t="s">
        <v>799</v>
      </c>
    </row>
    <row r="33186" spans="1:1" ht="12.75">
      <c r="A33186" s="2" t="s">
        <v>530</v>
      </c>
    </row>
    <row r="33187" spans="1:1" ht="12.75">
      <c r="A33187" s="2" t="s">
        <v>798</v>
      </c>
    </row>
    <row r="33188" spans="1:1" ht="12.75">
      <c r="A33188" s="2" t="s">
        <v>799</v>
      </c>
    </row>
    <row r="33189" spans="1:1" ht="12.75">
      <c r="A33189" s="2" t="s">
        <v>532</v>
      </c>
    </row>
    <row r="33190" spans="1:1" ht="12.75">
      <c r="A33190" s="2" t="s">
        <v>798</v>
      </c>
    </row>
    <row r="33192" spans="1:1" ht="12.75">
      <c r="A33192" s="2" t="s">
        <v>514</v>
      </c>
    </row>
    <row r="33193" spans="1:1" ht="12.75">
      <c r="A33193" s="2" t="s">
        <v>546</v>
      </c>
    </row>
    <row r="33194" spans="1:1" ht="12.75">
      <c r="A33194" s="2" t="s">
        <v>514</v>
      </c>
    </row>
    <row r="33195" spans="1:1" ht="12.75">
      <c r="A33195" s="2" t="s">
        <v>546</v>
      </c>
    </row>
    <row r="33196" spans="1:1" ht="12.75">
      <c r="A33196" s="2" t="s">
        <v>530</v>
      </c>
    </row>
    <row r="33197" spans="1:1" ht="12.75">
      <c r="A33197" s="2" t="s">
        <v>576</v>
      </c>
    </row>
    <row r="33198" spans="1:1" ht="12.75">
      <c r="A33198" s="2" t="s">
        <v>530</v>
      </c>
    </row>
    <row r="33199" spans="1:1" ht="12.75">
      <c r="A33199" s="2" t="s">
        <v>528</v>
      </c>
    </row>
    <row r="33200" spans="1:1" ht="12.75">
      <c r="A33200" s="2" t="s">
        <v>546</v>
      </c>
    </row>
    <row r="33201" spans="1:1" ht="12.75">
      <c r="A33201" s="2" t="s">
        <v>528</v>
      </c>
    </row>
    <row r="33202" spans="1:1" ht="12.75">
      <c r="A33202" s="2" t="s">
        <v>530</v>
      </c>
    </row>
    <row r="33203" spans="1:1" ht="12.75">
      <c r="A33203" s="2" t="s">
        <v>513</v>
      </c>
    </row>
    <row r="33204" spans="1:1" ht="12.75">
      <c r="A33204" s="2" t="s">
        <v>512</v>
      </c>
    </row>
    <row r="33205" spans="1:1" ht="12.75">
      <c r="A33205" s="2" t="s">
        <v>512</v>
      </c>
    </row>
    <row r="33206" spans="1:1" ht="12.75">
      <c r="A33206" s="2" t="s">
        <v>798</v>
      </c>
    </row>
    <row r="33207" spans="1:1" ht="12.75">
      <c r="A33207" s="2" t="s">
        <v>513</v>
      </c>
    </row>
    <row r="33208" spans="1:1" ht="12.75">
      <c r="A33208" s="2" t="s">
        <v>799</v>
      </c>
    </row>
    <row r="33209" spans="1:1" ht="12.75">
      <c r="A33209" s="2" t="s">
        <v>799</v>
      </c>
    </row>
    <row r="33210" spans="1:1" ht="12.75">
      <c r="A33210" s="2" t="s">
        <v>532</v>
      </c>
    </row>
    <row r="33211" spans="1:1" ht="12.75">
      <c r="A33211" s="2" t="s">
        <v>532</v>
      </c>
    </row>
    <row r="33212" spans="1:1" ht="12.75">
      <c r="A33212" s="2" t="s">
        <v>528</v>
      </c>
    </row>
    <row r="33213" spans="1:1" ht="12.75">
      <c r="A33213" s="2" t="s">
        <v>528</v>
      </c>
    </row>
    <row r="33214" spans="1:1" ht="12.75">
      <c r="A33214" s="2" t="s">
        <v>529</v>
      </c>
    </row>
    <row r="33215" spans="1:1" ht="12.75">
      <c r="A33215" s="2" t="s">
        <v>546</v>
      </c>
    </row>
    <row r="33216" spans="1:1" ht="12.75">
      <c r="A33216" s="2" t="s">
        <v>529</v>
      </c>
    </row>
    <row r="33217" spans="1:1" ht="12.75">
      <c r="A33217" s="2" t="s">
        <v>513</v>
      </c>
    </row>
    <row r="33218" spans="1:1" ht="12.75">
      <c r="A33218" s="2" t="s">
        <v>514</v>
      </c>
    </row>
    <row r="33219" spans="1:1" ht="12.75">
      <c r="A33219" s="2" t="s">
        <v>514</v>
      </c>
    </row>
    <row r="33220" spans="1:1" ht="12.75">
      <c r="A33220" s="2" t="s">
        <v>514</v>
      </c>
    </row>
    <row r="33221" spans="1:1" ht="12.75">
      <c r="A33221" s="2" t="s">
        <v>514</v>
      </c>
    </row>
    <row r="33222" spans="1:1" ht="12.75">
      <c r="A33222" s="2" t="s">
        <v>530</v>
      </c>
    </row>
    <row r="33223" spans="1:1" ht="12.75">
      <c r="A33223" s="2" t="s">
        <v>530</v>
      </c>
    </row>
    <row r="33224" spans="1:1" ht="12.75">
      <c r="A33224" s="2" t="s">
        <v>528</v>
      </c>
    </row>
    <row r="33225" spans="1:1" ht="12.75">
      <c r="A33225" s="2" t="s">
        <v>531</v>
      </c>
    </row>
    <row r="33226" spans="1:1" ht="12.75">
      <c r="A33226" s="2" t="s">
        <v>532</v>
      </c>
    </row>
    <row r="33227" spans="1:1" ht="12.75">
      <c r="A33227" s="2" t="s">
        <v>532</v>
      </c>
    </row>
    <row r="33228" spans="1:1" ht="12.75">
      <c r="A33228" s="2" t="s">
        <v>528</v>
      </c>
    </row>
    <row r="33229" spans="1:1" ht="12.75">
      <c r="A33229" s="2" t="s">
        <v>528</v>
      </c>
    </row>
    <row r="33230" spans="1:1" ht="12.75">
      <c r="A33230" s="2" t="s">
        <v>513</v>
      </c>
    </row>
    <row r="33231" spans="1:1" ht="12.75">
      <c r="A33231" s="2" t="s">
        <v>547</v>
      </c>
    </row>
    <row r="33232" spans="1:1" ht="12.75">
      <c r="A33232" s="2" t="s">
        <v>530</v>
      </c>
    </row>
    <row r="33233" spans="1:1" ht="12.75">
      <c r="A33233" s="2" t="s">
        <v>513</v>
      </c>
    </row>
    <row r="33234" spans="1:1" ht="12.75">
      <c r="A33234" s="2" t="s">
        <v>531</v>
      </c>
    </row>
    <row r="33235" spans="1:1" ht="12.75">
      <c r="A33235" s="2" t="s">
        <v>530</v>
      </c>
    </row>
    <row r="33236" spans="1:1" ht="12.75">
      <c r="A33236" s="2" t="s">
        <v>529</v>
      </c>
    </row>
    <row r="33237" spans="1:1" ht="12.75">
      <c r="A33237" s="2" t="s">
        <v>514</v>
      </c>
    </row>
    <row r="33238" spans="1:1" ht="12.75">
      <c r="A33238" s="2" t="s">
        <v>529</v>
      </c>
    </row>
    <row r="33239" spans="1:1" ht="12.75">
      <c r="A33239" s="2" t="s">
        <v>529</v>
      </c>
    </row>
    <row r="33240" spans="1:1" ht="12.75">
      <c r="A33240" s="2" t="s">
        <v>528</v>
      </c>
    </row>
    <row r="33241" spans="1:1" ht="12.75">
      <c r="A33241" s="2" t="s">
        <v>528</v>
      </c>
    </row>
    <row r="33242" spans="1:1" ht="12.75">
      <c r="A33242" s="2" t="s">
        <v>513</v>
      </c>
    </row>
    <row r="33243" spans="1:1" ht="12.75">
      <c r="A33243" s="2" t="s">
        <v>513</v>
      </c>
    </row>
    <row r="33244" spans="1:1" ht="12.75">
      <c r="A33244" s="2" t="s">
        <v>798</v>
      </c>
    </row>
    <row r="33245" spans="1:1" ht="12.75">
      <c r="A33245" s="2" t="s">
        <v>799</v>
      </c>
    </row>
    <row r="33246" spans="1:1" ht="12.75">
      <c r="A33246" s="2" t="s">
        <v>797</v>
      </c>
    </row>
    <row r="33247" spans="1:1" ht="12.75">
      <c r="A33247" s="2" t="s">
        <v>514</v>
      </c>
    </row>
    <row r="33248" spans="1:1" ht="12.75">
      <c r="A33248" s="2" t="s">
        <v>528</v>
      </c>
    </row>
    <row r="33249" spans="1:1" ht="12.75">
      <c r="A33249" s="2" t="s">
        <v>514</v>
      </c>
    </row>
    <row r="33250" spans="1:1" ht="12.75">
      <c r="A33250" s="2" t="s">
        <v>530</v>
      </c>
    </row>
    <row r="33251" spans="1:1" ht="12.75">
      <c r="A33251" s="2" t="s">
        <v>530</v>
      </c>
    </row>
    <row r="33252" spans="1:1" ht="12.75">
      <c r="A33252" s="2" t="s">
        <v>531</v>
      </c>
    </row>
    <row r="33253" spans="1:1" ht="12.75">
      <c r="A33253" s="2" t="s">
        <v>531</v>
      </c>
    </row>
    <row r="33254" spans="1:1" ht="12.75">
      <c r="A33254" s="2" t="s">
        <v>530</v>
      </c>
    </row>
    <row r="33255" spans="1:1" ht="12.75">
      <c r="A33255" s="2" t="s">
        <v>530</v>
      </c>
    </row>
    <row r="33256" spans="1:1" ht="12.75">
      <c r="A33256" s="2" t="s">
        <v>799</v>
      </c>
    </row>
    <row r="33257" spans="1:1" ht="12.75">
      <c r="A33257" s="2" t="s">
        <v>531</v>
      </c>
    </row>
    <row r="33258" spans="1:1" ht="12.75">
      <c r="A33258" s="2" t="s">
        <v>529</v>
      </c>
    </row>
    <row r="33259" spans="1:1" ht="12.75">
      <c r="A33259" s="2" t="s">
        <v>1237</v>
      </c>
    </row>
    <row r="33260" spans="1:1" ht="12.75">
      <c r="A33260" s="2" t="s">
        <v>528</v>
      </c>
    </row>
    <row r="33261" spans="1:1" ht="12.75">
      <c r="A33261" s="2" t="s">
        <v>528</v>
      </c>
    </row>
    <row r="33262" spans="1:1" ht="12.75">
      <c r="A33262" s="2" t="s">
        <v>513</v>
      </c>
    </row>
    <row r="33263" spans="1:1" ht="12.75">
      <c r="A33263" s="2" t="s">
        <v>513</v>
      </c>
    </row>
    <row r="33266" spans="1:1" ht="12.75">
      <c r="A33266" s="2" t="s">
        <v>576</v>
      </c>
    </row>
    <row r="33267" spans="1:1" ht="12.75">
      <c r="A33267" s="2" t="s">
        <v>576</v>
      </c>
    </row>
    <row r="33268" spans="1:1" ht="12.75">
      <c r="A33268" s="2" t="s">
        <v>514</v>
      </c>
    </row>
    <row r="33269" spans="1:1" ht="12.75">
      <c r="A33269" s="2" t="s">
        <v>797</v>
      </c>
    </row>
    <row r="33270" spans="1:1" ht="12.75">
      <c r="A33270" s="2" t="s">
        <v>798</v>
      </c>
    </row>
    <row r="33271" spans="1:1" ht="12.75">
      <c r="A33271" s="2" t="s">
        <v>797</v>
      </c>
    </row>
    <row r="33272" spans="1:1" ht="12.75">
      <c r="A33272" s="2" t="s">
        <v>798</v>
      </c>
    </row>
    <row r="33273" spans="1:1" ht="12.75">
      <c r="A33273" s="2" t="s">
        <v>798</v>
      </c>
    </row>
    <row r="33274" spans="1:1" ht="12.75">
      <c r="A33274" s="2" t="s">
        <v>514</v>
      </c>
    </row>
    <row r="33275" spans="1:1" ht="12.75">
      <c r="A33275" s="2" t="s">
        <v>514</v>
      </c>
    </row>
    <row r="33276" spans="1:1" ht="12.75">
      <c r="A33276" s="2" t="s">
        <v>514</v>
      </c>
    </row>
    <row r="33277" spans="1:1" ht="12.75">
      <c r="A33277" s="2" t="s">
        <v>514</v>
      </c>
    </row>
    <row r="33278" spans="1:1" ht="12.75">
      <c r="A33278" s="2" t="s">
        <v>798</v>
      </c>
    </row>
    <row r="33279" spans="1:1" ht="12.75">
      <c r="A33279" s="2" t="s">
        <v>514</v>
      </c>
    </row>
    <row r="33280" spans="1:1" ht="12.75">
      <c r="A33280" s="2" t="s">
        <v>576</v>
      </c>
    </row>
    <row r="33281" spans="1:1" ht="12.75">
      <c r="A33281" s="2" t="s">
        <v>576</v>
      </c>
    </row>
    <row r="33282" spans="1:1" ht="12.75">
      <c r="A33282" s="2" t="s">
        <v>799</v>
      </c>
    </row>
    <row r="33283" spans="1:1" ht="12.75">
      <c r="A33283" s="2" t="s">
        <v>529</v>
      </c>
    </row>
    <row r="33284" spans="1:1" ht="12.75">
      <c r="A33284" s="2" t="s">
        <v>546</v>
      </c>
    </row>
    <row r="33285" spans="1:1" ht="12.75">
      <c r="A33285" s="2" t="s">
        <v>797</v>
      </c>
    </row>
    <row r="33286" spans="1:1" ht="12.75">
      <c r="A33286" s="2" t="s">
        <v>529</v>
      </c>
    </row>
    <row r="33287" spans="1:1" ht="12.75">
      <c r="A33287" s="2" t="s">
        <v>530</v>
      </c>
    </row>
    <row r="33288" spans="1:1" ht="12.75">
      <c r="A33288" s="2" t="s">
        <v>528</v>
      </c>
    </row>
    <row r="33289" spans="1:1" ht="12.75">
      <c r="A33289" s="2" t="s">
        <v>530</v>
      </c>
    </row>
    <row r="33290" spans="1:1" ht="12.75">
      <c r="A33290" s="2" t="s">
        <v>528</v>
      </c>
    </row>
    <row r="33291" spans="1:1" ht="12.75">
      <c r="A33291" s="2" t="s">
        <v>531</v>
      </c>
    </row>
    <row r="33292" spans="1:1" ht="12.75">
      <c r="A33292" s="2" t="s">
        <v>546</v>
      </c>
    </row>
    <row r="33293" spans="1:1" ht="12.75">
      <c r="A33293" s="2" t="s">
        <v>531</v>
      </c>
    </row>
    <row r="33294" spans="1:1" ht="12.75">
      <c r="A33294" s="2" t="s">
        <v>546</v>
      </c>
    </row>
    <row r="33295" spans="1:1" ht="12.75">
      <c r="A33295" s="2" t="s">
        <v>529</v>
      </c>
    </row>
    <row r="33296" spans="1:1" ht="12.75">
      <c r="A33296" s="2" t="s">
        <v>528</v>
      </c>
    </row>
    <row r="33297" spans="1:1" ht="12.75">
      <c r="A33297" s="2" t="s">
        <v>547</v>
      </c>
    </row>
    <row r="33298" spans="1:1" ht="12.75">
      <c r="A33298" s="2" t="s">
        <v>514</v>
      </c>
    </row>
    <row r="33299" spans="1:1" ht="12.75">
      <c r="A33299" s="2" t="s">
        <v>794</v>
      </c>
    </row>
    <row r="33300" spans="1:1" ht="12.75">
      <c r="A33300" s="2" t="s">
        <v>514</v>
      </c>
    </row>
    <row r="33301" spans="1:1" ht="12.75">
      <c r="A33301" s="2" t="s">
        <v>529</v>
      </c>
    </row>
    <row r="33303" spans="1:1" ht="12.75">
      <c r="A33303" s="2" t="s">
        <v>798</v>
      </c>
    </row>
    <row r="33305" spans="1:1" ht="12.75">
      <c r="A33305" s="2" t="s">
        <v>529</v>
      </c>
    </row>
    <row r="33307" spans="1:1" ht="12.75">
      <c r="A33307" s="2" t="s">
        <v>675</v>
      </c>
    </row>
    <row r="33308" spans="1:1" ht="12.75">
      <c r="A33308" s="2" t="s">
        <v>547</v>
      </c>
    </row>
    <row r="33309" spans="1:1" ht="12.75">
      <c r="A33309" s="2" t="s">
        <v>675</v>
      </c>
    </row>
    <row r="33310" spans="1:1" ht="12.75">
      <c r="A33310" s="2" t="s">
        <v>528</v>
      </c>
    </row>
    <row r="33311" spans="1:1" ht="12.75">
      <c r="A33311" s="2" t="s">
        <v>530</v>
      </c>
    </row>
    <row r="33312" spans="1:1" ht="12.75">
      <c r="A33312" s="2" t="s">
        <v>528</v>
      </c>
    </row>
    <row r="33313" spans="1:1" ht="12.75">
      <c r="A33313" s="2" t="s">
        <v>531</v>
      </c>
    </row>
    <row r="33314" spans="1:1" ht="12.75">
      <c r="A33314" s="2" t="s">
        <v>513</v>
      </c>
    </row>
    <row r="33315" spans="1:1" ht="12.75">
      <c r="A33315" s="2" t="s">
        <v>531</v>
      </c>
    </row>
    <row r="33316" spans="1:1" ht="12.75">
      <c r="A33316" s="2" t="s">
        <v>513</v>
      </c>
    </row>
    <row r="33317" spans="1:1" ht="12.75">
      <c r="A33317" s="2" t="s">
        <v>529</v>
      </c>
    </row>
    <row r="33318" spans="1:1" ht="12.75">
      <c r="A33318" s="2" t="s">
        <v>528</v>
      </c>
    </row>
    <row r="33320" spans="1:1" ht="12.75">
      <c r="A33320" s="2" t="s">
        <v>532</v>
      </c>
    </row>
    <row r="33321" spans="1:1" ht="12.75">
      <c r="A33321" s="2" t="s">
        <v>513</v>
      </c>
    </row>
    <row r="33322" spans="1:1" ht="12.75">
      <c r="A33322" s="2" t="s">
        <v>1238</v>
      </c>
    </row>
    <row r="33323" spans="1:1" ht="12.75">
      <c r="A33323" s="2" t="s">
        <v>513</v>
      </c>
    </row>
    <row r="33324" spans="1:1" ht="12.75">
      <c r="A33324" s="2" t="s">
        <v>798</v>
      </c>
    </row>
    <row r="33325" spans="1:1" ht="12.75">
      <c r="A33325" s="2" t="s">
        <v>530</v>
      </c>
    </row>
    <row r="33326" spans="1:1" ht="12.75">
      <c r="A33326" s="2" t="s">
        <v>530</v>
      </c>
    </row>
    <row r="33328" spans="1:1" ht="12.75">
      <c r="A33328" s="2" t="s">
        <v>576</v>
      </c>
    </row>
    <row r="33329" spans="1:1" ht="12.75">
      <c r="A33329" s="2" t="s">
        <v>532</v>
      </c>
    </row>
    <row r="33330" spans="1:1" ht="12.75">
      <c r="A33330" s="2" t="s">
        <v>576</v>
      </c>
    </row>
    <row r="33331" spans="1:1" ht="12.75">
      <c r="A33331" s="2" t="s">
        <v>514</v>
      </c>
    </row>
    <row r="33332" spans="1:1" ht="12.75">
      <c r="A33332" s="2" t="s">
        <v>530</v>
      </c>
    </row>
    <row r="33333" spans="1:1" ht="12.75">
      <c r="A33333" s="2" t="s">
        <v>512</v>
      </c>
    </row>
    <row r="33334" spans="1:1" ht="12.75">
      <c r="A33334" s="2" t="s">
        <v>530</v>
      </c>
    </row>
    <row r="33335" spans="1:1" ht="12.75">
      <c r="A33335" s="2" t="s">
        <v>529</v>
      </c>
    </row>
    <row r="33336" spans="1:1" ht="12.75">
      <c r="A33336" s="2" t="s">
        <v>514</v>
      </c>
    </row>
    <row r="33337" spans="1:1" ht="12.75">
      <c r="A33337" s="2" t="s">
        <v>798</v>
      </c>
    </row>
    <row r="33338" spans="1:1" ht="12.75">
      <c r="A33338" s="2" t="s">
        <v>514</v>
      </c>
    </row>
    <row r="33339" spans="1:1" ht="12.75">
      <c r="A33339" s="2" t="s">
        <v>529</v>
      </c>
    </row>
    <row r="33340" spans="1:1" ht="12.75">
      <c r="A33340" s="2" t="s">
        <v>514</v>
      </c>
    </row>
    <row r="33341" spans="1:1" ht="12.75">
      <c r="A33341" s="2" t="s">
        <v>530</v>
      </c>
    </row>
    <row r="33342" spans="1:1" ht="12.75">
      <c r="A33342" s="2" t="s">
        <v>513</v>
      </c>
    </row>
    <row r="33343" spans="1:1" ht="12.75">
      <c r="A33343" s="2" t="s">
        <v>514</v>
      </c>
    </row>
    <row r="33344" spans="1:1" ht="12.75">
      <c r="A33344" s="2" t="s">
        <v>531</v>
      </c>
    </row>
    <row r="33345" spans="1:1" ht="12.75">
      <c r="A33345" s="2" t="s">
        <v>514</v>
      </c>
    </row>
    <row r="33346" spans="1:1" ht="12.75">
      <c r="A33346" s="2" t="s">
        <v>531</v>
      </c>
    </row>
    <row r="33347" spans="1:1" ht="12.75">
      <c r="A33347" s="2" t="s">
        <v>514</v>
      </c>
    </row>
    <row r="33348" spans="1:1" ht="12.75">
      <c r="A33348" s="2" t="s">
        <v>528</v>
      </c>
    </row>
    <row r="33349" spans="1:1" ht="12.75">
      <c r="A33349" s="2" t="s">
        <v>798</v>
      </c>
    </row>
    <row r="33350" spans="1:1" ht="12.75">
      <c r="A33350" s="2" t="s">
        <v>528</v>
      </c>
    </row>
    <row r="33351" spans="1:1" ht="12.75">
      <c r="A33351" s="2" t="s">
        <v>798</v>
      </c>
    </row>
    <row r="33352" spans="1:1" ht="12.75">
      <c r="A33352" s="2" t="s">
        <v>546</v>
      </c>
    </row>
    <row r="33353" spans="1:1" ht="12.75">
      <c r="A33353" s="2" t="s">
        <v>514</v>
      </c>
    </row>
    <row r="33354" spans="1:1" ht="12.75">
      <c r="A33354" s="2" t="s">
        <v>546</v>
      </c>
    </row>
    <row r="33355" spans="1:1" ht="12.75">
      <c r="A33355" s="2" t="s">
        <v>514</v>
      </c>
    </row>
    <row r="33356" spans="1:1" ht="12.75">
      <c r="A33356" s="2" t="s">
        <v>798</v>
      </c>
    </row>
    <row r="33358" spans="1:1" ht="12.75">
      <c r="A33358" s="2" t="s">
        <v>513</v>
      </c>
    </row>
    <row r="33359" spans="1:1" ht="12.75">
      <c r="A33359" s="2" t="s">
        <v>675</v>
      </c>
    </row>
    <row r="33360" spans="1:1" ht="12.75">
      <c r="A33360" s="2" t="s">
        <v>528</v>
      </c>
    </row>
    <row r="33361" spans="1:1" ht="12.75">
      <c r="A33361" s="2" t="s">
        <v>675</v>
      </c>
    </row>
    <row r="33362" spans="1:1" ht="12.75">
      <c r="A33362" s="2" t="s">
        <v>528</v>
      </c>
    </row>
    <row r="33363" spans="1:1" ht="12.75">
      <c r="A33363" s="2" t="s">
        <v>675</v>
      </c>
    </row>
    <row r="33365" spans="1:1" ht="12.75">
      <c r="A33365" s="2" t="s">
        <v>547</v>
      </c>
    </row>
    <row r="33367" spans="1:1" ht="12.75">
      <c r="A33367" s="2" t="s">
        <v>514</v>
      </c>
    </row>
    <row r="33368" spans="1:1" ht="12.75">
      <c r="A33368" s="2" t="s">
        <v>794</v>
      </c>
    </row>
    <row r="33369" spans="1:1" ht="12.75">
      <c r="A33369" s="2" t="s">
        <v>531</v>
      </c>
    </row>
    <row r="33370" spans="1:1" ht="12.75">
      <c r="A33370" s="2" t="s">
        <v>529</v>
      </c>
    </row>
    <row r="33371" spans="1:1" ht="12.75">
      <c r="A33371" s="2" t="s">
        <v>531</v>
      </c>
    </row>
    <row r="33372" spans="1:1" ht="12.75">
      <c r="A33372" s="2" t="s">
        <v>546</v>
      </c>
    </row>
    <row r="33373" spans="1:1" ht="12.75">
      <c r="A33373" s="2" t="s">
        <v>794</v>
      </c>
    </row>
    <row r="33374" spans="1:1" ht="12.75">
      <c r="A33374" s="2" t="s">
        <v>546</v>
      </c>
    </row>
    <row r="33375" spans="1:1" ht="12.75">
      <c r="A33375" s="2" t="s">
        <v>529</v>
      </c>
    </row>
    <row r="33376" spans="1:1" ht="12.75">
      <c r="A33376" s="2" t="s">
        <v>546</v>
      </c>
    </row>
    <row r="33377" spans="1:1" ht="12.75">
      <c r="A33377" s="2" t="s">
        <v>528</v>
      </c>
    </row>
    <row r="33378" spans="1:1" ht="12.75">
      <c r="A33378" s="2" t="s">
        <v>546</v>
      </c>
    </row>
    <row r="33379" spans="1:1" ht="12.75">
      <c r="A33379" s="2" t="s">
        <v>528</v>
      </c>
    </row>
    <row r="33380" spans="1:1" ht="12.75">
      <c r="A33380" s="2" t="s">
        <v>530</v>
      </c>
    </row>
    <row r="33382" spans="1:1" ht="12.75">
      <c r="A33382" s="2" t="s">
        <v>530</v>
      </c>
    </row>
    <row r="33383" spans="1:1" ht="12.75">
      <c r="A33383" s="2" t="s">
        <v>531</v>
      </c>
    </row>
    <row r="33384" spans="1:1" ht="12.75">
      <c r="A33384" s="2" t="s">
        <v>529</v>
      </c>
    </row>
    <row r="33385" spans="1:1" ht="12.75">
      <c r="A33385" s="2" t="s">
        <v>530</v>
      </c>
    </row>
    <row r="33386" spans="1:1" ht="12.75">
      <c r="A33386" s="2" t="s">
        <v>528</v>
      </c>
    </row>
    <row r="33387" spans="1:1" ht="12.75">
      <c r="A33387" s="2" t="s">
        <v>530</v>
      </c>
    </row>
    <row r="33388" spans="1:1" ht="12.75">
      <c r="A33388" s="2" t="s">
        <v>513</v>
      </c>
    </row>
    <row r="33389" spans="1:1" ht="12.75">
      <c r="A33389" s="2" t="s">
        <v>798</v>
      </c>
    </row>
    <row r="33390" spans="1:1" ht="12.75">
      <c r="A33390" s="2" t="s">
        <v>513</v>
      </c>
    </row>
    <row r="33391" spans="1:1" ht="12.75">
      <c r="A33391" s="2" t="s">
        <v>798</v>
      </c>
    </row>
    <row r="33392" spans="1:1" ht="12.75">
      <c r="A33392" s="2" t="s">
        <v>528</v>
      </c>
    </row>
    <row r="33393" spans="1:1" ht="12.75">
      <c r="A33393" s="2" t="s">
        <v>531</v>
      </c>
    </row>
    <row r="33394" spans="1:1" ht="12.75">
      <c r="A33394" s="2" t="s">
        <v>532</v>
      </c>
    </row>
    <row r="33395" spans="1:1" ht="12.75">
      <c r="A33395" s="2" t="s">
        <v>531</v>
      </c>
    </row>
    <row r="33396" spans="1:1" ht="12.75">
      <c r="A33396" s="2" t="s">
        <v>798</v>
      </c>
    </row>
    <row r="33397" spans="1:1" ht="12.75">
      <c r="A33397" s="2" t="s">
        <v>514</v>
      </c>
    </row>
    <row r="33398" spans="1:1" ht="12.75">
      <c r="A33398" s="2" t="s">
        <v>799</v>
      </c>
    </row>
    <row r="33399" spans="1:1" ht="12.75">
      <c r="A33399" s="2" t="s">
        <v>514</v>
      </c>
    </row>
    <row r="33400" spans="1:1" ht="12.75">
      <c r="A33400" s="2" t="s">
        <v>532</v>
      </c>
    </row>
    <row r="33401" spans="1:1" ht="12.75">
      <c r="A33401" s="2" t="s">
        <v>514</v>
      </c>
    </row>
    <row r="33402" spans="1:1" ht="12.75">
      <c r="A33402" s="2" t="s">
        <v>529</v>
      </c>
    </row>
    <row r="33403" spans="1:1" ht="12.75">
      <c r="A33403" s="2" t="s">
        <v>799</v>
      </c>
    </row>
    <row r="33404" spans="1:1" ht="12.75">
      <c r="A33404" s="2" t="s">
        <v>514</v>
      </c>
    </row>
    <row r="33405" spans="1:1" ht="12.75">
      <c r="A33405" s="2" t="s">
        <v>513</v>
      </c>
    </row>
    <row r="33406" spans="1:1" ht="12.75">
      <c r="A33406" s="2" t="s">
        <v>799</v>
      </c>
    </row>
    <row r="33407" spans="1:1" ht="12.75">
      <c r="A33407" s="2" t="s">
        <v>513</v>
      </c>
    </row>
    <row r="33408" spans="1:1" ht="12.75">
      <c r="A33408" s="2" t="s">
        <v>532</v>
      </c>
    </row>
    <row r="33409" spans="1:1" ht="12.75">
      <c r="A33409" s="2" t="s">
        <v>528</v>
      </c>
    </row>
    <row r="33410" spans="1:1" ht="12.75">
      <c r="A33410" s="2" t="s">
        <v>514</v>
      </c>
    </row>
    <row r="33411" spans="1:1" ht="12.75">
      <c r="A33411" s="2" t="s">
        <v>528</v>
      </c>
    </row>
    <row r="33412" spans="1:1" ht="12.75">
      <c r="A33412" s="2" t="s">
        <v>546</v>
      </c>
    </row>
    <row r="33414" spans="1:1" ht="12.75">
      <c r="A33414" s="2" t="s">
        <v>798</v>
      </c>
    </row>
    <row r="33416" spans="1:1" ht="12.75">
      <c r="A33416" s="2" t="s">
        <v>797</v>
      </c>
    </row>
    <row r="33418" spans="1:1" ht="12.75">
      <c r="A33418" s="2" t="s">
        <v>532</v>
      </c>
    </row>
    <row r="33422" spans="1:1" ht="12.75">
      <c r="A33422" s="2" t="s">
        <v>530</v>
      </c>
    </row>
    <row r="33423" spans="1:1" ht="12.75">
      <c r="A33423" s="2" t="s">
        <v>531</v>
      </c>
    </row>
    <row r="33424" spans="1:1" ht="12.75">
      <c r="A33424" s="2" t="s">
        <v>513</v>
      </c>
    </row>
    <row r="33425" spans="1:1" ht="12.75">
      <c r="A33425" s="2" t="s">
        <v>530</v>
      </c>
    </row>
    <row r="33426" spans="1:1" ht="12.75">
      <c r="A33426" s="2" t="s">
        <v>513</v>
      </c>
    </row>
    <row r="33427" spans="1:1" ht="12.75">
      <c r="A33427" s="2" t="s">
        <v>530</v>
      </c>
    </row>
    <row r="33428" spans="1:1" ht="12.75">
      <c r="A33428" s="2" t="s">
        <v>528</v>
      </c>
    </row>
    <row r="33429" spans="1:1" ht="12.75">
      <c r="A33429" s="2" t="s">
        <v>576</v>
      </c>
    </row>
    <row r="33430" spans="1:1" ht="12.75">
      <c r="A33430" s="2" t="s">
        <v>1239</v>
      </c>
    </row>
    <row r="33433" spans="1:1" ht="12.75">
      <c r="A33433" s="2" t="s">
        <v>528</v>
      </c>
    </row>
    <row r="33435" spans="1:1" ht="12.75">
      <c r="A33435" s="2" t="s">
        <v>529</v>
      </c>
    </row>
    <row r="33436" spans="1:1" ht="12.75">
      <c r="A33436" s="2" t="s">
        <v>531</v>
      </c>
    </row>
    <row r="33437" spans="1:1" ht="12.75">
      <c r="A33437" s="2" t="s">
        <v>529</v>
      </c>
    </row>
    <row r="33438" spans="1:1" ht="12.75">
      <c r="A33438" s="2" t="s">
        <v>794</v>
      </c>
    </row>
    <row r="33439" spans="1:1" ht="12.75">
      <c r="A33439" s="2" t="s">
        <v>531</v>
      </c>
    </row>
    <row r="33441" spans="1:1" ht="12.75">
      <c r="A33441" s="2" t="s">
        <v>190</v>
      </c>
    </row>
    <row r="33442" spans="1:1" ht="12.75">
      <c r="A33442" s="2" t="s">
        <v>514</v>
      </c>
    </row>
    <row r="33443" spans="1:1" ht="12.75">
      <c r="A33443" s="2" t="s">
        <v>798</v>
      </c>
    </row>
    <row r="33445" spans="1:1" ht="12.75">
      <c r="A33445" s="2" t="s">
        <v>800</v>
      </c>
    </row>
    <row r="33446" spans="1:1" ht="12.75">
      <c r="A33446" s="2" t="s">
        <v>530</v>
      </c>
    </row>
    <row r="33447" spans="1:1" ht="12.75">
      <c r="A33447" s="2" t="s">
        <v>514</v>
      </c>
    </row>
    <row r="33448" spans="1:1" ht="12.75">
      <c r="A33448" s="2" t="s">
        <v>529</v>
      </c>
    </row>
    <row r="33449" spans="1:1" ht="12.75">
      <c r="A33449" s="2" t="s">
        <v>530</v>
      </c>
    </row>
    <row r="33450" spans="1:1" ht="12.75">
      <c r="A33450" s="2" t="s">
        <v>529</v>
      </c>
    </row>
    <row r="33451" spans="1:1" ht="12.75">
      <c r="A33451" s="2" t="s">
        <v>531</v>
      </c>
    </row>
    <row r="33452" spans="1:1" ht="12.75">
      <c r="A33452" s="2" t="s">
        <v>798</v>
      </c>
    </row>
    <row r="33453" spans="1:1" ht="12.75">
      <c r="A33453" s="2" t="s">
        <v>531</v>
      </c>
    </row>
    <row r="33454" spans="1:1" ht="12.75">
      <c r="A33454" s="2" t="s">
        <v>528</v>
      </c>
    </row>
    <row r="33455" spans="1:1" ht="12.75">
      <c r="A33455" s="2" t="s">
        <v>576</v>
      </c>
    </row>
    <row r="33456" spans="1:1" ht="12.75">
      <c r="A33456" s="2" t="s">
        <v>513</v>
      </c>
    </row>
    <row r="33457" spans="1:1" ht="12.75">
      <c r="A33457" s="2" t="s">
        <v>547</v>
      </c>
    </row>
    <row r="33458" spans="1:1" ht="12.75">
      <c r="A33458" s="2" t="s">
        <v>513</v>
      </c>
    </row>
    <row r="33459" spans="1:1" ht="12.75">
      <c r="A33459" s="2" t="s">
        <v>528</v>
      </c>
    </row>
    <row r="33460" spans="1:1" ht="12.75">
      <c r="A33460" s="2" t="s">
        <v>530</v>
      </c>
    </row>
    <row r="33461" spans="1:1" ht="12.75">
      <c r="A33461" s="2" t="s">
        <v>528</v>
      </c>
    </row>
    <row r="33462" spans="1:1" ht="12.75">
      <c r="A33462" s="2" t="s">
        <v>514</v>
      </c>
    </row>
    <row r="33463" spans="1:1" ht="12.75">
      <c r="A33463" s="2" t="s">
        <v>530</v>
      </c>
    </row>
    <row r="33464" spans="1:1" ht="12.75">
      <c r="A33464" s="2" t="s">
        <v>514</v>
      </c>
    </row>
    <row r="33465" spans="1:1" ht="12.75">
      <c r="A33465" s="2" t="s">
        <v>576</v>
      </c>
    </row>
    <row r="33466" spans="1:1" ht="12.75">
      <c r="A33466" s="2" t="s">
        <v>514</v>
      </c>
    </row>
    <row r="33467" spans="1:1" ht="12.75">
      <c r="A33467" s="2" t="s">
        <v>576</v>
      </c>
    </row>
    <row r="33468" spans="1:1" ht="12.75">
      <c r="A33468" s="2" t="s">
        <v>530</v>
      </c>
    </row>
    <row r="33469" spans="1:1" ht="12.75">
      <c r="A33469" s="2" t="s">
        <v>576</v>
      </c>
    </row>
    <row r="33470" spans="1:1" ht="12.75">
      <c r="A33470" s="2" t="s">
        <v>528</v>
      </c>
    </row>
    <row r="33471" spans="1:1" ht="12.75">
      <c r="A33471" s="2" t="s">
        <v>546</v>
      </c>
    </row>
    <row r="33472" spans="1:1" ht="12.75">
      <c r="A33472" s="2" t="s">
        <v>529</v>
      </c>
    </row>
    <row r="33473" spans="1:1" ht="12.75">
      <c r="A33473" s="2" t="s">
        <v>794</v>
      </c>
    </row>
    <row r="33474" spans="1:1" ht="12.75">
      <c r="A33474" s="2" t="s">
        <v>529</v>
      </c>
    </row>
    <row r="33475" spans="1:1" ht="12.75">
      <c r="A33475" s="2" t="s">
        <v>529</v>
      </c>
    </row>
    <row r="33476" spans="1:1" ht="12.75">
      <c r="A33476" s="2" t="s">
        <v>531</v>
      </c>
    </row>
    <row r="33477" spans="1:1" ht="12.75">
      <c r="A33477" s="2" t="s">
        <v>513</v>
      </c>
    </row>
    <row r="33478" spans="1:1" ht="12.75">
      <c r="A33478" s="2" t="s">
        <v>531</v>
      </c>
    </row>
    <row r="33479" spans="1:1" ht="12.75">
      <c r="A33479" s="2" t="s">
        <v>513</v>
      </c>
    </row>
    <row r="33480" spans="1:1" ht="12.75">
      <c r="A33480" s="2" t="s">
        <v>530</v>
      </c>
    </row>
    <row r="33481" spans="1:1" ht="12.75">
      <c r="A33481" s="2" t="s">
        <v>528</v>
      </c>
    </row>
    <row r="33482" spans="1:1" ht="12.75">
      <c r="A33482" s="2" t="s">
        <v>514</v>
      </c>
    </row>
    <row r="33483" spans="1:1" ht="12.75">
      <c r="A33483" s="2" t="s">
        <v>514</v>
      </c>
    </row>
    <row r="33484" spans="1:1" ht="12.75">
      <c r="A33484" s="2" t="s">
        <v>514</v>
      </c>
    </row>
    <row r="33485" spans="1:1" ht="12.75">
      <c r="A33485" s="2" t="s">
        <v>514</v>
      </c>
    </row>
    <row r="33486" spans="1:1" ht="12.75">
      <c r="A33486" s="2" t="s">
        <v>547</v>
      </c>
    </row>
    <row r="33487" spans="1:1" ht="12.75">
      <c r="A33487" s="2" t="s">
        <v>514</v>
      </c>
    </row>
    <row r="33488" spans="1:1" ht="12.75">
      <c r="A33488" s="2" t="s">
        <v>547</v>
      </c>
    </row>
    <row r="33489" spans="1:1" ht="12.75">
      <c r="A33489" s="2" t="s">
        <v>514</v>
      </c>
    </row>
    <row r="33490" spans="1:1" ht="12.75">
      <c r="A33490" s="2" t="s">
        <v>528</v>
      </c>
    </row>
    <row r="33491" spans="1:1" ht="12.75">
      <c r="A33491" s="2" t="s">
        <v>512</v>
      </c>
    </row>
    <row r="33492" spans="1:1" ht="12.75">
      <c r="A33492" s="2" t="s">
        <v>546</v>
      </c>
    </row>
    <row r="33493" spans="1:1" ht="12.75">
      <c r="A33493" s="2" t="s">
        <v>513</v>
      </c>
    </row>
    <row r="33494" spans="1:1" ht="12.75">
      <c r="A33494" s="2" t="s">
        <v>546</v>
      </c>
    </row>
    <row r="33495" spans="1:1" ht="12.75">
      <c r="A33495" s="2" t="s">
        <v>513</v>
      </c>
    </row>
    <row r="33496" spans="1:1" ht="12.75">
      <c r="A33496" s="2" t="s">
        <v>531</v>
      </c>
    </row>
    <row r="33497" spans="1:1" ht="12.75">
      <c r="A33497" s="2" t="s">
        <v>528</v>
      </c>
    </row>
    <row r="33498" spans="1:1" ht="12.75">
      <c r="A33498" s="2" t="s">
        <v>531</v>
      </c>
    </row>
    <row r="33499" spans="1:1" ht="12.75">
      <c r="A33499" s="2" t="s">
        <v>529</v>
      </c>
    </row>
    <row r="33500" spans="1:1" ht="12.75">
      <c r="A33500" s="2" t="s">
        <v>532</v>
      </c>
    </row>
    <row r="33501" spans="1:1" ht="12.75">
      <c r="A33501" s="2" t="s">
        <v>529</v>
      </c>
    </row>
    <row r="33502" spans="1:1" ht="12.75">
      <c r="A33502" s="2" t="s">
        <v>532</v>
      </c>
    </row>
    <row r="33503" spans="1:1" ht="12.75">
      <c r="A33503" s="2" t="s">
        <v>531</v>
      </c>
    </row>
    <row r="33504" spans="1:1" ht="12.75">
      <c r="A33504" s="2" t="s">
        <v>576</v>
      </c>
    </row>
    <row r="33505" spans="1:1" ht="12.75">
      <c r="A33505" s="2" t="s">
        <v>532</v>
      </c>
    </row>
    <row r="33506" spans="1:1" ht="12.75">
      <c r="A33506" s="2" t="s">
        <v>576</v>
      </c>
    </row>
    <row r="33507" spans="1:1" ht="12.75">
      <c r="A33507" s="2" t="s">
        <v>530</v>
      </c>
    </row>
    <row r="33508" spans="1:1" ht="12.75">
      <c r="A33508" s="2" t="s">
        <v>576</v>
      </c>
    </row>
    <row r="33509" spans="1:1" ht="12.75">
      <c r="A33509" s="2" t="s">
        <v>530</v>
      </c>
    </row>
    <row r="33510" spans="1:1" ht="12.75">
      <c r="A33510" s="2" t="s">
        <v>546</v>
      </c>
    </row>
    <row r="33511" spans="1:1" ht="12.75">
      <c r="A33511" s="2" t="s">
        <v>532</v>
      </c>
    </row>
    <row r="33512" spans="1:1" ht="12.75">
      <c r="A33512" s="2" t="s">
        <v>279</v>
      </c>
    </row>
    <row r="33513" spans="1:1" ht="12.75">
      <c r="A33513" s="2" t="s">
        <v>279</v>
      </c>
    </row>
    <row r="33514" spans="1:1" ht="12.75">
      <c r="A33514" s="2" t="s">
        <v>279</v>
      </c>
    </row>
    <row r="33515" spans="1:1" ht="12.75">
      <c r="A33515" s="2" t="s">
        <v>279</v>
      </c>
    </row>
    <row r="33516" spans="1:1" ht="12.75">
      <c r="A33516" s="2" t="s">
        <v>279</v>
      </c>
    </row>
    <row r="33517" spans="1:1" ht="12.75">
      <c r="A33517" s="2" t="s">
        <v>279</v>
      </c>
    </row>
    <row r="33521" spans="1:1" ht="12.75">
      <c r="A33521" s="2" t="s">
        <v>391</v>
      </c>
    </row>
    <row r="33522" spans="1:1" ht="12.75">
      <c r="A33522" s="2" t="s">
        <v>391</v>
      </c>
    </row>
    <row r="33523" spans="1:1" ht="12.75">
      <c r="A33523" s="2" t="s">
        <v>391</v>
      </c>
    </row>
    <row r="33524" spans="1:1" ht="12.75">
      <c r="A33524" s="2" t="s">
        <v>390</v>
      </c>
    </row>
    <row r="33525" spans="1:1" ht="12.75">
      <c r="A33525" s="2" t="s">
        <v>390</v>
      </c>
    </row>
    <row r="33526" spans="1:1" ht="12.75">
      <c r="A33526" s="2" t="s">
        <v>390</v>
      </c>
    </row>
    <row r="33527" spans="1:1" ht="12.75">
      <c r="A33527" s="2" t="s">
        <v>390</v>
      </c>
    </row>
    <row r="33528" spans="1:1" ht="12.75">
      <c r="A33528" s="2" t="s">
        <v>390</v>
      </c>
    </row>
    <row r="33530" spans="1:1" ht="12.75">
      <c r="A33530" s="2" t="s">
        <v>515</v>
      </c>
    </row>
    <row r="33531" spans="1:1" ht="12.75">
      <c r="A33531" s="2" t="s">
        <v>515</v>
      </c>
    </row>
    <row r="33532" spans="1:1" ht="12.75">
      <c r="A33532" s="2" t="s">
        <v>1240</v>
      </c>
    </row>
    <row r="33541" spans="1:1" ht="12.75">
      <c r="A33541" s="2" t="s">
        <v>593</v>
      </c>
    </row>
    <row r="33542" spans="1:1" ht="12.75">
      <c r="A33542" s="2" t="s">
        <v>516</v>
      </c>
    </row>
    <row r="33546" spans="1:1" ht="12.75">
      <c r="A33546" s="2" t="s">
        <v>516</v>
      </c>
    </row>
    <row r="33547" spans="1:1" ht="12.75">
      <c r="A33547" s="2" t="s">
        <v>516</v>
      </c>
    </row>
    <row r="33552" spans="1:1" ht="12.75">
      <c r="A33552" s="2" t="s">
        <v>165</v>
      </c>
    </row>
    <row r="33553" spans="1:1" ht="12.75">
      <c r="A33553" s="2" t="s">
        <v>169</v>
      </c>
    </row>
    <row r="33554" spans="1:1" ht="12.75">
      <c r="A33554" s="2" t="s">
        <v>165</v>
      </c>
    </row>
    <row r="33555" spans="1:1" ht="12.75">
      <c r="A33555" s="2" t="s">
        <v>179</v>
      </c>
    </row>
    <row r="33556" spans="1:1" ht="12.75">
      <c r="A33556" s="2" t="s">
        <v>182</v>
      </c>
    </row>
    <row r="33557" spans="1:1" ht="12.75">
      <c r="A33557" s="2" t="s">
        <v>177</v>
      </c>
    </row>
    <row r="33558" spans="1:1" ht="12.75">
      <c r="A33558" s="2" t="s">
        <v>182</v>
      </c>
    </row>
    <row r="33559" spans="1:1" ht="12.75">
      <c r="A33559" s="2" t="s">
        <v>177</v>
      </c>
    </row>
    <row r="33560" spans="1:1" ht="12.75">
      <c r="A33560" s="2" t="s">
        <v>182</v>
      </c>
    </row>
    <row r="33561" spans="1:1" ht="12.75">
      <c r="A33561" s="2" t="s">
        <v>177</v>
      </c>
    </row>
    <row r="33562" spans="1:1" ht="12.75">
      <c r="A33562" s="2" t="s">
        <v>172</v>
      </c>
    </row>
    <row r="33564" spans="1:1" ht="12.75">
      <c r="A33564" s="2" t="s">
        <v>172</v>
      </c>
    </row>
    <row r="33565" spans="1:1" ht="12.75">
      <c r="A33565" s="2" t="s">
        <v>176</v>
      </c>
    </row>
    <row r="33566" spans="1:1" ht="12.75">
      <c r="A33566" s="2" t="s">
        <v>163</v>
      </c>
    </row>
    <row r="33567" spans="1:1" ht="12.75">
      <c r="A33567" s="2" t="s">
        <v>196</v>
      </c>
    </row>
    <row r="33568" spans="1:1" ht="12.75">
      <c r="A33568" s="2" t="s">
        <v>163</v>
      </c>
    </row>
    <row r="33569" spans="1:1" ht="12.75">
      <c r="A33569" s="2" t="s">
        <v>176</v>
      </c>
    </row>
    <row r="33570" spans="1:1" ht="12.75">
      <c r="A33570" s="2" t="s">
        <v>163</v>
      </c>
    </row>
    <row r="33571" spans="1:1" ht="12.75">
      <c r="A33571" s="2" t="s">
        <v>179</v>
      </c>
    </row>
    <row r="33572" spans="1:1" ht="12.75">
      <c r="A33572" s="2" t="s">
        <v>162</v>
      </c>
    </row>
    <row r="33573" spans="1:1" ht="12.75">
      <c r="A33573" s="2" t="s">
        <v>181</v>
      </c>
    </row>
    <row r="33574" spans="1:1" ht="12.75">
      <c r="A33574" s="2" t="s">
        <v>162</v>
      </c>
    </row>
    <row r="33575" spans="1:1" ht="12.75">
      <c r="A33575" s="2" t="s">
        <v>181</v>
      </c>
    </row>
    <row r="33576" spans="1:1" ht="12.75">
      <c r="A33576" s="2" t="s">
        <v>162</v>
      </c>
    </row>
    <row r="33577" spans="1:1" ht="12.75">
      <c r="A33577" s="2" t="s">
        <v>181</v>
      </c>
    </row>
    <row r="33578" spans="1:1" ht="12.75">
      <c r="A33578" s="2" t="s">
        <v>191</v>
      </c>
    </row>
    <row r="33579" spans="1:1" ht="12.75">
      <c r="A33579" s="2" t="s">
        <v>193</v>
      </c>
    </row>
    <row r="33580" spans="1:1" ht="12.75">
      <c r="A33580" s="2" t="s">
        <v>191</v>
      </c>
    </row>
    <row r="33581" spans="1:1" ht="12.75">
      <c r="A33581" s="2" t="s">
        <v>193</v>
      </c>
    </row>
    <row r="33582" spans="1:1" ht="12.75">
      <c r="A33582" s="2" t="s">
        <v>184</v>
      </c>
    </row>
    <row r="33583" spans="1:1" ht="12.75">
      <c r="A33583" s="2" t="s">
        <v>185</v>
      </c>
    </row>
    <row r="33584" spans="1:1" ht="12.75">
      <c r="A33584" s="2" t="s">
        <v>225</v>
      </c>
    </row>
    <row r="33585" spans="1:1" ht="12.75">
      <c r="A33585" s="2" t="s">
        <v>175</v>
      </c>
    </row>
    <row r="33586" spans="1:1" ht="12.75">
      <c r="A33586" s="2" t="s">
        <v>193</v>
      </c>
    </row>
    <row r="33587" spans="1:1" ht="12.75">
      <c r="A33587" s="2" t="s">
        <v>175</v>
      </c>
    </row>
    <row r="33588" spans="1:1" ht="12.75">
      <c r="A33588" s="2" t="s">
        <v>194</v>
      </c>
    </row>
    <row r="33589" spans="1:1" ht="12.75">
      <c r="A33589" s="2" t="s">
        <v>196</v>
      </c>
    </row>
    <row r="33590" spans="1:1" ht="12.75">
      <c r="A33590" s="2" t="s">
        <v>162</v>
      </c>
    </row>
    <row r="33591" spans="1:1" ht="12.75">
      <c r="A33591" s="2" t="s">
        <v>179</v>
      </c>
    </row>
    <row r="33592" spans="1:1" ht="12.75">
      <c r="A33592" s="2" t="s">
        <v>162</v>
      </c>
    </row>
    <row r="33593" spans="1:1" ht="12.75">
      <c r="A33593" s="2" t="s">
        <v>185</v>
      </c>
    </row>
    <row r="33594" spans="1:1" ht="12.75">
      <c r="A33594" s="2" t="s">
        <v>162</v>
      </c>
    </row>
    <row r="33595" spans="1:1" ht="12.75">
      <c r="A33595" s="2" t="s">
        <v>196</v>
      </c>
    </row>
    <row r="33596" spans="1:1" ht="12.75">
      <c r="A33596" s="2" t="s">
        <v>184</v>
      </c>
    </row>
    <row r="33597" spans="1:1" ht="12.75">
      <c r="A33597" s="2" t="s">
        <v>307</v>
      </c>
    </row>
    <row r="33598" spans="1:1" ht="12.75">
      <c r="A33598" s="2" t="s">
        <v>184</v>
      </c>
    </row>
    <row r="33599" spans="1:1" ht="12.75">
      <c r="A33599" s="2" t="s">
        <v>307</v>
      </c>
    </row>
    <row r="33600" spans="1:1" ht="12.75">
      <c r="A33600" s="2" t="s">
        <v>189</v>
      </c>
    </row>
    <row r="33601" spans="1:1" ht="12.75">
      <c r="A33601" s="2" t="s">
        <v>307</v>
      </c>
    </row>
    <row r="33603" spans="1:1" ht="12.75">
      <c r="A33603" s="2" t="s">
        <v>307</v>
      </c>
    </row>
    <row r="33605" spans="1:1" ht="12.75">
      <c r="A33605" s="2" t="s">
        <v>160</v>
      </c>
    </row>
    <row r="33606" spans="1:1" ht="12.75">
      <c r="A33606" s="2" t="s">
        <v>738</v>
      </c>
    </row>
    <row r="33607" spans="1:1" ht="12.75">
      <c r="A33607" s="2" t="s">
        <v>160</v>
      </c>
    </row>
    <row r="33608" spans="1:1" ht="12.75">
      <c r="A33608" s="2" t="s">
        <v>738</v>
      </c>
    </row>
    <row r="33609" spans="1:1" ht="12.75">
      <c r="A33609" s="2" t="s">
        <v>194</v>
      </c>
    </row>
    <row r="33610" spans="1:1" ht="12.75">
      <c r="A33610" s="2" t="s">
        <v>160</v>
      </c>
    </row>
    <row r="33611" spans="1:1" ht="12.75">
      <c r="A33611" s="2" t="s">
        <v>194</v>
      </c>
    </row>
    <row r="33612" spans="1:1" ht="12.75">
      <c r="A33612" s="2" t="s">
        <v>189</v>
      </c>
    </row>
    <row r="33613" spans="1:1" ht="12.75">
      <c r="A33613" s="2" t="s">
        <v>738</v>
      </c>
    </row>
    <row r="33614" spans="1:1" ht="12.75">
      <c r="A33614" s="2" t="s">
        <v>738</v>
      </c>
    </row>
    <row r="33616" spans="1:1" ht="12.75">
      <c r="A33616" s="2" t="s">
        <v>740</v>
      </c>
    </row>
    <row r="33617" spans="1:1" ht="12.75">
      <c r="A33617" s="2" t="s">
        <v>740</v>
      </c>
    </row>
    <row r="33618" spans="1:1" ht="12.75">
      <c r="A33618" s="2" t="s">
        <v>740</v>
      </c>
    </row>
    <row r="33619" spans="1:1" ht="12.75">
      <c r="A33619" s="2" t="s">
        <v>740</v>
      </c>
    </row>
    <row r="33620" spans="1:1" ht="12.75">
      <c r="A33620" s="2" t="s">
        <v>738</v>
      </c>
    </row>
    <row r="33621" spans="1:1" ht="12.75">
      <c r="A33621" s="2" t="s">
        <v>738</v>
      </c>
    </row>
    <row r="33623" spans="1:1" ht="12.75">
      <c r="A33623" s="2" t="s">
        <v>738</v>
      </c>
    </row>
    <row r="33624" spans="1:1" ht="12.75">
      <c r="A33624" s="2" t="s">
        <v>184</v>
      </c>
    </row>
    <row r="33625" spans="1:1" ht="12.75">
      <c r="A33625" s="2" t="s">
        <v>183</v>
      </c>
    </row>
    <row r="33626" spans="1:1" ht="12.75">
      <c r="A33626" s="2" t="s">
        <v>184</v>
      </c>
    </row>
    <row r="33627" spans="1:1" ht="12.75">
      <c r="A33627" s="2" t="s">
        <v>183</v>
      </c>
    </row>
    <row r="33628" spans="1:1" ht="12.75">
      <c r="A33628" s="2" t="s">
        <v>184</v>
      </c>
    </row>
    <row r="33629" spans="1:1" ht="12.75">
      <c r="A33629" s="2" t="s">
        <v>172</v>
      </c>
    </row>
    <row r="33630" spans="1:1" ht="12.75">
      <c r="A33630" s="2" t="s">
        <v>307</v>
      </c>
    </row>
    <row r="33631" spans="1:1" ht="12.75">
      <c r="A33631" s="2" t="s">
        <v>176</v>
      </c>
    </row>
    <row r="33632" spans="1:1" ht="12.75">
      <c r="A33632" s="2" t="s">
        <v>734</v>
      </c>
    </row>
    <row r="33633" spans="1:1" ht="12.75">
      <c r="A33633" s="2" t="s">
        <v>176</v>
      </c>
    </row>
    <row r="33634" spans="1:1" ht="12.75">
      <c r="A33634" s="2" t="s">
        <v>735</v>
      </c>
    </row>
    <row r="33635" spans="1:1" ht="12.75">
      <c r="A33635" s="2" t="s">
        <v>223</v>
      </c>
    </row>
    <row r="33636" spans="1:1" ht="12.75">
      <c r="A33636" s="2" t="s">
        <v>734</v>
      </c>
    </row>
    <row r="33637" spans="1:1" ht="12.75">
      <c r="A33637" s="2" t="s">
        <v>223</v>
      </c>
    </row>
    <row r="33638" spans="1:1" ht="12.75">
      <c r="A33638" s="2" t="s">
        <v>735</v>
      </c>
    </row>
    <row r="33639" spans="1:1" ht="12.75">
      <c r="A33639" s="2" t="s">
        <v>223</v>
      </c>
    </row>
    <row r="33640" spans="1:1" ht="12.75">
      <c r="A33640" s="2" t="s">
        <v>176</v>
      </c>
    </row>
    <row r="33641" spans="1:1" ht="12.75">
      <c r="A33641" s="2" t="s">
        <v>223</v>
      </c>
    </row>
    <row r="33642" spans="1:1" ht="12.75">
      <c r="A33642" s="2" t="s">
        <v>307</v>
      </c>
    </row>
    <row r="33643" spans="1:1" ht="12.75">
      <c r="A33643" s="2" t="s">
        <v>307</v>
      </c>
    </row>
    <row r="33644" spans="1:1" ht="12.75">
      <c r="A33644" s="2" t="s">
        <v>307</v>
      </c>
    </row>
    <row r="33645" spans="1:1" ht="12.75">
      <c r="A33645" s="2" t="s">
        <v>307</v>
      </c>
    </row>
    <row r="33646" spans="1:1" ht="12.75">
      <c r="A33646" s="2" t="s">
        <v>307</v>
      </c>
    </row>
    <row r="33647" spans="1:1" ht="12.75">
      <c r="A33647" s="2" t="s">
        <v>307</v>
      </c>
    </row>
    <row r="33648" spans="1:1" ht="12.75">
      <c r="A33648" s="2" t="s">
        <v>307</v>
      </c>
    </row>
    <row r="33649" spans="1:1" ht="12.75">
      <c r="A33649" s="2" t="s">
        <v>307</v>
      </c>
    </row>
    <row r="33650" spans="1:1" ht="12.75">
      <c r="A33650" s="2" t="s">
        <v>194</v>
      </c>
    </row>
    <row r="33652" spans="1:1" ht="12.75">
      <c r="A33652" s="2" t="s">
        <v>163</v>
      </c>
    </row>
    <row r="33654" spans="1:1" ht="12.75">
      <c r="A33654" s="2" t="s">
        <v>1241</v>
      </c>
    </row>
    <row r="33656" spans="1:1" ht="12.75">
      <c r="A33656" s="2" t="s">
        <v>185</v>
      </c>
    </row>
    <row r="33657" spans="1:1" ht="12.75">
      <c r="A33657" s="2" t="s">
        <v>196</v>
      </c>
    </row>
    <row r="33658" spans="1:1" ht="12.75">
      <c r="A33658" s="2" t="s">
        <v>175</v>
      </c>
    </row>
    <row r="33659" spans="1:1" ht="12.75">
      <c r="A33659" s="2" t="s">
        <v>163</v>
      </c>
    </row>
    <row r="33660" spans="1:1" ht="12.75">
      <c r="A33660" s="2" t="s">
        <v>175</v>
      </c>
    </row>
    <row r="33661" spans="1:1" ht="12.75">
      <c r="A33661" s="2" t="s">
        <v>163</v>
      </c>
    </row>
    <row r="33662" spans="1:1" ht="12.75">
      <c r="A33662" s="2" t="s">
        <v>178</v>
      </c>
    </row>
    <row r="33663" spans="1:1" ht="12.75">
      <c r="A33663" s="2" t="s">
        <v>736</v>
      </c>
    </row>
    <row r="33664" spans="1:1" ht="12.75">
      <c r="A33664" s="2" t="s">
        <v>161</v>
      </c>
    </row>
    <row r="33665" spans="1:1" ht="12.75">
      <c r="A33665" s="2" t="s">
        <v>193</v>
      </c>
    </row>
    <row r="33666" spans="1:1" ht="12.75">
      <c r="A33666" s="2" t="s">
        <v>178</v>
      </c>
    </row>
    <row r="33667" spans="1:1" ht="12.75">
      <c r="A33667" s="2" t="s">
        <v>193</v>
      </c>
    </row>
    <row r="33668" spans="1:1" ht="12.75">
      <c r="A33668" s="2" t="s">
        <v>176</v>
      </c>
    </row>
    <row r="33669" spans="1:1" ht="12.75">
      <c r="A33669" s="2" t="s">
        <v>185</v>
      </c>
    </row>
    <row r="33670" spans="1:1" ht="12.75">
      <c r="A33670" s="2" t="s">
        <v>193</v>
      </c>
    </row>
    <row r="33671" spans="1:1" ht="12.75">
      <c r="A33671" s="2" t="s">
        <v>185</v>
      </c>
    </row>
    <row r="33672" spans="1:1" ht="12.75">
      <c r="A33672" s="2" t="s">
        <v>733</v>
      </c>
    </row>
    <row r="33673" spans="1:1" ht="12.75">
      <c r="A33673" s="2" t="s">
        <v>223</v>
      </c>
    </row>
    <row r="33674" spans="1:1" ht="12.75">
      <c r="A33674" s="2" t="s">
        <v>393</v>
      </c>
    </row>
    <row r="33675" spans="1:1" ht="12.75">
      <c r="A33675" s="2" t="s">
        <v>223</v>
      </c>
    </row>
    <row r="33676" spans="1:1" ht="12.75">
      <c r="A33676" s="2" t="s">
        <v>393</v>
      </c>
    </row>
    <row r="33677" spans="1:1" ht="12.75">
      <c r="A33677" s="2" t="s">
        <v>170</v>
      </c>
    </row>
    <row r="33678" spans="1:1" ht="12.75">
      <c r="A33678" s="2" t="s">
        <v>224</v>
      </c>
    </row>
    <row r="33679" spans="1:1" ht="12.75">
      <c r="A33679" s="2" t="s">
        <v>170</v>
      </c>
    </row>
    <row r="33680" spans="1:1" ht="12.75">
      <c r="A33680" s="2" t="s">
        <v>224</v>
      </c>
    </row>
    <row r="33681" spans="1:1" ht="12.75">
      <c r="A33681" s="2" t="s">
        <v>196</v>
      </c>
    </row>
    <row r="33682" spans="1:1" ht="12.75">
      <c r="A33682" s="2" t="s">
        <v>223</v>
      </c>
    </row>
    <row r="33683" spans="1:1" ht="12.75">
      <c r="A33683" s="2" t="s">
        <v>196</v>
      </c>
    </row>
    <row r="33684" spans="1:1" ht="12.75">
      <c r="A33684" s="2" t="s">
        <v>223</v>
      </c>
    </row>
    <row r="33685" spans="1:1" ht="12.75">
      <c r="A33685" s="2" t="s">
        <v>172</v>
      </c>
    </row>
    <row r="33686" spans="1:1" ht="12.75">
      <c r="A33686" s="2" t="s">
        <v>175</v>
      </c>
    </row>
    <row r="33688" spans="1:1" ht="12.75">
      <c r="A33688" s="2" t="s">
        <v>175</v>
      </c>
    </row>
    <row r="33689" spans="1:1" ht="12.75">
      <c r="A33689" s="2" t="s">
        <v>177</v>
      </c>
    </row>
    <row r="33690" spans="1:1" ht="12.75">
      <c r="A33690" s="2" t="s">
        <v>179</v>
      </c>
    </row>
    <row r="33691" spans="1:1" ht="12.75">
      <c r="A33691" s="2" t="s">
        <v>167</v>
      </c>
    </row>
    <row r="33692" spans="1:1" ht="12.75">
      <c r="A33692" s="2" t="s">
        <v>179</v>
      </c>
    </row>
    <row r="33693" spans="1:1" ht="12.75">
      <c r="A33693" s="2" t="s">
        <v>169</v>
      </c>
    </row>
    <row r="33694" spans="1:1" ht="12.75">
      <c r="A33694" s="2" t="s">
        <v>185</v>
      </c>
    </row>
    <row r="33695" spans="1:1" ht="12.75">
      <c r="A33695" s="2" t="s">
        <v>169</v>
      </c>
    </row>
    <row r="33696" spans="1:1" ht="12.75">
      <c r="A33696" s="2" t="s">
        <v>178</v>
      </c>
    </row>
    <row r="33697" spans="1:1" ht="12.75">
      <c r="A33697" s="2" t="s">
        <v>191</v>
      </c>
    </row>
    <row r="33698" spans="1:1" ht="12.75">
      <c r="A33698" s="2" t="s">
        <v>178</v>
      </c>
    </row>
    <row r="33699" spans="1:1" ht="12.75">
      <c r="A33699" s="2" t="s">
        <v>191</v>
      </c>
    </row>
    <row r="33700" spans="1:1" ht="12.75">
      <c r="A33700" s="2" t="s">
        <v>225</v>
      </c>
    </row>
    <row r="33701" spans="1:1" ht="12.75">
      <c r="A33701" s="2" t="s">
        <v>191</v>
      </c>
    </row>
    <row r="33702" spans="1:1" ht="12.75">
      <c r="A33702" s="2" t="s">
        <v>225</v>
      </c>
    </row>
    <row r="33703" spans="1:1" ht="12.75">
      <c r="A33703" s="2" t="s">
        <v>161</v>
      </c>
    </row>
    <row r="33704" spans="1:1" ht="12.75">
      <c r="A33704" s="2" t="s">
        <v>221</v>
      </c>
    </row>
    <row r="33705" spans="1:1" ht="12.75">
      <c r="A33705" s="2" t="s">
        <v>194</v>
      </c>
    </row>
    <row r="33706" spans="1:1" ht="12.75">
      <c r="A33706" s="2" t="s">
        <v>162</v>
      </c>
    </row>
    <row r="33707" spans="1:1" ht="12.75">
      <c r="A33707" s="2" t="s">
        <v>194</v>
      </c>
    </row>
    <row r="33708" spans="1:1" ht="12.75">
      <c r="A33708" s="2" t="s">
        <v>160</v>
      </c>
    </row>
    <row r="33709" spans="1:1" ht="12.75">
      <c r="A33709" s="2" t="s">
        <v>169</v>
      </c>
    </row>
    <row r="33710" spans="1:1" ht="12.75">
      <c r="A33710" s="2" t="s">
        <v>161</v>
      </c>
    </row>
    <row r="33711" spans="1:1" ht="12.75">
      <c r="A33711" s="2" t="s">
        <v>169</v>
      </c>
    </row>
    <row r="33712" spans="1:1" ht="12.75">
      <c r="A33712" s="2" t="s">
        <v>161</v>
      </c>
    </row>
    <row r="33713" spans="1:1" ht="12.75">
      <c r="A33713" s="2" t="s">
        <v>169</v>
      </c>
    </row>
    <row r="33714" spans="1:1" ht="12.75">
      <c r="A33714" s="2" t="s">
        <v>174</v>
      </c>
    </row>
    <row r="33715" spans="1:1" ht="12.75">
      <c r="A33715" s="2" t="s">
        <v>172</v>
      </c>
    </row>
    <row r="33716" spans="1:1" ht="12.75">
      <c r="A33716" s="2" t="s">
        <v>174</v>
      </c>
    </row>
    <row r="33717" spans="1:1" ht="12.75">
      <c r="A33717" s="2" t="s">
        <v>172</v>
      </c>
    </row>
    <row r="33718" spans="1:1" ht="12.75">
      <c r="A33718" s="2" t="s">
        <v>194</v>
      </c>
    </row>
    <row r="33719" spans="1:1" ht="12.75">
      <c r="A33719" s="2" t="s">
        <v>184</v>
      </c>
    </row>
    <row r="33720" spans="1:1" ht="12.75">
      <c r="A33720" s="2" t="s">
        <v>177</v>
      </c>
    </row>
    <row r="33721" spans="1:1" ht="12.75">
      <c r="A33721" s="2" t="s">
        <v>165</v>
      </c>
    </row>
    <row r="33722" spans="1:1" ht="12.75">
      <c r="A33722" s="2" t="s">
        <v>177</v>
      </c>
    </row>
    <row r="33723" spans="1:1" ht="12.75">
      <c r="A33723" s="2" t="s">
        <v>165</v>
      </c>
    </row>
    <row r="33724" spans="1:1" ht="12.75">
      <c r="A33724" s="2" t="s">
        <v>177</v>
      </c>
    </row>
    <row r="33725" spans="1:1" ht="12.75">
      <c r="A33725" s="2" t="s">
        <v>165</v>
      </c>
    </row>
    <row r="33726" spans="1:1" ht="12.75">
      <c r="A33726" s="2" t="s">
        <v>161</v>
      </c>
    </row>
    <row r="33727" spans="1:1" ht="12.75">
      <c r="A33727" s="2" t="s">
        <v>160</v>
      </c>
    </row>
    <row r="33728" spans="1:1" ht="12.75">
      <c r="A33728" s="2" t="s">
        <v>184</v>
      </c>
    </row>
    <row r="33729" spans="1:1" ht="12.75">
      <c r="A33729" s="2" t="s">
        <v>160</v>
      </c>
    </row>
    <row r="33730" spans="1:1" ht="12.75">
      <c r="A33730" s="2" t="s">
        <v>179</v>
      </c>
    </row>
    <row r="33732" spans="1:1" ht="12.75">
      <c r="A33732" s="2" t="s">
        <v>179</v>
      </c>
    </row>
    <row r="33734" spans="1:1" ht="12.75">
      <c r="A33734" s="2" t="s">
        <v>181</v>
      </c>
    </row>
    <row r="33737" spans="1:1" ht="12.75">
      <c r="A33737" s="2" t="s">
        <v>194</v>
      </c>
    </row>
    <row r="33738" spans="1:1" ht="12.75">
      <c r="A33738" s="2" t="s">
        <v>167</v>
      </c>
    </row>
    <row r="33739" spans="1:1" ht="12.75">
      <c r="A33739" s="2" t="s">
        <v>194</v>
      </c>
    </row>
    <row r="33740" spans="1:1" ht="12.75">
      <c r="A33740" s="2" t="s">
        <v>171</v>
      </c>
    </row>
    <row r="33741" spans="1:1" ht="12.75">
      <c r="A33741" s="2" t="s">
        <v>172</v>
      </c>
    </row>
    <row r="33742" spans="1:1" ht="12.75">
      <c r="A33742" s="2" t="s">
        <v>177</v>
      </c>
    </row>
    <row r="33743" spans="1:1" ht="12.75">
      <c r="A33743" s="2" t="s">
        <v>172</v>
      </c>
    </row>
    <row r="33744" spans="1:1" ht="12.75">
      <c r="A33744" s="2" t="s">
        <v>177</v>
      </c>
    </row>
    <row r="33745" spans="1:1" ht="12.75">
      <c r="A33745" s="2" t="s">
        <v>168</v>
      </c>
    </row>
    <row r="33746" spans="1:1" ht="12.75">
      <c r="A33746" s="2" t="s">
        <v>196</v>
      </c>
    </row>
    <row r="33747" spans="1:1" ht="12.75">
      <c r="A33747" s="2" t="s">
        <v>168</v>
      </c>
    </row>
    <row r="33748" spans="1:1" ht="12.75">
      <c r="A33748" s="2" t="s">
        <v>176</v>
      </c>
    </row>
    <row r="33749" spans="1:1" ht="12.75">
      <c r="A33749" s="2" t="s">
        <v>169</v>
      </c>
    </row>
    <row r="33750" spans="1:1" ht="12.75">
      <c r="A33750" s="2" t="s">
        <v>162</v>
      </c>
    </row>
    <row r="33751" spans="1:1" ht="12.75">
      <c r="A33751" s="2" t="s">
        <v>169</v>
      </c>
    </row>
    <row r="33752" spans="1:1" ht="12.75">
      <c r="A33752" s="2" t="s">
        <v>225</v>
      </c>
    </row>
    <row r="33753" spans="1:1" ht="12.75">
      <c r="A33753" s="2" t="s">
        <v>174</v>
      </c>
    </row>
    <row r="33754" spans="1:1" ht="12.75">
      <c r="A33754" s="2" t="s">
        <v>163</v>
      </c>
    </row>
    <row r="33755" spans="1:1" ht="12.75">
      <c r="A33755" s="2" t="s">
        <v>174</v>
      </c>
    </row>
    <row r="33756" spans="1:1" ht="12.75">
      <c r="A33756" s="2" t="s">
        <v>163</v>
      </c>
    </row>
    <row r="33757" spans="1:1" ht="12.75">
      <c r="A33757" s="2" t="s">
        <v>173</v>
      </c>
    </row>
    <row r="33758" spans="1:1" ht="12.75">
      <c r="A33758" s="2" t="s">
        <v>174</v>
      </c>
    </row>
    <row r="33759" spans="1:1" ht="12.75">
      <c r="A33759" s="2" t="s">
        <v>193</v>
      </c>
    </row>
    <row r="33760" spans="1:1" ht="12.75">
      <c r="A33760" s="2" t="s">
        <v>160</v>
      </c>
    </row>
    <row r="33761" spans="1:1" ht="12.75">
      <c r="A33761" s="2" t="s">
        <v>162</v>
      </c>
    </row>
    <row r="33762" spans="1:1" ht="12.75">
      <c r="A33762" s="2" t="s">
        <v>169</v>
      </c>
    </row>
    <row r="33763" spans="1:1" ht="12.75">
      <c r="A33763" s="2" t="s">
        <v>162</v>
      </c>
    </row>
    <row r="33764" spans="1:1" ht="12.75">
      <c r="A33764" s="2" t="s">
        <v>160</v>
      </c>
    </row>
    <row r="33765" spans="1:1" ht="12.75">
      <c r="A33765" s="2" t="s">
        <v>162</v>
      </c>
    </row>
    <row r="33766" spans="1:1" ht="12.75">
      <c r="A33766" s="2" t="s">
        <v>160</v>
      </c>
    </row>
    <row r="33767" spans="1:1" ht="12.75">
      <c r="A33767" s="2" t="s">
        <v>172</v>
      </c>
    </row>
    <row r="33768" spans="1:1" ht="12.75">
      <c r="A33768" s="2" t="s">
        <v>193</v>
      </c>
    </row>
    <row r="33769" spans="1:1" ht="12.75">
      <c r="A33769" s="2" t="s">
        <v>185</v>
      </c>
    </row>
    <row r="33770" spans="1:1" ht="12.75">
      <c r="A33770" s="2" t="s">
        <v>193</v>
      </c>
    </row>
    <row r="33771" spans="1:1" ht="12.75">
      <c r="A33771" s="2" t="s">
        <v>185</v>
      </c>
    </row>
    <row r="33772" spans="1:1" ht="12.75">
      <c r="A33772" s="2" t="s">
        <v>179</v>
      </c>
    </row>
    <row r="33774" spans="1:1" ht="12.75">
      <c r="A33774" s="2" t="s">
        <v>185</v>
      </c>
    </row>
    <row r="33775" spans="1:1" ht="12.75">
      <c r="A33775" s="2" t="s">
        <v>174</v>
      </c>
    </row>
    <row r="33776" spans="1:1" ht="12.75">
      <c r="A33776" s="2" t="s">
        <v>165</v>
      </c>
    </row>
    <row r="33777" spans="1:1" ht="12.75">
      <c r="A33777" s="2" t="s">
        <v>182</v>
      </c>
    </row>
    <row r="33779" spans="1:1" ht="12.75">
      <c r="A33779" s="2" t="s">
        <v>163</v>
      </c>
    </row>
    <row r="33780" spans="1:1" ht="12.75">
      <c r="A33780" s="2" t="s">
        <v>182</v>
      </c>
    </row>
    <row r="33781" spans="1:1" ht="12.75">
      <c r="A33781" s="2" t="s">
        <v>163</v>
      </c>
    </row>
    <row r="33782" spans="1:1" ht="12.75">
      <c r="A33782" s="2" t="s">
        <v>182</v>
      </c>
    </row>
    <row r="33783" spans="1:1" ht="12.75">
      <c r="A33783" s="2" t="s">
        <v>163</v>
      </c>
    </row>
    <row r="33785" spans="1:1" ht="12.75">
      <c r="A33785" s="2" t="s">
        <v>162</v>
      </c>
    </row>
    <row r="33786" spans="1:1" ht="12.75">
      <c r="A33786" s="2" t="s">
        <v>181</v>
      </c>
    </row>
    <row r="33787" spans="1:1" ht="12.75">
      <c r="A33787" s="2" t="s">
        <v>163</v>
      </c>
    </row>
    <row r="33788" spans="1:1" ht="12.75">
      <c r="A33788" s="2" t="s">
        <v>162</v>
      </c>
    </row>
    <row r="33789" spans="1:1" ht="12.75">
      <c r="A33789" s="2" t="s">
        <v>163</v>
      </c>
    </row>
    <row r="33790" spans="1:1" ht="12.75">
      <c r="A33790" s="2" t="s">
        <v>162</v>
      </c>
    </row>
    <row r="33791" spans="1:1" ht="12.75">
      <c r="A33791" s="2" t="s">
        <v>163</v>
      </c>
    </row>
    <row r="33792" spans="1:1" ht="12.75">
      <c r="A33792" s="2" t="s">
        <v>172</v>
      </c>
    </row>
    <row r="33793" spans="1:1" ht="12.75">
      <c r="A33793" s="2" t="s">
        <v>194</v>
      </c>
    </row>
    <row r="33794" spans="1:1" ht="12.75">
      <c r="A33794" s="2" t="s">
        <v>1242</v>
      </c>
    </row>
    <row r="33795" spans="1:1" ht="12.75">
      <c r="A33795" s="2" t="s">
        <v>194</v>
      </c>
    </row>
    <row r="33796" spans="1:1" ht="12.75">
      <c r="A33796" s="2" t="s">
        <v>193</v>
      </c>
    </row>
    <row r="33797" spans="1:1" ht="12.75">
      <c r="A33797" s="2" t="s">
        <v>194</v>
      </c>
    </row>
    <row r="33798" spans="1:1" ht="12.75">
      <c r="A33798" s="2" t="s">
        <v>193</v>
      </c>
    </row>
    <row r="33800" spans="1:1" ht="12.75">
      <c r="A33800" s="2" t="s">
        <v>177</v>
      </c>
    </row>
    <row r="33801" spans="1:1" ht="12.75">
      <c r="A33801" s="2" t="s">
        <v>165</v>
      </c>
    </row>
    <row r="33802" spans="1:1" ht="12.75">
      <c r="A33802" s="2" t="s">
        <v>196</v>
      </c>
    </row>
    <row r="33803" spans="1:1" ht="12.75">
      <c r="A33803" s="2" t="s">
        <v>168</v>
      </c>
    </row>
    <row r="33804" spans="1:1" ht="12.75">
      <c r="A33804" s="2" t="s">
        <v>174</v>
      </c>
    </row>
    <row r="33805" spans="1:1" ht="12.75">
      <c r="A33805" s="2" t="s">
        <v>169</v>
      </c>
    </row>
    <row r="33806" spans="1:1" ht="12.75">
      <c r="A33806" s="2" t="s">
        <v>172</v>
      </c>
    </row>
    <row r="33807" spans="1:1" ht="12.75">
      <c r="A33807" s="2" t="s">
        <v>196</v>
      </c>
    </row>
    <row r="33808" spans="1:1" ht="12.75">
      <c r="A33808" s="2" t="s">
        <v>172</v>
      </c>
    </row>
    <row r="33809" spans="1:1" ht="12.75">
      <c r="A33809" s="2" t="s">
        <v>177</v>
      </c>
    </row>
    <row r="33810" spans="1:1" ht="12.75">
      <c r="A33810" s="2" t="s">
        <v>196</v>
      </c>
    </row>
    <row r="33811" spans="1:1" ht="12.75">
      <c r="A33811" s="2" t="s">
        <v>176</v>
      </c>
    </row>
    <row r="33812" spans="1:1" ht="12.75">
      <c r="A33812" s="2" t="s">
        <v>196</v>
      </c>
    </row>
    <row r="33813" spans="1:1" ht="12.75">
      <c r="A33813" s="2" t="s">
        <v>161</v>
      </c>
    </row>
    <row r="33814" spans="1:1" ht="12.75">
      <c r="A33814" s="2" t="s">
        <v>196</v>
      </c>
    </row>
    <row r="33815" spans="1:1" ht="12.75">
      <c r="A33815" s="2" t="s">
        <v>161</v>
      </c>
    </row>
    <row r="33816" spans="1:1" ht="12.75">
      <c r="A33816" s="2" t="s">
        <v>170</v>
      </c>
    </row>
    <row r="33817" spans="1:1" ht="12.75">
      <c r="A33817" s="2" t="s">
        <v>737</v>
      </c>
    </row>
    <row r="33818" spans="1:1" ht="12.75">
      <c r="A33818" s="2" t="s">
        <v>170</v>
      </c>
    </row>
    <row r="33819" spans="1:1" ht="12.75">
      <c r="A33819" s="2" t="s">
        <v>160</v>
      </c>
    </row>
    <row r="33820" spans="1:1" ht="12.75">
      <c r="A33820" s="2" t="s">
        <v>176</v>
      </c>
    </row>
    <row r="33821" spans="1:1" ht="12.75">
      <c r="A33821" s="2" t="s">
        <v>161</v>
      </c>
    </row>
    <row r="33822" spans="1:1" ht="12.75">
      <c r="A33822" s="2" t="s">
        <v>746</v>
      </c>
    </row>
    <row r="33823" spans="1:1" ht="12.75">
      <c r="A33823" s="2" t="s">
        <v>165</v>
      </c>
    </row>
    <row r="33824" spans="1:1" ht="12.75">
      <c r="A33824" s="2" t="s">
        <v>165</v>
      </c>
    </row>
    <row r="33825" spans="1:1" ht="12.75">
      <c r="A33825" s="2" t="s">
        <v>169</v>
      </c>
    </row>
    <row r="33826" spans="1:1" ht="12.75">
      <c r="A33826" s="2" t="s">
        <v>184</v>
      </c>
    </row>
    <row r="33827" spans="1:1" ht="12.75">
      <c r="A33827" s="2" t="s">
        <v>160</v>
      </c>
    </row>
    <row r="33828" spans="1:1" ht="12.75">
      <c r="A33828" s="2" t="s">
        <v>165</v>
      </c>
    </row>
    <row r="33829" spans="1:1" ht="12.75">
      <c r="A33829" s="2" t="s">
        <v>160</v>
      </c>
    </row>
    <row r="33830" spans="1:1" ht="12.75">
      <c r="A33830" s="2" t="s">
        <v>169</v>
      </c>
    </row>
    <row r="33831" spans="1:1" ht="12.75">
      <c r="A33831" s="2" t="s">
        <v>160</v>
      </c>
    </row>
    <row r="33832" spans="1:1" ht="12.75">
      <c r="A33832" s="2" t="s">
        <v>169</v>
      </c>
    </row>
    <row r="33833" spans="1:1" ht="12.75">
      <c r="A33833" s="2" t="s">
        <v>189</v>
      </c>
    </row>
    <row r="33834" spans="1:1" ht="12.75">
      <c r="A33834" s="2" t="s">
        <v>176</v>
      </c>
    </row>
    <row r="33835" spans="1:1" ht="12.75">
      <c r="A33835" s="2" t="s">
        <v>167</v>
      </c>
    </row>
    <row r="33836" spans="1:1" ht="12.75">
      <c r="A33836" s="2" t="s">
        <v>176</v>
      </c>
    </row>
    <row r="33837" spans="1:1" ht="12.75">
      <c r="A33837" s="2" t="s">
        <v>167</v>
      </c>
    </row>
    <row r="33838" spans="1:1" ht="12.75">
      <c r="A33838" s="2" t="s">
        <v>176</v>
      </c>
    </row>
    <row r="33839" spans="1:1" ht="12.75">
      <c r="A33839" s="2" t="s">
        <v>167</v>
      </c>
    </row>
    <row r="33840" spans="1:1" ht="12.75">
      <c r="A33840" s="2" t="s">
        <v>162</v>
      </c>
    </row>
    <row r="33841" spans="1:1" ht="12.75">
      <c r="A33841" s="2" t="s">
        <v>181</v>
      </c>
    </row>
    <row r="33842" spans="1:1" ht="12.75">
      <c r="A33842" s="2" t="s">
        <v>179</v>
      </c>
    </row>
    <row r="33843" spans="1:1" ht="12.75">
      <c r="A33843" s="2" t="s">
        <v>181</v>
      </c>
    </row>
    <row r="33844" spans="1:1" ht="12.75">
      <c r="A33844" s="2" t="s">
        <v>179</v>
      </c>
    </row>
    <row r="33845" spans="1:1" ht="12.75">
      <c r="A33845" s="2" t="s">
        <v>183</v>
      </c>
    </row>
    <row r="33846" spans="1:1" ht="12.75">
      <c r="A33846" s="2" t="s">
        <v>179</v>
      </c>
    </row>
    <row r="33847" spans="1:1" ht="12.75">
      <c r="A33847" s="2" t="s">
        <v>183</v>
      </c>
    </row>
    <row r="33848" spans="1:1" ht="12.75">
      <c r="A33848" s="2" t="s">
        <v>181</v>
      </c>
    </row>
    <row r="33849" spans="1:1" ht="12.75">
      <c r="A33849" s="2" t="s">
        <v>183</v>
      </c>
    </row>
    <row r="33850" spans="1:1" ht="12.75">
      <c r="A33850" s="2" t="s">
        <v>163</v>
      </c>
    </row>
    <row r="33852" spans="1:1" ht="12.75">
      <c r="A33852" s="2" t="s">
        <v>301</v>
      </c>
    </row>
    <row r="33853" spans="1:1" ht="12.75">
      <c r="A33853" s="2" t="s">
        <v>301</v>
      </c>
    </row>
    <row r="33854" spans="1:1" ht="12.75">
      <c r="A33854" s="2" t="s">
        <v>217</v>
      </c>
    </row>
    <row r="33855" spans="1:1" ht="12.75">
      <c r="A33855" s="2" t="s">
        <v>301</v>
      </c>
    </row>
    <row r="33856" spans="1:1" ht="12.75">
      <c r="A33856" s="2" t="s">
        <v>393</v>
      </c>
    </row>
    <row r="33857" spans="1:1" ht="12.75">
      <c r="A33857" s="2" t="s">
        <v>301</v>
      </c>
    </row>
    <row r="33858" spans="1:1" ht="12.75">
      <c r="A33858" s="2" t="s">
        <v>393</v>
      </c>
    </row>
    <row r="33859" spans="1:1" ht="12.75">
      <c r="A33859" s="2" t="s">
        <v>301</v>
      </c>
    </row>
    <row r="33860" spans="1:1" ht="12.75">
      <c r="A33860" s="2" t="s">
        <v>393</v>
      </c>
    </row>
    <row r="33861" spans="1:1" ht="12.75">
      <c r="A33861" s="2" t="s">
        <v>258</v>
      </c>
    </row>
    <row r="33862" spans="1:1" ht="12.75">
      <c r="A33862" s="2" t="s">
        <v>223</v>
      </c>
    </row>
    <row r="33863" spans="1:1" ht="12.75">
      <c r="A33863" s="2" t="s">
        <v>734</v>
      </c>
    </row>
    <row r="33864" spans="1:1" ht="12.75">
      <c r="A33864" s="2" t="s">
        <v>734</v>
      </c>
    </row>
    <row r="33865" spans="1:1" ht="12.75">
      <c r="A33865" s="2" t="s">
        <v>393</v>
      </c>
    </row>
    <row r="33866" spans="1:1" ht="12.75">
      <c r="A33866" s="2" t="s">
        <v>734</v>
      </c>
    </row>
    <row r="33867" spans="1:1" ht="12.75">
      <c r="A33867" s="2" t="s">
        <v>217</v>
      </c>
    </row>
    <row r="33868" spans="1:1" ht="12.75">
      <c r="A33868" s="2" t="s">
        <v>224</v>
      </c>
    </row>
    <row r="33869" spans="1:1" ht="12.75">
      <c r="A33869" s="2" t="s">
        <v>224</v>
      </c>
    </row>
    <row r="33870" spans="1:1" ht="12.75">
      <c r="A33870" s="2" t="s">
        <v>224</v>
      </c>
    </row>
    <row r="33871" spans="1:1" ht="12.75">
      <c r="A33871" s="2" t="s">
        <v>224</v>
      </c>
    </row>
    <row r="33872" spans="1:1" ht="12.75">
      <c r="A33872" s="2" t="s">
        <v>224</v>
      </c>
    </row>
    <row r="33873" spans="1:1" ht="12.75">
      <c r="A33873" s="2" t="s">
        <v>224</v>
      </c>
    </row>
    <row r="33874" spans="1:1" ht="12.75">
      <c r="A33874" s="2" t="s">
        <v>224</v>
      </c>
    </row>
    <row r="33875" spans="1:1" ht="12.75">
      <c r="A33875" s="2" t="s">
        <v>224</v>
      </c>
    </row>
    <row r="33876" spans="1:1" ht="12.75">
      <c r="A33876" s="2" t="s">
        <v>183</v>
      </c>
    </row>
    <row r="33877" spans="1:1" ht="12.75">
      <c r="A33877" s="2" t="s">
        <v>733</v>
      </c>
    </row>
    <row r="33878" spans="1:1" ht="12.75">
      <c r="A33878" s="2" t="s">
        <v>172</v>
      </c>
    </row>
    <row r="33880" spans="1:1" ht="12.75">
      <c r="A33880" s="2" t="s">
        <v>172</v>
      </c>
    </row>
    <row r="33881" spans="1:1" ht="12.75">
      <c r="A33881" s="2" t="s">
        <v>733</v>
      </c>
    </row>
    <row r="33882" spans="1:1" ht="12.75">
      <c r="A33882" s="2" t="s">
        <v>172</v>
      </c>
    </row>
    <row r="33883" spans="1:1" ht="12.75">
      <c r="A33883" s="2" t="s">
        <v>165</v>
      </c>
    </row>
    <row r="33884" spans="1:1" ht="12.75">
      <c r="A33884" s="2" t="s">
        <v>739</v>
      </c>
    </row>
    <row r="33885" spans="1:1" ht="12.75">
      <c r="A33885" s="2" t="s">
        <v>274</v>
      </c>
    </row>
    <row r="33886" spans="1:1" ht="12.75">
      <c r="A33886" s="2" t="s">
        <v>1243</v>
      </c>
    </row>
    <row r="33887" spans="1:1" ht="12.75">
      <c r="A33887" s="2" t="s">
        <v>274</v>
      </c>
    </row>
    <row r="33888" spans="1:1" ht="12.75">
      <c r="A33888" s="2" t="s">
        <v>274</v>
      </c>
    </row>
    <row r="33889" spans="1:1" ht="12.75">
      <c r="A33889" s="2" t="s">
        <v>274</v>
      </c>
    </row>
    <row r="33890" spans="1:1" ht="12.75">
      <c r="A33890" s="2" t="s">
        <v>275</v>
      </c>
    </row>
    <row r="33891" spans="1:1" ht="12.75">
      <c r="A33891" s="2" t="s">
        <v>274</v>
      </c>
    </row>
    <row r="33892" spans="1:1" ht="12.75">
      <c r="A33892" s="2" t="s">
        <v>274</v>
      </c>
    </row>
    <row r="33893" spans="1:1" ht="12.75">
      <c r="A33893" s="2" t="s">
        <v>275</v>
      </c>
    </row>
    <row r="33894" spans="1:1" ht="12.75">
      <c r="A33894" s="2" t="s">
        <v>740</v>
      </c>
    </row>
    <row r="33896" spans="1:1" ht="12.75">
      <c r="A33896" s="2" t="s">
        <v>738</v>
      </c>
    </row>
    <row r="33903" spans="1:1" ht="12.75">
      <c r="A33903" s="2" t="s">
        <v>738</v>
      </c>
    </row>
    <row r="33904" spans="1:1" ht="12.75">
      <c r="A33904" s="2" t="s">
        <v>258</v>
      </c>
    </row>
    <row r="33906" spans="1:1" ht="12.75">
      <c r="A33906" s="2" t="s">
        <v>258</v>
      </c>
    </row>
    <row r="33907" spans="1:1" ht="12.75">
      <c r="A33907" s="2" t="s">
        <v>740</v>
      </c>
    </row>
    <row r="33908" spans="1:1" ht="12.75">
      <c r="A33908" s="2" t="s">
        <v>740</v>
      </c>
    </row>
    <row r="33909" spans="1:1" ht="12.75">
      <c r="A33909" s="2" t="s">
        <v>740</v>
      </c>
    </row>
    <row r="33910" spans="1:1" ht="12.75">
      <c r="A33910" s="2" t="s">
        <v>175</v>
      </c>
    </row>
    <row r="33911" spans="1:1" ht="12.75">
      <c r="A33911" s="2" t="s">
        <v>163</v>
      </c>
    </row>
    <row r="33912" spans="1:1" ht="12.75">
      <c r="A33912" s="2" t="s">
        <v>175</v>
      </c>
    </row>
    <row r="33913" spans="1:1" ht="12.75">
      <c r="A33913" s="2" t="s">
        <v>162</v>
      </c>
    </row>
    <row r="33914" spans="1:1" ht="12.75">
      <c r="A33914" s="2" t="s">
        <v>170</v>
      </c>
    </row>
    <row r="33915" spans="1:1" ht="12.75">
      <c r="A33915" s="2" t="s">
        <v>162</v>
      </c>
    </row>
    <row r="33916" spans="1:1" ht="12.75">
      <c r="A33916" s="2" t="s">
        <v>163</v>
      </c>
    </row>
    <row r="33917" spans="1:1" ht="12.75">
      <c r="A33917" s="2" t="s">
        <v>162</v>
      </c>
    </row>
    <row r="33918" spans="1:1" ht="12.75">
      <c r="A33918" s="2" t="s">
        <v>163</v>
      </c>
    </row>
    <row r="33919" spans="1:1" ht="12.75">
      <c r="A33919" s="2" t="s">
        <v>193</v>
      </c>
    </row>
    <row r="33920" spans="1:1" ht="12.75">
      <c r="A33920" s="2" t="s">
        <v>171</v>
      </c>
    </row>
    <row r="33922" spans="1:1" ht="12.75">
      <c r="A33922" s="2" t="s">
        <v>184</v>
      </c>
    </row>
    <row r="33923" spans="1:1" ht="12.75">
      <c r="A33923" s="2" t="s">
        <v>173</v>
      </c>
    </row>
    <row r="33924" spans="1:1" ht="12.75">
      <c r="A33924" s="2" t="s">
        <v>184</v>
      </c>
    </row>
    <row r="33925" spans="1:1" ht="12.75">
      <c r="A33925" s="2" t="s">
        <v>185</v>
      </c>
    </row>
    <row r="33927" spans="1:1" ht="12.75">
      <c r="A33927" s="2" t="s">
        <v>185</v>
      </c>
    </row>
    <row r="33928" spans="1:1" ht="12.75">
      <c r="A33928" s="2" t="s">
        <v>193</v>
      </c>
    </row>
    <row r="33929" spans="1:1" ht="12.75">
      <c r="A33929" s="2" t="s">
        <v>162</v>
      </c>
    </row>
    <row r="33930" spans="1:1" ht="12.75">
      <c r="A33930" s="2" t="s">
        <v>185</v>
      </c>
    </row>
    <row r="33931" spans="1:1" ht="12.75">
      <c r="A33931" s="2" t="s">
        <v>162</v>
      </c>
    </row>
    <row r="33932" spans="1:1" ht="12.75">
      <c r="A33932" s="2" t="s">
        <v>182</v>
      </c>
    </row>
    <row r="33933" spans="1:1" ht="12.75">
      <c r="A33933" s="2" t="s">
        <v>225</v>
      </c>
    </row>
    <row r="33934" spans="1:1" ht="12.75">
      <c r="A33934" s="2" t="s">
        <v>189</v>
      </c>
    </row>
    <row r="33935" spans="1:1" ht="12.75">
      <c r="A33935" s="2" t="s">
        <v>225</v>
      </c>
    </row>
    <row r="33936" spans="1:1" ht="12.75">
      <c r="A33936" s="2" t="s">
        <v>171</v>
      </c>
    </row>
    <row r="33937" spans="1:1" ht="12.75">
      <c r="A33937" s="2" t="s">
        <v>193</v>
      </c>
    </row>
    <row r="33938" spans="1:1" ht="12.75">
      <c r="A33938" s="2" t="s">
        <v>225</v>
      </c>
    </row>
    <row r="33939" spans="1:1" ht="12.75">
      <c r="A33939" s="2" t="s">
        <v>193</v>
      </c>
    </row>
    <row r="33940" spans="1:1" ht="12.75">
      <c r="A33940" s="2" t="s">
        <v>225</v>
      </c>
    </row>
    <row r="33941" spans="1:1" ht="12.75">
      <c r="A33941" s="2" t="s">
        <v>189</v>
      </c>
    </row>
    <row r="33942" spans="1:1" ht="12.75">
      <c r="A33942" s="2" t="s">
        <v>173</v>
      </c>
    </row>
    <row r="33943" spans="1:1" ht="12.75">
      <c r="A33943" s="2" t="s">
        <v>194</v>
      </c>
    </row>
    <row r="33944" spans="1:1" ht="12.75">
      <c r="A33944" s="2" t="s">
        <v>167</v>
      </c>
    </row>
    <row r="33945" spans="1:1" ht="12.75">
      <c r="A33945" s="2" t="s">
        <v>194</v>
      </c>
    </row>
    <row r="33946" spans="1:1" ht="12.75">
      <c r="A33946" s="2" t="s">
        <v>167</v>
      </c>
    </row>
    <row r="33947" spans="1:1" ht="12.75">
      <c r="A33947" s="2" t="s">
        <v>194</v>
      </c>
    </row>
    <row r="33948" spans="1:1" ht="12.75">
      <c r="A33948" s="2" t="s">
        <v>167</v>
      </c>
    </row>
    <row r="33949" spans="1:1" ht="12.75">
      <c r="A33949" s="2" t="s">
        <v>177</v>
      </c>
    </row>
    <row r="33950" spans="1:1" ht="12.75">
      <c r="A33950" s="2" t="s">
        <v>172</v>
      </c>
    </row>
    <row r="33951" spans="1:1" ht="12.75">
      <c r="A33951" s="2" t="s">
        <v>163</v>
      </c>
    </row>
    <row r="33953" spans="1:1" ht="12.75">
      <c r="A33953" s="2" t="s">
        <v>160</v>
      </c>
    </row>
    <row r="33954" spans="1:1" ht="12.75">
      <c r="A33954" s="2" t="s">
        <v>184</v>
      </c>
    </row>
    <row r="33955" spans="1:1" ht="12.75">
      <c r="A33955" s="2" t="s">
        <v>160</v>
      </c>
    </row>
    <row r="33956" spans="1:1" ht="12.75">
      <c r="A33956" s="2" t="s">
        <v>184</v>
      </c>
    </row>
    <row r="33957" spans="1:1" ht="12.75">
      <c r="A33957" s="2" t="s">
        <v>167</v>
      </c>
    </row>
    <row r="33958" spans="1:1" ht="12.75">
      <c r="A33958" s="2" t="s">
        <v>160</v>
      </c>
    </row>
    <row r="33960" spans="1:1" ht="12.75">
      <c r="A33960" s="2" t="s">
        <v>184</v>
      </c>
    </row>
    <row r="33962" spans="1:1" ht="12.75">
      <c r="A33962" s="2" t="s">
        <v>194</v>
      </c>
    </row>
    <row r="33963" spans="1:1" ht="12.75">
      <c r="A33963" s="2" t="s">
        <v>182</v>
      </c>
    </row>
    <row r="33964" spans="1:1" ht="12.75">
      <c r="A33964" s="2" t="s">
        <v>194</v>
      </c>
    </row>
    <row r="33965" spans="1:1" ht="12.75">
      <c r="A33965" s="2" t="s">
        <v>185</v>
      </c>
    </row>
    <row r="33966" spans="1:1" ht="12.75">
      <c r="A33966" s="2" t="s">
        <v>181</v>
      </c>
    </row>
    <row r="33967" spans="1:1" ht="12.75">
      <c r="A33967" s="2" t="s">
        <v>183</v>
      </c>
    </row>
    <row r="33968" spans="1:1" ht="12.75">
      <c r="A33968" s="2" t="s">
        <v>181</v>
      </c>
    </row>
    <row r="33969" spans="1:1" ht="12.75">
      <c r="A33969" s="2" t="s">
        <v>183</v>
      </c>
    </row>
    <row r="33970" spans="1:1" ht="12.75">
      <c r="A33970" s="2" t="s">
        <v>181</v>
      </c>
    </row>
    <row r="33971" spans="1:1" ht="12.75">
      <c r="A33971" s="2" t="s">
        <v>174</v>
      </c>
    </row>
    <row r="33972" spans="1:1" ht="12.75">
      <c r="A33972" s="2" t="s">
        <v>182</v>
      </c>
    </row>
    <row r="33973" spans="1:1" ht="12.75">
      <c r="A33973" s="2" t="s">
        <v>174</v>
      </c>
    </row>
    <row r="33974" spans="1:1" ht="12.75">
      <c r="A33974" s="2" t="s">
        <v>175</v>
      </c>
    </row>
    <row r="33975" spans="1:1" ht="12.75">
      <c r="A33975" s="2" t="s">
        <v>163</v>
      </c>
    </row>
    <row r="33976" spans="1:1" ht="12.75">
      <c r="A33976" s="2" t="s">
        <v>175</v>
      </c>
    </row>
    <row r="33977" spans="1:1" ht="12.75">
      <c r="A33977" s="2" t="s">
        <v>162</v>
      </c>
    </row>
    <row r="33978" spans="1:1" ht="12.75">
      <c r="A33978" s="2" t="s">
        <v>175</v>
      </c>
    </row>
    <row r="33979" spans="1:1" ht="12.75">
      <c r="A33979" s="2" t="s">
        <v>162</v>
      </c>
    </row>
    <row r="33980" spans="1:1" ht="12.75">
      <c r="A33980" s="2" t="s">
        <v>163</v>
      </c>
    </row>
    <row r="33981" spans="1:1" ht="12.75">
      <c r="A33981" s="2" t="s">
        <v>162</v>
      </c>
    </row>
    <row r="33982" spans="1:1" ht="12.75">
      <c r="A33982" s="2" t="s">
        <v>163</v>
      </c>
    </row>
    <row r="33983" spans="1:1" ht="12.75">
      <c r="A33983" s="2" t="s">
        <v>223</v>
      </c>
    </row>
    <row r="33984" spans="1:1" ht="12.75">
      <c r="A33984" s="2" t="s">
        <v>189</v>
      </c>
    </row>
    <row r="33985" spans="1:1" ht="12.75">
      <c r="A33985" s="2" t="s">
        <v>173</v>
      </c>
    </row>
    <row r="33986" spans="1:1" ht="12.75">
      <c r="A33986" s="2" t="s">
        <v>225</v>
      </c>
    </row>
    <row r="33987" spans="1:1" ht="12.75">
      <c r="A33987" s="2" t="s">
        <v>173</v>
      </c>
    </row>
    <row r="33988" spans="1:1" ht="12.75">
      <c r="A33988" s="2" t="s">
        <v>225</v>
      </c>
    </row>
    <row r="33990" spans="1:1" ht="12.75">
      <c r="A33990" s="2" t="s">
        <v>173</v>
      </c>
    </row>
    <row r="33991" spans="1:1" ht="12.75">
      <c r="A33991" s="2" t="s">
        <v>185</v>
      </c>
    </row>
    <row r="33992" spans="1:1" ht="12.75">
      <c r="A33992" s="2" t="s">
        <v>170</v>
      </c>
    </row>
    <row r="33993" spans="1:1" ht="12.75">
      <c r="A33993" s="2" t="s">
        <v>162</v>
      </c>
    </row>
    <row r="33994" spans="1:1" ht="12.75">
      <c r="A33994" s="2" t="s">
        <v>181</v>
      </c>
    </row>
    <row r="33995" spans="1:1" ht="12.75">
      <c r="A33995" s="2" t="s">
        <v>162</v>
      </c>
    </row>
    <row r="33996" spans="1:1" ht="12.75">
      <c r="A33996" s="2" t="s">
        <v>170</v>
      </c>
    </row>
    <row r="33997" spans="1:1" ht="12.75">
      <c r="A33997" s="2" t="s">
        <v>162</v>
      </c>
    </row>
    <row r="33998" spans="1:1" ht="12.75">
      <c r="A33998" s="2" t="s">
        <v>183</v>
      </c>
    </row>
    <row r="33999" spans="1:1" ht="12.75">
      <c r="A33999" s="2" t="s">
        <v>170</v>
      </c>
    </row>
    <row r="34000" spans="1:1" ht="12.75">
      <c r="A34000" s="2" t="s">
        <v>194</v>
      </c>
    </row>
    <row r="34001" spans="1:1" ht="12.75">
      <c r="A34001" s="2" t="s">
        <v>171</v>
      </c>
    </row>
    <row r="34004" spans="1:1" ht="12.75">
      <c r="A34004" s="2" t="s">
        <v>185</v>
      </c>
    </row>
    <row r="34006" spans="1:1" ht="12.75">
      <c r="A34006" s="2" t="s">
        <v>170</v>
      </c>
    </row>
    <row r="34007" spans="1:1" ht="12.75">
      <c r="A34007" s="2" t="s">
        <v>734</v>
      </c>
    </row>
    <row r="34008" spans="1:1" ht="12.75">
      <c r="A34008" s="2" t="s">
        <v>169</v>
      </c>
    </row>
    <row r="34009" spans="1:1" ht="12.75">
      <c r="A34009" s="2" t="s">
        <v>734</v>
      </c>
    </row>
    <row r="34011" spans="1:1" ht="12.75">
      <c r="A34011" s="2" t="s">
        <v>735</v>
      </c>
    </row>
    <row r="34012" spans="1:1" ht="12.75">
      <c r="A34012" s="2" t="s">
        <v>1244</v>
      </c>
    </row>
    <row r="34014" spans="1:1" ht="12.75">
      <c r="A34014" s="2" t="s">
        <v>393</v>
      </c>
    </row>
    <row r="34015" spans="1:1" ht="12.75">
      <c r="A34015" s="2" t="s">
        <v>274</v>
      </c>
    </row>
    <row r="34016" spans="1:1" ht="12.75">
      <c r="A34016" s="2" t="s">
        <v>217</v>
      </c>
    </row>
    <row r="34017" spans="1:1" ht="12.75">
      <c r="A34017" s="2" t="s">
        <v>274</v>
      </c>
    </row>
    <row r="34018" spans="1:1" ht="12.75">
      <c r="A34018" s="2" t="s">
        <v>223</v>
      </c>
    </row>
    <row r="34019" spans="1:1" ht="12.75">
      <c r="A34019" s="2" t="s">
        <v>274</v>
      </c>
    </row>
    <row r="34020" spans="1:1" ht="12.75">
      <c r="A34020" s="2" t="s">
        <v>223</v>
      </c>
    </row>
    <row r="34021" spans="1:1" ht="12.75">
      <c r="A34021" s="2" t="s">
        <v>274</v>
      </c>
    </row>
    <row r="34022" spans="1:1" ht="12.75">
      <c r="A34022" s="2" t="s">
        <v>170</v>
      </c>
    </row>
    <row r="34023" spans="1:1" ht="12.75">
      <c r="A34023" s="2" t="s">
        <v>217</v>
      </c>
    </row>
    <row r="34024" spans="1:1" ht="12.75">
      <c r="A34024" s="2" t="s">
        <v>274</v>
      </c>
    </row>
    <row r="34025" spans="1:1" ht="12.75">
      <c r="A34025" s="2" t="s">
        <v>274</v>
      </c>
    </row>
    <row r="34026" spans="1:1" ht="12.75">
      <c r="A34026" s="2" t="s">
        <v>274</v>
      </c>
    </row>
    <row r="34027" spans="1:1" ht="12.75">
      <c r="A34027" s="2" t="s">
        <v>274</v>
      </c>
    </row>
    <row r="34028" spans="1:1" ht="12.75">
      <c r="A34028" s="2" t="s">
        <v>274</v>
      </c>
    </row>
    <row r="34029" spans="1:1" ht="12.75">
      <c r="A34029" s="2" t="s">
        <v>275</v>
      </c>
    </row>
    <row r="34030" spans="1:1" ht="12.75">
      <c r="A34030" s="2" t="s">
        <v>258</v>
      </c>
    </row>
    <row r="34031" spans="1:1" ht="12.75">
      <c r="A34031" s="2" t="s">
        <v>258</v>
      </c>
    </row>
    <row r="34032" spans="1:1" ht="12.75">
      <c r="A34032" s="2" t="s">
        <v>258</v>
      </c>
    </row>
    <row r="34033" spans="1:1" ht="12.75">
      <c r="A34033" s="2" t="s">
        <v>260</v>
      </c>
    </row>
    <row r="34034" spans="1:1" ht="12.75">
      <c r="A34034" s="2" t="s">
        <v>260</v>
      </c>
    </row>
    <row r="34035" spans="1:1" ht="12.75">
      <c r="A34035" s="2" t="s">
        <v>260</v>
      </c>
    </row>
    <row r="34036" spans="1:1" ht="12.75">
      <c r="A34036" s="2" t="s">
        <v>260</v>
      </c>
    </row>
    <row r="34037" spans="1:1" ht="12.75">
      <c r="A34037" s="2" t="s">
        <v>260</v>
      </c>
    </row>
    <row r="34038" spans="1:1" ht="12.75">
      <c r="A34038" s="2" t="s">
        <v>260</v>
      </c>
    </row>
    <row r="34039" spans="1:1" ht="12.75">
      <c r="A34039" s="2" t="s">
        <v>259</v>
      </c>
    </row>
    <row r="34040" spans="1:1" ht="12.75">
      <c r="A34040" s="2" t="s">
        <v>259</v>
      </c>
    </row>
    <row r="34041" spans="1:1" ht="12.75">
      <c r="A34041" s="2" t="s">
        <v>259</v>
      </c>
    </row>
    <row r="34042" spans="1:1" ht="12.75">
      <c r="A34042" s="2" t="s">
        <v>1245</v>
      </c>
    </row>
    <row r="34043" spans="1:1" ht="12.75">
      <c r="A34043" s="2" t="s">
        <v>259</v>
      </c>
    </row>
    <row r="34044" spans="1:1" ht="12.75">
      <c r="A34044" s="2" t="s">
        <v>259</v>
      </c>
    </row>
    <row r="34045" spans="1:1" ht="12.75">
      <c r="A34045" s="2" t="s">
        <v>259</v>
      </c>
    </row>
    <row r="34046" spans="1:1" ht="12.75">
      <c r="A34046" s="2" t="s">
        <v>259</v>
      </c>
    </row>
    <row r="34047" spans="1:1" ht="12.75">
      <c r="A34047" s="2">
        <v>8434</v>
      </c>
    </row>
    <row r="34048" spans="1:1" ht="12.75">
      <c r="A34048" s="2" t="s">
        <v>259</v>
      </c>
    </row>
    <row r="34049" spans="1:1" ht="12.75">
      <c r="A34049" s="2" t="s">
        <v>1246</v>
      </c>
    </row>
    <row r="34050" spans="1:1" ht="12.75">
      <c r="A34050" s="2" t="s">
        <v>260</v>
      </c>
    </row>
    <row r="34051" spans="1:1" ht="12.75">
      <c r="A34051" s="2" t="s">
        <v>260</v>
      </c>
    </row>
    <row r="34054" spans="1:1" ht="12.75">
      <c r="A34054" s="2" t="s">
        <v>167</v>
      </c>
    </row>
    <row r="34055" spans="1:1" ht="12.75">
      <c r="A34055" s="2" t="s">
        <v>165</v>
      </c>
    </row>
    <row r="34056" spans="1:1" ht="12.75">
      <c r="A34056" s="2" t="s">
        <v>165</v>
      </c>
    </row>
    <row r="34058" spans="1:1" ht="12.75">
      <c r="A34058" s="2" t="s">
        <v>165</v>
      </c>
    </row>
    <row r="34059" spans="1:1" ht="12.75">
      <c r="A34059" s="2" t="s">
        <v>194</v>
      </c>
    </row>
    <row r="34060" spans="1:1" ht="12.75">
      <c r="A34060" s="2" t="s">
        <v>177</v>
      </c>
    </row>
    <row r="34061" spans="1:1" ht="12.75">
      <c r="A34061" s="2" t="s">
        <v>172</v>
      </c>
    </row>
    <row r="34062" spans="1:1" ht="12.75">
      <c r="A34062" s="2" t="s">
        <v>160</v>
      </c>
    </row>
    <row r="34063" spans="1:1" ht="12.75">
      <c r="A34063" s="2" t="s">
        <v>169</v>
      </c>
    </row>
    <row r="34064" spans="1:1" ht="12.75">
      <c r="A34064" s="2" t="s">
        <v>160</v>
      </c>
    </row>
    <row r="34065" spans="1:1" ht="12.75">
      <c r="A34065" s="2" t="s">
        <v>169</v>
      </c>
    </row>
    <row r="34066" spans="1:1" ht="12.75">
      <c r="A34066" s="2" t="s">
        <v>160</v>
      </c>
    </row>
    <row r="34067" spans="1:1" ht="12.75">
      <c r="A34067" s="2" t="s">
        <v>169</v>
      </c>
    </row>
    <row r="34068" spans="1:1" ht="12.75">
      <c r="A34068" s="2" t="s">
        <v>172</v>
      </c>
    </row>
    <row r="34069" spans="1:1" ht="12.75">
      <c r="A34069" s="2" t="s">
        <v>167</v>
      </c>
    </row>
    <row r="34070" spans="1:1" ht="12.75">
      <c r="A34070" s="2" t="s">
        <v>172</v>
      </c>
    </row>
    <row r="34071" spans="1:1" ht="12.75">
      <c r="A34071" s="2" t="s">
        <v>167</v>
      </c>
    </row>
    <row r="34073" spans="1:1" ht="12.75">
      <c r="A34073" s="2" t="s">
        <v>174</v>
      </c>
    </row>
    <row r="34075" spans="1:1" ht="12.75">
      <c r="A34075" s="2" t="s">
        <v>185</v>
      </c>
    </row>
    <row r="34076" spans="1:1" ht="12.75">
      <c r="A34076" s="2" t="s">
        <v>174</v>
      </c>
    </row>
    <row r="34077" spans="1:1" ht="12.75">
      <c r="A34077" s="2" t="s">
        <v>177</v>
      </c>
    </row>
    <row r="34078" spans="1:1" ht="12.75">
      <c r="A34078" s="2" t="s">
        <v>174</v>
      </c>
    </row>
    <row r="34079" spans="1:1" ht="12.75">
      <c r="A34079" s="2" t="s">
        <v>177</v>
      </c>
    </row>
    <row r="34080" spans="1:1" ht="12.75">
      <c r="A34080" s="2" t="s">
        <v>196</v>
      </c>
    </row>
    <row r="34081" spans="1:1" ht="12.75">
      <c r="A34081" s="2" t="s">
        <v>196</v>
      </c>
    </row>
    <row r="34082" spans="1:1" ht="12.75">
      <c r="A34082" s="2" t="s">
        <v>196</v>
      </c>
    </row>
    <row r="34083" spans="1:1" ht="12.75">
      <c r="A34083" s="2" t="s">
        <v>224</v>
      </c>
    </row>
    <row r="34084" spans="1:1" ht="12.75">
      <c r="A34084" s="2" t="s">
        <v>196</v>
      </c>
    </row>
    <row r="34085" spans="1:1" ht="12.75">
      <c r="A34085" s="2" t="s">
        <v>224</v>
      </c>
    </row>
    <row r="34086" spans="1:1" ht="12.75">
      <c r="A34086" s="2" t="s">
        <v>172</v>
      </c>
    </row>
    <row r="34087" spans="1:1" ht="12.75">
      <c r="A34087" s="2" t="s">
        <v>177</v>
      </c>
    </row>
    <row r="34088" spans="1:1" ht="12.75">
      <c r="A34088" s="2" t="s">
        <v>172</v>
      </c>
    </row>
    <row r="34089" spans="1:1" ht="12.75">
      <c r="A34089" s="2" t="s">
        <v>196</v>
      </c>
    </row>
    <row r="34090" spans="1:1" ht="12.75">
      <c r="A34090" s="2" t="s">
        <v>177</v>
      </c>
    </row>
    <row r="34091" spans="1:1" ht="12.75">
      <c r="A34091" s="2" t="s">
        <v>196</v>
      </c>
    </row>
    <row r="34092" spans="1:1" ht="12.75">
      <c r="A34092" s="2" t="s">
        <v>177</v>
      </c>
    </row>
    <row r="34093" spans="1:1" ht="12.75">
      <c r="A34093" s="2" t="s">
        <v>734</v>
      </c>
    </row>
    <row r="34094" spans="1:1" ht="12.75">
      <c r="A34094" s="2" t="s">
        <v>167</v>
      </c>
    </row>
    <row r="34095" spans="1:1" ht="12.75">
      <c r="A34095" s="2" t="s">
        <v>191</v>
      </c>
    </row>
    <row r="34096" spans="1:1" ht="12.75">
      <c r="A34096" s="2" t="s">
        <v>165</v>
      </c>
    </row>
    <row r="34097" spans="1:1" ht="12.75">
      <c r="A34097" s="2" t="s">
        <v>191</v>
      </c>
    </row>
    <row r="34098" spans="1:1" ht="12.75">
      <c r="A34098" s="2" t="s">
        <v>165</v>
      </c>
    </row>
    <row r="34099" spans="1:1" ht="12.75">
      <c r="A34099" s="2" t="s">
        <v>736</v>
      </c>
    </row>
    <row r="34100" spans="1:1" ht="12.75">
      <c r="A34100" s="2" t="s">
        <v>165</v>
      </c>
    </row>
    <row r="34101" spans="1:1" ht="12.75">
      <c r="A34101" s="2" t="s">
        <v>172</v>
      </c>
    </row>
    <row r="34102" spans="1:1" ht="12.75">
      <c r="A34102" s="2" t="s">
        <v>155</v>
      </c>
    </row>
    <row r="34202" spans="1:1" ht="12.75">
      <c r="A34202" s="2" t="s">
        <v>272</v>
      </c>
    </row>
    <row r="34203" spans="1:1" ht="12.75">
      <c r="A34203" s="2" t="s">
        <v>270</v>
      </c>
    </row>
    <row r="34204" spans="1:1" ht="12.75">
      <c r="A34204" s="2" t="s">
        <v>288</v>
      </c>
    </row>
    <row r="34205" spans="1:1" ht="12.75">
      <c r="A34205" s="2" t="s">
        <v>762</v>
      </c>
    </row>
    <row r="34208" spans="1:1" ht="12.75">
      <c r="A34208" s="2" t="s">
        <v>296</v>
      </c>
    </row>
    <row r="34209" spans="1:1" ht="12.75">
      <c r="A34209" s="2" t="s">
        <v>762</v>
      </c>
    </row>
    <row r="34210" spans="1:1" ht="12.75">
      <c r="A34210" s="2" t="s">
        <v>296</v>
      </c>
    </row>
    <row r="34212" spans="1:1" ht="12.75">
      <c r="A34212" s="2" t="s">
        <v>296</v>
      </c>
    </row>
    <row r="34213" spans="1:1" ht="12.75">
      <c r="A34213" s="2" t="s">
        <v>296</v>
      </c>
    </row>
    <row r="34214" spans="1:1" ht="12.75">
      <c r="A34214" s="2" t="s">
        <v>298</v>
      </c>
    </row>
    <row r="34215" spans="1:1" ht="12.75">
      <c r="A34215" s="2" t="s">
        <v>296</v>
      </c>
    </row>
    <row r="34216" spans="1:1" ht="12.75">
      <c r="A34216" s="2" t="s">
        <v>296</v>
      </c>
    </row>
    <row r="34217" spans="1:1" ht="12.75">
      <c r="A34217" s="2" t="s">
        <v>296</v>
      </c>
    </row>
    <row r="34218" spans="1:1" ht="12.75">
      <c r="A34218" s="2" t="s">
        <v>296</v>
      </c>
    </row>
    <row r="34219" spans="1:1" ht="12.75">
      <c r="A34219" s="2" t="s">
        <v>288</v>
      </c>
    </row>
    <row r="34220" spans="1:1" ht="12.75">
      <c r="A34220" s="2" t="s">
        <v>288</v>
      </c>
    </row>
    <row r="34221" spans="1:1" ht="12.75">
      <c r="A34221" s="2" t="s">
        <v>296</v>
      </c>
    </row>
    <row r="34222" spans="1:1" ht="12.75">
      <c r="A34222" s="2" t="s">
        <v>1247</v>
      </c>
    </row>
    <row r="34328" spans="1:1" ht="12.75">
      <c r="A34328" s="2" t="s">
        <v>459</v>
      </c>
    </row>
    <row r="34329" spans="1:1" ht="12.75">
      <c r="A34329" s="2" t="s">
        <v>273</v>
      </c>
    </row>
    <row r="34330" spans="1:1" ht="12.75">
      <c r="A34330" s="2" t="s">
        <v>273</v>
      </c>
    </row>
    <row r="34331" spans="1:1" ht="12.75">
      <c r="A34331" s="2" t="s">
        <v>269</v>
      </c>
    </row>
    <row r="34332" spans="1:1" ht="12.75">
      <c r="A34332" s="2" t="s">
        <v>271</v>
      </c>
    </row>
    <row r="34333" spans="1:1" ht="12.75">
      <c r="A34333" s="2" t="s">
        <v>863</v>
      </c>
    </row>
    <row r="34334" spans="1:1" ht="12.75">
      <c r="A34334" s="2" t="s">
        <v>269</v>
      </c>
    </row>
    <row r="34336" spans="1:1" ht="12.75">
      <c r="A34336" s="2" t="s">
        <v>859</v>
      </c>
    </row>
    <row r="34337" spans="1:1" ht="12.75">
      <c r="A34337" s="2" t="s">
        <v>923</v>
      </c>
    </row>
    <row r="34338" spans="1:1" ht="12.75">
      <c r="A34338" s="2" t="s">
        <v>859</v>
      </c>
    </row>
    <row r="34339" spans="1:1" ht="12.75">
      <c r="A34339" s="2" t="s">
        <v>859</v>
      </c>
    </row>
    <row r="34340" spans="1:1" ht="12.75">
      <c r="A34340" s="2" t="s">
        <v>859</v>
      </c>
    </row>
    <row r="34341" spans="1:1" ht="12.75">
      <c r="A34341" s="2" t="s">
        <v>922</v>
      </c>
    </row>
    <row r="34342" spans="1:1" ht="12.75">
      <c r="A34342" s="2" t="s">
        <v>922</v>
      </c>
    </row>
    <row r="34343" spans="1:1" ht="12.75">
      <c r="A34343" s="2" t="s">
        <v>272</v>
      </c>
    </row>
    <row r="34344" spans="1:1" ht="12.75">
      <c r="A34344" s="2" t="s">
        <v>923</v>
      </c>
    </row>
    <row r="34345" spans="1:1" ht="12.75">
      <c r="A34345" s="2" t="s">
        <v>271</v>
      </c>
    </row>
    <row r="34346" spans="1:1" ht="12.75">
      <c r="A34346" s="2" t="s">
        <v>268</v>
      </c>
    </row>
    <row r="34347" spans="1:1" ht="12.75">
      <c r="A34347" s="2" t="s">
        <v>273</v>
      </c>
    </row>
    <row r="34348" spans="1:1" ht="12.75">
      <c r="A34348" s="2" t="s">
        <v>271</v>
      </c>
    </row>
    <row r="34349" spans="1:1" ht="12.75">
      <c r="A34349" s="2" t="s">
        <v>270</v>
      </c>
    </row>
    <row r="34350" spans="1:1" ht="12.75">
      <c r="A34350" s="2" t="s">
        <v>273</v>
      </c>
    </row>
    <row r="34351" spans="1:1" ht="12.75">
      <c r="A34351" s="2" t="s">
        <v>270</v>
      </c>
    </row>
    <row r="34352" spans="1:1" ht="12.75">
      <c r="A34352" s="2" t="s">
        <v>860</v>
      </c>
    </row>
    <row r="34353" spans="1:1" ht="12.75">
      <c r="A34353" s="2" t="s">
        <v>271</v>
      </c>
    </row>
    <row r="34354" spans="1:1" ht="12.75">
      <c r="A34354" s="2" t="s">
        <v>271</v>
      </c>
    </row>
    <row r="34355" spans="1:1" ht="12.75">
      <c r="A34355" s="2" t="s">
        <v>268</v>
      </c>
    </row>
    <row r="34356" spans="1:1" ht="12.75">
      <c r="A34356" s="2" t="s">
        <v>272</v>
      </c>
    </row>
    <row r="34357" spans="1:1" ht="12.75">
      <c r="A34357" s="2" t="s">
        <v>272</v>
      </c>
    </row>
    <row r="34358" spans="1:1" ht="12.75">
      <c r="A34358" s="2" t="s">
        <v>268</v>
      </c>
    </row>
    <row r="34359" spans="1:1" ht="12.75">
      <c r="A34359" s="2" t="s">
        <v>269</v>
      </c>
    </row>
    <row r="34360" spans="1:1" ht="12.75">
      <c r="A34360" s="2" t="s">
        <v>270</v>
      </c>
    </row>
    <row r="34361" spans="1:1" ht="12.75">
      <c r="A34361" s="2" t="s">
        <v>269</v>
      </c>
    </row>
    <row r="34362" spans="1:1" ht="12.75">
      <c r="A34362" s="2" t="s">
        <v>268</v>
      </c>
    </row>
    <row r="34363" spans="1:1" ht="12.75">
      <c r="A34363" s="2" t="s">
        <v>271</v>
      </c>
    </row>
    <row r="34364" spans="1:1" ht="12.75">
      <c r="A34364" s="2" t="s">
        <v>273</v>
      </c>
    </row>
    <row r="34365" spans="1:1" ht="12.75">
      <c r="A34365" s="2" t="s">
        <v>861</v>
      </c>
    </row>
    <row r="34367" spans="1:1" ht="12.75">
      <c r="A34367" s="2" t="s">
        <v>273</v>
      </c>
    </row>
    <row r="34368" spans="1:1" ht="12.75">
      <c r="A34368" s="2" t="s">
        <v>272</v>
      </c>
    </row>
    <row r="34369" spans="1:1" ht="12.75">
      <c r="A34369" s="2" t="s">
        <v>273</v>
      </c>
    </row>
    <row r="34370" spans="1:1" ht="12.75">
      <c r="A34370" s="2" t="s">
        <v>272</v>
      </c>
    </row>
    <row r="34371" spans="1:1" ht="12.75">
      <c r="A34371" s="2" t="s">
        <v>273</v>
      </c>
    </row>
    <row r="34372" spans="1:1" ht="12.75">
      <c r="A34372" s="2" t="s">
        <v>273</v>
      </c>
    </row>
    <row r="34373" spans="1:1" ht="12.75">
      <c r="A34373" s="2" t="s">
        <v>269</v>
      </c>
    </row>
    <row r="34374" spans="1:1" ht="12.75">
      <c r="A34374" s="2" t="s">
        <v>861</v>
      </c>
    </row>
    <row r="34376" spans="1:1" ht="12.75">
      <c r="A34376" s="2" t="s">
        <v>861</v>
      </c>
    </row>
    <row r="34377" spans="1:1" ht="12.75">
      <c r="A34377" s="2" t="s">
        <v>271</v>
      </c>
    </row>
    <row r="34378" spans="1:1" ht="12.75">
      <c r="A34378" s="2" t="s">
        <v>923</v>
      </c>
    </row>
    <row r="34379" spans="1:1" ht="12.75">
      <c r="A34379" s="2" t="s">
        <v>271</v>
      </c>
    </row>
    <row r="34380" spans="1:1" ht="12.75">
      <c r="A34380" s="2" t="s">
        <v>268</v>
      </c>
    </row>
    <row r="34382" spans="1:1" ht="12.75">
      <c r="A34382" s="2" t="s">
        <v>268</v>
      </c>
    </row>
    <row r="34383" spans="1:1" ht="12.75">
      <c r="A34383" s="2" t="s">
        <v>270</v>
      </c>
    </row>
    <row r="34384" spans="1:1" ht="12.75">
      <c r="A34384" s="2" t="s">
        <v>273</v>
      </c>
    </row>
    <row r="34385" spans="1:1" ht="12.75">
      <c r="A34385" s="2" t="s">
        <v>269</v>
      </c>
    </row>
    <row r="34386" spans="1:1" ht="12.75">
      <c r="A34386" s="2" t="s">
        <v>270</v>
      </c>
    </row>
    <row r="34387" spans="1:1" ht="12.75">
      <c r="A34387" s="2" t="s">
        <v>861</v>
      </c>
    </row>
    <row r="34388" spans="1:1" ht="12.75">
      <c r="A34388" s="2" t="s">
        <v>995</v>
      </c>
    </row>
    <row r="34389" spans="1:1" ht="12.75">
      <c r="A34389" s="2" t="s">
        <v>861</v>
      </c>
    </row>
    <row r="34390" spans="1:1" ht="12.75">
      <c r="A34390" s="2" t="s">
        <v>922</v>
      </c>
    </row>
    <row r="34391" spans="1:1" ht="12.75">
      <c r="A34391" s="2" t="s">
        <v>923</v>
      </c>
    </row>
    <row r="34392" spans="1:1" ht="12.75">
      <c r="A34392" s="2" t="s">
        <v>923</v>
      </c>
    </row>
    <row r="34393" spans="1:1" ht="12.75">
      <c r="A34393" s="2" t="s">
        <v>271</v>
      </c>
    </row>
    <row r="34394" spans="1:1" ht="12.75">
      <c r="A34394" s="2" t="s">
        <v>863</v>
      </c>
    </row>
    <row r="34395" spans="1:1" ht="12.75">
      <c r="A34395" s="2" t="s">
        <v>924</v>
      </c>
    </row>
    <row r="34396" spans="1:1" ht="12.75">
      <c r="A34396" s="2" t="s">
        <v>268</v>
      </c>
    </row>
    <row r="34397" spans="1:1" ht="12.75">
      <c r="A34397" s="2" t="s">
        <v>924</v>
      </c>
    </row>
    <row r="34398" spans="1:1" ht="12.75">
      <c r="A34398" s="2" t="s">
        <v>269</v>
      </c>
    </row>
    <row r="34399" spans="1:1" ht="12.75">
      <c r="A34399" s="2" t="s">
        <v>860</v>
      </c>
    </row>
    <row r="34400" spans="1:1" ht="12.75">
      <c r="A34400" s="2" t="s">
        <v>270</v>
      </c>
    </row>
    <row r="34401" spans="1:1" ht="12.75">
      <c r="A34401" s="2" t="s">
        <v>272</v>
      </c>
    </row>
    <row r="34402" spans="1:1" ht="12.75">
      <c r="A34402" s="2" t="s">
        <v>273</v>
      </c>
    </row>
    <row r="34403" spans="1:1" ht="12.75">
      <c r="A34403" s="2" t="s">
        <v>859</v>
      </c>
    </row>
    <row r="34404" spans="1:1" ht="12.75">
      <c r="A34404" s="2" t="s">
        <v>859</v>
      </c>
    </row>
    <row r="34405" spans="1:1" ht="12.75">
      <c r="A34405" s="2" t="s">
        <v>861</v>
      </c>
    </row>
    <row r="34406" spans="1:1" ht="12.75">
      <c r="A34406" s="2" t="s">
        <v>859</v>
      </c>
    </row>
    <row r="34407" spans="1:1" ht="12.75">
      <c r="A34407" s="2" t="s">
        <v>268</v>
      </c>
    </row>
    <row r="34408" spans="1:1" ht="12.75">
      <c r="A34408" s="2" t="s">
        <v>923</v>
      </c>
    </row>
    <row r="34409" spans="1:1" ht="12.75">
      <c r="A34409" s="2" t="s">
        <v>272</v>
      </c>
    </row>
    <row r="34410" spans="1:1" ht="12.75">
      <c r="A34410" s="2" t="s">
        <v>860</v>
      </c>
    </row>
    <row r="34411" spans="1:1" ht="12.75">
      <c r="A34411" s="2" t="s">
        <v>270</v>
      </c>
    </row>
    <row r="34412" spans="1:1" ht="12.75">
      <c r="A34412" s="2" t="s">
        <v>271</v>
      </c>
    </row>
    <row r="34413" spans="1:1" ht="12.75">
      <c r="A34413" s="2" t="s">
        <v>269</v>
      </c>
    </row>
    <row r="34414" spans="1:1" ht="12.75">
      <c r="A34414" s="2" t="s">
        <v>270</v>
      </c>
    </row>
    <row r="34415" spans="1:1" ht="12.75">
      <c r="A34415" s="2" t="s">
        <v>924</v>
      </c>
    </row>
    <row r="34416" spans="1:1" ht="12.75">
      <c r="A34416" s="2" t="s">
        <v>860</v>
      </c>
    </row>
    <row r="34417" spans="1:1" ht="12.75">
      <c r="A34417" s="2" t="s">
        <v>860</v>
      </c>
    </row>
    <row r="34418" spans="1:1" ht="12.75">
      <c r="A34418" s="2" t="s">
        <v>924</v>
      </c>
    </row>
    <row r="34429" spans="1:1" ht="12.75">
      <c r="A34429" s="2" t="s">
        <v>861</v>
      </c>
    </row>
    <row r="34430" spans="1:1" ht="12.75">
      <c r="A34430" s="2" t="s">
        <v>859</v>
      </c>
    </row>
    <row r="34431" spans="1:1" ht="12.75">
      <c r="A34431" s="2" t="s">
        <v>859</v>
      </c>
    </row>
    <row r="34432" spans="1:1" ht="12.75">
      <c r="A34432" s="2" t="s">
        <v>269</v>
      </c>
    </row>
    <row r="34433" spans="1:1" ht="12.75">
      <c r="A34433" s="2" t="s">
        <v>859</v>
      </c>
    </row>
    <row r="34434" spans="1:1" ht="12.75">
      <c r="A34434" s="2" t="s">
        <v>269</v>
      </c>
    </row>
    <row r="34435" spans="1:1" ht="12.75">
      <c r="A34435" s="2" t="s">
        <v>270</v>
      </c>
    </row>
    <row r="34436" spans="1:1" ht="12.75">
      <c r="A34436" s="2" t="s">
        <v>273</v>
      </c>
    </row>
    <row r="34437" spans="1:1" ht="12.75">
      <c r="A34437" s="2" t="s">
        <v>268</v>
      </c>
    </row>
    <row r="34438" spans="1:1" ht="12.75">
      <c r="A34438" s="2" t="s">
        <v>269</v>
      </c>
    </row>
    <row r="34439" spans="1:1" ht="12.75">
      <c r="A34439" s="2" t="s">
        <v>269</v>
      </c>
    </row>
    <row r="34440" spans="1:1" ht="12.75">
      <c r="A34440" s="2" t="s">
        <v>268</v>
      </c>
    </row>
    <row r="34441" spans="1:1" ht="12.75">
      <c r="A34441" s="2" t="s">
        <v>268</v>
      </c>
    </row>
    <row r="34442" spans="1:1" ht="12.75">
      <c r="A34442" s="2" t="s">
        <v>270</v>
      </c>
    </row>
    <row r="34443" spans="1:1" ht="12.75">
      <c r="A34443" s="2" t="s">
        <v>270</v>
      </c>
    </row>
    <row r="34444" spans="1:1" ht="12.75">
      <c r="A34444" s="2" t="s">
        <v>271</v>
      </c>
    </row>
    <row r="34445" spans="1:1" ht="12.75">
      <c r="A34445" s="2" t="s">
        <v>269</v>
      </c>
    </row>
    <row r="34446" spans="1:1" ht="12.75">
      <c r="A34446" s="2" t="s">
        <v>271</v>
      </c>
    </row>
    <row r="34447" spans="1:1" ht="12.75">
      <c r="A34447" s="2" t="s">
        <v>859</v>
      </c>
    </row>
    <row r="34448" spans="1:1" ht="12.75">
      <c r="A34448" s="2" t="s">
        <v>270</v>
      </c>
    </row>
    <row r="34449" spans="1:1" ht="12.75">
      <c r="A34449" s="2" t="s">
        <v>268</v>
      </c>
    </row>
    <row r="34450" spans="1:1" ht="12.75">
      <c r="A34450" s="2" t="s">
        <v>270</v>
      </c>
    </row>
    <row r="34451" spans="1:1" ht="12.75">
      <c r="A34451" s="2" t="s">
        <v>273</v>
      </c>
    </row>
    <row r="34452" spans="1:1" ht="12.75">
      <c r="A34452" s="2" t="s">
        <v>268</v>
      </c>
    </row>
    <row r="34453" spans="1:1" ht="12.75">
      <c r="A34453" s="2" t="s">
        <v>271</v>
      </c>
    </row>
    <row r="34454" spans="1:1" ht="12.75">
      <c r="A34454" s="2" t="s">
        <v>271</v>
      </c>
    </row>
    <row r="34455" spans="1:1" ht="12.75">
      <c r="A34455" s="2" t="s">
        <v>860</v>
      </c>
    </row>
    <row r="34456" spans="1:1" ht="12.75">
      <c r="A34456" s="2" t="s">
        <v>859</v>
      </c>
    </row>
    <row r="34457" spans="1:1" ht="12.75">
      <c r="A34457" s="2" t="s">
        <v>269</v>
      </c>
    </row>
    <row r="34458" spans="1:1" ht="12.75">
      <c r="A34458" s="2" t="s">
        <v>269</v>
      </c>
    </row>
    <row r="34459" spans="1:1" ht="12.75">
      <c r="A34459" s="2" t="s">
        <v>269</v>
      </c>
    </row>
    <row r="34460" spans="1:1" ht="12.75">
      <c r="A34460" s="2" t="s">
        <v>860</v>
      </c>
    </row>
    <row r="34461" spans="1:1" ht="12.75">
      <c r="A34461" s="2" t="s">
        <v>860</v>
      </c>
    </row>
    <row r="34462" spans="1:1" ht="12.75">
      <c r="A34462" s="2" t="s">
        <v>270</v>
      </c>
    </row>
    <row r="34463" spans="1:1" ht="12.75">
      <c r="A34463" s="2" t="s">
        <v>269</v>
      </c>
    </row>
    <row r="34464" spans="1:1" ht="12.75">
      <c r="A34464" s="2" t="s">
        <v>273</v>
      </c>
    </row>
    <row r="34465" spans="1:1" ht="12.75">
      <c r="A34465" s="2" t="s">
        <v>273</v>
      </c>
    </row>
    <row r="34466" spans="1:1" ht="12.75">
      <c r="A34466" s="2" t="s">
        <v>268</v>
      </c>
    </row>
    <row r="34467" spans="1:1" ht="12.75">
      <c r="A34467" s="2" t="s">
        <v>269</v>
      </c>
    </row>
    <row r="34468" spans="1:1" ht="12.75">
      <c r="A34468" s="2" t="s">
        <v>268</v>
      </c>
    </row>
    <row r="34469" spans="1:1" ht="12.75">
      <c r="A34469" s="2" t="s">
        <v>269</v>
      </c>
    </row>
    <row r="34470" spans="1:1" ht="12.75">
      <c r="A34470" s="2" t="s">
        <v>860</v>
      </c>
    </row>
    <row r="34471" spans="1:1" ht="12.75">
      <c r="A34471" s="2" t="s">
        <v>271</v>
      </c>
    </row>
    <row r="34472" spans="1:1" ht="12.75">
      <c r="A34472" s="2" t="s">
        <v>863</v>
      </c>
    </row>
    <row r="34473" spans="1:1" ht="12.75">
      <c r="A34473" s="2" t="s">
        <v>268</v>
      </c>
    </row>
    <row r="34474" spans="1:1" ht="12.75">
      <c r="A34474" s="2" t="s">
        <v>922</v>
      </c>
    </row>
    <row r="34475" spans="1:1" ht="12.75">
      <c r="A34475" s="2" t="s">
        <v>922</v>
      </c>
    </row>
    <row r="34476" spans="1:1" ht="12.75">
      <c r="A34476" s="2" t="s">
        <v>922</v>
      </c>
    </row>
    <row r="34477" spans="1:1" ht="12.75">
      <c r="A34477" s="2" t="s">
        <v>273</v>
      </c>
    </row>
    <row r="34478" spans="1:1" ht="12.75">
      <c r="A34478" s="2" t="s">
        <v>269</v>
      </c>
    </row>
    <row r="34479" spans="1:1" ht="12.75">
      <c r="A34479" s="2" t="s">
        <v>268</v>
      </c>
    </row>
    <row r="34480" spans="1:1" ht="12.75">
      <c r="A34480" s="2" t="s">
        <v>269</v>
      </c>
    </row>
    <row r="34481" spans="1:1" ht="12.75">
      <c r="A34481" s="2" t="s">
        <v>272</v>
      </c>
    </row>
    <row r="34482" spans="1:1" ht="12.75">
      <c r="A34482" s="2" t="s">
        <v>268</v>
      </c>
    </row>
    <row r="34483" spans="1:1" ht="12.75">
      <c r="A34483" s="2" t="s">
        <v>924</v>
      </c>
    </row>
    <row r="34484" spans="1:1" ht="12.75">
      <c r="A34484" s="2" t="s">
        <v>272</v>
      </c>
    </row>
    <row r="34485" spans="1:1" ht="12.75">
      <c r="A34485" s="2" t="s">
        <v>272</v>
      </c>
    </row>
    <row r="34486" spans="1:1" ht="12.75">
      <c r="A34486" s="2" t="s">
        <v>924</v>
      </c>
    </row>
    <row r="34487" spans="1:1" ht="12.75">
      <c r="A34487" s="2" t="s">
        <v>861</v>
      </c>
    </row>
    <row r="34488" spans="1:1" ht="12.75">
      <c r="A34488" s="2" t="s">
        <v>859</v>
      </c>
    </row>
    <row r="34489" spans="1:1" ht="12.75">
      <c r="A34489" s="2" t="s">
        <v>923</v>
      </c>
    </row>
    <row r="34490" spans="1:1" ht="12.75">
      <c r="A34490" s="2" t="s">
        <v>859</v>
      </c>
    </row>
    <row r="34491" spans="1:1" ht="12.75">
      <c r="A34491" s="2" t="s">
        <v>860</v>
      </c>
    </row>
    <row r="34492" spans="1:1" ht="12.75">
      <c r="A34492" s="2" t="s">
        <v>923</v>
      </c>
    </row>
    <row r="34493" spans="1:1" ht="12.75">
      <c r="A34493" s="2" t="s">
        <v>859</v>
      </c>
    </row>
    <row r="34494" spans="1:1" ht="12.75">
      <c r="A34494" s="2" t="s">
        <v>860</v>
      </c>
    </row>
    <row r="34507" spans="1:1" ht="12.75">
      <c r="A34507" s="2" t="s">
        <v>923</v>
      </c>
    </row>
    <row r="34509" spans="1:1" ht="12.75">
      <c r="A34509" s="2" t="s">
        <v>273</v>
      </c>
    </row>
    <row r="34510" spans="1:1" ht="12.75">
      <c r="A34510" s="2" t="s">
        <v>923</v>
      </c>
    </row>
    <row r="34511" spans="1:1" ht="12.75">
      <c r="A34511" s="2" t="s">
        <v>270</v>
      </c>
    </row>
    <row r="34512" spans="1:1" ht="12.75">
      <c r="A34512" s="2" t="s">
        <v>922</v>
      </c>
    </row>
    <row r="34513" spans="1:1" ht="12.75">
      <c r="A34513" s="2" t="s">
        <v>922</v>
      </c>
    </row>
    <row r="34514" spans="1:1" ht="12.75">
      <c r="A34514" s="2" t="s">
        <v>270</v>
      </c>
    </row>
    <row r="34515" spans="1:1" ht="12.75">
      <c r="A34515" s="2" t="s">
        <v>268</v>
      </c>
    </row>
    <row r="34516" spans="1:1" ht="12.75">
      <c r="A34516" s="2" t="s">
        <v>922</v>
      </c>
    </row>
    <row r="34517" spans="1:1" ht="12.75">
      <c r="A34517" s="2" t="s">
        <v>923</v>
      </c>
    </row>
    <row r="34519" spans="1:1" ht="12.75">
      <c r="A34519" s="2" t="s">
        <v>271</v>
      </c>
    </row>
    <row r="34520" spans="1:1" ht="12.75">
      <c r="A34520" s="2" t="s">
        <v>1207</v>
      </c>
    </row>
    <row r="34521" spans="1:1" ht="12.75">
      <c r="A34521" s="2" t="s">
        <v>861</v>
      </c>
    </row>
    <row r="34522" spans="1:1" ht="12.75">
      <c r="A34522" s="2" t="s">
        <v>273</v>
      </c>
    </row>
    <row r="34523" spans="1:1" ht="12.75">
      <c r="A34523" s="2" t="s">
        <v>924</v>
      </c>
    </row>
    <row r="34524" spans="1:1" ht="12.75">
      <c r="A34524" s="2" t="s">
        <v>861</v>
      </c>
    </row>
    <row r="34525" spans="1:1" ht="12.75">
      <c r="A34525" s="2" t="s">
        <v>270</v>
      </c>
    </row>
    <row r="34526" spans="1:1" ht="12.75">
      <c r="A34526" s="2" t="s">
        <v>860</v>
      </c>
    </row>
    <row r="34527" spans="1:1" ht="12.75">
      <c r="A34527" s="2" t="s">
        <v>924</v>
      </c>
    </row>
    <row r="34528" spans="1:1" ht="12.75">
      <c r="A34528" s="2" t="s">
        <v>270</v>
      </c>
    </row>
    <row r="34529" spans="1:1" ht="12.75">
      <c r="A34529" s="2" t="s">
        <v>269</v>
      </c>
    </row>
    <row r="34530" spans="1:1" ht="12.75">
      <c r="A34530" s="2" t="s">
        <v>273</v>
      </c>
    </row>
    <row r="34531" spans="1:1" ht="12.75">
      <c r="A34531" s="2" t="s">
        <v>273</v>
      </c>
    </row>
    <row r="34532" spans="1:1" ht="12.75">
      <c r="A34532" s="2" t="s">
        <v>270</v>
      </c>
    </row>
    <row r="34533" spans="1:1" ht="12.75">
      <c r="A34533" s="2" t="s">
        <v>271</v>
      </c>
    </row>
    <row r="34534" spans="1:1" ht="12.75">
      <c r="A34534" s="2" t="s">
        <v>271</v>
      </c>
    </row>
    <row r="34535" spans="1:1" ht="12.75">
      <c r="A34535" s="2" t="s">
        <v>922</v>
      </c>
    </row>
    <row r="34536" spans="1:1" ht="12.75">
      <c r="A34536" s="2" t="s">
        <v>922</v>
      </c>
    </row>
    <row r="34537" spans="1:1" ht="12.75">
      <c r="A34537" s="2" t="s">
        <v>922</v>
      </c>
    </row>
    <row r="34538" spans="1:1" ht="12.75">
      <c r="A34538" s="2" t="s">
        <v>922</v>
      </c>
    </row>
    <row r="34539" spans="1:1" ht="12.75">
      <c r="A34539" s="2" t="s">
        <v>922</v>
      </c>
    </row>
    <row r="34540" spans="1:1" ht="12.75">
      <c r="A34540" s="2" t="s">
        <v>922</v>
      </c>
    </row>
    <row r="34541" spans="1:1" ht="12.75">
      <c r="A34541" s="2" t="s">
        <v>922</v>
      </c>
    </row>
    <row r="34542" spans="1:1" ht="12.75">
      <c r="A34542" s="2" t="s">
        <v>861</v>
      </c>
    </row>
    <row r="34543" spans="1:1" ht="12.75">
      <c r="A34543" s="2" t="s">
        <v>861</v>
      </c>
    </row>
    <row r="34544" spans="1:1" ht="12.75">
      <c r="A34544" s="2" t="s">
        <v>924</v>
      </c>
    </row>
    <row r="34545" spans="1:1" ht="12.75">
      <c r="A34545" s="2" t="s">
        <v>924</v>
      </c>
    </row>
    <row r="34546" spans="1:1" ht="12.75">
      <c r="A34546" s="2" t="s">
        <v>924</v>
      </c>
    </row>
    <row r="34547" spans="1:1" ht="12.75">
      <c r="A34547" s="2" t="s">
        <v>860</v>
      </c>
    </row>
    <row r="34548" spans="1:1" ht="12.75">
      <c r="A34548" s="2" t="s">
        <v>860</v>
      </c>
    </row>
    <row r="34549" spans="1:1" ht="12.75">
      <c r="A34549" s="2" t="s">
        <v>924</v>
      </c>
    </row>
    <row r="34550" spans="1:1" ht="12.75">
      <c r="A34550" s="2" t="s">
        <v>924</v>
      </c>
    </row>
    <row r="34551" spans="1:1" ht="12.75">
      <c r="A34551" s="2" t="s">
        <v>269</v>
      </c>
    </row>
    <row r="34552" spans="1:1" ht="12.75">
      <c r="A34552" s="2" t="s">
        <v>268</v>
      </c>
    </row>
    <row r="34553" spans="1:1" ht="12.75">
      <c r="A34553" s="2" t="s">
        <v>271</v>
      </c>
    </row>
    <row r="34554" spans="1:1" ht="12.75">
      <c r="A34554" s="2" t="s">
        <v>923</v>
      </c>
    </row>
    <row r="34555" spans="1:1" ht="12.75">
      <c r="A34555" s="2" t="s">
        <v>923</v>
      </c>
    </row>
    <row r="34556" spans="1:1" ht="12.75">
      <c r="A34556" s="2" t="s">
        <v>273</v>
      </c>
    </row>
    <row r="34557" spans="1:1" ht="12.75">
      <c r="A34557" s="2" t="s">
        <v>860</v>
      </c>
    </row>
    <row r="34558" spans="1:1" ht="12.75">
      <c r="A34558" s="2" t="s">
        <v>922</v>
      </c>
    </row>
    <row r="34559" spans="1:1" ht="12.75">
      <c r="A34559" s="2" t="s">
        <v>859</v>
      </c>
    </row>
    <row r="34560" spans="1:1" ht="12.75">
      <c r="A34560" s="2" t="s">
        <v>861</v>
      </c>
    </row>
    <row r="34561" spans="1:1" ht="12.75">
      <c r="A34561" s="2" t="s">
        <v>861</v>
      </c>
    </row>
    <row r="34562" spans="1:1" ht="12.75">
      <c r="A34562" s="2" t="s">
        <v>860</v>
      </c>
    </row>
    <row r="34563" spans="1:1" ht="12.75">
      <c r="A34563" s="2" t="s">
        <v>860</v>
      </c>
    </row>
    <row r="34564" spans="1:1" ht="12.75">
      <c r="A34564" s="2" t="s">
        <v>859</v>
      </c>
    </row>
    <row r="34565" spans="1:1" ht="12.75">
      <c r="A34565" s="2" t="s">
        <v>924</v>
      </c>
    </row>
    <row r="34566" spans="1:1" ht="12.75">
      <c r="A34566" s="2" t="s">
        <v>924</v>
      </c>
    </row>
    <row r="34567" spans="1:1" ht="12.75">
      <c r="A34567" s="2" t="s">
        <v>269</v>
      </c>
    </row>
    <row r="34568" spans="1:1" ht="12.75">
      <c r="A34568" s="2" t="s">
        <v>861</v>
      </c>
    </row>
    <row r="34569" spans="1:1" ht="12.75">
      <c r="A34569" s="2" t="s">
        <v>861</v>
      </c>
    </row>
    <row r="34570" spans="1:1" ht="12.75">
      <c r="A34570" s="2" t="s">
        <v>270</v>
      </c>
    </row>
    <row r="34571" spans="1:1" ht="12.75">
      <c r="A34571" s="2" t="s">
        <v>270</v>
      </c>
    </row>
    <row r="34572" spans="1:1" ht="12.75">
      <c r="A34572" s="2" t="s">
        <v>273</v>
      </c>
    </row>
    <row r="34573" spans="1:1" ht="12.75">
      <c r="A34573" s="2" t="s">
        <v>273</v>
      </c>
    </row>
    <row r="34574" spans="1:1" ht="12.75">
      <c r="A34574" s="2" t="s">
        <v>861</v>
      </c>
    </row>
    <row r="34575" spans="1:1" ht="12.75">
      <c r="A34575" s="2" t="s">
        <v>269</v>
      </c>
    </row>
    <row r="34576" spans="1:1" ht="12.75">
      <c r="A34576" s="2" t="s">
        <v>269</v>
      </c>
    </row>
    <row r="34577" spans="1:1" ht="12.75">
      <c r="A34577" s="2" t="s">
        <v>269</v>
      </c>
    </row>
    <row r="34578" spans="1:1" ht="12.75">
      <c r="A34578" s="2" t="s">
        <v>269</v>
      </c>
    </row>
    <row r="34579" spans="1:1" ht="12.75">
      <c r="A34579" s="2" t="s">
        <v>269</v>
      </c>
    </row>
    <row r="34580" spans="1:1" ht="12.75">
      <c r="A34580" s="2" t="s">
        <v>270</v>
      </c>
    </row>
    <row r="34581" spans="1:1" ht="12.75">
      <c r="A34581" s="2" t="s">
        <v>268</v>
      </c>
    </row>
    <row r="34582" spans="1:1" ht="12.75">
      <c r="A34582" s="2" t="s">
        <v>270</v>
      </c>
    </row>
    <row r="34583" spans="1:1" ht="12.75">
      <c r="A34583" s="2" t="s">
        <v>271</v>
      </c>
    </row>
    <row r="34584" spans="1:1" ht="12.75">
      <c r="A34584" s="2" t="s">
        <v>271</v>
      </c>
    </row>
    <row r="34585" spans="1:1" ht="12.75">
      <c r="A34585" s="2" t="s">
        <v>270</v>
      </c>
    </row>
    <row r="34586" spans="1:1" ht="12.75">
      <c r="A34586" s="2" t="s">
        <v>270</v>
      </c>
    </row>
    <row r="34587" spans="1:1" ht="12.75">
      <c r="A34587" s="2" t="s">
        <v>861</v>
      </c>
    </row>
    <row r="34588" spans="1:1" ht="12.75">
      <c r="A34588" s="2" t="s">
        <v>273</v>
      </c>
    </row>
    <row r="34589" spans="1:1" ht="12.75">
      <c r="A34589" s="2" t="s">
        <v>273</v>
      </c>
    </row>
    <row r="34590" spans="1:1" ht="12.75">
      <c r="A34590" s="2" t="s">
        <v>922</v>
      </c>
    </row>
    <row r="34591" spans="1:1" ht="12.75">
      <c r="A34591" s="2" t="s">
        <v>922</v>
      </c>
    </row>
    <row r="34594" spans="1:1" ht="12.75">
      <c r="A34594" s="2" t="s">
        <v>269</v>
      </c>
    </row>
    <row r="34595" spans="1:1" ht="12.75">
      <c r="A34595" s="2" t="s">
        <v>269</v>
      </c>
    </row>
    <row r="34596" spans="1:1" ht="12.75">
      <c r="A34596" s="2" t="s">
        <v>860</v>
      </c>
    </row>
    <row r="34597" spans="1:1" ht="12.75">
      <c r="A34597" s="2" t="s">
        <v>272</v>
      </c>
    </row>
    <row r="34598" spans="1:1" ht="12.75">
      <c r="A34598" s="2" t="s">
        <v>272</v>
      </c>
    </row>
    <row r="34599" spans="1:1" ht="12.75">
      <c r="A34599" s="2" t="s">
        <v>268</v>
      </c>
    </row>
    <row r="34601" spans="1:1" ht="12.75">
      <c r="A34601" s="2" t="s">
        <v>268</v>
      </c>
    </row>
    <row r="34604" spans="1:1" ht="12.75">
      <c r="A34604" s="2" t="s">
        <v>924</v>
      </c>
    </row>
    <row r="34605" spans="1:1" ht="12.75">
      <c r="A34605" s="2" t="s">
        <v>924</v>
      </c>
    </row>
    <row r="34606" spans="1:1" ht="12.75">
      <c r="A34606" s="2" t="s">
        <v>924</v>
      </c>
    </row>
    <row r="34607" spans="1:1" ht="12.75">
      <c r="A34607" s="2" t="s">
        <v>922</v>
      </c>
    </row>
    <row r="34608" spans="1:1" ht="12.75">
      <c r="A34608" s="2" t="s">
        <v>922</v>
      </c>
    </row>
    <row r="34609" spans="1:1" ht="12.75">
      <c r="A34609" s="2" t="s">
        <v>922</v>
      </c>
    </row>
    <row r="34611" spans="1:1" ht="12.75">
      <c r="A34611" s="2" t="s">
        <v>860</v>
      </c>
    </row>
    <row r="34612" spans="1:1" ht="12.75">
      <c r="A34612" s="2" t="s">
        <v>268</v>
      </c>
    </row>
    <row r="34613" spans="1:1" ht="12.75">
      <c r="A34613" s="2" t="s">
        <v>271</v>
      </c>
    </row>
    <row r="34614" spans="1:1" ht="12.75">
      <c r="A34614" s="2" t="s">
        <v>863</v>
      </c>
    </row>
    <row r="34616" spans="1:1" ht="12.75">
      <c r="A34616" s="2" t="s">
        <v>272</v>
      </c>
    </row>
    <row r="34617" spans="1:1" ht="12.75">
      <c r="A34617" s="2" t="s">
        <v>273</v>
      </c>
    </row>
    <row r="34618" spans="1:1" ht="12.75">
      <c r="A34618" s="2" t="s">
        <v>273</v>
      </c>
    </row>
    <row r="34619" spans="1:1" ht="12.75">
      <c r="A34619" s="2" t="s">
        <v>269</v>
      </c>
    </row>
    <row r="34620" spans="1:1" ht="12.75">
      <c r="A34620" s="2" t="s">
        <v>269</v>
      </c>
    </row>
    <row r="34621" spans="1:1" ht="12.75">
      <c r="A34621" s="2" t="s">
        <v>269</v>
      </c>
    </row>
    <row r="34622" spans="1:1" ht="12.75">
      <c r="A34622" s="2" t="s">
        <v>268</v>
      </c>
    </row>
    <row r="34623" spans="1:1" ht="12.75">
      <c r="A34623" s="2" t="s">
        <v>273</v>
      </c>
    </row>
    <row r="34624" spans="1:1" ht="12.75">
      <c r="A34624" s="2" t="s">
        <v>268</v>
      </c>
    </row>
    <row r="34625" spans="1:1" ht="12.75">
      <c r="A34625" s="2" t="s">
        <v>922</v>
      </c>
    </row>
    <row r="34626" spans="1:1" ht="12.75">
      <c r="A34626" s="2" t="s">
        <v>922</v>
      </c>
    </row>
    <row r="34627" spans="1:1" ht="12.75">
      <c r="A34627" s="2" t="s">
        <v>922</v>
      </c>
    </row>
    <row r="34628" spans="1:1" ht="12.75">
      <c r="A34628" s="2" t="s">
        <v>861</v>
      </c>
    </row>
    <row r="34629" spans="1:1" ht="12.75">
      <c r="A34629" s="2" t="s">
        <v>377</v>
      </c>
    </row>
    <row r="34630" spans="1:1" ht="12.75">
      <c r="A34630" s="2" t="s">
        <v>377</v>
      </c>
    </row>
    <row r="34631" spans="1:1" ht="12.75">
      <c r="A34631" s="2" t="s">
        <v>377</v>
      </c>
    </row>
    <row r="34632" spans="1:1" ht="12.75">
      <c r="A34632" s="2" t="s">
        <v>377</v>
      </c>
    </row>
    <row r="34633" spans="1:1" ht="12.75">
      <c r="A34633" s="2" t="s">
        <v>377</v>
      </c>
    </row>
    <row r="34634" spans="1:1" ht="12.75">
      <c r="A34634" s="2" t="s">
        <v>377</v>
      </c>
    </row>
    <row r="34635" spans="1:1" ht="12.75">
      <c r="A34635" s="2" t="s">
        <v>377</v>
      </c>
    </row>
    <row r="34636" spans="1:1" ht="12.75">
      <c r="A34636" s="2" t="s">
        <v>377</v>
      </c>
    </row>
    <row r="34637" spans="1:1" ht="12.75">
      <c r="A34637" s="2" t="s">
        <v>377</v>
      </c>
    </row>
    <row r="34638" spans="1:1" ht="12.75">
      <c r="A34638" s="2" t="s">
        <v>377</v>
      </c>
    </row>
    <row r="34639" spans="1:1" ht="12.75">
      <c r="A34639" s="2" t="s">
        <v>759</v>
      </c>
    </row>
    <row r="34640" spans="1:1" ht="12.75">
      <c r="A34640" s="2" t="s">
        <v>760</v>
      </c>
    </row>
    <row r="34641" spans="1:1" ht="12.75">
      <c r="A34641" s="2" t="s">
        <v>760</v>
      </c>
    </row>
    <row r="34642" spans="1:1" ht="12.75">
      <c r="A34642" s="2" t="s">
        <v>760</v>
      </c>
    </row>
    <row r="34643" spans="1:1" ht="12.75">
      <c r="A34643" s="2" t="s">
        <v>760</v>
      </c>
    </row>
    <row r="34645" spans="1:1" ht="12.75">
      <c r="A34645" s="2" t="s">
        <v>760</v>
      </c>
    </row>
    <row r="34646" spans="1:1" ht="12.75">
      <c r="A34646" s="2" t="s">
        <v>760</v>
      </c>
    </row>
    <row r="34647" spans="1:1" ht="12.75">
      <c r="A34647" s="2" t="s">
        <v>759</v>
      </c>
    </row>
    <row r="34648" spans="1:1" ht="12.75">
      <c r="A34648" s="2" t="s">
        <v>1248</v>
      </c>
    </row>
    <row r="34649" spans="1:1" ht="12.75">
      <c r="A34649" s="2" t="s">
        <v>759</v>
      </c>
    </row>
    <row r="34650" spans="1:1" ht="12.75">
      <c r="A34650" s="2" t="s">
        <v>759</v>
      </c>
    </row>
    <row r="34651" spans="1:1" ht="12.75">
      <c r="A34651" s="2" t="s">
        <v>759</v>
      </c>
    </row>
    <row r="34653" spans="1:1" ht="12.75">
      <c r="A34653" s="2" t="s">
        <v>759</v>
      </c>
    </row>
    <row r="34658" spans="1:1" ht="12.75">
      <c r="A34658" s="2" t="s">
        <v>985</v>
      </c>
    </row>
    <row r="34659" spans="1:1" ht="12.75">
      <c r="A34659" s="2" t="s">
        <v>985</v>
      </c>
    </row>
    <row r="34660" spans="1:1" ht="12.75">
      <c r="A34660" s="2" t="s">
        <v>985</v>
      </c>
    </row>
    <row r="34661" spans="1:1" ht="12.75">
      <c r="A34661" s="2" t="s">
        <v>984</v>
      </c>
    </row>
    <row r="34662" spans="1:1" ht="12.75">
      <c r="A34662" s="2" t="s">
        <v>414</v>
      </c>
    </row>
    <row r="34663" spans="1:1" ht="12.75">
      <c r="A34663" s="2" t="s">
        <v>414</v>
      </c>
    </row>
    <row r="34664" spans="1:1" ht="12.75">
      <c r="A34664" s="2" t="s">
        <v>985</v>
      </c>
    </row>
    <row r="34665" spans="1:1" ht="12.75">
      <c r="A34665" s="2" t="s">
        <v>985</v>
      </c>
    </row>
    <row r="34666" spans="1:1" ht="12.75">
      <c r="A34666" s="2" t="s">
        <v>985</v>
      </c>
    </row>
    <row r="34667" spans="1:1" ht="12.75">
      <c r="A34667" s="2" t="s">
        <v>1249</v>
      </c>
    </row>
    <row r="35168" spans="1:1" ht="12.75">
      <c r="A35168" s="2" t="s">
        <v>157</v>
      </c>
    </row>
    <row r="35169" spans="1:1" ht="12.75">
      <c r="A35169" s="2" t="s">
        <v>339</v>
      </c>
    </row>
    <row r="35170" spans="1:1" ht="12.75">
      <c r="A35170" s="2" t="s">
        <v>157</v>
      </c>
    </row>
    <row r="35171" spans="1:1" ht="12.75">
      <c r="A35171" s="2" t="s">
        <v>339</v>
      </c>
    </row>
    <row r="35172" spans="1:1" ht="12.75">
      <c r="A35172" s="2" t="s">
        <v>1250</v>
      </c>
    </row>
    <row r="35173" spans="1:1" ht="12.75">
      <c r="A35173" s="2" t="s">
        <v>905</v>
      </c>
    </row>
    <row r="35175" spans="1:1" ht="12.75">
      <c r="A35175" s="2" t="s">
        <v>157</v>
      </c>
    </row>
    <row r="35177" spans="1:1" ht="12.75">
      <c r="A35177" s="2" t="s">
        <v>1251</v>
      </c>
    </row>
    <row r="35178" spans="1:1" ht="12.75">
      <c r="A35178" s="2" t="s">
        <v>1251</v>
      </c>
    </row>
    <row r="35179" spans="1:1" ht="12.75">
      <c r="A35179" s="2" t="s">
        <v>605</v>
      </c>
    </row>
    <row r="35180" spans="1:1" ht="12.75">
      <c r="A35180" s="2" t="s">
        <v>605</v>
      </c>
    </row>
    <row r="35181" spans="1:1" ht="12.75">
      <c r="A35181" s="2" t="s">
        <v>605</v>
      </c>
    </row>
    <row r="35182" spans="1:1" ht="12.75">
      <c r="A35182" s="2" t="s">
        <v>605</v>
      </c>
    </row>
    <row r="35183" spans="1:1" ht="12.75">
      <c r="A35183" s="2" t="s">
        <v>605</v>
      </c>
    </row>
    <row r="35184" spans="1:1" ht="12.75">
      <c r="A35184" s="2" t="s">
        <v>605</v>
      </c>
    </row>
    <row r="35185" spans="1:1" ht="12.75">
      <c r="A35185" s="2" t="s">
        <v>605</v>
      </c>
    </row>
    <row r="35187" spans="1:1" ht="12.75">
      <c r="A35187" s="2" t="s">
        <v>1252</v>
      </c>
    </row>
    <row r="35190" spans="1:1" ht="12.75">
      <c r="A35190" s="2" t="s">
        <v>294</v>
      </c>
    </row>
    <row r="35191" spans="1:1" ht="12.75">
      <c r="A35191" s="2" t="s">
        <v>294</v>
      </c>
    </row>
    <row r="35192" spans="1:1" ht="12.75">
      <c r="A35192" s="2" t="s">
        <v>294</v>
      </c>
    </row>
    <row r="35193" spans="1:1" ht="12.75">
      <c r="A35193" s="2" t="s">
        <v>294</v>
      </c>
    </row>
    <row r="35194" spans="1:1" ht="12.75">
      <c r="A35194" s="2" t="s">
        <v>294</v>
      </c>
    </row>
    <row r="35195" spans="1:1" ht="12.75">
      <c r="A35195" s="2" t="s">
        <v>294</v>
      </c>
    </row>
    <row r="35196" spans="1:1" ht="12.75">
      <c r="A35196" s="2" t="s">
        <v>294</v>
      </c>
    </row>
    <row r="35197" spans="1:1" ht="12.75">
      <c r="A35197" s="2" t="s">
        <v>294</v>
      </c>
    </row>
    <row r="35198" spans="1:1" ht="12.75">
      <c r="A35198" s="2" t="s">
        <v>294</v>
      </c>
    </row>
    <row r="35199" spans="1:1" ht="12.75">
      <c r="A35199" s="2" t="s">
        <v>294</v>
      </c>
    </row>
    <row r="35202" spans="1:1" ht="12.75">
      <c r="A35202" s="2" t="s">
        <v>1150</v>
      </c>
    </row>
    <row r="35203" spans="1:1" ht="12.75">
      <c r="A35203" s="2" t="s">
        <v>1253</v>
      </c>
    </row>
    <row r="35218" spans="1:1" ht="12.75">
      <c r="A35218" s="2" t="s">
        <v>867</v>
      </c>
    </row>
    <row r="35223" spans="1:1" ht="12.75">
      <c r="A35223" s="2" t="s">
        <v>288</v>
      </c>
    </row>
    <row r="35224" spans="1:1" ht="12.75">
      <c r="A35224" s="2" t="s">
        <v>290</v>
      </c>
    </row>
    <row r="35225" spans="1:1" ht="12.75">
      <c r="A35225" s="2" t="s">
        <v>289</v>
      </c>
    </row>
    <row r="35226" spans="1:1" ht="12.75">
      <c r="A35226" s="2" t="s">
        <v>289</v>
      </c>
    </row>
    <row r="35227" spans="1:1" ht="12.75">
      <c r="A35227" s="2" t="s">
        <v>289</v>
      </c>
    </row>
    <row r="35229" spans="1:1" ht="12.75">
      <c r="A35229" s="2" t="s">
        <v>299</v>
      </c>
    </row>
    <row r="35230" spans="1:1" ht="12.75">
      <c r="A35230" s="2" t="s">
        <v>377</v>
      </c>
    </row>
    <row r="35231" spans="1:1" ht="12.75">
      <c r="A35231" s="2" t="s">
        <v>1157</v>
      </c>
    </row>
    <row r="35232" spans="1:1" ht="12.75">
      <c r="A35232" s="2" t="s">
        <v>291</v>
      </c>
    </row>
    <row r="35233" spans="1:1" ht="12.75">
      <c r="A35233" s="2" t="s">
        <v>291</v>
      </c>
    </row>
    <row r="35234" spans="1:1" ht="12.75">
      <c r="A35234" s="2" t="s">
        <v>762</v>
      </c>
    </row>
    <row r="35236" spans="1:1" ht="12.75">
      <c r="A35236" s="2" t="s">
        <v>1157</v>
      </c>
    </row>
    <row r="35237" spans="1:1" ht="12.75">
      <c r="A35237" s="2" t="s">
        <v>296</v>
      </c>
    </row>
    <row r="35238" spans="1:1" ht="12.75">
      <c r="A35238" s="2" t="s">
        <v>296</v>
      </c>
    </row>
    <row r="35239" spans="1:1" ht="12.75">
      <c r="A35239" s="2" t="s">
        <v>762</v>
      </c>
    </row>
    <row r="35240" spans="1:1" ht="12.75">
      <c r="A35240" s="2" t="s">
        <v>762</v>
      </c>
    </row>
    <row r="35242" spans="1:1" ht="12.75">
      <c r="A35242" s="2" t="s">
        <v>292</v>
      </c>
    </row>
    <row r="35243" spans="1:1" ht="12.75">
      <c r="A35243" s="2" t="s">
        <v>292</v>
      </c>
    </row>
    <row r="35244" spans="1:1" ht="12.75">
      <c r="A35244" s="2" t="s">
        <v>299</v>
      </c>
    </row>
    <row r="35245" spans="1:1" ht="12.75">
      <c r="A35245" s="2" t="s">
        <v>1254</v>
      </c>
    </row>
    <row r="35246" spans="1:1" ht="12.75">
      <c r="A35246" s="2" t="s">
        <v>297</v>
      </c>
    </row>
    <row r="35247" spans="1:1" ht="12.75">
      <c r="A35247" s="2" t="s">
        <v>297</v>
      </c>
    </row>
    <row r="35248" spans="1:1" ht="12.75">
      <c r="A35248" s="2" t="s">
        <v>762</v>
      </c>
    </row>
    <row r="35249" spans="1:1" ht="12.75">
      <c r="A35249" s="2" t="s">
        <v>762</v>
      </c>
    </row>
    <row r="35253" spans="1:1" ht="12.75">
      <c r="A35253" s="2" t="s">
        <v>762</v>
      </c>
    </row>
    <row r="35254" spans="1:1" ht="12.75">
      <c r="A35254" s="2" t="s">
        <v>1000</v>
      </c>
    </row>
    <row r="35255" spans="1:1" ht="12.75">
      <c r="A35255" s="2" t="s">
        <v>753</v>
      </c>
    </row>
    <row r="35256" spans="1:1" ht="12.75">
      <c r="A35256" s="2" t="s">
        <v>753</v>
      </c>
    </row>
    <row r="35257" spans="1:1" ht="12.75">
      <c r="A35257" s="2" t="s">
        <v>753</v>
      </c>
    </row>
    <row r="35258" spans="1:1" ht="12.75">
      <c r="A35258" s="2" t="s">
        <v>752</v>
      </c>
    </row>
    <row r="35259" spans="1:1" ht="12.75">
      <c r="A35259" s="2" t="s">
        <v>184</v>
      </c>
    </row>
    <row r="35260" spans="1:1" ht="12.75">
      <c r="A35260" s="2" t="s">
        <v>752</v>
      </c>
    </row>
    <row r="35261" spans="1:1" ht="12.75">
      <c r="A35261" s="2" t="s">
        <v>764</v>
      </c>
    </row>
    <row r="35262" spans="1:1" ht="12.75">
      <c r="A35262" s="2" t="s">
        <v>752</v>
      </c>
    </row>
    <row r="35263" spans="1:1" ht="12.75">
      <c r="A35263" s="2" t="s">
        <v>752</v>
      </c>
    </row>
    <row r="35264" spans="1:1" ht="12.75">
      <c r="A35264" s="2" t="s">
        <v>184</v>
      </c>
    </row>
    <row r="35265" spans="1:1" ht="12.75">
      <c r="A35265" s="2" t="s">
        <v>753</v>
      </c>
    </row>
    <row r="35266" spans="1:1" ht="12.75">
      <c r="A35266" s="2" t="s">
        <v>752</v>
      </c>
    </row>
    <row r="35267" spans="1:1" ht="12.75">
      <c r="A35267" s="2" t="s">
        <v>1000</v>
      </c>
    </row>
    <row r="35268" spans="1:1" ht="12.75">
      <c r="A35268" s="2" t="s">
        <v>752</v>
      </c>
    </row>
    <row r="35269" spans="1:1" ht="12.75">
      <c r="A35269" s="2" t="s">
        <v>752</v>
      </c>
    </row>
    <row r="35270" spans="1:1" ht="12.75">
      <c r="A35270" s="2" t="s">
        <v>1000</v>
      </c>
    </row>
    <row r="35271" spans="1:1" ht="12.75">
      <c r="A35271" s="2" t="s">
        <v>184</v>
      </c>
    </row>
    <row r="35272" spans="1:1" ht="12.75">
      <c r="A35272" s="2" t="s">
        <v>753</v>
      </c>
    </row>
    <row r="35273" spans="1:1" ht="12.75">
      <c r="A35273" s="2" t="s">
        <v>753</v>
      </c>
    </row>
    <row r="35274" spans="1:1" ht="12.75">
      <c r="A35274" s="2" t="s">
        <v>1000</v>
      </c>
    </row>
    <row r="35275" spans="1:1" ht="12.75">
      <c r="A35275" s="2" t="s">
        <v>753</v>
      </c>
    </row>
    <row r="35276" spans="1:1" ht="12.75">
      <c r="A35276" s="2" t="s">
        <v>753</v>
      </c>
    </row>
    <row r="35277" spans="1:1" ht="12.75">
      <c r="A35277" s="2" t="s">
        <v>753</v>
      </c>
    </row>
    <row r="35278" spans="1:1" ht="12.75">
      <c r="A35278" s="2" t="s">
        <v>1000</v>
      </c>
    </row>
    <row r="35279" spans="1:1" ht="12.75">
      <c r="A35279" s="2" t="s">
        <v>1255</v>
      </c>
    </row>
    <row r="35280" spans="1:1" ht="12.75">
      <c r="A35280" s="2" t="s">
        <v>764</v>
      </c>
    </row>
    <row r="35281" spans="1:1" ht="12.75">
      <c r="A35281" s="2" t="s">
        <v>752</v>
      </c>
    </row>
    <row r="35282" spans="1:1" ht="12.75">
      <c r="A35282" s="2" t="s">
        <v>753</v>
      </c>
    </row>
    <row r="35283" spans="1:1" ht="12.75">
      <c r="A35283" s="2" t="s">
        <v>753</v>
      </c>
    </row>
    <row r="35284" spans="1:1" ht="12.75">
      <c r="A35284" s="2" t="s">
        <v>764</v>
      </c>
    </row>
    <row r="35285" spans="1:1" ht="12.75">
      <c r="A35285" s="2" t="s">
        <v>752</v>
      </c>
    </row>
    <row r="35286" spans="1:1" ht="12.75">
      <c r="A35286" s="2" t="s">
        <v>753</v>
      </c>
    </row>
    <row r="35287" spans="1:1" ht="12.75">
      <c r="A35287" s="2" t="s">
        <v>753</v>
      </c>
    </row>
    <row r="35288" spans="1:1" ht="12.75">
      <c r="A35288" s="2" t="s">
        <v>753</v>
      </c>
    </row>
    <row r="35289" spans="1:1" ht="12.75">
      <c r="A35289" s="2" t="s">
        <v>753</v>
      </c>
    </row>
    <row r="35290" spans="1:1" ht="12.75">
      <c r="A35290" s="2" t="s">
        <v>753</v>
      </c>
    </row>
    <row r="35291" spans="1:1" ht="12.75">
      <c r="A35291" s="2" t="s">
        <v>753</v>
      </c>
    </row>
    <row r="35292" spans="1:1" ht="12.75">
      <c r="A35292" s="2" t="s">
        <v>1000</v>
      </c>
    </row>
    <row r="35293" spans="1:1" ht="12.75">
      <c r="A35293" s="2" t="s">
        <v>1000</v>
      </c>
    </row>
    <row r="35294" spans="1:1" ht="12.75">
      <c r="A35294" s="2" t="s">
        <v>1000</v>
      </c>
    </row>
    <row r="35295" spans="1:1" ht="12.75">
      <c r="A35295" s="2" t="s">
        <v>1000</v>
      </c>
    </row>
    <row r="35296" spans="1:1" ht="12.75">
      <c r="A35296" s="2" t="s">
        <v>1000</v>
      </c>
    </row>
    <row r="35297" spans="1:1" ht="12.75">
      <c r="A35297" s="2" t="s">
        <v>1000</v>
      </c>
    </row>
    <row r="35298" spans="1:1" ht="12.75">
      <c r="A35298" s="2" t="s">
        <v>1000</v>
      </c>
    </row>
    <row r="35299" spans="1:1" ht="12.75">
      <c r="A35299" s="2" t="s">
        <v>1000</v>
      </c>
    </row>
    <row r="35300" spans="1:1" ht="12.75">
      <c r="A35300" s="2" t="s">
        <v>753</v>
      </c>
    </row>
    <row r="35301" spans="1:1" ht="12.75">
      <c r="A35301" s="2" t="s">
        <v>753</v>
      </c>
    </row>
    <row r="35302" spans="1:1" ht="12.75">
      <c r="A35302" s="2" t="s">
        <v>752</v>
      </c>
    </row>
    <row r="35303" spans="1:1" ht="12.75">
      <c r="A35303" s="2" t="s">
        <v>764</v>
      </c>
    </row>
    <row r="35304" spans="1:1" ht="12.75">
      <c r="A35304" s="2" t="s">
        <v>1000</v>
      </c>
    </row>
    <row r="35305" spans="1:1" ht="12.75">
      <c r="A35305" s="2" t="s">
        <v>1000</v>
      </c>
    </row>
    <row r="35306" spans="1:1" ht="12.75">
      <c r="A35306" s="2" t="s">
        <v>753</v>
      </c>
    </row>
    <row r="35307" spans="1:1" ht="12.75">
      <c r="A35307" s="2" t="s">
        <v>753</v>
      </c>
    </row>
    <row r="35308" spans="1:1" ht="12.75">
      <c r="A35308" s="2" t="s">
        <v>752</v>
      </c>
    </row>
    <row r="35309" spans="1:1" ht="12.75">
      <c r="A35309" s="2" t="s">
        <v>752</v>
      </c>
    </row>
    <row r="35310" spans="1:1" ht="12.75">
      <c r="A35310" s="2" t="s">
        <v>753</v>
      </c>
    </row>
    <row r="35311" spans="1:1" ht="12.75">
      <c r="A35311" s="2" t="s">
        <v>753</v>
      </c>
    </row>
    <row r="35312" spans="1:1" ht="12.75">
      <c r="A35312" s="2" t="s">
        <v>764</v>
      </c>
    </row>
    <row r="35313" spans="1:1" ht="12.75">
      <c r="A35313" s="2" t="s">
        <v>764</v>
      </c>
    </row>
    <row r="35314" spans="1:1" ht="12.75">
      <c r="A35314" s="2" t="s">
        <v>1000</v>
      </c>
    </row>
    <row r="35315" spans="1:1" ht="12.75">
      <c r="A35315" s="2" t="s">
        <v>1000</v>
      </c>
    </row>
    <row r="35316" spans="1:1" ht="12.75">
      <c r="A35316" s="2" t="s">
        <v>1000</v>
      </c>
    </row>
    <row r="35317" spans="1:1" ht="12.75">
      <c r="A35317" s="2" t="s">
        <v>1000</v>
      </c>
    </row>
    <row r="35318" spans="1:1" ht="12.75">
      <c r="A35318" s="2" t="s">
        <v>1000</v>
      </c>
    </row>
    <row r="35319" spans="1:1" ht="12.75">
      <c r="A35319" s="2" t="s">
        <v>1000</v>
      </c>
    </row>
    <row r="35320" spans="1:1" ht="12.75">
      <c r="A35320" s="2" t="s">
        <v>764</v>
      </c>
    </row>
    <row r="35321" spans="1:1" ht="12.75">
      <c r="A35321" s="2" t="s">
        <v>764</v>
      </c>
    </row>
    <row r="35324" spans="1:1" ht="12.75">
      <c r="A35324" s="2" t="s">
        <v>957</v>
      </c>
    </row>
    <row r="35325" spans="1:1" ht="12.75">
      <c r="A35325" s="2" t="s">
        <v>957</v>
      </c>
    </row>
    <row r="35328" spans="1:1" ht="12.75">
      <c r="A35328" s="2" t="s">
        <v>1256</v>
      </c>
    </row>
    <row r="35329" spans="1:1" ht="12.75">
      <c r="A35329" s="2" t="s">
        <v>1256</v>
      </c>
    </row>
    <row r="35330" spans="1:1" ht="12.75">
      <c r="A35330" s="2" t="s">
        <v>1146</v>
      </c>
    </row>
    <row r="35331" spans="1:1" ht="12.75">
      <c r="A35331" s="2" t="s">
        <v>1257</v>
      </c>
    </row>
    <row r="35332" spans="1:1" ht="12.75">
      <c r="A35332" s="2" t="s">
        <v>958</v>
      </c>
    </row>
    <row r="35334" spans="1:1" ht="12.75">
      <c r="A35334" s="2" t="s">
        <v>1146</v>
      </c>
    </row>
    <row r="35335" spans="1:1" ht="12.75">
      <c r="A35335" s="2" t="s">
        <v>1146</v>
      </c>
    </row>
    <row r="35336" spans="1:1" ht="12.75">
      <c r="A35336" s="2" t="s">
        <v>1142</v>
      </c>
    </row>
    <row r="35337" spans="1:1" ht="12.75">
      <c r="A35337" s="2" t="s">
        <v>1142</v>
      </c>
    </row>
    <row r="35338" spans="1:1" ht="12.75">
      <c r="A35338" s="2" t="s">
        <v>708</v>
      </c>
    </row>
    <row r="35339" spans="1:1" ht="12.75">
      <c r="A35339" s="2" t="s">
        <v>708</v>
      </c>
    </row>
    <row r="35340" spans="1:1" ht="12.75">
      <c r="A35340" s="2" t="s">
        <v>957</v>
      </c>
    </row>
    <row r="35341" spans="1:1" ht="12.75">
      <c r="A35341" s="2" t="s">
        <v>957</v>
      </c>
    </row>
    <row r="35342" spans="1:1" ht="12.75">
      <c r="A35342" s="2" t="s">
        <v>1142</v>
      </c>
    </row>
    <row r="35343" spans="1:1" ht="12.75">
      <c r="A35343" s="2" t="s">
        <v>1142</v>
      </c>
    </row>
    <row r="35344" spans="1:1" ht="12.75">
      <c r="A35344" s="2" t="s">
        <v>966</v>
      </c>
    </row>
    <row r="35345" spans="1:1" ht="12.75">
      <c r="A35345" s="2" t="s">
        <v>966</v>
      </c>
    </row>
    <row r="35346" spans="1:1" ht="12.75">
      <c r="A35346" s="2" t="s">
        <v>976</v>
      </c>
    </row>
    <row r="35348" spans="1:1" ht="12.75">
      <c r="A35348" s="2" t="s">
        <v>708</v>
      </c>
    </row>
    <row r="35349" spans="1:1" ht="12.75">
      <c r="A35349" s="2" t="s">
        <v>1256</v>
      </c>
    </row>
    <row r="35350" spans="1:1" ht="12.75">
      <c r="A35350" s="2" t="s">
        <v>1144</v>
      </c>
    </row>
    <row r="35354" spans="1:1" ht="12.75">
      <c r="A35354" s="2" t="s">
        <v>1141</v>
      </c>
    </row>
    <row r="35355" spans="1:1" ht="12.75">
      <c r="A35355" s="2" t="s">
        <v>1141</v>
      </c>
    </row>
    <row r="35366" spans="1:1" ht="12.75">
      <c r="A35366" s="2" t="s">
        <v>957</v>
      </c>
    </row>
    <row r="35367" spans="1:1" ht="12.75">
      <c r="A35367" s="2" t="s">
        <v>957</v>
      </c>
    </row>
    <row r="35368" spans="1:1" ht="12.75">
      <c r="A35368" s="2" t="s">
        <v>1134</v>
      </c>
    </row>
    <row r="35369" spans="1:1" ht="12.75">
      <c r="A35369" s="2" t="s">
        <v>1134</v>
      </c>
    </row>
    <row r="35371" spans="1:1" ht="12.75">
      <c r="A35371" s="2" t="s">
        <v>957</v>
      </c>
    </row>
    <row r="35374" spans="1:1" ht="12.75">
      <c r="A35374" s="2" t="s">
        <v>1135</v>
      </c>
    </row>
    <row r="35375" spans="1:1" ht="12.75">
      <c r="A35375" s="2" t="s">
        <v>1135</v>
      </c>
    </row>
    <row r="35376" spans="1:1" ht="12.75">
      <c r="A35376" s="2" t="s">
        <v>958</v>
      </c>
    </row>
    <row r="35378" spans="1:1" ht="12.75">
      <c r="A35378" s="2" t="s">
        <v>1256</v>
      </c>
    </row>
    <row r="35379" spans="1:1" ht="12.75">
      <c r="A35379" s="2" t="s">
        <v>1256</v>
      </c>
    </row>
    <row r="35380" spans="1:1" ht="12.75">
      <c r="A35380" s="2" t="s">
        <v>1256</v>
      </c>
    </row>
    <row r="35381" spans="1:1" ht="12.75">
      <c r="A35381" s="2" t="s">
        <v>1256</v>
      </c>
    </row>
    <row r="35382" spans="1:1" ht="12.75">
      <c r="A35382" s="2" t="s">
        <v>958</v>
      </c>
    </row>
    <row r="35383" spans="1:1" ht="12.75">
      <c r="A35383" s="2" t="s">
        <v>958</v>
      </c>
    </row>
    <row r="35384" spans="1:1" ht="12.75">
      <c r="A35384" s="2" t="s">
        <v>962</v>
      </c>
    </row>
    <row r="35390" spans="1:1" ht="12.75">
      <c r="A35390" s="2" t="s">
        <v>708</v>
      </c>
    </row>
    <row r="35391" spans="1:1" ht="12.75">
      <c r="A35391" s="2" t="s">
        <v>708</v>
      </c>
    </row>
    <row r="35392" spans="1:1" ht="12.75">
      <c r="A35392" s="2" t="s">
        <v>957</v>
      </c>
    </row>
    <row r="35393" spans="1:1" ht="12.75">
      <c r="A35393" s="2" t="s">
        <v>957</v>
      </c>
    </row>
    <row r="35394" spans="1:1" ht="12.75">
      <c r="A35394" s="2" t="s">
        <v>1142</v>
      </c>
    </row>
    <row r="35395" spans="1:1" ht="12.75">
      <c r="A35395" s="2" t="s">
        <v>1142</v>
      </c>
    </row>
    <row r="35396" spans="1:1" ht="12.75">
      <c r="A35396" s="2" t="s">
        <v>1146</v>
      </c>
    </row>
    <row r="35397" spans="1:1" ht="12.75">
      <c r="A35397" s="2" t="s">
        <v>966</v>
      </c>
    </row>
    <row r="35398" spans="1:1" ht="12.75">
      <c r="A35398" s="2" t="s">
        <v>962</v>
      </c>
    </row>
    <row r="35399" spans="1:1" ht="12.75">
      <c r="A35399" s="2" t="s">
        <v>962</v>
      </c>
    </row>
    <row r="35400" spans="1:1" ht="12.75">
      <c r="A35400" s="2" t="s">
        <v>708</v>
      </c>
    </row>
    <row r="35401" spans="1:1" ht="12.75">
      <c r="A35401" s="2" t="s">
        <v>708</v>
      </c>
    </row>
    <row r="35403" spans="1:1" ht="12.75">
      <c r="A35403" s="2" t="s">
        <v>1256</v>
      </c>
    </row>
    <row r="35404" spans="1:1" ht="12.75">
      <c r="A35404" s="2" t="s">
        <v>1141</v>
      </c>
    </row>
    <row r="35405" spans="1:1" ht="12.75">
      <c r="A35405" s="2" t="s">
        <v>1256</v>
      </c>
    </row>
    <row r="35406" spans="1:1" ht="12.75">
      <c r="A35406" s="2" t="s">
        <v>1142</v>
      </c>
    </row>
    <row r="35407" spans="1:1" ht="12.75">
      <c r="A35407" s="2" t="s">
        <v>1142</v>
      </c>
    </row>
    <row r="35408" spans="1:1" ht="12.75">
      <c r="A35408" s="2" t="s">
        <v>962</v>
      </c>
    </row>
    <row r="35409" spans="1:1" ht="12.75">
      <c r="A35409" s="2" t="s">
        <v>962</v>
      </c>
    </row>
    <row r="35410" spans="1:1" ht="12.75">
      <c r="A35410" s="2" t="s">
        <v>966</v>
      </c>
    </row>
    <row r="35411" spans="1:1" ht="12.75">
      <c r="A35411" s="2" t="s">
        <v>966</v>
      </c>
    </row>
    <row r="35412" spans="1:1" ht="12.75">
      <c r="A35412" s="2" t="s">
        <v>708</v>
      </c>
    </row>
    <row r="35413" spans="1:1" ht="12.75">
      <c r="A35413" s="2" t="s">
        <v>708</v>
      </c>
    </row>
    <row r="35414" spans="1:1" ht="12.75">
      <c r="A35414" s="2" t="s">
        <v>962</v>
      </c>
    </row>
    <row r="35415" spans="1:1" ht="12.75">
      <c r="A35415" s="2" t="s">
        <v>962</v>
      </c>
    </row>
    <row r="35418" spans="1:1" ht="12.75">
      <c r="A35418" s="2" t="s">
        <v>966</v>
      </c>
    </row>
    <row r="35419" spans="1:1" ht="12.75">
      <c r="A35419" s="2" t="s">
        <v>1146</v>
      </c>
    </row>
    <row r="35420" spans="1:1" ht="12.75">
      <c r="A35420" s="2" t="s">
        <v>976</v>
      </c>
    </row>
    <row r="35421" spans="1:1" ht="12.75">
      <c r="A35421" s="2" t="s">
        <v>957</v>
      </c>
    </row>
    <row r="35422" spans="1:1" ht="12.75">
      <c r="A35422" s="2" t="s">
        <v>757</v>
      </c>
    </row>
    <row r="35423" spans="1:1" ht="12.75">
      <c r="A35423" s="2" t="s">
        <v>757</v>
      </c>
    </row>
    <row r="35424" spans="1:1" ht="12.75">
      <c r="A35424" s="2" t="s">
        <v>757</v>
      </c>
    </row>
    <row r="35425" spans="1:1" ht="12.75">
      <c r="A35425" s="2" t="s">
        <v>757</v>
      </c>
    </row>
    <row r="35426" spans="1:1" ht="12.75">
      <c r="A35426" s="2" t="s">
        <v>1010</v>
      </c>
    </row>
    <row r="35427" spans="1:1" ht="12.75">
      <c r="A35427" s="2" t="s">
        <v>1010</v>
      </c>
    </row>
    <row r="35428" spans="1:1" ht="12.75">
      <c r="A35428" s="2" t="s">
        <v>228</v>
      </c>
    </row>
    <row r="35429" spans="1:1" ht="12.75">
      <c r="A35429" s="2" t="s">
        <v>757</v>
      </c>
    </row>
    <row r="35430" spans="1:1" ht="12.75">
      <c r="A35430" s="2" t="s">
        <v>1258</v>
      </c>
    </row>
    <row r="35431" spans="1:1" ht="12.75">
      <c r="A35431" s="2" t="s">
        <v>357</v>
      </c>
    </row>
    <row r="35432" spans="1:1" ht="12.75">
      <c r="A35432" s="2" t="s">
        <v>757</v>
      </c>
    </row>
    <row r="35433" spans="1:1" ht="12.75">
      <c r="A35433" s="2" t="s">
        <v>757</v>
      </c>
    </row>
    <row r="35434" spans="1:1" ht="12.75">
      <c r="A35434" s="2" t="s">
        <v>757</v>
      </c>
    </row>
    <row r="35435" spans="1:1" ht="12.75">
      <c r="A35435" s="2" t="s">
        <v>757</v>
      </c>
    </row>
    <row r="35436" spans="1:1" ht="12.75">
      <c r="A35436" s="2" t="s">
        <v>758</v>
      </c>
    </row>
    <row r="35437" spans="1:1" ht="12.75">
      <c r="A35437" s="2" t="s">
        <v>758</v>
      </c>
    </row>
    <row r="35438" spans="1:1" ht="12.75">
      <c r="A35438" s="2" t="s">
        <v>758</v>
      </c>
    </row>
    <row r="35439" spans="1:1" ht="12.75">
      <c r="A35439" s="2" t="s">
        <v>758</v>
      </c>
    </row>
    <row r="35440" spans="1:1" ht="12.75">
      <c r="A35440" s="2" t="s">
        <v>1010</v>
      </c>
    </row>
    <row r="35441" spans="1:1" ht="12.75">
      <c r="A35441" s="2" t="s">
        <v>1010</v>
      </c>
    </row>
    <row r="35442" spans="1:1" ht="12.75">
      <c r="A35442" s="2" t="s">
        <v>757</v>
      </c>
    </row>
    <row r="35443" spans="1:1" ht="12.75">
      <c r="A35443" s="2" t="s">
        <v>757</v>
      </c>
    </row>
    <row r="35444" spans="1:1" ht="12.75">
      <c r="A35444" s="2" t="s">
        <v>757</v>
      </c>
    </row>
    <row r="35445" spans="1:1" ht="12.75">
      <c r="A35445" s="2" t="s">
        <v>757</v>
      </c>
    </row>
    <row r="35446" spans="1:1" ht="12.75">
      <c r="A35446" s="2" t="s">
        <v>757</v>
      </c>
    </row>
    <row r="35447" spans="1:1" ht="12.75">
      <c r="A35447" s="2" t="s">
        <v>757</v>
      </c>
    </row>
    <row r="35448" spans="1:1" ht="12.75">
      <c r="A35448" s="2" t="s">
        <v>757</v>
      </c>
    </row>
    <row r="35449" spans="1:1" ht="12.75">
      <c r="A35449" s="2" t="s">
        <v>757</v>
      </c>
    </row>
    <row r="35450" spans="1:1" ht="12.75">
      <c r="A35450" s="2" t="s">
        <v>757</v>
      </c>
    </row>
    <row r="35451" spans="1:1" ht="12.75">
      <c r="A35451" s="2" t="s">
        <v>757</v>
      </c>
    </row>
    <row r="35452" spans="1:1" ht="12.75">
      <c r="A35452" s="2" t="s">
        <v>758</v>
      </c>
    </row>
    <row r="35453" spans="1:1" ht="12.75">
      <c r="A35453" s="2" t="s">
        <v>758</v>
      </c>
    </row>
    <row r="35454" spans="1:1" ht="12.75">
      <c r="A35454" s="2" t="s">
        <v>758</v>
      </c>
    </row>
    <row r="35455" spans="1:1" ht="12.75">
      <c r="A35455" s="2" t="s">
        <v>758</v>
      </c>
    </row>
    <row r="35456" spans="1:1" ht="12.75">
      <c r="A35456" s="2" t="s">
        <v>289</v>
      </c>
    </row>
    <row r="35457" spans="1:1" ht="12.75">
      <c r="A35457" s="2" t="s">
        <v>289</v>
      </c>
    </row>
    <row r="35458" spans="1:1" ht="12.75">
      <c r="A35458" s="2" t="s">
        <v>290</v>
      </c>
    </row>
    <row r="35459" spans="1:1" ht="12.75">
      <c r="A35459" s="2" t="s">
        <v>290</v>
      </c>
    </row>
    <row r="35460" spans="1:1" ht="12.75">
      <c r="A35460" s="2" t="s">
        <v>293</v>
      </c>
    </row>
    <row r="35461" spans="1:1" ht="12.75">
      <c r="A35461" s="2" t="s">
        <v>299</v>
      </c>
    </row>
    <row r="35462" spans="1:1" ht="12.75">
      <c r="A35462" s="2" t="s">
        <v>291</v>
      </c>
    </row>
    <row r="35463" spans="1:1" ht="12.75">
      <c r="A35463" s="2" t="s">
        <v>291</v>
      </c>
    </row>
    <row r="35464" spans="1:1" ht="12.75">
      <c r="A35464" s="2" t="s">
        <v>290</v>
      </c>
    </row>
    <row r="35465" spans="1:1" ht="12.75">
      <c r="A35465" s="2" t="s">
        <v>290</v>
      </c>
    </row>
    <row r="35466" spans="1:1" ht="12.75">
      <c r="A35466" s="2" t="s">
        <v>289</v>
      </c>
    </row>
    <row r="35467" spans="1:1" ht="12.75">
      <c r="A35467" s="2" t="s">
        <v>289</v>
      </c>
    </row>
    <row r="35468" spans="1:1" ht="12.75">
      <c r="A35468" s="2" t="s">
        <v>290</v>
      </c>
    </row>
    <row r="35469" spans="1:1" ht="12.75">
      <c r="A35469" s="2" t="s">
        <v>293</v>
      </c>
    </row>
    <row r="35470" spans="1:1" ht="12.75">
      <c r="A35470" s="2" t="s">
        <v>299</v>
      </c>
    </row>
    <row r="35471" spans="1:1" ht="12.75">
      <c r="A35471" s="2" t="s">
        <v>299</v>
      </c>
    </row>
    <row r="35472" spans="1:1" ht="12.75">
      <c r="A35472" s="2" t="s">
        <v>1013</v>
      </c>
    </row>
    <row r="35473" spans="1:1" ht="12.75">
      <c r="A35473" s="2" t="s">
        <v>1098</v>
      </c>
    </row>
    <row r="35474" spans="1:1" ht="12.75">
      <c r="A35474" s="2" t="s">
        <v>1014</v>
      </c>
    </row>
    <row r="35475" spans="1:1" ht="12.75">
      <c r="A35475" s="2" t="s">
        <v>1013</v>
      </c>
    </row>
    <row r="35476" spans="1:1" ht="12.75">
      <c r="A35476" s="2" t="s">
        <v>1098</v>
      </c>
    </row>
    <row r="35477" spans="1:1" ht="12.75">
      <c r="A35477" s="2" t="s">
        <v>1014</v>
      </c>
    </row>
    <row r="35478" spans="1:1" ht="12.75">
      <c r="A35478" s="2" t="s">
        <v>1098</v>
      </c>
    </row>
    <row r="35479" spans="1:1" ht="12.75">
      <c r="A35479" s="2" t="s">
        <v>1098</v>
      </c>
    </row>
    <row r="35480" spans="1:1" ht="12.75">
      <c r="A35480" s="2" t="s">
        <v>1098</v>
      </c>
    </row>
    <row r="35481" spans="1:1" ht="12.75">
      <c r="A35481" s="2" t="s">
        <v>1098</v>
      </c>
    </row>
    <row r="35482" spans="1:1" ht="12.75">
      <c r="A35482" s="2" t="s">
        <v>1098</v>
      </c>
    </row>
    <row r="35483" spans="1:1" ht="12.75">
      <c r="A35483" s="2" t="s">
        <v>1098</v>
      </c>
    </row>
    <row r="35484" spans="1:1" ht="12.75">
      <c r="A35484" s="2" t="s">
        <v>299</v>
      </c>
    </row>
    <row r="35485" spans="1:1" ht="12.75">
      <c r="A35485" s="2" t="s">
        <v>293</v>
      </c>
    </row>
    <row r="35486" spans="1:1" ht="12.75">
      <c r="A35486" s="2" t="s">
        <v>289</v>
      </c>
    </row>
    <row r="35487" spans="1:1" ht="12.75">
      <c r="A35487" s="2" t="s">
        <v>289</v>
      </c>
    </row>
    <row r="35488" spans="1:1" ht="12.75">
      <c r="A35488" s="2" t="s">
        <v>289</v>
      </c>
    </row>
    <row r="35489" spans="1:1" ht="12.75">
      <c r="A35489" s="2" t="s">
        <v>289</v>
      </c>
    </row>
    <row r="35490" spans="1:1" ht="12.75">
      <c r="A35490" s="2" t="s">
        <v>290</v>
      </c>
    </row>
    <row r="35491" spans="1:1" ht="12.75">
      <c r="A35491" s="2" t="s">
        <v>291</v>
      </c>
    </row>
    <row r="35492" spans="1:1" ht="12.75">
      <c r="A35492" s="2" t="s">
        <v>288</v>
      </c>
    </row>
    <row r="35493" spans="1:1" ht="12.75">
      <c r="A35493" s="2" t="s">
        <v>293</v>
      </c>
    </row>
    <row r="35494" spans="1:1" ht="12.75">
      <c r="A35494" s="2" t="s">
        <v>292</v>
      </c>
    </row>
    <row r="35495" spans="1:1" ht="12.75">
      <c r="A35495" s="2" t="s">
        <v>292</v>
      </c>
    </row>
    <row r="35496" spans="1:1" ht="12.75">
      <c r="A35496" s="2" t="s">
        <v>292</v>
      </c>
    </row>
    <row r="35497" spans="1:1" ht="12.75">
      <c r="A35497" s="2" t="s">
        <v>292</v>
      </c>
    </row>
    <row r="35498" spans="1:1" ht="12.75">
      <c r="A35498" s="2" t="s">
        <v>299</v>
      </c>
    </row>
    <row r="35499" spans="1:1" ht="12.75">
      <c r="A35499" s="2" t="s">
        <v>290</v>
      </c>
    </row>
    <row r="35500" spans="1:1" ht="12.75">
      <c r="A35500" s="2" t="s">
        <v>291</v>
      </c>
    </row>
    <row r="35501" spans="1:1" ht="12.75">
      <c r="A35501" s="2" t="s">
        <v>291</v>
      </c>
    </row>
    <row r="35502" spans="1:1" ht="12.75">
      <c r="A35502" s="2" t="s">
        <v>288</v>
      </c>
    </row>
    <row r="35503" spans="1:1" ht="12.75">
      <c r="A35503" s="2" t="s">
        <v>288</v>
      </c>
    </row>
    <row r="35506" spans="1:1" ht="12.75">
      <c r="A35506" s="2" t="s">
        <v>1259</v>
      </c>
    </row>
    <row r="35507" spans="1:1" ht="12.75">
      <c r="A35507" s="2" t="s">
        <v>757</v>
      </c>
    </row>
    <row r="35508" spans="1:1" ht="12.75">
      <c r="A35508" s="2" t="s">
        <v>757</v>
      </c>
    </row>
    <row r="35509" spans="1:1" ht="12.75">
      <c r="A35509" s="2" t="s">
        <v>757</v>
      </c>
    </row>
    <row r="35510" spans="1:1" ht="12.75">
      <c r="A35510" s="2" t="s">
        <v>1259</v>
      </c>
    </row>
    <row r="35511" spans="1:1" ht="12.75">
      <c r="A35511" s="2" t="s">
        <v>1259</v>
      </c>
    </row>
    <row r="35512" spans="1:1" ht="12.75">
      <c r="A35512" s="2" t="s">
        <v>758</v>
      </c>
    </row>
    <row r="35513" spans="1:1" ht="12.75">
      <c r="A35513" s="2" t="s">
        <v>758</v>
      </c>
    </row>
    <row r="35514" spans="1:1" ht="12.75">
      <c r="A35514" s="2" t="s">
        <v>357</v>
      </c>
    </row>
    <row r="35515" spans="1:1" ht="12.75">
      <c r="A35515" s="2" t="s">
        <v>1259</v>
      </c>
    </row>
    <row r="35516" spans="1:1" ht="12.75">
      <c r="A35516" s="2" t="s">
        <v>1258</v>
      </c>
    </row>
    <row r="35517" spans="1:1" ht="12.75">
      <c r="A35517" s="2" t="s">
        <v>1258</v>
      </c>
    </row>
    <row r="35518" spans="1:1" ht="12.75">
      <c r="A35518" s="2" t="s">
        <v>1260</v>
      </c>
    </row>
    <row r="35519" spans="1:1" ht="12.75">
      <c r="A35519" s="2" t="s">
        <v>1259</v>
      </c>
    </row>
    <row r="35520" spans="1:1" ht="12.75">
      <c r="A35520" s="2" t="s">
        <v>757</v>
      </c>
    </row>
    <row r="35521" spans="1:1" ht="12.75">
      <c r="A35521" s="2" t="s">
        <v>757</v>
      </c>
    </row>
    <row r="35522" spans="1:1" ht="12.75">
      <c r="A35522" s="2" t="s">
        <v>290</v>
      </c>
    </row>
    <row r="35523" spans="1:1" ht="12.75">
      <c r="A35523" s="2" t="s">
        <v>290</v>
      </c>
    </row>
    <row r="35524" spans="1:1" ht="12.75">
      <c r="A35524" s="2" t="s">
        <v>298</v>
      </c>
    </row>
    <row r="35525" spans="1:1" ht="12.75">
      <c r="A35525" s="2" t="s">
        <v>298</v>
      </c>
    </row>
    <row r="35526" spans="1:1" ht="12.75">
      <c r="A35526" s="2" t="s">
        <v>298</v>
      </c>
    </row>
    <row r="35527" spans="1:1" ht="12.75">
      <c r="A35527" s="2" t="s">
        <v>293</v>
      </c>
    </row>
    <row r="35528" spans="1:1" ht="12.75">
      <c r="A35528" s="2" t="s">
        <v>293</v>
      </c>
    </row>
    <row r="35529" spans="1:1" ht="12.75">
      <c r="A35529" s="2" t="s">
        <v>293</v>
      </c>
    </row>
    <row r="35530" spans="1:1" ht="12.75">
      <c r="A35530" s="2" t="s">
        <v>298</v>
      </c>
    </row>
    <row r="35531" spans="1:1" ht="12.75">
      <c r="A35531" s="2" t="s">
        <v>298</v>
      </c>
    </row>
    <row r="35532" spans="1:1" ht="12.75">
      <c r="A35532" s="2" t="s">
        <v>955</v>
      </c>
    </row>
    <row r="35533" spans="1:1" ht="12.75">
      <c r="A35533" s="2" t="s">
        <v>955</v>
      </c>
    </row>
    <row r="35534" spans="1:1" ht="12.75">
      <c r="A35534" s="2" t="s">
        <v>955</v>
      </c>
    </row>
    <row r="35535" spans="1:1" ht="12.75">
      <c r="A35535" s="2" t="s">
        <v>955</v>
      </c>
    </row>
    <row r="35536" spans="1:1" ht="12.75">
      <c r="A35536" s="2" t="s">
        <v>1157</v>
      </c>
    </row>
    <row r="35538" spans="1:1" ht="12.75">
      <c r="A35538" s="2" t="s">
        <v>1157</v>
      </c>
    </row>
    <row r="35539" spans="1:1" ht="12.75">
      <c r="A35539" s="2" t="s">
        <v>955</v>
      </c>
    </row>
    <row r="35540" spans="1:1" ht="12.75">
      <c r="A35540" s="2" t="s">
        <v>955</v>
      </c>
    </row>
    <row r="35541" spans="1:1" ht="12.75">
      <c r="A35541" s="2" t="s">
        <v>955</v>
      </c>
    </row>
    <row r="35542" spans="1:1" ht="12.75">
      <c r="A35542" s="2" t="s">
        <v>960</v>
      </c>
    </row>
    <row r="35543" spans="1:1" ht="12.75">
      <c r="A35543" s="2" t="s">
        <v>985</v>
      </c>
    </row>
    <row r="35544" spans="1:1" ht="12.75">
      <c r="A35544" s="2" t="s">
        <v>955</v>
      </c>
    </row>
    <row r="35545" spans="1:1" ht="12.75">
      <c r="A35545" s="2" t="s">
        <v>1157</v>
      </c>
    </row>
    <row r="35546" spans="1:1" ht="12.75">
      <c r="A35546" s="2" t="s">
        <v>985</v>
      </c>
    </row>
    <row r="35547" spans="1:1" ht="12.75">
      <c r="A35547" s="2" t="s">
        <v>985</v>
      </c>
    </row>
    <row r="35548" spans="1:1" ht="12.75">
      <c r="A35548" s="2" t="s">
        <v>1261</v>
      </c>
    </row>
    <row r="35550" spans="1:1" ht="12.75">
      <c r="A35550" s="2" t="s">
        <v>985</v>
      </c>
    </row>
    <row r="35553" spans="1:1" ht="12.75">
      <c r="A35553" s="2" t="s">
        <v>960</v>
      </c>
    </row>
    <row r="35554" spans="1:1" ht="12.75">
      <c r="A35554" s="2" t="s">
        <v>1262</v>
      </c>
    </row>
    <row r="35555" spans="1:1" ht="12.75">
      <c r="A35555" s="2" t="s">
        <v>1014</v>
      </c>
    </row>
    <row r="35556" spans="1:1" ht="12.75">
      <c r="A35556" s="2" t="s">
        <v>296</v>
      </c>
    </row>
    <row r="35557" spans="1:1" ht="12.75">
      <c r="A35557" s="2" t="s">
        <v>296</v>
      </c>
    </row>
    <row r="35558" spans="1:1" ht="12.75">
      <c r="A35558" s="2" t="s">
        <v>1014</v>
      </c>
    </row>
    <row r="35559" spans="1:1" ht="12.75">
      <c r="A35559" s="2" t="s">
        <v>1263</v>
      </c>
    </row>
    <row r="35560" spans="1:1" ht="12.75">
      <c r="A35560" s="2" t="s">
        <v>1264</v>
      </c>
    </row>
    <row r="35561" spans="1:1" ht="12.75">
      <c r="A35561" s="2" t="s">
        <v>1262</v>
      </c>
    </row>
    <row r="35562" spans="1:1" ht="12.75">
      <c r="A35562" s="2" t="s">
        <v>1014</v>
      </c>
    </row>
    <row r="35563" spans="1:1" ht="12.75">
      <c r="A35563" s="2" t="s">
        <v>1014</v>
      </c>
    </row>
    <row r="35564" spans="1:1" ht="12.75">
      <c r="A35564" s="2" t="s">
        <v>1098</v>
      </c>
    </row>
    <row r="35565" spans="1:1" ht="12.75">
      <c r="A35565" s="2" t="s">
        <v>1013</v>
      </c>
    </row>
    <row r="35566" spans="1:1" ht="12.75">
      <c r="A35566" s="2" t="s">
        <v>1013</v>
      </c>
    </row>
    <row r="35567" spans="1:1" ht="12.75">
      <c r="A35567" s="2" t="s">
        <v>1098</v>
      </c>
    </row>
    <row r="35569" spans="1:1" ht="12.75">
      <c r="A35569" s="2" t="s">
        <v>1013</v>
      </c>
    </row>
    <row r="35570" spans="1:1" ht="12.75">
      <c r="A35570" s="2" t="s">
        <v>1013</v>
      </c>
    </row>
    <row r="35571" spans="1:1" ht="12.75">
      <c r="A35571" s="2" t="s">
        <v>1013</v>
      </c>
    </row>
    <row r="35573" spans="1:1" ht="12.75">
      <c r="A35573" s="2" t="s">
        <v>1157</v>
      </c>
    </row>
    <row r="35574" spans="1:1" ht="12.75">
      <c r="A35574" s="2" t="s">
        <v>762</v>
      </c>
    </row>
    <row r="35575" spans="1:1" ht="12.75">
      <c r="A35575" s="2" t="s">
        <v>297</v>
      </c>
    </row>
    <row r="35576" spans="1:1" ht="12.75">
      <c r="A35576" s="2" t="s">
        <v>298</v>
      </c>
    </row>
    <row r="35577" spans="1:1" ht="12.75">
      <c r="A35577" s="2" t="s">
        <v>288</v>
      </c>
    </row>
    <row r="35578" spans="1:1" ht="12.75">
      <c r="A35578" s="2" t="s">
        <v>288</v>
      </c>
    </row>
    <row r="35579" spans="1:1" ht="12.75">
      <c r="A35579" s="2" t="s">
        <v>288</v>
      </c>
    </row>
    <row r="35580" spans="1:1" ht="12.75">
      <c r="A35580" s="2" t="s">
        <v>297</v>
      </c>
    </row>
    <row r="35581" spans="1:1" ht="12.75">
      <c r="A35581" s="2" t="s">
        <v>297</v>
      </c>
    </row>
    <row r="35582" spans="1:1" ht="12.75">
      <c r="A35582" s="2" t="s">
        <v>292</v>
      </c>
    </row>
    <row r="35583" spans="1:1" ht="12.75">
      <c r="A35583" s="2" t="s">
        <v>292</v>
      </c>
    </row>
    <row r="35584" spans="1:1" ht="12.75">
      <c r="A35584" s="2" t="s">
        <v>293</v>
      </c>
    </row>
    <row r="35585" spans="1:1" ht="12.75">
      <c r="A35585" s="2" t="s">
        <v>292</v>
      </c>
    </row>
    <row r="35586" spans="1:1" ht="12.75">
      <c r="A35586" s="2" t="s">
        <v>291</v>
      </c>
    </row>
    <row r="35587" spans="1:1" ht="12.75">
      <c r="A35587" s="2" t="s">
        <v>291</v>
      </c>
    </row>
    <row r="35588" spans="1:1" ht="12.75">
      <c r="A35588" s="2" t="s">
        <v>290</v>
      </c>
    </row>
    <row r="35589" spans="1:1" ht="12.75">
      <c r="A35589" s="2" t="s">
        <v>290</v>
      </c>
    </row>
    <row r="35590" spans="1:1" ht="12.75">
      <c r="A35590" s="2" t="s">
        <v>299</v>
      </c>
    </row>
    <row r="35591" spans="1:1" ht="12.75">
      <c r="A35591" s="2" t="s">
        <v>288</v>
      </c>
    </row>
    <row r="35592" spans="1:1" ht="12.75">
      <c r="A35592" s="2" t="s">
        <v>290</v>
      </c>
    </row>
    <row r="35593" spans="1:1" ht="12.75">
      <c r="A35593" s="2" t="s">
        <v>290</v>
      </c>
    </row>
    <row r="35595" spans="1:1" ht="12.75">
      <c r="A35595" s="2" t="s">
        <v>297</v>
      </c>
    </row>
    <row r="35596" spans="1:1" ht="12.75">
      <c r="A35596" s="2" t="s">
        <v>762</v>
      </c>
    </row>
    <row r="35597" spans="1:1" ht="12.75">
      <c r="A35597" s="2" t="s">
        <v>762</v>
      </c>
    </row>
    <row r="35598" spans="1:1" ht="12.75">
      <c r="A35598" s="2" t="s">
        <v>298</v>
      </c>
    </row>
    <row r="35599" spans="1:1" ht="12.75">
      <c r="A35599" s="2" t="s">
        <v>298</v>
      </c>
    </row>
    <row r="35600" spans="1:1" ht="12.75">
      <c r="A35600" s="2" t="s">
        <v>296</v>
      </c>
    </row>
    <row r="35601" spans="1:1" ht="12.75">
      <c r="A35601" s="2" t="s">
        <v>293</v>
      </c>
    </row>
    <row r="35602" spans="1:1" ht="12.75">
      <c r="A35602" s="2" t="s">
        <v>289</v>
      </c>
    </row>
    <row r="35603" spans="1:1" ht="12.75">
      <c r="A35603" s="2" t="s">
        <v>289</v>
      </c>
    </row>
    <row r="35604" spans="1:1" ht="12.75">
      <c r="A35604" s="2" t="s">
        <v>293</v>
      </c>
    </row>
    <row r="35605" spans="1:1" ht="12.75">
      <c r="A35605" s="2" t="s">
        <v>296</v>
      </c>
    </row>
    <row r="35606" spans="1:1" ht="12.75">
      <c r="A35606" s="2" t="s">
        <v>288</v>
      </c>
    </row>
    <row r="35607" spans="1:1" ht="12.75">
      <c r="A35607" s="2" t="s">
        <v>296</v>
      </c>
    </row>
    <row r="35608" spans="1:1" ht="12.75">
      <c r="A35608" s="2" t="s">
        <v>299</v>
      </c>
    </row>
    <row r="35609" spans="1:1" ht="12.75">
      <c r="A35609" s="2" t="s">
        <v>299</v>
      </c>
    </row>
    <row r="35610" spans="1:1" ht="12.75">
      <c r="A35610" s="2" t="s">
        <v>299</v>
      </c>
    </row>
    <row r="35611" spans="1:1" ht="12.75">
      <c r="A35611" s="2" t="s">
        <v>291</v>
      </c>
    </row>
    <row r="35612" spans="1:1" ht="12.75">
      <c r="A35612" s="2" t="s">
        <v>298</v>
      </c>
    </row>
    <row r="35613" spans="1:1" ht="12.75">
      <c r="A35613" s="2" t="s">
        <v>299</v>
      </c>
    </row>
    <row r="35614" spans="1:1" ht="12.75">
      <c r="A35614" s="2" t="s">
        <v>291</v>
      </c>
    </row>
    <row r="35615" spans="1:1" ht="12.75">
      <c r="A35615" s="2" t="s">
        <v>298</v>
      </c>
    </row>
    <row r="35616" spans="1:1" ht="12.75">
      <c r="A35616" s="2" t="s">
        <v>291</v>
      </c>
    </row>
    <row r="35617" spans="1:1" ht="12.75">
      <c r="A35617" s="2" t="s">
        <v>289</v>
      </c>
    </row>
    <row r="35618" spans="1:1" ht="12.75">
      <c r="A35618" s="2" t="s">
        <v>289</v>
      </c>
    </row>
    <row r="35619" spans="1:1" ht="12.75">
      <c r="A35619" s="2" t="s">
        <v>289</v>
      </c>
    </row>
    <row r="35620" spans="1:1" ht="12.75">
      <c r="A35620" s="2" t="s">
        <v>289</v>
      </c>
    </row>
    <row r="35621" spans="1:1" ht="12.75">
      <c r="A35621" s="2" t="s">
        <v>290</v>
      </c>
    </row>
    <row r="35622" spans="1:1" ht="12.75">
      <c r="A35622" s="2" t="s">
        <v>220</v>
      </c>
    </row>
    <row r="35623" spans="1:1" ht="12.75">
      <c r="A35623" s="2" t="s">
        <v>729</v>
      </c>
    </row>
    <row r="35624" spans="1:1" ht="12.75">
      <c r="A35624" s="2" t="s">
        <v>729</v>
      </c>
    </row>
    <row r="35625" spans="1:1" ht="12.75">
      <c r="A35625" s="2" t="s">
        <v>1265</v>
      </c>
    </row>
    <row r="35626" spans="1:1" ht="12.75">
      <c r="A35626" s="2" t="s">
        <v>392</v>
      </c>
    </row>
    <row r="35627" spans="1:1" ht="12.75">
      <c r="A35627" s="2" t="s">
        <v>581</v>
      </c>
    </row>
    <row r="35628" spans="1:1" ht="12.75">
      <c r="A35628" s="2" t="s">
        <v>729</v>
      </c>
    </row>
    <row r="35629" spans="1:1" ht="12.75">
      <c r="A35629" s="2" t="s">
        <v>392</v>
      </c>
    </row>
    <row r="35630" spans="1:1" ht="12.75">
      <c r="A35630" s="2" t="s">
        <v>1266</v>
      </c>
    </row>
    <row r="35631" spans="1:1" ht="12.75">
      <c r="A35631" s="2" t="s">
        <v>927</v>
      </c>
    </row>
    <row r="35632" spans="1:1" ht="12.75">
      <c r="A35632" s="2" t="s">
        <v>927</v>
      </c>
    </row>
    <row r="35633" spans="1:1" ht="12.75">
      <c r="A35633" s="2" t="s">
        <v>1267</v>
      </c>
    </row>
    <row r="35634" spans="1:1" ht="12.75">
      <c r="A35634" s="2" t="s">
        <v>1268</v>
      </c>
    </row>
    <row r="35636" spans="1:1" ht="12.75">
      <c r="A35636" s="2" t="s">
        <v>1269</v>
      </c>
    </row>
    <row r="35637" spans="1:1" ht="12.75">
      <c r="A35637" s="2" t="s">
        <v>870</v>
      </c>
    </row>
    <row r="35638" spans="1:1" ht="12.75">
      <c r="A35638" s="2" t="s">
        <v>1270</v>
      </c>
    </row>
    <row r="35639" spans="1:1" ht="12.75">
      <c r="A35639" s="2" t="s">
        <v>1270</v>
      </c>
    </row>
    <row r="35640" spans="1:1" ht="12.75">
      <c r="A35640" s="2" t="s">
        <v>1270</v>
      </c>
    </row>
    <row r="35641" spans="1:1" ht="12.75">
      <c r="A35641" s="2" t="s">
        <v>1270</v>
      </c>
    </row>
    <row r="35642" spans="1:1" ht="12.75">
      <c r="A35642" s="2" t="s">
        <v>1270</v>
      </c>
    </row>
    <row r="35649" spans="1:1" ht="12.75">
      <c r="A35649" s="2" t="s">
        <v>1271</v>
      </c>
    </row>
    <row r="35652" spans="1:1" ht="12.75">
      <c r="A35652" s="2" t="s">
        <v>1272</v>
      </c>
    </row>
    <row r="35653" spans="1:1" ht="12.75">
      <c r="A35653" s="2" t="s">
        <v>217</v>
      </c>
    </row>
    <row r="35654" spans="1:1" ht="12.75">
      <c r="A35654" s="2" t="s">
        <v>217</v>
      </c>
    </row>
    <row r="35655" spans="1:1" ht="12.75">
      <c r="A35655" s="2" t="s">
        <v>393</v>
      </c>
    </row>
    <row r="35656" spans="1:1" ht="12.75">
      <c r="A35656" s="2" t="s">
        <v>393</v>
      </c>
    </row>
    <row r="35657" spans="1:1" ht="12.75">
      <c r="A35657" s="2" t="s">
        <v>905</v>
      </c>
    </row>
    <row r="35658" spans="1:1" ht="12.75">
      <c r="A35658" s="2" t="s">
        <v>905</v>
      </c>
    </row>
    <row r="35659" spans="1:1" ht="12.75">
      <c r="A35659" s="2" t="s">
        <v>905</v>
      </c>
    </row>
    <row r="35660" spans="1:1" ht="12.75">
      <c r="A35660" s="2" t="s">
        <v>905</v>
      </c>
    </row>
    <row r="35661" spans="1:1" ht="12.75">
      <c r="A35661" s="2" t="s">
        <v>340</v>
      </c>
    </row>
    <row r="35662" spans="1:1" ht="12.75">
      <c r="A35662" s="2" t="s">
        <v>340</v>
      </c>
    </row>
    <row r="35663" spans="1:1" ht="12.75">
      <c r="A35663" s="2" t="s">
        <v>340</v>
      </c>
    </row>
    <row r="35664" spans="1:1" ht="12.75">
      <c r="A35664" s="2" t="s">
        <v>157</v>
      </c>
    </row>
    <row r="35665" spans="1:1" ht="12.75">
      <c r="A35665" s="2" t="s">
        <v>340</v>
      </c>
    </row>
    <row r="35666" spans="1:1" ht="12.75">
      <c r="A35666" s="2" t="s">
        <v>340</v>
      </c>
    </row>
    <row r="35667" spans="1:1" ht="12.75">
      <c r="A35667" s="2" t="s">
        <v>393</v>
      </c>
    </row>
    <row r="35668" spans="1:1" ht="12.75">
      <c r="A35668" s="2" t="s">
        <v>393</v>
      </c>
    </row>
    <row r="35669" spans="1:1" ht="12.75">
      <c r="A35669" s="2" t="s">
        <v>339</v>
      </c>
    </row>
    <row r="35670" spans="1:1" ht="12.75">
      <c r="A35670" s="2" t="s">
        <v>157</v>
      </c>
    </row>
    <row r="35671" spans="1:1" ht="12.75">
      <c r="A35671" s="2" t="s">
        <v>155</v>
      </c>
    </row>
    <row r="35672" spans="1:1" ht="12.75">
      <c r="A35672" s="2" t="s">
        <v>676</v>
      </c>
    </row>
    <row r="35673" spans="1:1" ht="12.75">
      <c r="A35673" s="2" t="s">
        <v>155</v>
      </c>
    </row>
    <row r="35674" spans="1:1" ht="12.75">
      <c r="A35674" s="2" t="s">
        <v>155</v>
      </c>
    </row>
    <row r="35675" spans="1:1" ht="12.75">
      <c r="A35675" s="2" t="s">
        <v>155</v>
      </c>
    </row>
    <row r="35676" spans="1:1" ht="12.75">
      <c r="A35676" s="2" t="s">
        <v>676</v>
      </c>
    </row>
    <row r="35677" spans="1:1" ht="12.75">
      <c r="A35677" s="2" t="s">
        <v>155</v>
      </c>
    </row>
    <row r="35678" spans="1:1" ht="12.75">
      <c r="A35678" s="2" t="s">
        <v>155</v>
      </c>
    </row>
    <row r="35679" spans="1:1" ht="12.75">
      <c r="A35679" s="2" t="s">
        <v>155</v>
      </c>
    </row>
    <row r="35680" spans="1:1" ht="12.75">
      <c r="A35680" s="2" t="s">
        <v>155</v>
      </c>
    </row>
    <row r="35681" spans="1:1" ht="12.75">
      <c r="A35681" s="2" t="s">
        <v>675</v>
      </c>
    </row>
    <row r="35682" spans="1:1" ht="12.75">
      <c r="A35682" s="2" t="s">
        <v>675</v>
      </c>
    </row>
    <row r="35683" spans="1:1" ht="12.75">
      <c r="A35683" s="2" t="s">
        <v>512</v>
      </c>
    </row>
    <row r="35684" spans="1:1" ht="12.75">
      <c r="A35684" s="2" t="s">
        <v>576</v>
      </c>
    </row>
    <row r="35685" spans="1:1" ht="12.75">
      <c r="A35685" s="2" t="s">
        <v>512</v>
      </c>
    </row>
    <row r="35686" spans="1:1" ht="12.75">
      <c r="A35686" s="2" t="s">
        <v>547</v>
      </c>
    </row>
    <row r="35687" spans="1:1" ht="12.75">
      <c r="A35687" s="2" t="s">
        <v>512</v>
      </c>
    </row>
    <row r="35688" spans="1:1" ht="12.75">
      <c r="A35688" s="2" t="s">
        <v>514</v>
      </c>
    </row>
    <row r="35689" spans="1:1" ht="12.75">
      <c r="A35689" s="2" t="s">
        <v>512</v>
      </c>
    </row>
    <row r="35690" spans="1:1" ht="12.75">
      <c r="A35690" s="2" t="s">
        <v>675</v>
      </c>
    </row>
    <row r="35691" spans="1:1" ht="12.75">
      <c r="A35691" s="2" t="s">
        <v>675</v>
      </c>
    </row>
    <row r="35692" spans="1:1" ht="12.75">
      <c r="A35692" s="2" t="s">
        <v>547</v>
      </c>
    </row>
    <row r="35693" spans="1:1" ht="12.75">
      <c r="A35693" s="2" t="s">
        <v>547</v>
      </c>
    </row>
    <row r="35694" spans="1:1" ht="12.75">
      <c r="A35694" s="2" t="s">
        <v>514</v>
      </c>
    </row>
    <row r="35695" spans="1:1" ht="12.75">
      <c r="A35695" s="2" t="s">
        <v>547</v>
      </c>
    </row>
    <row r="35696" spans="1:1" ht="12.75">
      <c r="A35696" s="2" t="s">
        <v>675</v>
      </c>
    </row>
    <row r="35698" spans="1:1" ht="12.75">
      <c r="A35698" s="2" t="s">
        <v>512</v>
      </c>
    </row>
    <row r="35700" spans="1:1" ht="12.75">
      <c r="A35700" s="2" t="s">
        <v>512</v>
      </c>
    </row>
    <row r="35702" spans="1:1" ht="12.75">
      <c r="A35702" s="2" t="s">
        <v>512</v>
      </c>
    </row>
    <row r="35704" spans="1:1" ht="12.75">
      <c r="A35704" s="2" t="s">
        <v>512</v>
      </c>
    </row>
    <row r="35705" spans="1:1" ht="12.75">
      <c r="A35705" s="2" t="s">
        <v>576</v>
      </c>
    </row>
    <row r="35706" spans="1:1" ht="12.75">
      <c r="A35706" s="2" t="s">
        <v>547</v>
      </c>
    </row>
    <row r="35707" spans="1:1" ht="12.75">
      <c r="A35707" s="2" t="s">
        <v>514</v>
      </c>
    </row>
    <row r="35708" spans="1:1" ht="12.75">
      <c r="A35708" s="2" t="s">
        <v>547</v>
      </c>
    </row>
    <row r="35709" spans="1:1" ht="12.75">
      <c r="A35709" s="2" t="s">
        <v>512</v>
      </c>
    </row>
    <row r="35710" spans="1:1" ht="12.75">
      <c r="A35710" s="2" t="s">
        <v>675</v>
      </c>
    </row>
    <row r="35711" spans="1:1" ht="12.75">
      <c r="A35711" s="2" t="s">
        <v>547</v>
      </c>
    </row>
    <row r="35712" spans="1:1" ht="12.75">
      <c r="A35712" s="2" t="s">
        <v>675</v>
      </c>
    </row>
    <row r="35713" spans="1:1" ht="12.75">
      <c r="A35713" s="2" t="s">
        <v>514</v>
      </c>
    </row>
    <row r="35714" spans="1:1" ht="12.75">
      <c r="A35714" s="2" t="s">
        <v>547</v>
      </c>
    </row>
    <row r="35715" spans="1:1" ht="12.75">
      <c r="A35715" s="2" t="s">
        <v>512</v>
      </c>
    </row>
    <row r="35716" spans="1:1" ht="12.75">
      <c r="A35716" s="2" t="s">
        <v>675</v>
      </c>
    </row>
    <row r="35717" spans="1:1" ht="12.75">
      <c r="A35717" s="2" t="s">
        <v>547</v>
      </c>
    </row>
    <row r="35718" spans="1:1" ht="12.75">
      <c r="A35718" s="2" t="s">
        <v>512</v>
      </c>
    </row>
    <row r="35719" spans="1:1" ht="12.75">
      <c r="A35719" s="2" t="s">
        <v>547</v>
      </c>
    </row>
    <row r="35720" spans="1:1" ht="12.75">
      <c r="A35720" s="2" t="s">
        <v>514</v>
      </c>
    </row>
    <row r="35721" spans="1:1" ht="12.75">
      <c r="A35721" s="2" t="s">
        <v>547</v>
      </c>
    </row>
    <row r="35722" spans="1:1" ht="12.75">
      <c r="A35722" s="2" t="s">
        <v>512</v>
      </c>
    </row>
    <row r="35723" spans="1:1" ht="12.75">
      <c r="A35723" s="2" t="s">
        <v>512</v>
      </c>
    </row>
    <row r="35724" spans="1:1" ht="12.75">
      <c r="A35724" s="2" t="s">
        <v>514</v>
      </c>
    </row>
    <row r="35725" spans="1:1" ht="12.75">
      <c r="A35725" s="2" t="s">
        <v>547</v>
      </c>
    </row>
    <row r="35726" spans="1:1" ht="12.75">
      <c r="A35726" s="2" t="s">
        <v>512</v>
      </c>
    </row>
    <row r="35727" spans="1:1" ht="12.75">
      <c r="A35727" s="2" t="s">
        <v>547</v>
      </c>
    </row>
    <row r="35728" spans="1:1" ht="12.75">
      <c r="A35728" s="2" t="s">
        <v>512</v>
      </c>
    </row>
    <row r="35729" spans="1:1" ht="12.75">
      <c r="A35729" s="2" t="s">
        <v>547</v>
      </c>
    </row>
    <row r="35730" spans="1:1" ht="12.75">
      <c r="A35730" s="2" t="s">
        <v>514</v>
      </c>
    </row>
    <row r="35732" spans="1:1" ht="12.75">
      <c r="A35732" s="2" t="s">
        <v>675</v>
      </c>
    </row>
    <row r="35734" spans="1:1" ht="12.75">
      <c r="A35734" s="2" t="s">
        <v>675</v>
      </c>
    </row>
    <row r="35735" spans="1:1" ht="12.75">
      <c r="A35735" s="2" t="s">
        <v>547</v>
      </c>
    </row>
    <row r="35736" spans="1:1" ht="12.75">
      <c r="A35736" s="2" t="s">
        <v>547</v>
      </c>
    </row>
    <row r="35737" spans="1:1" ht="12.75">
      <c r="A35737" s="2" t="s">
        <v>547</v>
      </c>
    </row>
    <row r="35738" spans="1:1" ht="12.75">
      <c r="A35738" s="2" t="s">
        <v>547</v>
      </c>
    </row>
    <row r="35740" spans="1:1" ht="12.75">
      <c r="A35740" s="2" t="s">
        <v>547</v>
      </c>
    </row>
    <row r="35741" spans="1:1" ht="12.75">
      <c r="A35741" s="2" t="s">
        <v>514</v>
      </c>
    </row>
    <row r="35742" spans="1:1" ht="12.75">
      <c r="A35742" s="2" t="s">
        <v>547</v>
      </c>
    </row>
    <row r="35743" spans="1:1" ht="12.75">
      <c r="A35743" s="2" t="s">
        <v>512</v>
      </c>
    </row>
    <row r="35744" spans="1:1" ht="12.75">
      <c r="A35744" s="2" t="s">
        <v>512</v>
      </c>
    </row>
    <row r="35745" spans="1:1" ht="12.75">
      <c r="A35745" s="2" t="s">
        <v>512</v>
      </c>
    </row>
    <row r="35746" spans="1:1" ht="12.75">
      <c r="A35746" s="2" t="s">
        <v>547</v>
      </c>
    </row>
    <row r="35747" spans="1:1" ht="12.75">
      <c r="A35747" s="2" t="s">
        <v>576</v>
      </c>
    </row>
    <row r="35748" spans="1:1" ht="12.75">
      <c r="A35748" s="2" t="s">
        <v>547</v>
      </c>
    </row>
    <row r="35749" spans="1:1" ht="12.75">
      <c r="A35749" s="2" t="s">
        <v>576</v>
      </c>
    </row>
    <row r="35750" spans="1:1" ht="12.75">
      <c r="A35750" s="2" t="s">
        <v>512</v>
      </c>
    </row>
    <row r="35751" spans="1:1" ht="12.75">
      <c r="A35751" s="2" t="s">
        <v>576</v>
      </c>
    </row>
    <row r="35752" spans="1:1" ht="12.75">
      <c r="A35752" s="2" t="s">
        <v>512</v>
      </c>
    </row>
    <row r="35753" spans="1:1" ht="12.75">
      <c r="A35753" s="2" t="s">
        <v>576</v>
      </c>
    </row>
    <row r="35754" spans="1:1" ht="12.75">
      <c r="A35754" s="2" t="s">
        <v>512</v>
      </c>
    </row>
    <row r="35755" spans="1:1" ht="12.75">
      <c r="A35755" s="2" t="s">
        <v>512</v>
      </c>
    </row>
    <row r="35756" spans="1:1" ht="12.75">
      <c r="A35756" s="2" t="s">
        <v>512</v>
      </c>
    </row>
    <row r="35757" spans="1:1" ht="12.75">
      <c r="A35757" s="2" t="s">
        <v>547</v>
      </c>
    </row>
    <row r="35758" spans="1:1" ht="12.75">
      <c r="A35758" s="2" t="s">
        <v>512</v>
      </c>
    </row>
    <row r="35759" spans="1:1" ht="12.75">
      <c r="A35759" s="2" t="s">
        <v>512</v>
      </c>
    </row>
    <row r="35760" spans="1:1" ht="12.75">
      <c r="A35760" s="2" t="s">
        <v>675</v>
      </c>
    </row>
    <row r="35761" spans="1:1" ht="12.75">
      <c r="A35761" s="2" t="s">
        <v>514</v>
      </c>
    </row>
    <row r="35762" spans="1:1" ht="12.75">
      <c r="A35762" s="2" t="s">
        <v>675</v>
      </c>
    </row>
    <row r="35763" spans="1:1" ht="12.75">
      <c r="A35763" s="2" t="s">
        <v>547</v>
      </c>
    </row>
    <row r="35764" spans="1:1" ht="12.75">
      <c r="A35764" s="2" t="s">
        <v>675</v>
      </c>
    </row>
    <row r="35765" spans="1:1" ht="12.75">
      <c r="A35765" s="2" t="s">
        <v>514</v>
      </c>
    </row>
    <row r="35766" spans="1:1" ht="12.75">
      <c r="A35766" s="2" t="s">
        <v>512</v>
      </c>
    </row>
    <row r="35767" spans="1:1" ht="12.75">
      <c r="A35767" s="2" t="s">
        <v>547</v>
      </c>
    </row>
    <row r="35768" spans="1:1" ht="12.75">
      <c r="A35768" s="2" t="s">
        <v>512</v>
      </c>
    </row>
    <row r="35769" spans="1:1" ht="12.75">
      <c r="A35769" s="2" t="s">
        <v>675</v>
      </c>
    </row>
    <row r="35770" spans="1:1" ht="12.75">
      <c r="A35770" s="2" t="s">
        <v>514</v>
      </c>
    </row>
    <row r="35771" spans="1:1" ht="12.75">
      <c r="A35771" s="2" t="s">
        <v>512</v>
      </c>
    </row>
    <row r="35772" spans="1:1" ht="12.75">
      <c r="A35772" s="2" t="s">
        <v>675</v>
      </c>
    </row>
    <row r="35773" spans="1:1" ht="12.75">
      <c r="A35773" s="2" t="s">
        <v>512</v>
      </c>
    </row>
    <row r="35774" spans="1:1" ht="12.75">
      <c r="A35774" s="2" t="s">
        <v>514</v>
      </c>
    </row>
    <row r="35775" spans="1:1" ht="12.75">
      <c r="A35775" s="2" t="s">
        <v>512</v>
      </c>
    </row>
    <row r="35776" spans="1:1" ht="12.75">
      <c r="A35776" s="2" t="s">
        <v>514</v>
      </c>
    </row>
    <row r="35777" spans="1:1" ht="12.75">
      <c r="A35777" s="2" t="s">
        <v>547</v>
      </c>
    </row>
    <row r="35778" spans="1:1" ht="12.75">
      <c r="A35778" s="2" t="s">
        <v>514</v>
      </c>
    </row>
    <row r="35779" spans="1:1" ht="12.75">
      <c r="A35779" s="2" t="s">
        <v>547</v>
      </c>
    </row>
    <row r="35780" spans="1:1" ht="12.75">
      <c r="A35780" s="2" t="s">
        <v>675</v>
      </c>
    </row>
    <row r="35781" spans="1:1" ht="12.75">
      <c r="A35781" s="2" t="s">
        <v>512</v>
      </c>
    </row>
    <row r="35782" spans="1:1" ht="12.75">
      <c r="A35782" s="2">
        <v>799</v>
      </c>
    </row>
    <row r="35783" spans="1:1" ht="12.75">
      <c r="A35783" s="2" t="s">
        <v>514</v>
      </c>
    </row>
    <row r="35784" spans="1:1" ht="12.75">
      <c r="A35784" s="2" t="s">
        <v>547</v>
      </c>
    </row>
    <row r="35786" spans="1:1" ht="12.75">
      <c r="A35786" s="2" t="s">
        <v>547</v>
      </c>
    </row>
    <row r="35787" spans="1:1" ht="12.75">
      <c r="A35787" s="2" t="s">
        <v>514</v>
      </c>
    </row>
    <row r="35788" spans="1:1" ht="12.75">
      <c r="A35788" s="2" t="s">
        <v>514</v>
      </c>
    </row>
    <row r="35790" spans="1:1" ht="12.75">
      <c r="A35790" s="2" t="s">
        <v>675</v>
      </c>
    </row>
    <row r="35791" spans="1:1" ht="12.75">
      <c r="A35791" s="2" t="s">
        <v>675</v>
      </c>
    </row>
    <row r="35793" spans="1:1" ht="12.75">
      <c r="A35793" s="2" t="s">
        <v>512</v>
      </c>
    </row>
    <row r="35794" spans="1:1" ht="12.75">
      <c r="A35794" s="2" t="s">
        <v>512</v>
      </c>
    </row>
    <row r="35795" spans="1:1" ht="12.75">
      <c r="A35795" s="2" t="s">
        <v>512</v>
      </c>
    </row>
    <row r="35796" spans="1:1" ht="12.75">
      <c r="A35796" s="2" t="s">
        <v>512</v>
      </c>
    </row>
    <row r="35797" spans="1:1" ht="12.75">
      <c r="A35797" s="2" t="s">
        <v>576</v>
      </c>
    </row>
    <row r="35798" spans="1:1" ht="12.75">
      <c r="A35798" s="2" t="s">
        <v>576</v>
      </c>
    </row>
    <row r="35799" spans="1:1" ht="12.75">
      <c r="A35799" s="2" t="s">
        <v>547</v>
      </c>
    </row>
    <row r="35800" spans="1:1" ht="12.75">
      <c r="A35800" s="2" t="s">
        <v>514</v>
      </c>
    </row>
    <row r="35801" spans="1:1" ht="12.75">
      <c r="A35801" s="2" t="s">
        <v>514</v>
      </c>
    </row>
    <row r="35802" spans="1:1" ht="12.75">
      <c r="A35802" s="2" t="s">
        <v>675</v>
      </c>
    </row>
    <row r="35803" spans="1:1" ht="12.75">
      <c r="A35803" s="2" t="s">
        <v>675</v>
      </c>
    </row>
    <row r="35804" spans="1:1" ht="12.75">
      <c r="A35804" s="2" t="s">
        <v>675</v>
      </c>
    </row>
    <row r="35805" spans="1:1" ht="12.75">
      <c r="A35805" s="2" t="s">
        <v>675</v>
      </c>
    </row>
    <row r="35806" spans="1:1" ht="12.75">
      <c r="A35806" s="2" t="s">
        <v>514</v>
      </c>
    </row>
    <row r="35807" spans="1:1" ht="12.75">
      <c r="A35807" s="2" t="s">
        <v>576</v>
      </c>
    </row>
    <row r="35808" spans="1:1" ht="12.75">
      <c r="A35808" s="2" t="s">
        <v>675</v>
      </c>
    </row>
    <row r="35809" spans="1:1" ht="12.75">
      <c r="A35809" s="2" t="s">
        <v>576</v>
      </c>
    </row>
    <row r="35810" spans="1:1" ht="12.75">
      <c r="A35810" s="2" t="s">
        <v>576</v>
      </c>
    </row>
    <row r="35811" spans="1:1" ht="12.75">
      <c r="A35811" s="2" t="s">
        <v>675</v>
      </c>
    </row>
    <row r="35812" spans="1:1" ht="12.75">
      <c r="A35812" s="2" t="s">
        <v>675</v>
      </c>
    </row>
    <row r="35813" spans="1:1" ht="12.75">
      <c r="A35813" s="2" t="s">
        <v>675</v>
      </c>
    </row>
    <row r="35814" spans="1:1" ht="12.75">
      <c r="A35814" s="2" t="s">
        <v>576</v>
      </c>
    </row>
    <row r="35815" spans="1:1" ht="12.75">
      <c r="A35815" s="2" t="s">
        <v>675</v>
      </c>
    </row>
    <row r="35816" spans="1:1" ht="12.75">
      <c r="A35816" s="2" t="s">
        <v>576</v>
      </c>
    </row>
    <row r="35817" spans="1:1" ht="12.75">
      <c r="A35817" s="2" t="s">
        <v>547</v>
      </c>
    </row>
    <row r="35818" spans="1:1" ht="12.75">
      <c r="A35818" s="2" t="s">
        <v>675</v>
      </c>
    </row>
    <row r="35819" spans="1:1" ht="12.75">
      <c r="A35819" s="2" t="s">
        <v>675</v>
      </c>
    </row>
    <row r="35820" spans="1:1" ht="12.75">
      <c r="A35820" s="2" t="s">
        <v>675</v>
      </c>
    </row>
    <row r="35821" spans="1:1" ht="12.75">
      <c r="A35821" s="2" t="s">
        <v>675</v>
      </c>
    </row>
    <row r="35822" spans="1:1" ht="12.75">
      <c r="A35822" s="2" t="s">
        <v>547</v>
      </c>
    </row>
    <row r="35823" spans="1:1" ht="12.75">
      <c r="A35823" s="2" t="s">
        <v>675</v>
      </c>
    </row>
    <row r="35824" spans="1:1" ht="12.75">
      <c r="A35824" s="2" t="s">
        <v>514</v>
      </c>
    </row>
    <row r="35825" spans="1:1" ht="12.75">
      <c r="A35825" s="2" t="s">
        <v>514</v>
      </c>
    </row>
    <row r="35826" spans="1:1" ht="12.75">
      <c r="A35826" s="2" t="s">
        <v>576</v>
      </c>
    </row>
    <row r="35828" spans="1:1" ht="12.75">
      <c r="A35828" s="2" t="s">
        <v>547</v>
      </c>
    </row>
    <row r="35831" spans="1:1" ht="12.75">
      <c r="A35831" s="2" t="s">
        <v>547</v>
      </c>
    </row>
    <row r="35832" spans="1:1" ht="12.75">
      <c r="A35832" s="2" t="s">
        <v>675</v>
      </c>
    </row>
    <row r="35833" spans="1:1" ht="12.75">
      <c r="A35833" s="2" t="s">
        <v>675</v>
      </c>
    </row>
    <row r="35834" spans="1:1" ht="12.75">
      <c r="A35834" s="2" t="s">
        <v>512</v>
      </c>
    </row>
    <row r="35835" spans="1:1" ht="12.75">
      <c r="A35835" s="2" t="s">
        <v>675</v>
      </c>
    </row>
    <row r="35836" spans="1:1" ht="12.75">
      <c r="A35836" s="2" t="s">
        <v>512</v>
      </c>
    </row>
    <row r="35837" spans="1:1" ht="12.75">
      <c r="A35837" s="2" t="s">
        <v>675</v>
      </c>
    </row>
    <row r="35838" spans="1:1" ht="12.75">
      <c r="A35838" s="2" t="s">
        <v>1273</v>
      </c>
    </row>
    <row r="35839" spans="1:1" ht="12.75">
      <c r="A35839" s="2" t="s">
        <v>576</v>
      </c>
    </row>
    <row r="35840" spans="1:1" ht="12.75">
      <c r="A35840" s="2" t="s">
        <v>1274</v>
      </c>
    </row>
    <row r="35842" spans="1:1" ht="12.75">
      <c r="A35842" s="2" t="s">
        <v>514</v>
      </c>
    </row>
    <row r="35844" spans="1:1" ht="12.75">
      <c r="A35844" s="2" t="s">
        <v>675</v>
      </c>
    </row>
    <row r="35845" spans="1:1" ht="12.75">
      <c r="A35845" s="2" t="s">
        <v>512</v>
      </c>
    </row>
    <row r="35846" spans="1:1" ht="12.75">
      <c r="A35846" s="2" t="s">
        <v>675</v>
      </c>
    </row>
    <row r="35847" spans="1:1" ht="12.75">
      <c r="A35847" s="2" t="s">
        <v>512</v>
      </c>
    </row>
    <row r="35848" spans="1:1" ht="12.75">
      <c r="A35848" s="2" t="s">
        <v>547</v>
      </c>
    </row>
    <row r="35849" spans="1:1" ht="12.75">
      <c r="A35849" s="2" t="s">
        <v>513</v>
      </c>
    </row>
    <row r="35850" spans="1:1" ht="12.75">
      <c r="A35850" s="2" t="s">
        <v>547</v>
      </c>
    </row>
    <row r="35851" spans="1:1" ht="12.75">
      <c r="A35851" s="2" t="s">
        <v>675</v>
      </c>
    </row>
    <row r="35852" spans="1:1" ht="12.75">
      <c r="A35852" s="2" t="s">
        <v>547</v>
      </c>
    </row>
    <row r="35853" spans="1:1" ht="12.75">
      <c r="A35853" s="2" t="s">
        <v>675</v>
      </c>
    </row>
    <row r="35854" spans="1:1" ht="12.75">
      <c r="A35854" s="2" t="s">
        <v>675</v>
      </c>
    </row>
    <row r="35855" spans="1:1" ht="12.75">
      <c r="A35855" s="2" t="s">
        <v>547</v>
      </c>
    </row>
    <row r="35856" spans="1:1" ht="12.75">
      <c r="A35856" s="2" t="s">
        <v>547</v>
      </c>
    </row>
    <row r="35857" spans="1:1" ht="12.75">
      <c r="A35857" s="2" t="s">
        <v>547</v>
      </c>
    </row>
    <row r="35858" spans="1:1" ht="12.75">
      <c r="A35858" s="2" t="s">
        <v>547</v>
      </c>
    </row>
    <row r="35859" spans="1:1" ht="12.75">
      <c r="A35859" s="2" t="s">
        <v>512</v>
      </c>
    </row>
    <row r="35860" spans="1:1" ht="12.75">
      <c r="A35860" s="2" t="s">
        <v>512</v>
      </c>
    </row>
    <row r="35861" spans="1:1" ht="12.75">
      <c r="A35861" s="2" t="s">
        <v>547</v>
      </c>
    </row>
    <row r="35862" spans="1:1" ht="12.75">
      <c r="A35862" s="2" t="s">
        <v>547</v>
      </c>
    </row>
    <row r="35863" spans="1:1" ht="12.75">
      <c r="A35863" s="2" t="s">
        <v>547</v>
      </c>
    </row>
    <row r="35864" spans="1:1" ht="12.75">
      <c r="A35864" s="2" t="s">
        <v>514</v>
      </c>
    </row>
    <row r="35865" spans="1:1" ht="12.75">
      <c r="A35865" s="2" t="s">
        <v>514</v>
      </c>
    </row>
    <row r="35866" spans="1:1" ht="12.75">
      <c r="A35866" s="2" t="s">
        <v>547</v>
      </c>
    </row>
    <row r="35871" spans="1:1" ht="12.75">
      <c r="A35871" s="2" t="s">
        <v>675</v>
      </c>
    </row>
    <row r="35872" spans="1:1" ht="12.75">
      <c r="A35872" s="2" t="s">
        <v>675</v>
      </c>
    </row>
    <row r="35874" spans="1:1" ht="12.75">
      <c r="A35874" s="2" t="s">
        <v>675</v>
      </c>
    </row>
    <row r="35875" spans="1:1" ht="12.75">
      <c r="A35875" s="2" t="s">
        <v>547</v>
      </c>
    </row>
    <row r="35876" spans="1:1" ht="12.75">
      <c r="A35876" s="2" t="s">
        <v>547</v>
      </c>
    </row>
    <row r="35877" spans="1:1" ht="12.75">
      <c r="A35877" s="2" t="s">
        <v>547</v>
      </c>
    </row>
    <row r="35878" spans="1:1" ht="12.75">
      <c r="A35878" s="2" t="s">
        <v>547</v>
      </c>
    </row>
    <row r="35879" spans="1:1" ht="12.75">
      <c r="A35879" s="2" t="s">
        <v>675</v>
      </c>
    </row>
    <row r="35880" spans="1:1" ht="12.75">
      <c r="A35880" s="2" t="s">
        <v>675</v>
      </c>
    </row>
    <row r="35881" spans="1:1" ht="12.75">
      <c r="A35881" s="2" t="s">
        <v>396</v>
      </c>
    </row>
    <row r="35894" spans="1:1" ht="12.75">
      <c r="A35894" s="2" t="s">
        <v>396</v>
      </c>
    </row>
    <row r="35895" spans="1:1" ht="12.75">
      <c r="A35895" s="2" t="s">
        <v>397</v>
      </c>
    </row>
    <row r="35897" spans="1:1" ht="12.75">
      <c r="A35897" s="2" t="s">
        <v>397</v>
      </c>
    </row>
    <row r="35898" spans="1:1" ht="12.75">
      <c r="A35898" s="2" t="s">
        <v>397</v>
      </c>
    </row>
    <row r="35899" spans="1:1" ht="12.75">
      <c r="A35899" s="2" t="s">
        <v>397</v>
      </c>
    </row>
    <row r="35900" spans="1:1" ht="12.75">
      <c r="A35900" s="2" t="s">
        <v>397</v>
      </c>
    </row>
    <row r="35901" spans="1:1" ht="12.75">
      <c r="A35901" s="2" t="s">
        <v>1275</v>
      </c>
    </row>
    <row r="35906" spans="1:1" ht="12.75">
      <c r="A35906" s="2" t="s">
        <v>675</v>
      </c>
    </row>
    <row r="35907" spans="1:1" ht="12.75">
      <c r="A35907" s="2" t="s">
        <v>547</v>
      </c>
    </row>
    <row r="35908" spans="1:1" ht="12.75">
      <c r="A35908" s="2" t="s">
        <v>547</v>
      </c>
    </row>
    <row r="35910" spans="1:1" ht="12.75">
      <c r="A35910" s="2" t="s">
        <v>675</v>
      </c>
    </row>
    <row r="35911" spans="1:1" ht="12.75">
      <c r="A35911" s="2" t="s">
        <v>798</v>
      </c>
    </row>
    <row r="35912" spans="1:1" ht="12.75">
      <c r="A35912" s="2" t="s">
        <v>675</v>
      </c>
    </row>
    <row r="35913" spans="1:1" ht="12.75">
      <c r="A35913" s="2" t="s">
        <v>798</v>
      </c>
    </row>
    <row r="35914" spans="1:1" ht="12.75">
      <c r="A35914" s="2" t="s">
        <v>675</v>
      </c>
    </row>
    <row r="35915" spans="1:1" ht="12.75">
      <c r="A35915" s="2" t="s">
        <v>798</v>
      </c>
    </row>
    <row r="35916" spans="1:1" ht="12.75">
      <c r="A35916" s="2" t="s">
        <v>547</v>
      </c>
    </row>
    <row r="35917" spans="1:1" ht="12.75">
      <c r="A35917" s="2" t="s">
        <v>512</v>
      </c>
    </row>
    <row r="35918" spans="1:1" ht="12.75">
      <c r="A35918" s="2" t="s">
        <v>547</v>
      </c>
    </row>
    <row r="35919" spans="1:1" ht="12.75">
      <c r="A35919" s="2" t="s">
        <v>547</v>
      </c>
    </row>
    <row r="35920" spans="1:1" ht="12.75">
      <c r="A35920" s="2" t="s">
        <v>547</v>
      </c>
    </row>
    <row r="35921" spans="1:1" ht="12.75">
      <c r="A35921" s="2" t="s">
        <v>547</v>
      </c>
    </row>
    <row r="35922" spans="1:1" ht="12.75">
      <c r="A35922" s="2" t="s">
        <v>547</v>
      </c>
    </row>
    <row r="35923" spans="1:1" ht="12.75">
      <c r="A35923" s="2" t="s">
        <v>547</v>
      </c>
    </row>
    <row r="35924" spans="1:1" ht="12.75">
      <c r="A35924" s="2" t="s">
        <v>514</v>
      </c>
    </row>
    <row r="35925" spans="1:1" ht="12.75">
      <c r="A35925" s="2" t="s">
        <v>547</v>
      </c>
    </row>
    <row r="35926" spans="1:1" ht="12.75">
      <c r="A35926" s="2" t="s">
        <v>675</v>
      </c>
    </row>
    <row r="35927" spans="1:1" ht="12.75">
      <c r="A35927" s="2" t="s">
        <v>675</v>
      </c>
    </row>
    <row r="35928" spans="1:1" ht="12.75">
      <c r="A35928" s="2" t="s">
        <v>675</v>
      </c>
    </row>
    <row r="35930" spans="1:1" ht="12.75">
      <c r="A35930" s="2" t="s">
        <v>514</v>
      </c>
    </row>
    <row r="35931" spans="1:1" ht="12.75">
      <c r="A35931" s="2" t="s">
        <v>512</v>
      </c>
    </row>
    <row r="35932" spans="1:1" ht="12.75">
      <c r="A35932" s="2" t="s">
        <v>512</v>
      </c>
    </row>
    <row r="35933" spans="1:1" ht="12.75">
      <c r="A35933" s="2" t="s">
        <v>675</v>
      </c>
    </row>
    <row r="35934" spans="1:1" ht="12.75">
      <c r="A35934" s="2" t="s">
        <v>675</v>
      </c>
    </row>
    <row r="35938" spans="1:1" ht="12.75">
      <c r="A35938" s="2" t="s">
        <v>576</v>
      </c>
    </row>
    <row r="35939" spans="1:1" ht="12.75">
      <c r="A35939" s="2" t="s">
        <v>1028</v>
      </c>
    </row>
    <row r="35940" spans="1:1" ht="12.75">
      <c r="A35940" s="2" t="s">
        <v>675</v>
      </c>
    </row>
    <row r="35941" spans="1:1" ht="12.75">
      <c r="A35941" s="2" t="s">
        <v>512</v>
      </c>
    </row>
    <row r="35943" spans="1:1" ht="12.75">
      <c r="A35943" s="2" t="s">
        <v>514</v>
      </c>
    </row>
    <row r="35945" spans="1:1" ht="12.75">
      <c r="A35945" s="2" t="s">
        <v>547</v>
      </c>
    </row>
    <row r="35946" spans="1:1" ht="12.75">
      <c r="A35946" s="2" t="s">
        <v>798</v>
      </c>
    </row>
    <row r="35947" spans="1:1" ht="12.75">
      <c r="A35947" s="2" t="s">
        <v>547</v>
      </c>
    </row>
    <row r="35948" spans="1:1" ht="12.75">
      <c r="A35948" s="2" t="s">
        <v>700</v>
      </c>
    </row>
    <row r="35949" spans="1:1" ht="12.75">
      <c r="A35949" s="2" t="s">
        <v>799</v>
      </c>
    </row>
    <row r="35951" spans="1:1" ht="12.75">
      <c r="A35951" s="2" t="s">
        <v>576</v>
      </c>
    </row>
    <row r="35953" spans="1:1" ht="12.75">
      <c r="A35953" s="2" t="s">
        <v>576</v>
      </c>
    </row>
    <row r="35954" spans="1:1" ht="12.75">
      <c r="A35954" s="2" t="s">
        <v>547</v>
      </c>
    </row>
    <row r="35956" spans="1:1" ht="12.75">
      <c r="A35956" s="2" t="s">
        <v>547</v>
      </c>
    </row>
    <row r="35957" spans="1:1" ht="12.75">
      <c r="A35957" s="2" t="s">
        <v>547</v>
      </c>
    </row>
    <row r="35958" spans="1:1" ht="12.75">
      <c r="A35958" s="2" t="s">
        <v>547</v>
      </c>
    </row>
    <row r="35959" spans="1:1" ht="12.75">
      <c r="A35959" s="2" t="s">
        <v>547</v>
      </c>
    </row>
    <row r="35960" spans="1:1" ht="12.75">
      <c r="A35960" s="2" t="s">
        <v>512</v>
      </c>
    </row>
    <row r="35961" spans="1:1" ht="12.75">
      <c r="A35961" s="2" t="s">
        <v>799</v>
      </c>
    </row>
    <row r="35962" spans="1:1" ht="12.75">
      <c r="A35962" s="2" t="s">
        <v>512</v>
      </c>
    </row>
    <row r="35963" spans="1:1" ht="12.75">
      <c r="A35963" s="2" t="s">
        <v>512</v>
      </c>
    </row>
    <row r="35964" spans="1:1" ht="12.75">
      <c r="A35964" s="2" t="s">
        <v>675</v>
      </c>
    </row>
    <row r="35965" spans="1:1" ht="12.75">
      <c r="A35965" s="2" t="s">
        <v>514</v>
      </c>
    </row>
    <row r="35966" spans="1:1" ht="12.75">
      <c r="A35966" s="2" t="s">
        <v>675</v>
      </c>
    </row>
    <row r="35967" spans="1:1" ht="12.75">
      <c r="A35967" s="2" t="s">
        <v>514</v>
      </c>
    </row>
    <row r="35968" spans="1:1" ht="12.75">
      <c r="A35968" s="2" t="s">
        <v>512</v>
      </c>
    </row>
    <row r="35969" spans="1:1" ht="12.75">
      <c r="A35969" s="2" t="s">
        <v>675</v>
      </c>
    </row>
    <row r="35970" spans="1:1" ht="12.75">
      <c r="A35970" s="2" t="s">
        <v>547</v>
      </c>
    </row>
    <row r="35971" spans="1:1" ht="12.75">
      <c r="A35971" s="2" t="s">
        <v>576</v>
      </c>
    </row>
    <row r="35972" spans="1:1" ht="12.75">
      <c r="A35972" s="2" t="s">
        <v>547</v>
      </c>
    </row>
    <row r="35973" spans="1:1" ht="12.75">
      <c r="A35973" s="2" t="s">
        <v>547</v>
      </c>
    </row>
    <row r="35974" spans="1:1" ht="12.75">
      <c r="A35974" s="2" t="s">
        <v>514</v>
      </c>
    </row>
    <row r="35975" spans="1:1" ht="12.75">
      <c r="A35975" s="2" t="s">
        <v>547</v>
      </c>
    </row>
    <row r="35984" spans="1:1" ht="12.75">
      <c r="A35984" s="2" t="s">
        <v>512</v>
      </c>
    </row>
    <row r="35985" spans="1:1" ht="12.75">
      <c r="A35985" s="2" t="s">
        <v>675</v>
      </c>
    </row>
    <row r="35986" spans="1:1" ht="12.75">
      <c r="A35986" s="2" t="s">
        <v>512</v>
      </c>
    </row>
    <row r="35987" spans="1:1" ht="12.75">
      <c r="A35987" s="2" t="s">
        <v>547</v>
      </c>
    </row>
    <row r="35988" spans="1:1" ht="12.75">
      <c r="A35988" s="2" t="s">
        <v>1276</v>
      </c>
    </row>
    <row r="35989" spans="1:1" ht="12.75">
      <c r="A35989" s="2" t="s">
        <v>514</v>
      </c>
    </row>
    <row r="35990" spans="1:1" ht="12.75">
      <c r="A35990" s="2" t="s">
        <v>512</v>
      </c>
    </row>
    <row r="35991" spans="1:1" ht="12.75">
      <c r="A35991" s="2" t="s">
        <v>547</v>
      </c>
    </row>
    <row r="35992" spans="1:1" ht="12.75">
      <c r="A35992" s="2" t="s">
        <v>514</v>
      </c>
    </row>
    <row r="35993" spans="1:1" ht="12.75">
      <c r="A35993" s="2" t="s">
        <v>514</v>
      </c>
    </row>
    <row r="35994" spans="1:1" ht="12.75">
      <c r="A35994" s="2" t="s">
        <v>514</v>
      </c>
    </row>
    <row r="35995" spans="1:1" ht="12.75">
      <c r="A35995" s="2" t="s">
        <v>514</v>
      </c>
    </row>
    <row r="35996" spans="1:1" ht="12.75">
      <c r="A35996" s="2" t="s">
        <v>547</v>
      </c>
    </row>
    <row r="35997" spans="1:1" ht="12.75">
      <c r="A35997" s="2" t="s">
        <v>547</v>
      </c>
    </row>
    <row r="35998" spans="1:1" ht="12.75">
      <c r="A35998" s="2" t="s">
        <v>547</v>
      </c>
    </row>
    <row r="35999" spans="1:1" ht="12.75">
      <c r="A35999" s="2" t="s">
        <v>547</v>
      </c>
    </row>
    <row r="36000" spans="1:1" ht="12.75">
      <c r="A36000" s="2" t="s">
        <v>547</v>
      </c>
    </row>
    <row r="36001" spans="1:1" ht="12.75">
      <c r="A36001" s="2" t="s">
        <v>547</v>
      </c>
    </row>
    <row r="36003" spans="1:1" ht="12.75">
      <c r="A36003" s="2" t="s">
        <v>675</v>
      </c>
    </row>
    <row r="36004" spans="1:1" ht="12.75">
      <c r="A36004" s="2" t="s">
        <v>512</v>
      </c>
    </row>
    <row r="36005" spans="1:1" ht="12.75">
      <c r="A36005" s="2" t="s">
        <v>512</v>
      </c>
    </row>
    <row r="36006" spans="1:1" ht="12.75">
      <c r="A36006" s="2" t="s">
        <v>984</v>
      </c>
    </row>
    <row r="36007" spans="1:1" ht="12.75">
      <c r="A36007" s="2" t="s">
        <v>984</v>
      </c>
    </row>
    <row r="36008" spans="1:1" ht="12.75">
      <c r="A36008" s="2" t="s">
        <v>1277</v>
      </c>
    </row>
    <row r="36009" spans="1:1" ht="12.75">
      <c r="A36009" s="2" t="s">
        <v>984</v>
      </c>
    </row>
    <row r="36010" spans="1:1" ht="12.75">
      <c r="A36010" s="2" t="s">
        <v>222</v>
      </c>
    </row>
    <row r="36011" spans="1:1" ht="12.75">
      <c r="A36011" s="2" t="s">
        <v>222</v>
      </c>
    </row>
    <row r="36012" spans="1:1" ht="12.75">
      <c r="A36012" s="2" t="s">
        <v>875</v>
      </c>
    </row>
    <row r="36013" spans="1:1" ht="12.75">
      <c r="A36013" s="2" t="s">
        <v>222</v>
      </c>
    </row>
    <row r="36014" spans="1:1" ht="12.75">
      <c r="A36014" s="2" t="s">
        <v>222</v>
      </c>
    </row>
    <row r="36015" spans="1:1" ht="12.75">
      <c r="A36015" s="2" t="s">
        <v>222</v>
      </c>
    </row>
    <row r="36016" spans="1:1" ht="12.75">
      <c r="A36016" s="2" t="s">
        <v>875</v>
      </c>
    </row>
    <row r="36017" spans="1:1" ht="12.75">
      <c r="A36017" s="2" t="s">
        <v>222</v>
      </c>
    </row>
    <row r="36018" spans="1:1" ht="12.75">
      <c r="A36018" s="2" t="s">
        <v>222</v>
      </c>
    </row>
    <row r="36019" spans="1:1" ht="12.75">
      <c r="A36019" s="2" t="s">
        <v>222</v>
      </c>
    </row>
    <row r="36020" spans="1:1" ht="12.75">
      <c r="A36020" s="2" t="s">
        <v>222</v>
      </c>
    </row>
    <row r="36021" spans="1:1" ht="12.75">
      <c r="A36021" s="2" t="s">
        <v>222</v>
      </c>
    </row>
    <row r="36022" spans="1:1" ht="12.75">
      <c r="A36022" s="2" t="s">
        <v>222</v>
      </c>
    </row>
    <row r="36023" spans="1:1" ht="12.75">
      <c r="A36023" s="2" t="s">
        <v>222</v>
      </c>
    </row>
    <row r="36024" spans="1:1" ht="12.75">
      <c r="A36024" s="2" t="s">
        <v>222</v>
      </c>
    </row>
    <row r="36025" spans="1:1" ht="12.75">
      <c r="A36025" s="2" t="s">
        <v>222</v>
      </c>
    </row>
    <row r="36026" spans="1:1" ht="12.75">
      <c r="A36026" s="2" t="s">
        <v>222</v>
      </c>
    </row>
    <row r="36027" spans="1:1" ht="12.75">
      <c r="A36027" s="2" t="s">
        <v>222</v>
      </c>
    </row>
    <row r="36028" spans="1:1" ht="12.75">
      <c r="A36028" s="2" t="s">
        <v>222</v>
      </c>
    </row>
    <row r="36029" spans="1:1" ht="12.75">
      <c r="A36029" s="2" t="s">
        <v>1278</v>
      </c>
    </row>
    <row r="36030" spans="1:1" ht="12.75">
      <c r="A36030" s="2" t="s">
        <v>222</v>
      </c>
    </row>
    <row r="36031" spans="1:1" ht="12.75">
      <c r="A36031" s="2" t="s">
        <v>222</v>
      </c>
    </row>
    <row r="36032" spans="1:1" ht="12.75">
      <c r="A36032" s="2" t="s">
        <v>222</v>
      </c>
    </row>
    <row r="36033" spans="1:1" ht="12.75">
      <c r="A36033" s="2" t="s">
        <v>222</v>
      </c>
    </row>
    <row r="36034" spans="1:1" ht="12.75">
      <c r="A36034" s="2" t="s">
        <v>222</v>
      </c>
    </row>
    <row r="36035" spans="1:1" ht="12.75">
      <c r="A36035" s="2" t="s">
        <v>222</v>
      </c>
    </row>
    <row r="36036" spans="1:1" ht="12.75">
      <c r="A36036" s="2" t="s">
        <v>222</v>
      </c>
    </row>
    <row r="36037" spans="1:1" ht="12.75">
      <c r="A36037" s="2" t="s">
        <v>222</v>
      </c>
    </row>
    <row r="36038" spans="1:1" ht="12.75">
      <c r="A36038" s="2" t="s">
        <v>222</v>
      </c>
    </row>
    <row r="36039" spans="1:1" ht="12.75">
      <c r="A36039" s="2" t="s">
        <v>222</v>
      </c>
    </row>
    <row r="36040" spans="1:1" ht="12.75">
      <c r="A36040" s="2" t="s">
        <v>222</v>
      </c>
    </row>
    <row r="36041" spans="1:1" ht="12.75">
      <c r="A36041" s="2" t="s">
        <v>222</v>
      </c>
    </row>
    <row r="36042" spans="1:1" ht="12.75">
      <c r="A36042" s="2" t="s">
        <v>222</v>
      </c>
    </row>
    <row r="36043" spans="1:1" ht="12.75">
      <c r="A36043" s="2" t="s">
        <v>222</v>
      </c>
    </row>
    <row r="36044" spans="1:1" ht="12.75">
      <c r="A36044" s="2" t="s">
        <v>222</v>
      </c>
    </row>
    <row r="36045" spans="1:1" ht="12.75">
      <c r="A36045" s="2" t="s">
        <v>222</v>
      </c>
    </row>
    <row r="36046" spans="1:1" ht="12.75">
      <c r="A36046" s="2" t="s">
        <v>222</v>
      </c>
    </row>
    <row r="36047" spans="1:1" ht="12.75">
      <c r="A36047" s="2" t="s">
        <v>222</v>
      </c>
    </row>
    <row r="36048" spans="1:1" ht="12.75">
      <c r="A36048" s="2" t="s">
        <v>222</v>
      </c>
    </row>
    <row r="36049" spans="1:1" ht="12.75">
      <c r="A36049" s="2" t="s">
        <v>222</v>
      </c>
    </row>
    <row r="36050" spans="1:1" ht="12.75">
      <c r="A36050" s="2" t="s">
        <v>222</v>
      </c>
    </row>
    <row r="36051" spans="1:1" ht="12.75">
      <c r="A36051" s="2" t="s">
        <v>222</v>
      </c>
    </row>
    <row r="36052" spans="1:1" ht="12.75">
      <c r="A36052" s="2" t="s">
        <v>222</v>
      </c>
    </row>
    <row r="36053" spans="1:1" ht="12.75">
      <c r="A36053" s="2" t="s">
        <v>222</v>
      </c>
    </row>
    <row r="36054" spans="1:1" ht="12.75">
      <c r="A36054" s="2" t="s">
        <v>222</v>
      </c>
    </row>
    <row r="36055" spans="1:1" ht="12.75">
      <c r="A36055" s="2" t="s">
        <v>222</v>
      </c>
    </row>
    <row r="36056" spans="1:1" ht="12.75">
      <c r="A36056" s="2" t="s">
        <v>547</v>
      </c>
    </row>
    <row r="36057" spans="1:1" ht="12.75">
      <c r="A36057" s="2" t="s">
        <v>798</v>
      </c>
    </row>
    <row r="36058" spans="1:1" ht="12.75">
      <c r="A36058" s="2" t="s">
        <v>675</v>
      </c>
    </row>
    <row r="36059" spans="1:1" ht="12.75">
      <c r="A36059" s="2" t="s">
        <v>799</v>
      </c>
    </row>
    <row r="36060" spans="1:1" ht="12.75">
      <c r="A36060" s="2" t="s">
        <v>675</v>
      </c>
    </row>
    <row r="36061" spans="1:1" ht="12.75">
      <c r="A36061" s="2" t="s">
        <v>798</v>
      </c>
    </row>
    <row r="36062" spans="1:1" ht="12.75">
      <c r="A36062" s="2" t="s">
        <v>675</v>
      </c>
    </row>
    <row r="36063" spans="1:1" ht="12.75">
      <c r="A36063" s="2" t="s">
        <v>675</v>
      </c>
    </row>
    <row r="36064" spans="1:1" ht="12.75">
      <c r="A36064" s="2" t="s">
        <v>547</v>
      </c>
    </row>
    <row r="36065" spans="1:1" ht="12.75">
      <c r="A36065" s="2" t="s">
        <v>547</v>
      </c>
    </row>
    <row r="36066" spans="1:1" ht="12.75">
      <c r="A36066" s="2" t="s">
        <v>675</v>
      </c>
    </row>
    <row r="36067" spans="1:1" ht="12.75">
      <c r="A36067" s="2" t="s">
        <v>547</v>
      </c>
    </row>
    <row r="36068" spans="1:1" ht="12.75">
      <c r="A36068" s="2" t="s">
        <v>576</v>
      </c>
    </row>
    <row r="36069" spans="1:1" ht="12.75">
      <c r="A36069" s="2" t="s">
        <v>576</v>
      </c>
    </row>
    <row r="36070" spans="1:1" ht="12.75">
      <c r="A36070" s="2" t="s">
        <v>547</v>
      </c>
    </row>
    <row r="36071" spans="1:1" ht="12.75">
      <c r="A36071" s="2" t="s">
        <v>576</v>
      </c>
    </row>
    <row r="36072" spans="1:1" ht="12.75">
      <c r="A36072" s="2" t="s">
        <v>547</v>
      </c>
    </row>
    <row r="36073" spans="1:1" ht="12.75">
      <c r="A36073" s="2" t="s">
        <v>576</v>
      </c>
    </row>
    <row r="36074" spans="1:1" ht="12.75">
      <c r="A36074" s="2" t="s">
        <v>547</v>
      </c>
    </row>
    <row r="36075" spans="1:1" ht="12.75">
      <c r="A36075" s="2" t="s">
        <v>576</v>
      </c>
    </row>
    <row r="36076" spans="1:1" ht="12.75">
      <c r="A36076" s="2" t="s">
        <v>547</v>
      </c>
    </row>
    <row r="36078" spans="1:1" ht="12.75">
      <c r="A36078" s="2" t="s">
        <v>547</v>
      </c>
    </row>
    <row r="36079" spans="1:1" ht="12.75">
      <c r="A36079" s="2" t="s">
        <v>514</v>
      </c>
    </row>
    <row r="36080" spans="1:1" ht="12.75">
      <c r="A36080" s="2" t="s">
        <v>576</v>
      </c>
    </row>
    <row r="36081" spans="1:1" ht="12.75">
      <c r="A36081" s="2" t="s">
        <v>675</v>
      </c>
    </row>
    <row r="36082" spans="1:1" ht="12.75">
      <c r="A36082" s="2" t="s">
        <v>576</v>
      </c>
    </row>
    <row r="36083" spans="1:1" ht="12.75">
      <c r="A36083" s="2" t="s">
        <v>675</v>
      </c>
    </row>
    <row r="36084" spans="1:1" ht="12.75">
      <c r="A36084" s="2" t="s">
        <v>576</v>
      </c>
    </row>
    <row r="36085" spans="1:1" ht="12.75">
      <c r="A36085" s="2" t="s">
        <v>675</v>
      </c>
    </row>
    <row r="36086" spans="1:1" ht="12.75">
      <c r="A36086" s="2" t="s">
        <v>576</v>
      </c>
    </row>
    <row r="36087" spans="1:1" ht="12.75">
      <c r="A36087" s="2" t="s">
        <v>514</v>
      </c>
    </row>
    <row r="36088" spans="1:1" ht="12.75">
      <c r="A36088" s="2" t="s">
        <v>514</v>
      </c>
    </row>
    <row r="36089" spans="1:1" ht="12.75">
      <c r="A36089" s="2" t="s">
        <v>576</v>
      </c>
    </row>
    <row r="36090" spans="1:1" ht="12.75">
      <c r="A36090" s="2" t="s">
        <v>512</v>
      </c>
    </row>
    <row r="36091" spans="1:1" ht="12.75">
      <c r="A36091" s="2" t="s">
        <v>576</v>
      </c>
    </row>
    <row r="36092" spans="1:1" ht="12.75">
      <c r="A36092" s="2" t="s">
        <v>675</v>
      </c>
    </row>
    <row r="36093" spans="1:1" ht="12.75">
      <c r="A36093" s="2" t="s">
        <v>576</v>
      </c>
    </row>
    <row r="36094" spans="1:1" ht="12.75">
      <c r="A36094" s="2" t="s">
        <v>547</v>
      </c>
    </row>
    <row r="36095" spans="1:1" ht="12.75">
      <c r="A36095" s="2" t="s">
        <v>799</v>
      </c>
    </row>
    <row r="36096" spans="1:1" ht="12.75">
      <c r="A36096" s="2" t="s">
        <v>547</v>
      </c>
    </row>
    <row r="36097" spans="1:1" ht="12.75">
      <c r="A36097" s="2" t="s">
        <v>547</v>
      </c>
    </row>
    <row r="36098" spans="1:1" ht="12.75">
      <c r="A36098" s="2" t="s">
        <v>547</v>
      </c>
    </row>
    <row r="36099" spans="1:1" ht="12.75">
      <c r="A36099" s="2" t="s">
        <v>547</v>
      </c>
    </row>
    <row r="36100" spans="1:1" ht="12.75">
      <c r="A36100" s="2" t="s">
        <v>576</v>
      </c>
    </row>
    <row r="36101" spans="1:1" ht="12.75">
      <c r="A36101" s="2" t="s">
        <v>547</v>
      </c>
    </row>
    <row r="36102" spans="1:1" ht="12.75">
      <c r="A36102" s="2" t="s">
        <v>799</v>
      </c>
    </row>
    <row r="36103" spans="1:1" ht="12.75">
      <c r="A36103" s="2" t="s">
        <v>675</v>
      </c>
    </row>
    <row r="36104" spans="1:1" ht="12.75">
      <c r="A36104" s="2" t="s">
        <v>675</v>
      </c>
    </row>
    <row r="36105" spans="1:1" ht="12.75">
      <c r="A36105" s="2" t="s">
        <v>799</v>
      </c>
    </row>
    <row r="36110" spans="1:1" ht="12.75">
      <c r="A36110" s="2" t="s">
        <v>576</v>
      </c>
    </row>
    <row r="36111" spans="1:1" ht="12.75">
      <c r="A36111" s="2" t="s">
        <v>512</v>
      </c>
    </row>
    <row r="36112" spans="1:1" ht="12.75">
      <c r="A36112" s="2" t="s">
        <v>576</v>
      </c>
    </row>
    <row r="36113" spans="1:1" ht="12.75">
      <c r="A36113" s="2" t="s">
        <v>576</v>
      </c>
    </row>
    <row r="36114" spans="1:1" ht="12.75">
      <c r="A36114" s="2" t="s">
        <v>675</v>
      </c>
    </row>
    <row r="36115" spans="1:1" ht="12.75">
      <c r="A36115" s="2" t="s">
        <v>576</v>
      </c>
    </row>
    <row r="36116" spans="1:1" ht="12.75">
      <c r="A36116" s="2" t="s">
        <v>576</v>
      </c>
    </row>
    <row r="36117" spans="1:1" ht="12.75">
      <c r="A36117" s="2" t="s">
        <v>547</v>
      </c>
    </row>
    <row r="36118" spans="1:1" ht="12.75">
      <c r="A36118" s="2" t="s">
        <v>576</v>
      </c>
    </row>
    <row r="36119" spans="1:1" ht="12.75">
      <c r="A36119" s="2" t="s">
        <v>547</v>
      </c>
    </row>
    <row r="36121" spans="1:1" ht="12.75">
      <c r="A36121" s="2" t="s">
        <v>576</v>
      </c>
    </row>
    <row r="36122" spans="1:1" ht="12.75">
      <c r="A36122" s="2" t="s">
        <v>514</v>
      </c>
    </row>
    <row r="36123" spans="1:1" ht="12.75">
      <c r="A36123" s="2" t="s">
        <v>576</v>
      </c>
    </row>
    <row r="36125" spans="1:1" ht="12.75">
      <c r="A36125" s="2" t="s">
        <v>675</v>
      </c>
    </row>
    <row r="36126" spans="1:1" ht="12.75">
      <c r="A36126" s="2" t="s">
        <v>547</v>
      </c>
    </row>
    <row r="36128" spans="1:1" ht="12.75">
      <c r="A36128" s="2" t="s">
        <v>547</v>
      </c>
    </row>
    <row r="36129" spans="1:1" ht="12.75">
      <c r="A36129" s="2" t="s">
        <v>675</v>
      </c>
    </row>
    <row r="36131" spans="1:1" ht="12.75">
      <c r="A36131" s="2" t="s">
        <v>675</v>
      </c>
    </row>
    <row r="36133" spans="1:1" ht="12.75">
      <c r="A36133" s="2" t="s">
        <v>675</v>
      </c>
    </row>
    <row r="36134" spans="1:1" ht="12.75">
      <c r="A36134" s="2" t="s">
        <v>547</v>
      </c>
    </row>
    <row r="36138" spans="1:1" ht="12.75">
      <c r="A36138" s="2" t="s">
        <v>547</v>
      </c>
    </row>
    <row r="36139" spans="1:1" ht="12.75">
      <c r="A36139" s="2" t="s">
        <v>547</v>
      </c>
    </row>
    <row r="36140" spans="1:1" ht="12.75">
      <c r="A36140" s="2" t="s">
        <v>1279</v>
      </c>
    </row>
    <row r="36141" spans="1:1" ht="12.75">
      <c r="A36141" s="2" t="s">
        <v>547</v>
      </c>
    </row>
    <row r="36143" spans="1:1" ht="12.75">
      <c r="A36143" s="2" t="s">
        <v>512</v>
      </c>
    </row>
    <row r="36144" spans="1:1" ht="12.75">
      <c r="A36144" s="2" t="s">
        <v>512</v>
      </c>
    </row>
    <row r="36152" spans="1:1" ht="12.75">
      <c r="A36152" s="2" t="s">
        <v>514</v>
      </c>
    </row>
    <row r="36153" spans="1:1" ht="12.75">
      <c r="A36153" s="2" t="s">
        <v>514</v>
      </c>
    </row>
    <row r="36154" spans="1:1" ht="12.75">
      <c r="A36154" s="2" t="s">
        <v>547</v>
      </c>
    </row>
    <row r="36155" spans="1:1" ht="12.75">
      <c r="A36155" s="2" t="s">
        <v>547</v>
      </c>
    </row>
    <row r="36156" spans="1:1" ht="12.75">
      <c r="A36156" s="2" t="s">
        <v>1120</v>
      </c>
    </row>
    <row r="36157" spans="1:1" ht="12.75">
      <c r="A36157" s="2" t="s">
        <v>1120</v>
      </c>
    </row>
    <row r="36158" spans="1:1" ht="12.75">
      <c r="A36158" s="2" t="s">
        <v>1120</v>
      </c>
    </row>
    <row r="36159" spans="1:1" ht="12.75">
      <c r="A36159" s="2" t="s">
        <v>1120</v>
      </c>
    </row>
    <row r="36160" spans="1:1" ht="12.75">
      <c r="A36160" s="2" t="s">
        <v>511</v>
      </c>
    </row>
    <row r="36161" spans="1:1" ht="12.75">
      <c r="A36161" s="2" t="s">
        <v>511</v>
      </c>
    </row>
    <row r="36162" spans="1:1" ht="12.75">
      <c r="A36162" s="2" t="s">
        <v>188</v>
      </c>
    </row>
    <row r="36163" spans="1:1" ht="12.75">
      <c r="A36163" s="2" t="s">
        <v>557</v>
      </c>
    </row>
    <row r="36164" spans="1:1" ht="12.75">
      <c r="A36164" s="2" t="s">
        <v>557</v>
      </c>
    </row>
    <row r="36169" spans="1:1" ht="12.75">
      <c r="A36169" s="2" t="s">
        <v>321</v>
      </c>
    </row>
    <row r="36170" spans="1:1" ht="12.75">
      <c r="A36170" s="2" t="s">
        <v>321</v>
      </c>
    </row>
    <row r="36171" spans="1:1" ht="12.75">
      <c r="A36171" s="2" t="s">
        <v>321</v>
      </c>
    </row>
    <row r="36172" spans="1:1" ht="12.75">
      <c r="A36172" s="2" t="s">
        <v>321</v>
      </c>
    </row>
    <row r="36173" spans="1:1" ht="12.75">
      <c r="A36173" s="2" t="s">
        <v>321</v>
      </c>
    </row>
    <row r="36174" spans="1:1" ht="12.75">
      <c r="A36174" s="2" t="s">
        <v>321</v>
      </c>
    </row>
    <row r="36175" spans="1:1" ht="12.75">
      <c r="A36175" s="2" t="s">
        <v>321</v>
      </c>
    </row>
    <row r="36176" spans="1:1" ht="12.75">
      <c r="A36176" s="2" t="s">
        <v>321</v>
      </c>
    </row>
    <row r="36177" spans="1:1" ht="12.75">
      <c r="A36177" s="2" t="s">
        <v>321</v>
      </c>
    </row>
    <row r="36178" spans="1:1" ht="12.75">
      <c r="A36178" s="2" t="s">
        <v>321</v>
      </c>
    </row>
    <row r="36179" spans="1:1" ht="12.75">
      <c r="A36179" s="2" t="s">
        <v>321</v>
      </c>
    </row>
    <row r="36180" spans="1:1" ht="12.75">
      <c r="A36180" s="2" t="s">
        <v>321</v>
      </c>
    </row>
    <row r="36181" spans="1:1" ht="12.75">
      <c r="A36181" s="2" t="s">
        <v>321</v>
      </c>
    </row>
    <row r="36182" spans="1:1" ht="12.75">
      <c r="A36182" s="2" t="s">
        <v>321</v>
      </c>
    </row>
    <row r="36183" spans="1:1" ht="12.75">
      <c r="A36183" s="2" t="s">
        <v>321</v>
      </c>
    </row>
    <row r="36184" spans="1:1" ht="12.75">
      <c r="A36184" s="2" t="s">
        <v>321</v>
      </c>
    </row>
    <row r="36185" spans="1:1" ht="12.75">
      <c r="A36185" s="2" t="s">
        <v>321</v>
      </c>
    </row>
    <row r="36186" spans="1:1" ht="12.75">
      <c r="A36186" s="2" t="s">
        <v>321</v>
      </c>
    </row>
    <row r="36187" spans="1:1" ht="12.75">
      <c r="A36187" s="2" t="s">
        <v>321</v>
      </c>
    </row>
    <row r="36188" spans="1:1" ht="12.75">
      <c r="A36188" s="2" t="s">
        <v>321</v>
      </c>
    </row>
    <row r="36189" spans="1:1" ht="12.75">
      <c r="A36189" s="2" t="s">
        <v>565</v>
      </c>
    </row>
    <row r="36190" spans="1:1" ht="12.75">
      <c r="A36190" s="2" t="s">
        <v>565</v>
      </c>
    </row>
    <row r="36191" spans="1:1" ht="12.75">
      <c r="A36191" s="2" t="s">
        <v>565</v>
      </c>
    </row>
    <row r="36192" spans="1:1" ht="12.75">
      <c r="A36192" s="2" t="s">
        <v>565</v>
      </c>
    </row>
    <row r="36197" spans="1:1" ht="12.75">
      <c r="A36197" s="2" t="s">
        <v>188</v>
      </c>
    </row>
    <row r="36198" spans="1:1" ht="12.75">
      <c r="A36198" s="2" t="s">
        <v>1280</v>
      </c>
    </row>
    <row r="36199" spans="1:1" ht="12.75">
      <c r="A36199" s="2" t="s">
        <v>188</v>
      </c>
    </row>
    <row r="36200" spans="1:1" ht="12.75">
      <c r="A36200" s="2" t="s">
        <v>1280</v>
      </c>
    </row>
    <row r="36201" spans="1:1" ht="12.75">
      <c r="A36201" s="2" t="s">
        <v>1280</v>
      </c>
    </row>
    <row r="36202" spans="1:1" ht="12.75">
      <c r="A36202" s="2" t="s">
        <v>1280</v>
      </c>
    </row>
    <row r="36203" spans="1:1" ht="12.75">
      <c r="A36203" s="2" t="s">
        <v>1280</v>
      </c>
    </row>
    <row r="36204" spans="1:1" ht="12.75">
      <c r="A36204" s="2" t="s">
        <v>188</v>
      </c>
    </row>
    <row r="36205" spans="1:1" ht="12.75">
      <c r="A36205" s="2" t="s">
        <v>188</v>
      </c>
    </row>
    <row r="36206" spans="1:1" ht="12.75">
      <c r="A36206" s="2" t="s">
        <v>188</v>
      </c>
    </row>
    <row r="36207" spans="1:1" ht="12.75">
      <c r="A36207" s="2" t="s">
        <v>188</v>
      </c>
    </row>
    <row r="36208" spans="1:1" ht="12.75">
      <c r="A36208" s="2" t="s">
        <v>188</v>
      </c>
    </row>
    <row r="36209" spans="1:1" ht="12.75">
      <c r="A36209" s="2" t="s">
        <v>188</v>
      </c>
    </row>
    <row r="36210" spans="1:1" ht="12.75">
      <c r="A36210" s="2" t="s">
        <v>1280</v>
      </c>
    </row>
    <row r="36211" spans="1:1" ht="12.75">
      <c r="A36211" s="2" t="s">
        <v>188</v>
      </c>
    </row>
    <row r="36212" spans="1:1" ht="12.75">
      <c r="A36212" s="2" t="s">
        <v>1281</v>
      </c>
    </row>
    <row r="36213" spans="1:1" ht="12.75">
      <c r="A36213" s="2" t="s">
        <v>188</v>
      </c>
    </row>
    <row r="36214" spans="1:1" ht="12.75">
      <c r="A36214" s="2" t="s">
        <v>188</v>
      </c>
    </row>
    <row r="36215" spans="1:1" ht="12.75">
      <c r="A36215" s="2" t="s">
        <v>188</v>
      </c>
    </row>
    <row r="36216" spans="1:1" ht="12.75">
      <c r="A36216" s="2" t="s">
        <v>188</v>
      </c>
    </row>
    <row r="36217" spans="1:1" ht="12.75">
      <c r="A36217" s="2" t="s">
        <v>188</v>
      </c>
    </row>
    <row r="36218" spans="1:1" ht="12.75">
      <c r="A36218" s="2" t="s">
        <v>188</v>
      </c>
    </row>
    <row r="36219" spans="1:1" ht="12.75">
      <c r="A36219" s="2" t="s">
        <v>188</v>
      </c>
    </row>
    <row r="36220" spans="1:1" ht="12.75">
      <c r="A36220" s="2" t="s">
        <v>188</v>
      </c>
    </row>
    <row r="36221" spans="1:1" ht="12.75">
      <c r="A36221" s="2" t="s">
        <v>188</v>
      </c>
    </row>
    <row r="36222" spans="1:1" ht="12.75">
      <c r="A36222" s="2" t="s">
        <v>188</v>
      </c>
    </row>
    <row r="36223" spans="1:1" ht="12.75">
      <c r="A36223" s="2" t="s">
        <v>331</v>
      </c>
    </row>
    <row r="36224" spans="1:1" ht="12.75">
      <c r="A36224" s="2" t="s">
        <v>332</v>
      </c>
    </row>
    <row r="36225" spans="1:1" ht="12.75">
      <c r="A36225" s="2" t="s">
        <v>331</v>
      </c>
    </row>
    <row r="36226" spans="1:1" ht="12.75">
      <c r="A36226" s="2" t="s">
        <v>332</v>
      </c>
    </row>
    <row r="36227" spans="1:1" ht="12.75">
      <c r="A36227" s="2" t="s">
        <v>331</v>
      </c>
    </row>
    <row r="36228" spans="1:1" ht="12.75">
      <c r="A36228" s="2" t="s">
        <v>332</v>
      </c>
    </row>
    <row r="36229" spans="1:1" ht="12.75">
      <c r="A36229" s="2" t="s">
        <v>331</v>
      </c>
    </row>
    <row r="36230" spans="1:1" ht="12.75">
      <c r="A36230" s="2" t="s">
        <v>332</v>
      </c>
    </row>
    <row r="36231" spans="1:1" ht="12.75">
      <c r="A36231" s="2" t="s">
        <v>331</v>
      </c>
    </row>
    <row r="36232" spans="1:1" ht="12.75">
      <c r="A36232" s="2" t="s">
        <v>332</v>
      </c>
    </row>
    <row r="36233" spans="1:1" ht="12.75">
      <c r="A36233" s="2" t="s">
        <v>331</v>
      </c>
    </row>
    <row r="36234" spans="1:1" ht="12.75">
      <c r="A36234" s="2" t="s">
        <v>332</v>
      </c>
    </row>
    <row r="36235" spans="1:1" ht="12.75">
      <c r="A36235" s="2" t="s">
        <v>331</v>
      </c>
    </row>
    <row r="36236" spans="1:1" ht="12.75">
      <c r="A36236" s="2" t="s">
        <v>332</v>
      </c>
    </row>
    <row r="36237" spans="1:1" ht="12.75">
      <c r="A36237" s="2" t="s">
        <v>331</v>
      </c>
    </row>
    <row r="36238" spans="1:1" ht="12.75">
      <c r="A36238" s="2" t="s">
        <v>332</v>
      </c>
    </row>
    <row r="36239" spans="1:1" ht="12.75">
      <c r="A36239" s="2" t="s">
        <v>1282</v>
      </c>
    </row>
    <row r="36240" spans="1:1" ht="12.75">
      <c r="A36240" s="2" t="s">
        <v>332</v>
      </c>
    </row>
    <row r="36241" spans="1:1" ht="12.75">
      <c r="A36241" s="2" t="s">
        <v>331</v>
      </c>
    </row>
    <row r="36242" spans="1:1" ht="12.75">
      <c r="A36242" s="2" t="s">
        <v>332</v>
      </c>
    </row>
    <row r="36243" spans="1:1" ht="12.75">
      <c r="A36243" s="2" t="s">
        <v>331</v>
      </c>
    </row>
    <row r="36244" spans="1:1" ht="12.75">
      <c r="A36244" s="2" t="s">
        <v>332</v>
      </c>
    </row>
    <row r="36245" spans="1:1" ht="12.75">
      <c r="A36245" s="2" t="s">
        <v>897</v>
      </c>
    </row>
    <row r="36246" spans="1:1" ht="12.75">
      <c r="A36246" s="2" t="s">
        <v>332</v>
      </c>
    </row>
    <row r="36247" spans="1:1" ht="12.75">
      <c r="A36247" s="2" t="s">
        <v>331</v>
      </c>
    </row>
    <row r="36248" spans="1:1" ht="12.75">
      <c r="A36248" s="2" t="s">
        <v>332</v>
      </c>
    </row>
    <row r="36249" spans="1:1" ht="12.75">
      <c r="A36249" s="2" t="s">
        <v>331</v>
      </c>
    </row>
    <row r="36250" spans="1:1" ht="12.75">
      <c r="A36250" s="2" t="s">
        <v>332</v>
      </c>
    </row>
    <row r="36251" spans="1:1" ht="12.75">
      <c r="A36251" s="2" t="s">
        <v>331</v>
      </c>
    </row>
    <row r="36252" spans="1:1" ht="12.75">
      <c r="A36252" s="2" t="s">
        <v>332</v>
      </c>
    </row>
    <row r="36253" spans="1:1" ht="12.75">
      <c r="A36253" s="2" t="s">
        <v>331</v>
      </c>
    </row>
    <row r="36254" spans="1:1" ht="12.75">
      <c r="A36254" s="2" t="s">
        <v>332</v>
      </c>
    </row>
    <row r="36255" spans="1:1" ht="12.75">
      <c r="A36255" s="2" t="s">
        <v>331</v>
      </c>
    </row>
    <row r="36256" spans="1:1" ht="12.75">
      <c r="A36256" s="2" t="s">
        <v>332</v>
      </c>
    </row>
    <row r="36257" spans="1:1" ht="12.75">
      <c r="A36257" s="2" t="s">
        <v>331</v>
      </c>
    </row>
    <row r="36258" spans="1:1" ht="12.75">
      <c r="A36258" s="2" t="s">
        <v>332</v>
      </c>
    </row>
    <row r="36259" spans="1:1" ht="12.75">
      <c r="A36259" s="2" t="s">
        <v>331</v>
      </c>
    </row>
    <row r="36260" spans="1:1" ht="12.75">
      <c r="A36260" s="2" t="s">
        <v>332</v>
      </c>
    </row>
    <row r="36261" spans="1:1" ht="12.75">
      <c r="A36261" s="2" t="s">
        <v>331</v>
      </c>
    </row>
    <row r="36262" spans="1:1" ht="12.75">
      <c r="A36262" s="2" t="s">
        <v>332</v>
      </c>
    </row>
    <row r="36263" spans="1:1" ht="12.75">
      <c r="A36263" s="2" t="s">
        <v>331</v>
      </c>
    </row>
    <row r="36264" spans="1:1" ht="12.75">
      <c r="A36264" s="2" t="s">
        <v>332</v>
      </c>
    </row>
    <row r="36265" spans="1:1" ht="12.75">
      <c r="A36265" s="2" t="s">
        <v>331</v>
      </c>
    </row>
    <row r="36266" spans="1:1" ht="12.75">
      <c r="A36266" s="2" t="s">
        <v>332</v>
      </c>
    </row>
    <row r="36267" spans="1:1" ht="12.75">
      <c r="A36267" s="2" t="s">
        <v>331</v>
      </c>
    </row>
    <row r="36268" spans="1:1" ht="12.75">
      <c r="A36268" s="2" t="s">
        <v>332</v>
      </c>
    </row>
    <row r="36269" spans="1:1" ht="12.75">
      <c r="A36269" s="2" t="s">
        <v>331</v>
      </c>
    </row>
    <row r="36270" spans="1:1" ht="12.75">
      <c r="A36270" s="2" t="s">
        <v>332</v>
      </c>
    </row>
    <row r="36271" spans="1:1" ht="12.75">
      <c r="A36271" s="2" t="s">
        <v>331</v>
      </c>
    </row>
    <row r="36272" spans="1:1" ht="12.75">
      <c r="A36272" s="2" t="s">
        <v>332</v>
      </c>
    </row>
    <row r="36273" spans="1:1" ht="12.75">
      <c r="A36273" s="2" t="s">
        <v>331</v>
      </c>
    </row>
    <row r="36274" spans="1:1" ht="12.75">
      <c r="A36274" s="2" t="s">
        <v>332</v>
      </c>
    </row>
    <row r="36275" spans="1:1" ht="12.75">
      <c r="A36275" s="2" t="s">
        <v>331</v>
      </c>
    </row>
    <row r="36276" spans="1:1" ht="12.75">
      <c r="A36276" s="2" t="s">
        <v>332</v>
      </c>
    </row>
    <row r="36277" spans="1:1" ht="12.75">
      <c r="A36277" s="2" t="s">
        <v>331</v>
      </c>
    </row>
    <row r="36278" spans="1:1" ht="12.75">
      <c r="A36278" s="2" t="s">
        <v>332</v>
      </c>
    </row>
    <row r="36279" spans="1:1" ht="12.75">
      <c r="A36279" s="2" t="s">
        <v>331</v>
      </c>
    </row>
    <row r="36280" spans="1:1" ht="12.75">
      <c r="A36280" s="2" t="s">
        <v>332</v>
      </c>
    </row>
    <row r="36281" spans="1:1" ht="12.75">
      <c r="A36281" s="2" t="s">
        <v>331</v>
      </c>
    </row>
    <row r="36282" spans="1:1" ht="12.75">
      <c r="A36282" s="2" t="s">
        <v>332</v>
      </c>
    </row>
    <row r="36284" spans="1:1" ht="12.75">
      <c r="A36284" s="2" t="s">
        <v>1283</v>
      </c>
    </row>
    <row r="36285" spans="1:1" ht="12.75">
      <c r="A36285" s="2" t="s">
        <v>581</v>
      </c>
    </row>
    <row r="36286" spans="1:1" ht="12.75">
      <c r="A36286" s="2" t="s">
        <v>581</v>
      </c>
    </row>
    <row r="36287" spans="1:1" ht="12.75">
      <c r="A36287" s="2" t="s">
        <v>428</v>
      </c>
    </row>
    <row r="36288" spans="1:1" ht="12.75">
      <c r="A36288" s="2" t="s">
        <v>581</v>
      </c>
    </row>
    <row r="36289" spans="1:1" ht="12.75">
      <c r="A36289" s="2" t="s">
        <v>581</v>
      </c>
    </row>
    <row r="36290" spans="1:1" ht="12.75">
      <c r="A36290" s="2" t="s">
        <v>581</v>
      </c>
    </row>
    <row r="36291" spans="1:1" ht="12.75">
      <c r="A36291" s="2" t="s">
        <v>581</v>
      </c>
    </row>
    <row r="36292" spans="1:1" ht="12.75">
      <c r="A36292" s="2" t="s">
        <v>295</v>
      </c>
    </row>
    <row r="36293" spans="1:1" ht="12.75">
      <c r="A36293" s="2" t="s">
        <v>295</v>
      </c>
    </row>
    <row r="36294" spans="1:1" ht="12.75">
      <c r="A36294" s="2" t="s">
        <v>295</v>
      </c>
    </row>
    <row r="36295" spans="1:1" ht="12.75">
      <c r="A36295" s="2" t="s">
        <v>295</v>
      </c>
    </row>
    <row r="36297" spans="1:1" ht="12.75">
      <c r="A36297" s="2" t="s">
        <v>1284</v>
      </c>
    </row>
    <row r="36299" spans="1:1" ht="12.75">
      <c r="A36299" s="2" t="s">
        <v>1285</v>
      </c>
    </row>
    <row r="36300" spans="1:1" ht="12.75">
      <c r="A36300" s="2" t="s">
        <v>1188</v>
      </c>
    </row>
    <row r="36301" spans="1:1" ht="12.75">
      <c r="A36301" s="2" t="s">
        <v>1286</v>
      </c>
    </row>
    <row r="36302" spans="1:1" ht="12.75">
      <c r="A36302" s="2" t="s">
        <v>957</v>
      </c>
    </row>
    <row r="36303" spans="1:1" ht="12.75">
      <c r="A36303" s="2" t="s">
        <v>957</v>
      </c>
    </row>
    <row r="36304" spans="1:1" ht="12.75">
      <c r="A36304" s="2" t="s">
        <v>1287</v>
      </c>
    </row>
    <row r="36305" spans="1:1" ht="12.75">
      <c r="A36305" s="2" t="s">
        <v>1287</v>
      </c>
    </row>
    <row r="36306" spans="1:1" ht="12.75">
      <c r="A36306" s="2" t="s">
        <v>1288</v>
      </c>
    </row>
    <row r="36307" spans="1:1" ht="12.75">
      <c r="A36307" s="2" t="s">
        <v>1256</v>
      </c>
    </row>
    <row r="36308" spans="1:1" ht="12.75">
      <c r="A36308" s="2" t="s">
        <v>1142</v>
      </c>
    </row>
    <row r="36309" spans="1:1" ht="12.75">
      <c r="A36309" s="2" t="s">
        <v>1289</v>
      </c>
    </row>
    <row r="36310" spans="1:1" ht="12.75">
      <c r="A36310" s="2" t="s">
        <v>958</v>
      </c>
    </row>
    <row r="36311" spans="1:1" ht="12.75">
      <c r="A36311" s="2" t="s">
        <v>958</v>
      </c>
    </row>
    <row r="36312" spans="1:1" ht="12.75">
      <c r="A36312" s="2" t="s">
        <v>1146</v>
      </c>
    </row>
    <row r="36313" spans="1:1" ht="12.75">
      <c r="A36313" s="2" t="s">
        <v>1146</v>
      </c>
    </row>
    <row r="36314" spans="1:1" ht="12.75">
      <c r="A36314" s="2" t="s">
        <v>1135</v>
      </c>
    </row>
    <row r="36315" spans="1:1" ht="12.75">
      <c r="A36315" s="2" t="s">
        <v>1135</v>
      </c>
    </row>
    <row r="36317" spans="1:1" ht="12.75">
      <c r="A36317" s="2" t="s">
        <v>1138</v>
      </c>
    </row>
    <row r="36318" spans="1:1" ht="12.75">
      <c r="A36318" s="2" t="s">
        <v>1134</v>
      </c>
    </row>
    <row r="36319" spans="1:1" ht="12.75">
      <c r="A36319" s="2" t="s">
        <v>1290</v>
      </c>
    </row>
    <row r="36320" spans="1:1" ht="12.75">
      <c r="A36320" s="2" t="s">
        <v>962</v>
      </c>
    </row>
    <row r="36321" spans="1:1" ht="12.75">
      <c r="A36321" s="2" t="s">
        <v>962</v>
      </c>
    </row>
    <row r="36326" spans="1:1" ht="12.75">
      <c r="A36326" s="2" t="s">
        <v>974</v>
      </c>
    </row>
    <row r="36328" spans="1:1" ht="12.75">
      <c r="A36328" s="2" t="s">
        <v>1146</v>
      </c>
    </row>
    <row r="36329" spans="1:1" ht="12.75">
      <c r="A36329" s="2" t="s">
        <v>966</v>
      </c>
    </row>
    <row r="36330" spans="1:1" ht="12.75">
      <c r="A36330" s="2" t="s">
        <v>957</v>
      </c>
    </row>
    <row r="36331" spans="1:1" ht="12.75">
      <c r="A36331" s="2" t="s">
        <v>957</v>
      </c>
    </row>
    <row r="36333" spans="1:1" ht="12.75">
      <c r="A36333" s="2" t="s">
        <v>708</v>
      </c>
    </row>
    <row r="36334" spans="1:1" ht="12.75">
      <c r="A36334" s="2" t="s">
        <v>1142</v>
      </c>
    </row>
    <row r="36335" spans="1:1" ht="12.75">
      <c r="A36335" s="2" t="s">
        <v>1142</v>
      </c>
    </row>
    <row r="36336" spans="1:1" ht="12.75">
      <c r="A36336" s="2" t="s">
        <v>1144</v>
      </c>
    </row>
    <row r="36337" spans="1:1" ht="12.75">
      <c r="A36337" s="2" t="s">
        <v>1144</v>
      </c>
    </row>
    <row r="36338" spans="1:1" ht="12.75">
      <c r="A36338" s="2" t="s">
        <v>1256</v>
      </c>
    </row>
    <row r="36339" spans="1:1" ht="12.75">
      <c r="A36339" s="2" t="s">
        <v>1256</v>
      </c>
    </row>
    <row r="36340" spans="1:1" ht="12.75">
      <c r="A36340" s="2" t="s">
        <v>1256</v>
      </c>
    </row>
    <row r="36341" spans="1:1" ht="12.75">
      <c r="A36341" s="2" t="s">
        <v>1256</v>
      </c>
    </row>
    <row r="36342" spans="1:1" ht="12.75">
      <c r="A36342" s="2" t="s">
        <v>1138</v>
      </c>
    </row>
    <row r="36343" spans="1:1" ht="12.75">
      <c r="A36343" s="2" t="s">
        <v>1138</v>
      </c>
    </row>
    <row r="36344" spans="1:1" ht="12.75">
      <c r="A36344" s="2" t="s">
        <v>1291</v>
      </c>
    </row>
    <row r="36345" spans="1:1" ht="12.75">
      <c r="A36345" s="2" t="s">
        <v>1291</v>
      </c>
    </row>
    <row r="36346" spans="1:1" ht="12.75">
      <c r="A36346" s="2" t="s">
        <v>957</v>
      </c>
    </row>
    <row r="36347" spans="1:1" ht="12.75">
      <c r="A36347" s="2" t="s">
        <v>957</v>
      </c>
    </row>
    <row r="36348" spans="1:1" ht="12.75">
      <c r="A36348" s="2" t="s">
        <v>708</v>
      </c>
    </row>
    <row r="36349" spans="1:1" ht="12.75">
      <c r="A36349" s="2" t="s">
        <v>708</v>
      </c>
    </row>
    <row r="36350" spans="1:1" ht="12.75">
      <c r="A36350" s="2" t="s">
        <v>285</v>
      </c>
    </row>
    <row r="36351" spans="1:1" ht="12.75">
      <c r="A36351" s="2" t="s">
        <v>966</v>
      </c>
    </row>
    <row r="36352" spans="1:1" ht="12.75">
      <c r="A36352" s="2" t="s">
        <v>962</v>
      </c>
    </row>
    <row r="36353" spans="1:1" ht="12.75">
      <c r="A36353" s="2" t="s">
        <v>962</v>
      </c>
    </row>
    <row r="36355" spans="1:1" ht="12.75">
      <c r="A36355" s="2" t="s">
        <v>1142</v>
      </c>
    </row>
    <row r="36356" spans="1:1" ht="12.75">
      <c r="A36356" s="2" t="s">
        <v>1256</v>
      </c>
    </row>
    <row r="36357" spans="1:1" ht="12.75">
      <c r="A36357" s="2" t="s">
        <v>1256</v>
      </c>
    </row>
    <row r="36358" spans="1:1" ht="12.75">
      <c r="A36358" s="2" t="s">
        <v>1144</v>
      </c>
    </row>
    <row r="36360" spans="1:1" ht="12.75">
      <c r="A36360" s="2" t="s">
        <v>958</v>
      </c>
    </row>
    <row r="36361" spans="1:1" ht="12.75">
      <c r="A36361" s="2" t="s">
        <v>958</v>
      </c>
    </row>
    <row r="36362" spans="1:1" ht="12.75">
      <c r="A36362" s="2" t="s">
        <v>1292</v>
      </c>
    </row>
    <row r="36364" spans="1:1" ht="12.75">
      <c r="A36364" s="2" t="s">
        <v>1293</v>
      </c>
    </row>
    <row r="36368" spans="1:1" ht="12.75">
      <c r="A36368" s="2" t="s">
        <v>1291</v>
      </c>
    </row>
    <row r="36369" spans="1:1" ht="12.75">
      <c r="A36369" s="2" t="s">
        <v>1291</v>
      </c>
    </row>
    <row r="36370" spans="1:1" ht="12.75">
      <c r="A36370" s="2" t="s">
        <v>1287</v>
      </c>
    </row>
    <row r="36371" spans="1:1" ht="12.75">
      <c r="A36371" s="2" t="s">
        <v>1287</v>
      </c>
    </row>
    <row r="36372" spans="1:1" ht="12.75">
      <c r="A36372" s="2" t="s">
        <v>1144</v>
      </c>
    </row>
    <row r="36373" spans="1:1" ht="12.75">
      <c r="A36373" s="2" t="s">
        <v>1144</v>
      </c>
    </row>
    <row r="36374" spans="1:1" ht="12.75">
      <c r="A36374" s="2" t="s">
        <v>957</v>
      </c>
    </row>
    <row r="36375" spans="1:1" ht="12.75">
      <c r="A36375" s="2" t="s">
        <v>957</v>
      </c>
    </row>
    <row r="36376" spans="1:1" ht="12.75">
      <c r="A36376" s="2" t="s">
        <v>708</v>
      </c>
    </row>
    <row r="36377" spans="1:1" ht="12.75">
      <c r="A36377" s="2" t="s">
        <v>708</v>
      </c>
    </row>
    <row r="36378" spans="1:1" ht="12.75">
      <c r="A36378" s="2" t="s">
        <v>1142</v>
      </c>
    </row>
    <row r="36379" spans="1:1" ht="12.75">
      <c r="A36379" s="2" t="s">
        <v>1142</v>
      </c>
    </row>
    <row r="36382" spans="1:1" ht="12.75">
      <c r="A36382" s="2" t="s">
        <v>958</v>
      </c>
    </row>
    <row r="36383" spans="1:1" ht="12.75">
      <c r="A36383" s="2" t="s">
        <v>958</v>
      </c>
    </row>
    <row r="36384" spans="1:1" ht="12.75">
      <c r="A36384" s="2" t="s">
        <v>966</v>
      </c>
    </row>
    <row r="36385" spans="1:1" ht="12.75">
      <c r="A36385" s="2" t="s">
        <v>966</v>
      </c>
    </row>
    <row r="36386" spans="1:1" ht="12.75">
      <c r="A36386" s="2" t="s">
        <v>1293</v>
      </c>
    </row>
    <row r="36387" spans="1:1" ht="12.75">
      <c r="A36387" s="2" t="s">
        <v>1293</v>
      </c>
    </row>
    <row r="36388" spans="1:1" ht="12.75">
      <c r="A36388" s="2" t="s">
        <v>1256</v>
      </c>
    </row>
    <row r="36389" spans="1:1" ht="12.75">
      <c r="A36389" s="2" t="s">
        <v>1256</v>
      </c>
    </row>
    <row r="36390" spans="1:1" ht="12.75">
      <c r="A36390" s="2" t="s">
        <v>974</v>
      </c>
    </row>
    <row r="36391" spans="1:1" ht="12.75">
      <c r="A36391" s="2" t="s">
        <v>974</v>
      </c>
    </row>
    <row r="36392" spans="1:1" ht="12.75">
      <c r="A36392" s="2" t="s">
        <v>961</v>
      </c>
    </row>
    <row r="36393" spans="1:1" ht="12.75">
      <c r="A36393" s="2" t="s">
        <v>961</v>
      </c>
    </row>
    <row r="36394" spans="1:1" ht="12.75">
      <c r="A36394" s="2" t="s">
        <v>1292</v>
      </c>
    </row>
    <row r="36395" spans="1:1" ht="12.75">
      <c r="A36395" s="2" t="s">
        <v>1292</v>
      </c>
    </row>
    <row r="36396" spans="1:1" ht="12.75">
      <c r="A36396" s="2" t="s">
        <v>974</v>
      </c>
    </row>
    <row r="36397" spans="1:1" ht="12.75">
      <c r="A36397" s="2" t="s">
        <v>974</v>
      </c>
    </row>
    <row r="36398" spans="1:1" ht="12.75">
      <c r="A36398" s="2" t="s">
        <v>962</v>
      </c>
    </row>
    <row r="36399" spans="1:1" ht="12.75">
      <c r="A36399" s="2" t="s">
        <v>962</v>
      </c>
    </row>
    <row r="36400" spans="1:1" ht="12.75">
      <c r="A36400" s="2" t="s">
        <v>1142</v>
      </c>
    </row>
    <row r="36401" spans="1:1" ht="12.75">
      <c r="A36401" s="2" t="s">
        <v>1142</v>
      </c>
    </row>
    <row r="36402" spans="1:1" ht="12.75">
      <c r="A36402" s="2" t="s">
        <v>1287</v>
      </c>
    </row>
    <row r="36403" spans="1:1" ht="12.75">
      <c r="A36403" s="2" t="s">
        <v>1287</v>
      </c>
    </row>
    <row r="36404" spans="1:1" ht="12.75">
      <c r="A36404" s="2" t="s">
        <v>1144</v>
      </c>
    </row>
    <row r="36405" spans="1:1" ht="12.75">
      <c r="A36405" s="2" t="s">
        <v>1144</v>
      </c>
    </row>
    <row r="36406" spans="1:1" ht="12.75">
      <c r="A36406" s="2" t="s">
        <v>1293</v>
      </c>
    </row>
    <row r="36407" spans="1:1" ht="12.75">
      <c r="A36407" s="2" t="s">
        <v>1293</v>
      </c>
    </row>
    <row r="36408" spans="1:1" ht="12.75">
      <c r="A36408" s="2" t="s">
        <v>1292</v>
      </c>
    </row>
    <row r="36409" spans="1:1" ht="12.75">
      <c r="A36409" s="2" t="s">
        <v>1292</v>
      </c>
    </row>
    <row r="36410" spans="1:1" ht="12.75">
      <c r="A36410" s="2" t="s">
        <v>957</v>
      </c>
    </row>
    <row r="36411" spans="1:1" ht="12.75">
      <c r="A36411" s="2" t="s">
        <v>957</v>
      </c>
    </row>
    <row r="36412" spans="1:1" ht="12.75">
      <c r="A36412" s="2" t="s">
        <v>1294</v>
      </c>
    </row>
    <row r="36413" spans="1:1" ht="12.75">
      <c r="A36413" s="2" t="s">
        <v>708</v>
      </c>
    </row>
    <row r="36414" spans="1:1" ht="12.75">
      <c r="A36414" s="2" t="s">
        <v>1256</v>
      </c>
    </row>
    <row r="36415" spans="1:1" ht="12.75">
      <c r="A36415" s="2" t="s">
        <v>1256</v>
      </c>
    </row>
    <row r="36416" spans="1:1" ht="12.75">
      <c r="A36416" s="2">
        <v>19255</v>
      </c>
    </row>
    <row r="36417" spans="1:1" ht="12.75">
      <c r="A36417" s="2">
        <v>192</v>
      </c>
    </row>
    <row r="36418" spans="1:1" ht="12.75">
      <c r="A36418" s="2" t="s">
        <v>1291</v>
      </c>
    </row>
    <row r="36419" spans="1:1" ht="12.75">
      <c r="A36419" s="2" t="s">
        <v>1291</v>
      </c>
    </row>
    <row r="36426" spans="1:1" ht="12.75">
      <c r="A36426" s="2" t="s">
        <v>1256</v>
      </c>
    </row>
    <row r="36427" spans="1:1" ht="12.75">
      <c r="A36427" s="2" t="s">
        <v>1256</v>
      </c>
    </row>
    <row r="36428" spans="1:1" ht="12.75">
      <c r="A36428" s="2" t="s">
        <v>708</v>
      </c>
    </row>
    <row r="36429" spans="1:1" ht="12.75">
      <c r="A36429" s="2" t="s">
        <v>708</v>
      </c>
    </row>
    <row r="36430" spans="1:1" ht="12.75">
      <c r="A36430" s="2" t="s">
        <v>958</v>
      </c>
    </row>
    <row r="36431" spans="1:1" ht="12.75">
      <c r="A36431" s="2" t="s">
        <v>958</v>
      </c>
    </row>
    <row r="36432" spans="1:1" ht="12.75">
      <c r="A36432" s="2" t="s">
        <v>1287</v>
      </c>
    </row>
    <row r="36433" spans="1:1" ht="12.75">
      <c r="A36433" s="2" t="s">
        <v>1287</v>
      </c>
    </row>
    <row r="36434" spans="1:1" ht="12.75">
      <c r="A36434" s="2" t="s">
        <v>1295</v>
      </c>
    </row>
    <row r="36435" spans="1:1" ht="12.75">
      <c r="A36435" s="2" t="s">
        <v>962</v>
      </c>
    </row>
    <row r="36436" spans="1:1" ht="12.75">
      <c r="A36436" s="2" t="s">
        <v>1142</v>
      </c>
    </row>
    <row r="36437" spans="1:1" ht="12.75">
      <c r="A36437" s="2" t="s">
        <v>1142</v>
      </c>
    </row>
    <row r="36438" spans="1:1" ht="12.75">
      <c r="A36438" s="2" t="s">
        <v>1144</v>
      </c>
    </row>
    <row r="36439" spans="1:1" ht="12.75">
      <c r="A36439" s="2" t="s">
        <v>1144</v>
      </c>
    </row>
    <row r="36440" spans="1:1" ht="12.75">
      <c r="A36440" s="2" t="s">
        <v>1256</v>
      </c>
    </row>
    <row r="36441" spans="1:1" ht="12.75">
      <c r="A36441" s="2" t="s">
        <v>1256</v>
      </c>
    </row>
    <row r="36442" spans="1:1" ht="12.75">
      <c r="A36442" s="2" t="s">
        <v>957</v>
      </c>
    </row>
    <row r="36443" spans="1:1" ht="12.75">
      <c r="A36443" s="2" t="s">
        <v>957</v>
      </c>
    </row>
    <row r="36444" spans="1:1" ht="12.75">
      <c r="A36444" s="2" t="s">
        <v>1291</v>
      </c>
    </row>
    <row r="36445" spans="1:1" ht="12.75">
      <c r="A36445" s="2" t="s">
        <v>1291</v>
      </c>
    </row>
    <row r="36446" spans="1:1" ht="12.75">
      <c r="A36446" s="2" t="s">
        <v>958</v>
      </c>
    </row>
    <row r="36447" spans="1:1" ht="12.75">
      <c r="A36447" s="2" t="s">
        <v>958</v>
      </c>
    </row>
    <row r="36448" spans="1:1" ht="12.75">
      <c r="A36448" s="2" t="s">
        <v>1134</v>
      </c>
    </row>
    <row r="36449" spans="1:1" ht="12.75">
      <c r="A36449" s="2" t="s">
        <v>1296</v>
      </c>
    </row>
    <row r="36450" spans="1:1" ht="12.75">
      <c r="A36450" s="2" t="s">
        <v>763</v>
      </c>
    </row>
    <row r="36454" spans="1:1" ht="12.75">
      <c r="A36454" s="2" t="s">
        <v>962</v>
      </c>
    </row>
    <row r="36455" spans="1:1" ht="12.75">
      <c r="A36455" s="2" t="s">
        <v>962</v>
      </c>
    </row>
    <row r="36456" spans="1:1" ht="12.75">
      <c r="A36456" s="2" t="s">
        <v>957</v>
      </c>
    </row>
    <row r="36457" spans="1:1" ht="12.75">
      <c r="A36457" s="2" t="s">
        <v>957</v>
      </c>
    </row>
    <row r="36458" spans="1:1" ht="12.75">
      <c r="A36458" s="2" t="s">
        <v>708</v>
      </c>
    </row>
    <row r="36459" spans="1:1" ht="12.75">
      <c r="A36459" s="2" t="s">
        <v>708</v>
      </c>
    </row>
    <row r="36460" spans="1:1" ht="12.75">
      <c r="A36460" s="2" t="s">
        <v>1135</v>
      </c>
    </row>
    <row r="36462" spans="1:1" ht="12.75">
      <c r="A36462" s="2" t="s">
        <v>1138</v>
      </c>
    </row>
    <row r="36463" spans="1:1" ht="12.75">
      <c r="A36463" s="2" t="s">
        <v>1138</v>
      </c>
    </row>
    <row r="36464" spans="1:1" ht="12.75">
      <c r="A36464" s="2" t="s">
        <v>1142</v>
      </c>
    </row>
    <row r="36465" spans="1:1" ht="12.75">
      <c r="A36465" s="2" t="s">
        <v>1142</v>
      </c>
    </row>
    <row r="36466" spans="1:1" ht="12.75">
      <c r="A36466" s="2" t="s">
        <v>958</v>
      </c>
    </row>
    <row r="36467" spans="1:1" ht="12.75">
      <c r="A36467" s="2" t="s">
        <v>958</v>
      </c>
    </row>
    <row r="36468" spans="1:1" ht="12.75">
      <c r="A36468" s="2" t="s">
        <v>1144</v>
      </c>
    </row>
    <row r="36469" spans="1:1" ht="12.75">
      <c r="A36469" s="2" t="s">
        <v>1144</v>
      </c>
    </row>
    <row r="36470" spans="1:1" ht="12.75">
      <c r="A36470" s="2" t="s">
        <v>1256</v>
      </c>
    </row>
    <row r="36471" spans="1:1" ht="12.75">
      <c r="A36471" s="2" t="s">
        <v>1256</v>
      </c>
    </row>
    <row r="36472" spans="1:1" ht="12.75">
      <c r="A36472" s="2" t="s">
        <v>1287</v>
      </c>
    </row>
    <row r="36473" spans="1:1" ht="12.75">
      <c r="A36473" s="2" t="s">
        <v>1287</v>
      </c>
    </row>
    <row r="36474" spans="1:1" ht="12.75">
      <c r="A36474" s="2" t="s">
        <v>1291</v>
      </c>
    </row>
    <row r="36475" spans="1:1" ht="12.75">
      <c r="A36475" s="2" t="s">
        <v>1291</v>
      </c>
    </row>
    <row r="36476" spans="1:1" ht="12.75">
      <c r="A36476" s="2" t="s">
        <v>1293</v>
      </c>
    </row>
    <row r="36477" spans="1:1" ht="12.75">
      <c r="A36477" s="2" t="s">
        <v>1293</v>
      </c>
    </row>
    <row r="36478" spans="1:1" ht="12.75">
      <c r="A36478" s="2" t="s">
        <v>1297</v>
      </c>
    </row>
    <row r="36479" spans="1:1" ht="12.75">
      <c r="A36479" s="2" t="s">
        <v>1292</v>
      </c>
    </row>
    <row r="36480" spans="1:1" ht="12.75">
      <c r="A36480" s="2" t="s">
        <v>1298</v>
      </c>
    </row>
    <row r="36481" spans="1:1" ht="12.75">
      <c r="A36481" s="2" t="s">
        <v>1298</v>
      </c>
    </row>
    <row r="36486" spans="1:1" ht="12.75">
      <c r="A36486" s="2" t="s">
        <v>1142</v>
      </c>
    </row>
    <row r="36487" spans="1:1" ht="12.75">
      <c r="A36487" s="2" t="s">
        <v>1142</v>
      </c>
    </row>
    <row r="36488" spans="1:1" ht="12.75">
      <c r="A36488" s="2" t="s">
        <v>708</v>
      </c>
    </row>
    <row r="36489" spans="1:1" ht="12.75">
      <c r="A36489" s="2" t="s">
        <v>708</v>
      </c>
    </row>
    <row r="36490" spans="1:1" ht="12.75">
      <c r="A36490" s="2" t="s">
        <v>957</v>
      </c>
    </row>
    <row r="36491" spans="1:1" ht="12.75">
      <c r="A36491" s="2" t="s">
        <v>957</v>
      </c>
    </row>
    <row r="36492" spans="1:1" ht="12.75">
      <c r="A36492" s="2" t="s">
        <v>1144</v>
      </c>
    </row>
    <row r="36494" spans="1:1" ht="12.75">
      <c r="A36494" s="2" t="s">
        <v>1298</v>
      </c>
    </row>
    <row r="36495" spans="1:1" ht="12.75">
      <c r="A36495" s="2" t="s">
        <v>1298</v>
      </c>
    </row>
    <row r="36496" spans="1:1" ht="12.75">
      <c r="A36496" s="2" t="s">
        <v>1292</v>
      </c>
    </row>
    <row r="36497" spans="1:1" ht="12.75">
      <c r="A36497" s="2" t="s">
        <v>1292</v>
      </c>
    </row>
    <row r="36498" spans="1:1" ht="12.75">
      <c r="A36498" s="2" t="s">
        <v>1291</v>
      </c>
    </row>
    <row r="36499" spans="1:1" ht="12.75">
      <c r="A36499" s="2" t="s">
        <v>1291</v>
      </c>
    </row>
    <row r="36500" spans="1:1" ht="12.75">
      <c r="A36500" s="2" t="s">
        <v>1287</v>
      </c>
    </row>
    <row r="36501" spans="1:1" ht="12.75">
      <c r="A36501" s="2" t="s">
        <v>1299</v>
      </c>
    </row>
    <row r="36502" spans="1:1" ht="12.75">
      <c r="A36502" s="2" t="s">
        <v>476</v>
      </c>
    </row>
    <row r="36503" spans="1:1" ht="12.75">
      <c r="A36503" s="2" t="s">
        <v>476</v>
      </c>
    </row>
    <row r="36504" spans="1:1" ht="12.75">
      <c r="A36504" s="2" t="s">
        <v>153</v>
      </c>
    </row>
    <row r="36505" spans="1:1" ht="12.75">
      <c r="A36505" s="2" t="s">
        <v>153</v>
      </c>
    </row>
    <row r="36506" spans="1:1" ht="12.75">
      <c r="A36506" s="2" t="s">
        <v>153</v>
      </c>
    </row>
    <row r="36507" spans="1:1" ht="12.75">
      <c r="A36507" s="2" t="s">
        <v>153</v>
      </c>
    </row>
    <row r="36508" spans="1:1" ht="12.75">
      <c r="A36508" s="2" t="s">
        <v>153</v>
      </c>
    </row>
    <row r="36509" spans="1:1" ht="12.75">
      <c r="A36509" s="2" t="s">
        <v>153</v>
      </c>
    </row>
    <row r="36510" spans="1:1" ht="12.75">
      <c r="A36510" s="2" t="s">
        <v>153</v>
      </c>
    </row>
    <row r="36511" spans="1:1" ht="12.75">
      <c r="A36511" s="2" t="s">
        <v>153</v>
      </c>
    </row>
    <row r="36512" spans="1:1" ht="12.75">
      <c r="A36512" s="2" t="s">
        <v>153</v>
      </c>
    </row>
    <row r="36513" spans="1:1" ht="12.75">
      <c r="A36513" s="2" t="s">
        <v>153</v>
      </c>
    </row>
    <row r="36514" spans="1:1" ht="12.75">
      <c r="A36514" s="2" t="s">
        <v>153</v>
      </c>
    </row>
    <row r="36515" spans="1:1" ht="12.75">
      <c r="A36515" s="2" t="s">
        <v>153</v>
      </c>
    </row>
    <row r="36516" spans="1:1" ht="12.75">
      <c r="A36516" s="2" t="s">
        <v>153</v>
      </c>
    </row>
    <row r="36518" spans="1:1" ht="12.75">
      <c r="A36518" s="2" t="s">
        <v>357</v>
      </c>
    </row>
    <row r="36520" spans="1:1" ht="12.75">
      <c r="A36520" s="2" t="s">
        <v>1300</v>
      </c>
    </row>
    <row r="36521" spans="1:1" ht="12.75">
      <c r="A36521" s="2" t="s">
        <v>1301</v>
      </c>
    </row>
    <row r="36522" spans="1:1" ht="12.75">
      <c r="A36522" s="2" t="s">
        <v>1300</v>
      </c>
    </row>
    <row r="36523" spans="1:1" ht="12.75">
      <c r="A36523" s="2" t="s">
        <v>357</v>
      </c>
    </row>
    <row r="36524" spans="1:1" ht="12.75">
      <c r="A36524" s="2" t="s">
        <v>357</v>
      </c>
    </row>
    <row r="36525" spans="1:1" ht="12.75">
      <c r="A36525" s="2" t="s">
        <v>1302</v>
      </c>
    </row>
    <row r="36526" spans="1:1" ht="12.75">
      <c r="A36526" s="2" t="s">
        <v>357</v>
      </c>
    </row>
    <row r="36536" spans="1:1" ht="12.75">
      <c r="A36536" s="2" t="s">
        <v>869</v>
      </c>
    </row>
    <row r="36537" spans="1:1" ht="12.75">
      <c r="A36537" s="2" t="s">
        <v>1118</v>
      </c>
    </row>
    <row r="36538" spans="1:1" ht="12.75">
      <c r="A36538" s="2" t="s">
        <v>1144</v>
      </c>
    </row>
    <row r="36539" spans="1:1" ht="12.75">
      <c r="A36539" s="2" t="s">
        <v>1118</v>
      </c>
    </row>
    <row r="36540" spans="1:1" ht="12.75">
      <c r="A36540" s="2" t="s">
        <v>1118</v>
      </c>
    </row>
    <row r="36554" spans="1:1" ht="12.75">
      <c r="A36554" s="2" t="s">
        <v>298</v>
      </c>
    </row>
    <row r="36741" spans="1:1" ht="12.75">
      <c r="A36741" s="2" t="s">
        <v>1127</v>
      </c>
    </row>
    <row r="36742" spans="1:1" ht="12.75">
      <c r="A36742" s="2" t="s">
        <v>1303</v>
      </c>
    </row>
    <row r="36743" spans="1:1" ht="12.75">
      <c r="A36743" s="2" t="s">
        <v>1304</v>
      </c>
    </row>
    <row r="36744" spans="1:1" ht="12.75">
      <c r="A36744" s="2" t="s">
        <v>1128</v>
      </c>
    </row>
    <row r="36745" spans="1:1" ht="12.75">
      <c r="A36745" s="2" t="s">
        <v>234</v>
      </c>
    </row>
    <row r="36746" spans="1:1" ht="12.75">
      <c r="A36746" s="2" t="s">
        <v>234</v>
      </c>
    </row>
    <row r="36747" spans="1:1" ht="12.75">
      <c r="A36747" s="2" t="s">
        <v>234</v>
      </c>
    </row>
    <row r="36748" spans="1:1" ht="12.75">
      <c r="A36748" s="2" t="s">
        <v>234</v>
      </c>
    </row>
    <row r="36750" spans="1:1" ht="12.75">
      <c r="A36750" s="2" t="s">
        <v>234</v>
      </c>
    </row>
    <row r="36763" spans="1:1" ht="12.75">
      <c r="A36763" s="2" t="s">
        <v>234</v>
      </c>
    </row>
    <row r="36764" spans="1:1" ht="12.75">
      <c r="A36764" s="2" t="s">
        <v>234</v>
      </c>
    </row>
    <row r="36765" spans="1:1" ht="12.75">
      <c r="A36765" s="2" t="s">
        <v>235</v>
      </c>
    </row>
    <row r="36766" spans="1:1" ht="12.75">
      <c r="A36766" s="2" t="s">
        <v>235</v>
      </c>
    </row>
    <row r="36767" spans="1:1" ht="12.75">
      <c r="A36767" s="2" t="s">
        <v>233</v>
      </c>
    </row>
    <row r="36768" spans="1:1" ht="12.75">
      <c r="A36768" s="2" t="s">
        <v>233</v>
      </c>
    </row>
    <row r="36769" spans="1:1" ht="12.75">
      <c r="A36769" s="2" t="s">
        <v>235</v>
      </c>
    </row>
    <row r="36770" spans="1:1" ht="12.75">
      <c r="A36770" s="2" t="s">
        <v>233</v>
      </c>
    </row>
    <row r="36771" spans="1:1" ht="12.75">
      <c r="A36771" s="2" t="s">
        <v>235</v>
      </c>
    </row>
    <row r="36772" spans="1:1" ht="12.75">
      <c r="A36772" s="2" t="s">
        <v>235</v>
      </c>
    </row>
    <row r="36773" spans="1:1" ht="12.75">
      <c r="A36773" s="2" t="s">
        <v>234</v>
      </c>
    </row>
    <row r="36774" spans="1:1" ht="12.75">
      <c r="A36774" s="2" t="s">
        <v>234</v>
      </c>
    </row>
    <row r="36775" spans="1:1" ht="12.75">
      <c r="A36775" s="2" t="s">
        <v>234</v>
      </c>
    </row>
    <row r="36776" spans="1:1" ht="12.75">
      <c r="A36776" s="2" t="s">
        <v>234</v>
      </c>
    </row>
    <row r="36777" spans="1:1" ht="12.75">
      <c r="A36777" s="2" t="s">
        <v>234</v>
      </c>
    </row>
    <row r="36778" spans="1:1" ht="12.75">
      <c r="A36778" s="2" t="s">
        <v>234</v>
      </c>
    </row>
    <row r="36779" spans="1:1" ht="12.75">
      <c r="A36779" s="2" t="s">
        <v>234</v>
      </c>
    </row>
    <row r="36780" spans="1:1" ht="12.75">
      <c r="A36780" s="2" t="s">
        <v>234</v>
      </c>
    </row>
    <row r="36781" spans="1:1" ht="12.75">
      <c r="A36781" s="2" t="s">
        <v>234</v>
      </c>
    </row>
    <row r="36782" spans="1:1" ht="12.75">
      <c r="A36782" s="2" t="s">
        <v>234</v>
      </c>
    </row>
    <row r="36783" spans="1:1" ht="12.75">
      <c r="A36783" s="2" t="s">
        <v>234</v>
      </c>
    </row>
    <row r="36784" spans="1:1" ht="12.75">
      <c r="A36784" s="2" t="s">
        <v>234</v>
      </c>
    </row>
    <row r="36785" spans="1:1" ht="12.75">
      <c r="A36785" s="2" t="s">
        <v>234</v>
      </c>
    </row>
    <row r="36786" spans="1:1" ht="12.75">
      <c r="A36786" s="2" t="s">
        <v>234</v>
      </c>
    </row>
    <row r="36787" spans="1:1" ht="12.75">
      <c r="A36787" s="2" t="s">
        <v>234</v>
      </c>
    </row>
    <row r="36788" spans="1:1" ht="12.75">
      <c r="A36788" s="2" t="s">
        <v>234</v>
      </c>
    </row>
    <row r="36789" spans="1:1" ht="12.75">
      <c r="A36789" s="2" t="s">
        <v>234</v>
      </c>
    </row>
    <row r="36790" spans="1:1" ht="12.75">
      <c r="A36790" s="2" t="s">
        <v>234</v>
      </c>
    </row>
    <row r="36791" spans="1:1" ht="12.75">
      <c r="A36791" s="2" t="s">
        <v>234</v>
      </c>
    </row>
    <row r="36792" spans="1:1" ht="12.75">
      <c r="A36792" s="2" t="s">
        <v>234</v>
      </c>
    </row>
    <row r="36793" spans="1:1" ht="12.75">
      <c r="A36793" s="2" t="s">
        <v>234</v>
      </c>
    </row>
    <row r="36794" spans="1:1" ht="12.75">
      <c r="A36794" s="2" t="s">
        <v>234</v>
      </c>
    </row>
    <row r="36795" spans="1:1" ht="12.75">
      <c r="A36795" s="2" t="s">
        <v>234</v>
      </c>
    </row>
    <row r="36796" spans="1:1" ht="12.75">
      <c r="A36796" s="2" t="s">
        <v>234</v>
      </c>
    </row>
    <row r="36797" spans="1:1" ht="12.75">
      <c r="A36797" s="2" t="s">
        <v>234</v>
      </c>
    </row>
    <row r="36798" spans="1:1" ht="12.75">
      <c r="A36798" s="2" t="s">
        <v>234</v>
      </c>
    </row>
    <row r="36799" spans="1:1" ht="12.75">
      <c r="A36799" s="2" t="s">
        <v>234</v>
      </c>
    </row>
    <row r="36800" spans="1:1" ht="12.75">
      <c r="A36800" s="2" t="s">
        <v>234</v>
      </c>
    </row>
    <row r="36801" spans="1:1" ht="12.75">
      <c r="A36801" s="2" t="s">
        <v>234</v>
      </c>
    </row>
    <row r="36802" spans="1:1" ht="12.75">
      <c r="A36802" s="2" t="s">
        <v>234</v>
      </c>
    </row>
    <row r="36803" spans="1:1" ht="12.75">
      <c r="A36803" s="2" t="s">
        <v>234</v>
      </c>
    </row>
    <row r="36804" spans="1:1" ht="12.75">
      <c r="A36804" s="2" t="s">
        <v>234</v>
      </c>
    </row>
    <row r="36805" spans="1:1" ht="12.75">
      <c r="A36805" s="2" t="s">
        <v>236</v>
      </c>
    </row>
    <row r="36806" spans="1:1" ht="12.75">
      <c r="A36806" s="2" t="s">
        <v>803</v>
      </c>
    </row>
    <row r="36807" spans="1:1" ht="12.75">
      <c r="A36807" s="2" t="s">
        <v>902</v>
      </c>
    </row>
    <row r="36808" spans="1:1" ht="12.75">
      <c r="A36808" s="2" t="s">
        <v>902</v>
      </c>
    </row>
    <row r="36809" spans="1:1" ht="12.75">
      <c r="A36809" s="2" t="s">
        <v>902</v>
      </c>
    </row>
    <row r="36810" spans="1:1" ht="12.75">
      <c r="A36810" s="2" t="s">
        <v>902</v>
      </c>
    </row>
    <row r="36811" spans="1:1" ht="12.75">
      <c r="A36811" s="2" t="s">
        <v>1305</v>
      </c>
    </row>
    <row r="36812" spans="1:1" ht="12.75">
      <c r="A36812" s="2" t="s">
        <v>902</v>
      </c>
    </row>
    <row r="36813" spans="1:1" ht="12.75">
      <c r="A36813" s="2" t="s">
        <v>902</v>
      </c>
    </row>
    <row r="36814" spans="1:1" ht="12.75">
      <c r="A36814" s="2" t="s">
        <v>902</v>
      </c>
    </row>
    <row r="36815" spans="1:1" ht="12.75">
      <c r="A36815" s="2" t="s">
        <v>902</v>
      </c>
    </row>
    <row r="36816" spans="1:1" ht="12.75">
      <c r="A36816" s="2" t="s">
        <v>902</v>
      </c>
    </row>
    <row r="36857" spans="1:1" ht="12.75">
      <c r="A36857" s="2" t="s">
        <v>233</v>
      </c>
    </row>
    <row r="36858" spans="1:1" ht="12.75">
      <c r="A36858" s="2" t="s">
        <v>1306</v>
      </c>
    </row>
    <row r="36859" spans="1:1" ht="12.75">
      <c r="A36859" s="2" t="s">
        <v>236</v>
      </c>
    </row>
    <row r="36860" spans="1:1" ht="12.75">
      <c r="A36860" s="2" t="s">
        <v>236</v>
      </c>
    </row>
    <row r="36924" spans="1:1" ht="12.75">
      <c r="A36924" s="2" t="s">
        <v>1307</v>
      </c>
    </row>
    <row r="36925" spans="1:1" ht="12.75">
      <c r="A36925" s="2" t="s">
        <v>1307</v>
      </c>
    </row>
    <row r="36931" spans="1:1" ht="12.75">
      <c r="A36931" s="2" t="s">
        <v>234</v>
      </c>
    </row>
    <row r="36932" spans="1:1" ht="12.75">
      <c r="A36932" s="2" t="s">
        <v>234</v>
      </c>
    </row>
    <row r="36935" spans="1:1" ht="12.75">
      <c r="A36935" s="2" t="s">
        <v>234</v>
      </c>
    </row>
    <row r="36936" spans="1:1" ht="12.75">
      <c r="A36936" s="2" t="s">
        <v>234</v>
      </c>
    </row>
    <row r="36939" spans="1:1" ht="12.75">
      <c r="A36939" s="2" t="s">
        <v>235</v>
      </c>
    </row>
    <row r="36940" spans="1:1" ht="12.75">
      <c r="A36940" s="2" t="s">
        <v>235</v>
      </c>
    </row>
    <row r="36943" spans="1:1" ht="12.75">
      <c r="A36943" s="2" t="s">
        <v>234</v>
      </c>
    </row>
    <row r="36944" spans="1:1" ht="12.75">
      <c r="A36944" s="2" t="s">
        <v>234</v>
      </c>
    </row>
    <row r="37047" spans="1:1" ht="12.75">
      <c r="A37047" s="2" t="s">
        <v>626</v>
      </c>
    </row>
    <row r="37053" spans="1:1" ht="12.75">
      <c r="A37053" s="2" t="s">
        <v>574</v>
      </c>
    </row>
    <row r="37054" spans="1:1" ht="12.75">
      <c r="A37054" s="2" t="s">
        <v>241</v>
      </c>
    </row>
    <row r="37055" spans="1:1" ht="12.75">
      <c r="A37055" s="2" t="s">
        <v>241</v>
      </c>
    </row>
    <row r="37058" spans="1:1" ht="12.75">
      <c r="A37058" s="2" t="s">
        <v>241</v>
      </c>
    </row>
    <row r="37059" spans="1:1" ht="12.75">
      <c r="A37059" s="2" t="s">
        <v>242</v>
      </c>
    </row>
    <row r="37060" spans="1:1" ht="12.75">
      <c r="A37060" s="2" t="s">
        <v>235</v>
      </c>
    </row>
    <row r="37061" spans="1:1" ht="12.75">
      <c r="A37061" s="2" t="s">
        <v>235</v>
      </c>
    </row>
    <row r="37062" spans="1:1" ht="12.75">
      <c r="A37062" s="2" t="s">
        <v>235</v>
      </c>
    </row>
    <row r="37063" spans="1:1" ht="12.75">
      <c r="A37063" s="2" t="s">
        <v>234</v>
      </c>
    </row>
    <row r="37064" spans="1:1" ht="12.75">
      <c r="A37064" s="2" t="s">
        <v>1308</v>
      </c>
    </row>
    <row r="37065" spans="1:1" ht="12.75">
      <c r="A37065" s="2" t="s">
        <v>234</v>
      </c>
    </row>
    <row r="37066" spans="1:1" ht="12.75">
      <c r="A37066" s="2" t="s">
        <v>236</v>
      </c>
    </row>
    <row r="37067" spans="1:1" ht="12.75">
      <c r="A37067" s="2" t="s">
        <v>236</v>
      </c>
    </row>
    <row r="37068" spans="1:1" ht="12.75">
      <c r="A37068" s="2" t="s">
        <v>234</v>
      </c>
    </row>
    <row r="37069" spans="1:1" ht="12.75">
      <c r="A37069" s="2" t="s">
        <v>234</v>
      </c>
    </row>
    <row r="37070" spans="1:1" ht="12.75">
      <c r="A37070" s="2" t="s">
        <v>234</v>
      </c>
    </row>
    <row r="37071" spans="1:1" ht="12.75">
      <c r="A37071" s="2" t="s">
        <v>234</v>
      </c>
    </row>
    <row r="37072" spans="1:1" ht="12.75">
      <c r="A37072" s="2" t="s">
        <v>234</v>
      </c>
    </row>
    <row r="37073" spans="1:1" ht="12.75">
      <c r="A37073" s="2" t="s">
        <v>234</v>
      </c>
    </row>
    <row r="37074" spans="1:1" ht="12.75">
      <c r="A37074" s="2" t="s">
        <v>236</v>
      </c>
    </row>
    <row r="37075" spans="1:1" ht="12.75">
      <c r="A37075" s="2" t="s">
        <v>236</v>
      </c>
    </row>
    <row r="37076" spans="1:1" ht="12.75">
      <c r="A37076" s="2" t="s">
        <v>234</v>
      </c>
    </row>
    <row r="37077" spans="1:1" ht="12.75">
      <c r="A37077" s="2" t="s">
        <v>234</v>
      </c>
    </row>
    <row r="37078" spans="1:1" ht="12.75">
      <c r="A37078" s="2" t="s">
        <v>199</v>
      </c>
    </row>
    <row r="37079" spans="1:1" ht="12.75">
      <c r="A37079" s="2" t="s">
        <v>199</v>
      </c>
    </row>
    <row r="37082" spans="1:1" ht="12.75">
      <c r="A37082" s="2" t="s">
        <v>806</v>
      </c>
    </row>
    <row r="37090" spans="1:1" ht="12.75">
      <c r="A37090" s="2" t="s">
        <v>236</v>
      </c>
    </row>
    <row r="37091" spans="1:1" ht="12.75">
      <c r="A37091" s="2" t="s">
        <v>235</v>
      </c>
    </row>
    <row r="37092" spans="1:1" ht="12.75">
      <c r="A37092" s="2" t="s">
        <v>234</v>
      </c>
    </row>
    <row r="37093" spans="1:1" ht="12.75">
      <c r="A37093" s="2" t="s">
        <v>235</v>
      </c>
    </row>
    <row r="37094" spans="1:1" ht="12.75">
      <c r="A37094" s="2" t="s">
        <v>235</v>
      </c>
    </row>
    <row r="37095" spans="1:1" ht="12.75">
      <c r="A37095" s="2" t="s">
        <v>235</v>
      </c>
    </row>
    <row r="37096" spans="1:1" ht="12.75">
      <c r="A37096" s="2" t="s">
        <v>236</v>
      </c>
    </row>
    <row r="37097" spans="1:1" ht="12.75">
      <c r="A37097" s="2" t="s">
        <v>236</v>
      </c>
    </row>
    <row r="37100" spans="1:1" ht="12.75">
      <c r="A37100" s="2" t="s">
        <v>233</v>
      </c>
    </row>
    <row r="37101" spans="1:1" ht="12.75">
      <c r="A37101" s="2" t="s">
        <v>233</v>
      </c>
    </row>
    <row r="37102" spans="1:1" ht="12.75">
      <c r="A37102" s="2">
        <v>237</v>
      </c>
    </row>
    <row r="37103" spans="1:1" ht="12.75">
      <c r="A37103" s="2" t="s">
        <v>235</v>
      </c>
    </row>
    <row r="37104" spans="1:1" ht="12.75">
      <c r="A37104" s="2" t="s">
        <v>199</v>
      </c>
    </row>
    <row r="37105" spans="1:1" ht="12.75">
      <c r="A37105" s="2" t="s">
        <v>199</v>
      </c>
    </row>
    <row r="37106" spans="1:1" ht="12.75">
      <c r="A37106" s="2" t="s">
        <v>233</v>
      </c>
    </row>
    <row r="37107" spans="1:1" ht="12.75">
      <c r="A37107" s="2" t="s">
        <v>234</v>
      </c>
    </row>
    <row r="37108" spans="1:1" ht="12.75">
      <c r="A37108" s="2" t="s">
        <v>805</v>
      </c>
    </row>
    <row r="37109" spans="1:1" ht="12.75">
      <c r="A37109" s="2" t="s">
        <v>805</v>
      </c>
    </row>
    <row r="37110" spans="1:1" ht="12.75">
      <c r="A37110" s="2" t="s">
        <v>805</v>
      </c>
    </row>
    <row r="37112" spans="1:1" ht="12.75">
      <c r="A37112" s="2" t="s">
        <v>236</v>
      </c>
    </row>
    <row r="37113" spans="1:1" ht="12.75">
      <c r="A37113" s="2" t="s">
        <v>236</v>
      </c>
    </row>
    <row r="37114" spans="1:1" ht="12.75">
      <c r="A37114" s="2" t="s">
        <v>236</v>
      </c>
    </row>
    <row r="37115" spans="1:1" ht="12.75">
      <c r="A37115" s="2" t="s">
        <v>236</v>
      </c>
    </row>
    <row r="37116" spans="1:1" ht="12.75">
      <c r="A37116" s="2" t="s">
        <v>236</v>
      </c>
    </row>
    <row r="37117" spans="1:1" ht="12.75">
      <c r="A37117" s="2" t="s">
        <v>236</v>
      </c>
    </row>
    <row r="37118" spans="1:1" ht="12.75">
      <c r="A37118" s="2" t="s">
        <v>235</v>
      </c>
    </row>
    <row r="37119" spans="1:1" ht="12.75">
      <c r="A37119" s="2" t="s">
        <v>1309</v>
      </c>
    </row>
    <row r="37120" spans="1:1" ht="12.75">
      <c r="A37120" s="2" t="s">
        <v>234</v>
      </c>
    </row>
    <row r="37121" spans="1:1" ht="12.75">
      <c r="A37121" s="2" t="s">
        <v>234</v>
      </c>
    </row>
    <row r="37122" spans="1:1" ht="12.75">
      <c r="A37122" s="2" t="s">
        <v>234</v>
      </c>
    </row>
    <row r="37123" spans="1:1" ht="12.75">
      <c r="A37123" s="2" t="s">
        <v>234</v>
      </c>
    </row>
    <row r="37124" spans="1:1" ht="12.75">
      <c r="A37124" s="2" t="s">
        <v>234</v>
      </c>
    </row>
    <row r="37125" spans="1:1" ht="12.75">
      <c r="A37125" s="2" t="s">
        <v>234</v>
      </c>
    </row>
    <row r="37126" spans="1:1" ht="12.75">
      <c r="A37126" s="2" t="s">
        <v>234</v>
      </c>
    </row>
    <row r="37127" spans="1:1" ht="12.75">
      <c r="A37127" s="2" t="s">
        <v>234</v>
      </c>
    </row>
    <row r="37128" spans="1:1" ht="12.75">
      <c r="A37128" s="2" t="s">
        <v>236</v>
      </c>
    </row>
    <row r="37129" spans="1:1" ht="12.75">
      <c r="A37129" s="2" t="s">
        <v>236</v>
      </c>
    </row>
    <row r="37130" spans="1:1" ht="12.75">
      <c r="A37130" s="2" t="s">
        <v>199</v>
      </c>
    </row>
    <row r="37131" spans="1:1" ht="12.75">
      <c r="A37131" s="2" t="s">
        <v>199</v>
      </c>
    </row>
    <row r="37132" spans="1:1" ht="12.75">
      <c r="A37132" s="2" t="s">
        <v>235</v>
      </c>
    </row>
    <row r="37133" spans="1:1" ht="12.75">
      <c r="A37133" s="2" t="s">
        <v>235</v>
      </c>
    </row>
    <row r="37134" spans="1:1" ht="12.75">
      <c r="A37134" s="2" t="s">
        <v>234</v>
      </c>
    </row>
    <row r="37135" spans="1:1" ht="12.75">
      <c r="A37135" s="2" t="s">
        <v>234</v>
      </c>
    </row>
    <row r="37136" spans="1:1" ht="12.75">
      <c r="A37136" s="2" t="s">
        <v>234</v>
      </c>
    </row>
    <row r="37137" spans="1:1" ht="12.75">
      <c r="A37137" s="2" t="s">
        <v>234</v>
      </c>
    </row>
    <row r="37138" spans="1:1" ht="12.75">
      <c r="A37138" s="2" t="s">
        <v>234</v>
      </c>
    </row>
    <row r="37139" spans="1:1" ht="12.75">
      <c r="A37139" s="2" t="s">
        <v>234</v>
      </c>
    </row>
    <row r="37140" spans="1:1" ht="12.75">
      <c r="A37140" s="2" t="s">
        <v>234</v>
      </c>
    </row>
    <row r="37141" spans="1:1" ht="12.75">
      <c r="A37141" s="2" t="s">
        <v>234</v>
      </c>
    </row>
    <row r="37142" spans="1:1" ht="12.75">
      <c r="A37142" s="2" t="s">
        <v>234</v>
      </c>
    </row>
    <row r="37143" spans="1:1" ht="12.75">
      <c r="A37143" s="2" t="s">
        <v>234</v>
      </c>
    </row>
    <row r="37144" spans="1:1" ht="12.75">
      <c r="A37144" s="2" t="s">
        <v>234</v>
      </c>
    </row>
    <row r="37145" spans="1:1" ht="12.75">
      <c r="A37145" s="2" t="s">
        <v>234</v>
      </c>
    </row>
    <row r="37146" spans="1:1" ht="12.75">
      <c r="A37146" s="2" t="s">
        <v>234</v>
      </c>
    </row>
    <row r="37147" spans="1:1" ht="12.75">
      <c r="A37147" s="2" t="s">
        <v>234</v>
      </c>
    </row>
    <row r="37148" spans="1:1" ht="12.75">
      <c r="A37148" s="2" t="s">
        <v>234</v>
      </c>
    </row>
    <row r="37149" spans="1:1" ht="12.75">
      <c r="A37149" s="2" t="s">
        <v>234</v>
      </c>
    </row>
    <row r="37150" spans="1:1" ht="12.75">
      <c r="A37150" s="2" t="s">
        <v>234</v>
      </c>
    </row>
    <row r="37151" spans="1:1" ht="12.75">
      <c r="A37151" s="2" t="s">
        <v>234</v>
      </c>
    </row>
    <row r="37152" spans="1:1" ht="12.75">
      <c r="A37152" s="2" t="s">
        <v>234</v>
      </c>
    </row>
    <row r="37153" spans="1:1" ht="12.75">
      <c r="A37153" s="2" t="s">
        <v>234</v>
      </c>
    </row>
    <row r="37154" spans="1:1" ht="12.75">
      <c r="A37154" s="2" t="s">
        <v>234</v>
      </c>
    </row>
    <row r="37155" spans="1:1" ht="12.75">
      <c r="A37155" s="2" t="s">
        <v>234</v>
      </c>
    </row>
    <row r="37156" spans="1:1" ht="12.75">
      <c r="A37156" s="2" t="s">
        <v>234</v>
      </c>
    </row>
    <row r="37157" spans="1:1" ht="12.75">
      <c r="A37157" s="2" t="s">
        <v>234</v>
      </c>
    </row>
    <row r="37158" spans="1:1" ht="12.75">
      <c r="A37158" s="2" t="s">
        <v>1308</v>
      </c>
    </row>
    <row r="37159" spans="1:1" ht="12.75">
      <c r="A37159" s="2" t="s">
        <v>234</v>
      </c>
    </row>
    <row r="37160" spans="1:1" ht="12.75">
      <c r="A37160" s="2" t="s">
        <v>234</v>
      </c>
    </row>
    <row r="37161" spans="1:1" ht="12.75">
      <c r="A37161" s="2" t="s">
        <v>234</v>
      </c>
    </row>
    <row r="37162" spans="1:1" ht="12.75">
      <c r="A37162" s="2" t="s">
        <v>234</v>
      </c>
    </row>
    <row r="37163" spans="1:1" ht="12.75">
      <c r="A37163" s="2" t="s">
        <v>234</v>
      </c>
    </row>
    <row r="37164" spans="1:1" ht="12.75">
      <c r="A37164" s="2" t="s">
        <v>234</v>
      </c>
    </row>
    <row r="37165" spans="1:1" ht="12.75">
      <c r="A37165" s="2" t="s">
        <v>234</v>
      </c>
    </row>
    <row r="37166" spans="1:1" ht="12.75">
      <c r="A37166" s="2" t="s">
        <v>234</v>
      </c>
    </row>
    <row r="37167" spans="1:1" ht="12.75">
      <c r="A37167" s="2" t="s">
        <v>234</v>
      </c>
    </row>
    <row r="37168" spans="1:1" ht="12.75">
      <c r="A37168" s="2" t="s">
        <v>234</v>
      </c>
    </row>
    <row r="37169" spans="1:1" ht="12.75">
      <c r="A37169" s="2" t="s">
        <v>234</v>
      </c>
    </row>
    <row r="37170" spans="1:1" ht="12.75">
      <c r="A37170" s="2" t="s">
        <v>236</v>
      </c>
    </row>
    <row r="37172" spans="1:1" ht="12.75">
      <c r="A37172" s="2" t="s">
        <v>199</v>
      </c>
    </row>
    <row r="37173" spans="1:1" ht="12.75">
      <c r="A37173" s="2" t="s">
        <v>199</v>
      </c>
    </row>
    <row r="37174" spans="1:1" ht="12.75">
      <c r="A37174" s="2" t="s">
        <v>234</v>
      </c>
    </row>
    <row r="37175" spans="1:1" ht="12.75">
      <c r="A37175" s="2" t="s">
        <v>234</v>
      </c>
    </row>
    <row r="37176" spans="1:1" ht="12.75">
      <c r="A37176" s="2" t="s">
        <v>234</v>
      </c>
    </row>
    <row r="37177" spans="1:1" ht="12.75">
      <c r="A37177" s="2" t="s">
        <v>234</v>
      </c>
    </row>
    <row r="37178" spans="1:1" ht="12.75">
      <c r="A37178" s="2" t="s">
        <v>234</v>
      </c>
    </row>
    <row r="37179" spans="1:1" ht="12.75">
      <c r="A37179" s="2" t="s">
        <v>234</v>
      </c>
    </row>
    <row r="37180" spans="1:1" ht="12.75">
      <c r="A37180" s="2" t="s">
        <v>234</v>
      </c>
    </row>
    <row r="37181" spans="1:1" ht="12.75">
      <c r="A37181" s="2" t="s">
        <v>234</v>
      </c>
    </row>
    <row r="37182" spans="1:1" ht="12.75">
      <c r="A37182" s="2" t="s">
        <v>234</v>
      </c>
    </row>
    <row r="37183" spans="1:1" ht="12.75">
      <c r="A37183" s="2" t="s">
        <v>234</v>
      </c>
    </row>
    <row r="37184" spans="1:1" ht="12.75">
      <c r="A37184" s="2" t="s">
        <v>234</v>
      </c>
    </row>
    <row r="37185" spans="1:1" ht="12.75">
      <c r="A37185" s="2" t="s">
        <v>234</v>
      </c>
    </row>
    <row r="37186" spans="1:1" ht="12.75">
      <c r="A37186" s="2" t="s">
        <v>236</v>
      </c>
    </row>
    <row r="37187" spans="1:1" ht="12.75">
      <c r="A37187" s="2" t="s">
        <v>236</v>
      </c>
    </row>
    <row r="37188" spans="1:1" ht="12.75">
      <c r="A37188" s="2" t="s">
        <v>233</v>
      </c>
    </row>
    <row r="37189" spans="1:1" ht="12.75">
      <c r="A37189" s="2" t="s">
        <v>233</v>
      </c>
    </row>
    <row r="37190" spans="1:1" ht="12.75">
      <c r="A37190" s="2" t="s">
        <v>235</v>
      </c>
    </row>
    <row r="37191" spans="1:1" ht="12.75">
      <c r="A37191" s="2" t="s">
        <v>235</v>
      </c>
    </row>
    <row r="37192" spans="1:1" ht="12.75">
      <c r="A37192" s="2" t="s">
        <v>234</v>
      </c>
    </row>
    <row r="37193" spans="1:1" ht="12.75">
      <c r="A37193" s="2" t="s">
        <v>234</v>
      </c>
    </row>
    <row r="37194" spans="1:1" ht="12.75">
      <c r="A37194" s="2" t="s">
        <v>234</v>
      </c>
    </row>
    <row r="37195" spans="1:1" ht="12.75">
      <c r="A37195" s="2" t="s">
        <v>234</v>
      </c>
    </row>
    <row r="37196" spans="1:1" ht="12.75">
      <c r="A37196" s="2" t="s">
        <v>235</v>
      </c>
    </row>
    <row r="37197" spans="1:1" ht="12.75">
      <c r="A37197" s="2" t="s">
        <v>236</v>
      </c>
    </row>
    <row r="37198" spans="1:1" ht="12.75">
      <c r="A37198" s="2" t="s">
        <v>199</v>
      </c>
    </row>
    <row r="37199" spans="1:1" ht="12.75">
      <c r="A37199" s="2" t="s">
        <v>233</v>
      </c>
    </row>
    <row r="37200" spans="1:1" ht="12.75">
      <c r="A37200" s="2" t="s">
        <v>234</v>
      </c>
    </row>
    <row r="37201" spans="1:1" ht="12.75">
      <c r="A37201" s="2" t="s">
        <v>234</v>
      </c>
    </row>
    <row r="37202" spans="1:1" ht="12.75">
      <c r="A37202" s="2" t="s">
        <v>234</v>
      </c>
    </row>
    <row r="37203" spans="1:1" ht="12.75">
      <c r="A37203" s="2" t="s">
        <v>234</v>
      </c>
    </row>
    <row r="37204" spans="1:1" ht="12.75">
      <c r="A37204" s="2" t="s">
        <v>233</v>
      </c>
    </row>
    <row r="37205" spans="1:1" ht="12.75">
      <c r="A37205" s="2" t="s">
        <v>233</v>
      </c>
    </row>
    <row r="37206" spans="1:1" ht="12.75">
      <c r="A37206" s="2" t="s">
        <v>235</v>
      </c>
    </row>
    <row r="37207" spans="1:1" ht="12.75">
      <c r="A37207" s="2" t="s">
        <v>235</v>
      </c>
    </row>
    <row r="37208" spans="1:1" ht="12.75">
      <c r="A37208" s="2" t="s">
        <v>235</v>
      </c>
    </row>
    <row r="37209" spans="1:1" ht="12.75">
      <c r="A37209" s="2" t="s">
        <v>235</v>
      </c>
    </row>
    <row r="37210" spans="1:1" ht="12.75">
      <c r="A37210" s="2" t="s">
        <v>233</v>
      </c>
    </row>
    <row r="37212" spans="1:1" ht="12.75">
      <c r="A37212" s="2" t="s">
        <v>1310</v>
      </c>
    </row>
    <row r="37213" spans="1:1" ht="12.75">
      <c r="A37213" s="2" t="s">
        <v>233</v>
      </c>
    </row>
    <row r="37214" spans="1:1" ht="12.75">
      <c r="A37214" s="2" t="s">
        <v>233</v>
      </c>
    </row>
    <row r="37215" spans="1:1" ht="12.75">
      <c r="A37215" s="2" t="s">
        <v>233</v>
      </c>
    </row>
    <row r="37216" spans="1:1" ht="12.75">
      <c r="A37216" s="2" t="s">
        <v>236</v>
      </c>
    </row>
    <row r="37217" spans="1:1" ht="12.75">
      <c r="A37217" s="2" t="s">
        <v>236</v>
      </c>
    </row>
    <row r="37218" spans="1:1" ht="12.75">
      <c r="A37218" s="2" t="s">
        <v>236</v>
      </c>
    </row>
    <row r="37219" spans="1:1" ht="12.75">
      <c r="A37219" s="2" t="s">
        <v>236</v>
      </c>
    </row>
    <row r="37220" spans="1:1" ht="12.75">
      <c r="A37220" s="2" t="s">
        <v>236</v>
      </c>
    </row>
    <row r="37221" spans="1:1" ht="12.75">
      <c r="A37221" s="2" t="s">
        <v>236</v>
      </c>
    </row>
    <row r="37222" spans="1:1" ht="12.75">
      <c r="A37222" s="2" t="s">
        <v>235</v>
      </c>
    </row>
    <row r="37223" spans="1:1" ht="12.75">
      <c r="A37223" s="2" t="s">
        <v>235</v>
      </c>
    </row>
    <row r="37224" spans="1:1" ht="12.75">
      <c r="A37224" s="2" t="s">
        <v>235</v>
      </c>
    </row>
    <row r="37225" spans="1:1" ht="12.75">
      <c r="A37225" s="2" t="s">
        <v>235</v>
      </c>
    </row>
    <row r="37226" spans="1:1" ht="12.75">
      <c r="A37226" s="2" t="s">
        <v>803</v>
      </c>
    </row>
    <row r="37227" spans="1:1" ht="12.75">
      <c r="A37227" s="2" t="s">
        <v>1311</v>
      </c>
    </row>
    <row r="37228" spans="1:1" ht="12.75">
      <c r="A37228" s="2" t="s">
        <v>1312</v>
      </c>
    </row>
    <row r="37229" spans="1:1" ht="12.75">
      <c r="A37229" s="2" t="s">
        <v>236</v>
      </c>
    </row>
    <row r="37230" spans="1:1" ht="12.75">
      <c r="A37230" s="2" t="s">
        <v>233</v>
      </c>
    </row>
    <row r="37231" spans="1:1" ht="12.75">
      <c r="A37231" s="2" t="s">
        <v>233</v>
      </c>
    </row>
    <row r="37232" spans="1:1" ht="12.75">
      <c r="A37232" s="2" t="s">
        <v>233</v>
      </c>
    </row>
    <row r="37233" spans="1:1" ht="12.75">
      <c r="A37233" s="2" t="s">
        <v>233</v>
      </c>
    </row>
    <row r="37234" spans="1:1" ht="12.75">
      <c r="A37234" s="2" t="s">
        <v>235</v>
      </c>
    </row>
    <row r="37235" spans="1:1" ht="12.75">
      <c r="A37235" s="2" t="s">
        <v>235</v>
      </c>
    </row>
    <row r="37236" spans="1:1" ht="12.75">
      <c r="A37236" s="2" t="s">
        <v>233</v>
      </c>
    </row>
    <row r="37237" spans="1:1" ht="12.75">
      <c r="A37237" s="2" t="s">
        <v>233</v>
      </c>
    </row>
    <row r="37238" spans="1:1" ht="12.75">
      <c r="A37238" s="2" t="s">
        <v>236</v>
      </c>
    </row>
    <row r="37239" spans="1:1" ht="12.75">
      <c r="A37239" s="2" t="s">
        <v>236</v>
      </c>
    </row>
    <row r="37240" spans="1:1" ht="12.75">
      <c r="A37240" s="2" t="s">
        <v>234</v>
      </c>
    </row>
    <row r="37241" spans="1:1" ht="12.75">
      <c r="A37241" s="2" t="s">
        <v>234</v>
      </c>
    </row>
    <row r="37242" spans="1:1" ht="12.75">
      <c r="A37242" s="2" t="s">
        <v>234</v>
      </c>
    </row>
    <row r="37243" spans="1:1" ht="12.75">
      <c r="A37243" s="2" t="s">
        <v>234</v>
      </c>
    </row>
    <row r="37244" spans="1:1" ht="12.75">
      <c r="A37244" s="2" t="s">
        <v>234</v>
      </c>
    </row>
    <row r="37245" spans="1:1" ht="12.75">
      <c r="A37245" s="2" t="s">
        <v>234</v>
      </c>
    </row>
    <row r="37246" spans="1:1" ht="12.75">
      <c r="A37246" s="2" t="s">
        <v>234</v>
      </c>
    </row>
    <row r="37247" spans="1:1" ht="12.75">
      <c r="A37247" s="2" t="s">
        <v>234</v>
      </c>
    </row>
    <row r="37248" spans="1:1" ht="12.75">
      <c r="A37248" s="2" t="s">
        <v>234</v>
      </c>
    </row>
    <row r="37249" spans="1:1" ht="12.75">
      <c r="A37249" s="2" t="s">
        <v>234</v>
      </c>
    </row>
    <row r="37250" spans="1:1" ht="12.75">
      <c r="A37250" s="2" t="s">
        <v>234</v>
      </c>
    </row>
    <row r="37251" spans="1:1" ht="12.75">
      <c r="A37251" s="2" t="s">
        <v>234</v>
      </c>
    </row>
    <row r="37252" spans="1:1" ht="12.75">
      <c r="A37252" s="2" t="s">
        <v>234</v>
      </c>
    </row>
    <row r="37253" spans="1:1" ht="12.75">
      <c r="A37253" s="2" t="s">
        <v>234</v>
      </c>
    </row>
    <row r="37254" spans="1:1" ht="12.75">
      <c r="A37254" s="2" t="s">
        <v>234</v>
      </c>
    </row>
    <row r="37255" spans="1:1" ht="12.75">
      <c r="A37255" s="2" t="s">
        <v>234</v>
      </c>
    </row>
    <row r="37256" spans="1:1" ht="12.75">
      <c r="A37256" s="2" t="s">
        <v>234</v>
      </c>
    </row>
    <row r="37257" spans="1:1" ht="12.75">
      <c r="A37257" s="2" t="s">
        <v>234</v>
      </c>
    </row>
    <row r="37258" spans="1:1" ht="12.75">
      <c r="A37258" s="2" t="s">
        <v>236</v>
      </c>
    </row>
    <row r="37259" spans="1:1" ht="12.75">
      <c r="A37259" s="2" t="s">
        <v>235</v>
      </c>
    </row>
    <row r="37260" spans="1:1" ht="12.75">
      <c r="A37260" s="2" t="s">
        <v>233</v>
      </c>
    </row>
    <row r="37261" spans="1:1" ht="12.75">
      <c r="A37261" s="2" t="s">
        <v>236</v>
      </c>
    </row>
    <row r="37262" spans="1:1" ht="12.75">
      <c r="A37262" s="2" t="s">
        <v>234</v>
      </c>
    </row>
    <row r="37263" spans="1:1" ht="12.75">
      <c r="A37263" s="2" t="s">
        <v>234</v>
      </c>
    </row>
    <row r="37264" spans="1:1" ht="12.75">
      <c r="A37264" s="2" t="s">
        <v>234</v>
      </c>
    </row>
    <row r="37265" spans="1:1" ht="12.75">
      <c r="A37265" s="2" t="s">
        <v>234</v>
      </c>
    </row>
    <row r="37266" spans="1:1" ht="12.75">
      <c r="A37266" s="2" t="s">
        <v>234</v>
      </c>
    </row>
    <row r="37267" spans="1:1" ht="12.75">
      <c r="A37267" s="2" t="s">
        <v>234</v>
      </c>
    </row>
    <row r="37268" spans="1:1" ht="12.75">
      <c r="A37268" s="2" t="s">
        <v>803</v>
      </c>
    </row>
    <row r="37269" spans="1:1" ht="12.75">
      <c r="A37269" s="2" t="s">
        <v>803</v>
      </c>
    </row>
    <row r="37270" spans="1:1" ht="12.75">
      <c r="A37270" s="2" t="s">
        <v>233</v>
      </c>
    </row>
    <row r="37271" spans="1:1" ht="12.75">
      <c r="A37271" s="2" t="s">
        <v>233</v>
      </c>
    </row>
    <row r="37272" spans="1:1" ht="12.75">
      <c r="A37272" s="2" t="s">
        <v>235</v>
      </c>
    </row>
    <row r="37273" spans="1:1" ht="12.75">
      <c r="A37273" s="2" t="s">
        <v>235</v>
      </c>
    </row>
    <row r="37274" spans="1:1" ht="12.75">
      <c r="A37274" s="2" t="s">
        <v>234</v>
      </c>
    </row>
    <row r="37275" spans="1:1" ht="12.75">
      <c r="A37275" s="2" t="s">
        <v>234</v>
      </c>
    </row>
    <row r="37276" spans="1:1" ht="12.75">
      <c r="A37276" s="2" t="s">
        <v>234</v>
      </c>
    </row>
    <row r="37277" spans="1:1" ht="12.75">
      <c r="A37277" s="2" t="s">
        <v>234</v>
      </c>
    </row>
    <row r="37278" spans="1:1" ht="12.75">
      <c r="A37278" s="2" t="s">
        <v>234</v>
      </c>
    </row>
    <row r="37279" spans="1:1" ht="12.75">
      <c r="A37279" s="2" t="s">
        <v>234</v>
      </c>
    </row>
    <row r="37280" spans="1:1" ht="12.75">
      <c r="A37280" s="2" t="s">
        <v>234</v>
      </c>
    </row>
    <row r="37281" spans="1:1" ht="12.75">
      <c r="A37281" s="2" t="s">
        <v>234</v>
      </c>
    </row>
    <row r="37282" spans="1:1" ht="12.75">
      <c r="A37282" s="2" t="s">
        <v>234</v>
      </c>
    </row>
    <row r="37283" spans="1:1" ht="12.75">
      <c r="A37283" s="2" t="s">
        <v>234</v>
      </c>
    </row>
    <row r="37284" spans="1:1" ht="12.75">
      <c r="A37284" s="2" t="s">
        <v>234</v>
      </c>
    </row>
    <row r="37285" spans="1:1" ht="12.75">
      <c r="A37285" s="2" t="s">
        <v>234</v>
      </c>
    </row>
    <row r="37286" spans="1:1" ht="12.75">
      <c r="A37286" s="2" t="s">
        <v>234</v>
      </c>
    </row>
    <row r="37287" spans="1:1" ht="12.75">
      <c r="A37287" s="2" t="s">
        <v>234</v>
      </c>
    </row>
    <row r="37288" spans="1:1" ht="12.75">
      <c r="A37288" s="2" t="s">
        <v>234</v>
      </c>
    </row>
    <row r="37289" spans="1:1" ht="12.75">
      <c r="A37289" s="2" t="s">
        <v>234</v>
      </c>
    </row>
    <row r="37290" spans="1:1" ht="12.75">
      <c r="A37290" s="2" t="s">
        <v>234</v>
      </c>
    </row>
    <row r="37291" spans="1:1" ht="12.75">
      <c r="A37291" s="2" t="s">
        <v>234</v>
      </c>
    </row>
    <row r="37292" spans="1:1" ht="12.75">
      <c r="A37292" s="2" t="s">
        <v>234</v>
      </c>
    </row>
    <row r="37293" spans="1:1" ht="12.75">
      <c r="A37293" s="2" t="s">
        <v>234</v>
      </c>
    </row>
    <row r="37294" spans="1:1" ht="12.75">
      <c r="A37294" s="2" t="s">
        <v>234</v>
      </c>
    </row>
    <row r="37295" spans="1:1" ht="12.75">
      <c r="A37295" s="2" t="s">
        <v>234</v>
      </c>
    </row>
    <row r="37296" spans="1:1" ht="12.75">
      <c r="A37296" s="2" t="s">
        <v>234</v>
      </c>
    </row>
    <row r="37297" spans="1:1" ht="12.75">
      <c r="A37297" s="2" t="s">
        <v>234</v>
      </c>
    </row>
    <row r="37298" spans="1:1" ht="12.75">
      <c r="A37298" s="2" t="s">
        <v>235</v>
      </c>
    </row>
    <row r="37299" spans="1:1" ht="12.75">
      <c r="A37299" s="2" t="s">
        <v>235</v>
      </c>
    </row>
    <row r="37300" spans="1:1" ht="12.75">
      <c r="A37300" s="2" t="s">
        <v>235</v>
      </c>
    </row>
    <row r="37301" spans="1:1" ht="12.75">
      <c r="A37301" s="2" t="s">
        <v>235</v>
      </c>
    </row>
    <row r="37302" spans="1:1" ht="12.75">
      <c r="A37302" s="2" t="s">
        <v>235</v>
      </c>
    </row>
    <row r="37303" spans="1:1" ht="12.75">
      <c r="A37303" s="2" t="s">
        <v>235</v>
      </c>
    </row>
    <row r="37304" spans="1:1" ht="12.75">
      <c r="A37304" s="2" t="s">
        <v>233</v>
      </c>
    </row>
    <row r="37305" spans="1:1" ht="12.75">
      <c r="A37305" s="2" t="s">
        <v>233</v>
      </c>
    </row>
    <row r="37306" spans="1:1" ht="12.75">
      <c r="A37306" s="2" t="s">
        <v>233</v>
      </c>
    </row>
    <row r="37307" spans="1:1" ht="12.75">
      <c r="A37307" s="2" t="s">
        <v>233</v>
      </c>
    </row>
    <row r="37308" spans="1:1" ht="12.75">
      <c r="A37308" s="2" t="s">
        <v>233</v>
      </c>
    </row>
    <row r="37309" spans="1:1" ht="12.75">
      <c r="A37309" s="2" t="s">
        <v>233</v>
      </c>
    </row>
    <row r="37310" spans="1:1" ht="12.75">
      <c r="A37310" s="2" t="s">
        <v>236</v>
      </c>
    </row>
    <row r="37311" spans="1:1" ht="12.75">
      <c r="A37311" s="2" t="s">
        <v>236</v>
      </c>
    </row>
    <row r="37312" spans="1:1" ht="12.75">
      <c r="A37312" s="2" t="s">
        <v>236</v>
      </c>
    </row>
    <row r="37313" spans="1:1" ht="12.75">
      <c r="A37313" s="2" t="s">
        <v>1313</v>
      </c>
    </row>
    <row r="37314" spans="1:1" ht="12.75">
      <c r="A37314" s="2" t="s">
        <v>236</v>
      </c>
    </row>
    <row r="37315" spans="1:1" ht="12.75">
      <c r="A37315" s="2" t="s">
        <v>803</v>
      </c>
    </row>
    <row r="37316" spans="1:1" ht="12.75">
      <c r="A37316" s="2" t="s">
        <v>234</v>
      </c>
    </row>
    <row r="37317" spans="1:1" ht="12.75">
      <c r="A37317" s="2" t="s">
        <v>234</v>
      </c>
    </row>
    <row r="37318" spans="1:1" ht="12.75">
      <c r="A37318" s="2" t="s">
        <v>234</v>
      </c>
    </row>
    <row r="37319" spans="1:1" ht="12.75">
      <c r="A37319" s="2" t="s">
        <v>234</v>
      </c>
    </row>
    <row r="37320" spans="1:1" ht="12.75">
      <c r="A37320" s="2" t="s">
        <v>234</v>
      </c>
    </row>
    <row r="37321" spans="1:1" ht="12.75">
      <c r="A37321" s="2" t="s">
        <v>234</v>
      </c>
    </row>
    <row r="37322" spans="1:1" ht="12.75">
      <c r="A37322" s="2" t="s">
        <v>234</v>
      </c>
    </row>
    <row r="37323" spans="1:1" ht="12.75">
      <c r="A37323" s="2" t="s">
        <v>234</v>
      </c>
    </row>
    <row r="37324" spans="1:1" ht="12.75">
      <c r="A37324" s="2" t="s">
        <v>234</v>
      </c>
    </row>
    <row r="37325" spans="1:1" ht="12.75">
      <c r="A37325" s="2" t="s">
        <v>234</v>
      </c>
    </row>
    <row r="37326" spans="1:1" ht="12.75">
      <c r="A37326" s="2" t="s">
        <v>233</v>
      </c>
    </row>
    <row r="37327" spans="1:1" ht="12.75">
      <c r="A37327" s="2" t="s">
        <v>233</v>
      </c>
    </row>
    <row r="37328" spans="1:1" ht="12.75">
      <c r="A37328" s="2" t="s">
        <v>805</v>
      </c>
    </row>
    <row r="37329" spans="1:1" ht="12.75">
      <c r="A37329" s="2" t="s">
        <v>805</v>
      </c>
    </row>
    <row r="37330" spans="1:1" ht="12.75">
      <c r="A37330" s="2" t="s">
        <v>236</v>
      </c>
    </row>
    <row r="37331" spans="1:1" ht="12.75">
      <c r="A37331" s="2" t="s">
        <v>236</v>
      </c>
    </row>
    <row r="37332" spans="1:1" ht="12.75">
      <c r="A37332" s="2" t="s">
        <v>805</v>
      </c>
    </row>
    <row r="37333" spans="1:1" ht="12.75">
      <c r="A37333" s="2" t="s">
        <v>805</v>
      </c>
    </row>
    <row r="37334" spans="1:1" ht="12.75">
      <c r="A37334" s="2" t="s">
        <v>902</v>
      </c>
    </row>
    <row r="37335" spans="1:1" ht="12.75">
      <c r="A37335" s="2" t="s">
        <v>902</v>
      </c>
    </row>
    <row r="37336" spans="1:1" ht="12.75">
      <c r="A37336" s="2" t="s">
        <v>902</v>
      </c>
    </row>
    <row r="37337" spans="1:1" ht="12.75">
      <c r="A37337" s="2" t="s">
        <v>902</v>
      </c>
    </row>
    <row r="37338" spans="1:1" ht="12.75">
      <c r="A37338" s="2" t="s">
        <v>1314</v>
      </c>
    </row>
    <row r="37339" spans="1:1" ht="12.75">
      <c r="A37339" s="2" t="s">
        <v>902</v>
      </c>
    </row>
    <row r="37341" spans="1:1" ht="12.75">
      <c r="A37341" s="2" t="s">
        <v>902</v>
      </c>
    </row>
    <row r="37342" spans="1:1" ht="12.75">
      <c r="A37342" s="2" t="s">
        <v>902</v>
      </c>
    </row>
    <row r="37343" spans="1:1" ht="12.75">
      <c r="A37343" s="2" t="s">
        <v>902</v>
      </c>
    </row>
    <row r="37344" spans="1:1" ht="12.75">
      <c r="A37344" s="2" t="s">
        <v>236</v>
      </c>
    </row>
    <row r="37345" spans="1:1" ht="12.75">
      <c r="A37345" s="2" t="s">
        <v>236</v>
      </c>
    </row>
    <row r="37346" spans="1:1" ht="12.75">
      <c r="A37346" s="2" t="s">
        <v>233</v>
      </c>
    </row>
    <row r="37347" spans="1:1" ht="12.75">
      <c r="A37347" s="2" t="s">
        <v>233</v>
      </c>
    </row>
    <row r="37348" spans="1:1" ht="12.75">
      <c r="A37348" s="2" t="s">
        <v>235</v>
      </c>
    </row>
    <row r="37349" spans="1:1" ht="12.75">
      <c r="A37349" s="2" t="s">
        <v>233</v>
      </c>
    </row>
    <row r="37350" spans="1:1" ht="12.75">
      <c r="A37350" s="2" t="s">
        <v>233</v>
      </c>
    </row>
    <row r="37351" spans="1:1" ht="12.75">
      <c r="A37351" s="2" t="s">
        <v>233</v>
      </c>
    </row>
    <row r="37352" spans="1:1" ht="12.75">
      <c r="A37352" s="2" t="s">
        <v>233</v>
      </c>
    </row>
    <row r="37353" spans="1:1" ht="12.75">
      <c r="A37353" s="2" t="s">
        <v>233</v>
      </c>
    </row>
    <row r="37354" spans="1:1" ht="12.75">
      <c r="A37354" s="2" t="s">
        <v>234</v>
      </c>
    </row>
    <row r="37355" spans="1:1" ht="12.75">
      <c r="A37355" s="2" t="s">
        <v>234</v>
      </c>
    </row>
    <row r="37356" spans="1:1" ht="12.75">
      <c r="A37356" s="2" t="s">
        <v>234</v>
      </c>
    </row>
    <row r="37357" spans="1:1" ht="12.75">
      <c r="A37357" s="2" t="s">
        <v>234</v>
      </c>
    </row>
    <row r="37358" spans="1:1" ht="12.75">
      <c r="A37358" s="2" t="s">
        <v>234</v>
      </c>
    </row>
    <row r="37359" spans="1:1" ht="12.75">
      <c r="A37359" s="2" t="s">
        <v>234</v>
      </c>
    </row>
    <row r="37360" spans="1:1" ht="12.75">
      <c r="A37360" s="2" t="s">
        <v>1147</v>
      </c>
    </row>
    <row r="37361" spans="1:1" ht="12.75">
      <c r="A37361" s="2" t="s">
        <v>1147</v>
      </c>
    </row>
    <row r="37364" spans="1:1" ht="12.75">
      <c r="A37364" s="2" t="s">
        <v>264</v>
      </c>
    </row>
    <row r="37367" spans="1:1" ht="12.75">
      <c r="A37367" s="2" t="s">
        <v>970</v>
      </c>
    </row>
    <row r="37368" spans="1:1" ht="12.75">
      <c r="A37368" s="2" t="s">
        <v>970</v>
      </c>
    </row>
    <row r="37369" spans="1:1" ht="12.75">
      <c r="A37369" s="2" t="s">
        <v>970</v>
      </c>
    </row>
    <row r="37370" spans="1:1" ht="12.75">
      <c r="A37370" s="2" t="s">
        <v>970</v>
      </c>
    </row>
    <row r="37371" spans="1:1" ht="12.75">
      <c r="A37371" s="2" t="s">
        <v>264</v>
      </c>
    </row>
    <row r="37372" spans="1:1" ht="12.75">
      <c r="A37372" s="2" t="s">
        <v>264</v>
      </c>
    </row>
    <row r="37373" spans="1:1" ht="12.75">
      <c r="A37373" s="2" t="s">
        <v>264</v>
      </c>
    </row>
    <row r="37374" spans="1:1" ht="12.75">
      <c r="A37374" s="2" t="s">
        <v>378</v>
      </c>
    </row>
    <row r="37375" spans="1:1" ht="12.75">
      <c r="A37375" s="2" t="s">
        <v>378</v>
      </c>
    </row>
    <row r="37376" spans="1:1" ht="12.75">
      <c r="A37376" s="2" t="s">
        <v>378</v>
      </c>
    </row>
    <row r="37377" spans="1:1" ht="12.75">
      <c r="A37377" s="2" t="s">
        <v>378</v>
      </c>
    </row>
    <row r="37378" spans="1:1" ht="12.75">
      <c r="A37378" s="2" t="s">
        <v>264</v>
      </c>
    </row>
    <row r="37379" spans="1:1" ht="12.75">
      <c r="A37379" s="2" t="s">
        <v>1315</v>
      </c>
    </row>
    <row r="37380" spans="1:1" ht="12.75">
      <c r="A37380" s="2" t="s">
        <v>1315</v>
      </c>
    </row>
    <row r="37381" spans="1:1" ht="12.75">
      <c r="A37381" s="2" t="s">
        <v>378</v>
      </c>
    </row>
    <row r="37382" spans="1:1" ht="12.75">
      <c r="A37382" s="2" t="s">
        <v>970</v>
      </c>
    </row>
    <row r="37383" spans="1:1" ht="12.75">
      <c r="A37383" s="2" t="s">
        <v>970</v>
      </c>
    </row>
    <row r="37384" spans="1:1" ht="12.75">
      <c r="A37384" s="2" t="s">
        <v>264</v>
      </c>
    </row>
    <row r="37385" spans="1:1" ht="12.75">
      <c r="A37385" s="2" t="s">
        <v>264</v>
      </c>
    </row>
    <row r="37386" spans="1:1" ht="12.75">
      <c r="A37386" s="2" t="s">
        <v>264</v>
      </c>
    </row>
    <row r="37387" spans="1:1" ht="12.75">
      <c r="A37387" s="2" t="s">
        <v>264</v>
      </c>
    </row>
    <row r="37388" spans="1:1" ht="12.75">
      <c r="A37388" s="2" t="s">
        <v>970</v>
      </c>
    </row>
    <row r="37389" spans="1:1" ht="12.75">
      <c r="A37389" s="2" t="s">
        <v>970</v>
      </c>
    </row>
    <row r="37390" spans="1:1" ht="12.75">
      <c r="A37390" s="2" t="s">
        <v>264</v>
      </c>
    </row>
    <row r="37391" spans="1:1" ht="12.75">
      <c r="A37391" s="2" t="s">
        <v>378</v>
      </c>
    </row>
    <row r="37392" spans="1:1" ht="12.75">
      <c r="A37392" s="2" t="s">
        <v>378</v>
      </c>
    </row>
    <row r="37393" spans="1:1" ht="12.75">
      <c r="A37393" s="2" t="s">
        <v>378</v>
      </c>
    </row>
    <row r="37394" spans="1:1" ht="12.75">
      <c r="A37394" s="2" t="s">
        <v>264</v>
      </c>
    </row>
    <row r="37395" spans="1:1" ht="12.75">
      <c r="A37395" s="2" t="s">
        <v>264</v>
      </c>
    </row>
    <row r="37396" spans="1:1" ht="12.75">
      <c r="A37396" s="2" t="s">
        <v>264</v>
      </c>
    </row>
    <row r="37397" spans="1:1" ht="12.75">
      <c r="A37397" s="2" t="s">
        <v>264</v>
      </c>
    </row>
    <row r="37398" spans="1:1" ht="12.75">
      <c r="A37398" s="2" t="s">
        <v>970</v>
      </c>
    </row>
    <row r="37399" spans="1:1" ht="12.75">
      <c r="A37399" s="2" t="s">
        <v>970</v>
      </c>
    </row>
    <row r="37400" spans="1:1" ht="12.75">
      <c r="A37400" s="2" t="s">
        <v>970</v>
      </c>
    </row>
    <row r="37401" spans="1:1" ht="12.75">
      <c r="A37401" s="2" t="s">
        <v>970</v>
      </c>
    </row>
    <row r="37402" spans="1:1" ht="12.75">
      <c r="A37402" s="2" t="s">
        <v>970</v>
      </c>
    </row>
    <row r="37403" spans="1:1" ht="12.75">
      <c r="A37403" s="2" t="s">
        <v>970</v>
      </c>
    </row>
    <row r="37404" spans="1:1" ht="12.75">
      <c r="A37404" s="2" t="s">
        <v>970</v>
      </c>
    </row>
    <row r="37405" spans="1:1" ht="12.75">
      <c r="A37405" s="2" t="s">
        <v>970</v>
      </c>
    </row>
    <row r="37406" spans="1:1" ht="12.75">
      <c r="A37406" s="2" t="s">
        <v>378</v>
      </c>
    </row>
    <row r="37407" spans="1:1" ht="12.75">
      <c r="A37407" s="2" t="s">
        <v>378</v>
      </c>
    </row>
    <row r="37408" spans="1:1" ht="12.75">
      <c r="A37408" s="2" t="s">
        <v>970</v>
      </c>
    </row>
    <row r="37409" spans="1:1" ht="12.75">
      <c r="A37409" s="2" t="s">
        <v>970</v>
      </c>
    </row>
    <row r="37410" spans="1:1" ht="12.75">
      <c r="A37410" s="2" t="s">
        <v>264</v>
      </c>
    </row>
    <row r="37411" spans="1:1" ht="12.75">
      <c r="A37411" s="2" t="s">
        <v>264</v>
      </c>
    </row>
    <row r="37412" spans="1:1" ht="12.75">
      <c r="A37412" s="2" t="s">
        <v>297</v>
      </c>
    </row>
    <row r="37413" spans="1:1" ht="12.75">
      <c r="A37413" s="2" t="s">
        <v>297</v>
      </c>
    </row>
    <row r="37414" spans="1:1" ht="12.75">
      <c r="A37414" s="2" t="s">
        <v>288</v>
      </c>
    </row>
    <row r="37415" spans="1:1" ht="12.75">
      <c r="A37415" s="2" t="s">
        <v>288</v>
      </c>
    </row>
    <row r="37416" spans="1:1" ht="12.75">
      <c r="A37416" s="2" t="s">
        <v>296</v>
      </c>
    </row>
    <row r="37417" spans="1:1" ht="12.75">
      <c r="A37417" s="2" t="s">
        <v>296</v>
      </c>
    </row>
    <row r="37418" spans="1:1" ht="12.75">
      <c r="A37418" s="2" t="s">
        <v>292</v>
      </c>
    </row>
    <row r="37419" spans="1:1" ht="12.75">
      <c r="A37419" s="2" t="s">
        <v>288</v>
      </c>
    </row>
    <row r="37420" spans="1:1" ht="12.75">
      <c r="A37420" s="2" t="s">
        <v>291</v>
      </c>
    </row>
    <row r="37421" spans="1:1" ht="12.75">
      <c r="A37421" s="2" t="s">
        <v>291</v>
      </c>
    </row>
    <row r="37422" spans="1:1" ht="12.75">
      <c r="A37422" s="2" t="s">
        <v>289</v>
      </c>
    </row>
    <row r="37423" spans="1:1" ht="12.75">
      <c r="A37423" s="2" t="s">
        <v>289</v>
      </c>
    </row>
    <row r="37426" spans="1:1" ht="12.75">
      <c r="A37426" s="2" t="s">
        <v>299</v>
      </c>
    </row>
    <row r="37427" spans="1:1" ht="12.75">
      <c r="A37427" s="2" t="s">
        <v>299</v>
      </c>
    </row>
    <row r="37428" spans="1:1" ht="12.75">
      <c r="A37428" s="2" t="s">
        <v>288</v>
      </c>
    </row>
    <row r="37429" spans="1:1" ht="12.75">
      <c r="A37429" s="2" t="s">
        <v>290</v>
      </c>
    </row>
    <row r="37430" spans="1:1" ht="12.75">
      <c r="A37430" s="2" t="s">
        <v>762</v>
      </c>
    </row>
    <row r="37431" spans="1:1" ht="12.75">
      <c r="A37431" s="2" t="s">
        <v>298</v>
      </c>
    </row>
    <row r="37432" spans="1:1" ht="12.75">
      <c r="A37432" s="2" t="s">
        <v>291</v>
      </c>
    </row>
    <row r="37433" spans="1:1" ht="12.75">
      <c r="A37433" s="2" t="s">
        <v>291</v>
      </c>
    </row>
    <row r="37434" spans="1:1" ht="12.75">
      <c r="A37434" s="2" t="s">
        <v>768</v>
      </c>
    </row>
    <row r="37435" spans="1:1" ht="12.75">
      <c r="A37435" s="2" t="s">
        <v>768</v>
      </c>
    </row>
    <row r="37436" spans="1:1" ht="12.75">
      <c r="A37436" s="2" t="s">
        <v>768</v>
      </c>
    </row>
    <row r="37437" spans="1:1" ht="12.75">
      <c r="A37437" s="2" t="s">
        <v>768</v>
      </c>
    </row>
    <row r="37438" spans="1:1" ht="12.75">
      <c r="A37438" s="2" t="s">
        <v>768</v>
      </c>
    </row>
    <row r="37439" spans="1:1" ht="12.75">
      <c r="A37439" s="2" t="s">
        <v>768</v>
      </c>
    </row>
    <row r="37440" spans="1:1" ht="12.75">
      <c r="A37440" s="2" t="s">
        <v>768</v>
      </c>
    </row>
    <row r="37441" spans="1:1" ht="12.75">
      <c r="A37441" s="2" t="s">
        <v>768</v>
      </c>
    </row>
    <row r="37442" spans="1:1" ht="12.75">
      <c r="A37442" s="2" t="s">
        <v>768</v>
      </c>
    </row>
    <row r="37443" spans="1:1" ht="12.75">
      <c r="A37443" s="2" t="s">
        <v>768</v>
      </c>
    </row>
    <row r="37444" spans="1:1" ht="12.75">
      <c r="A37444" s="2" t="s">
        <v>768</v>
      </c>
    </row>
    <row r="37445" spans="1:1" ht="12.75">
      <c r="A37445" s="2" t="s">
        <v>768</v>
      </c>
    </row>
    <row r="37446" spans="1:1" ht="12.75">
      <c r="A37446" s="2" t="s">
        <v>290</v>
      </c>
    </row>
    <row r="37447" spans="1:1" ht="12.75">
      <c r="A37447" s="2" t="s">
        <v>762</v>
      </c>
    </row>
    <row r="37448" spans="1:1" ht="12.75">
      <c r="A37448" s="2" t="s">
        <v>290</v>
      </c>
    </row>
    <row r="37449" spans="1:1" ht="12.75">
      <c r="A37449" s="2" t="s">
        <v>290</v>
      </c>
    </row>
    <row r="37450" spans="1:1" ht="12.75">
      <c r="A37450" s="2" t="s">
        <v>289</v>
      </c>
    </row>
    <row r="37451" spans="1:1" ht="12.75">
      <c r="A37451" s="2" t="s">
        <v>289</v>
      </c>
    </row>
    <row r="37452" spans="1:1" ht="12.75">
      <c r="A37452" s="2" t="s">
        <v>299</v>
      </c>
    </row>
    <row r="37453" spans="1:1" ht="12.75">
      <c r="A37453" s="2" t="s">
        <v>299</v>
      </c>
    </row>
    <row r="37454" spans="1:1" ht="12.75">
      <c r="A37454" s="2" t="s">
        <v>288</v>
      </c>
    </row>
    <row r="37455" spans="1:1" ht="12.75">
      <c r="A37455" s="2" t="s">
        <v>288</v>
      </c>
    </row>
    <row r="37456" spans="1:1" ht="12.75">
      <c r="A37456" s="2" t="s">
        <v>292</v>
      </c>
    </row>
    <row r="37457" spans="1:1" ht="12.75">
      <c r="A37457" s="2" t="s">
        <v>292</v>
      </c>
    </row>
    <row r="37458" spans="1:1" ht="12.75">
      <c r="A37458" s="2" t="s">
        <v>762</v>
      </c>
    </row>
    <row r="37459" spans="1:1" ht="12.75">
      <c r="A37459" s="2" t="s">
        <v>762</v>
      </c>
    </row>
    <row r="37460" spans="1:1" ht="12.75">
      <c r="A37460" s="2" t="s">
        <v>1262</v>
      </c>
    </row>
    <row r="37461" spans="1:1" ht="12.75">
      <c r="A37461" s="2" t="s">
        <v>1262</v>
      </c>
    </row>
    <row r="37462" spans="1:1" ht="12.75">
      <c r="A37462" s="2" t="s">
        <v>290</v>
      </c>
    </row>
    <row r="37463" spans="1:1" ht="12.75">
      <c r="A37463" s="2" t="s">
        <v>293</v>
      </c>
    </row>
    <row r="37464" spans="1:1" ht="12.75">
      <c r="A37464" s="2" t="s">
        <v>289</v>
      </c>
    </row>
    <row r="37465" spans="1:1" ht="12.75">
      <c r="A37465" s="2" t="s">
        <v>290</v>
      </c>
    </row>
    <row r="37466" spans="1:1" ht="12.75">
      <c r="A37466" s="2" t="s">
        <v>291</v>
      </c>
    </row>
    <row r="37467" spans="1:1" ht="12.75">
      <c r="A37467" s="2" t="s">
        <v>289</v>
      </c>
    </row>
    <row r="37468" spans="1:1" ht="12.75">
      <c r="A37468" s="2" t="s">
        <v>292</v>
      </c>
    </row>
    <row r="37469" spans="1:1" ht="12.75">
      <c r="A37469" s="2" t="s">
        <v>292</v>
      </c>
    </row>
    <row r="37470" spans="1:1" ht="12.75">
      <c r="A37470" s="2" t="s">
        <v>292</v>
      </c>
    </row>
    <row r="37471" spans="1:1" ht="12.75">
      <c r="A37471" s="2" t="s">
        <v>291</v>
      </c>
    </row>
    <row r="37473" spans="1:1" ht="12.75">
      <c r="A37473" s="2" t="s">
        <v>289</v>
      </c>
    </row>
    <row r="37474" spans="1:1" ht="12.75">
      <c r="A37474" s="2" t="s">
        <v>289</v>
      </c>
    </row>
    <row r="37475" spans="1:1" ht="12.75">
      <c r="A37475" s="2" t="s">
        <v>292</v>
      </c>
    </row>
    <row r="37476" spans="1:1" ht="12.75">
      <c r="A37476" s="2" t="s">
        <v>293</v>
      </c>
    </row>
    <row r="37479" spans="1:1" ht="12.75">
      <c r="A37479" s="2" t="s">
        <v>298</v>
      </c>
    </row>
    <row r="37480" spans="1:1" ht="12.75">
      <c r="A37480" s="2" t="s">
        <v>293</v>
      </c>
    </row>
    <row r="37481" spans="1:1" ht="12.75">
      <c r="A37481" s="2" t="s">
        <v>293</v>
      </c>
    </row>
    <row r="37483" spans="1:1" ht="12.75">
      <c r="A37483" s="2" t="s">
        <v>298</v>
      </c>
    </row>
    <row r="37484" spans="1:1" ht="12.75">
      <c r="A37484" s="2" t="s">
        <v>293</v>
      </c>
    </row>
    <row r="37487" spans="1:1" ht="12.75">
      <c r="A37487" s="2" t="s">
        <v>293</v>
      </c>
    </row>
    <row r="37492" spans="1:1" ht="12.75">
      <c r="A37492" s="2" t="s">
        <v>298</v>
      </c>
    </row>
    <row r="37494" spans="1:1" ht="12.75">
      <c r="A37494" s="2" t="s">
        <v>293</v>
      </c>
    </row>
    <row r="37495" spans="1:1" ht="12.75">
      <c r="A37495" s="2" t="s">
        <v>298</v>
      </c>
    </row>
    <row r="37496" spans="1:1" ht="12.75">
      <c r="A37496" s="2" t="s">
        <v>290</v>
      </c>
    </row>
    <row r="37497" spans="1:1" ht="12.75">
      <c r="A37497" s="2" t="s">
        <v>290</v>
      </c>
    </row>
    <row r="37498" spans="1:1" ht="12.75">
      <c r="A37498" s="2" t="s">
        <v>289</v>
      </c>
    </row>
    <row r="37499" spans="1:1" ht="12.75">
      <c r="A37499" s="2" t="s">
        <v>289</v>
      </c>
    </row>
    <row r="37500" spans="1:1" ht="12.75">
      <c r="A37500" s="2" t="s">
        <v>291</v>
      </c>
    </row>
    <row r="37501" spans="1:1" ht="12.75">
      <c r="A37501" s="2" t="s">
        <v>291</v>
      </c>
    </row>
    <row r="37502" spans="1:1" ht="12.75">
      <c r="A37502" s="2" t="s">
        <v>297</v>
      </c>
    </row>
    <row r="37503" spans="1:1" ht="12.75">
      <c r="A37503" s="2" t="s">
        <v>297</v>
      </c>
    </row>
    <row r="37504" spans="1:1" ht="12.75">
      <c r="A37504" s="2" t="s">
        <v>1316</v>
      </c>
    </row>
    <row r="37505" spans="1:1" ht="12.75">
      <c r="A37505" s="2" t="s">
        <v>1316</v>
      </c>
    </row>
    <row r="37506" spans="1:1" ht="12.75">
      <c r="A37506" s="2" t="s">
        <v>1316</v>
      </c>
    </row>
    <row r="37507" spans="1:1" ht="12.75">
      <c r="A37507" s="2" t="s">
        <v>1316</v>
      </c>
    </row>
    <row r="37508" spans="1:1" ht="12.75">
      <c r="A37508" s="2" t="s">
        <v>1316</v>
      </c>
    </row>
    <row r="37509" spans="1:1" ht="12.75">
      <c r="A37509" s="2" t="s">
        <v>1316</v>
      </c>
    </row>
    <row r="37512" spans="1:1" ht="12.75">
      <c r="A37512" s="2" t="s">
        <v>1316</v>
      </c>
    </row>
    <row r="37513" spans="1:1" ht="12.75">
      <c r="A37513" s="2" t="s">
        <v>1316</v>
      </c>
    </row>
    <row r="37514" spans="1:1" ht="12.75">
      <c r="A37514" s="2" t="s">
        <v>769</v>
      </c>
    </row>
    <row r="37515" spans="1:1" ht="12.75">
      <c r="A37515" s="2" t="s">
        <v>769</v>
      </c>
    </row>
    <row r="37516" spans="1:1" ht="12.75">
      <c r="A37516" s="2" t="s">
        <v>769</v>
      </c>
    </row>
    <row r="37517" spans="1:1" ht="12.75">
      <c r="A37517" s="2" t="s">
        <v>769</v>
      </c>
    </row>
    <row r="37518" spans="1:1" ht="12.75">
      <c r="A37518" s="2" t="s">
        <v>516</v>
      </c>
    </row>
    <row r="37519" spans="1:1" ht="12.75">
      <c r="A37519" s="2" t="s">
        <v>516</v>
      </c>
    </row>
    <row r="37520" spans="1:1" ht="12.75">
      <c r="A37520" s="2" t="s">
        <v>516</v>
      </c>
    </row>
    <row r="37521" spans="1:1" ht="12.75">
      <c r="A37521" s="2" t="s">
        <v>516</v>
      </c>
    </row>
    <row r="37522" spans="1:1" ht="12.75">
      <c r="A37522" s="2" t="s">
        <v>1317</v>
      </c>
    </row>
    <row r="37523" spans="1:1" ht="12.75">
      <c r="A37523" s="2" t="s">
        <v>516</v>
      </c>
    </row>
    <row r="37524" spans="1:1" ht="12.75">
      <c r="A37524" s="2" t="s">
        <v>256</v>
      </c>
    </row>
    <row r="37525" spans="1:1" ht="12.75">
      <c r="A37525" s="2" t="s">
        <v>256</v>
      </c>
    </row>
    <row r="37526" spans="1:1" ht="12.75">
      <c r="A37526" s="2" t="s">
        <v>254</v>
      </c>
    </row>
    <row r="37527" spans="1:1" ht="12.75">
      <c r="A37527" s="2" t="s">
        <v>254</v>
      </c>
    </row>
    <row r="37528" spans="1:1" ht="12.75">
      <c r="A37528" s="2" t="s">
        <v>769</v>
      </c>
    </row>
    <row r="37530" spans="1:1" ht="12.75">
      <c r="A37530" s="2" t="s">
        <v>1316</v>
      </c>
    </row>
    <row r="37531" spans="1:1" ht="12.75">
      <c r="A37531" s="2" t="s">
        <v>1316</v>
      </c>
    </row>
    <row r="37532" spans="1:1" ht="12.75">
      <c r="A37532" s="2" t="s">
        <v>1316</v>
      </c>
    </row>
    <row r="37534" spans="1:1" ht="12.75">
      <c r="A37534" s="2" t="s">
        <v>1316</v>
      </c>
    </row>
    <row r="37535" spans="1:1" ht="12.75">
      <c r="A37535" s="2" t="s">
        <v>1316</v>
      </c>
    </row>
    <row r="37536" spans="1:1" ht="12.75">
      <c r="A37536" s="2" t="s">
        <v>1316</v>
      </c>
    </row>
    <row r="37537" spans="1:1" ht="12.75">
      <c r="A37537" s="2" t="s">
        <v>1316</v>
      </c>
    </row>
    <row r="37538" spans="1:1" ht="12.75">
      <c r="A37538" s="2" t="s">
        <v>1316</v>
      </c>
    </row>
    <row r="37539" spans="1:1" ht="12.75">
      <c r="A37539" s="2" t="s">
        <v>1318</v>
      </c>
    </row>
    <row r="37540" spans="1:1" ht="12.75">
      <c r="A37540" s="2" t="s">
        <v>254</v>
      </c>
    </row>
    <row r="37541" spans="1:1" ht="12.75">
      <c r="A37541" s="2" t="s">
        <v>254</v>
      </c>
    </row>
    <row r="37542" spans="1:1" ht="12.75">
      <c r="A37542" s="2" t="s">
        <v>256</v>
      </c>
    </row>
    <row r="37543" spans="1:1" ht="12.75">
      <c r="A37543" s="2" t="s">
        <v>256</v>
      </c>
    </row>
    <row r="37544" spans="1:1" ht="12.75">
      <c r="A37544" s="2" t="s">
        <v>264</v>
      </c>
    </row>
    <row r="37545" spans="1:1" ht="12.75">
      <c r="A37545" s="2" t="s">
        <v>264</v>
      </c>
    </row>
    <row r="37546" spans="1:1" ht="12.75">
      <c r="A37546" s="2" t="s">
        <v>970</v>
      </c>
    </row>
    <row r="37547" spans="1:1" ht="12.75">
      <c r="A37547" s="2" t="s">
        <v>970</v>
      </c>
    </row>
    <row r="37548" spans="1:1" ht="12.75">
      <c r="A37548" s="2" t="s">
        <v>378</v>
      </c>
    </row>
    <row r="37549" spans="1:1" ht="12.75">
      <c r="A37549" s="2" t="s">
        <v>378</v>
      </c>
    </row>
    <row r="37550" spans="1:1" ht="12.75">
      <c r="A37550" s="2" t="s">
        <v>378</v>
      </c>
    </row>
    <row r="37551" spans="1:1" ht="12.75">
      <c r="A37551" s="2" t="s">
        <v>378</v>
      </c>
    </row>
    <row r="37552" spans="1:1" ht="12.75">
      <c r="A37552" s="2" t="s">
        <v>1319</v>
      </c>
    </row>
    <row r="37553" spans="1:1" ht="12.75">
      <c r="A37553" s="2" t="s">
        <v>378</v>
      </c>
    </row>
    <row r="37554" spans="1:1" ht="12.75">
      <c r="A37554" s="2" t="s">
        <v>264</v>
      </c>
    </row>
    <row r="37555" spans="1:1" ht="12.75">
      <c r="A37555" s="2" t="s">
        <v>264</v>
      </c>
    </row>
    <row r="37556" spans="1:1" ht="12.75">
      <c r="A37556" s="2" t="s">
        <v>970</v>
      </c>
    </row>
    <row r="37557" spans="1:1" ht="12.75">
      <c r="A37557" s="2" t="s">
        <v>970</v>
      </c>
    </row>
    <row r="37558" spans="1:1" ht="12.75">
      <c r="A37558" s="2" t="s">
        <v>970</v>
      </c>
    </row>
    <row r="37559" spans="1:1" ht="12.75">
      <c r="A37559" s="2" t="s">
        <v>970</v>
      </c>
    </row>
    <row r="37560" spans="1:1" ht="12.75">
      <c r="A37560" s="2" t="s">
        <v>378</v>
      </c>
    </row>
    <row r="37561" spans="1:1" ht="12.75">
      <c r="A37561" s="2" t="s">
        <v>378</v>
      </c>
    </row>
    <row r="37562" spans="1:1" ht="12.75">
      <c r="A37562" s="2" t="s">
        <v>1320</v>
      </c>
    </row>
    <row r="37664" spans="1:1" ht="12.75">
      <c r="A37664" s="2" t="s">
        <v>1321</v>
      </c>
    </row>
    <row r="37666" spans="1:1" ht="12.75">
      <c r="A37666" s="2" t="s">
        <v>1321</v>
      </c>
    </row>
    <row r="37667" spans="1:1" ht="12.75">
      <c r="A37667" s="2" t="s">
        <v>1321</v>
      </c>
    </row>
    <row r="37673" spans="1:1" ht="12.75">
      <c r="A37673" s="2" t="s">
        <v>1053</v>
      </c>
    </row>
    <row r="37674" spans="1:1" ht="12.75">
      <c r="A37674" s="2" t="s">
        <v>1053</v>
      </c>
    </row>
    <row r="37675" spans="1:1" ht="12.75">
      <c r="A37675" s="2" t="s">
        <v>916</v>
      </c>
    </row>
    <row r="37676" spans="1:1" ht="12.75">
      <c r="A37676" s="2" t="s">
        <v>916</v>
      </c>
    </row>
    <row r="37677" spans="1:1" ht="12.75">
      <c r="A37677" s="2" t="s">
        <v>914</v>
      </c>
    </row>
    <row r="37678" spans="1:1" ht="12.75">
      <c r="A37678" s="2" t="s">
        <v>914</v>
      </c>
    </row>
    <row r="37679" spans="1:1" ht="12.75">
      <c r="A37679" s="2" t="s">
        <v>448</v>
      </c>
    </row>
    <row r="37680" spans="1:1" ht="12.75">
      <c r="A37680" s="2" t="s">
        <v>448</v>
      </c>
    </row>
    <row r="37681" spans="1:1" ht="12.75">
      <c r="A37681" s="2" t="s">
        <v>446</v>
      </c>
    </row>
    <row r="37682" spans="1:1" ht="12.75">
      <c r="A37682" s="2" t="s">
        <v>448</v>
      </c>
    </row>
    <row r="37683" spans="1:1" ht="12.75">
      <c r="A37683" s="2" t="s">
        <v>446</v>
      </c>
    </row>
    <row r="37684" spans="1:1" ht="12.75">
      <c r="A37684" s="2" t="s">
        <v>447</v>
      </c>
    </row>
    <row r="37685" spans="1:1" ht="12.75">
      <c r="A37685" s="2" t="s">
        <v>355</v>
      </c>
    </row>
    <row r="37686" spans="1:1" ht="12.75">
      <c r="A37686" s="2" t="s">
        <v>446</v>
      </c>
    </row>
    <row r="37687" spans="1:1" ht="12.75">
      <c r="A37687" s="2" t="s">
        <v>446</v>
      </c>
    </row>
    <row r="37688" spans="1:1" ht="12.75">
      <c r="A37688" s="2" t="s">
        <v>446</v>
      </c>
    </row>
    <row r="37689" spans="1:1" ht="12.75">
      <c r="A37689" s="2" t="s">
        <v>473</v>
      </c>
    </row>
    <row r="37690" spans="1:1" ht="12.75">
      <c r="A37690" s="2" t="s">
        <v>473</v>
      </c>
    </row>
    <row r="37691" spans="1:1" ht="12.75">
      <c r="A37691" s="2" t="s">
        <v>473</v>
      </c>
    </row>
    <row r="37692" spans="1:1" ht="12.75">
      <c r="A37692" s="2" t="s">
        <v>473</v>
      </c>
    </row>
    <row r="37693" spans="1:1" ht="12.75">
      <c r="A37693" s="2" t="s">
        <v>634</v>
      </c>
    </row>
    <row r="37694" spans="1:1" ht="12.75">
      <c r="A37694" s="2" t="s">
        <v>447</v>
      </c>
    </row>
    <row r="37695" spans="1:1" ht="12.75">
      <c r="A37695" s="2" t="s">
        <v>448</v>
      </c>
    </row>
    <row r="37696" spans="1:1" ht="12.75">
      <c r="A37696" s="2" t="s">
        <v>446</v>
      </c>
    </row>
    <row r="37697" spans="1:1" ht="12.75">
      <c r="A37697" s="2" t="s">
        <v>446</v>
      </c>
    </row>
    <row r="37698" spans="1:1" ht="12.75">
      <c r="A37698" s="2" t="s">
        <v>446</v>
      </c>
    </row>
    <row r="37699" spans="1:1" ht="12.75">
      <c r="A37699" s="2" t="s">
        <v>446</v>
      </c>
    </row>
    <row r="37700" spans="1:1" ht="12.75">
      <c r="A37700" s="2" t="s">
        <v>447</v>
      </c>
    </row>
    <row r="37701" spans="1:1" ht="12.75">
      <c r="A37701" s="2" t="s">
        <v>473</v>
      </c>
    </row>
    <row r="37702" spans="1:1" ht="12.75">
      <c r="A37702" s="2" t="s">
        <v>473</v>
      </c>
    </row>
    <row r="37703" spans="1:1" ht="12.75">
      <c r="A37703" s="2" t="s">
        <v>473</v>
      </c>
    </row>
    <row r="37704" spans="1:1" ht="12.75">
      <c r="A37704" s="2" t="s">
        <v>473</v>
      </c>
    </row>
    <row r="37705" spans="1:1" ht="12.75">
      <c r="A37705" s="2" t="s">
        <v>446</v>
      </c>
    </row>
    <row r="37706" spans="1:1" ht="12.75">
      <c r="A37706" s="2" t="s">
        <v>446</v>
      </c>
    </row>
    <row r="37707" spans="1:1" ht="12.75">
      <c r="A37707" s="2" t="s">
        <v>446</v>
      </c>
    </row>
    <row r="37708" spans="1:1" ht="12.75">
      <c r="A37708" s="2" t="s">
        <v>446</v>
      </c>
    </row>
    <row r="37709" spans="1:1" ht="12.75">
      <c r="A37709" s="2" t="s">
        <v>634</v>
      </c>
    </row>
    <row r="37710" spans="1:1" ht="12.75">
      <c r="A37710" s="2" t="s">
        <v>634</v>
      </c>
    </row>
    <row r="37711" spans="1:1" ht="12.75">
      <c r="A37711" s="2" t="s">
        <v>634</v>
      </c>
    </row>
    <row r="37712" spans="1:1" ht="12.75">
      <c r="A37712" s="2" t="s">
        <v>634</v>
      </c>
    </row>
    <row r="37713" spans="1:1" ht="12.75">
      <c r="A37713" s="2" t="s">
        <v>615</v>
      </c>
    </row>
    <row r="37714" spans="1:1" ht="12.75">
      <c r="A37714" s="2" t="s">
        <v>615</v>
      </c>
    </row>
    <row r="37715" spans="1:1" ht="12.75">
      <c r="A37715" s="2" t="s">
        <v>615</v>
      </c>
    </row>
    <row r="37716" spans="1:1" ht="12.75">
      <c r="A37716" s="2" t="s">
        <v>447</v>
      </c>
    </row>
    <row r="37717" spans="1:1" ht="12.75">
      <c r="A37717" s="2" t="s">
        <v>447</v>
      </c>
    </row>
    <row r="37718" spans="1:1" ht="12.75">
      <c r="A37718" s="2" t="s">
        <v>450</v>
      </c>
    </row>
    <row r="37719" spans="1:1" ht="12.75">
      <c r="A37719" s="2" t="s">
        <v>447</v>
      </c>
    </row>
    <row r="37720" spans="1:1" ht="12.75">
      <c r="A37720" s="2" t="s">
        <v>450</v>
      </c>
    </row>
    <row r="37721" spans="1:1" ht="12.75">
      <c r="A37721" s="2" t="s">
        <v>634</v>
      </c>
    </row>
    <row r="37722" spans="1:1" ht="12.75">
      <c r="A37722" s="2" t="s">
        <v>473</v>
      </c>
    </row>
    <row r="37723" spans="1:1" ht="12.75">
      <c r="A37723" s="2" t="s">
        <v>634</v>
      </c>
    </row>
    <row r="37724" spans="1:1" ht="12.75">
      <c r="A37724" s="2" t="s">
        <v>634</v>
      </c>
    </row>
    <row r="37725" spans="1:1" ht="12.75">
      <c r="A37725" s="2" t="s">
        <v>448</v>
      </c>
    </row>
    <row r="37726" spans="1:1" ht="12.75">
      <c r="A37726" s="2" t="s">
        <v>634</v>
      </c>
    </row>
    <row r="37727" spans="1:1" ht="12.75">
      <c r="A37727" s="2" t="s">
        <v>447</v>
      </c>
    </row>
    <row r="37728" spans="1:1" ht="12.75">
      <c r="A37728" s="2" t="s">
        <v>448</v>
      </c>
    </row>
    <row r="37729" spans="1:1" ht="12.75">
      <c r="A37729" s="2" t="s">
        <v>473</v>
      </c>
    </row>
    <row r="37730" spans="1:1" ht="12.75">
      <c r="A37730" s="2" t="s">
        <v>473</v>
      </c>
    </row>
    <row r="37731" spans="1:1" ht="12.75">
      <c r="A37731" s="2" t="s">
        <v>473</v>
      </c>
    </row>
    <row r="37732" spans="1:1" ht="12.75">
      <c r="A37732" s="2" t="s">
        <v>448</v>
      </c>
    </row>
    <row r="37733" spans="1:1" ht="12.75">
      <c r="A37733" s="2" t="s">
        <v>448</v>
      </c>
    </row>
    <row r="37734" spans="1:1" ht="12.75">
      <c r="A37734" s="2" t="s">
        <v>448</v>
      </c>
    </row>
    <row r="37735" spans="1:1" ht="12.75">
      <c r="A37735" s="2" t="s">
        <v>446</v>
      </c>
    </row>
    <row r="37736" spans="1:1" ht="12.75">
      <c r="A37736" s="2" t="s">
        <v>446</v>
      </c>
    </row>
    <row r="37737" spans="1:1" ht="12.75">
      <c r="A37737" s="2" t="s">
        <v>432</v>
      </c>
    </row>
    <row r="37738" spans="1:1" ht="12.75">
      <c r="A37738" s="2" t="s">
        <v>432</v>
      </c>
    </row>
    <row r="37739" spans="1:1" ht="12.75">
      <c r="A37739" s="2" t="s">
        <v>622</v>
      </c>
    </row>
    <row r="37740" spans="1:1" ht="12.75">
      <c r="A37740" s="2" t="s">
        <v>432</v>
      </c>
    </row>
    <row r="37741" spans="1:1" ht="12.75">
      <c r="A37741" s="2" t="s">
        <v>404</v>
      </c>
    </row>
    <row r="37742" spans="1:1" ht="12.75">
      <c r="A37742" s="2" t="s">
        <v>404</v>
      </c>
    </row>
    <row r="37743" spans="1:1" ht="12.75">
      <c r="A37743" s="2" t="s">
        <v>404</v>
      </c>
    </row>
    <row r="37744" spans="1:1" ht="12.75">
      <c r="A37744" s="2" t="s">
        <v>404</v>
      </c>
    </row>
    <row r="37745" spans="1:1" ht="12.75">
      <c r="A37745" s="2" t="s">
        <v>914</v>
      </c>
    </row>
    <row r="37746" spans="1:1" ht="12.75">
      <c r="A37746" s="2" t="s">
        <v>916</v>
      </c>
    </row>
    <row r="37747" spans="1:1" ht="12.75">
      <c r="A37747" s="2" t="s">
        <v>916</v>
      </c>
    </row>
    <row r="37748" spans="1:1" ht="12.75">
      <c r="A37748" s="2" t="s">
        <v>916</v>
      </c>
    </row>
    <row r="37749" spans="1:1" ht="12.75">
      <c r="A37749" s="2" t="s">
        <v>452</v>
      </c>
    </row>
    <row r="37750" spans="1:1" ht="12.75">
      <c r="A37750" s="2" t="s">
        <v>452</v>
      </c>
    </row>
    <row r="37751" spans="1:1" ht="12.75">
      <c r="A37751" s="2" t="s">
        <v>404</v>
      </c>
    </row>
    <row r="37752" spans="1:1" ht="12.75">
      <c r="A37752" s="2" t="s">
        <v>452</v>
      </c>
    </row>
    <row r="37753" spans="1:1" ht="12.75">
      <c r="A37753" s="2" t="s">
        <v>479</v>
      </c>
    </row>
    <row r="37754" spans="1:1" ht="12.75">
      <c r="A37754" s="2" t="s">
        <v>433</v>
      </c>
    </row>
    <row r="37755" spans="1:1" ht="12.75">
      <c r="A37755" s="2" t="s">
        <v>817</v>
      </c>
    </row>
    <row r="37756" spans="1:1" ht="12.75">
      <c r="A37756" s="2" t="s">
        <v>433</v>
      </c>
    </row>
    <row r="37757" spans="1:1" ht="12.75">
      <c r="A37757" s="2" t="s">
        <v>435</v>
      </c>
    </row>
    <row r="37758" spans="1:1" ht="12.75">
      <c r="A37758" s="2" t="s">
        <v>435</v>
      </c>
    </row>
    <row r="37759" spans="1:1" ht="12.75">
      <c r="A37759" s="2" t="s">
        <v>1167</v>
      </c>
    </row>
    <row r="37760" spans="1:1" ht="12.75">
      <c r="A37760" s="2" t="s">
        <v>1167</v>
      </c>
    </row>
    <row r="37761" spans="1:1" ht="12.75">
      <c r="A37761" s="2" t="s">
        <v>1167</v>
      </c>
    </row>
    <row r="37762" spans="1:1" ht="12.75">
      <c r="A37762" s="2" t="s">
        <v>817</v>
      </c>
    </row>
    <row r="37763" spans="1:1" ht="12.75">
      <c r="A37763" s="2" t="s">
        <v>817</v>
      </c>
    </row>
    <row r="37764" spans="1:1" ht="12.75">
      <c r="A37764" s="2" t="s">
        <v>817</v>
      </c>
    </row>
    <row r="37765" spans="1:1" ht="12.75">
      <c r="A37765" s="2" t="s">
        <v>432</v>
      </c>
    </row>
    <row r="37766" spans="1:1" ht="12.75">
      <c r="A37766" s="2" t="s">
        <v>432</v>
      </c>
    </row>
    <row r="37767" spans="1:1" ht="12.75">
      <c r="A37767" s="2" t="s">
        <v>914</v>
      </c>
    </row>
    <row r="37768" spans="1:1" ht="12.75">
      <c r="A37768" s="2" t="s">
        <v>914</v>
      </c>
    </row>
    <row r="37769" spans="1:1" ht="12.75">
      <c r="A37769" s="2" t="s">
        <v>477</v>
      </c>
    </row>
    <row r="37770" spans="1:1" ht="12.75">
      <c r="A37770" s="2" t="s">
        <v>477</v>
      </c>
    </row>
    <row r="37771" spans="1:1" ht="12.75">
      <c r="A37771" s="2" t="s">
        <v>914</v>
      </c>
    </row>
    <row r="37772" spans="1:1" ht="12.75">
      <c r="A37772" s="2" t="s">
        <v>914</v>
      </c>
    </row>
    <row r="37773" spans="1:1" ht="12.75">
      <c r="A37773" s="2" t="s">
        <v>446</v>
      </c>
    </row>
    <row r="37774" spans="1:1" ht="12.75">
      <c r="A37774" s="2" t="s">
        <v>446</v>
      </c>
    </row>
    <row r="37775" spans="1:1" ht="12.75">
      <c r="A37775" s="2" t="s">
        <v>446</v>
      </c>
    </row>
    <row r="37776" spans="1:1" ht="12.75">
      <c r="A37776" s="2" t="s">
        <v>446</v>
      </c>
    </row>
    <row r="37777" spans="1:1" ht="12.75">
      <c r="A37777" s="2" t="s">
        <v>446</v>
      </c>
    </row>
    <row r="37778" spans="1:1" ht="12.75">
      <c r="A37778" s="2" t="s">
        <v>447</v>
      </c>
    </row>
    <row r="37779" spans="1:1" ht="12.75">
      <c r="A37779" s="2" t="s">
        <v>446</v>
      </c>
    </row>
    <row r="37780" spans="1:1" ht="12.75">
      <c r="A37780" s="2" t="s">
        <v>447</v>
      </c>
    </row>
    <row r="37781" spans="1:1" ht="12.75">
      <c r="A37781" s="2" t="s">
        <v>447</v>
      </c>
    </row>
    <row r="37782" spans="1:1" ht="12.75">
      <c r="A37782" s="2" t="s">
        <v>447</v>
      </c>
    </row>
    <row r="37783" spans="1:1" ht="12.75">
      <c r="A37783" s="2" t="s">
        <v>446</v>
      </c>
    </row>
    <row r="37784" spans="1:1" ht="12.75">
      <c r="A37784" s="2" t="s">
        <v>446</v>
      </c>
    </row>
    <row r="37785" spans="1:1" ht="12.75">
      <c r="A37785" s="2" t="s">
        <v>446</v>
      </c>
    </row>
    <row r="37786" spans="1:1" ht="12.75">
      <c r="A37786" s="2" t="s">
        <v>446</v>
      </c>
    </row>
    <row r="37787" spans="1:1" ht="12.75">
      <c r="A37787" s="2" t="s">
        <v>447</v>
      </c>
    </row>
    <row r="37788" spans="1:1" ht="12.75">
      <c r="A37788" s="2" t="s">
        <v>446</v>
      </c>
    </row>
    <row r="37789" spans="1:1" ht="12.75">
      <c r="A37789" s="2" t="s">
        <v>447</v>
      </c>
    </row>
    <row r="37790" spans="1:1" ht="12.75">
      <c r="A37790" s="2" t="s">
        <v>447</v>
      </c>
    </row>
    <row r="37791" spans="1:1" ht="12.75">
      <c r="A37791" s="2" t="s">
        <v>448</v>
      </c>
    </row>
    <row r="37792" spans="1:1" ht="12.75">
      <c r="A37792" s="2" t="s">
        <v>447</v>
      </c>
    </row>
    <row r="37793" spans="1:1" ht="12.75">
      <c r="A37793" s="2" t="s">
        <v>473</v>
      </c>
    </row>
    <row r="37794" spans="1:1" ht="12.75">
      <c r="A37794" s="2" t="s">
        <v>473</v>
      </c>
    </row>
    <row r="37795" spans="1:1" ht="12.75">
      <c r="A37795" s="2" t="s">
        <v>473</v>
      </c>
    </row>
    <row r="37796" spans="1:1" ht="12.75">
      <c r="A37796" s="2" t="s">
        <v>473</v>
      </c>
    </row>
    <row r="37797" spans="1:1" ht="12.75">
      <c r="A37797" s="2" t="s">
        <v>634</v>
      </c>
    </row>
    <row r="37798" spans="1:1" ht="12.75">
      <c r="A37798" s="2" t="s">
        <v>634</v>
      </c>
    </row>
    <row r="37799" spans="1:1" ht="12.75">
      <c r="A37799" s="2" t="s">
        <v>634</v>
      </c>
    </row>
    <row r="37800" spans="1:1" ht="12.75">
      <c r="A37800" s="2" t="s">
        <v>634</v>
      </c>
    </row>
    <row r="37801" spans="1:1" ht="12.75">
      <c r="A37801" s="2" t="s">
        <v>446</v>
      </c>
    </row>
    <row r="37802" spans="1:1" ht="12.75">
      <c r="A37802" s="2" t="s">
        <v>446</v>
      </c>
    </row>
    <row r="37803" spans="1:1" ht="12.75">
      <c r="A37803" s="2" t="s">
        <v>447</v>
      </c>
    </row>
    <row r="37804" spans="1:1" ht="12.75">
      <c r="A37804" s="2" t="s">
        <v>446</v>
      </c>
    </row>
    <row r="37805" spans="1:1" ht="12.75">
      <c r="A37805" s="2" t="s">
        <v>448</v>
      </c>
    </row>
    <row r="37806" spans="1:1" ht="12.75">
      <c r="A37806" s="2" t="s">
        <v>447</v>
      </c>
    </row>
    <row r="37807" spans="1:1" ht="12.75">
      <c r="A37807" s="2" t="s">
        <v>634</v>
      </c>
    </row>
    <row r="37808" spans="1:1" ht="12.75">
      <c r="A37808" s="2" t="s">
        <v>448</v>
      </c>
    </row>
    <row r="37809" spans="1:1" ht="12.75">
      <c r="A37809" s="2" t="s">
        <v>615</v>
      </c>
    </row>
    <row r="37810" spans="1:1" ht="12.75">
      <c r="A37810" s="2" t="s">
        <v>634</v>
      </c>
    </row>
    <row r="37811" spans="1:1" ht="12.75">
      <c r="A37811" s="2" t="s">
        <v>473</v>
      </c>
    </row>
    <row r="37812" spans="1:1" ht="12.75">
      <c r="A37812" s="2" t="s">
        <v>615</v>
      </c>
    </row>
    <row r="37813" spans="1:1" ht="12.75">
      <c r="A37813" s="2" t="s">
        <v>473</v>
      </c>
    </row>
    <row r="37814" spans="1:1" ht="12.75">
      <c r="A37814" s="2" t="s">
        <v>473</v>
      </c>
    </row>
    <row r="37815" spans="1:1" ht="12.75">
      <c r="A37815" s="2" t="s">
        <v>443</v>
      </c>
    </row>
    <row r="37816" spans="1:1" ht="12.75">
      <c r="A37816" s="2" t="s">
        <v>439</v>
      </c>
    </row>
    <row r="37817" spans="1:1" ht="12.75">
      <c r="A37817" s="2" t="s">
        <v>439</v>
      </c>
    </row>
    <row r="37818" spans="1:1" ht="12.75">
      <c r="A37818" s="2" t="s">
        <v>438</v>
      </c>
    </row>
    <row r="37819" spans="1:1" ht="12.75">
      <c r="A37819" s="2" t="s">
        <v>612</v>
      </c>
    </row>
    <row r="37820" spans="1:1" ht="12.75">
      <c r="A37820" s="2" t="s">
        <v>612</v>
      </c>
    </row>
    <row r="37821" spans="1:1" ht="12.75">
      <c r="A37821" s="2" t="s">
        <v>440</v>
      </c>
    </row>
    <row r="37822" spans="1:1" ht="12.75">
      <c r="A37822" s="2" t="s">
        <v>492</v>
      </c>
    </row>
    <row r="37823" spans="1:1" ht="12.75">
      <c r="A37823" s="2" t="s">
        <v>492</v>
      </c>
    </row>
    <row r="37824" spans="1:1" ht="12.75">
      <c r="A37824" s="2" t="s">
        <v>438</v>
      </c>
    </row>
    <row r="37825" spans="1:1" ht="12.75">
      <c r="A37825" s="2" t="s">
        <v>439</v>
      </c>
    </row>
    <row r="37826" spans="1:1" ht="12.75">
      <c r="A37826" s="2" t="s">
        <v>491</v>
      </c>
    </row>
    <row r="37827" spans="1:1" ht="12.75">
      <c r="A37827" s="2" t="s">
        <v>440</v>
      </c>
    </row>
    <row r="37828" spans="1:1" ht="12.75">
      <c r="A37828" s="2" t="s">
        <v>438</v>
      </c>
    </row>
    <row r="37829" spans="1:1" ht="12.75">
      <c r="A37829" s="2" t="s">
        <v>492</v>
      </c>
    </row>
    <row r="37830" spans="1:1" ht="12.75">
      <c r="A37830" s="2" t="s">
        <v>492</v>
      </c>
    </row>
    <row r="37831" spans="1:1" ht="12.75">
      <c r="A37831" s="2" t="s">
        <v>440</v>
      </c>
    </row>
    <row r="37832" spans="1:1" ht="12.75">
      <c r="A37832" s="2" t="s">
        <v>438</v>
      </c>
    </row>
    <row r="37833" spans="1:1" ht="12.75">
      <c r="A37833" s="2" t="s">
        <v>440</v>
      </c>
    </row>
    <row r="37834" spans="1:1" ht="12.75">
      <c r="A37834" s="2" t="s">
        <v>1053</v>
      </c>
    </row>
    <row r="37835" spans="1:1" ht="12.75">
      <c r="A37835" s="2" t="s">
        <v>613</v>
      </c>
    </row>
    <row r="37836" spans="1:1" ht="12.75">
      <c r="A37836" s="2" t="s">
        <v>613</v>
      </c>
    </row>
    <row r="37837" spans="1:1" ht="12.75">
      <c r="A37837" s="2" t="s">
        <v>438</v>
      </c>
    </row>
    <row r="37838" spans="1:1" ht="12.75">
      <c r="A37838" s="2" t="s">
        <v>1053</v>
      </c>
    </row>
    <row r="37839" spans="1:1" ht="12.75">
      <c r="A37839" s="2" t="s">
        <v>612</v>
      </c>
    </row>
    <row r="37840" spans="1:1" ht="12.75">
      <c r="A37840" s="2" t="s">
        <v>612</v>
      </c>
    </row>
    <row r="37841" spans="1:1" ht="12.75">
      <c r="A37841" s="2" t="s">
        <v>439</v>
      </c>
    </row>
    <row r="37842" spans="1:1" ht="12.75">
      <c r="A37842" s="2" t="s">
        <v>439</v>
      </c>
    </row>
    <row r="37843" spans="1:1" ht="12.75">
      <c r="A37843" s="2" t="s">
        <v>612</v>
      </c>
    </row>
    <row r="37844" spans="1:1" ht="12.75">
      <c r="A37844" s="2" t="s">
        <v>612</v>
      </c>
    </row>
    <row r="37845" spans="1:1" ht="12.75">
      <c r="A37845" s="2" t="s">
        <v>1053</v>
      </c>
    </row>
    <row r="37846" spans="1:1" ht="12.75">
      <c r="A37846" s="2" t="s">
        <v>1053</v>
      </c>
    </row>
    <row r="37847" spans="1:1" ht="12.75">
      <c r="A37847" s="2" t="s">
        <v>492</v>
      </c>
    </row>
    <row r="37848" spans="1:1" ht="12.75">
      <c r="A37848" s="2" t="s">
        <v>492</v>
      </c>
    </row>
    <row r="37849" spans="1:1" ht="12.75">
      <c r="A37849" s="2" t="s">
        <v>613</v>
      </c>
    </row>
    <row r="37850" spans="1:1" ht="12.75">
      <c r="A37850" s="2" t="s">
        <v>613</v>
      </c>
    </row>
    <row r="37851" spans="1:1" ht="12.75">
      <c r="A37851" s="2" t="s">
        <v>613</v>
      </c>
    </row>
    <row r="37852" spans="1:1" ht="12.75">
      <c r="A37852" s="2" t="s">
        <v>613</v>
      </c>
    </row>
    <row r="37853" spans="1:1" ht="12.75">
      <c r="A37853" s="2" t="s">
        <v>438</v>
      </c>
    </row>
    <row r="37854" spans="1:1" ht="12.75">
      <c r="A37854" s="2" t="s">
        <v>1053</v>
      </c>
    </row>
    <row r="37855" spans="1:1" ht="12.75">
      <c r="A37855" s="2" t="s">
        <v>492</v>
      </c>
    </row>
    <row r="37856" spans="1:1" ht="12.75">
      <c r="A37856" s="2" t="s">
        <v>440</v>
      </c>
    </row>
    <row r="37857" spans="1:1" ht="12.75">
      <c r="A37857" s="2" t="s">
        <v>612</v>
      </c>
    </row>
    <row r="37858" spans="1:1" ht="12.75">
      <c r="A37858" s="2" t="s">
        <v>612</v>
      </c>
    </row>
    <row r="37859" spans="1:1" ht="12.75">
      <c r="A37859" s="2" t="s">
        <v>439</v>
      </c>
    </row>
    <row r="37860" spans="1:1" ht="12.75">
      <c r="A37860" s="2" t="s">
        <v>439</v>
      </c>
    </row>
    <row r="37861" spans="1:1" ht="12.75">
      <c r="A37861" s="2" t="s">
        <v>439</v>
      </c>
    </row>
    <row r="37862" spans="1:1" ht="12.75">
      <c r="A37862" s="2" t="s">
        <v>491</v>
      </c>
    </row>
    <row r="37863" spans="1:1" ht="12.75">
      <c r="A37863" s="2" t="s">
        <v>439</v>
      </c>
    </row>
    <row r="37864" spans="1:1" ht="12.75">
      <c r="A37864" s="2" t="s">
        <v>439</v>
      </c>
    </row>
    <row r="37865" spans="1:1" ht="12.75">
      <c r="A37865" s="2" t="s">
        <v>1053</v>
      </c>
    </row>
    <row r="37866" spans="1:1" ht="12.75">
      <c r="A37866" s="2" t="s">
        <v>1053</v>
      </c>
    </row>
    <row r="37867" spans="1:1" ht="12.75">
      <c r="A37867" s="2" t="s">
        <v>492</v>
      </c>
    </row>
    <row r="37868" spans="1:1" ht="12.75">
      <c r="A37868" s="2" t="s">
        <v>492</v>
      </c>
    </row>
    <row r="37869" spans="1:1" ht="12.75">
      <c r="A37869" s="2" t="s">
        <v>613</v>
      </c>
    </row>
    <row r="37870" spans="1:1" ht="12.75">
      <c r="A37870" s="2" t="s">
        <v>613</v>
      </c>
    </row>
    <row r="37871" spans="1:1" ht="12.75">
      <c r="A37871" s="2" t="s">
        <v>439</v>
      </c>
    </row>
    <row r="37872" spans="1:1" ht="12.75">
      <c r="A37872" s="2" t="s">
        <v>439</v>
      </c>
    </row>
    <row r="37873" spans="1:1" ht="12.75">
      <c r="A37873" s="2" t="s">
        <v>411</v>
      </c>
    </row>
    <row r="37874" spans="1:1" ht="12.75">
      <c r="A37874" s="2" t="s">
        <v>1322</v>
      </c>
    </row>
    <row r="37875" spans="1:1" ht="12.75">
      <c r="A37875" s="2" t="s">
        <v>727</v>
      </c>
    </row>
    <row r="37876" spans="1:1" ht="12.75">
      <c r="A37876" s="2" t="s">
        <v>727</v>
      </c>
    </row>
    <row r="37877" spans="1:1" ht="12.75">
      <c r="A37877" s="2" t="s">
        <v>727</v>
      </c>
    </row>
    <row r="37878" spans="1:1" ht="12.75">
      <c r="A37878" s="2" t="s">
        <v>593</v>
      </c>
    </row>
    <row r="37879" spans="1:1" ht="12.75">
      <c r="A37879" s="2" t="s">
        <v>593</v>
      </c>
    </row>
    <row r="37880" spans="1:1" ht="12.75">
      <c r="A37880" s="2" t="s">
        <v>593</v>
      </c>
    </row>
    <row r="37882" spans="1:1" ht="12.75">
      <c r="A37882" s="2" t="s">
        <v>593</v>
      </c>
    </row>
    <row r="37883" spans="1:1" ht="12.75">
      <c r="A37883" s="2" t="s">
        <v>593</v>
      </c>
    </row>
    <row r="37884" spans="1:1" ht="12.75">
      <c r="A37884" s="2" t="s">
        <v>593</v>
      </c>
    </row>
    <row r="37889" spans="1:1" ht="12.75">
      <c r="A37889" s="2" t="s">
        <v>346</v>
      </c>
    </row>
    <row r="37890" spans="1:1" ht="12.75">
      <c r="A37890" s="2" t="s">
        <v>346</v>
      </c>
    </row>
    <row r="37891" spans="1:1" ht="12.75">
      <c r="A37891" s="2" t="s">
        <v>677</v>
      </c>
    </row>
    <row r="37892" spans="1:1" ht="12.75">
      <c r="A37892" s="2" t="s">
        <v>1323</v>
      </c>
    </row>
    <row r="37893" spans="1:1" ht="12.75">
      <c r="A37893" s="2" t="s">
        <v>1324</v>
      </c>
    </row>
    <row r="37894" spans="1:1" ht="12.75">
      <c r="A37894" s="2" t="s">
        <v>1324</v>
      </c>
    </row>
    <row r="37895" spans="1:1" ht="12.75">
      <c r="A37895" s="2" t="s">
        <v>581</v>
      </c>
    </row>
    <row r="37896" spans="1:1" ht="12.75">
      <c r="A37896" s="2" t="s">
        <v>428</v>
      </c>
    </row>
    <row r="37897" spans="1:1" ht="12.75">
      <c r="A37897" s="2" t="s">
        <v>581</v>
      </c>
    </row>
    <row r="37898" spans="1:1" ht="12.75">
      <c r="A37898" s="2" t="s">
        <v>581</v>
      </c>
    </row>
    <row r="37899" spans="1:1" ht="12.75">
      <c r="A37899" s="2" t="s">
        <v>581</v>
      </c>
    </row>
    <row r="37900" spans="1:1" ht="12.75">
      <c r="A37900" s="2" t="s">
        <v>428</v>
      </c>
    </row>
    <row r="37901" spans="1:1" ht="12.75">
      <c r="A37901" s="2" t="s">
        <v>1325</v>
      </c>
    </row>
    <row r="37907" spans="1:1" ht="12.75">
      <c r="A37907" s="2" t="s">
        <v>320</v>
      </c>
    </row>
    <row r="37908" spans="1:1" ht="12.75">
      <c r="A37908" s="2" t="s">
        <v>320</v>
      </c>
    </row>
    <row r="37909" spans="1:1" ht="12.75">
      <c r="A37909" s="2" t="s">
        <v>320</v>
      </c>
    </row>
    <row r="37910" spans="1:1" ht="12.75">
      <c r="A37910" s="2" t="s">
        <v>1326</v>
      </c>
    </row>
    <row r="37911" spans="1:1" ht="12.75">
      <c r="A37911" s="2" t="s">
        <v>320</v>
      </c>
    </row>
    <row r="37914" spans="1:1" ht="12.75">
      <c r="A37914" s="2" t="s">
        <v>645</v>
      </c>
    </row>
    <row r="37915" spans="1:1" ht="12.75">
      <c r="A37915" s="2" t="s">
        <v>1327</v>
      </c>
    </row>
    <row r="37916" spans="1:1" ht="12.75">
      <c r="A37916" s="2" t="s">
        <v>645</v>
      </c>
    </row>
    <row r="37917" spans="1:1" ht="12.75">
      <c r="A37917" s="2" t="s">
        <v>645</v>
      </c>
    </row>
    <row r="37918" spans="1:1" ht="12.75">
      <c r="A37918" s="2" t="s">
        <v>589</v>
      </c>
    </row>
    <row r="37919" spans="1:1" ht="12.75">
      <c r="A37919" s="2" t="s">
        <v>496</v>
      </c>
    </row>
    <row r="37920" spans="1:1" ht="12.75">
      <c r="A37920" s="2" t="s">
        <v>496</v>
      </c>
    </row>
    <row r="37921" spans="1:1" ht="12.75">
      <c r="A37921" s="2" t="s">
        <v>496</v>
      </c>
    </row>
    <row r="37922" spans="1:1" ht="12.75">
      <c r="A37922" s="2" t="s">
        <v>496</v>
      </c>
    </row>
    <row r="37923" spans="1:1" ht="12.75">
      <c r="A37923" s="2" t="s">
        <v>496</v>
      </c>
    </row>
    <row r="37924" spans="1:1" ht="12.75">
      <c r="A37924" s="2" t="s">
        <v>496</v>
      </c>
    </row>
    <row r="37925" spans="1:1" ht="12.75">
      <c r="A37925" s="2" t="s">
        <v>1328</v>
      </c>
    </row>
    <row r="37926" spans="1:1" ht="12.75">
      <c r="A37926" s="2" t="s">
        <v>1328</v>
      </c>
    </row>
    <row r="37930" spans="1:1" ht="12.75">
      <c r="A37930" s="2" t="s">
        <v>1328</v>
      </c>
    </row>
    <row r="37935" spans="1:1" ht="12.75">
      <c r="A37935" s="2" t="s">
        <v>206</v>
      </c>
    </row>
    <row r="37936" spans="1:1" ht="12.75">
      <c r="A37936" s="2" t="s">
        <v>200</v>
      </c>
    </row>
    <row r="37937" spans="1:1" ht="12.75">
      <c r="A37937" s="2" t="s">
        <v>205</v>
      </c>
    </row>
    <row r="37938" spans="1:1" ht="12.75">
      <c r="A37938" s="2" t="s">
        <v>205</v>
      </c>
    </row>
    <row r="37939" spans="1:1" ht="12.75">
      <c r="A37939" s="2" t="s">
        <v>200</v>
      </c>
    </row>
    <row r="37940" spans="1:1" ht="12.75">
      <c r="A37940" s="2" t="s">
        <v>200</v>
      </c>
    </row>
    <row r="37941" spans="1:1" ht="12.75">
      <c r="A37941" s="2" t="s">
        <v>200</v>
      </c>
    </row>
    <row r="37942" spans="1:1" ht="12.75">
      <c r="A37942" s="2" t="s">
        <v>200</v>
      </c>
    </row>
    <row r="37943" spans="1:1" ht="12.75">
      <c r="A37943" s="2" t="s">
        <v>200</v>
      </c>
    </row>
    <row r="37944" spans="1:1" ht="12.75">
      <c r="A37944" s="2" t="s">
        <v>200</v>
      </c>
    </row>
    <row r="37945" spans="1:1" ht="12.75">
      <c r="A37945" s="2" t="s">
        <v>200</v>
      </c>
    </row>
    <row r="37946" spans="1:1" ht="12.75">
      <c r="A37946" s="2" t="s">
        <v>200</v>
      </c>
    </row>
    <row r="37947" spans="1:1" ht="12.75">
      <c r="A37947" s="2" t="s">
        <v>201</v>
      </c>
    </row>
    <row r="37948" spans="1:1" ht="12.75">
      <c r="A37948" s="2" t="s">
        <v>1329</v>
      </c>
    </row>
    <row r="37949" spans="1:1" ht="12.75">
      <c r="A37949" s="2" t="s">
        <v>202</v>
      </c>
    </row>
    <row r="37950" spans="1:1" ht="12.75">
      <c r="A37950" s="2" t="s">
        <v>201</v>
      </c>
    </row>
    <row r="37951" spans="1:1" ht="12.75">
      <c r="A37951" s="2" t="s">
        <v>202</v>
      </c>
    </row>
    <row r="37952" spans="1:1" ht="12.75">
      <c r="A37952" s="2" t="s">
        <v>201</v>
      </c>
    </row>
    <row r="37953" spans="1:1" ht="12.75">
      <c r="A37953" s="2" t="s">
        <v>202</v>
      </c>
    </row>
    <row r="37954" spans="1:1" ht="12.75">
      <c r="A37954" s="2" t="s">
        <v>201</v>
      </c>
    </row>
    <row r="37955" spans="1:1" ht="12.75">
      <c r="A37955" s="2" t="s">
        <v>201</v>
      </c>
    </row>
    <row r="37956" spans="1:1" ht="12.75">
      <c r="A37956" s="2" t="s">
        <v>201</v>
      </c>
    </row>
    <row r="37957" spans="1:1" ht="12.75">
      <c r="A37957" s="2" t="s">
        <v>207</v>
      </c>
    </row>
    <row r="37958" spans="1:1" ht="12.75">
      <c r="A37958" s="2" t="s">
        <v>207</v>
      </c>
    </row>
    <row r="37959" spans="1:1" ht="12.75">
      <c r="A37959" s="2" t="s">
        <v>207</v>
      </c>
    </row>
    <row r="37960" spans="1:1" ht="12.75">
      <c r="A37960" s="2" t="s">
        <v>207</v>
      </c>
    </row>
    <row r="37961" spans="1:1" ht="12.75">
      <c r="A37961" s="2" t="s">
        <v>205</v>
      </c>
    </row>
    <row r="37962" spans="1:1" ht="12.75">
      <c r="A37962" s="2" t="s">
        <v>205</v>
      </c>
    </row>
    <row r="37963" spans="1:1" ht="12.75">
      <c r="A37963" s="2" t="s">
        <v>205</v>
      </c>
    </row>
    <row r="37964" spans="1:1" ht="12.75">
      <c r="A37964" s="2" t="s">
        <v>205</v>
      </c>
    </row>
    <row r="37965" spans="1:1" ht="12.75">
      <c r="A37965" s="2" t="s">
        <v>206</v>
      </c>
    </row>
    <row r="37966" spans="1:1" ht="12.75">
      <c r="A37966" s="2" t="s">
        <v>206</v>
      </c>
    </row>
    <row r="37967" spans="1:1" ht="12.75">
      <c r="A37967" s="2" t="s">
        <v>201</v>
      </c>
    </row>
    <row r="37968" spans="1:1" ht="12.75">
      <c r="A37968" s="2" t="s">
        <v>206</v>
      </c>
    </row>
    <row r="37969" spans="1:1" ht="12.75">
      <c r="A37969" s="2" t="s">
        <v>206</v>
      </c>
    </row>
    <row r="37970" spans="1:1" ht="12.75">
      <c r="A37970" s="2" t="s">
        <v>206</v>
      </c>
    </row>
    <row r="37971" spans="1:1" ht="12.75">
      <c r="A37971" s="2" t="s">
        <v>205</v>
      </c>
    </row>
    <row r="37972" spans="1:1" ht="12.75">
      <c r="A37972" s="2" t="s">
        <v>207</v>
      </c>
    </row>
    <row r="37974" spans="1:1" ht="12.75">
      <c r="A37974" s="2" t="s">
        <v>207</v>
      </c>
    </row>
    <row r="37975" spans="1:1" ht="12.75">
      <c r="A37975" s="2" t="s">
        <v>205</v>
      </c>
    </row>
    <row r="37976" spans="1:1" ht="12.75">
      <c r="A37976" s="2" t="s">
        <v>205</v>
      </c>
    </row>
    <row r="37977" spans="1:1" ht="12.75">
      <c r="A37977" s="2" t="s">
        <v>200</v>
      </c>
    </row>
    <row r="37978" spans="1:1" ht="12.75">
      <c r="A37978" s="2" t="s">
        <v>200</v>
      </c>
    </row>
    <row r="37979" spans="1:1" ht="12.75">
      <c r="A37979" s="2" t="s">
        <v>206</v>
      </c>
    </row>
    <row r="37980" spans="1:1" ht="12.75">
      <c r="A37980" s="2" t="s">
        <v>206</v>
      </c>
    </row>
    <row r="37981" spans="1:1" ht="12.75">
      <c r="A37981" s="2" t="s">
        <v>206</v>
      </c>
    </row>
    <row r="37982" spans="1:1" ht="12.75">
      <c r="A37982" s="2" t="s">
        <v>206</v>
      </c>
    </row>
    <row r="37983" spans="1:1" ht="12.75">
      <c r="A37983" s="2" t="s">
        <v>206</v>
      </c>
    </row>
    <row r="37984" spans="1:1" ht="12.75">
      <c r="A37984" s="2" t="s">
        <v>206</v>
      </c>
    </row>
    <row r="37985" spans="1:1" ht="12.75">
      <c r="A37985" s="2" t="s">
        <v>206</v>
      </c>
    </row>
    <row r="37986" spans="1:1" ht="12.75">
      <c r="A37986" s="2" t="s">
        <v>206</v>
      </c>
    </row>
    <row r="37987" spans="1:1" ht="12.75">
      <c r="A37987" s="2" t="s">
        <v>206</v>
      </c>
    </row>
    <row r="37988" spans="1:1" ht="12.75">
      <c r="A37988" s="2" t="s">
        <v>206</v>
      </c>
    </row>
    <row r="37989" spans="1:1" ht="12.75">
      <c r="A37989" s="2" t="s">
        <v>206</v>
      </c>
    </row>
    <row r="37990" spans="1:1" ht="12.75">
      <c r="A37990" s="2" t="s">
        <v>206</v>
      </c>
    </row>
    <row r="37991" spans="1:1" ht="12.75">
      <c r="A37991" s="2" t="s">
        <v>206</v>
      </c>
    </row>
    <row r="37992" spans="1:1" ht="12.75">
      <c r="A37992" s="2" t="s">
        <v>206</v>
      </c>
    </row>
    <row r="37993" spans="1:1" ht="12.75">
      <c r="A37993" s="2" t="s">
        <v>201</v>
      </c>
    </row>
    <row r="37994" spans="1:1" ht="12.75">
      <c r="A37994" s="2" t="s">
        <v>201</v>
      </c>
    </row>
    <row r="37995" spans="1:1" ht="12.75">
      <c r="A37995" s="2" t="s">
        <v>201</v>
      </c>
    </row>
    <row r="37996" spans="1:1" ht="12.75">
      <c r="A37996" s="2" t="s">
        <v>201</v>
      </c>
    </row>
    <row r="37997" spans="1:1" ht="12.75">
      <c r="A37997" s="2" t="s">
        <v>201</v>
      </c>
    </row>
    <row r="37998" spans="1:1" ht="12.75">
      <c r="A37998" s="2" t="s">
        <v>201</v>
      </c>
    </row>
    <row r="37999" spans="1:1" ht="12.75">
      <c r="A37999" s="2" t="s">
        <v>201</v>
      </c>
    </row>
    <row r="38000" spans="1:1" ht="12.75">
      <c r="A38000" s="2" t="s">
        <v>201</v>
      </c>
    </row>
    <row r="38001" spans="1:1" ht="12.75">
      <c r="A38001" s="2" t="s">
        <v>201</v>
      </c>
    </row>
    <row r="38002" spans="1:1" ht="12.75">
      <c r="A38002" s="2" t="s">
        <v>201</v>
      </c>
    </row>
    <row r="38003" spans="1:1" ht="12.75">
      <c r="A38003" s="2" t="s">
        <v>201</v>
      </c>
    </row>
    <row r="38004" spans="1:1" ht="12.75">
      <c r="A38004" s="2" t="s">
        <v>201</v>
      </c>
    </row>
    <row r="38005" spans="1:1" ht="12.75">
      <c r="A38005" s="2" t="s">
        <v>202</v>
      </c>
    </row>
    <row r="38006" spans="1:1" ht="12.75">
      <c r="A38006" s="2" t="s">
        <v>202</v>
      </c>
    </row>
    <row r="38007" spans="1:1" ht="12.75">
      <c r="A38007" s="2" t="s">
        <v>200</v>
      </c>
    </row>
    <row r="38008" spans="1:1" ht="12.75">
      <c r="A38008" s="2" t="s">
        <v>200</v>
      </c>
    </row>
    <row r="38009" spans="1:1" ht="12.75">
      <c r="A38009" s="2" t="s">
        <v>200</v>
      </c>
    </row>
    <row r="38010" spans="1:1" ht="12.75">
      <c r="A38010" s="2" t="s">
        <v>200</v>
      </c>
    </row>
    <row r="38011" spans="1:1" ht="12.75">
      <c r="A38011" s="2" t="s">
        <v>200</v>
      </c>
    </row>
    <row r="38012" spans="1:1" ht="12.75">
      <c r="A38012" s="2" t="s">
        <v>200</v>
      </c>
    </row>
    <row r="38013" spans="1:1" ht="12.75">
      <c r="A38013" s="2" t="s">
        <v>200</v>
      </c>
    </row>
    <row r="38014" spans="1:1" ht="12.75">
      <c r="A38014" s="2" t="s">
        <v>200</v>
      </c>
    </row>
    <row r="38015" spans="1:1" ht="12.75">
      <c r="A38015" s="2" t="s">
        <v>200</v>
      </c>
    </row>
    <row r="38016" spans="1:1" ht="12.75">
      <c r="A38016" s="2" t="s">
        <v>200</v>
      </c>
    </row>
    <row r="38018" spans="1:1" ht="12.75">
      <c r="A38018" s="2" t="s">
        <v>200</v>
      </c>
    </row>
    <row r="38019" spans="1:1" ht="12.75">
      <c r="A38019" s="2" t="s">
        <v>200</v>
      </c>
    </row>
    <row r="38020" spans="1:1" ht="12.75">
      <c r="A38020" s="2" t="s">
        <v>200</v>
      </c>
    </row>
    <row r="38021" spans="1:1" ht="12.75">
      <c r="A38021" s="2" t="s">
        <v>200</v>
      </c>
    </row>
    <row r="38022" spans="1:1" ht="12.75">
      <c r="A38022" s="2" t="s">
        <v>200</v>
      </c>
    </row>
    <row r="38023" spans="1:1" ht="12.75">
      <c r="A38023" s="2" t="s">
        <v>201</v>
      </c>
    </row>
    <row r="38024" spans="1:1" ht="12.75">
      <c r="A38024" s="2" t="s">
        <v>205</v>
      </c>
    </row>
    <row r="38025" spans="1:1" ht="12.75">
      <c r="A38025" s="2" t="s">
        <v>201</v>
      </c>
    </row>
    <row r="38026" spans="1:1" ht="12.75">
      <c r="A38026" s="2" t="s">
        <v>201</v>
      </c>
    </row>
    <row r="38027" spans="1:1" ht="12.75">
      <c r="A38027" s="2" t="s">
        <v>201</v>
      </c>
    </row>
    <row r="38028" spans="1:1" ht="12.75">
      <c r="A38028" s="2" t="s">
        <v>201</v>
      </c>
    </row>
    <row r="38029" spans="1:1" ht="12.75">
      <c r="A38029" s="2" t="s">
        <v>206</v>
      </c>
    </row>
    <row r="38030" spans="1:1" ht="12.75">
      <c r="A38030" s="2" t="s">
        <v>206</v>
      </c>
    </row>
    <row r="38031" spans="1:1" ht="12.75">
      <c r="A38031" s="2" t="s">
        <v>206</v>
      </c>
    </row>
    <row r="38032" spans="1:1" ht="12.75">
      <c r="A38032" s="2" t="s">
        <v>206</v>
      </c>
    </row>
    <row r="38033" spans="1:1" ht="12.75">
      <c r="A38033" s="2" t="s">
        <v>206</v>
      </c>
    </row>
    <row r="38034" spans="1:1" ht="12.75">
      <c r="A38034" s="2" t="s">
        <v>206</v>
      </c>
    </row>
    <row r="38035" spans="1:1" ht="12.75">
      <c r="A38035" s="2" t="s">
        <v>232</v>
      </c>
    </row>
    <row r="38036" spans="1:1" ht="12.75">
      <c r="A38036" s="2" t="s">
        <v>232</v>
      </c>
    </row>
    <row r="38037" spans="1:1" ht="12.75">
      <c r="A38037" s="2" t="s">
        <v>232</v>
      </c>
    </row>
    <row r="38038" spans="1:1" ht="12.75">
      <c r="A38038" s="2" t="s">
        <v>232</v>
      </c>
    </row>
    <row r="38040" spans="1:1" ht="12.75">
      <c r="A38040" s="2" t="s">
        <v>232</v>
      </c>
    </row>
    <row r="38041" spans="1:1" ht="12.75">
      <c r="A38041" s="2" t="s">
        <v>232</v>
      </c>
    </row>
    <row r="38042" spans="1:1" ht="12.75">
      <c r="A38042" s="2" t="s">
        <v>232</v>
      </c>
    </row>
    <row r="38043" spans="1:1" ht="12.75">
      <c r="A38043" s="2" t="s">
        <v>232</v>
      </c>
    </row>
    <row r="38044" spans="1:1" ht="12.75">
      <c r="A38044" s="2" t="s">
        <v>232</v>
      </c>
    </row>
    <row r="38045" spans="1:1" ht="12.75">
      <c r="A38045" s="2" t="s">
        <v>256</v>
      </c>
    </row>
    <row r="38046" spans="1:1" ht="12.75">
      <c r="A38046" s="2" t="s">
        <v>769</v>
      </c>
    </row>
    <row r="38047" spans="1:1" ht="12.75">
      <c r="A38047" s="2" t="s">
        <v>254</v>
      </c>
    </row>
    <row r="38048" spans="1:1" ht="12.75">
      <c r="A38048" s="2" t="s">
        <v>254</v>
      </c>
    </row>
    <row r="38049" spans="1:1" ht="12.75">
      <c r="A38049" s="2" t="s">
        <v>769</v>
      </c>
    </row>
    <row r="38050" spans="1:1" ht="12.75">
      <c r="A38050" s="2" t="s">
        <v>256</v>
      </c>
    </row>
    <row r="38051" spans="1:1" ht="12.75">
      <c r="A38051" s="2" t="s">
        <v>254</v>
      </c>
    </row>
    <row r="38052" spans="1:1" ht="12.75">
      <c r="A38052" s="2" t="s">
        <v>254</v>
      </c>
    </row>
    <row r="38053" spans="1:1" ht="12.75">
      <c r="A38053" s="2" t="s">
        <v>252</v>
      </c>
    </row>
    <row r="38054" spans="1:1" ht="12.75">
      <c r="A38054" s="2" t="s">
        <v>252</v>
      </c>
    </row>
    <row r="38055" spans="1:1" ht="12.75">
      <c r="A38055" s="2" t="s">
        <v>256</v>
      </c>
    </row>
    <row r="38056" spans="1:1" ht="12.75">
      <c r="A38056" s="2" t="s">
        <v>256</v>
      </c>
    </row>
    <row r="38057" spans="1:1" ht="12.75">
      <c r="A38057" s="2" t="s">
        <v>254</v>
      </c>
    </row>
    <row r="38058" spans="1:1" ht="12.75">
      <c r="A38058" s="2" t="s">
        <v>254</v>
      </c>
    </row>
    <row r="38059" spans="1:1" ht="12.75">
      <c r="A38059" s="2" t="s">
        <v>254</v>
      </c>
    </row>
    <row r="38060" spans="1:1" ht="12.75">
      <c r="A38060" s="2" t="s">
        <v>254</v>
      </c>
    </row>
    <row r="38061" spans="1:1" ht="12.75">
      <c r="A38061" s="2" t="s">
        <v>210</v>
      </c>
    </row>
    <row r="38062" spans="1:1" ht="12.75">
      <c r="A38062" s="2" t="s">
        <v>254</v>
      </c>
    </row>
    <row r="38063" spans="1:1" ht="12.75">
      <c r="A38063" s="2" t="s">
        <v>256</v>
      </c>
    </row>
    <row r="38064" spans="1:1" ht="12.75">
      <c r="A38064" s="2" t="s">
        <v>256</v>
      </c>
    </row>
    <row r="38065" spans="1:1" ht="12.75">
      <c r="A38065" s="2" t="s">
        <v>254</v>
      </c>
    </row>
    <row r="38066" spans="1:1" ht="12.75">
      <c r="A38066" s="2" t="s">
        <v>254</v>
      </c>
    </row>
    <row r="38067" spans="1:1" ht="12.75">
      <c r="A38067" s="2" t="s">
        <v>256</v>
      </c>
    </row>
    <row r="38068" spans="1:1" ht="12.75">
      <c r="A38068" s="2" t="s">
        <v>256</v>
      </c>
    </row>
    <row r="38069" spans="1:1" ht="12.75">
      <c r="A38069" s="2" t="s">
        <v>151</v>
      </c>
    </row>
    <row r="38070" spans="1:1" ht="12.75">
      <c r="A38070" s="2" t="s">
        <v>151</v>
      </c>
    </row>
    <row r="38071" spans="1:1" ht="12.75">
      <c r="A38071" s="2" t="s">
        <v>151</v>
      </c>
    </row>
    <row r="38072" spans="1:1" ht="12.75">
      <c r="A38072" s="2" t="s">
        <v>151</v>
      </c>
    </row>
    <row r="38073" spans="1:1" ht="12.75">
      <c r="A38073" s="2" t="s">
        <v>256</v>
      </c>
    </row>
    <row r="38074" spans="1:1" ht="12.75">
      <c r="A38074" s="2" t="s">
        <v>256</v>
      </c>
    </row>
    <row r="38075" spans="1:1" ht="12.75">
      <c r="A38075" s="2" t="s">
        <v>769</v>
      </c>
    </row>
    <row r="38076" spans="1:1" ht="12.75">
      <c r="A38076" s="2" t="s">
        <v>769</v>
      </c>
    </row>
    <row r="38077" spans="1:1" ht="12.75">
      <c r="A38077" s="2" t="s">
        <v>254</v>
      </c>
    </row>
    <row r="38078" spans="1:1" ht="12.75">
      <c r="A38078" s="2" t="s">
        <v>254</v>
      </c>
    </row>
    <row r="38079" spans="1:1" ht="12.75">
      <c r="A38079" s="2" t="s">
        <v>256</v>
      </c>
    </row>
    <row r="38080" spans="1:1" ht="12.75">
      <c r="A38080" s="2" t="s">
        <v>256</v>
      </c>
    </row>
    <row r="38081" spans="1:1" ht="12.75">
      <c r="A38081" s="2" t="s">
        <v>264</v>
      </c>
    </row>
    <row r="38082" spans="1:1" ht="12.75">
      <c r="A38082" s="2" t="s">
        <v>264</v>
      </c>
    </row>
    <row r="38083" spans="1:1" ht="12.75">
      <c r="A38083" s="2" t="s">
        <v>970</v>
      </c>
    </row>
    <row r="38084" spans="1:1" ht="12.75">
      <c r="A38084" s="2" t="s">
        <v>970</v>
      </c>
    </row>
    <row r="38085" spans="1:1" ht="12.75">
      <c r="A38085" s="2" t="s">
        <v>970</v>
      </c>
    </row>
    <row r="38086" spans="1:1" ht="12.75">
      <c r="A38086" s="2" t="s">
        <v>970</v>
      </c>
    </row>
    <row r="38087" spans="1:1" ht="12.75">
      <c r="A38087" s="2" t="s">
        <v>264</v>
      </c>
    </row>
    <row r="38088" spans="1:1" ht="12.75">
      <c r="A38088" s="2" t="s">
        <v>264</v>
      </c>
    </row>
    <row r="38089" spans="1:1" ht="12.75">
      <c r="A38089" s="2" t="s">
        <v>264</v>
      </c>
    </row>
    <row r="38090" spans="1:1" ht="12.75">
      <c r="A38090" s="2" t="s">
        <v>264</v>
      </c>
    </row>
    <row r="38091" spans="1:1" ht="12.75">
      <c r="A38091" s="2" t="s">
        <v>264</v>
      </c>
    </row>
    <row r="38092" spans="1:1" ht="12.75">
      <c r="A38092" s="2" t="s">
        <v>1330</v>
      </c>
    </row>
    <row r="38093" spans="1:1" ht="12.75">
      <c r="A38093" s="2" t="s">
        <v>1319</v>
      </c>
    </row>
    <row r="38094" spans="1:1" ht="12.75">
      <c r="A38094" s="2" t="s">
        <v>740</v>
      </c>
    </row>
    <row r="38095" spans="1:1" ht="12.75">
      <c r="A38095" s="2" t="s">
        <v>970</v>
      </c>
    </row>
    <row r="38096" spans="1:1" ht="12.75">
      <c r="A38096" s="2" t="s">
        <v>264</v>
      </c>
    </row>
    <row r="38097" spans="1:1" ht="12.75">
      <c r="A38097" s="2" t="s">
        <v>970</v>
      </c>
    </row>
    <row r="38098" spans="1:1" ht="12.75">
      <c r="A38098" s="2" t="s">
        <v>970</v>
      </c>
    </row>
    <row r="38099" spans="1:1" ht="12.75">
      <c r="A38099" s="2" t="s">
        <v>1331</v>
      </c>
    </row>
    <row r="38100" spans="1:1" ht="12.75">
      <c r="A38100" s="2" t="s">
        <v>264</v>
      </c>
    </row>
    <row r="38101" spans="1:1" ht="12.75">
      <c r="A38101" s="2" t="s">
        <v>378</v>
      </c>
    </row>
    <row r="38102" spans="1:1" ht="12.75">
      <c r="A38102" s="2" t="s">
        <v>1319</v>
      </c>
    </row>
    <row r="38103" spans="1:1" ht="12.75">
      <c r="A38103" s="2" t="s">
        <v>516</v>
      </c>
    </row>
    <row r="38104" spans="1:1" ht="12.75">
      <c r="A38104" s="2" t="s">
        <v>516</v>
      </c>
    </row>
    <row r="38105" spans="1:1" ht="12.75">
      <c r="A38105" s="2" t="s">
        <v>1332</v>
      </c>
    </row>
    <row r="38111" spans="1:1" ht="12.75">
      <c r="A38111" s="2" t="s">
        <v>769</v>
      </c>
    </row>
    <row r="38112" spans="1:1" ht="12.75">
      <c r="A38112" s="2" t="s">
        <v>769</v>
      </c>
    </row>
    <row r="38113" spans="1:1" ht="12.75">
      <c r="A38113" s="2" t="s">
        <v>769</v>
      </c>
    </row>
    <row r="38114" spans="1:1" ht="12.75">
      <c r="A38114" s="2" t="s">
        <v>516</v>
      </c>
    </row>
    <row r="38115" spans="1:1" ht="12.75">
      <c r="A38115" s="2" t="s">
        <v>254</v>
      </c>
    </row>
    <row r="38116" spans="1:1" ht="12.75">
      <c r="A38116" s="2" t="s">
        <v>769</v>
      </c>
    </row>
    <row r="38117" spans="1:1" ht="12.75">
      <c r="A38117" s="2" t="s">
        <v>256</v>
      </c>
    </row>
    <row r="38118" spans="1:1" ht="12.75">
      <c r="A38118" s="2" t="s">
        <v>256</v>
      </c>
    </row>
    <row r="38119" spans="1:1" ht="12.75">
      <c r="A38119" s="2" t="s">
        <v>769</v>
      </c>
    </row>
    <row r="38120" spans="1:1" ht="12.75">
      <c r="A38120" s="2" t="s">
        <v>769</v>
      </c>
    </row>
    <row r="38121" spans="1:1" ht="12.75">
      <c r="A38121" s="2" t="s">
        <v>256</v>
      </c>
    </row>
    <row r="38122" spans="1:1" ht="12.75">
      <c r="A38122" s="2" t="s">
        <v>254</v>
      </c>
    </row>
    <row r="38123" spans="1:1" ht="12.75">
      <c r="A38123" s="2" t="s">
        <v>970</v>
      </c>
    </row>
    <row r="38124" spans="1:1" ht="12.75">
      <c r="A38124" s="2" t="s">
        <v>970</v>
      </c>
    </row>
    <row r="38125" spans="1:1" ht="12.75">
      <c r="A38125" s="2" t="s">
        <v>970</v>
      </c>
    </row>
    <row r="38126" spans="1:1" ht="12.75">
      <c r="A38126" s="2" t="s">
        <v>970</v>
      </c>
    </row>
    <row r="38127" spans="1:1" ht="12.75">
      <c r="A38127" s="2" t="s">
        <v>378</v>
      </c>
    </row>
    <row r="38128" spans="1:1" ht="12.75">
      <c r="A38128" s="2" t="s">
        <v>264</v>
      </c>
    </row>
    <row r="38129" spans="1:1" ht="12.75">
      <c r="A38129" s="2" t="s">
        <v>378</v>
      </c>
    </row>
    <row r="38130" spans="1:1" ht="12.75">
      <c r="A38130" s="2" t="s">
        <v>378</v>
      </c>
    </row>
    <row r="38131" spans="1:1" ht="12.75">
      <c r="A38131" s="2" t="s">
        <v>970</v>
      </c>
    </row>
    <row r="38132" spans="1:1" ht="12.75">
      <c r="A38132" s="2" t="s">
        <v>970</v>
      </c>
    </row>
    <row r="38133" spans="1:1" ht="12.75">
      <c r="A38133" s="2" t="s">
        <v>970</v>
      </c>
    </row>
    <row r="38134" spans="1:1" ht="12.75">
      <c r="A38134" s="2" t="s">
        <v>970</v>
      </c>
    </row>
    <row r="38135" spans="1:1" ht="12.75">
      <c r="A38135" s="2" t="s">
        <v>264</v>
      </c>
    </row>
    <row r="38136" spans="1:1" ht="12.75">
      <c r="A38136" s="2" t="s">
        <v>264</v>
      </c>
    </row>
    <row r="38137" spans="1:1" ht="12.75">
      <c r="A38137" s="2" t="s">
        <v>378</v>
      </c>
    </row>
    <row r="38138" spans="1:1" ht="12.75">
      <c r="A38138" s="2" t="s">
        <v>378</v>
      </c>
    </row>
    <row r="38139" spans="1:1" ht="12.75">
      <c r="A38139" s="2" t="s">
        <v>970</v>
      </c>
    </row>
    <row r="38140" spans="1:1" ht="12.75">
      <c r="A38140" s="2" t="s">
        <v>378</v>
      </c>
    </row>
    <row r="38141" spans="1:1" ht="12.75">
      <c r="A38141" s="2" t="s">
        <v>264</v>
      </c>
    </row>
    <row r="38142" spans="1:1" ht="12.75">
      <c r="A38142" s="2" t="s">
        <v>264</v>
      </c>
    </row>
    <row r="38143" spans="1:1" ht="12.75">
      <c r="A38143" s="2" t="s">
        <v>264</v>
      </c>
    </row>
    <row r="38144" spans="1:1" ht="12.75">
      <c r="A38144" s="2" t="s">
        <v>264</v>
      </c>
    </row>
    <row r="38145" spans="1:1" ht="12.75">
      <c r="A38145" s="2" t="s">
        <v>949</v>
      </c>
    </row>
    <row r="38146" spans="1:1" ht="12.75">
      <c r="A38146" s="2" t="s">
        <v>949</v>
      </c>
    </row>
    <row r="38147" spans="1:1" ht="12.75">
      <c r="A38147" s="2" t="s">
        <v>1333</v>
      </c>
    </row>
    <row r="38148" spans="1:1" ht="12.75">
      <c r="A38148" s="2" t="s">
        <v>1334</v>
      </c>
    </row>
    <row r="38149" spans="1:1" ht="12.75">
      <c r="A38149" s="2" t="s">
        <v>200</v>
      </c>
    </row>
    <row r="38150" spans="1:1" ht="12.75">
      <c r="A38150" s="2" t="s">
        <v>200</v>
      </c>
    </row>
    <row r="38151" spans="1:1" ht="12.75">
      <c r="A38151" s="2" t="s">
        <v>200</v>
      </c>
    </row>
    <row r="38152" spans="1:1" ht="12.75">
      <c r="A38152" s="2" t="s">
        <v>200</v>
      </c>
    </row>
    <row r="38153" spans="1:1" ht="12.75">
      <c r="A38153" s="2" t="s">
        <v>200</v>
      </c>
    </row>
    <row r="38154" spans="1:1" ht="12.75">
      <c r="A38154" s="2" t="s">
        <v>200</v>
      </c>
    </row>
    <row r="38155" spans="1:1" ht="12.75">
      <c r="A38155" s="2" t="s">
        <v>200</v>
      </c>
    </row>
    <row r="38156" spans="1:1" ht="12.75">
      <c r="A38156" s="2" t="s">
        <v>200</v>
      </c>
    </row>
    <row r="38157" spans="1:1" ht="12.75">
      <c r="A38157" s="2" t="s">
        <v>201</v>
      </c>
    </row>
    <row r="38158" spans="1:1" ht="12.75">
      <c r="A38158" s="2" t="s">
        <v>201</v>
      </c>
    </row>
    <row r="38159" spans="1:1" ht="12.75">
      <c r="A38159" s="2" t="s">
        <v>201</v>
      </c>
    </row>
    <row r="38160" spans="1:1" ht="12.75">
      <c r="A38160" s="2" t="s">
        <v>201</v>
      </c>
    </row>
    <row r="38161" spans="1:1" ht="12.75">
      <c r="A38161" s="2" t="s">
        <v>206</v>
      </c>
    </row>
    <row r="38162" spans="1:1" ht="12.75">
      <c r="A38162" s="2" t="s">
        <v>206</v>
      </c>
    </row>
    <row r="38163" spans="1:1" ht="12.75">
      <c r="A38163" s="2" t="s">
        <v>318</v>
      </c>
    </row>
    <row r="38164" spans="1:1" ht="12.75">
      <c r="A38164" s="2" t="s">
        <v>318</v>
      </c>
    </row>
    <row r="38165" spans="1:1" ht="12.75">
      <c r="A38165" s="2" t="s">
        <v>319</v>
      </c>
    </row>
    <row r="38166" spans="1:1" ht="12.75">
      <c r="A38166" s="2" t="s">
        <v>319</v>
      </c>
    </row>
    <row r="38167" spans="1:1" ht="12.75">
      <c r="A38167" s="2" t="s">
        <v>265</v>
      </c>
    </row>
    <row r="38169" spans="1:1" ht="12.75">
      <c r="A38169" s="2" t="s">
        <v>319</v>
      </c>
    </row>
    <row r="38170" spans="1:1" ht="12.75">
      <c r="A38170" s="2" t="s">
        <v>319</v>
      </c>
    </row>
    <row r="38171" spans="1:1" ht="12.75">
      <c r="A38171" s="2" t="s">
        <v>265</v>
      </c>
    </row>
    <row r="38172" spans="1:1" ht="12.75">
      <c r="A38172" s="2" t="s">
        <v>265</v>
      </c>
    </row>
    <row r="38173" spans="1:1" ht="12.75">
      <c r="A38173" s="2" t="s">
        <v>1335</v>
      </c>
    </row>
    <row r="38174" spans="1:1" ht="12.75">
      <c r="A38174" s="2" t="s">
        <v>318</v>
      </c>
    </row>
    <row r="38177" spans="1:1" ht="12.75">
      <c r="A38177" s="2" t="s">
        <v>207</v>
      </c>
    </row>
    <row r="38178" spans="1:1" ht="12.75">
      <c r="A38178" s="2" t="s">
        <v>207</v>
      </c>
    </row>
    <row r="38179" spans="1:1" ht="12.75">
      <c r="A38179" s="2" t="s">
        <v>206</v>
      </c>
    </row>
    <row r="38180" spans="1:1" ht="12.75">
      <c r="A38180" s="2" t="s">
        <v>206</v>
      </c>
    </row>
    <row r="38181" spans="1:1" ht="12.75">
      <c r="A38181" s="2" t="s">
        <v>252</v>
      </c>
    </row>
    <row r="38182" spans="1:1" ht="12.75">
      <c r="A38182" s="2" t="s">
        <v>252</v>
      </c>
    </row>
    <row r="38183" spans="1:1" ht="12.75">
      <c r="A38183" s="2" t="s">
        <v>769</v>
      </c>
    </row>
    <row r="38184" spans="1:1" ht="12.75">
      <c r="A38184" s="2" t="s">
        <v>769</v>
      </c>
    </row>
    <row r="38185" spans="1:1" ht="12.75">
      <c r="A38185" s="2" t="s">
        <v>256</v>
      </c>
    </row>
    <row r="38186" spans="1:1" ht="12.75">
      <c r="A38186" s="2" t="s">
        <v>256</v>
      </c>
    </row>
    <row r="38187" spans="1:1" ht="12.75">
      <c r="A38187" s="2" t="s">
        <v>1319</v>
      </c>
    </row>
    <row r="38188" spans="1:1" ht="12.75">
      <c r="A38188" s="2" t="s">
        <v>1319</v>
      </c>
    </row>
    <row r="38189" spans="1:1" ht="12.75">
      <c r="A38189" s="2" t="s">
        <v>264</v>
      </c>
    </row>
    <row r="38190" spans="1:1" ht="12.75">
      <c r="A38190" s="2" t="s">
        <v>264</v>
      </c>
    </row>
    <row r="38191" spans="1:1" ht="12.75">
      <c r="A38191" s="2" t="s">
        <v>970</v>
      </c>
    </row>
    <row r="38192" spans="1:1" ht="12.75">
      <c r="A38192" s="2" t="s">
        <v>970</v>
      </c>
    </row>
    <row r="38193" spans="1:1" ht="12.75">
      <c r="A38193" s="2" t="s">
        <v>264</v>
      </c>
    </row>
    <row r="38194" spans="1:1" ht="12.75">
      <c r="A38194" s="2" t="s">
        <v>264</v>
      </c>
    </row>
    <row r="38195" spans="1:1" ht="12.75">
      <c r="A38195" s="2" t="s">
        <v>1319</v>
      </c>
    </row>
    <row r="38196" spans="1:1" ht="12.75">
      <c r="A38196" s="2" t="s">
        <v>1319</v>
      </c>
    </row>
    <row r="38197" spans="1:1" ht="12.75">
      <c r="A38197" s="2" t="s">
        <v>970</v>
      </c>
    </row>
    <row r="38198" spans="1:1" ht="12.75">
      <c r="A38198" s="2" t="s">
        <v>970</v>
      </c>
    </row>
    <row r="38199" spans="1:1" ht="12.75">
      <c r="A38199" s="2" t="s">
        <v>740</v>
      </c>
    </row>
    <row r="38200" spans="1:1" ht="12.75">
      <c r="A38200" s="2" t="s">
        <v>1319</v>
      </c>
    </row>
    <row r="38201" spans="1:1" ht="12.75">
      <c r="A38201" s="2" t="s">
        <v>264</v>
      </c>
    </row>
    <row r="38202" spans="1:1" ht="12.75">
      <c r="A38202" s="2" t="s">
        <v>740</v>
      </c>
    </row>
    <row r="38203" spans="1:1" ht="12.75">
      <c r="A38203" s="2" t="s">
        <v>970</v>
      </c>
    </row>
    <row r="38204" spans="1:1" ht="12.75">
      <c r="A38204" s="2" t="s">
        <v>970</v>
      </c>
    </row>
    <row r="38205" spans="1:1" ht="12.75">
      <c r="A38205" s="2" t="s">
        <v>970</v>
      </c>
    </row>
    <row r="38206" spans="1:1" ht="12.75">
      <c r="A38206" s="2" t="s">
        <v>970</v>
      </c>
    </row>
    <row r="38207" spans="1:1" ht="12.75">
      <c r="A38207" s="2" t="s">
        <v>1319</v>
      </c>
    </row>
    <row r="38208" spans="1:1" ht="12.75">
      <c r="A38208" s="2" t="s">
        <v>1319</v>
      </c>
    </row>
    <row r="38209" spans="1:1" ht="12.75">
      <c r="A38209" s="2" t="s">
        <v>264</v>
      </c>
    </row>
    <row r="38210" spans="1:1" ht="12.75">
      <c r="A38210" s="2" t="s">
        <v>264</v>
      </c>
    </row>
    <row r="38211" spans="1:1" ht="12.75">
      <c r="A38211" s="2" t="s">
        <v>264</v>
      </c>
    </row>
    <row r="38212" spans="1:1" ht="12.75">
      <c r="A38212" s="2" t="s">
        <v>264</v>
      </c>
    </row>
    <row r="38213" spans="1:1" ht="12.75">
      <c r="A38213" s="2" t="s">
        <v>1319</v>
      </c>
    </row>
    <row r="38214" spans="1:1" ht="12.75">
      <c r="A38214" s="2" t="s">
        <v>1319</v>
      </c>
    </row>
    <row r="38215" spans="1:1" ht="12.75">
      <c r="A38215" s="2" t="s">
        <v>970</v>
      </c>
    </row>
    <row r="38216" spans="1:1" ht="12.75">
      <c r="A38216" s="2" t="s">
        <v>378</v>
      </c>
    </row>
    <row r="38217" spans="1:1" ht="12.75">
      <c r="A38217" s="2" t="s">
        <v>970</v>
      </c>
    </row>
    <row r="38218" spans="1:1" ht="12.75">
      <c r="A38218" s="2" t="s">
        <v>970</v>
      </c>
    </row>
    <row r="38219" spans="1:1" ht="12.75">
      <c r="A38219" s="2" t="s">
        <v>970</v>
      </c>
    </row>
    <row r="38220" spans="1:1" ht="12.75">
      <c r="A38220" s="2" t="s">
        <v>970</v>
      </c>
    </row>
    <row r="38221" spans="1:1" ht="12.75">
      <c r="A38221" s="2" t="s">
        <v>264</v>
      </c>
    </row>
    <row r="38222" spans="1:1" ht="12.75">
      <c r="A38222" s="2" t="s">
        <v>264</v>
      </c>
    </row>
    <row r="38223" spans="1:1" ht="12.75">
      <c r="A38223" s="2" t="s">
        <v>1319</v>
      </c>
    </row>
    <row r="38224" spans="1:1" ht="12.75">
      <c r="A38224" s="2" t="s">
        <v>1319</v>
      </c>
    </row>
    <row r="38225" spans="1:1" ht="12.75">
      <c r="A38225" s="2" t="s">
        <v>970</v>
      </c>
    </row>
    <row r="38226" spans="1:1" ht="12.75">
      <c r="A38226" s="2" t="s">
        <v>970</v>
      </c>
    </row>
    <row r="38227" spans="1:1" ht="12.75">
      <c r="A38227" s="2" t="s">
        <v>1005</v>
      </c>
    </row>
    <row r="38228" spans="1:1" ht="12.75">
      <c r="A38228" s="2" t="s">
        <v>970</v>
      </c>
    </row>
    <row r="38229" spans="1:1" ht="12.75">
      <c r="A38229" s="2" t="s">
        <v>151</v>
      </c>
    </row>
    <row r="38230" spans="1:1" ht="12.75">
      <c r="A38230" s="2" t="s">
        <v>151</v>
      </c>
    </row>
    <row r="38231" spans="1:1" ht="12.75">
      <c r="A38231" s="2" t="s">
        <v>378</v>
      </c>
    </row>
    <row r="38232" spans="1:1" ht="12.75">
      <c r="A38232" s="2" t="s">
        <v>1319</v>
      </c>
    </row>
    <row r="38233" spans="1:1" ht="12.75">
      <c r="A38233" s="2" t="s">
        <v>970</v>
      </c>
    </row>
    <row r="38234" spans="1:1" ht="12.75">
      <c r="A38234" s="2" t="s">
        <v>970</v>
      </c>
    </row>
    <row r="38235" spans="1:1" ht="12.75">
      <c r="A38235" s="2" t="s">
        <v>970</v>
      </c>
    </row>
    <row r="38237" spans="1:1" ht="12.75">
      <c r="A38237" s="2" t="s">
        <v>264</v>
      </c>
    </row>
    <row r="38238" spans="1:1" ht="12.75">
      <c r="A38238" s="2" t="s">
        <v>264</v>
      </c>
    </row>
    <row r="38239" spans="1:1" ht="12.75">
      <c r="A38239" s="2" t="s">
        <v>252</v>
      </c>
    </row>
    <row r="38240" spans="1:1" ht="12.75">
      <c r="A38240" s="2" t="s">
        <v>252</v>
      </c>
    </row>
    <row r="38241" spans="1:1" ht="12.75">
      <c r="A38241" s="2" t="s">
        <v>252</v>
      </c>
    </row>
    <row r="38242" spans="1:1" ht="12.75">
      <c r="A38242" s="2" t="s">
        <v>252</v>
      </c>
    </row>
    <row r="38243" spans="1:1" ht="12.75">
      <c r="A38243" s="2" t="s">
        <v>252</v>
      </c>
    </row>
    <row r="38244" spans="1:1" ht="12.75">
      <c r="A38244" s="2" t="s">
        <v>252</v>
      </c>
    </row>
    <row r="38245" spans="1:1" ht="12.75">
      <c r="A38245" s="2" t="s">
        <v>254</v>
      </c>
    </row>
    <row r="38246" spans="1:1" ht="12.75">
      <c r="A38246" s="2" t="s">
        <v>256</v>
      </c>
    </row>
    <row r="38247" spans="1:1" ht="12.75">
      <c r="A38247" s="2" t="s">
        <v>256</v>
      </c>
    </row>
    <row r="38248" spans="1:1" ht="12.75">
      <c r="A38248" s="2" t="s">
        <v>769</v>
      </c>
    </row>
    <row r="38249" spans="1:1" ht="12.75">
      <c r="A38249" s="2" t="s">
        <v>315</v>
      </c>
    </row>
    <row r="38250" spans="1:1" ht="12.75">
      <c r="A38250" s="2" t="s">
        <v>315</v>
      </c>
    </row>
    <row r="38251" spans="1:1" ht="12.75">
      <c r="A38251" s="2" t="s">
        <v>315</v>
      </c>
    </row>
    <row r="38252" spans="1:1" ht="12.75">
      <c r="A38252" s="2" t="s">
        <v>315</v>
      </c>
    </row>
    <row r="38253" spans="1:1" ht="12.75">
      <c r="A38253" s="2" t="s">
        <v>315</v>
      </c>
    </row>
    <row r="38254" spans="1:1" ht="12.75">
      <c r="A38254" s="2" t="s">
        <v>315</v>
      </c>
    </row>
    <row r="38255" spans="1:1" ht="12.75">
      <c r="A38255" s="2" t="s">
        <v>315</v>
      </c>
    </row>
    <row r="38258" spans="1:1" ht="12.75">
      <c r="A38258" s="2" t="s">
        <v>282</v>
      </c>
    </row>
    <row r="38262" spans="1:1" ht="12.75">
      <c r="A38262" s="2" t="s">
        <v>655</v>
      </c>
    </row>
    <row r="38263" spans="1:1" ht="12.75">
      <c r="A38263" s="2" t="s">
        <v>1336</v>
      </c>
    </row>
    <row r="38264" spans="1:1" ht="12.75">
      <c r="A38264" s="2" t="s">
        <v>908</v>
      </c>
    </row>
    <row r="38265" spans="1:1" ht="12.75">
      <c r="A38265" s="2" t="s">
        <v>908</v>
      </c>
    </row>
    <row r="38267" spans="1:1" ht="12.75">
      <c r="A38267" s="2" t="s">
        <v>367</v>
      </c>
    </row>
    <row r="38268" spans="1:1" ht="12.75">
      <c r="A38268" s="2" t="s">
        <v>367</v>
      </c>
    </row>
    <row r="38269" spans="1:1" ht="12.75">
      <c r="A38269" s="2" t="s">
        <v>1337</v>
      </c>
    </row>
    <row r="38270" spans="1:1" ht="12.75">
      <c r="A38270" s="2" t="s">
        <v>228</v>
      </c>
    </row>
    <row r="38271" spans="1:1" ht="12.75">
      <c r="A38271" s="2" t="s">
        <v>228</v>
      </c>
    </row>
    <row r="38272" spans="1:1" ht="12.75">
      <c r="A38272" s="2" t="s">
        <v>228</v>
      </c>
    </row>
    <row r="38273" spans="1:1" ht="12.75">
      <c r="A38273" s="2" t="s">
        <v>227</v>
      </c>
    </row>
    <row r="38274" spans="1:1" ht="12.75">
      <c r="A38274" s="2" t="s">
        <v>227</v>
      </c>
    </row>
    <row r="38275" spans="1:1" ht="12.75">
      <c r="A38275" s="2" t="s">
        <v>228</v>
      </c>
    </row>
    <row r="38276" spans="1:1" ht="12.75">
      <c r="A38276" s="2" t="s">
        <v>227</v>
      </c>
    </row>
    <row r="38277" spans="1:1" ht="12.75">
      <c r="A38277" s="2" t="s">
        <v>227</v>
      </c>
    </row>
    <row r="38278" spans="1:1" ht="12.75">
      <c r="A38278" s="2" t="s">
        <v>228</v>
      </c>
    </row>
    <row r="38279" spans="1:1" ht="12.75">
      <c r="A38279" s="2" t="s">
        <v>227</v>
      </c>
    </row>
    <row r="38280" spans="1:1" ht="12.75">
      <c r="A38280" s="2" t="s">
        <v>1338</v>
      </c>
    </row>
    <row r="38281" spans="1:1" ht="12.75">
      <c r="A38281" s="2" t="s">
        <v>228</v>
      </c>
    </row>
    <row r="38282" spans="1:1" ht="12.75">
      <c r="A38282" s="2" t="s">
        <v>227</v>
      </c>
    </row>
    <row r="38283" spans="1:1" ht="12.75">
      <c r="A38283" s="2" t="s">
        <v>227</v>
      </c>
    </row>
    <row r="38284" spans="1:1" ht="12.75">
      <c r="A38284" s="2" t="s">
        <v>228</v>
      </c>
    </row>
    <row r="38285" spans="1:1" ht="12.75">
      <c r="A38285" s="2" t="s">
        <v>228</v>
      </c>
    </row>
    <row r="38286" spans="1:1" ht="12.75">
      <c r="A38286" s="2" t="s">
        <v>227</v>
      </c>
    </row>
    <row r="38287" spans="1:1" ht="12.75">
      <c r="A38287" s="2" t="s">
        <v>227</v>
      </c>
    </row>
    <row r="38288" spans="1:1" ht="12.75">
      <c r="A38288" s="2" t="s">
        <v>227</v>
      </c>
    </row>
    <row r="38289" spans="1:1" ht="12.75">
      <c r="A38289" s="2" t="s">
        <v>227</v>
      </c>
    </row>
    <row r="38290" spans="1:1" ht="12.75">
      <c r="A38290" s="2" t="s">
        <v>172</v>
      </c>
    </row>
    <row r="38291" spans="1:1" ht="12.75">
      <c r="A38291" s="2" t="s">
        <v>177</v>
      </c>
    </row>
    <row r="38292" spans="1:1" ht="12.75">
      <c r="A38292" s="2" t="s">
        <v>258</v>
      </c>
    </row>
    <row r="38293" spans="1:1" ht="12.75">
      <c r="A38293" s="2" t="s">
        <v>258</v>
      </c>
    </row>
    <row r="38294" spans="1:1" ht="12.75">
      <c r="A38294" s="2" t="s">
        <v>258</v>
      </c>
    </row>
    <row r="38295" spans="1:1" ht="12.75">
      <c r="A38295" s="2" t="s">
        <v>258</v>
      </c>
    </row>
    <row r="38296" spans="1:1" ht="12.75">
      <c r="A38296" s="2" t="s">
        <v>258</v>
      </c>
    </row>
    <row r="38297" spans="1:1" ht="12.75">
      <c r="A38297" s="2" t="s">
        <v>258</v>
      </c>
    </row>
    <row r="38298" spans="1:1" ht="12.75">
      <c r="A38298" s="2" t="s">
        <v>260</v>
      </c>
    </row>
    <row r="38299" spans="1:1" ht="12.75">
      <c r="A38299" s="2" t="s">
        <v>260</v>
      </c>
    </row>
    <row r="38300" spans="1:1" ht="12.75">
      <c r="A38300" s="2" t="s">
        <v>260</v>
      </c>
    </row>
    <row r="38301" spans="1:1" ht="12.75">
      <c r="A38301" s="2" t="s">
        <v>257</v>
      </c>
    </row>
    <row r="38302" spans="1:1" ht="12.75">
      <c r="A38302" s="2" t="s">
        <v>260</v>
      </c>
    </row>
    <row r="38303" spans="1:1" ht="12.75">
      <c r="A38303" s="2" t="s">
        <v>260</v>
      </c>
    </row>
    <row r="38304" spans="1:1" ht="12.75">
      <c r="A38304" s="2" t="s">
        <v>260</v>
      </c>
    </row>
    <row r="38305" spans="1:1" ht="12.75">
      <c r="A38305" s="2" t="s">
        <v>260</v>
      </c>
    </row>
    <row r="38306" spans="1:1" ht="12.75">
      <c r="A38306" s="2" t="s">
        <v>258</v>
      </c>
    </row>
    <row r="38307" spans="1:1" ht="12.75">
      <c r="A38307" s="2" t="s">
        <v>258</v>
      </c>
    </row>
    <row r="38308" spans="1:1" ht="12.75">
      <c r="A38308" s="2" t="s">
        <v>258</v>
      </c>
    </row>
    <row r="38309" spans="1:1" ht="12.75">
      <c r="A38309" s="2" t="s">
        <v>258</v>
      </c>
    </row>
    <row r="38310" spans="1:1" ht="12.75">
      <c r="A38310" s="2" t="s">
        <v>258</v>
      </c>
    </row>
    <row r="38311" spans="1:1" ht="12.75">
      <c r="A38311" s="2" t="s">
        <v>301</v>
      </c>
    </row>
    <row r="38312" spans="1:1" ht="12.75">
      <c r="A38312" s="2" t="s">
        <v>301</v>
      </c>
    </row>
    <row r="38313" spans="1:1" ht="12.75">
      <c r="A38313" s="2" t="s">
        <v>301</v>
      </c>
    </row>
    <row r="38314" spans="1:1" ht="12.75">
      <c r="A38314" s="2" t="s">
        <v>301</v>
      </c>
    </row>
    <row r="38315" spans="1:1" ht="12.75">
      <c r="A38315" s="2" t="s">
        <v>301</v>
      </c>
    </row>
    <row r="38316" spans="1:1" ht="12.75">
      <c r="A38316" s="2" t="s">
        <v>301</v>
      </c>
    </row>
    <row r="38317" spans="1:1" ht="12.75">
      <c r="A38317" s="2" t="s">
        <v>260</v>
      </c>
    </row>
    <row r="38318" spans="1:1" ht="12.75">
      <c r="A38318" s="2" t="s">
        <v>260</v>
      </c>
    </row>
    <row r="38319" spans="1:1" ht="12.75">
      <c r="A38319" s="2" t="s">
        <v>260</v>
      </c>
    </row>
    <row r="38320" spans="1:1" ht="12.75">
      <c r="A38320" s="2" t="s">
        <v>260</v>
      </c>
    </row>
    <row r="38321" spans="1:1" ht="12.75">
      <c r="A38321" s="2" t="s">
        <v>260</v>
      </c>
    </row>
    <row r="38322" spans="1:1" ht="12.75">
      <c r="A38322" s="2" t="s">
        <v>393</v>
      </c>
    </row>
    <row r="38323" spans="1:1" ht="12.75">
      <c r="A38323" s="2" t="s">
        <v>393</v>
      </c>
    </row>
    <row r="38324" spans="1:1" ht="12.75">
      <c r="A38324" s="2" t="s">
        <v>170</v>
      </c>
    </row>
    <row r="38325" spans="1:1" ht="12.75">
      <c r="A38325" s="2" t="s">
        <v>170</v>
      </c>
    </row>
    <row r="38326" spans="1:1" ht="12.75">
      <c r="A38326" s="2" t="s">
        <v>970</v>
      </c>
    </row>
    <row r="38327" spans="1:1" ht="12.75">
      <c r="A38327" s="2" t="s">
        <v>170</v>
      </c>
    </row>
    <row r="38328" spans="1:1" ht="12.75">
      <c r="A38328" s="2" t="s">
        <v>167</v>
      </c>
    </row>
    <row r="38329" spans="1:1" ht="12.75">
      <c r="A38329" s="2" t="s">
        <v>196</v>
      </c>
    </row>
    <row r="38330" spans="1:1" ht="12.75">
      <c r="A38330" s="2" t="s">
        <v>196</v>
      </c>
    </row>
    <row r="38331" spans="1:1" ht="12.75">
      <c r="A38331" s="2" t="s">
        <v>169</v>
      </c>
    </row>
    <row r="38332" spans="1:1" ht="12.75">
      <c r="A38332" s="2" t="s">
        <v>223</v>
      </c>
    </row>
    <row r="38333" spans="1:1" ht="12.75">
      <c r="A38333" s="2" t="s">
        <v>167</v>
      </c>
    </row>
    <row r="38335" spans="1:1" ht="12.75">
      <c r="A38335" s="2" t="s">
        <v>196</v>
      </c>
    </row>
    <row r="38336" spans="1:1" ht="12.75">
      <c r="A38336" s="2" t="s">
        <v>165</v>
      </c>
    </row>
    <row r="38337" spans="1:1" ht="12.75">
      <c r="A38337" s="2" t="s">
        <v>165</v>
      </c>
    </row>
    <row r="38338" spans="1:1" ht="12.75">
      <c r="A38338" s="2" t="s">
        <v>733</v>
      </c>
    </row>
    <row r="38340" spans="1:1" ht="12.75">
      <c r="A38340" s="2" t="s">
        <v>169</v>
      </c>
    </row>
    <row r="38341" spans="1:1" ht="12.75">
      <c r="A38341" s="2" t="s">
        <v>161</v>
      </c>
    </row>
    <row r="38342" spans="1:1" ht="12.75">
      <c r="A38342" s="2" t="s">
        <v>169</v>
      </c>
    </row>
    <row r="38343" spans="1:1" ht="12.75">
      <c r="A38343" s="2" t="s">
        <v>169</v>
      </c>
    </row>
    <row r="38344" spans="1:1" ht="12.75">
      <c r="A38344" s="2" t="s">
        <v>185</v>
      </c>
    </row>
    <row r="38345" spans="1:1" ht="12.75">
      <c r="A38345" s="2" t="s">
        <v>224</v>
      </c>
    </row>
    <row r="38346" spans="1:1" ht="12.75">
      <c r="A38346" s="2" t="s">
        <v>185</v>
      </c>
    </row>
    <row r="38347" spans="1:1" ht="12.75">
      <c r="A38347" s="2" t="s">
        <v>168</v>
      </c>
    </row>
    <row r="38348" spans="1:1" ht="12.75">
      <c r="A38348" s="2" t="s">
        <v>161</v>
      </c>
    </row>
    <row r="38349" spans="1:1" ht="12.75">
      <c r="A38349" s="2" t="s">
        <v>168</v>
      </c>
    </row>
    <row r="38351" spans="1:1" ht="12.75">
      <c r="A38351" s="2" t="s">
        <v>393</v>
      </c>
    </row>
    <row r="38353" spans="1:1" ht="12.75">
      <c r="A38353" s="2" t="s">
        <v>393</v>
      </c>
    </row>
    <row r="38354" spans="1:1" ht="12.75">
      <c r="A38354" s="2" t="s">
        <v>734</v>
      </c>
    </row>
    <row r="38355" spans="1:1" ht="12.75">
      <c r="A38355" s="2" t="s">
        <v>195</v>
      </c>
    </row>
    <row r="38356" spans="1:1" ht="12.75">
      <c r="A38356" s="2" t="s">
        <v>734</v>
      </c>
    </row>
    <row r="38357" spans="1:1" ht="12.75">
      <c r="A38357" s="2" t="s">
        <v>196</v>
      </c>
    </row>
    <row r="38359" spans="1:1" ht="12.75">
      <c r="A38359" s="2" t="s">
        <v>161</v>
      </c>
    </row>
    <row r="38361" spans="1:1" ht="12.75">
      <c r="A38361" s="2" t="s">
        <v>161</v>
      </c>
    </row>
    <row r="38362" spans="1:1" ht="12.75">
      <c r="A38362" s="2" t="s">
        <v>221</v>
      </c>
    </row>
    <row r="38363" spans="1:1" ht="12.75">
      <c r="A38363" s="2" t="s">
        <v>161</v>
      </c>
    </row>
    <row r="38364" spans="1:1" ht="12.75">
      <c r="A38364" s="2" t="s">
        <v>174</v>
      </c>
    </row>
    <row r="38365" spans="1:1" ht="12.75">
      <c r="A38365" s="2" t="s">
        <v>225</v>
      </c>
    </row>
    <row r="38366" spans="1:1" ht="12.75">
      <c r="A38366" s="2" t="s">
        <v>171</v>
      </c>
    </row>
    <row r="38367" spans="1:1" ht="12.75">
      <c r="A38367" s="2" t="s">
        <v>174</v>
      </c>
    </row>
    <row r="38368" spans="1:1" ht="12.75">
      <c r="A38368" s="2" t="s">
        <v>173</v>
      </c>
    </row>
    <row r="38369" spans="1:1" ht="12.75">
      <c r="A38369" s="2" t="s">
        <v>173</v>
      </c>
    </row>
    <row r="38370" spans="1:1" ht="12.75">
      <c r="A38370" s="2" t="s">
        <v>225</v>
      </c>
    </row>
    <row r="38371" spans="1:1" ht="12.75">
      <c r="A38371" s="2" t="s">
        <v>173</v>
      </c>
    </row>
    <row r="38372" spans="1:1" ht="12.75">
      <c r="A38372" s="2" t="s">
        <v>185</v>
      </c>
    </row>
    <row r="38373" spans="1:1" ht="12.75">
      <c r="A38373" s="2" t="s">
        <v>175</v>
      </c>
    </row>
    <row r="38375" spans="1:1" ht="12.75">
      <c r="A38375" s="2" t="s">
        <v>175</v>
      </c>
    </row>
    <row r="38376" spans="1:1" ht="12.75">
      <c r="A38376" s="2" t="s">
        <v>229</v>
      </c>
    </row>
    <row r="38378" spans="1:1" ht="12.75">
      <c r="A38378" s="2" t="s">
        <v>1339</v>
      </c>
    </row>
    <row r="38380" spans="1:1" ht="12.75">
      <c r="A38380" s="2" t="s">
        <v>189</v>
      </c>
    </row>
    <row r="38381" spans="1:1" ht="12.75">
      <c r="A38381" s="2" t="s">
        <v>171</v>
      </c>
    </row>
    <row r="38382" spans="1:1" ht="12.75">
      <c r="A38382" s="2" t="s">
        <v>174</v>
      </c>
    </row>
    <row r="38383" spans="1:1" ht="12.75">
      <c r="A38383" s="2" t="s">
        <v>734</v>
      </c>
    </row>
    <row r="38384" spans="1:1" ht="12.75">
      <c r="A38384" s="2" t="s">
        <v>176</v>
      </c>
    </row>
    <row r="38385" spans="1:1" ht="12.75">
      <c r="A38385" s="2" t="s">
        <v>174</v>
      </c>
    </row>
    <row r="38386" spans="1:1" ht="12.75">
      <c r="A38386" s="2" t="s">
        <v>173</v>
      </c>
    </row>
    <row r="38387" spans="1:1" ht="12.75">
      <c r="A38387" s="2" t="s">
        <v>173</v>
      </c>
    </row>
    <row r="38388" spans="1:1" ht="12.75">
      <c r="A38388" s="2" t="s">
        <v>734</v>
      </c>
    </row>
    <row r="38389" spans="1:1" ht="12.75">
      <c r="A38389" s="2" t="s">
        <v>173</v>
      </c>
    </row>
    <row r="38391" spans="1:1" ht="12.75">
      <c r="A38391" s="2" t="s">
        <v>944</v>
      </c>
    </row>
    <row r="38393" spans="1:1" ht="12.75">
      <c r="A38393" s="2" t="s">
        <v>185</v>
      </c>
    </row>
    <row r="38394" spans="1:1" ht="12.75">
      <c r="A38394" s="2" t="s">
        <v>175</v>
      </c>
    </row>
    <row r="38395" spans="1:1" ht="12.75">
      <c r="A38395" s="2" t="s">
        <v>163</v>
      </c>
    </row>
    <row r="38396" spans="1:1" ht="12.75">
      <c r="A38396" s="2" t="s">
        <v>175</v>
      </c>
    </row>
    <row r="38397" spans="1:1" ht="12.75">
      <c r="A38397" s="2" t="s">
        <v>163</v>
      </c>
    </row>
    <row r="38398" spans="1:1" ht="12.75">
      <c r="A38398" s="2" t="s">
        <v>162</v>
      </c>
    </row>
    <row r="38399" spans="1:1" ht="12.75">
      <c r="A38399" s="2" t="s">
        <v>162</v>
      </c>
    </row>
    <row r="38400" spans="1:1" ht="12.75">
      <c r="A38400" s="2" t="s">
        <v>163</v>
      </c>
    </row>
    <row r="38401" spans="1:1" ht="12.75">
      <c r="A38401" s="2" t="s">
        <v>162</v>
      </c>
    </row>
    <row r="38402" spans="1:1" ht="12.75">
      <c r="A38402" s="2" t="s">
        <v>179</v>
      </c>
    </row>
    <row r="38403" spans="1:1" ht="12.75">
      <c r="A38403" s="2" t="s">
        <v>176</v>
      </c>
    </row>
    <row r="38404" spans="1:1" ht="12.75">
      <c r="A38404" s="2" t="s">
        <v>179</v>
      </c>
    </row>
    <row r="38405" spans="1:1" ht="12.75">
      <c r="A38405" s="2" t="s">
        <v>176</v>
      </c>
    </row>
    <row r="38406" spans="1:1" ht="12.75">
      <c r="A38406" s="2" t="s">
        <v>178</v>
      </c>
    </row>
    <row r="38407" spans="1:1" ht="12.75">
      <c r="A38407" s="2" t="s">
        <v>176</v>
      </c>
    </row>
    <row r="38408" spans="1:1" ht="12.75">
      <c r="A38408" s="2" t="s">
        <v>184</v>
      </c>
    </row>
    <row r="38409" spans="1:1" ht="12.75">
      <c r="A38409" s="2" t="s">
        <v>175</v>
      </c>
    </row>
    <row r="38410" spans="1:1" ht="12.75">
      <c r="A38410" s="2" t="s">
        <v>184</v>
      </c>
    </row>
    <row r="38411" spans="1:1" ht="12.75">
      <c r="A38411" s="2" t="s">
        <v>184</v>
      </c>
    </row>
    <row r="38412" spans="1:1" ht="12.75">
      <c r="A38412" s="2" t="s">
        <v>183</v>
      </c>
    </row>
    <row r="38413" spans="1:1" ht="12.75">
      <c r="A38413" s="2" t="s">
        <v>172</v>
      </c>
    </row>
    <row r="38414" spans="1:1" ht="12.75">
      <c r="A38414" s="2" t="s">
        <v>183</v>
      </c>
    </row>
    <row r="38415" spans="1:1" ht="12.75">
      <c r="A38415" s="2" t="s">
        <v>172</v>
      </c>
    </row>
    <row r="38417" spans="1:1" ht="12.75">
      <c r="A38417" s="2" t="s">
        <v>168</v>
      </c>
    </row>
    <row r="38418" spans="1:1" ht="12.75">
      <c r="A38418" s="2" t="s">
        <v>172</v>
      </c>
    </row>
    <row r="38419" spans="1:1" ht="12.75">
      <c r="A38419" s="2" t="s">
        <v>168</v>
      </c>
    </row>
    <row r="38420" spans="1:1" ht="12.75">
      <c r="A38420" s="2" t="s">
        <v>177</v>
      </c>
    </row>
    <row r="38421" spans="1:1" ht="12.75">
      <c r="A38421" s="2" t="s">
        <v>167</v>
      </c>
    </row>
    <row r="38422" spans="1:1" ht="12.75">
      <c r="A38422" s="2" t="s">
        <v>177</v>
      </c>
    </row>
    <row r="38423" spans="1:1" ht="12.75">
      <c r="A38423" s="2" t="s">
        <v>733</v>
      </c>
    </row>
    <row r="38424" spans="1:1" ht="12.75">
      <c r="A38424" s="2" t="s">
        <v>177</v>
      </c>
    </row>
    <row r="38425" spans="1:1" ht="12.75">
      <c r="A38425" s="2" t="s">
        <v>167</v>
      </c>
    </row>
    <row r="38426" spans="1:1" ht="12.75">
      <c r="A38426" s="2" t="s">
        <v>165</v>
      </c>
    </row>
    <row r="38427" spans="1:1" ht="12.75">
      <c r="A38427" s="2" t="s">
        <v>165</v>
      </c>
    </row>
    <row r="38428" spans="1:1" ht="12.75">
      <c r="A38428" s="2" t="s">
        <v>167</v>
      </c>
    </row>
    <row r="38429" spans="1:1" ht="12.75">
      <c r="A38429" s="2" t="s">
        <v>944</v>
      </c>
    </row>
    <row r="38430" spans="1:1" ht="12.75">
      <c r="A38430" s="2" t="s">
        <v>169</v>
      </c>
    </row>
    <row r="38431" spans="1:1" ht="12.75">
      <c r="A38431" s="2" t="s">
        <v>160</v>
      </c>
    </row>
    <row r="38433" spans="1:1" ht="12.75">
      <c r="A38433" s="2" t="s">
        <v>160</v>
      </c>
    </row>
    <row r="38434" spans="1:1" ht="12.75">
      <c r="A38434" s="2" t="s">
        <v>169</v>
      </c>
    </row>
    <row r="38435" spans="1:1" ht="12.75">
      <c r="A38435" s="2" t="s">
        <v>160</v>
      </c>
    </row>
    <row r="38437" spans="1:1" ht="12.75">
      <c r="A38437" s="2" t="s">
        <v>176</v>
      </c>
    </row>
    <row r="38439" spans="1:1" ht="12.75">
      <c r="A38439" s="2" t="s">
        <v>735</v>
      </c>
    </row>
    <row r="38440" spans="1:1" ht="12.75">
      <c r="A38440" s="2" t="s">
        <v>169</v>
      </c>
    </row>
    <row r="38441" spans="1:1" ht="12.75">
      <c r="A38441" s="2" t="s">
        <v>1242</v>
      </c>
    </row>
    <row r="38442" spans="1:1" ht="12.75">
      <c r="A38442" s="2" t="s">
        <v>1223</v>
      </c>
    </row>
    <row r="38443" spans="1:1" ht="12.75">
      <c r="A38443" s="2" t="s">
        <v>1223</v>
      </c>
    </row>
    <row r="38444" spans="1:1" ht="12.75">
      <c r="A38444" s="2" t="s">
        <v>176</v>
      </c>
    </row>
    <row r="38445" spans="1:1" ht="12.75">
      <c r="A38445" s="2" t="s">
        <v>177</v>
      </c>
    </row>
    <row r="38446" spans="1:1" ht="12.75">
      <c r="A38446" s="2" t="s">
        <v>171</v>
      </c>
    </row>
    <row r="38447" spans="1:1" ht="12.75">
      <c r="A38447" s="2" t="s">
        <v>174</v>
      </c>
    </row>
    <row r="38448" spans="1:1" ht="12.75">
      <c r="A38448" s="2" t="s">
        <v>189</v>
      </c>
    </row>
    <row r="38449" spans="1:1" ht="12.75">
      <c r="A38449" s="2" t="s">
        <v>174</v>
      </c>
    </row>
    <row r="38451" spans="1:1" ht="12.75">
      <c r="A38451" s="2" t="s">
        <v>185</v>
      </c>
    </row>
    <row r="38453" spans="1:1" ht="12.75">
      <c r="A38453" s="2" t="s">
        <v>185</v>
      </c>
    </row>
    <row r="38454" spans="1:1" ht="12.75">
      <c r="A38454" s="2" t="s">
        <v>176</v>
      </c>
    </row>
    <row r="38455" spans="1:1" ht="12.75">
      <c r="A38455" s="2" t="s">
        <v>185</v>
      </c>
    </row>
    <row r="38456" spans="1:1" ht="12.75">
      <c r="A38456" s="2" t="s">
        <v>176</v>
      </c>
    </row>
    <row r="38458" spans="1:1" ht="12.75">
      <c r="A38458" s="2" t="s">
        <v>162</v>
      </c>
    </row>
    <row r="38459" spans="1:1" ht="12.75">
      <c r="A38459" s="2" t="s">
        <v>179</v>
      </c>
    </row>
    <row r="38460" spans="1:1" ht="12.75">
      <c r="A38460" s="2" t="s">
        <v>162</v>
      </c>
    </row>
    <row r="38461" spans="1:1" ht="12.75">
      <c r="A38461" s="2" t="s">
        <v>179</v>
      </c>
    </row>
    <row r="38462" spans="1:1" ht="12.75">
      <c r="A38462" s="2" t="s">
        <v>162</v>
      </c>
    </row>
    <row r="38463" spans="1:1" ht="12.75">
      <c r="A38463" s="2" t="s">
        <v>179</v>
      </c>
    </row>
    <row r="38464" spans="1:1" ht="12.75">
      <c r="A38464" s="2" t="s">
        <v>735</v>
      </c>
    </row>
    <row r="38465" spans="1:1" ht="12.75">
      <c r="A38465" s="2" t="s">
        <v>183</v>
      </c>
    </row>
    <row r="38466" spans="1:1" ht="12.75">
      <c r="A38466" s="2" t="s">
        <v>735</v>
      </c>
    </row>
    <row r="38467" spans="1:1" ht="12.75">
      <c r="A38467" s="2" t="s">
        <v>184</v>
      </c>
    </row>
    <row r="38468" spans="1:1" ht="12.75">
      <c r="A38468" s="2" t="s">
        <v>177</v>
      </c>
    </row>
    <row r="38469" spans="1:1" ht="12.75">
      <c r="A38469" s="2" t="s">
        <v>184</v>
      </c>
    </row>
    <row r="38470" spans="1:1" ht="12.75">
      <c r="A38470" s="2" t="s">
        <v>1340</v>
      </c>
    </row>
    <row r="38471" spans="1:1" ht="12.75">
      <c r="A38471" s="2" t="s">
        <v>183</v>
      </c>
    </row>
    <row r="38472" spans="1:1" ht="12.75">
      <c r="A38472" s="2" t="s">
        <v>172</v>
      </c>
    </row>
    <row r="38473" spans="1:1" ht="12.75">
      <c r="A38473" s="2" t="s">
        <v>183</v>
      </c>
    </row>
    <row r="38474" spans="1:1" ht="12.75">
      <c r="A38474" s="2" t="s">
        <v>172</v>
      </c>
    </row>
    <row r="38475" spans="1:1" ht="12.75">
      <c r="A38475" s="2" t="s">
        <v>168</v>
      </c>
    </row>
    <row r="38476" spans="1:1" ht="12.75">
      <c r="A38476" s="2" t="s">
        <v>177</v>
      </c>
    </row>
    <row r="38477" spans="1:1" ht="12.75">
      <c r="A38477" s="2" t="s">
        <v>172</v>
      </c>
    </row>
    <row r="38478" spans="1:1" ht="12.75">
      <c r="A38478" s="2" t="s">
        <v>168</v>
      </c>
    </row>
    <row r="38479" spans="1:1" ht="12.75">
      <c r="A38479" s="2" t="s">
        <v>177</v>
      </c>
    </row>
    <row r="38480" spans="1:1" ht="12.75">
      <c r="A38480" s="2" t="s">
        <v>733</v>
      </c>
    </row>
    <row r="38481" spans="1:1" ht="12.75">
      <c r="A38481" s="2" t="s">
        <v>177</v>
      </c>
    </row>
    <row r="38482" spans="1:1" ht="12.75">
      <c r="A38482" s="2" t="s">
        <v>733</v>
      </c>
    </row>
    <row r="38483" spans="1:1" ht="12.75">
      <c r="A38483" s="2" t="s">
        <v>733</v>
      </c>
    </row>
    <row r="38484" spans="1:1" ht="12.75">
      <c r="A38484" s="2" t="s">
        <v>165</v>
      </c>
    </row>
    <row r="38485" spans="1:1" ht="12.75">
      <c r="A38485" s="2" t="s">
        <v>733</v>
      </c>
    </row>
    <row r="38486" spans="1:1" ht="12.75">
      <c r="A38486" s="2" t="s">
        <v>165</v>
      </c>
    </row>
    <row r="38487" spans="1:1" ht="12.75">
      <c r="A38487" s="2" t="s">
        <v>169</v>
      </c>
    </row>
    <row r="38488" spans="1:1" ht="12.75">
      <c r="A38488" s="2" t="s">
        <v>169</v>
      </c>
    </row>
    <row r="38489" spans="1:1" ht="12.75">
      <c r="A38489" s="2" t="s">
        <v>160</v>
      </c>
    </row>
    <row r="38490" spans="1:1" ht="12.75">
      <c r="A38490" s="2" t="s">
        <v>169</v>
      </c>
    </row>
    <row r="38491" spans="1:1" ht="12.75">
      <c r="A38491" s="2" t="s">
        <v>184</v>
      </c>
    </row>
    <row r="38492" spans="1:1" ht="12.75">
      <c r="A38492" s="2" t="s">
        <v>161</v>
      </c>
    </row>
    <row r="38495" spans="1:1" ht="12.75">
      <c r="A38495" s="2" t="s">
        <v>160</v>
      </c>
    </row>
    <row r="38496" spans="1:1" ht="12.75">
      <c r="A38496" s="2" t="s">
        <v>193</v>
      </c>
    </row>
    <row r="38497" spans="1:1" ht="12.75">
      <c r="A38497" s="2" t="s">
        <v>160</v>
      </c>
    </row>
    <row r="38498" spans="1:1" ht="12.75">
      <c r="A38498" s="2" t="s">
        <v>193</v>
      </c>
    </row>
    <row r="38499" spans="1:1" ht="12.75">
      <c r="A38499" s="2" t="s">
        <v>160</v>
      </c>
    </row>
    <row r="38500" spans="1:1" ht="12.75">
      <c r="A38500" s="2" t="s">
        <v>193</v>
      </c>
    </row>
    <row r="38501" spans="1:1" ht="12.75">
      <c r="A38501" s="2" t="s">
        <v>165</v>
      </c>
    </row>
    <row r="38502" spans="1:1" ht="12.75">
      <c r="A38502" s="2" t="s">
        <v>1341</v>
      </c>
    </row>
    <row r="38503" spans="1:1" ht="12.75">
      <c r="A38503" s="2" t="s">
        <v>165</v>
      </c>
    </row>
    <row r="38504" spans="1:1" ht="12.75">
      <c r="A38504" s="2" t="s">
        <v>167</v>
      </c>
    </row>
    <row r="38505" spans="1:1" ht="12.75">
      <c r="A38505" s="2" t="s">
        <v>161</v>
      </c>
    </row>
    <row r="38506" spans="1:1" ht="12.75">
      <c r="A38506" s="2" t="s">
        <v>165</v>
      </c>
    </row>
    <row r="38507" spans="1:1" ht="12.75">
      <c r="A38507" s="2" t="s">
        <v>177</v>
      </c>
    </row>
    <row r="38508" spans="1:1" ht="12.75">
      <c r="A38508" s="2" t="s">
        <v>177</v>
      </c>
    </row>
    <row r="38509" spans="1:1" ht="12.75">
      <c r="A38509" s="2" t="s">
        <v>167</v>
      </c>
    </row>
    <row r="38510" spans="1:1" ht="12.75">
      <c r="A38510" s="2" t="s">
        <v>177</v>
      </c>
    </row>
    <row r="38511" spans="1:1" ht="12.75">
      <c r="A38511" s="2" t="s">
        <v>168</v>
      </c>
    </row>
    <row r="38512" spans="1:1" ht="12.75">
      <c r="A38512" s="2" t="s">
        <v>172</v>
      </c>
    </row>
    <row r="38513" spans="1:1" ht="12.75">
      <c r="A38513" s="2" t="s">
        <v>168</v>
      </c>
    </row>
    <row r="38514" spans="1:1" ht="12.75">
      <c r="A38514" s="2" t="s">
        <v>172</v>
      </c>
    </row>
    <row r="38515" spans="1:1" ht="12.75">
      <c r="A38515" s="2" t="s">
        <v>179</v>
      </c>
    </row>
    <row r="38517" spans="1:1" ht="12.75">
      <c r="A38517" s="2" t="s">
        <v>183</v>
      </c>
    </row>
    <row r="38519" spans="1:1" ht="12.75">
      <c r="A38519" s="2" t="s">
        <v>183</v>
      </c>
    </row>
    <row r="38520" spans="1:1" ht="12.75">
      <c r="A38520" s="2" t="s">
        <v>179</v>
      </c>
    </row>
    <row r="38522" spans="1:1" ht="12.75">
      <c r="A38522" s="2" t="s">
        <v>179</v>
      </c>
    </row>
    <row r="38523" spans="1:1" ht="12.75">
      <c r="A38523" s="2" t="s">
        <v>169</v>
      </c>
    </row>
    <row r="38524" spans="1:1" ht="12.75">
      <c r="A38524" s="2" t="s">
        <v>162</v>
      </c>
    </row>
    <row r="38525" spans="1:1" ht="12.75">
      <c r="A38525" s="2" t="s">
        <v>181</v>
      </c>
    </row>
    <row r="38526" spans="1:1" ht="12.75">
      <c r="A38526" s="2" t="s">
        <v>162</v>
      </c>
    </row>
    <row r="38527" spans="1:1" ht="12.75">
      <c r="A38527" s="2" t="s">
        <v>161</v>
      </c>
    </row>
    <row r="38528" spans="1:1" ht="12.75">
      <c r="A38528" s="2" t="s">
        <v>223</v>
      </c>
    </row>
    <row r="38529" spans="1:1" ht="12.75">
      <c r="A38529" s="2" t="s">
        <v>196</v>
      </c>
    </row>
    <row r="38530" spans="1:1" ht="12.75">
      <c r="A38530" s="2" t="s">
        <v>173</v>
      </c>
    </row>
    <row r="38531" spans="1:1" ht="12.75">
      <c r="A38531" s="2" t="s">
        <v>163</v>
      </c>
    </row>
    <row r="38532" spans="1:1" ht="12.75">
      <c r="A38532" s="2" t="s">
        <v>173</v>
      </c>
    </row>
    <row r="38533" spans="1:1" ht="12.75">
      <c r="A38533" s="2" t="s">
        <v>163</v>
      </c>
    </row>
    <row r="38534" spans="1:1" ht="12.75">
      <c r="A38534" s="2" t="s">
        <v>173</v>
      </c>
    </row>
    <row r="38535" spans="1:1" ht="12.75">
      <c r="A38535" s="2" t="s">
        <v>163</v>
      </c>
    </row>
    <row r="38536" spans="1:1" ht="12.75">
      <c r="A38536" s="2" t="s">
        <v>161</v>
      </c>
    </row>
    <row r="38537" spans="1:1" ht="12.75">
      <c r="A38537" s="2" t="s">
        <v>161</v>
      </c>
    </row>
    <row r="38538" spans="1:1" ht="12.75">
      <c r="A38538" s="2" t="s">
        <v>172</v>
      </c>
    </row>
    <row r="38539" spans="1:1" ht="12.75">
      <c r="A38539" s="2" t="s">
        <v>171</v>
      </c>
    </row>
    <row r="38540" spans="1:1" ht="12.75">
      <c r="A38540" s="2" t="s">
        <v>172</v>
      </c>
    </row>
    <row r="38541" spans="1:1" ht="12.75">
      <c r="A38541" s="2" t="s">
        <v>178</v>
      </c>
    </row>
    <row r="38542" spans="1:1" ht="12.75">
      <c r="A38542" s="2" t="s">
        <v>172</v>
      </c>
    </row>
    <row r="38543" spans="1:1" ht="12.75">
      <c r="A38543" s="2" t="s">
        <v>161</v>
      </c>
    </row>
    <row r="38544" spans="1:1" ht="12.75">
      <c r="A38544" s="2" t="s">
        <v>1224</v>
      </c>
    </row>
    <row r="38545" spans="1:1" ht="12.75">
      <c r="A38545" s="2" t="s">
        <v>173</v>
      </c>
    </row>
    <row r="38546" spans="1:1" ht="12.75">
      <c r="A38546" s="2" t="s">
        <v>194</v>
      </c>
    </row>
    <row r="38547" spans="1:1" ht="12.75">
      <c r="A38547" s="2" t="s">
        <v>173</v>
      </c>
    </row>
    <row r="38548" spans="1:1" ht="12.75">
      <c r="A38548" s="2" t="s">
        <v>175</v>
      </c>
    </row>
    <row r="38550" spans="1:1" ht="12.75">
      <c r="A38550" s="2" t="s">
        <v>175</v>
      </c>
    </row>
    <row r="38551" spans="1:1" ht="12.75">
      <c r="A38551" s="2" t="s">
        <v>162</v>
      </c>
    </row>
    <row r="38552" spans="1:1" ht="12.75">
      <c r="A38552" s="2" t="s">
        <v>176</v>
      </c>
    </row>
    <row r="38553" spans="1:1" ht="12.75">
      <c r="A38553" s="2" t="s">
        <v>162</v>
      </c>
    </row>
    <row r="38554" spans="1:1" ht="12.75">
      <c r="A38554" s="2" t="s">
        <v>179</v>
      </c>
    </row>
    <row r="38555" spans="1:1" ht="12.75">
      <c r="A38555" s="2" t="s">
        <v>163</v>
      </c>
    </row>
    <row r="38556" spans="1:1" ht="12.75">
      <c r="A38556" s="2" t="s">
        <v>196</v>
      </c>
    </row>
    <row r="38557" spans="1:1" ht="12.75">
      <c r="A38557" s="2" t="s">
        <v>163</v>
      </c>
    </row>
    <row r="38558" spans="1:1" ht="12.75">
      <c r="A38558" s="2" t="s">
        <v>182</v>
      </c>
    </row>
    <row r="38559" spans="1:1" ht="12.75">
      <c r="A38559" s="2" t="s">
        <v>184</v>
      </c>
    </row>
    <row r="38560" spans="1:1" ht="12.75">
      <c r="A38560" s="2" t="s">
        <v>183</v>
      </c>
    </row>
    <row r="38561" spans="1:1" ht="12.75">
      <c r="A38561" s="2" t="s">
        <v>184</v>
      </c>
    </row>
    <row r="38562" spans="1:1" ht="12.75">
      <c r="A38562" s="2" t="s">
        <v>183</v>
      </c>
    </row>
    <row r="38563" spans="1:1" ht="12.75">
      <c r="A38563" s="2" t="s">
        <v>176</v>
      </c>
    </row>
    <row r="38564" spans="1:1" ht="12.75">
      <c r="A38564" s="2" t="s">
        <v>223</v>
      </c>
    </row>
    <row r="38565" spans="1:1" ht="12.75">
      <c r="A38565" s="2" t="s">
        <v>176</v>
      </c>
    </row>
    <row r="38566" spans="1:1" ht="12.75">
      <c r="A38566" s="2" t="s">
        <v>184</v>
      </c>
    </row>
    <row r="38567" spans="1:1" ht="12.75">
      <c r="A38567" s="2" t="s">
        <v>177</v>
      </c>
    </row>
    <row r="38568" spans="1:1" ht="12.75">
      <c r="A38568" s="2" t="s">
        <v>223</v>
      </c>
    </row>
    <row r="38569" spans="1:1" ht="12.75">
      <c r="A38569" s="2" t="s">
        <v>172</v>
      </c>
    </row>
    <row r="38570" spans="1:1" ht="12.75">
      <c r="A38570" s="2" t="s">
        <v>177</v>
      </c>
    </row>
    <row r="38671" spans="1:1" ht="12.75">
      <c r="A38671" s="2" t="s">
        <v>361</v>
      </c>
    </row>
    <row r="38672" spans="1:1" ht="12.75">
      <c r="A38672" s="2" t="s">
        <v>1342</v>
      </c>
    </row>
    <row r="38673" spans="1:1" ht="12.75">
      <c r="A38673" s="2" t="s">
        <v>361</v>
      </c>
    </row>
    <row r="38674" spans="1:1" ht="12.75">
      <c r="A38674" s="2" t="s">
        <v>361</v>
      </c>
    </row>
    <row r="38675" spans="1:1" ht="12.75">
      <c r="A38675" s="2" t="s">
        <v>361</v>
      </c>
    </row>
    <row r="38676" spans="1:1" ht="12.75">
      <c r="A38676" s="2" t="s">
        <v>361</v>
      </c>
    </row>
    <row r="38677" spans="1:1" ht="12.75">
      <c r="A38677" s="2" t="s">
        <v>361</v>
      </c>
    </row>
    <row r="38678" spans="1:1" ht="12.75">
      <c r="A38678" s="2" t="s">
        <v>361</v>
      </c>
    </row>
    <row r="38679" spans="1:1" ht="12.75">
      <c r="A38679" s="2" t="s">
        <v>361</v>
      </c>
    </row>
    <row r="38680" spans="1:1" ht="12.75">
      <c r="A38680" s="2" t="s">
        <v>361</v>
      </c>
    </row>
    <row r="38682" spans="1:1" ht="12.75">
      <c r="A38682" s="2" t="s">
        <v>1343</v>
      </c>
    </row>
    <row r="38683" spans="1:1" ht="12.75">
      <c r="A38683" s="2" t="s">
        <v>1344</v>
      </c>
    </row>
    <row r="38684" spans="1:1" ht="12.75">
      <c r="A38684" s="2" t="s">
        <v>931</v>
      </c>
    </row>
    <row r="38685" spans="1:1" ht="12.75">
      <c r="A38685" s="2" t="s">
        <v>1345</v>
      </c>
    </row>
    <row r="38686" spans="1:1" ht="12.75">
      <c r="A38686" s="2" t="s">
        <v>806</v>
      </c>
    </row>
    <row r="38687" spans="1:1" ht="12.75">
      <c r="A38687" s="2" t="s">
        <v>806</v>
      </c>
    </row>
    <row r="38688" spans="1:1" ht="12.75">
      <c r="A38688" s="2" t="s">
        <v>806</v>
      </c>
    </row>
    <row r="38689" spans="1:1" ht="12.75">
      <c r="A38689" s="2" t="s">
        <v>806</v>
      </c>
    </row>
    <row r="38690" spans="1:1" ht="12.75">
      <c r="A38690" s="2" t="s">
        <v>806</v>
      </c>
    </row>
    <row r="38692" spans="1:1" ht="12.75">
      <c r="A38692" s="2" t="s">
        <v>1346</v>
      </c>
    </row>
    <row r="38693" spans="1:1" ht="12.75">
      <c r="A38693" s="2" t="s">
        <v>1347</v>
      </c>
    </row>
    <row r="38695" spans="1:1" ht="12.75">
      <c r="A38695" s="2" t="s">
        <v>1348</v>
      </c>
    </row>
    <row r="38697" spans="1:1" ht="12.75">
      <c r="A38697" s="2" t="s">
        <v>362</v>
      </c>
    </row>
    <row r="38699" spans="1:1" ht="12.75">
      <c r="A38699" s="2" t="s">
        <v>362</v>
      </c>
    </row>
    <row r="38700" spans="1:1" ht="12.75">
      <c r="A38700" s="2" t="s">
        <v>362</v>
      </c>
    </row>
    <row r="38701" spans="1:1" ht="12.75">
      <c r="A38701" s="2" t="s">
        <v>362</v>
      </c>
    </row>
    <row r="38703" spans="1:1" ht="12.75">
      <c r="A38703" s="2" t="s">
        <v>1018</v>
      </c>
    </row>
    <row r="38708" spans="1:1" ht="12.75">
      <c r="A38708" s="2" t="s">
        <v>339</v>
      </c>
    </row>
    <row r="38709" spans="1:1" ht="12.75">
      <c r="A38709" s="2" t="s">
        <v>905</v>
      </c>
    </row>
    <row r="38710" spans="1:1" ht="12.75">
      <c r="A38710" s="2" t="s">
        <v>905</v>
      </c>
    </row>
    <row r="38711" spans="1:1" ht="12.75">
      <c r="A38711" s="2" t="s">
        <v>229</v>
      </c>
    </row>
    <row r="38712" spans="1:1" ht="12.75">
      <c r="A38712" s="2" t="s">
        <v>229</v>
      </c>
    </row>
    <row r="38713" spans="1:1" ht="12.75">
      <c r="A38713" s="2" t="s">
        <v>229</v>
      </c>
    </row>
    <row r="38715" spans="1:1" ht="12.75">
      <c r="A38715" s="2" t="s">
        <v>229</v>
      </c>
    </row>
    <row r="38716" spans="1:1" ht="12.75">
      <c r="A38716" s="2" t="s">
        <v>229</v>
      </c>
    </row>
    <row r="38717" spans="1:1" ht="12.75">
      <c r="A38717" s="2" t="s">
        <v>332</v>
      </c>
    </row>
    <row r="38718" spans="1:1" ht="12.75">
      <c r="A38718" s="2" t="s">
        <v>332</v>
      </c>
    </row>
    <row r="38719" spans="1:1" ht="12.75">
      <c r="A38719" s="2" t="s">
        <v>332</v>
      </c>
    </row>
    <row r="38720" spans="1:1" ht="12.75">
      <c r="A38720" s="2" t="s">
        <v>332</v>
      </c>
    </row>
    <row r="38721" spans="1:1" ht="12.75">
      <c r="A38721" s="2" t="s">
        <v>332</v>
      </c>
    </row>
    <row r="38722" spans="1:1" ht="12.75">
      <c r="A38722" s="2" t="s">
        <v>332</v>
      </c>
    </row>
    <row r="38723" spans="1:1" ht="12.75">
      <c r="A38723" s="2" t="s">
        <v>332</v>
      </c>
    </row>
    <row r="38724" spans="1:1" ht="12.75">
      <c r="A38724" s="2" t="s">
        <v>332</v>
      </c>
    </row>
    <row r="38725" spans="1:1" ht="12.75">
      <c r="A38725" s="2" t="s">
        <v>332</v>
      </c>
    </row>
    <row r="38726" spans="1:1" ht="12.75">
      <c r="A38726" s="2" t="s">
        <v>332</v>
      </c>
    </row>
    <row r="38727" spans="1:1" ht="12.75">
      <c r="A38727" s="2" t="s">
        <v>332</v>
      </c>
    </row>
    <row r="38728" spans="1:1" ht="12.75">
      <c r="A38728" s="2" t="s">
        <v>332</v>
      </c>
    </row>
    <row r="38729" spans="1:1" ht="12.75">
      <c r="A38729" s="2" t="s">
        <v>332</v>
      </c>
    </row>
    <row r="38730" spans="1:1" ht="12.75">
      <c r="A38730" s="2" t="s">
        <v>332</v>
      </c>
    </row>
    <row r="38731" spans="1:1" ht="12.75">
      <c r="A38731" s="2" t="s">
        <v>332</v>
      </c>
    </row>
    <row r="38732" spans="1:1" ht="12.75">
      <c r="A38732" s="2" t="s">
        <v>332</v>
      </c>
    </row>
    <row r="38733" spans="1:1" ht="12.75">
      <c r="A38733" s="2" t="s">
        <v>332</v>
      </c>
    </row>
    <row r="38734" spans="1:1" ht="12.75">
      <c r="A38734" s="2" t="s">
        <v>332</v>
      </c>
    </row>
    <row r="38735" spans="1:1" ht="12.75">
      <c r="A38735" s="2" t="s">
        <v>332</v>
      </c>
    </row>
    <row r="38736" spans="1:1" ht="12.75">
      <c r="A38736" s="2" t="s">
        <v>332</v>
      </c>
    </row>
    <row r="38737" spans="1:1" ht="12.75">
      <c r="A38737" s="2" t="s">
        <v>332</v>
      </c>
    </row>
    <row r="38738" spans="1:1" ht="12.75">
      <c r="A38738" s="2" t="s">
        <v>332</v>
      </c>
    </row>
    <row r="38739" spans="1:1" ht="12.75">
      <c r="A38739" s="2" t="s">
        <v>332</v>
      </c>
    </row>
    <row r="38740" spans="1:1" ht="12.75">
      <c r="A38740" s="2" t="s">
        <v>332</v>
      </c>
    </row>
    <row r="38741" spans="1:1" ht="12.75">
      <c r="A38741" s="2" t="s">
        <v>332</v>
      </c>
    </row>
    <row r="38742" spans="1:1" ht="12.75">
      <c r="A38742" s="2" t="s">
        <v>331</v>
      </c>
    </row>
    <row r="38743" spans="1:1" ht="12.75">
      <c r="A38743" s="2" t="s">
        <v>332</v>
      </c>
    </row>
    <row r="38744" spans="1:1" ht="12.75">
      <c r="A38744" s="2" t="s">
        <v>332</v>
      </c>
    </row>
    <row r="38745" spans="1:1" ht="12.75">
      <c r="A38745" s="2" t="s">
        <v>332</v>
      </c>
    </row>
    <row r="38746" spans="1:1" ht="12.75">
      <c r="A38746" s="2" t="s">
        <v>332</v>
      </c>
    </row>
    <row r="38747" spans="1:1" ht="12.75">
      <c r="A38747" s="2" t="s">
        <v>332</v>
      </c>
    </row>
    <row r="38748" spans="1:1" ht="12.75">
      <c r="A38748" s="2" t="s">
        <v>331</v>
      </c>
    </row>
    <row r="38749" spans="1:1" ht="12.75">
      <c r="A38749" s="2" t="s">
        <v>332</v>
      </c>
    </row>
    <row r="38750" spans="1:1" ht="12.75">
      <c r="A38750" s="2" t="s">
        <v>331</v>
      </c>
    </row>
    <row r="38751" spans="1:1" ht="12.75">
      <c r="A38751" s="2" t="s">
        <v>332</v>
      </c>
    </row>
    <row r="38752" spans="1:1" ht="12.75">
      <c r="A38752" s="2" t="s">
        <v>332</v>
      </c>
    </row>
    <row r="38753" spans="1:1" ht="12.75">
      <c r="A38753" s="2" t="s">
        <v>332</v>
      </c>
    </row>
    <row r="38754" spans="1:1" ht="12.75">
      <c r="A38754" s="2" t="s">
        <v>331</v>
      </c>
    </row>
    <row r="38755" spans="1:1" ht="12.75">
      <c r="A38755" s="2" t="s">
        <v>331</v>
      </c>
    </row>
    <row r="38756" spans="1:1" ht="12.75">
      <c r="A38756" s="2" t="s">
        <v>1349</v>
      </c>
    </row>
    <row r="38757" spans="1:1" ht="12.75">
      <c r="A38757" s="2" t="s">
        <v>331</v>
      </c>
    </row>
    <row r="38758" spans="1:1" ht="12.75">
      <c r="A38758" s="2" t="s">
        <v>331</v>
      </c>
    </row>
    <row r="38759" spans="1:1" ht="12.75">
      <c r="A38759" s="2" t="s">
        <v>331</v>
      </c>
    </row>
    <row r="38760" spans="1:1" ht="12.75">
      <c r="A38760" s="2" t="s">
        <v>331</v>
      </c>
    </row>
    <row r="38761" spans="1:1" ht="12.75">
      <c r="A38761" s="2" t="s">
        <v>331</v>
      </c>
    </row>
    <row r="38762" spans="1:1" ht="12.75">
      <c r="A38762" s="2" t="s">
        <v>331</v>
      </c>
    </row>
    <row r="38763" spans="1:1" ht="12.75">
      <c r="A38763" s="2" t="s">
        <v>331</v>
      </c>
    </row>
    <row r="38764" spans="1:1" ht="12.75">
      <c r="A38764" s="2" t="s">
        <v>332</v>
      </c>
    </row>
    <row r="38765" spans="1:1" ht="12.75">
      <c r="A38765" s="2" t="s">
        <v>331</v>
      </c>
    </row>
    <row r="38766" spans="1:1" ht="12.75">
      <c r="A38766" s="2" t="s">
        <v>332</v>
      </c>
    </row>
    <row r="38767" spans="1:1" ht="12.75">
      <c r="A38767" s="2" t="s">
        <v>331</v>
      </c>
    </row>
    <row r="38768" spans="1:1" ht="12.75">
      <c r="A38768" s="2" t="s">
        <v>332</v>
      </c>
    </row>
    <row r="38769" spans="1:1" ht="12.75">
      <c r="A38769" s="2" t="s">
        <v>331</v>
      </c>
    </row>
    <row r="38770" spans="1:1" ht="12.75">
      <c r="A38770" s="2" t="s">
        <v>332</v>
      </c>
    </row>
    <row r="38771" spans="1:1" ht="12.75">
      <c r="A38771" s="2" t="s">
        <v>331</v>
      </c>
    </row>
    <row r="38772" spans="1:1" ht="12.75">
      <c r="A38772" s="2" t="s">
        <v>332</v>
      </c>
    </row>
    <row r="38773" spans="1:1" ht="12.75">
      <c r="A38773" s="2" t="s">
        <v>331</v>
      </c>
    </row>
    <row r="38774" spans="1:1" ht="12.75">
      <c r="A38774" s="2" t="s">
        <v>332</v>
      </c>
    </row>
    <row r="38776" spans="1:1" ht="12.75">
      <c r="A38776" s="2" t="s">
        <v>1100</v>
      </c>
    </row>
    <row r="38777" spans="1:1" ht="12.75">
      <c r="A38777" s="2" t="s">
        <v>1350</v>
      </c>
    </row>
    <row r="38778" spans="1:1" ht="12.75">
      <c r="A38778" s="2" t="s">
        <v>1350</v>
      </c>
    </row>
    <row r="38786" spans="1:1" ht="12.75">
      <c r="A38786" s="2" t="s">
        <v>588</v>
      </c>
    </row>
    <row r="38791" spans="1:1" ht="12.75">
      <c r="A38791" s="2" t="s">
        <v>290</v>
      </c>
    </row>
    <row r="38792" spans="1:1" ht="12.75">
      <c r="A38792" s="2" t="s">
        <v>293</v>
      </c>
    </row>
    <row r="38793" spans="1:1" ht="12.75">
      <c r="A38793" s="2" t="s">
        <v>762</v>
      </c>
    </row>
    <row r="38794" spans="1:1" ht="12.75">
      <c r="A38794" s="2" t="s">
        <v>762</v>
      </c>
    </row>
    <row r="38796" spans="1:1" ht="12.75">
      <c r="A38796" s="2" t="s">
        <v>242</v>
      </c>
    </row>
    <row r="38797" spans="1:1" ht="12.75">
      <c r="A38797" s="2" t="s">
        <v>242</v>
      </c>
    </row>
    <row r="38798" spans="1:1" ht="12.75">
      <c r="A38798" s="2" t="s">
        <v>242</v>
      </c>
    </row>
    <row r="38799" spans="1:1" ht="12.75">
      <c r="A38799" s="2" t="s">
        <v>242</v>
      </c>
    </row>
    <row r="38800" spans="1:1" ht="12.75">
      <c r="A38800" s="2" t="s">
        <v>242</v>
      </c>
    </row>
    <row r="38801" spans="1:1" ht="12.75">
      <c r="A38801" s="2" t="s">
        <v>290</v>
      </c>
    </row>
    <row r="38802" spans="1:1" ht="12.75">
      <c r="A38802" s="2" t="s">
        <v>290</v>
      </c>
    </row>
    <row r="38803" spans="1:1" ht="12.75">
      <c r="A38803" s="2" t="s">
        <v>296</v>
      </c>
    </row>
    <row r="38804" spans="1:1" ht="12.75">
      <c r="A38804" s="2" t="s">
        <v>290</v>
      </c>
    </row>
    <row r="38805" spans="1:1" ht="12.75">
      <c r="A38805" s="2" t="s">
        <v>762</v>
      </c>
    </row>
    <row r="38806" spans="1:1" ht="12.75">
      <c r="A38806" s="2" t="s">
        <v>762</v>
      </c>
    </row>
    <row r="38807" spans="1:1" ht="12.75">
      <c r="A38807" s="2" t="s">
        <v>289</v>
      </c>
    </row>
    <row r="38808" spans="1:1" ht="12.75">
      <c r="A38808" s="2" t="s">
        <v>293</v>
      </c>
    </row>
    <row r="38809" spans="1:1" ht="12.75">
      <c r="A38809" s="2" t="s">
        <v>290</v>
      </c>
    </row>
    <row r="38810" spans="1:1" ht="12.75">
      <c r="A38810" s="2" t="s">
        <v>289</v>
      </c>
    </row>
    <row r="38811" spans="1:1" ht="12.75">
      <c r="A38811" s="2" t="s">
        <v>291</v>
      </c>
    </row>
    <row r="38812" spans="1:1" ht="12.75">
      <c r="A38812" s="2" t="s">
        <v>296</v>
      </c>
    </row>
    <row r="38813" spans="1:1" ht="12.75">
      <c r="A38813" s="2" t="s">
        <v>293</v>
      </c>
    </row>
    <row r="38814" spans="1:1" ht="12.75">
      <c r="A38814" s="2" t="s">
        <v>298</v>
      </c>
    </row>
    <row r="38815" spans="1:1" ht="12.75">
      <c r="A38815" s="2" t="s">
        <v>298</v>
      </c>
    </row>
    <row r="38816" spans="1:1" ht="12.75">
      <c r="A38816" s="2" t="s">
        <v>289</v>
      </c>
    </row>
    <row r="38817" spans="1:1" ht="12.75">
      <c r="A38817" s="2" t="s">
        <v>289</v>
      </c>
    </row>
    <row r="38818" spans="1:1" ht="12.75">
      <c r="A38818" s="2" t="s">
        <v>289</v>
      </c>
    </row>
    <row r="38819" spans="1:1" ht="12.75">
      <c r="A38819" s="2" t="s">
        <v>292</v>
      </c>
    </row>
    <row r="38820" spans="1:1" ht="12.75">
      <c r="A38820" s="2" t="s">
        <v>292</v>
      </c>
    </row>
    <row r="38821" spans="1:1" ht="12.75">
      <c r="A38821" s="2" t="s">
        <v>289</v>
      </c>
    </row>
    <row r="38822" spans="1:1" ht="12.75">
      <c r="A38822" s="2" t="s">
        <v>297</v>
      </c>
    </row>
    <row r="38823" spans="1:1" ht="12.75">
      <c r="A38823" s="2" t="s">
        <v>290</v>
      </c>
    </row>
    <row r="38824" spans="1:1" ht="12.75">
      <c r="A38824" s="2" t="s">
        <v>289</v>
      </c>
    </row>
    <row r="38825" spans="1:1" ht="12.75">
      <c r="A38825" s="2" t="s">
        <v>289</v>
      </c>
    </row>
    <row r="38826" spans="1:1" ht="12.75">
      <c r="A38826" s="2" t="s">
        <v>289</v>
      </c>
    </row>
    <row r="38827" spans="1:1" ht="12.75">
      <c r="A38827" s="2" t="s">
        <v>296</v>
      </c>
    </row>
    <row r="38828" spans="1:1" ht="12.75">
      <c r="A38828" s="2" t="s">
        <v>296</v>
      </c>
    </row>
    <row r="38829" spans="1:1" ht="12.75">
      <c r="A38829" s="2" t="s">
        <v>292</v>
      </c>
    </row>
    <row r="38830" spans="1:1" ht="12.75">
      <c r="A38830" s="2" t="s">
        <v>291</v>
      </c>
    </row>
    <row r="38831" spans="1:1" ht="12.75">
      <c r="A38831" s="2" t="s">
        <v>296</v>
      </c>
    </row>
    <row r="38832" spans="1:1" ht="12.75">
      <c r="A38832" s="2" t="s">
        <v>290</v>
      </c>
    </row>
    <row r="38833" spans="1:1" ht="12.75">
      <c r="A38833" s="2" t="s">
        <v>298</v>
      </c>
    </row>
    <row r="38834" spans="1:1" ht="12.75">
      <c r="A38834" s="2" t="s">
        <v>298</v>
      </c>
    </row>
    <row r="38835" spans="1:1" ht="12.75">
      <c r="A38835" s="2" t="s">
        <v>297</v>
      </c>
    </row>
    <row r="38836" spans="1:1" ht="12.75">
      <c r="A38836" s="2" t="s">
        <v>288</v>
      </c>
    </row>
    <row r="38837" spans="1:1" ht="12.75">
      <c r="A38837" s="2" t="s">
        <v>288</v>
      </c>
    </row>
    <row r="38838" spans="1:1" ht="12.75">
      <c r="A38838" s="2" t="s">
        <v>292</v>
      </c>
    </row>
    <row r="38839" spans="1:1" ht="12.75">
      <c r="A38839" s="2" t="s">
        <v>293</v>
      </c>
    </row>
    <row r="38840" spans="1:1" ht="12.75">
      <c r="A38840" s="2" t="s">
        <v>293</v>
      </c>
    </row>
    <row r="38841" spans="1:1" ht="12.75">
      <c r="A38841" s="2" t="s">
        <v>289</v>
      </c>
    </row>
    <row r="38842" spans="1:1" ht="12.75">
      <c r="A38842" s="2" t="s">
        <v>296</v>
      </c>
    </row>
    <row r="38846" spans="1:1" ht="12.75">
      <c r="A38846" s="2" t="s">
        <v>1014</v>
      </c>
    </row>
    <row r="38847" spans="1:1" ht="12.75">
      <c r="A38847" s="2" t="s">
        <v>1098</v>
      </c>
    </row>
    <row r="38848" spans="1:1" ht="12.75">
      <c r="A38848" s="2" t="s">
        <v>1014</v>
      </c>
    </row>
    <row r="38861" spans="1:1" ht="12.75">
      <c r="A38861" s="2" t="s">
        <v>290</v>
      </c>
    </row>
    <row r="38862" spans="1:1" ht="12.75">
      <c r="A38862" s="2" t="s">
        <v>298</v>
      </c>
    </row>
    <row r="38863" spans="1:1" ht="12.75">
      <c r="A38863" s="2" t="s">
        <v>290</v>
      </c>
    </row>
    <row r="38864" spans="1:1" ht="12.75">
      <c r="A38864" s="2" t="s">
        <v>290</v>
      </c>
    </row>
    <row r="38865" spans="1:1" ht="12.75">
      <c r="A38865" s="2" t="s">
        <v>289</v>
      </c>
    </row>
    <row r="38866" spans="1:1" ht="12.75">
      <c r="A38866" s="2" t="s">
        <v>289</v>
      </c>
    </row>
    <row r="38867" spans="1:1" ht="12.75">
      <c r="A38867" s="2" t="s">
        <v>291</v>
      </c>
    </row>
    <row r="38868" spans="1:1" ht="12.75">
      <c r="A38868" s="2" t="s">
        <v>291</v>
      </c>
    </row>
    <row r="38869" spans="1:1" ht="12.75">
      <c r="A38869" s="2" t="s">
        <v>292</v>
      </c>
    </row>
    <row r="38870" spans="1:1" ht="12.75">
      <c r="A38870" s="2" t="s">
        <v>292</v>
      </c>
    </row>
    <row r="38871" spans="1:1" ht="12.75">
      <c r="A38871" s="2" t="s">
        <v>289</v>
      </c>
    </row>
    <row r="38872" spans="1:1" ht="12.75">
      <c r="A38872" s="2" t="s">
        <v>293</v>
      </c>
    </row>
    <row r="38873" spans="1:1" ht="12.75">
      <c r="A38873" s="2" t="s">
        <v>293</v>
      </c>
    </row>
    <row r="38875" spans="1:1" ht="12.75">
      <c r="A38875" s="2" t="s">
        <v>291</v>
      </c>
    </row>
    <row r="38876" spans="1:1" ht="12.75">
      <c r="A38876" s="2" t="s">
        <v>291</v>
      </c>
    </row>
    <row r="38877" spans="1:1" ht="12.75">
      <c r="A38877" s="2" t="s">
        <v>289</v>
      </c>
    </row>
    <row r="38878" spans="1:1" ht="12.75">
      <c r="A38878" s="2" t="s">
        <v>289</v>
      </c>
    </row>
    <row r="38879" spans="1:1" ht="12.75">
      <c r="A38879" s="2" t="s">
        <v>290</v>
      </c>
    </row>
    <row r="38880" spans="1:1" ht="12.75">
      <c r="A38880" s="2" t="s">
        <v>291</v>
      </c>
    </row>
    <row r="38881" spans="1:1" ht="12.75">
      <c r="A38881" s="2" t="s">
        <v>290</v>
      </c>
    </row>
    <row r="38885" spans="1:1" ht="12.75">
      <c r="A38885" s="2" t="s">
        <v>299</v>
      </c>
    </row>
    <row r="38886" spans="1:1" ht="12.75">
      <c r="A38886" s="2" t="s">
        <v>292</v>
      </c>
    </row>
    <row r="38887" spans="1:1" ht="12.75">
      <c r="A38887" s="2" t="s">
        <v>217</v>
      </c>
    </row>
    <row r="38888" spans="1:1" ht="12.75">
      <c r="A38888" s="2" t="s">
        <v>217</v>
      </c>
    </row>
    <row r="38889" spans="1:1" ht="12.75">
      <c r="A38889" s="2" t="s">
        <v>393</v>
      </c>
    </row>
    <row r="38890" spans="1:1" ht="12.75">
      <c r="A38890" s="2" t="s">
        <v>762</v>
      </c>
    </row>
    <row r="38891" spans="1:1" ht="12.75">
      <c r="A38891" s="2" t="s">
        <v>299</v>
      </c>
    </row>
    <row r="38892" spans="1:1" ht="12.75">
      <c r="A38892" s="2" t="s">
        <v>292</v>
      </c>
    </row>
    <row r="38893" spans="1:1" ht="12.75">
      <c r="A38893" s="2" t="s">
        <v>292</v>
      </c>
    </row>
    <row r="38894" spans="1:1" ht="12.75">
      <c r="A38894" s="2" t="s">
        <v>299</v>
      </c>
    </row>
    <row r="38895" spans="1:1" ht="12.75">
      <c r="A38895" s="2" t="s">
        <v>299</v>
      </c>
    </row>
    <row r="38896" spans="1:1" ht="12.75">
      <c r="A38896" s="2" t="s">
        <v>291</v>
      </c>
    </row>
    <row r="38897" spans="1:1" ht="12.75">
      <c r="A38897" s="2" t="s">
        <v>298</v>
      </c>
    </row>
    <row r="38898" spans="1:1" ht="12.75">
      <c r="A38898" s="2" t="s">
        <v>292</v>
      </c>
    </row>
    <row r="38899" spans="1:1" ht="12.75">
      <c r="A38899" s="2" t="s">
        <v>288</v>
      </c>
    </row>
    <row r="38900" spans="1:1" ht="12.75">
      <c r="A38900" s="2" t="s">
        <v>762</v>
      </c>
    </row>
    <row r="38902" spans="1:1" ht="12.75">
      <c r="A38902" s="2" t="s">
        <v>288</v>
      </c>
    </row>
    <row r="38903" spans="1:1" ht="12.75">
      <c r="A38903" s="2" t="s">
        <v>288</v>
      </c>
    </row>
    <row r="38904" spans="1:1" ht="12.75">
      <c r="A38904" s="2" t="s">
        <v>297</v>
      </c>
    </row>
    <row r="38905" spans="1:1" ht="12.75">
      <c r="A38905" s="2" t="s">
        <v>288</v>
      </c>
    </row>
    <row r="38906" spans="1:1" ht="12.75">
      <c r="A38906" s="2" t="s">
        <v>290</v>
      </c>
    </row>
    <row r="38907" spans="1:1" ht="12.75">
      <c r="A38907" s="2" t="s">
        <v>290</v>
      </c>
    </row>
    <row r="38908" spans="1:1" ht="12.75">
      <c r="A38908" s="2" t="s">
        <v>296</v>
      </c>
    </row>
    <row r="38909" spans="1:1" ht="12.75">
      <c r="A38909" s="2" t="s">
        <v>296</v>
      </c>
    </row>
    <row r="38910" spans="1:1" ht="12.75">
      <c r="A38910" s="2" t="s">
        <v>296</v>
      </c>
    </row>
    <row r="38911" spans="1:1" ht="12.75">
      <c r="A38911" s="2" t="s">
        <v>296</v>
      </c>
    </row>
    <row r="38912" spans="1:1" ht="12.75">
      <c r="A38912" s="2" t="s">
        <v>289</v>
      </c>
    </row>
    <row r="38913" spans="1:1" ht="12.75">
      <c r="A38913" s="2" t="s">
        <v>289</v>
      </c>
    </row>
    <row r="38914" spans="1:1" ht="12.75">
      <c r="A38914" s="2" t="s">
        <v>299</v>
      </c>
    </row>
    <row r="38915" spans="1:1" ht="12.75">
      <c r="A38915" s="2" t="s">
        <v>291</v>
      </c>
    </row>
    <row r="38916" spans="1:1" ht="12.75">
      <c r="A38916" s="2" t="s">
        <v>959</v>
      </c>
    </row>
    <row r="38917" spans="1:1" ht="12.75">
      <c r="A38917" s="2" t="s">
        <v>959</v>
      </c>
    </row>
    <row r="38918" spans="1:1" ht="12.75">
      <c r="A38918" s="2" t="s">
        <v>297</v>
      </c>
    </row>
    <row r="38919" spans="1:1" ht="12.75">
      <c r="A38919" s="2" t="s">
        <v>299</v>
      </c>
    </row>
    <row r="38920" spans="1:1" ht="12.75">
      <c r="A38920" s="2" t="s">
        <v>290</v>
      </c>
    </row>
    <row r="38921" spans="1:1" ht="12.75">
      <c r="A38921" s="2" t="s">
        <v>291</v>
      </c>
    </row>
    <row r="38922" spans="1:1" ht="12.75">
      <c r="A38922" s="2" t="s">
        <v>291</v>
      </c>
    </row>
    <row r="38923" spans="1:1" ht="12.75">
      <c r="A38923" s="2" t="s">
        <v>762</v>
      </c>
    </row>
    <row r="38924" spans="1:1" ht="12.75">
      <c r="A38924" s="2" t="s">
        <v>762</v>
      </c>
    </row>
    <row r="38925" spans="1:1" ht="12.75">
      <c r="A38925" s="2" t="s">
        <v>298</v>
      </c>
    </row>
    <row r="38926" spans="1:1" ht="12.75">
      <c r="A38926" s="2" t="s">
        <v>297</v>
      </c>
    </row>
    <row r="38927" spans="1:1" ht="12.75">
      <c r="A38927" s="2" t="s">
        <v>296</v>
      </c>
    </row>
    <row r="38928" spans="1:1" ht="12.75">
      <c r="A38928" s="2" t="s">
        <v>296</v>
      </c>
    </row>
    <row r="38929" spans="1:1" ht="12.75">
      <c r="A38929" s="2" t="s">
        <v>296</v>
      </c>
    </row>
    <row r="38930" spans="1:1" ht="12.75">
      <c r="A38930" s="2" t="s">
        <v>296</v>
      </c>
    </row>
    <row r="38931" spans="1:1" ht="12.75">
      <c r="A38931" s="2" t="s">
        <v>762</v>
      </c>
    </row>
    <row r="38932" spans="1:1" ht="12.75">
      <c r="A38932" s="2" t="s">
        <v>292</v>
      </c>
    </row>
    <row r="38933" spans="1:1" ht="12.75">
      <c r="A38933" s="2" t="s">
        <v>292</v>
      </c>
    </row>
    <row r="38934" spans="1:1" ht="12.75">
      <c r="A38934" s="2" t="s">
        <v>292</v>
      </c>
    </row>
    <row r="38935" spans="1:1" ht="12.75">
      <c r="A38935" s="2" t="s">
        <v>297</v>
      </c>
    </row>
    <row r="38936" spans="1:1" ht="12.75">
      <c r="A38936" s="2" t="s">
        <v>298</v>
      </c>
    </row>
    <row r="38937" spans="1:1" ht="12.75">
      <c r="A38937" s="2" t="s">
        <v>298</v>
      </c>
    </row>
    <row r="38938" spans="1:1" ht="12.75">
      <c r="A38938" s="2" t="s">
        <v>292</v>
      </c>
    </row>
    <row r="38939" spans="1:1" ht="12.75">
      <c r="A38939" s="2" t="s">
        <v>292</v>
      </c>
    </row>
    <row r="38940" spans="1:1" ht="12.75">
      <c r="A38940" s="2" t="s">
        <v>959</v>
      </c>
    </row>
    <row r="38941" spans="1:1" ht="12.75">
      <c r="A38941" s="2" t="s">
        <v>959</v>
      </c>
    </row>
    <row r="38942" spans="1:1" ht="12.75">
      <c r="A38942" s="2" t="s">
        <v>289</v>
      </c>
    </row>
    <row r="38943" spans="1:1" ht="12.75">
      <c r="A38943" s="2" t="s">
        <v>289</v>
      </c>
    </row>
    <row r="38944" spans="1:1" ht="12.75">
      <c r="A38944" s="2" t="s">
        <v>289</v>
      </c>
    </row>
    <row r="38945" spans="1:1" ht="12.75">
      <c r="A38945" s="2" t="s">
        <v>289</v>
      </c>
    </row>
    <row r="38946" spans="1:1" ht="12.75">
      <c r="A38946" s="2" t="s">
        <v>298</v>
      </c>
    </row>
    <row r="38947" spans="1:1" ht="12.75">
      <c r="A38947" s="2" t="s">
        <v>298</v>
      </c>
    </row>
    <row r="38948" spans="1:1" ht="12.75">
      <c r="A38948" s="2" t="s">
        <v>292</v>
      </c>
    </row>
    <row r="38949" spans="1:1" ht="12.75">
      <c r="A38949" s="2" t="s">
        <v>291</v>
      </c>
    </row>
    <row r="38950" spans="1:1" ht="12.75">
      <c r="A38950" s="2" t="s">
        <v>293</v>
      </c>
    </row>
    <row r="38951" spans="1:1" ht="12.75">
      <c r="A38951" s="2" t="s">
        <v>298</v>
      </c>
    </row>
    <row r="38952" spans="1:1" ht="12.75">
      <c r="A38952" s="2" t="s">
        <v>291</v>
      </c>
    </row>
    <row r="38953" spans="1:1" ht="12.75">
      <c r="A38953" s="2" t="s">
        <v>291</v>
      </c>
    </row>
    <row r="38954" spans="1:1" ht="12.75">
      <c r="A38954" s="2" t="s">
        <v>694</v>
      </c>
    </row>
    <row r="38955" spans="1:1" ht="12.75">
      <c r="A38955" s="2" t="s">
        <v>694</v>
      </c>
    </row>
    <row r="38956" spans="1:1" ht="12.75">
      <c r="A38956" s="2" t="s">
        <v>1351</v>
      </c>
    </row>
    <row r="38957" spans="1:1" ht="12.75">
      <c r="A38957" s="2" t="s">
        <v>694</v>
      </c>
    </row>
    <row r="38958" spans="1:1" ht="12.75">
      <c r="A38958" s="2" t="s">
        <v>694</v>
      </c>
    </row>
    <row r="38959" spans="1:1" ht="12.75">
      <c r="A38959" s="2" t="s">
        <v>694</v>
      </c>
    </row>
    <row r="38960" spans="1:1" ht="12.75">
      <c r="A38960" s="2" t="s">
        <v>694</v>
      </c>
    </row>
    <row r="38961" spans="1:1" ht="12.75">
      <c r="A38961" s="2" t="s">
        <v>1352</v>
      </c>
    </row>
    <row r="38962" spans="1:1" ht="12.75">
      <c r="A38962" s="2" t="s">
        <v>694</v>
      </c>
    </row>
    <row r="38963" spans="1:1" ht="12.75">
      <c r="A38963" s="2" t="s">
        <v>694</v>
      </c>
    </row>
    <row r="38964" spans="1:1" ht="12.75">
      <c r="A38964" s="2" t="s">
        <v>750</v>
      </c>
    </row>
    <row r="38965" spans="1:1" ht="12.75">
      <c r="A38965" s="2" t="s">
        <v>750</v>
      </c>
    </row>
    <row r="38966" spans="1:1" ht="12.75">
      <c r="A38966" s="2" t="s">
        <v>750</v>
      </c>
    </row>
    <row r="38968" spans="1:1" ht="12.75">
      <c r="A38968" s="2" t="s">
        <v>750</v>
      </c>
    </row>
    <row r="38969" spans="1:1" ht="12.75">
      <c r="A38969" s="2" t="s">
        <v>750</v>
      </c>
    </row>
    <row r="38970" spans="1:1" ht="12.75">
      <c r="A38970" s="2" t="s">
        <v>750</v>
      </c>
    </row>
    <row r="38971" spans="1:1" ht="12.75">
      <c r="A38971" s="2" t="s">
        <v>750</v>
      </c>
    </row>
    <row r="38972" spans="1:1" ht="12.75">
      <c r="A38972" s="2" t="s">
        <v>750</v>
      </c>
    </row>
    <row r="38973" spans="1:1" ht="12.75">
      <c r="A38973" s="2" t="s">
        <v>750</v>
      </c>
    </row>
    <row r="38974" spans="1:1" ht="12.75">
      <c r="A38974" s="2" t="s">
        <v>1262</v>
      </c>
    </row>
    <row r="38975" spans="1:1" ht="12.75">
      <c r="A38975" s="2" t="s">
        <v>1262</v>
      </c>
    </row>
    <row r="38976" spans="1:1" ht="12.75">
      <c r="A38976" s="2" t="s">
        <v>1262</v>
      </c>
    </row>
    <row r="38977" spans="1:1" ht="12.75">
      <c r="A38977" s="2" t="s">
        <v>1262</v>
      </c>
    </row>
    <row r="38978" spans="1:1" ht="12.75">
      <c r="A38978" s="2" t="s">
        <v>1262</v>
      </c>
    </row>
    <row r="38979" spans="1:1" ht="12.75">
      <c r="A38979" s="2" t="s">
        <v>1262</v>
      </c>
    </row>
    <row r="38980" spans="1:1" ht="12.75">
      <c r="A38980" s="2" t="s">
        <v>1262</v>
      </c>
    </row>
    <row r="38981" spans="1:1" ht="12.75">
      <c r="A38981" s="2" t="s">
        <v>1262</v>
      </c>
    </row>
    <row r="38982" spans="1:1" ht="12.75">
      <c r="A38982" s="2" t="s">
        <v>1264</v>
      </c>
    </row>
    <row r="38983" spans="1:1" ht="12.75">
      <c r="A38983" s="2" t="s">
        <v>1262</v>
      </c>
    </row>
    <row r="38984" spans="1:1" ht="12.75">
      <c r="A38984" s="2" t="s">
        <v>1262</v>
      </c>
    </row>
    <row r="38985" spans="1:1" ht="12.75">
      <c r="A38985" s="2" t="s">
        <v>1262</v>
      </c>
    </row>
    <row r="38986" spans="1:1" ht="12.75">
      <c r="A38986" s="2" t="s">
        <v>1262</v>
      </c>
    </row>
    <row r="38987" spans="1:1" ht="12.75">
      <c r="A38987" s="2" t="s">
        <v>1262</v>
      </c>
    </row>
    <row r="38988" spans="1:1" ht="12.75">
      <c r="A38988" s="2" t="s">
        <v>1262</v>
      </c>
    </row>
    <row r="38989" spans="1:1" ht="12.75">
      <c r="A38989" s="2" t="s">
        <v>1262</v>
      </c>
    </row>
    <row r="38990" spans="1:1" ht="12.75">
      <c r="A38990" s="2" t="s">
        <v>1262</v>
      </c>
    </row>
    <row r="38991" spans="1:1" ht="12.75">
      <c r="A38991" s="2" t="s">
        <v>1262</v>
      </c>
    </row>
    <row r="38992" spans="1:1" ht="12.75">
      <c r="A38992" s="2" t="s">
        <v>757</v>
      </c>
    </row>
    <row r="38993" spans="1:1" ht="12.75">
      <c r="A38993" s="2" t="s">
        <v>757</v>
      </c>
    </row>
    <row r="38994" spans="1:1" ht="12.75">
      <c r="A38994" s="2" t="s">
        <v>1260</v>
      </c>
    </row>
    <row r="38995" spans="1:1" ht="12.75">
      <c r="A38995" s="2" t="s">
        <v>401</v>
      </c>
    </row>
    <row r="38996" spans="1:1" ht="12.75">
      <c r="A38996" s="2" t="s">
        <v>401</v>
      </c>
    </row>
    <row r="38997" spans="1:1" ht="12.75">
      <c r="A38997" s="2" t="s">
        <v>401</v>
      </c>
    </row>
    <row r="38998" spans="1:1" ht="12.75">
      <c r="A38998" s="2" t="s">
        <v>1010</v>
      </c>
    </row>
    <row r="38999" spans="1:1" ht="12.75">
      <c r="A38999" s="2" t="s">
        <v>284</v>
      </c>
    </row>
    <row r="39000" spans="1:1" ht="12.75">
      <c r="A39000" s="2" t="s">
        <v>1010</v>
      </c>
    </row>
    <row r="39001" spans="1:1" ht="12.75">
      <c r="A39001" s="2" t="s">
        <v>1010</v>
      </c>
    </row>
    <row r="39002" spans="1:1" ht="12.75">
      <c r="A39002" s="2" t="s">
        <v>757</v>
      </c>
    </row>
    <row r="39003" spans="1:1" ht="12.75">
      <c r="A39003" s="2" t="s">
        <v>757</v>
      </c>
    </row>
    <row r="39004" spans="1:1" ht="12.75">
      <c r="A39004" s="2" t="s">
        <v>757</v>
      </c>
    </row>
    <row r="39005" spans="1:1" ht="12.75">
      <c r="A39005" s="2" t="s">
        <v>757</v>
      </c>
    </row>
    <row r="39006" spans="1:1" ht="12.75">
      <c r="A39006" s="2" t="s">
        <v>401</v>
      </c>
    </row>
    <row r="39007" spans="1:1" ht="12.75">
      <c r="A39007" s="2" t="s">
        <v>401</v>
      </c>
    </row>
    <row r="39008" spans="1:1" ht="12.75">
      <c r="A39008" s="2" t="s">
        <v>401</v>
      </c>
    </row>
    <row r="39009" spans="1:1" ht="12.75">
      <c r="A39009" s="2" t="s">
        <v>401</v>
      </c>
    </row>
    <row r="39010" spans="1:1" ht="12.75">
      <c r="A39010" s="2" t="s">
        <v>1010</v>
      </c>
    </row>
    <row r="39011" spans="1:1" ht="12.75">
      <c r="A39011" s="2" t="s">
        <v>1260</v>
      </c>
    </row>
    <row r="39012" spans="1:1" ht="12.75">
      <c r="A39012" s="2" t="s">
        <v>1010</v>
      </c>
    </row>
    <row r="39013" spans="1:1" ht="12.75">
      <c r="A39013" s="2" t="s">
        <v>284</v>
      </c>
    </row>
    <row r="39014" spans="1:1" ht="12.75">
      <c r="A39014" s="2" t="s">
        <v>1262</v>
      </c>
    </row>
    <row r="39015" spans="1:1" ht="12.75">
      <c r="A39015" s="2" t="s">
        <v>1353</v>
      </c>
    </row>
    <row r="39016" spans="1:1" ht="12.75">
      <c r="A39016" s="2" t="s">
        <v>757</v>
      </c>
    </row>
    <row r="39017" spans="1:1" ht="12.75">
      <c r="A39017" s="2" t="s">
        <v>757</v>
      </c>
    </row>
    <row r="39018" spans="1:1" ht="12.75">
      <c r="A39018" s="2" t="s">
        <v>401</v>
      </c>
    </row>
    <row r="39019" spans="1:1" ht="12.75">
      <c r="A39019" s="2" t="s">
        <v>401</v>
      </c>
    </row>
    <row r="39020" spans="1:1" ht="12.75">
      <c r="A39020" s="2" t="s">
        <v>758</v>
      </c>
    </row>
    <row r="39021" spans="1:1" ht="12.75">
      <c r="A39021" s="2" t="s">
        <v>758</v>
      </c>
    </row>
    <row r="39022" spans="1:1" ht="12.75">
      <c r="A39022" s="2" t="s">
        <v>1010</v>
      </c>
    </row>
    <row r="39023" spans="1:1" ht="12.75">
      <c r="A39023" s="2" t="s">
        <v>1010</v>
      </c>
    </row>
    <row r="39024" spans="1:1" ht="12.75">
      <c r="A39024" s="2" t="s">
        <v>758</v>
      </c>
    </row>
    <row r="39025" spans="1:1" ht="12.75">
      <c r="A39025" s="2" t="s">
        <v>758</v>
      </c>
    </row>
    <row r="39026" spans="1:1" ht="12.75">
      <c r="A39026" s="2" t="s">
        <v>758</v>
      </c>
    </row>
    <row r="39027" spans="1:1" ht="12.75">
      <c r="A39027" s="2" t="s">
        <v>758</v>
      </c>
    </row>
    <row r="39028" spans="1:1" ht="12.75">
      <c r="A39028" s="2" t="s">
        <v>757</v>
      </c>
    </row>
    <row r="39029" spans="1:1" ht="12.75">
      <c r="A39029" s="2" t="s">
        <v>757</v>
      </c>
    </row>
    <row r="39030" spans="1:1" ht="12.75">
      <c r="A39030" s="2" t="s">
        <v>757</v>
      </c>
    </row>
    <row r="39031" spans="1:1" ht="12.75">
      <c r="A39031" s="2" t="s">
        <v>757</v>
      </c>
    </row>
    <row r="39032" spans="1:1" ht="12.75">
      <c r="A39032" s="2" t="s">
        <v>757</v>
      </c>
    </row>
    <row r="39033" spans="1:1" ht="12.75">
      <c r="A39033" s="2" t="s">
        <v>757</v>
      </c>
    </row>
    <row r="39034" spans="1:1" ht="12.75">
      <c r="A39034" s="2" t="s">
        <v>757</v>
      </c>
    </row>
    <row r="39035" spans="1:1" ht="12.75">
      <c r="A39035" s="2" t="s">
        <v>757</v>
      </c>
    </row>
    <row r="39036" spans="1:1" ht="12.75">
      <c r="A39036" s="2" t="s">
        <v>757</v>
      </c>
    </row>
    <row r="39037" spans="1:1" ht="12.75">
      <c r="A39037" s="2" t="s">
        <v>757</v>
      </c>
    </row>
    <row r="39038" spans="1:1" ht="12.75">
      <c r="A39038" s="2" t="s">
        <v>757</v>
      </c>
    </row>
    <row r="39039" spans="1:1" ht="12.75">
      <c r="A39039" s="2" t="s">
        <v>757</v>
      </c>
    </row>
    <row r="39040" spans="1:1" ht="12.75">
      <c r="A39040" s="2" t="s">
        <v>757</v>
      </c>
    </row>
    <row r="39041" spans="1:1" ht="12.75">
      <c r="A39041" s="2" t="s">
        <v>1354</v>
      </c>
    </row>
    <row r="39042" spans="1:1" ht="12.75">
      <c r="A39042" s="2" t="s">
        <v>1355</v>
      </c>
    </row>
    <row r="39043" spans="1:1" ht="12.75">
      <c r="A39043" s="2" t="s">
        <v>757</v>
      </c>
    </row>
    <row r="39044" spans="1:1" ht="12.75">
      <c r="A39044" s="2" t="s">
        <v>757</v>
      </c>
    </row>
    <row r="39045" spans="1:1" ht="12.75">
      <c r="A39045" s="2" t="s">
        <v>757</v>
      </c>
    </row>
    <row r="39046" spans="1:1" ht="12.75">
      <c r="A39046" s="2" t="s">
        <v>757</v>
      </c>
    </row>
    <row r="39047" spans="1:1" ht="12.75">
      <c r="A39047" s="2" t="s">
        <v>757</v>
      </c>
    </row>
    <row r="39048" spans="1:1" ht="12.75">
      <c r="A39048" s="2" t="s">
        <v>757</v>
      </c>
    </row>
    <row r="39049" spans="1:1" ht="12.75">
      <c r="A39049" s="2" t="s">
        <v>757</v>
      </c>
    </row>
    <row r="39050" spans="1:1" ht="12.75">
      <c r="A39050" s="2" t="s">
        <v>757</v>
      </c>
    </row>
    <row r="39051" spans="1:1" ht="12.75">
      <c r="A39051" s="2" t="s">
        <v>757</v>
      </c>
    </row>
    <row r="39052" spans="1:1" ht="12.75">
      <c r="A39052" s="2" t="s">
        <v>1354</v>
      </c>
    </row>
    <row r="39053" spans="1:1" ht="12.75">
      <c r="A39053" s="2" t="s">
        <v>757</v>
      </c>
    </row>
    <row r="39054" spans="1:1" ht="12.75">
      <c r="A39054" s="2" t="s">
        <v>299</v>
      </c>
    </row>
    <row r="39056" spans="1:1" ht="12.75">
      <c r="A39056" s="2" t="s">
        <v>289</v>
      </c>
    </row>
    <row r="39057" spans="1:1" ht="12.75">
      <c r="A39057" s="2" t="s">
        <v>289</v>
      </c>
    </row>
    <row r="39058" spans="1:1" ht="12.75">
      <c r="A39058" s="2" t="s">
        <v>289</v>
      </c>
    </row>
    <row r="39059" spans="1:1" ht="12.75">
      <c r="A39059" s="2" t="s">
        <v>289</v>
      </c>
    </row>
    <row r="39060" spans="1:1" ht="12.75">
      <c r="A39060" s="2" t="s">
        <v>291</v>
      </c>
    </row>
    <row r="39061" spans="1:1" ht="12.75">
      <c r="A39061" s="2" t="s">
        <v>291</v>
      </c>
    </row>
    <row r="39062" spans="1:1" ht="12.75">
      <c r="A39062" s="2" t="s">
        <v>288</v>
      </c>
    </row>
    <row r="39063" spans="1:1" ht="12.75">
      <c r="A39063" s="2" t="s">
        <v>288</v>
      </c>
    </row>
    <row r="39064" spans="1:1" ht="12.75">
      <c r="A39064" s="2" t="s">
        <v>293</v>
      </c>
    </row>
    <row r="39065" spans="1:1" ht="12.75">
      <c r="A39065" s="2" t="s">
        <v>762</v>
      </c>
    </row>
    <row r="39066" spans="1:1" ht="12.75">
      <c r="A39066" s="2" t="s">
        <v>293</v>
      </c>
    </row>
    <row r="39067" spans="1:1" ht="12.75">
      <c r="A39067" s="2" t="s">
        <v>293</v>
      </c>
    </row>
    <row r="39068" spans="1:1" ht="12.75">
      <c r="A39068" s="2" t="s">
        <v>298</v>
      </c>
    </row>
    <row r="39069" spans="1:1" ht="12.75">
      <c r="A39069" s="2" t="s">
        <v>299</v>
      </c>
    </row>
    <row r="39070" spans="1:1" ht="12.75">
      <c r="A39070" s="2" t="s">
        <v>292</v>
      </c>
    </row>
    <row r="39071" spans="1:1" ht="12.75">
      <c r="A39071" s="2" t="s">
        <v>290</v>
      </c>
    </row>
    <row r="39072" spans="1:1" ht="12.75">
      <c r="A39072" s="2" t="s">
        <v>292</v>
      </c>
    </row>
    <row r="39074" spans="1:1" ht="12.75">
      <c r="A39074" s="2" t="s">
        <v>298</v>
      </c>
    </row>
    <row r="39075" spans="1:1" ht="12.75">
      <c r="A39075" s="2" t="s">
        <v>298</v>
      </c>
    </row>
    <row r="39076" spans="1:1" ht="12.75">
      <c r="A39076" s="2" t="s">
        <v>289</v>
      </c>
    </row>
    <row r="39077" spans="1:1" ht="12.75">
      <c r="A39077" s="2" t="s">
        <v>289</v>
      </c>
    </row>
    <row r="39078" spans="1:1" ht="12.75">
      <c r="A39078" s="2" t="s">
        <v>292</v>
      </c>
    </row>
    <row r="39079" spans="1:1" ht="12.75">
      <c r="A39079" s="2" t="s">
        <v>290</v>
      </c>
    </row>
    <row r="39080" spans="1:1" ht="12.75">
      <c r="A39080" s="2" t="s">
        <v>290</v>
      </c>
    </row>
    <row r="39081" spans="1:1" ht="12.75">
      <c r="A39081" s="2" t="s">
        <v>292</v>
      </c>
    </row>
    <row r="39082" spans="1:1" ht="12.75">
      <c r="A39082" s="2" t="s">
        <v>291</v>
      </c>
    </row>
    <row r="39083" spans="1:1" ht="12.75">
      <c r="A39083" s="2" t="s">
        <v>291</v>
      </c>
    </row>
    <row r="39084" spans="1:1" ht="12.75">
      <c r="A39084" s="2" t="s">
        <v>762</v>
      </c>
    </row>
    <row r="39085" spans="1:1" ht="12.75">
      <c r="A39085" s="2" t="s">
        <v>762</v>
      </c>
    </row>
    <row r="39086" spans="1:1" ht="12.75">
      <c r="A39086" s="2" t="s">
        <v>291</v>
      </c>
    </row>
    <row r="39087" spans="1:1" ht="12.75">
      <c r="A39087" s="2" t="s">
        <v>291</v>
      </c>
    </row>
    <row r="39088" spans="1:1" ht="12.75">
      <c r="A39088" s="2" t="s">
        <v>293</v>
      </c>
    </row>
    <row r="39089" spans="1:1" ht="12.75">
      <c r="A39089" s="2" t="s">
        <v>293</v>
      </c>
    </row>
    <row r="39290" spans="1:1" ht="12.75">
      <c r="A39290" s="2" t="s">
        <v>1298</v>
      </c>
    </row>
    <row r="39291" spans="1:1" ht="12.75">
      <c r="A39291" s="2" t="s">
        <v>1298</v>
      </c>
    </row>
    <row r="39292" spans="1:1" ht="12.75">
      <c r="A39292" s="2" t="s">
        <v>1144</v>
      </c>
    </row>
    <row r="39293" spans="1:1" ht="12.75">
      <c r="A39293" s="2" t="s">
        <v>1144</v>
      </c>
    </row>
    <row r="39294" spans="1:1" ht="12.75">
      <c r="A39294" s="2" t="s">
        <v>1256</v>
      </c>
    </row>
    <row r="39295" spans="1:1" ht="12.75">
      <c r="A39295" s="2" t="s">
        <v>1356</v>
      </c>
    </row>
    <row r="39296" spans="1:1" ht="12.75">
      <c r="A39296" s="2" t="s">
        <v>1293</v>
      </c>
    </row>
    <row r="39297" spans="1:1" ht="12.75">
      <c r="A39297" s="2" t="s">
        <v>1293</v>
      </c>
    </row>
    <row r="39298" spans="1:1" ht="12.75">
      <c r="A39298" s="2" t="s">
        <v>1357</v>
      </c>
    </row>
    <row r="39299" spans="1:1" ht="12.75">
      <c r="A39299" s="2" t="s">
        <v>1357</v>
      </c>
    </row>
    <row r="39300" spans="1:1" ht="12.75">
      <c r="A39300" s="2" t="s">
        <v>1358</v>
      </c>
    </row>
    <row r="39301" spans="1:1" ht="12.75">
      <c r="A39301" s="2" t="s">
        <v>1358</v>
      </c>
    </row>
    <row r="39302" spans="1:1" ht="12.75">
      <c r="A39302" s="2" t="s">
        <v>1359</v>
      </c>
    </row>
    <row r="39303" spans="1:1" ht="12.75">
      <c r="A39303" s="2" t="s">
        <v>1359</v>
      </c>
    </row>
    <row r="39304" spans="1:1" ht="12.75">
      <c r="A39304" s="2" t="s">
        <v>1298</v>
      </c>
    </row>
    <row r="39305" spans="1:1" ht="12.75">
      <c r="A39305" s="2" t="s">
        <v>1298</v>
      </c>
    </row>
    <row r="39308" spans="1:1" ht="12.75">
      <c r="A39308" s="2" t="s">
        <v>974</v>
      </c>
    </row>
    <row r="39309" spans="1:1" ht="12.75">
      <c r="A39309" s="2" t="s">
        <v>974</v>
      </c>
    </row>
    <row r="39310" spans="1:1" ht="12.75">
      <c r="A39310" s="2" t="s">
        <v>1357</v>
      </c>
    </row>
    <row r="39311" spans="1:1" ht="12.75">
      <c r="A39311" s="2" t="s">
        <v>1357</v>
      </c>
    </row>
    <row r="39312" spans="1:1" ht="12.75">
      <c r="A39312" s="2" t="s">
        <v>1358</v>
      </c>
    </row>
    <row r="39313" spans="1:1" ht="12.75">
      <c r="A39313" s="2" t="s">
        <v>1358</v>
      </c>
    </row>
    <row r="39314" spans="1:1" ht="12.75">
      <c r="A39314" s="2" t="s">
        <v>1359</v>
      </c>
    </row>
    <row r="39315" spans="1:1" ht="12.75">
      <c r="A39315" s="2" t="s">
        <v>1359</v>
      </c>
    </row>
    <row r="39316" spans="1:1" ht="12.75">
      <c r="A39316" s="2" t="s">
        <v>1298</v>
      </c>
    </row>
    <row r="39317" spans="1:1" ht="12.75">
      <c r="A39317" s="2" t="s">
        <v>1298</v>
      </c>
    </row>
    <row r="39318" spans="1:1" ht="12.75">
      <c r="A39318" s="2" t="s">
        <v>1291</v>
      </c>
    </row>
    <row r="39319" spans="1:1" ht="12.75">
      <c r="A39319" s="2" t="s">
        <v>1291</v>
      </c>
    </row>
    <row r="39320" spans="1:1" ht="12.75">
      <c r="A39320" s="2" t="s">
        <v>1292</v>
      </c>
    </row>
    <row r="39321" spans="1:1" ht="12.75">
      <c r="A39321" s="2" t="s">
        <v>1292</v>
      </c>
    </row>
    <row r="39322" spans="1:1" ht="12.75">
      <c r="A39322" s="2" t="s">
        <v>1291</v>
      </c>
    </row>
    <row r="39323" spans="1:1" ht="12.75">
      <c r="A39323" s="2" t="s">
        <v>1291</v>
      </c>
    </row>
    <row r="39324" spans="1:1" ht="12.75">
      <c r="A39324" s="2" t="s">
        <v>1360</v>
      </c>
    </row>
    <row r="39325" spans="1:1" ht="12.75">
      <c r="A39325" s="2" t="s">
        <v>1287</v>
      </c>
    </row>
    <row r="39326" spans="1:1" ht="12.75">
      <c r="A39326" s="2" t="s">
        <v>1256</v>
      </c>
    </row>
    <row r="39327" spans="1:1" ht="12.75">
      <c r="A39327" s="2" t="s">
        <v>1256</v>
      </c>
    </row>
    <row r="39328" spans="1:1" ht="12.75">
      <c r="A39328" s="2" t="s">
        <v>1144</v>
      </c>
    </row>
    <row r="39329" spans="1:1" ht="12.75">
      <c r="A39329" s="2" t="s">
        <v>1144</v>
      </c>
    </row>
    <row r="39332" spans="1:1" ht="12.75">
      <c r="A39332" s="2" t="s">
        <v>1142</v>
      </c>
    </row>
    <row r="39333" spans="1:1" ht="12.75">
      <c r="A39333" s="2" t="s">
        <v>1142</v>
      </c>
    </row>
    <row r="39334" spans="1:1" ht="12.75">
      <c r="A39334" s="2" t="s">
        <v>962</v>
      </c>
    </row>
    <row r="39335" spans="1:1" ht="12.75">
      <c r="A39335" s="2" t="s">
        <v>962</v>
      </c>
    </row>
    <row r="39336" spans="1:1" ht="12.75">
      <c r="A39336" s="2" t="s">
        <v>1292</v>
      </c>
    </row>
    <row r="39337" spans="1:1" ht="12.75">
      <c r="A39337" s="2" t="s">
        <v>1292</v>
      </c>
    </row>
    <row r="39338" spans="1:1" ht="12.75">
      <c r="A39338" s="2" t="s">
        <v>708</v>
      </c>
    </row>
    <row r="39339" spans="1:1" ht="12.75">
      <c r="A39339" s="2" t="s">
        <v>708</v>
      </c>
    </row>
    <row r="39342" spans="1:1" ht="12.75">
      <c r="A39342" s="2" t="s">
        <v>1256</v>
      </c>
    </row>
    <row r="39343" spans="1:1" ht="12.75">
      <c r="A39343" s="2" t="s">
        <v>1256</v>
      </c>
    </row>
    <row r="39344" spans="1:1" ht="12.75">
      <c r="A39344" s="2" t="s">
        <v>1359</v>
      </c>
    </row>
    <row r="39345" spans="1:1" ht="12.75">
      <c r="A39345" s="2" t="s">
        <v>1359</v>
      </c>
    </row>
    <row r="39346" spans="1:1" ht="12.75">
      <c r="A39346" s="2" t="s">
        <v>1358</v>
      </c>
    </row>
    <row r="39347" spans="1:1" ht="12.75">
      <c r="A39347" s="2" t="s">
        <v>1358</v>
      </c>
    </row>
    <row r="39348" spans="1:1" ht="12.75">
      <c r="A39348" s="2" t="s">
        <v>957</v>
      </c>
    </row>
    <row r="39349" spans="1:1" ht="12.75">
      <c r="A39349" s="2" t="s">
        <v>957</v>
      </c>
    </row>
    <row r="39350" spans="1:1" ht="12.75">
      <c r="A39350" s="2" t="s">
        <v>958</v>
      </c>
    </row>
    <row r="39351" spans="1:1" ht="12.75">
      <c r="A39351" s="2" t="s">
        <v>958</v>
      </c>
    </row>
    <row r="39352" spans="1:1" ht="12.75">
      <c r="A39352" s="2" t="s">
        <v>1361</v>
      </c>
    </row>
    <row r="39353" spans="1:1" ht="12.75">
      <c r="A39353" s="2" t="s">
        <v>1361</v>
      </c>
    </row>
    <row r="39354" spans="1:1" ht="12.75">
      <c r="A39354" s="2" t="s">
        <v>1142</v>
      </c>
    </row>
    <row r="39355" spans="1:1" ht="12.75">
      <c r="A39355" s="2" t="s">
        <v>1142</v>
      </c>
    </row>
    <row r="39356" spans="1:1" ht="12.75">
      <c r="A39356" s="2" t="s">
        <v>708</v>
      </c>
    </row>
    <row r="39357" spans="1:1" ht="12.75">
      <c r="A39357" s="2" t="s">
        <v>708</v>
      </c>
    </row>
    <row r="39358" spans="1:1" ht="12.75">
      <c r="A39358" s="2" t="s">
        <v>957</v>
      </c>
    </row>
    <row r="39359" spans="1:1" ht="12.75">
      <c r="A39359" s="2" t="s">
        <v>957</v>
      </c>
    </row>
    <row r="39360" spans="1:1" ht="12.75">
      <c r="A39360" s="2" t="s">
        <v>1144</v>
      </c>
    </row>
    <row r="39361" spans="1:1" ht="12.75">
      <c r="A39361" s="2" t="s">
        <v>1144</v>
      </c>
    </row>
    <row r="39362" spans="1:1" ht="12.75">
      <c r="A39362" s="2" t="s">
        <v>1298</v>
      </c>
    </row>
    <row r="39363" spans="1:1" ht="12.75">
      <c r="A39363" s="2" t="s">
        <v>1298</v>
      </c>
    </row>
    <row r="39364" spans="1:1" ht="12.75">
      <c r="A39364" s="2" t="s">
        <v>1292</v>
      </c>
    </row>
    <row r="39365" spans="1:1" ht="12.75">
      <c r="A39365" s="2" t="s">
        <v>1292</v>
      </c>
    </row>
    <row r="39366" spans="1:1" ht="12.75">
      <c r="A39366" s="2" t="s">
        <v>1291</v>
      </c>
    </row>
    <row r="39367" spans="1:1" ht="12.75">
      <c r="A39367" s="2" t="s">
        <v>281</v>
      </c>
    </row>
    <row r="39368" spans="1:1" ht="12.75">
      <c r="A39368" s="2" t="s">
        <v>1362</v>
      </c>
    </row>
    <row r="39369" spans="1:1" ht="12.75">
      <c r="A39369" s="2" t="s">
        <v>1287</v>
      </c>
    </row>
    <row r="39374" spans="1:1" ht="12.75">
      <c r="A39374" s="2" t="s">
        <v>1359</v>
      </c>
    </row>
    <row r="39375" spans="1:1" ht="12.75">
      <c r="A39375" s="2" t="s">
        <v>1359</v>
      </c>
    </row>
    <row r="39376" spans="1:1" ht="12.75">
      <c r="A39376" s="2" t="s">
        <v>1298</v>
      </c>
    </row>
    <row r="39377" spans="1:1" ht="12.75">
      <c r="A39377" s="2" t="s">
        <v>1298</v>
      </c>
    </row>
    <row r="39378" spans="1:1" ht="12.75">
      <c r="A39378" s="2" t="s">
        <v>1292</v>
      </c>
    </row>
    <row r="39379" spans="1:1" ht="12.75">
      <c r="A39379" s="2" t="s">
        <v>1292</v>
      </c>
    </row>
    <row r="39381" spans="1:1" ht="12.75">
      <c r="A39381" s="2" t="s">
        <v>1293</v>
      </c>
    </row>
    <row r="39382" spans="1:1" ht="12.75">
      <c r="A39382" s="2" t="s">
        <v>1291</v>
      </c>
    </row>
    <row r="39383" spans="1:1" ht="12.75">
      <c r="A39383" s="2" t="s">
        <v>1291</v>
      </c>
    </row>
    <row r="39384" spans="1:1" ht="12.75">
      <c r="A39384" s="2" t="s">
        <v>1287</v>
      </c>
    </row>
    <row r="39385" spans="1:1" ht="12.75">
      <c r="A39385" s="2" t="s">
        <v>1287</v>
      </c>
    </row>
    <row r="39386" spans="1:1" ht="12.75">
      <c r="A39386" s="2" t="s">
        <v>1256</v>
      </c>
    </row>
    <row r="39387" spans="1:1" ht="12.75">
      <c r="A39387" s="2" t="s">
        <v>1256</v>
      </c>
    </row>
    <row r="39388" spans="1:1" ht="12.75">
      <c r="A39388" s="2" t="s">
        <v>1144</v>
      </c>
    </row>
    <row r="39389" spans="1:1" ht="12.75">
      <c r="A39389" s="2" t="s">
        <v>1135</v>
      </c>
    </row>
    <row r="39390" spans="1:1" ht="12.75">
      <c r="A39390" s="2" t="s">
        <v>958</v>
      </c>
    </row>
    <row r="39391" spans="1:1" ht="12.75">
      <c r="A39391" s="2" t="s">
        <v>958</v>
      </c>
    </row>
    <row r="39392" spans="1:1" ht="12.75">
      <c r="A39392" s="2" t="s">
        <v>1142</v>
      </c>
    </row>
    <row r="39393" spans="1:1" ht="12.75">
      <c r="A39393" s="2" t="s">
        <v>1142</v>
      </c>
    </row>
    <row r="39394" spans="1:1" ht="12.75">
      <c r="A39394" s="2" t="s">
        <v>962</v>
      </c>
    </row>
    <row r="39395" spans="1:1" ht="12.75">
      <c r="A39395" s="2" t="s">
        <v>962</v>
      </c>
    </row>
    <row r="39398" spans="1:1" ht="12.75">
      <c r="A39398" s="2" t="s">
        <v>708</v>
      </c>
    </row>
    <row r="39399" spans="1:1" ht="12.75">
      <c r="A39399" s="2" t="s">
        <v>708</v>
      </c>
    </row>
    <row r="39400" spans="1:1" ht="12.75">
      <c r="A39400" s="2" t="s">
        <v>957</v>
      </c>
    </row>
    <row r="39401" spans="1:1" ht="12.75">
      <c r="A39401" s="2" t="s">
        <v>957</v>
      </c>
    </row>
    <row r="39402" spans="1:1" ht="12.75">
      <c r="A39402" s="2" t="s">
        <v>1293</v>
      </c>
    </row>
    <row r="39403" spans="1:1" ht="12.75">
      <c r="A39403" s="2" t="s">
        <v>1293</v>
      </c>
    </row>
    <row r="39404" spans="1:1" ht="12.75">
      <c r="A39404" s="2" t="s">
        <v>957</v>
      </c>
    </row>
    <row r="39405" spans="1:1" ht="12.75">
      <c r="A39405" s="2" t="s">
        <v>957</v>
      </c>
    </row>
    <row r="39407" spans="1:1" ht="12.75">
      <c r="A39407" s="2" t="s">
        <v>708</v>
      </c>
    </row>
    <row r="39408" spans="1:1" ht="12.75">
      <c r="A39408" s="2" t="s">
        <v>1142</v>
      </c>
    </row>
    <row r="39409" spans="1:1" ht="12.75">
      <c r="A39409" s="2" t="s">
        <v>1142</v>
      </c>
    </row>
    <row r="39412" spans="1:1" ht="12.75">
      <c r="A39412" s="2" t="s">
        <v>1363</v>
      </c>
    </row>
    <row r="39413" spans="1:1" ht="12.75">
      <c r="A39413" s="2" t="s">
        <v>1363</v>
      </c>
    </row>
    <row r="39414" spans="1:1" ht="12.75">
      <c r="A39414" s="2" t="s">
        <v>966</v>
      </c>
    </row>
    <row r="39415" spans="1:1" ht="12.75">
      <c r="A39415" s="2" t="s">
        <v>966</v>
      </c>
    </row>
    <row r="39416" spans="1:1" ht="12.75">
      <c r="A39416" s="2" t="s">
        <v>1298</v>
      </c>
    </row>
    <row r="39417" spans="1:1" ht="12.75">
      <c r="A39417" s="2" t="s">
        <v>1357</v>
      </c>
    </row>
    <row r="39418" spans="1:1" ht="12.75">
      <c r="A39418" s="2" t="s">
        <v>1256</v>
      </c>
    </row>
    <row r="39419" spans="1:1" ht="12.75">
      <c r="A39419" s="2" t="s">
        <v>1256</v>
      </c>
    </row>
    <row r="39420" spans="1:1" ht="12.75">
      <c r="A39420" s="2" t="s">
        <v>1359</v>
      </c>
    </row>
    <row r="39421" spans="1:1" ht="12.75">
      <c r="A39421" s="2" t="s">
        <v>1359</v>
      </c>
    </row>
    <row r="39422" spans="1:1" ht="12.75">
      <c r="A39422" s="2" t="s">
        <v>1298</v>
      </c>
    </row>
    <row r="39423" spans="1:1" ht="12.75">
      <c r="A39423" s="2" t="s">
        <v>1298</v>
      </c>
    </row>
    <row r="39424" spans="1:1" ht="12.75">
      <c r="A39424" s="2" t="s">
        <v>1364</v>
      </c>
    </row>
    <row r="39426" spans="1:1" ht="12.75">
      <c r="A39426" s="2" t="s">
        <v>1293</v>
      </c>
    </row>
    <row r="39427" spans="1:1" ht="12.75">
      <c r="A39427" s="2" t="s">
        <v>1293</v>
      </c>
    </row>
    <row r="39428" spans="1:1" ht="12.75">
      <c r="A39428" s="2" t="s">
        <v>1291</v>
      </c>
    </row>
    <row r="39429" spans="1:1" ht="12.75">
      <c r="A39429" s="2" t="s">
        <v>1291</v>
      </c>
    </row>
    <row r="39430" spans="1:1" ht="12.75">
      <c r="A39430" s="2" t="s">
        <v>1287</v>
      </c>
    </row>
    <row r="39431" spans="1:1" ht="12.75">
      <c r="A39431" s="2" t="s">
        <v>1365</v>
      </c>
    </row>
    <row r="39432" spans="1:1" ht="12.75">
      <c r="A39432" s="2" t="s">
        <v>1359</v>
      </c>
    </row>
    <row r="39433" spans="1:1" ht="12.75">
      <c r="A39433" s="2" t="s">
        <v>1359</v>
      </c>
    </row>
    <row r="39434" spans="1:1" ht="12.75">
      <c r="A39434" s="2" t="s">
        <v>1287</v>
      </c>
    </row>
    <row r="39435" spans="1:1" ht="12.75">
      <c r="A39435" s="2" t="s">
        <v>1287</v>
      </c>
    </row>
    <row r="39436" spans="1:1" ht="12.75">
      <c r="A39436" s="2" t="s">
        <v>1291</v>
      </c>
    </row>
    <row r="39437" spans="1:1" ht="12.75">
      <c r="A39437" s="2" t="s">
        <v>1291</v>
      </c>
    </row>
    <row r="39438" spans="1:1" ht="12.75">
      <c r="A39438" s="2" t="s">
        <v>1292</v>
      </c>
    </row>
    <row r="39440" spans="1:1" ht="12.75">
      <c r="A39440" s="2" t="s">
        <v>1256</v>
      </c>
    </row>
    <row r="39441" spans="1:1" ht="12.75">
      <c r="A39441" s="2" t="s">
        <v>1256</v>
      </c>
    </row>
    <row r="39442" spans="1:1" ht="12.75">
      <c r="A39442" s="2" t="s">
        <v>1144</v>
      </c>
    </row>
    <row r="39443" spans="1:1" ht="12.75">
      <c r="A39443" s="2" t="s">
        <v>1144</v>
      </c>
    </row>
    <row r="39444" spans="1:1" ht="12.75">
      <c r="A39444" s="2" t="s">
        <v>1366</v>
      </c>
    </row>
    <row r="39445" spans="1:1" ht="12.75">
      <c r="A39445" s="2" t="s">
        <v>958</v>
      </c>
    </row>
    <row r="39446" spans="1:1" ht="12.75">
      <c r="A39446" s="2" t="s">
        <v>1142</v>
      </c>
    </row>
    <row r="39447" spans="1:1" ht="12.75">
      <c r="A39447" s="2" t="s">
        <v>1142</v>
      </c>
    </row>
    <row r="39448" spans="1:1" ht="12.75">
      <c r="A39448" s="2" t="s">
        <v>962</v>
      </c>
    </row>
    <row r="39449" spans="1:1" ht="12.75">
      <c r="A39449" s="2" t="s">
        <v>962</v>
      </c>
    </row>
    <row r="39450" spans="1:1" ht="12.75">
      <c r="A39450" s="2" t="s">
        <v>1144</v>
      </c>
    </row>
    <row r="39451" spans="1:1" ht="12.75">
      <c r="A39451" s="2" t="s">
        <v>1135</v>
      </c>
    </row>
    <row r="39452" spans="1:1" ht="12.75">
      <c r="A39452" s="2" t="s">
        <v>1293</v>
      </c>
    </row>
    <row r="39453" spans="1:1" ht="12.75">
      <c r="A39453" s="2" t="s">
        <v>1293</v>
      </c>
    </row>
    <row r="39454" spans="1:1" ht="12.75">
      <c r="A39454" s="2" t="s">
        <v>1256</v>
      </c>
    </row>
    <row r="39455" spans="1:1" ht="12.75">
      <c r="A39455" s="2" t="s">
        <v>1256</v>
      </c>
    </row>
    <row r="39456" spans="1:1" ht="12.75">
      <c r="A39456" s="2" t="s">
        <v>1367</v>
      </c>
    </row>
    <row r="39457" spans="1:1" ht="12.75">
      <c r="A39457" s="2" t="s">
        <v>1287</v>
      </c>
    </row>
    <row r="39458" spans="1:1" ht="12.75">
      <c r="A39458" s="2" t="s">
        <v>1291</v>
      </c>
    </row>
    <row r="39459" spans="1:1" ht="12.75">
      <c r="A39459" s="2" t="s">
        <v>1291</v>
      </c>
    </row>
    <row r="39460" spans="1:1" ht="12.75">
      <c r="A39460" s="2" t="s">
        <v>957</v>
      </c>
    </row>
    <row r="39461" spans="1:1" ht="12.75">
      <c r="A39461" s="2" t="s">
        <v>957</v>
      </c>
    </row>
    <row r="39462" spans="1:1" ht="12.75">
      <c r="A39462" s="2" t="s">
        <v>1298</v>
      </c>
    </row>
    <row r="39463" spans="1:1" ht="12.75">
      <c r="A39463" s="2" t="s">
        <v>1298</v>
      </c>
    </row>
    <row r="39464" spans="1:1" ht="12.75">
      <c r="A39464" s="2" t="s">
        <v>1144</v>
      </c>
    </row>
    <row r="39465" spans="1:1" ht="12.75">
      <c r="A39465" s="2" t="s">
        <v>1144</v>
      </c>
    </row>
    <row r="39466" spans="1:1" ht="12.75">
      <c r="A39466" s="2" t="s">
        <v>957</v>
      </c>
    </row>
    <row r="39467" spans="1:1" ht="12.75">
      <c r="A39467" s="2" t="s">
        <v>957</v>
      </c>
    </row>
    <row r="39468" spans="1:1" ht="12.75">
      <c r="A39468" s="2" t="s">
        <v>708</v>
      </c>
    </row>
    <row r="39469" spans="1:1" ht="12.75">
      <c r="A39469" s="2" t="s">
        <v>708</v>
      </c>
    </row>
    <row r="39470" spans="1:1" ht="12.75">
      <c r="A39470" s="2" t="s">
        <v>1142</v>
      </c>
    </row>
    <row r="39471" spans="1:1" ht="12.75">
      <c r="A39471" s="2" t="s">
        <v>1142</v>
      </c>
    </row>
    <row r="39476" spans="1:1" ht="12.75">
      <c r="A39476" s="2" t="s">
        <v>708</v>
      </c>
    </row>
    <row r="39477" spans="1:1" ht="12.75">
      <c r="A39477" s="2" t="s">
        <v>708</v>
      </c>
    </row>
    <row r="39478" spans="1:1" ht="12.75">
      <c r="A39478" s="2" t="s">
        <v>1298</v>
      </c>
    </row>
    <row r="39479" spans="1:1" ht="12.75">
      <c r="A39479" s="2" t="s">
        <v>1298</v>
      </c>
    </row>
    <row r="39480" spans="1:1" ht="12.75">
      <c r="A39480" s="2" t="s">
        <v>1292</v>
      </c>
    </row>
    <row r="39481" spans="1:1" ht="12.75">
      <c r="A39481" s="2" t="s">
        <v>1292</v>
      </c>
    </row>
    <row r="39482" spans="1:1" ht="12.75">
      <c r="A39482" s="2" t="s">
        <v>1293</v>
      </c>
    </row>
    <row r="39483" spans="1:1" ht="12.75">
      <c r="A39483" s="2" t="s">
        <v>1293</v>
      </c>
    </row>
    <row r="39484" spans="1:1" ht="12.75">
      <c r="A39484" s="2" t="s">
        <v>1291</v>
      </c>
    </row>
    <row r="39485" spans="1:1" ht="12.75">
      <c r="A39485" s="2" t="s">
        <v>1291</v>
      </c>
    </row>
    <row r="39486" spans="1:1" ht="12.75">
      <c r="A39486" s="2" t="s">
        <v>1287</v>
      </c>
    </row>
    <row r="39487" spans="1:1" ht="12.75">
      <c r="A39487" s="2" t="s">
        <v>1287</v>
      </c>
    </row>
    <row r="39488" spans="1:1" ht="12.75">
      <c r="A39488" s="2" t="s">
        <v>1368</v>
      </c>
    </row>
    <row r="39489" spans="1:1" ht="12.75">
      <c r="A39489" s="2" t="s">
        <v>1256</v>
      </c>
    </row>
    <row r="39490" spans="1:1" ht="12.75">
      <c r="A39490" s="2" t="s">
        <v>550</v>
      </c>
    </row>
    <row r="39491" spans="1:1" ht="12.75">
      <c r="A39491" s="2" t="s">
        <v>1369</v>
      </c>
    </row>
    <row r="39492" spans="1:1" ht="12.75">
      <c r="A39492" s="2" t="s">
        <v>550</v>
      </c>
    </row>
    <row r="39493" spans="1:1" ht="12.75">
      <c r="A39493" s="2" t="s">
        <v>550</v>
      </c>
    </row>
    <row r="39494" spans="1:1" ht="12.75">
      <c r="A39494" s="2" t="s">
        <v>1370</v>
      </c>
    </row>
    <row r="39498" spans="1:1" ht="12.75">
      <c r="A39498" s="2" t="s">
        <v>1371</v>
      </c>
    </row>
    <row r="39499" spans="1:1" ht="12.75">
      <c r="A39499" s="2" t="s">
        <v>1372</v>
      </c>
    </row>
    <row r="39500" spans="1:1" ht="12.75">
      <c r="A39500" s="2" t="s">
        <v>1371</v>
      </c>
    </row>
    <row r="39502" spans="1:1" ht="12.75">
      <c r="A39502" s="2" t="s">
        <v>1373</v>
      </c>
    </row>
    <row r="39505" spans="1:1" ht="12.75">
      <c r="A39505" s="2" t="s">
        <v>1374</v>
      </c>
    </row>
    <row r="39507" spans="1:1" ht="12.75">
      <c r="A39507" s="2" t="s">
        <v>1320</v>
      </c>
    </row>
    <row r="39511" spans="1:1" ht="12.75">
      <c r="A39511" s="2" t="s">
        <v>1375</v>
      </c>
    </row>
    <row r="39513" spans="1:1" ht="12.75">
      <c r="A39513" s="2" t="s">
        <v>1376</v>
      </c>
    </row>
    <row r="39514" spans="1:1" ht="12.75">
      <c r="A39514" s="2" t="s">
        <v>1377</v>
      </c>
    </row>
    <row r="39517" spans="1:1" ht="12.75">
      <c r="A39517" s="2" t="s">
        <v>452</v>
      </c>
    </row>
    <row r="39518" spans="1:1" ht="12.75">
      <c r="A39518" s="2" t="s">
        <v>452</v>
      </c>
    </row>
    <row r="39519" spans="1:1" ht="12.75">
      <c r="A39519" s="2" t="s">
        <v>452</v>
      </c>
    </row>
    <row r="39520" spans="1:1" ht="12.75">
      <c r="A39520" s="2" t="s">
        <v>452</v>
      </c>
    </row>
    <row r="39521" spans="1:1" ht="12.75">
      <c r="A39521" s="2" t="s">
        <v>452</v>
      </c>
    </row>
    <row r="39522" spans="1:1" ht="12.75">
      <c r="A39522" s="2" t="s">
        <v>452</v>
      </c>
    </row>
    <row r="39523" spans="1:1" ht="12.75">
      <c r="A39523" s="2" t="s">
        <v>404</v>
      </c>
    </row>
    <row r="39524" spans="1:1" ht="12.75">
      <c r="A39524" s="2" t="s">
        <v>404</v>
      </c>
    </row>
    <row r="39525" spans="1:1" ht="12.75">
      <c r="A39525" s="2" t="s">
        <v>404</v>
      </c>
    </row>
    <row r="39526" spans="1:1" ht="12.75">
      <c r="A39526" s="2" t="s">
        <v>404</v>
      </c>
    </row>
    <row r="39527" spans="1:1" ht="12.75">
      <c r="A39527" s="2" t="s">
        <v>404</v>
      </c>
    </row>
    <row r="39528" spans="1:1" ht="12.75">
      <c r="A39528" s="2" t="s">
        <v>404</v>
      </c>
    </row>
    <row r="39529" spans="1:1" ht="12.75">
      <c r="A39529" s="2" t="s">
        <v>914</v>
      </c>
    </row>
    <row r="39530" spans="1:1" ht="12.75">
      <c r="A39530" s="2" t="s">
        <v>914</v>
      </c>
    </row>
    <row r="39531" spans="1:1" ht="12.75">
      <c r="A39531" s="2" t="s">
        <v>432</v>
      </c>
    </row>
    <row r="39532" spans="1:1" ht="12.75">
      <c r="A39532" s="2" t="s">
        <v>432</v>
      </c>
    </row>
    <row r="39533" spans="1:1" ht="12.75">
      <c r="A39533" s="2" t="s">
        <v>432</v>
      </c>
    </row>
    <row r="39534" spans="1:1" ht="12.75">
      <c r="A39534" s="2" t="s">
        <v>432</v>
      </c>
    </row>
    <row r="39535" spans="1:1" ht="12.75">
      <c r="A39535" s="2" t="s">
        <v>432</v>
      </c>
    </row>
    <row r="39536" spans="1:1" ht="12.75">
      <c r="A39536" s="2" t="s">
        <v>432</v>
      </c>
    </row>
    <row r="39537" spans="1:1" ht="12.75">
      <c r="A39537" s="2" t="s">
        <v>916</v>
      </c>
    </row>
    <row r="39538" spans="1:1" ht="12.75">
      <c r="A39538" s="2" t="s">
        <v>433</v>
      </c>
    </row>
    <row r="39539" spans="1:1" ht="12.75">
      <c r="A39539" s="2" t="s">
        <v>916</v>
      </c>
    </row>
    <row r="39540" spans="1:1" ht="12.75">
      <c r="A39540" s="2" t="s">
        <v>916</v>
      </c>
    </row>
    <row r="39541" spans="1:1" ht="12.75">
      <c r="A39541" s="2" t="s">
        <v>1167</v>
      </c>
    </row>
    <row r="39542" spans="1:1" ht="12.75">
      <c r="A39542" s="2" t="s">
        <v>1167</v>
      </c>
    </row>
    <row r="39543" spans="1:1" ht="12.75">
      <c r="A39543" s="2" t="s">
        <v>434</v>
      </c>
    </row>
    <row r="39545" spans="1:1" ht="12.75">
      <c r="A39545" s="2" t="s">
        <v>479</v>
      </c>
    </row>
    <row r="39546" spans="1:1" ht="12.75">
      <c r="A39546" s="2" t="s">
        <v>479</v>
      </c>
    </row>
    <row r="39547" spans="1:1" ht="12.75">
      <c r="A39547" s="2" t="s">
        <v>623</v>
      </c>
    </row>
    <row r="39548" spans="1:1" ht="12.75">
      <c r="A39548" s="2" t="s">
        <v>818</v>
      </c>
    </row>
    <row r="39549" spans="1:1" ht="12.75">
      <c r="A39549" s="2" t="s">
        <v>622</v>
      </c>
    </row>
    <row r="39550" spans="1:1" ht="12.75">
      <c r="A39550" s="2" t="s">
        <v>432</v>
      </c>
    </row>
    <row r="39551" spans="1:1" ht="12.75">
      <c r="A39551" s="2" t="s">
        <v>836</v>
      </c>
    </row>
    <row r="39552" spans="1:1" ht="12.75">
      <c r="A39552" s="2" t="s">
        <v>836</v>
      </c>
    </row>
    <row r="39553" spans="1:1" ht="12.75">
      <c r="A39553" s="2" t="s">
        <v>1179</v>
      </c>
    </row>
    <row r="39554" spans="1:1" ht="12.75">
      <c r="A39554" s="2" t="s">
        <v>1179</v>
      </c>
    </row>
    <row r="39555" spans="1:1" ht="12.75">
      <c r="A39555" s="2" t="s">
        <v>854</v>
      </c>
    </row>
    <row r="39556" spans="1:1" ht="12.75">
      <c r="A39556" s="2" t="s">
        <v>854</v>
      </c>
    </row>
    <row r="39557" spans="1:1" ht="12.75">
      <c r="A39557" s="2" t="s">
        <v>857</v>
      </c>
    </row>
    <row r="39558" spans="1:1" ht="12.75">
      <c r="A39558" s="2" t="s">
        <v>857</v>
      </c>
    </row>
    <row r="39559" spans="1:1" ht="12.75">
      <c r="A39559" s="2" t="s">
        <v>825</v>
      </c>
    </row>
    <row r="39560" spans="1:1" ht="12.75">
      <c r="A39560" s="2" t="s">
        <v>825</v>
      </c>
    </row>
    <row r="39561" spans="1:1" ht="12.75">
      <c r="A39561" s="2" t="s">
        <v>819</v>
      </c>
    </row>
    <row r="39562" spans="1:1" ht="12.75">
      <c r="A39562" s="2" t="s">
        <v>829</v>
      </c>
    </row>
    <row r="39563" spans="1:1" ht="12.75">
      <c r="A39563" s="2" t="s">
        <v>836</v>
      </c>
    </row>
    <row r="39564" spans="1:1" ht="12.75">
      <c r="A39564" s="2" t="s">
        <v>1378</v>
      </c>
    </row>
    <row r="39565" spans="1:1" ht="12.75">
      <c r="A39565" s="2" t="s">
        <v>820</v>
      </c>
    </row>
    <row r="39566" spans="1:1" ht="12.75">
      <c r="A39566" s="2" t="s">
        <v>820</v>
      </c>
    </row>
    <row r="39567" spans="1:1" ht="12.75">
      <c r="A39567" s="2" t="s">
        <v>910</v>
      </c>
    </row>
    <row r="39568" spans="1:1" ht="12.75">
      <c r="A39568" s="2" t="s">
        <v>912</v>
      </c>
    </row>
    <row r="39569" spans="1:1" ht="12.75">
      <c r="A39569" s="2" t="s">
        <v>911</v>
      </c>
    </row>
    <row r="39570" spans="1:1" ht="12.75">
      <c r="A39570" s="2" t="s">
        <v>819</v>
      </c>
    </row>
    <row r="39571" spans="1:1" ht="12.75">
      <c r="A39571" s="2" t="s">
        <v>819</v>
      </c>
    </row>
    <row r="39572" spans="1:1" ht="12.75">
      <c r="A39572" s="2" t="s">
        <v>821</v>
      </c>
    </row>
    <row r="39573" spans="1:1" ht="12.75">
      <c r="A39573" s="2" t="s">
        <v>844</v>
      </c>
    </row>
    <row r="39574" spans="1:1" ht="12.75">
      <c r="A39574" s="2" t="s">
        <v>844</v>
      </c>
    </row>
    <row r="39575" spans="1:1" ht="12.75">
      <c r="A39575" s="2" t="s">
        <v>821</v>
      </c>
    </row>
    <row r="39576" spans="1:1" ht="12.75">
      <c r="A39576" s="2" t="s">
        <v>825</v>
      </c>
    </row>
    <row r="39577" spans="1:1" ht="12.75">
      <c r="A39577" s="2" t="s">
        <v>825</v>
      </c>
    </row>
    <row r="39578" spans="1:1" ht="12.75">
      <c r="A39578" s="2" t="s">
        <v>857</v>
      </c>
    </row>
    <row r="39579" spans="1:1" ht="12.75">
      <c r="A39579" s="2" t="s">
        <v>857</v>
      </c>
    </row>
    <row r="39580" spans="1:1" ht="12.75">
      <c r="A39580" s="2" t="s">
        <v>844</v>
      </c>
    </row>
    <row r="39581" spans="1:1" ht="12.75">
      <c r="A39581" s="2" t="s">
        <v>844</v>
      </c>
    </row>
    <row r="39582" spans="1:1" ht="12.75">
      <c r="A39582" s="2" t="s">
        <v>1179</v>
      </c>
    </row>
    <row r="39583" spans="1:1" ht="12.75">
      <c r="A39583" s="2" t="s">
        <v>1179</v>
      </c>
    </row>
    <row r="39584" spans="1:1" ht="12.75">
      <c r="A39584" s="2" t="s">
        <v>820</v>
      </c>
    </row>
    <row r="39585" spans="1:1" ht="12.75">
      <c r="A39585" s="2" t="s">
        <v>820</v>
      </c>
    </row>
    <row r="39586" spans="1:1" ht="12.75">
      <c r="A39586" s="2" t="s">
        <v>829</v>
      </c>
    </row>
    <row r="39587" spans="1:1" ht="12.75">
      <c r="A39587" s="2" t="s">
        <v>829</v>
      </c>
    </row>
    <row r="39588" spans="1:1" ht="12.75">
      <c r="A39588" s="2" t="s">
        <v>1379</v>
      </c>
    </row>
    <row r="39589" spans="1:1" ht="12.75">
      <c r="A39589" s="2" t="s">
        <v>554</v>
      </c>
    </row>
    <row r="39590" spans="1:1" ht="12.75">
      <c r="A39590" s="2" t="s">
        <v>554</v>
      </c>
    </row>
    <row r="39591" spans="1:1" ht="12.75">
      <c r="A39591" s="2" t="s">
        <v>819</v>
      </c>
    </row>
    <row r="39592" spans="1:1" ht="12.75">
      <c r="A39592" s="2" t="s">
        <v>1380</v>
      </c>
    </row>
    <row r="39593" spans="1:1" ht="12.75">
      <c r="A39593" s="2" t="s">
        <v>819</v>
      </c>
    </row>
    <row r="39594" spans="1:1" ht="12.75">
      <c r="A39594" s="2" t="s">
        <v>821</v>
      </c>
    </row>
    <row r="39595" spans="1:1" ht="12.75">
      <c r="A39595" s="2" t="s">
        <v>821</v>
      </c>
    </row>
    <row r="39596" spans="1:1" ht="12.75">
      <c r="A39596" s="2" t="s">
        <v>825</v>
      </c>
    </row>
    <row r="39597" spans="1:1" ht="12.75">
      <c r="A39597" s="2" t="s">
        <v>820</v>
      </c>
    </row>
    <row r="39598" spans="1:1" ht="12.75">
      <c r="A39598" s="2" t="s">
        <v>1179</v>
      </c>
    </row>
    <row r="39599" spans="1:1" ht="12.75">
      <c r="A39599" s="2" t="s">
        <v>1179</v>
      </c>
    </row>
    <row r="39600" spans="1:1" ht="12.75">
      <c r="A39600" s="2" t="s">
        <v>857</v>
      </c>
    </row>
    <row r="39601" spans="1:1" ht="12.75">
      <c r="A39601" s="2" t="s">
        <v>857</v>
      </c>
    </row>
    <row r="39602" spans="1:1" ht="12.75">
      <c r="A39602" s="2" t="s">
        <v>854</v>
      </c>
    </row>
    <row r="39603" spans="1:1" ht="12.75">
      <c r="A39603" s="2" t="s">
        <v>854</v>
      </c>
    </row>
    <row r="39604" spans="1:1" ht="12.75">
      <c r="A39604" s="2" t="s">
        <v>836</v>
      </c>
    </row>
    <row r="39605" spans="1:1" ht="12.75">
      <c r="A39605" s="2" t="s">
        <v>844</v>
      </c>
    </row>
    <row r="39606" spans="1:1" ht="12.75">
      <c r="A39606" s="2" t="s">
        <v>844</v>
      </c>
    </row>
    <row r="39607" spans="1:1" ht="12.75">
      <c r="A39607" s="2" t="s">
        <v>554</v>
      </c>
    </row>
    <row r="39608" spans="1:1" ht="12.75">
      <c r="A39608" s="2" t="s">
        <v>554</v>
      </c>
    </row>
    <row r="39609" spans="1:1" ht="12.75">
      <c r="A39609" s="2" t="s">
        <v>555</v>
      </c>
    </row>
    <row r="39610" spans="1:1" ht="12.75">
      <c r="A39610" s="2" t="s">
        <v>555</v>
      </c>
    </row>
    <row r="39611" spans="1:1" ht="12.75">
      <c r="A39611" s="2" t="s">
        <v>844</v>
      </c>
    </row>
    <row r="39612" spans="1:1" ht="12.75">
      <c r="A39612" s="2" t="s">
        <v>844</v>
      </c>
    </row>
    <row r="39613" spans="1:1" ht="12.75">
      <c r="A39613" s="2" t="s">
        <v>854</v>
      </c>
    </row>
    <row r="39614" spans="1:1" ht="12.75">
      <c r="A39614" s="2" t="s">
        <v>854</v>
      </c>
    </row>
    <row r="39615" spans="1:1" ht="12.75">
      <c r="A39615" s="2" t="s">
        <v>825</v>
      </c>
    </row>
    <row r="39616" spans="1:1" ht="12.75">
      <c r="A39616" s="2" t="s">
        <v>825</v>
      </c>
    </row>
    <row r="39617" spans="1:1" ht="12.75">
      <c r="A39617" s="2" t="s">
        <v>821</v>
      </c>
    </row>
    <row r="39618" spans="1:1" ht="12.75">
      <c r="A39618" s="2" t="s">
        <v>819</v>
      </c>
    </row>
    <row r="39619" spans="1:1" ht="12.75">
      <c r="A39619" s="2" t="s">
        <v>819</v>
      </c>
    </row>
    <row r="39620" spans="1:1" ht="12.75">
      <c r="A39620" s="2" t="s">
        <v>829</v>
      </c>
    </row>
    <row r="39621" spans="1:1" ht="12.75">
      <c r="A39621" s="2" t="s">
        <v>829</v>
      </c>
    </row>
    <row r="39622" spans="1:1" ht="12.75">
      <c r="A39622" s="2" t="s">
        <v>820</v>
      </c>
    </row>
    <row r="39623" spans="1:1" ht="12.75">
      <c r="A39623" s="2" t="s">
        <v>820</v>
      </c>
    </row>
    <row r="39624" spans="1:1" ht="12.75">
      <c r="A39624" s="2" t="s">
        <v>836</v>
      </c>
    </row>
    <row r="39625" spans="1:1" ht="12.75">
      <c r="A39625" s="2" t="s">
        <v>857</v>
      </c>
    </row>
    <row r="39626" spans="1:1" ht="12.75">
      <c r="A39626" s="2" t="s">
        <v>1179</v>
      </c>
    </row>
    <row r="39627" spans="1:1" ht="12.75">
      <c r="A39627" s="2" t="s">
        <v>1179</v>
      </c>
    </row>
    <row r="39628" spans="1:1" ht="12.75">
      <c r="A39628" s="2" t="s">
        <v>857</v>
      </c>
    </row>
    <row r="39629" spans="1:1" ht="12.75">
      <c r="A39629" s="2" t="s">
        <v>554</v>
      </c>
    </row>
    <row r="39630" spans="1:1" ht="12.75">
      <c r="A39630" s="2" t="s">
        <v>554</v>
      </c>
    </row>
    <row r="39631" spans="1:1" ht="12.75">
      <c r="A39631" s="2" t="s">
        <v>627</v>
      </c>
    </row>
    <row r="39632" spans="1:1" ht="12.75">
      <c r="A39632" s="2" t="s">
        <v>627</v>
      </c>
    </row>
    <row r="39633" spans="1:1" ht="12.75">
      <c r="A39633" s="2" t="s">
        <v>555</v>
      </c>
    </row>
    <row r="39634" spans="1:1" ht="12.75">
      <c r="A39634" s="2" t="s">
        <v>555</v>
      </c>
    </row>
    <row r="39635" spans="1:1" ht="12.75">
      <c r="A39635" s="2" t="s">
        <v>819</v>
      </c>
    </row>
    <row r="39636" spans="1:1" ht="12.75">
      <c r="A39636" s="2" t="s">
        <v>819</v>
      </c>
    </row>
    <row r="39637" spans="1:1" ht="12.75">
      <c r="A39637" s="2" t="s">
        <v>821</v>
      </c>
    </row>
    <row r="39638" spans="1:1" ht="12.75">
      <c r="A39638" s="2" t="s">
        <v>821</v>
      </c>
    </row>
    <row r="39639" spans="1:1" ht="12.75">
      <c r="A39639" s="2" t="s">
        <v>854</v>
      </c>
    </row>
    <row r="39640" spans="1:1" ht="12.75">
      <c r="A39640" s="2" t="s">
        <v>844</v>
      </c>
    </row>
    <row r="39641" spans="1:1" ht="12.75">
      <c r="A39641" s="2" t="s">
        <v>820</v>
      </c>
    </row>
    <row r="39642" spans="1:1" ht="12.75">
      <c r="A39642" s="2" t="s">
        <v>857</v>
      </c>
    </row>
    <row r="39643" spans="1:1" ht="12.75">
      <c r="A39643" s="2" t="s">
        <v>836</v>
      </c>
    </row>
    <row r="39644" spans="1:1" ht="12.75">
      <c r="A39644" s="2" t="s">
        <v>820</v>
      </c>
    </row>
    <row r="39645" spans="1:1" ht="12.75">
      <c r="A39645" s="2" t="s">
        <v>1381</v>
      </c>
    </row>
    <row r="39646" spans="1:1" ht="12.75">
      <c r="A39646" s="2" t="s">
        <v>1179</v>
      </c>
    </row>
    <row r="39647" spans="1:1" ht="12.75">
      <c r="A39647" s="2" t="s">
        <v>826</v>
      </c>
    </row>
    <row r="39648" spans="1:1" ht="12.75">
      <c r="A39648" s="2" t="s">
        <v>844</v>
      </c>
    </row>
    <row r="39649" spans="1:1" ht="12.75">
      <c r="A39649" s="2" t="s">
        <v>844</v>
      </c>
    </row>
    <row r="39650" spans="1:1" ht="12.75">
      <c r="A39650" s="2" t="s">
        <v>854</v>
      </c>
    </row>
    <row r="39651" spans="1:1" ht="12.75">
      <c r="A39651" s="2" t="s">
        <v>817</v>
      </c>
    </row>
    <row r="39652" spans="1:1" ht="12.75">
      <c r="A39652" s="2" t="s">
        <v>817</v>
      </c>
    </row>
    <row r="39653" spans="1:1" ht="12.75">
      <c r="A39653" s="2" t="s">
        <v>452</v>
      </c>
    </row>
    <row r="39654" spans="1:1" ht="12.75">
      <c r="A39654" s="2" t="s">
        <v>452</v>
      </c>
    </row>
    <row r="39655" spans="1:1" ht="12.75">
      <c r="A39655" s="2" t="s">
        <v>452</v>
      </c>
    </row>
    <row r="39656" spans="1:1" ht="12.75">
      <c r="A39656" s="2" t="s">
        <v>452</v>
      </c>
    </row>
    <row r="39657" spans="1:1" ht="12.75">
      <c r="A39657" s="2" t="s">
        <v>452</v>
      </c>
    </row>
    <row r="39658" spans="1:1" ht="12.75">
      <c r="A39658" s="2" t="s">
        <v>452</v>
      </c>
    </row>
    <row r="39659" spans="1:1" ht="12.75">
      <c r="A39659" s="2" t="s">
        <v>452</v>
      </c>
    </row>
    <row r="39660" spans="1:1" ht="12.75">
      <c r="A39660" s="2" t="s">
        <v>452</v>
      </c>
    </row>
    <row r="39661" spans="1:1" ht="12.75">
      <c r="A39661" s="2" t="s">
        <v>477</v>
      </c>
    </row>
    <row r="39662" spans="1:1" ht="12.75">
      <c r="A39662" s="2" t="s">
        <v>477</v>
      </c>
    </row>
    <row r="39663" spans="1:1" ht="12.75">
      <c r="A39663" s="2" t="s">
        <v>914</v>
      </c>
    </row>
    <row r="39664" spans="1:1" ht="12.75">
      <c r="A39664" s="2" t="s">
        <v>477</v>
      </c>
    </row>
    <row r="39665" spans="1:1" ht="12.75">
      <c r="A39665" s="2" t="s">
        <v>1167</v>
      </c>
    </row>
    <row r="39666" spans="1:1" ht="12.75">
      <c r="A39666" s="2" t="s">
        <v>1167</v>
      </c>
    </row>
    <row r="39667" spans="1:1" ht="12.75">
      <c r="A39667" s="2" t="s">
        <v>1167</v>
      </c>
    </row>
    <row r="39668" spans="1:1" ht="12.75">
      <c r="A39668" s="2" t="s">
        <v>1167</v>
      </c>
    </row>
    <row r="39669" spans="1:1" ht="12.75">
      <c r="A39669" s="2" t="s">
        <v>817</v>
      </c>
    </row>
    <row r="39670" spans="1:1" ht="12.75">
      <c r="A39670" s="2" t="s">
        <v>817</v>
      </c>
    </row>
    <row r="39671" spans="1:1" ht="12.75">
      <c r="A39671" s="2" t="s">
        <v>817</v>
      </c>
    </row>
    <row r="39672" spans="1:1" ht="12.75">
      <c r="A39672" s="2" t="s">
        <v>817</v>
      </c>
    </row>
    <row r="39673" spans="1:1" ht="12.75">
      <c r="A39673" s="2" t="s">
        <v>622</v>
      </c>
    </row>
    <row r="39674" spans="1:1" ht="12.75">
      <c r="A39674" s="2" t="s">
        <v>622</v>
      </c>
    </row>
    <row r="39675" spans="1:1" ht="12.75">
      <c r="A39675" s="2" t="s">
        <v>818</v>
      </c>
    </row>
    <row r="39676" spans="1:1" ht="12.75">
      <c r="A39676" s="2" t="s">
        <v>623</v>
      </c>
    </row>
    <row r="39677" spans="1:1" ht="12.75">
      <c r="A39677" s="2" t="s">
        <v>623</v>
      </c>
    </row>
    <row r="39678" spans="1:1" ht="12.75">
      <c r="A39678" s="2" t="s">
        <v>818</v>
      </c>
    </row>
    <row r="39679" spans="1:1" ht="12.75">
      <c r="A39679" s="2" t="s">
        <v>914</v>
      </c>
    </row>
    <row r="39680" spans="1:1" ht="12.75">
      <c r="A39680" s="2" t="s">
        <v>914</v>
      </c>
    </row>
    <row r="39681" spans="1:1" ht="12.75">
      <c r="A39681" s="2" t="s">
        <v>914</v>
      </c>
    </row>
    <row r="39682" spans="1:1" ht="12.75">
      <c r="A39682" s="2" t="s">
        <v>914</v>
      </c>
    </row>
    <row r="39683" spans="1:1" ht="12.75">
      <c r="A39683" s="2" t="s">
        <v>433</v>
      </c>
    </row>
    <row r="39684" spans="1:1" ht="12.75">
      <c r="A39684" s="2" t="s">
        <v>433</v>
      </c>
    </row>
    <row r="39685" spans="1:1" ht="12.75">
      <c r="A39685" s="2" t="s">
        <v>1167</v>
      </c>
    </row>
    <row r="39686" spans="1:1" ht="12.75">
      <c r="A39686" s="2" t="s">
        <v>1167</v>
      </c>
    </row>
    <row r="39687" spans="1:1" ht="12.75">
      <c r="A39687" s="2" t="s">
        <v>433</v>
      </c>
    </row>
    <row r="39688" spans="1:1" ht="12.75">
      <c r="A39688" s="2" t="s">
        <v>914</v>
      </c>
    </row>
    <row r="39689" spans="1:1" ht="12.75">
      <c r="A39689" s="2" t="s">
        <v>432</v>
      </c>
    </row>
    <row r="39690" spans="1:1" ht="12.75">
      <c r="A39690" s="2" t="s">
        <v>432</v>
      </c>
    </row>
    <row r="39691" spans="1:1" ht="12.75">
      <c r="A39691" s="2" t="s">
        <v>479</v>
      </c>
    </row>
    <row r="39692" spans="1:1" ht="12.75">
      <c r="A39692" s="2" t="s">
        <v>479</v>
      </c>
    </row>
    <row r="39693" spans="1:1" ht="12.75">
      <c r="A39693" s="2" t="s">
        <v>435</v>
      </c>
    </row>
    <row r="39694" spans="1:1" ht="12.75">
      <c r="A39694" s="2" t="s">
        <v>435</v>
      </c>
    </row>
    <row r="39695" spans="1:1" ht="12.75">
      <c r="A39695" s="2" t="s">
        <v>465</v>
      </c>
    </row>
    <row r="39696" spans="1:1" ht="12.75">
      <c r="A39696" s="2" t="s">
        <v>434</v>
      </c>
    </row>
    <row r="39697" spans="1:1" ht="12.75">
      <c r="A39697" s="2" t="s">
        <v>434</v>
      </c>
    </row>
    <row r="39698" spans="1:1" ht="12.75">
      <c r="A39698" s="2" t="s">
        <v>434</v>
      </c>
    </row>
    <row r="39699" spans="1:1" ht="12.75">
      <c r="A39699" s="2" t="s">
        <v>465</v>
      </c>
    </row>
    <row r="39700" spans="1:1" ht="12.75">
      <c r="A39700" s="2" t="s">
        <v>465</v>
      </c>
    </row>
    <row r="39701" spans="1:1" ht="12.75">
      <c r="A39701" s="2" t="s">
        <v>479</v>
      </c>
    </row>
    <row r="39702" spans="1:1" ht="12.75">
      <c r="A39702" s="2" t="s">
        <v>479</v>
      </c>
    </row>
    <row r="39703" spans="1:1" ht="12.75">
      <c r="A39703" s="2" t="s">
        <v>818</v>
      </c>
    </row>
    <row r="39704" spans="1:1" ht="12.75">
      <c r="A39704" s="2" t="s">
        <v>618</v>
      </c>
    </row>
    <row r="39705" spans="1:1" ht="12.75">
      <c r="A39705" s="2" t="s">
        <v>434</v>
      </c>
    </row>
    <row r="39706" spans="1:1" ht="12.75">
      <c r="A39706" s="2" t="s">
        <v>433</v>
      </c>
    </row>
    <row r="39707" spans="1:1" ht="12.75">
      <c r="A39707" s="2" t="s">
        <v>404</v>
      </c>
    </row>
    <row r="39708" spans="1:1" ht="12.75">
      <c r="A39708" s="2" t="s">
        <v>404</v>
      </c>
    </row>
    <row r="39709" spans="1:1" ht="12.75">
      <c r="A39709" s="2" t="s">
        <v>452</v>
      </c>
    </row>
    <row r="39710" spans="1:1" ht="12.75">
      <c r="A39710" s="2" t="s">
        <v>452</v>
      </c>
    </row>
    <row r="39711" spans="1:1" ht="12.75">
      <c r="A39711" s="2" t="s">
        <v>477</v>
      </c>
    </row>
    <row r="39712" spans="1:1" ht="12.75">
      <c r="A39712" s="2" t="s">
        <v>477</v>
      </c>
    </row>
    <row r="39713" spans="1:1" ht="12.75">
      <c r="A39713" s="2" t="s">
        <v>477</v>
      </c>
    </row>
    <row r="39714" spans="1:1" ht="12.75">
      <c r="A39714" s="2" t="s">
        <v>477</v>
      </c>
    </row>
    <row r="39715" spans="1:1" ht="12.75">
      <c r="A39715" s="2" t="s">
        <v>452</v>
      </c>
    </row>
    <row r="39716" spans="1:1" ht="12.75">
      <c r="A39716" s="2" t="s">
        <v>452</v>
      </c>
    </row>
    <row r="39717" spans="1:1" ht="12.75">
      <c r="A39717" s="2" t="s">
        <v>439</v>
      </c>
    </row>
    <row r="39718" spans="1:1" ht="12.75">
      <c r="A39718" s="2" t="s">
        <v>439</v>
      </c>
    </row>
    <row r="39719" spans="1:1" ht="12.75">
      <c r="A39719" s="2" t="s">
        <v>492</v>
      </c>
    </row>
    <row r="39720" spans="1:1" ht="12.75">
      <c r="A39720" s="2" t="s">
        <v>492</v>
      </c>
    </row>
    <row r="39721" spans="1:1" ht="12.75">
      <c r="A39721" s="2" t="s">
        <v>438</v>
      </c>
    </row>
    <row r="39722" spans="1:1" ht="12.75">
      <c r="A39722" s="2" t="s">
        <v>440</v>
      </c>
    </row>
    <row r="39723" spans="1:1" ht="12.75">
      <c r="A39723" s="2" t="s">
        <v>443</v>
      </c>
    </row>
    <row r="39724" spans="1:1" ht="12.75">
      <c r="A39724" s="2" t="s">
        <v>443</v>
      </c>
    </row>
    <row r="39725" spans="1:1" ht="12.75">
      <c r="A39725" s="2" t="s">
        <v>612</v>
      </c>
    </row>
    <row r="39726" spans="1:1" ht="12.75">
      <c r="A39726" s="2" t="s">
        <v>612</v>
      </c>
    </row>
    <row r="39727" spans="1:1" ht="12.75">
      <c r="A39727" s="2" t="s">
        <v>438</v>
      </c>
    </row>
    <row r="39728" spans="1:1" ht="12.75">
      <c r="A39728" s="2" t="s">
        <v>491</v>
      </c>
    </row>
    <row r="39729" spans="1:1" ht="12.75">
      <c r="A39729" s="2" t="s">
        <v>613</v>
      </c>
    </row>
    <row r="39730" spans="1:1" ht="12.75">
      <c r="A39730" s="2" t="s">
        <v>613</v>
      </c>
    </row>
    <row r="39731" spans="1:1" ht="12.75">
      <c r="A39731" s="2" t="s">
        <v>438</v>
      </c>
    </row>
    <row r="39732" spans="1:1" ht="12.75">
      <c r="A39732" s="2" t="s">
        <v>440</v>
      </c>
    </row>
    <row r="39733" spans="1:1" ht="12.75">
      <c r="A39733" s="2" t="s">
        <v>1166</v>
      </c>
    </row>
    <row r="39734" spans="1:1" ht="12.75">
      <c r="A39734" s="2" t="s">
        <v>1166</v>
      </c>
    </row>
    <row r="39735" spans="1:1" ht="12.75">
      <c r="A39735" s="2" t="s">
        <v>1166</v>
      </c>
    </row>
    <row r="39736" spans="1:1" ht="12.75">
      <c r="A39736" s="2" t="s">
        <v>1166</v>
      </c>
    </row>
    <row r="39737" spans="1:1" ht="12.75">
      <c r="A39737" s="2" t="s">
        <v>1166</v>
      </c>
    </row>
    <row r="39738" spans="1:1" ht="12.75">
      <c r="A39738" s="2" t="s">
        <v>1166</v>
      </c>
    </row>
    <row r="39739" spans="1:1" ht="12.75">
      <c r="A39739" s="2" t="s">
        <v>1166</v>
      </c>
    </row>
    <row r="39740" spans="1:1" ht="12.75">
      <c r="A39740" s="2" t="s">
        <v>1166</v>
      </c>
    </row>
    <row r="39741" spans="1:1" ht="12.75">
      <c r="A39741" s="2" t="s">
        <v>1166</v>
      </c>
    </row>
    <row r="39742" spans="1:1" ht="12.75">
      <c r="A39742" s="2" t="s">
        <v>1166</v>
      </c>
    </row>
    <row r="39743" spans="1:1" ht="12.75">
      <c r="A39743" s="2" t="s">
        <v>483</v>
      </c>
    </row>
    <row r="39744" spans="1:1" ht="12.75">
      <c r="A39744" s="2" t="s">
        <v>483</v>
      </c>
    </row>
    <row r="39745" spans="1:1" ht="12.75">
      <c r="A39745" s="2" t="s">
        <v>483</v>
      </c>
    </row>
    <row r="39746" spans="1:1" ht="12.75">
      <c r="A39746" s="2" t="s">
        <v>483</v>
      </c>
    </row>
    <row r="39747" spans="1:1" ht="12.75">
      <c r="A39747" s="2" t="s">
        <v>483</v>
      </c>
    </row>
    <row r="39748" spans="1:1" ht="12.75">
      <c r="A39748" s="2" t="s">
        <v>483</v>
      </c>
    </row>
    <row r="39749" spans="1:1" ht="12.75">
      <c r="A39749" s="2" t="s">
        <v>483</v>
      </c>
    </row>
    <row r="39750" spans="1:1" ht="12.75">
      <c r="A39750" s="2" t="s">
        <v>483</v>
      </c>
    </row>
    <row r="39751" spans="1:1" ht="12.75">
      <c r="A39751" s="2" t="s">
        <v>483</v>
      </c>
    </row>
    <row r="39752" spans="1:1" ht="12.75">
      <c r="A39752" s="2" t="s">
        <v>483</v>
      </c>
    </row>
    <row r="39753" spans="1:1" ht="12.75">
      <c r="A39753" s="2" t="s">
        <v>849</v>
      </c>
    </row>
    <row r="39754" spans="1:1" ht="12.75">
      <c r="A39754" s="2" t="s">
        <v>849</v>
      </c>
    </row>
    <row r="39755" spans="1:1" ht="12.75">
      <c r="A39755" s="2" t="s">
        <v>849</v>
      </c>
    </row>
    <row r="39756" spans="1:1" ht="12.75">
      <c r="A39756" s="2" t="s">
        <v>849</v>
      </c>
    </row>
    <row r="39757" spans="1:1" ht="12.75">
      <c r="A39757" s="2" t="s">
        <v>849</v>
      </c>
    </row>
    <row r="39758" spans="1:1" ht="12.75">
      <c r="A39758" s="2" t="s">
        <v>849</v>
      </c>
    </row>
    <row r="39759" spans="1:1" ht="12.75">
      <c r="A39759" s="2" t="s">
        <v>849</v>
      </c>
    </row>
    <row r="39760" spans="1:1" ht="12.75">
      <c r="A39760" s="2" t="s">
        <v>849</v>
      </c>
    </row>
    <row r="39761" spans="1:1" ht="12.75">
      <c r="A39761" s="2" t="s">
        <v>849</v>
      </c>
    </row>
    <row r="39762" spans="1:1" ht="12.75">
      <c r="A39762" s="2" t="s">
        <v>849</v>
      </c>
    </row>
    <row r="39763" spans="1:1" ht="12.75">
      <c r="A39763" s="2" t="s">
        <v>852</v>
      </c>
    </row>
    <row r="39764" spans="1:1" ht="12.75">
      <c r="A39764" s="2" t="s">
        <v>852</v>
      </c>
    </row>
    <row r="39765" spans="1:1" ht="12.75">
      <c r="A39765" s="2" t="s">
        <v>852</v>
      </c>
    </row>
    <row r="39766" spans="1:1" ht="12.75">
      <c r="A39766" s="2" t="s">
        <v>621</v>
      </c>
    </row>
    <row r="39767" spans="1:1" ht="12.75">
      <c r="A39767" s="2" t="s">
        <v>852</v>
      </c>
    </row>
    <row r="39768" spans="1:1" ht="12.75">
      <c r="A39768" s="2" t="s">
        <v>848</v>
      </c>
    </row>
    <row r="39769" spans="1:1" ht="12.75">
      <c r="A39769" s="2" t="s">
        <v>846</v>
      </c>
    </row>
    <row r="39770" spans="1:1" ht="12.75">
      <c r="A39770" s="2" t="s">
        <v>849</v>
      </c>
    </row>
    <row r="39771" spans="1:1" ht="12.75">
      <c r="A39771" s="2" t="s">
        <v>852</v>
      </c>
    </row>
    <row r="39772" spans="1:1" ht="12.75">
      <c r="A39772" s="2" t="s">
        <v>852</v>
      </c>
    </row>
    <row r="39773" spans="1:1" ht="12.75">
      <c r="A39773" s="2" t="s">
        <v>849</v>
      </c>
    </row>
    <row r="39774" spans="1:1" ht="12.75">
      <c r="A39774" s="2" t="s">
        <v>849</v>
      </c>
    </row>
    <row r="39775" spans="1:1" ht="12.75">
      <c r="A39775" s="2" t="s">
        <v>849</v>
      </c>
    </row>
    <row r="39776" spans="1:1" ht="12.75">
      <c r="A39776" s="2" t="s">
        <v>849</v>
      </c>
    </row>
    <row r="39777" spans="1:1" ht="12.75">
      <c r="A39777" s="2" t="s">
        <v>849</v>
      </c>
    </row>
    <row r="39778" spans="1:1" ht="12.75">
      <c r="A39778" s="2" t="s">
        <v>849</v>
      </c>
    </row>
    <row r="39779" spans="1:1" ht="12.75">
      <c r="A39779" s="2" t="s">
        <v>849</v>
      </c>
    </row>
    <row r="39780" spans="1:1" ht="12.75">
      <c r="A39780" s="2" t="s">
        <v>849</v>
      </c>
    </row>
    <row r="39781" spans="1:1" ht="12.75">
      <c r="A39781" s="2" t="s">
        <v>849</v>
      </c>
    </row>
    <row r="39782" spans="1:1" ht="12.75">
      <c r="A39782" s="2" t="s">
        <v>849</v>
      </c>
    </row>
    <row r="39783" spans="1:1" ht="12.75">
      <c r="A39783" s="2" t="s">
        <v>849</v>
      </c>
    </row>
    <row r="39784" spans="1:1" ht="12.75">
      <c r="A39784" s="2" t="s">
        <v>849</v>
      </c>
    </row>
    <row r="39785" spans="1:1" ht="12.75">
      <c r="A39785" s="2" t="s">
        <v>1059</v>
      </c>
    </row>
    <row r="39786" spans="1:1" ht="12.75">
      <c r="A39786" s="2" t="s">
        <v>1059</v>
      </c>
    </row>
    <row r="39787" spans="1:1" ht="12.75">
      <c r="A39787" s="2" t="s">
        <v>1059</v>
      </c>
    </row>
    <row r="39788" spans="1:1" ht="12.75">
      <c r="A39788" s="2" t="s">
        <v>845</v>
      </c>
    </row>
    <row r="39789" spans="1:1" ht="12.75">
      <c r="A39789" s="2" t="s">
        <v>845</v>
      </c>
    </row>
    <row r="39790" spans="1:1" ht="12.75">
      <c r="A39790" s="2" t="s">
        <v>845</v>
      </c>
    </row>
    <row r="39791" spans="1:1" ht="12.75">
      <c r="A39791" s="2" t="s">
        <v>845</v>
      </c>
    </row>
    <row r="39792" spans="1:1" ht="12.75">
      <c r="A39792" s="2" t="s">
        <v>845</v>
      </c>
    </row>
    <row r="39793" spans="1:1" ht="12.75">
      <c r="A39793" s="2" t="s">
        <v>446</v>
      </c>
    </row>
    <row r="39794" spans="1:1" ht="12.75">
      <c r="A39794" s="2" t="s">
        <v>446</v>
      </c>
    </row>
    <row r="39795" spans="1:1" ht="12.75">
      <c r="A39795" s="2" t="s">
        <v>446</v>
      </c>
    </row>
    <row r="39796" spans="1:1" ht="12.75">
      <c r="A39796" s="2" t="s">
        <v>446</v>
      </c>
    </row>
    <row r="39797" spans="1:1" ht="12.75">
      <c r="A39797" s="2" t="s">
        <v>473</v>
      </c>
    </row>
    <row r="39798" spans="1:1" ht="12.75">
      <c r="A39798" s="2" t="s">
        <v>446</v>
      </c>
    </row>
    <row r="39799" spans="1:1" ht="12.75">
      <c r="A39799" s="2" t="s">
        <v>447</v>
      </c>
    </row>
    <row r="39800" spans="1:1" ht="12.75">
      <c r="A39800" s="2" t="s">
        <v>473</v>
      </c>
    </row>
    <row r="39801" spans="1:1" ht="12.75">
      <c r="A39801" s="2" t="s">
        <v>853</v>
      </c>
    </row>
    <row r="39802" spans="1:1" ht="12.75">
      <c r="A39802" s="2" t="s">
        <v>853</v>
      </c>
    </row>
    <row r="39803" spans="1:1" ht="12.75">
      <c r="A39803" s="2" t="s">
        <v>443</v>
      </c>
    </row>
    <row r="39804" spans="1:1" ht="12.75">
      <c r="A39804" s="2" t="s">
        <v>443</v>
      </c>
    </row>
    <row r="39805" spans="1:1" ht="12.75">
      <c r="A39805" s="2" t="s">
        <v>440</v>
      </c>
    </row>
    <row r="39806" spans="1:1" ht="12.75">
      <c r="A39806" s="2" t="s">
        <v>492</v>
      </c>
    </row>
    <row r="39807" spans="1:1" ht="12.75">
      <c r="A39807" s="2" t="s">
        <v>612</v>
      </c>
    </row>
    <row r="39808" spans="1:1" ht="12.75">
      <c r="A39808" s="2" t="s">
        <v>612</v>
      </c>
    </row>
    <row r="39809" spans="1:1" ht="12.75">
      <c r="A39809" s="2" t="s">
        <v>439</v>
      </c>
    </row>
    <row r="39810" spans="1:1" ht="12.75">
      <c r="A39810" s="2" t="s">
        <v>439</v>
      </c>
    </row>
    <row r="39811" spans="1:1" ht="12.75">
      <c r="A39811" s="2" t="s">
        <v>492</v>
      </c>
    </row>
    <row r="39812" spans="1:1" ht="12.75">
      <c r="A39812" s="2" t="s">
        <v>440</v>
      </c>
    </row>
    <row r="39813" spans="1:1" ht="12.75">
      <c r="A39813" s="2" t="s">
        <v>612</v>
      </c>
    </row>
    <row r="39814" spans="1:1" ht="12.75">
      <c r="A39814" s="2" t="s">
        <v>612</v>
      </c>
    </row>
    <row r="39815" spans="1:1" ht="12.75">
      <c r="A39815" s="2" t="s">
        <v>612</v>
      </c>
    </row>
    <row r="39816" spans="1:1" ht="12.75">
      <c r="A39816" s="2" t="s">
        <v>440</v>
      </c>
    </row>
    <row r="39822" spans="1:1" ht="12.75">
      <c r="A39822" s="2" t="s">
        <v>867</v>
      </c>
    </row>
    <row r="39823" spans="1:1" ht="12.75">
      <c r="A39823" s="2" t="s">
        <v>1382</v>
      </c>
    </row>
    <row r="39824" spans="1:1" ht="12.75">
      <c r="A39824" s="2" t="s">
        <v>1382</v>
      </c>
    </row>
    <row r="39825" spans="1:1" ht="12.75">
      <c r="A39825" s="2" t="s">
        <v>867</v>
      </c>
    </row>
    <row r="39826" spans="1:1" ht="12.75">
      <c r="A39826" s="2" t="s">
        <v>1383</v>
      </c>
    </row>
    <row r="39827" spans="1:1" ht="12.75">
      <c r="A39827" s="2" t="s">
        <v>853</v>
      </c>
    </row>
    <row r="39828" spans="1:1" ht="12.75">
      <c r="A39828" s="2" t="s">
        <v>853</v>
      </c>
    </row>
    <row r="39829" spans="1:1" ht="12.75">
      <c r="A39829" s="2" t="s">
        <v>440</v>
      </c>
    </row>
    <row r="39830" spans="1:1" ht="12.75">
      <c r="A39830" s="2" t="s">
        <v>492</v>
      </c>
    </row>
    <row r="39831" spans="1:1" ht="12.75">
      <c r="A39831" s="2" t="s">
        <v>439</v>
      </c>
    </row>
    <row r="39832" spans="1:1" ht="12.75">
      <c r="A39832" s="2" t="s">
        <v>439</v>
      </c>
    </row>
    <row r="39833" spans="1:1" ht="12.75">
      <c r="A39833" s="2" t="s">
        <v>613</v>
      </c>
    </row>
    <row r="39834" spans="1:1" ht="12.75">
      <c r="A39834" s="2" t="s">
        <v>613</v>
      </c>
    </row>
    <row r="39835" spans="1:1" ht="12.75">
      <c r="A39835" s="2" t="s">
        <v>440</v>
      </c>
    </row>
    <row r="39836" spans="1:1" ht="12.75">
      <c r="A39836" s="2" t="s">
        <v>612</v>
      </c>
    </row>
    <row r="39837" spans="1:1" ht="12.75">
      <c r="A39837" s="2" t="s">
        <v>492</v>
      </c>
    </row>
    <row r="39838" spans="1:1" ht="12.75">
      <c r="A39838" s="2" t="s">
        <v>492</v>
      </c>
    </row>
    <row r="39839" spans="1:1" ht="12.75">
      <c r="A39839" s="2" t="s">
        <v>613</v>
      </c>
    </row>
    <row r="39840" spans="1:1" ht="12.75">
      <c r="A39840" s="2" t="s">
        <v>613</v>
      </c>
    </row>
    <row r="39841" spans="1:1" ht="12.75">
      <c r="A39841" s="2" t="s">
        <v>443</v>
      </c>
    </row>
    <row r="39842" spans="1:1" ht="12.75">
      <c r="A39842" s="2" t="s">
        <v>443</v>
      </c>
    </row>
    <row r="39843" spans="1:1" ht="12.75">
      <c r="A39843" s="2" t="s">
        <v>438</v>
      </c>
    </row>
    <row r="39844" spans="1:1" ht="12.75">
      <c r="A39844" s="2" t="s">
        <v>1053</v>
      </c>
    </row>
    <row r="39845" spans="1:1" ht="12.75">
      <c r="A39845" s="2" t="s">
        <v>853</v>
      </c>
    </row>
    <row r="39846" spans="1:1" ht="12.75">
      <c r="A39846" s="2" t="s">
        <v>853</v>
      </c>
    </row>
    <row r="39847" spans="1:1" ht="12.75">
      <c r="A39847" s="2" t="s">
        <v>439</v>
      </c>
    </row>
    <row r="39848" spans="1:1" ht="12.75">
      <c r="A39848" s="2" t="s">
        <v>439</v>
      </c>
    </row>
    <row r="39849" spans="1:1" ht="12.75">
      <c r="A39849" s="2" t="s">
        <v>492</v>
      </c>
    </row>
    <row r="39850" spans="1:1" ht="12.75">
      <c r="A39850" s="2" t="s">
        <v>438</v>
      </c>
    </row>
    <row r="39851" spans="1:1" ht="12.75">
      <c r="A39851" s="2" t="s">
        <v>443</v>
      </c>
    </row>
    <row r="39852" spans="1:1" ht="12.75">
      <c r="A39852" s="2" t="s">
        <v>443</v>
      </c>
    </row>
    <row r="39853" spans="1:1" ht="12.75">
      <c r="A39853" s="2" t="s">
        <v>492</v>
      </c>
    </row>
    <row r="39854" spans="1:1" ht="12.75">
      <c r="A39854" s="2" t="s">
        <v>492</v>
      </c>
    </row>
    <row r="39855" spans="1:1" ht="12.75">
      <c r="A39855" s="2" t="s">
        <v>446</v>
      </c>
    </row>
    <row r="39856" spans="1:1" ht="12.75">
      <c r="A39856" s="2" t="s">
        <v>446</v>
      </c>
    </row>
    <row r="39857" spans="1:1" ht="12.75">
      <c r="A39857" s="2" t="s">
        <v>446</v>
      </c>
    </row>
    <row r="39858" spans="1:1" ht="12.75">
      <c r="A39858" s="2" t="s">
        <v>446</v>
      </c>
    </row>
    <row r="39859" spans="1:1" ht="12.75">
      <c r="A39859" s="2" t="s">
        <v>450</v>
      </c>
    </row>
    <row r="39860" spans="1:1" ht="12.75">
      <c r="A39860" s="2" t="s">
        <v>450</v>
      </c>
    </row>
    <row r="39861" spans="1:1" ht="12.75">
      <c r="A39861" s="2" t="s">
        <v>450</v>
      </c>
    </row>
    <row r="39862" spans="1:1" ht="12.75">
      <c r="A39862" s="2" t="s">
        <v>450</v>
      </c>
    </row>
    <row r="39863" spans="1:1" ht="12.75">
      <c r="A39863" s="2" t="s">
        <v>450</v>
      </c>
    </row>
    <row r="39864" spans="1:1" ht="12.75">
      <c r="A39864" s="2" t="s">
        <v>450</v>
      </c>
    </row>
    <row r="39865" spans="1:1" ht="12.75">
      <c r="A39865" s="2" t="s">
        <v>447</v>
      </c>
    </row>
    <row r="39866" spans="1:1" ht="12.75">
      <c r="A39866" s="2" t="s">
        <v>450</v>
      </c>
    </row>
    <row r="39867" spans="1:1" ht="12.75">
      <c r="A39867" s="2" t="s">
        <v>447</v>
      </c>
    </row>
    <row r="39868" spans="1:1" ht="12.75">
      <c r="A39868" s="2" t="s">
        <v>447</v>
      </c>
    </row>
    <row r="39869" spans="1:1" ht="12.75">
      <c r="A39869" s="2" t="s">
        <v>634</v>
      </c>
    </row>
    <row r="39870" spans="1:1" ht="12.75">
      <c r="A39870" s="2" t="s">
        <v>634</v>
      </c>
    </row>
    <row r="39871" spans="1:1" ht="12.75">
      <c r="A39871" s="2" t="s">
        <v>615</v>
      </c>
    </row>
    <row r="39872" spans="1:1" ht="12.75">
      <c r="A39872" s="2" t="s">
        <v>615</v>
      </c>
    </row>
    <row r="39873" spans="1:1" ht="12.75">
      <c r="A39873" s="2" t="s">
        <v>473</v>
      </c>
    </row>
    <row r="39874" spans="1:1" ht="12.75">
      <c r="A39874" s="2" t="s">
        <v>447</v>
      </c>
    </row>
    <row r="39875" spans="1:1" ht="12.75">
      <c r="A39875" s="2" t="s">
        <v>473</v>
      </c>
    </row>
    <row r="39876" spans="1:1" ht="12.75">
      <c r="A39876" s="2" t="s">
        <v>473</v>
      </c>
    </row>
    <row r="39877" spans="1:1" ht="12.75">
      <c r="A39877" s="2" t="s">
        <v>450</v>
      </c>
    </row>
    <row r="39878" spans="1:1" ht="12.75">
      <c r="A39878" s="2" t="s">
        <v>450</v>
      </c>
    </row>
    <row r="39879" spans="1:1" ht="12.75">
      <c r="A39879" s="2" t="s">
        <v>446</v>
      </c>
    </row>
    <row r="39880" spans="1:1" ht="12.75">
      <c r="A39880" s="2" t="s">
        <v>446</v>
      </c>
    </row>
    <row r="39881" spans="1:1" ht="12.75">
      <c r="A39881" s="2" t="s">
        <v>446</v>
      </c>
    </row>
    <row r="39882" spans="1:1" ht="12.75">
      <c r="A39882" s="2" t="s">
        <v>446</v>
      </c>
    </row>
    <row r="39883" spans="1:1" ht="12.75">
      <c r="A39883" s="2" t="s">
        <v>446</v>
      </c>
    </row>
    <row r="39884" spans="1:1" ht="12.75">
      <c r="A39884" s="2" t="s">
        <v>446</v>
      </c>
    </row>
    <row r="39885" spans="1:1" ht="12.75">
      <c r="A39885" s="2" t="s">
        <v>448</v>
      </c>
    </row>
    <row r="39886" spans="1:1" ht="12.75">
      <c r="A39886" s="2" t="s">
        <v>448</v>
      </c>
    </row>
    <row r="39887" spans="1:1" ht="12.75">
      <c r="A39887" s="2" t="s">
        <v>447</v>
      </c>
    </row>
    <row r="39888" spans="1:1" ht="12.75">
      <c r="A39888" s="2" t="s">
        <v>447</v>
      </c>
    </row>
    <row r="39889" spans="1:1" ht="12.75">
      <c r="A39889" s="2" t="s">
        <v>447</v>
      </c>
    </row>
    <row r="39890" spans="1:1" ht="12.75">
      <c r="A39890" s="2" t="s">
        <v>447</v>
      </c>
    </row>
    <row r="39891" spans="1:1" ht="12.75">
      <c r="A39891" s="2" t="s">
        <v>617</v>
      </c>
    </row>
    <row r="39892" spans="1:1" ht="12.75">
      <c r="A39892" s="2" t="s">
        <v>617</v>
      </c>
    </row>
    <row r="39893" spans="1:1" ht="12.75">
      <c r="A39893" s="2" t="s">
        <v>446</v>
      </c>
    </row>
    <row r="39894" spans="1:1" ht="12.75">
      <c r="A39894" s="2" t="s">
        <v>446</v>
      </c>
    </row>
    <row r="39895" spans="1:1" ht="12.75">
      <c r="A39895" s="2" t="s">
        <v>1384</v>
      </c>
    </row>
    <row r="39896" spans="1:1" ht="12.75">
      <c r="A39896" s="2" t="s">
        <v>404</v>
      </c>
    </row>
    <row r="39897" spans="1:1" ht="12.75">
      <c r="A39897" s="2" t="s">
        <v>432</v>
      </c>
    </row>
    <row r="39898" spans="1:1" ht="12.75">
      <c r="A39898" s="2" t="s">
        <v>622</v>
      </c>
    </row>
    <row r="39899" spans="1:1" ht="12.75">
      <c r="A39899" s="2" t="s">
        <v>817</v>
      </c>
    </row>
    <row r="39900" spans="1:1" ht="12.75">
      <c r="A39900" s="2" t="s">
        <v>817</v>
      </c>
    </row>
    <row r="39901" spans="1:1" ht="12.75">
      <c r="A39901" s="2" t="s">
        <v>443</v>
      </c>
    </row>
    <row r="39902" spans="1:1" ht="12.75">
      <c r="A39902" s="2" t="s">
        <v>438</v>
      </c>
    </row>
    <row r="39903" spans="1:1" ht="12.75">
      <c r="A39903" s="2" t="s">
        <v>438</v>
      </c>
    </row>
    <row r="39904" spans="1:1" ht="12.75">
      <c r="A39904" s="2" t="s">
        <v>439</v>
      </c>
    </row>
    <row r="39905" spans="1:1" ht="12.75">
      <c r="A39905" s="2" t="s">
        <v>439</v>
      </c>
    </row>
    <row r="39906" spans="1:1" ht="12.75">
      <c r="A39906" s="2" t="s">
        <v>439</v>
      </c>
    </row>
    <row r="39907" spans="1:1" ht="12.75">
      <c r="A39907" s="2" t="s">
        <v>612</v>
      </c>
    </row>
    <row r="39908" spans="1:1" ht="12.75">
      <c r="A39908" s="2" t="s">
        <v>612</v>
      </c>
    </row>
    <row r="39909" spans="1:1" ht="12.75">
      <c r="A39909" s="2" t="s">
        <v>853</v>
      </c>
    </row>
    <row r="39910" spans="1:1" ht="12.75">
      <c r="A39910" s="2" t="s">
        <v>439</v>
      </c>
    </row>
    <row r="39911" spans="1:1" ht="12.75">
      <c r="A39911" s="2" t="s">
        <v>612</v>
      </c>
    </row>
    <row r="39912" spans="1:1" ht="12.75">
      <c r="A39912" s="2" t="s">
        <v>613</v>
      </c>
    </row>
    <row r="39913" spans="1:1" ht="12.75">
      <c r="A39913" s="2" t="s">
        <v>613</v>
      </c>
    </row>
    <row r="39914" spans="1:1" ht="12.75">
      <c r="A39914" s="2" t="s">
        <v>440</v>
      </c>
    </row>
    <row r="39915" spans="1:1" ht="12.75">
      <c r="A39915" s="2" t="s">
        <v>439</v>
      </c>
    </row>
    <row r="39916" spans="1:1" ht="12.75">
      <c r="A39916" s="2" t="s">
        <v>439</v>
      </c>
    </row>
    <row r="39917" spans="1:1" ht="12.75">
      <c r="A39917" s="2" t="s">
        <v>613</v>
      </c>
    </row>
    <row r="39918" spans="1:1" ht="12.75">
      <c r="A39918" s="2" t="s">
        <v>613</v>
      </c>
    </row>
    <row r="39919" spans="1:1" ht="12.75">
      <c r="A39919" s="2" t="s">
        <v>853</v>
      </c>
    </row>
    <row r="39920" spans="1:1" ht="12.75">
      <c r="A39920" s="2" t="s">
        <v>438</v>
      </c>
    </row>
    <row r="39921" spans="1:1" ht="12.75">
      <c r="A39921" s="2" t="s">
        <v>615</v>
      </c>
    </row>
    <row r="39922" spans="1:1" ht="12.75">
      <c r="A39922" s="2" t="s">
        <v>615</v>
      </c>
    </row>
    <row r="39923" spans="1:1" ht="12.75">
      <c r="A39923" s="2" t="s">
        <v>448</v>
      </c>
    </row>
    <row r="39924" spans="1:1" ht="12.75">
      <c r="A39924" s="2" t="s">
        <v>448</v>
      </c>
    </row>
    <row r="39925" spans="1:1" ht="12.75">
      <c r="A39925" s="2" t="s">
        <v>634</v>
      </c>
    </row>
    <row r="39926" spans="1:1" ht="12.75">
      <c r="A39926" s="2" t="s">
        <v>446</v>
      </c>
    </row>
    <row r="39927" spans="1:1" ht="12.75">
      <c r="A39927" s="2" t="s">
        <v>634</v>
      </c>
    </row>
    <row r="39928" spans="1:1" ht="12.75">
      <c r="A39928" s="2" t="s">
        <v>634</v>
      </c>
    </row>
    <row r="39929" spans="1:1" ht="12.75">
      <c r="A39929" s="2" t="s">
        <v>446</v>
      </c>
    </row>
    <row r="39930" spans="1:1" ht="12.75">
      <c r="A39930" s="2" t="s">
        <v>446</v>
      </c>
    </row>
    <row r="39931" spans="1:1" ht="12.75">
      <c r="A39931" s="2" t="s">
        <v>447</v>
      </c>
    </row>
    <row r="39932" spans="1:1" ht="12.75">
      <c r="A39932" s="2" t="s">
        <v>447</v>
      </c>
    </row>
    <row r="39933" spans="1:1" ht="12.75">
      <c r="A39933" s="2" t="s">
        <v>447</v>
      </c>
    </row>
    <row r="39934" spans="1:1" ht="12.75">
      <c r="A39934" s="2" t="s">
        <v>447</v>
      </c>
    </row>
    <row r="39935" spans="1:1" ht="12.75">
      <c r="A39935" s="2" t="s">
        <v>473</v>
      </c>
    </row>
    <row r="39936" spans="1:1" ht="12.75">
      <c r="A39936" s="2" t="s">
        <v>446</v>
      </c>
    </row>
    <row r="39937" spans="1:1" ht="12.75">
      <c r="A39937" s="2" t="s">
        <v>473</v>
      </c>
    </row>
    <row r="39938" spans="1:1" ht="12.75">
      <c r="A39938" s="2" t="s">
        <v>473</v>
      </c>
    </row>
    <row r="39939" spans="1:1" ht="12.75">
      <c r="A39939" s="2" t="s">
        <v>450</v>
      </c>
    </row>
    <row r="39940" spans="1:1" ht="12.75">
      <c r="A39940" s="2" t="s">
        <v>450</v>
      </c>
    </row>
    <row r="39941" spans="1:1" ht="12.75">
      <c r="A39941" s="2" t="s">
        <v>447</v>
      </c>
    </row>
    <row r="39942" spans="1:1" ht="12.75">
      <c r="A39942" s="2" t="s">
        <v>447</v>
      </c>
    </row>
    <row r="39943" spans="1:1" ht="12.75">
      <c r="A39943" s="2" t="s">
        <v>448</v>
      </c>
    </row>
    <row r="39944" spans="1:1" ht="12.75">
      <c r="A39944" s="2" t="s">
        <v>447</v>
      </c>
    </row>
    <row r="39945" spans="1:1" ht="12.75">
      <c r="A39945" s="2" t="s">
        <v>448</v>
      </c>
    </row>
    <row r="39946" spans="1:1" ht="12.75">
      <c r="A39946" s="2" t="s">
        <v>448</v>
      </c>
    </row>
    <row r="39947" spans="1:1" ht="12.75">
      <c r="A39947" s="2" t="s">
        <v>448</v>
      </c>
    </row>
    <row r="39948" spans="1:1" ht="12.75">
      <c r="A39948" s="2" t="s">
        <v>448</v>
      </c>
    </row>
    <row r="39949" spans="1:1" ht="12.75">
      <c r="A39949" s="2" t="s">
        <v>450</v>
      </c>
    </row>
    <row r="39950" spans="1:1" ht="12.75">
      <c r="A39950" s="2" t="s">
        <v>450</v>
      </c>
    </row>
    <row r="39951" spans="1:1" ht="12.75">
      <c r="A39951" s="2" t="s">
        <v>446</v>
      </c>
    </row>
    <row r="39952" spans="1:1" ht="12.75">
      <c r="A39952" s="2" t="s">
        <v>450</v>
      </c>
    </row>
    <row r="39953" spans="1:1" ht="12.75">
      <c r="A39953" s="2" t="s">
        <v>446</v>
      </c>
    </row>
    <row r="39954" spans="1:1" ht="12.75">
      <c r="A39954" s="2" t="s">
        <v>446</v>
      </c>
    </row>
    <row r="39955" spans="1:1" ht="12.75">
      <c r="A39955" s="2" t="s">
        <v>446</v>
      </c>
    </row>
    <row r="39956" spans="1:1" ht="12.75">
      <c r="A39956" s="2" t="s">
        <v>446</v>
      </c>
    </row>
    <row r="39957" spans="1:1" ht="12.75">
      <c r="A39957" s="2" t="s">
        <v>446</v>
      </c>
    </row>
    <row r="39958" spans="1:1" ht="12.75">
      <c r="A39958" s="2" t="s">
        <v>446</v>
      </c>
    </row>
    <row r="39959" spans="1:1" ht="12.75">
      <c r="A39959" s="2" t="s">
        <v>446</v>
      </c>
    </row>
    <row r="39960" spans="1:1" ht="12.75">
      <c r="A39960" s="2" t="s">
        <v>446</v>
      </c>
    </row>
    <row r="39961" spans="1:1" ht="12.75">
      <c r="A39961" s="2" t="s">
        <v>446</v>
      </c>
    </row>
    <row r="39962" spans="1:1" ht="12.75">
      <c r="A39962" s="2" t="s">
        <v>446</v>
      </c>
    </row>
    <row r="39963" spans="1:1" ht="12.75">
      <c r="A39963" s="2" t="s">
        <v>450</v>
      </c>
    </row>
    <row r="39964" spans="1:1" ht="12.75">
      <c r="A39964" s="2" t="s">
        <v>450</v>
      </c>
    </row>
    <row r="39965" spans="1:1" ht="12.75">
      <c r="A39965" s="2" t="s">
        <v>450</v>
      </c>
    </row>
    <row r="39966" spans="1:1" ht="12.75">
      <c r="A39966" s="2" t="s">
        <v>450</v>
      </c>
    </row>
    <row r="39967" spans="1:1" ht="12.75">
      <c r="A39967" s="2" t="s">
        <v>473</v>
      </c>
    </row>
    <row r="39968" spans="1:1" ht="12.75">
      <c r="A39968" s="2" t="s">
        <v>473</v>
      </c>
    </row>
    <row r="39969" spans="1:1" ht="12.75">
      <c r="A39969" s="2" t="s">
        <v>473</v>
      </c>
    </row>
    <row r="39970" spans="1:1" ht="12.75">
      <c r="A39970" s="2" t="s">
        <v>473</v>
      </c>
    </row>
    <row r="39971" spans="1:1" ht="12.75">
      <c r="A39971" s="2" t="s">
        <v>448</v>
      </c>
    </row>
    <row r="39972" spans="1:1" ht="12.75">
      <c r="A39972" s="2" t="s">
        <v>448</v>
      </c>
    </row>
    <row r="39973" spans="1:1" ht="12.75">
      <c r="A39973" s="2" t="s">
        <v>851</v>
      </c>
    </row>
    <row r="39974" spans="1:1" ht="12.75">
      <c r="A39974" s="2" t="s">
        <v>1174</v>
      </c>
    </row>
    <row r="39975" spans="1:1" ht="12.75">
      <c r="A39975" s="2" t="s">
        <v>1174</v>
      </c>
    </row>
    <row r="39976" spans="1:1" ht="12.75">
      <c r="A39976" s="2" t="s">
        <v>851</v>
      </c>
    </row>
    <row r="39977" spans="1:1" ht="12.75">
      <c r="A39977" s="2" t="s">
        <v>851</v>
      </c>
    </row>
    <row r="39978" spans="1:1" ht="12.75">
      <c r="A39978" s="2" t="s">
        <v>846</v>
      </c>
    </row>
    <row r="39979" spans="1:1" ht="12.75">
      <c r="A39979" s="2" t="s">
        <v>1059</v>
      </c>
    </row>
    <row r="39980" spans="1:1" ht="12.75">
      <c r="A39980" s="2" t="s">
        <v>1059</v>
      </c>
    </row>
    <row r="39981" spans="1:1" ht="12.75">
      <c r="A39981" s="2" t="s">
        <v>852</v>
      </c>
    </row>
    <row r="39982" spans="1:1" ht="12.75">
      <c r="A39982" s="2" t="s">
        <v>852</v>
      </c>
    </row>
    <row r="39983" spans="1:1" ht="12.75">
      <c r="A39983" s="2" t="s">
        <v>1385</v>
      </c>
    </row>
    <row r="39984" spans="1:1" ht="12.75">
      <c r="A39984" s="2" t="s">
        <v>1386</v>
      </c>
    </row>
    <row r="39985" spans="1:1" ht="12.75">
      <c r="A39985" s="2" t="s">
        <v>1387</v>
      </c>
    </row>
    <row r="39986" spans="1:1" ht="12.75">
      <c r="A39986" s="2" t="s">
        <v>1387</v>
      </c>
    </row>
    <row r="39987" spans="1:1" ht="12.75">
      <c r="A39987" s="2" t="s">
        <v>1387</v>
      </c>
    </row>
    <row r="39988" spans="1:1" ht="12.75">
      <c r="A39988" s="2" t="s">
        <v>1387</v>
      </c>
    </row>
    <row r="39989" spans="1:1" ht="12.75">
      <c r="A39989" s="2" t="s">
        <v>1387</v>
      </c>
    </row>
    <row r="39990" spans="1:1" ht="12.75">
      <c r="A39990" s="2" t="s">
        <v>1387</v>
      </c>
    </row>
    <row r="39991" spans="1:1" ht="12.75">
      <c r="A39991" s="2" t="s">
        <v>483</v>
      </c>
    </row>
    <row r="39992" spans="1:1" ht="12.75">
      <c r="A39992" s="2" t="s">
        <v>1388</v>
      </c>
    </row>
    <row r="39993" spans="1:1" ht="12.75">
      <c r="A39993" s="2" t="s">
        <v>483</v>
      </c>
    </row>
    <row r="39994" spans="1:1" ht="12.75">
      <c r="A39994" s="2" t="s">
        <v>483</v>
      </c>
    </row>
    <row r="39995" spans="1:1" ht="12.75">
      <c r="A39995" s="2" t="s">
        <v>483</v>
      </c>
    </row>
    <row r="39996" spans="1:1" ht="12.75">
      <c r="A39996" s="2" t="s">
        <v>483</v>
      </c>
    </row>
    <row r="39997" spans="1:1" ht="12.75">
      <c r="A39997" s="2" t="s">
        <v>483</v>
      </c>
    </row>
    <row r="39998" spans="1:1" ht="12.75">
      <c r="A39998" s="2" t="s">
        <v>1389</v>
      </c>
    </row>
    <row r="39999" spans="1:1" ht="12.75">
      <c r="A39999" s="2" t="s">
        <v>483</v>
      </c>
    </row>
    <row r="40000" spans="1:1" ht="12.75">
      <c r="A40000" s="2" t="s">
        <v>483</v>
      </c>
    </row>
    <row r="40001" spans="1:1" ht="12.75">
      <c r="A40001" s="2" t="s">
        <v>483</v>
      </c>
    </row>
    <row r="40002" spans="1:1" ht="12.75">
      <c r="A40002" s="2" t="s">
        <v>483</v>
      </c>
    </row>
    <row r="40003" spans="1:1" ht="12.75">
      <c r="A40003" s="2" t="s">
        <v>849</v>
      </c>
    </row>
    <row r="40004" spans="1:1" ht="12.75">
      <c r="A40004" s="2" t="s">
        <v>849</v>
      </c>
    </row>
    <row r="40005" spans="1:1" ht="12.75">
      <c r="A40005" s="2" t="s">
        <v>1059</v>
      </c>
    </row>
    <row r="40006" spans="1:1" ht="12.75">
      <c r="A40006" s="2" t="s">
        <v>1059</v>
      </c>
    </row>
    <row r="40007" spans="1:1" ht="12.75">
      <c r="A40007" s="2" t="s">
        <v>849</v>
      </c>
    </row>
    <row r="40008" spans="1:1" ht="12.75">
      <c r="A40008" s="2" t="s">
        <v>849</v>
      </c>
    </row>
    <row r="40009" spans="1:1" ht="12.75">
      <c r="A40009" s="2" t="s">
        <v>1390</v>
      </c>
    </row>
    <row r="40010" spans="1:1" ht="12.75">
      <c r="A40010" s="2" t="s">
        <v>849</v>
      </c>
    </row>
    <row r="40011" spans="1:1" ht="12.75">
      <c r="A40011" s="2" t="s">
        <v>849</v>
      </c>
    </row>
    <row r="40012" spans="1:1" ht="12.75">
      <c r="A40012" s="2" t="s">
        <v>849</v>
      </c>
    </row>
    <row r="40013" spans="1:1" ht="12.75">
      <c r="A40013" s="2" t="s">
        <v>449</v>
      </c>
    </row>
    <row r="40014" spans="1:1" ht="12.75">
      <c r="A40014" s="2" t="s">
        <v>477</v>
      </c>
    </row>
    <row r="40015" spans="1:1" ht="12.75">
      <c r="A40015" s="2" t="s">
        <v>477</v>
      </c>
    </row>
    <row r="40016" spans="1:1" ht="12.75">
      <c r="A40016" s="2" t="s">
        <v>449</v>
      </c>
    </row>
    <row r="40017" spans="1:1" ht="12.75">
      <c r="A40017" s="2" t="s">
        <v>623</v>
      </c>
    </row>
    <row r="40018" spans="1:1" ht="12.75">
      <c r="A40018" s="2" t="s">
        <v>623</v>
      </c>
    </row>
    <row r="40019" spans="1:1" ht="12.75">
      <c r="A40019" s="2" t="s">
        <v>623</v>
      </c>
    </row>
    <row r="40020" spans="1:1" ht="12.75">
      <c r="A40020" s="2" t="s">
        <v>623</v>
      </c>
    </row>
    <row r="40021" spans="1:1" ht="12.75">
      <c r="A40021" s="2" t="s">
        <v>437</v>
      </c>
    </row>
    <row r="40022" spans="1:1" ht="12.75">
      <c r="A40022" s="2" t="s">
        <v>620</v>
      </c>
    </row>
    <row r="40023" spans="1:1" ht="12.75">
      <c r="A40023" s="2" t="s">
        <v>437</v>
      </c>
    </row>
    <row r="40024" spans="1:1" ht="12.75">
      <c r="A40024" s="2" t="s">
        <v>816</v>
      </c>
    </row>
    <row r="40025" spans="1:1" ht="12.75">
      <c r="A40025" s="2" t="s">
        <v>404</v>
      </c>
    </row>
    <row r="40026" spans="1:1" ht="12.75">
      <c r="A40026" s="2" t="s">
        <v>404</v>
      </c>
    </row>
    <row r="40027" spans="1:1" ht="12.75">
      <c r="A40027" s="2" t="s">
        <v>169</v>
      </c>
    </row>
    <row r="40028" spans="1:1" ht="12.75">
      <c r="A40028" s="2" t="s">
        <v>160</v>
      </c>
    </row>
    <row r="40029" spans="1:1" ht="12.75">
      <c r="A40029" s="2" t="s">
        <v>169</v>
      </c>
    </row>
    <row r="40030" spans="1:1" ht="12.75">
      <c r="A40030" s="2" t="s">
        <v>160</v>
      </c>
    </row>
    <row r="40031" spans="1:1" ht="12.75">
      <c r="A40031" s="2" t="s">
        <v>170</v>
      </c>
    </row>
    <row r="40032" spans="1:1" ht="12.75">
      <c r="A40032" s="2" t="s">
        <v>183</v>
      </c>
    </row>
    <row r="40033" spans="1:1" ht="12.75">
      <c r="A40033" s="2" t="s">
        <v>160</v>
      </c>
    </row>
    <row r="40034" spans="1:1" ht="12.75">
      <c r="A40034" s="2" t="s">
        <v>183</v>
      </c>
    </row>
    <row r="40035" spans="1:1" ht="12.75">
      <c r="A40035" s="2" t="s">
        <v>184</v>
      </c>
    </row>
    <row r="40037" spans="1:1" ht="12.75">
      <c r="A40037" s="2" t="s">
        <v>184</v>
      </c>
    </row>
    <row r="40038" spans="1:1" ht="12.75">
      <c r="A40038" s="2" t="s">
        <v>225</v>
      </c>
    </row>
    <row r="40039" spans="1:1" ht="12.75">
      <c r="A40039" s="2" t="s">
        <v>170</v>
      </c>
    </row>
    <row r="40040" spans="1:1" ht="12.75">
      <c r="A40040" s="2" t="s">
        <v>225</v>
      </c>
    </row>
    <row r="40041" spans="1:1" ht="12.75">
      <c r="A40041" s="2" t="s">
        <v>176</v>
      </c>
    </row>
    <row r="40042" spans="1:1" ht="12.75">
      <c r="A40042" s="2" t="s">
        <v>173</v>
      </c>
    </row>
    <row r="40043" spans="1:1" ht="12.75">
      <c r="A40043" s="2" t="s">
        <v>176</v>
      </c>
    </row>
    <row r="40044" spans="1:1" ht="12.75">
      <c r="A40044" s="2" t="s">
        <v>173</v>
      </c>
    </row>
    <row r="40045" spans="1:1" ht="12.75">
      <c r="A40045" s="2" t="s">
        <v>193</v>
      </c>
    </row>
    <row r="40047" spans="1:1" ht="12.75">
      <c r="A40047" s="2" t="s">
        <v>193</v>
      </c>
    </row>
    <row r="40048" spans="1:1" ht="12.75">
      <c r="A40048" s="2" t="s">
        <v>176</v>
      </c>
    </row>
    <row r="40049" spans="1:1" ht="12.75">
      <c r="A40049" s="2" t="s">
        <v>224</v>
      </c>
    </row>
    <row r="40050" spans="1:1" ht="12.75">
      <c r="A40050" s="2" t="s">
        <v>172</v>
      </c>
    </row>
    <row r="40051" spans="1:1" ht="12.75">
      <c r="A40051" s="2" t="s">
        <v>224</v>
      </c>
    </row>
    <row r="40052" spans="1:1" ht="12.75">
      <c r="A40052" s="2" t="s">
        <v>168</v>
      </c>
    </row>
    <row r="40053" spans="1:1" ht="12.75">
      <c r="A40053" s="2" t="s">
        <v>224</v>
      </c>
    </row>
    <row r="40054" spans="1:1" ht="12.75">
      <c r="A40054" s="2" t="s">
        <v>168</v>
      </c>
    </row>
    <row r="40055" spans="1:1" ht="12.75">
      <c r="A40055" s="2" t="s">
        <v>178</v>
      </c>
    </row>
    <row r="40057" spans="1:1" ht="12.75">
      <c r="A40057" s="2" t="s">
        <v>172</v>
      </c>
    </row>
    <row r="40059" spans="1:1" ht="12.75">
      <c r="A40059" s="2" t="s">
        <v>735</v>
      </c>
    </row>
    <row r="40060" spans="1:1" ht="12.75">
      <c r="A40060" s="2" t="s">
        <v>185</v>
      </c>
    </row>
    <row r="40061" spans="1:1" ht="12.75">
      <c r="A40061" s="2" t="s">
        <v>189</v>
      </c>
    </row>
    <row r="40062" spans="1:1" ht="12.75">
      <c r="A40062" s="2" t="s">
        <v>171</v>
      </c>
    </row>
    <row r="40063" spans="1:1" ht="12.75">
      <c r="A40063" s="2" t="s">
        <v>173</v>
      </c>
    </row>
    <row r="40064" spans="1:1" ht="12.75">
      <c r="A40064" s="2" t="s">
        <v>163</v>
      </c>
    </row>
    <row r="40066" spans="1:1" ht="12.75">
      <c r="A40066" s="2" t="s">
        <v>163</v>
      </c>
    </row>
    <row r="40067" spans="1:1" ht="12.75">
      <c r="A40067" s="2" t="s">
        <v>176</v>
      </c>
    </row>
    <row r="40068" spans="1:1" ht="12.75">
      <c r="A40068" s="2" t="s">
        <v>173</v>
      </c>
    </row>
    <row r="40069" spans="1:1" ht="12.75">
      <c r="A40069" s="2" t="s">
        <v>161</v>
      </c>
    </row>
    <row r="40070" spans="1:1" ht="12.75">
      <c r="A40070" s="2" t="s">
        <v>179</v>
      </c>
    </row>
    <row r="40071" spans="1:1" ht="12.75">
      <c r="A40071" s="2" t="s">
        <v>162</v>
      </c>
    </row>
    <row r="40072" spans="1:1" ht="12.75">
      <c r="A40072" s="2" t="s">
        <v>179</v>
      </c>
    </row>
    <row r="40073" spans="1:1" ht="12.75">
      <c r="A40073" s="2" t="s">
        <v>168</v>
      </c>
    </row>
    <row r="40074" spans="1:1" ht="12.75">
      <c r="A40074" s="2" t="s">
        <v>177</v>
      </c>
    </row>
    <row r="40075" spans="1:1" ht="12.75">
      <c r="A40075" s="2" t="s">
        <v>172</v>
      </c>
    </row>
    <row r="40076" spans="1:1" ht="12.75">
      <c r="A40076" s="2" t="s">
        <v>177</v>
      </c>
    </row>
    <row r="40077" spans="1:1" ht="12.75">
      <c r="A40077" s="2" t="s">
        <v>172</v>
      </c>
    </row>
    <row r="40078" spans="1:1" ht="12.75">
      <c r="A40078" s="2" t="s">
        <v>1391</v>
      </c>
    </row>
    <row r="40079" spans="1:1" ht="12.75">
      <c r="A40079" s="2" t="s">
        <v>172</v>
      </c>
    </row>
    <row r="40080" spans="1:1" ht="12.75">
      <c r="A40080" s="2" t="s">
        <v>168</v>
      </c>
    </row>
    <row r="40081" spans="1:1" ht="12.75">
      <c r="A40081" s="2" t="s">
        <v>167</v>
      </c>
    </row>
    <row r="40082" spans="1:1" ht="12.75">
      <c r="A40082" s="2" t="s">
        <v>162</v>
      </c>
    </row>
    <row r="40083" spans="1:1" ht="12.75">
      <c r="A40083" s="2" t="s">
        <v>167</v>
      </c>
    </row>
    <row r="40084" spans="1:1" ht="12.75">
      <c r="A40084" s="2" t="s">
        <v>733</v>
      </c>
    </row>
    <row r="40085" spans="1:1" ht="12.75">
      <c r="A40085" s="2" t="s">
        <v>181</v>
      </c>
    </row>
    <row r="40086" spans="1:1" ht="12.75">
      <c r="A40086" s="2" t="s">
        <v>161</v>
      </c>
    </row>
    <row r="40087" spans="1:1" ht="12.75">
      <c r="A40087" s="2" t="s">
        <v>162</v>
      </c>
    </row>
    <row r="40088" spans="1:1" ht="12.75">
      <c r="A40088" s="2" t="s">
        <v>181</v>
      </c>
    </row>
    <row r="40089" spans="1:1" ht="12.75">
      <c r="A40089" s="2" t="s">
        <v>162</v>
      </c>
    </row>
    <row r="40090" spans="1:1" ht="12.75">
      <c r="A40090" s="2" t="s">
        <v>181</v>
      </c>
    </row>
    <row r="40091" spans="1:1" ht="12.75">
      <c r="A40091" s="2" t="s">
        <v>225</v>
      </c>
    </row>
    <row r="40092" spans="1:1" ht="12.75">
      <c r="A40092" s="2" t="s">
        <v>165</v>
      </c>
    </row>
    <row r="40093" spans="1:1" ht="12.75">
      <c r="A40093" s="2" t="s">
        <v>225</v>
      </c>
    </row>
    <row r="40094" spans="1:1" ht="12.75">
      <c r="A40094" s="2" t="s">
        <v>165</v>
      </c>
    </row>
    <row r="40095" spans="1:1" ht="12.75">
      <c r="A40095" s="2" t="s">
        <v>161</v>
      </c>
    </row>
    <row r="40096" spans="1:1" ht="12.75">
      <c r="A40096" s="2" t="s">
        <v>165</v>
      </c>
    </row>
    <row r="40097" spans="1:1" ht="12.75">
      <c r="A40097" s="2" t="s">
        <v>169</v>
      </c>
    </row>
    <row r="40098" spans="1:1" ht="12.75">
      <c r="A40098" s="2" t="s">
        <v>183</v>
      </c>
    </row>
    <row r="40099" spans="1:1" ht="12.75">
      <c r="A40099" s="2" t="s">
        <v>169</v>
      </c>
    </row>
    <row r="40100" spans="1:1" ht="12.75">
      <c r="A40100" s="2" t="s">
        <v>183</v>
      </c>
    </row>
    <row r="40101" spans="1:1" ht="12.75">
      <c r="A40101" s="2" t="s">
        <v>179</v>
      </c>
    </row>
    <row r="40103" spans="1:1" ht="12.75">
      <c r="A40103" s="2" t="s">
        <v>194</v>
      </c>
    </row>
    <row r="40104" spans="1:1" ht="12.75">
      <c r="A40104" s="2" t="s">
        <v>185</v>
      </c>
    </row>
    <row r="40105" spans="1:1" ht="12.75">
      <c r="A40105" s="2" t="s">
        <v>194</v>
      </c>
    </row>
    <row r="40106" spans="1:1" ht="12.75">
      <c r="A40106" s="2" t="s">
        <v>194</v>
      </c>
    </row>
    <row r="40107" spans="1:1" ht="12.75">
      <c r="A40107" s="2" t="s">
        <v>161</v>
      </c>
    </row>
    <row r="40108" spans="1:1" ht="12.75">
      <c r="A40108" s="2" t="s">
        <v>735</v>
      </c>
    </row>
    <row r="40109" spans="1:1" ht="12.75">
      <c r="A40109" s="2" t="s">
        <v>161</v>
      </c>
    </row>
    <row r="40110" spans="1:1" ht="12.75">
      <c r="A40110" s="2" t="s">
        <v>189</v>
      </c>
    </row>
    <row r="40111" spans="1:1" ht="12.75">
      <c r="A40111" s="2" t="s">
        <v>185</v>
      </c>
    </row>
    <row r="40112" spans="1:1" ht="12.75">
      <c r="A40112" s="2" t="s">
        <v>160</v>
      </c>
    </row>
    <row r="40113" spans="1:1" ht="12.75">
      <c r="A40113" s="2" t="s">
        <v>734</v>
      </c>
    </row>
    <row r="40114" spans="1:1" ht="12.75">
      <c r="A40114" s="2" t="s">
        <v>184</v>
      </c>
    </row>
    <row r="40115" spans="1:1" ht="12.75">
      <c r="A40115" s="2" t="s">
        <v>734</v>
      </c>
    </row>
    <row r="40116" spans="1:1" ht="12.75">
      <c r="A40116" s="2" t="s">
        <v>184</v>
      </c>
    </row>
    <row r="40117" spans="1:1" ht="12.75">
      <c r="A40117" s="2" t="s">
        <v>258</v>
      </c>
    </row>
    <row r="40118" spans="1:1" ht="12.75">
      <c r="A40118" s="2" t="s">
        <v>258</v>
      </c>
    </row>
    <row r="40119" spans="1:1" ht="12.75">
      <c r="A40119" s="2" t="s">
        <v>258</v>
      </c>
    </row>
    <row r="40120" spans="1:1" ht="12.75">
      <c r="A40120" s="2" t="s">
        <v>258</v>
      </c>
    </row>
    <row r="40121" spans="1:1" ht="12.75">
      <c r="A40121" s="2" t="s">
        <v>258</v>
      </c>
    </row>
    <row r="40122" spans="1:1" ht="12.75">
      <c r="A40122" s="2" t="s">
        <v>258</v>
      </c>
    </row>
    <row r="40123" spans="1:1" ht="12.75">
      <c r="A40123" s="2" t="s">
        <v>259</v>
      </c>
    </row>
    <row r="40124" spans="1:1" ht="12.75">
      <c r="A40124" s="2" t="s">
        <v>259</v>
      </c>
    </row>
    <row r="40125" spans="1:1" ht="12.75">
      <c r="A40125" s="2" t="s">
        <v>259</v>
      </c>
    </row>
    <row r="40126" spans="1:1" ht="12.75">
      <c r="A40126" s="2" t="s">
        <v>259</v>
      </c>
    </row>
    <row r="40127" spans="1:1" ht="12.75">
      <c r="A40127" s="2" t="s">
        <v>259</v>
      </c>
    </row>
    <row r="40128" spans="1:1" ht="12.75">
      <c r="A40128" s="2" t="s">
        <v>259</v>
      </c>
    </row>
    <row r="40129" spans="1:1" ht="12.75">
      <c r="A40129" s="2" t="s">
        <v>301</v>
      </c>
    </row>
    <row r="40130" spans="1:1" ht="12.75">
      <c r="A40130" s="2" t="s">
        <v>260</v>
      </c>
    </row>
    <row r="40131" spans="1:1" ht="12.75">
      <c r="A40131" s="2" t="s">
        <v>260</v>
      </c>
    </row>
    <row r="40132" spans="1:1" ht="12.75">
      <c r="A40132" s="2" t="s">
        <v>260</v>
      </c>
    </row>
    <row r="40133" spans="1:1" ht="12.75">
      <c r="A40133" s="2" t="s">
        <v>258</v>
      </c>
    </row>
    <row r="40134" spans="1:1" ht="12.75">
      <c r="A40134" s="2" t="s">
        <v>258</v>
      </c>
    </row>
    <row r="40135" spans="1:1" ht="12.75">
      <c r="A40135" s="2" t="s">
        <v>258</v>
      </c>
    </row>
    <row r="40137" spans="1:1" ht="12.75">
      <c r="A40137" s="2" t="s">
        <v>257</v>
      </c>
    </row>
    <row r="40138" spans="1:1" ht="12.75">
      <c r="A40138" s="2" t="s">
        <v>257</v>
      </c>
    </row>
    <row r="40139" spans="1:1" ht="12.75">
      <c r="A40139" s="2" t="s">
        <v>257</v>
      </c>
    </row>
    <row r="40142" spans="1:1" ht="12.75">
      <c r="A40142" s="2" t="s">
        <v>301</v>
      </c>
    </row>
    <row r="40143" spans="1:1" ht="12.75">
      <c r="A40143" s="2" t="s">
        <v>301</v>
      </c>
    </row>
    <row r="40145" spans="1:1" ht="12.75">
      <c r="A40145" s="2" t="s">
        <v>260</v>
      </c>
    </row>
    <row r="40147" spans="1:1" ht="12.75">
      <c r="A40147" s="2" t="s">
        <v>159</v>
      </c>
    </row>
    <row r="40148" spans="1:1" ht="12.75">
      <c r="A40148" s="2" t="s">
        <v>345</v>
      </c>
    </row>
    <row r="40149" spans="1:1" ht="12.75">
      <c r="A40149" s="2" t="s">
        <v>159</v>
      </c>
    </row>
    <row r="40151" spans="1:1" ht="12.75">
      <c r="A40151" s="2" t="s">
        <v>345</v>
      </c>
    </row>
    <row r="40153" spans="1:1" ht="12.75">
      <c r="A40153" s="2" t="s">
        <v>159</v>
      </c>
    </row>
    <row r="40154" spans="1:1" ht="12.75">
      <c r="A40154" s="2" t="s">
        <v>159</v>
      </c>
    </row>
    <row r="40155" spans="1:1" ht="12.75">
      <c r="A40155" s="2" t="s">
        <v>345</v>
      </c>
    </row>
    <row r="40156" spans="1:1" ht="12.75">
      <c r="A40156" s="2" t="s">
        <v>159</v>
      </c>
    </row>
    <row r="40157" spans="1:1" ht="12.75">
      <c r="A40157" s="2" t="s">
        <v>159</v>
      </c>
    </row>
    <row r="40158" spans="1:1" ht="12.75">
      <c r="A40158" s="2" t="s">
        <v>159</v>
      </c>
    </row>
    <row r="40159" spans="1:1" ht="12.75">
      <c r="A40159" s="2" t="s">
        <v>159</v>
      </c>
    </row>
    <row r="40160" spans="1:1" ht="12.75">
      <c r="A40160" s="2" t="s">
        <v>345</v>
      </c>
    </row>
    <row r="40161" spans="1:1" ht="12.75">
      <c r="A40161" s="2" t="s">
        <v>345</v>
      </c>
    </row>
    <row r="40162" spans="1:1" ht="12.75">
      <c r="A40162" s="2" t="s">
        <v>159</v>
      </c>
    </row>
    <row r="40169" spans="1:1" ht="12.75">
      <c r="A40169" s="2" t="s">
        <v>743</v>
      </c>
    </row>
    <row r="40171" spans="1:1" ht="12.75">
      <c r="A40171" s="2" t="s">
        <v>741</v>
      </c>
    </row>
    <row r="40172" spans="1:1" ht="12.75">
      <c r="A40172" s="2" t="s">
        <v>743</v>
      </c>
    </row>
    <row r="40174" spans="1:1" ht="12.75">
      <c r="A40174" s="2" t="s">
        <v>741</v>
      </c>
    </row>
    <row r="40175" spans="1:1" ht="12.75">
      <c r="A40175" s="2" t="s">
        <v>741</v>
      </c>
    </row>
    <row r="40176" spans="1:1" ht="12.75">
      <c r="A40176" s="2" t="s">
        <v>743</v>
      </c>
    </row>
    <row r="40177" spans="1:1" ht="12.75">
      <c r="A40177" s="2" t="s">
        <v>741</v>
      </c>
    </row>
    <row r="40178" spans="1:1" ht="12.75">
      <c r="A40178" s="2" t="s">
        <v>741</v>
      </c>
    </row>
    <row r="40179" spans="1:1" ht="12.75">
      <c r="A40179" s="2" t="s">
        <v>741</v>
      </c>
    </row>
    <row r="40180" spans="1:1" ht="12.75">
      <c r="A40180" s="2" t="s">
        <v>743</v>
      </c>
    </row>
    <row r="40181" spans="1:1" ht="12.75">
      <c r="A40181" s="2" t="s">
        <v>743</v>
      </c>
    </row>
    <row r="40182" spans="1:1" ht="12.75">
      <c r="A40182" s="2" t="s">
        <v>743</v>
      </c>
    </row>
    <row r="40183" spans="1:1" ht="12.75">
      <c r="A40183" s="2" t="s">
        <v>741</v>
      </c>
    </row>
    <row r="40184" spans="1:1" ht="12.75">
      <c r="A40184" s="2" t="s">
        <v>741</v>
      </c>
    </row>
    <row r="40185" spans="1:1" ht="12.75">
      <c r="A40185" s="2" t="s">
        <v>741</v>
      </c>
    </row>
    <row r="40186" spans="1:1" ht="12.75">
      <c r="A40186" s="2" t="s">
        <v>743</v>
      </c>
    </row>
    <row r="40188" spans="1:1" ht="12.75">
      <c r="A40188" s="2" t="s">
        <v>741</v>
      </c>
    </row>
    <row r="40190" spans="1:1" ht="12.75">
      <c r="A40190" s="2" t="s">
        <v>741</v>
      </c>
    </row>
    <row r="40192" spans="1:1" ht="12.75">
      <c r="A40192" s="2" t="s">
        <v>741</v>
      </c>
    </row>
    <row r="40193" spans="1:1" ht="12.75">
      <c r="A40193" s="2" t="s">
        <v>194</v>
      </c>
    </row>
    <row r="40194" spans="1:1" ht="12.75">
      <c r="A40194" s="2" t="s">
        <v>185</v>
      </c>
    </row>
    <row r="40195" spans="1:1" ht="12.75">
      <c r="A40195" s="2" t="s">
        <v>194</v>
      </c>
    </row>
    <row r="40196" spans="1:1" ht="12.75">
      <c r="A40196" s="2" t="s">
        <v>185</v>
      </c>
    </row>
    <row r="40197" spans="1:1" ht="12.75">
      <c r="A40197" s="2" t="s">
        <v>194</v>
      </c>
    </row>
    <row r="40198" spans="1:1" ht="12.75">
      <c r="A40198" s="2" t="s">
        <v>185</v>
      </c>
    </row>
    <row r="40199" spans="1:1" ht="12.75">
      <c r="A40199" s="2" t="s">
        <v>177</v>
      </c>
    </row>
    <row r="40200" spans="1:1" ht="12.75">
      <c r="A40200" s="2" t="s">
        <v>175</v>
      </c>
    </row>
    <row r="40201" spans="1:1" ht="12.75">
      <c r="A40201" s="2" t="s">
        <v>196</v>
      </c>
    </row>
    <row r="40202" spans="1:1" ht="12.75">
      <c r="A40202" s="2" t="s">
        <v>175</v>
      </c>
    </row>
    <row r="40203" spans="1:1" ht="12.75">
      <c r="A40203" s="2" t="s">
        <v>163</v>
      </c>
    </row>
    <row r="40204" spans="1:1" ht="12.75">
      <c r="A40204" s="2" t="s">
        <v>162</v>
      </c>
    </row>
    <row r="40205" spans="1:1" ht="12.75">
      <c r="A40205" s="2" t="s">
        <v>163</v>
      </c>
    </row>
    <row r="40206" spans="1:1" ht="12.75">
      <c r="A40206" s="2" t="s">
        <v>162</v>
      </c>
    </row>
    <row r="40207" spans="1:1" ht="12.75">
      <c r="A40207" s="2" t="s">
        <v>179</v>
      </c>
    </row>
    <row r="40208" spans="1:1" ht="12.75">
      <c r="A40208" s="2" t="s">
        <v>162</v>
      </c>
    </row>
    <row r="40209" spans="1:1" ht="12.75">
      <c r="A40209" s="2" t="s">
        <v>196</v>
      </c>
    </row>
    <row r="40210" spans="1:1" ht="12.75">
      <c r="A40210" s="2" t="s">
        <v>163</v>
      </c>
    </row>
    <row r="40211" spans="1:1" ht="12.75">
      <c r="A40211" s="2" t="s">
        <v>393</v>
      </c>
    </row>
    <row r="40212" spans="1:1" ht="12.75">
      <c r="A40212" s="2" t="s">
        <v>393</v>
      </c>
    </row>
    <row r="40213" spans="1:1" ht="12.75">
      <c r="A40213" s="2" t="s">
        <v>177</v>
      </c>
    </row>
    <row r="40214" spans="1:1" ht="12.75">
      <c r="A40214" s="2" t="s">
        <v>165</v>
      </c>
    </row>
    <row r="40215" spans="1:1" ht="12.75">
      <c r="A40215" s="2" t="s">
        <v>393</v>
      </c>
    </row>
    <row r="40216" spans="1:1" ht="12.75">
      <c r="A40216" s="2" t="s">
        <v>733</v>
      </c>
    </row>
    <row r="40218" spans="1:1" ht="12.75">
      <c r="A40218" s="2" t="s">
        <v>733</v>
      </c>
    </row>
    <row r="40219" spans="1:1" ht="12.75">
      <c r="A40219" s="2" t="s">
        <v>168</v>
      </c>
    </row>
    <row r="40220" spans="1:1" ht="12.75">
      <c r="A40220" s="2" t="s">
        <v>160</v>
      </c>
    </row>
    <row r="40221" spans="1:1" ht="12.75">
      <c r="A40221" s="2" t="s">
        <v>166</v>
      </c>
    </row>
    <row r="40222" spans="1:1" ht="12.75">
      <c r="A40222" s="2" t="s">
        <v>225</v>
      </c>
    </row>
    <row r="40223" spans="1:1" ht="12.75">
      <c r="A40223" s="2" t="s">
        <v>170</v>
      </c>
    </row>
    <row r="40224" spans="1:1" ht="12.75">
      <c r="A40224" s="2" t="s">
        <v>169</v>
      </c>
    </row>
    <row r="40226" spans="1:1" ht="12.75">
      <c r="A40226" s="2" t="s">
        <v>174</v>
      </c>
    </row>
    <row r="40227" spans="1:1" ht="12.75">
      <c r="A40227" s="2" t="s">
        <v>189</v>
      </c>
    </row>
    <row r="40228" spans="1:1" ht="12.75">
      <c r="A40228" s="2" t="s">
        <v>223</v>
      </c>
    </row>
    <row r="40229" spans="1:1" ht="12.75">
      <c r="A40229" s="2" t="s">
        <v>165</v>
      </c>
    </row>
    <row r="40230" spans="1:1" ht="12.75">
      <c r="A40230" s="2" t="s">
        <v>223</v>
      </c>
    </row>
    <row r="40231" spans="1:1" ht="12.75">
      <c r="A40231" s="2" t="s">
        <v>393</v>
      </c>
    </row>
    <row r="40232" spans="1:1" ht="12.75">
      <c r="A40232" s="2" t="s">
        <v>171</v>
      </c>
    </row>
    <row r="40234" spans="1:1" ht="12.75">
      <c r="A40234" s="2" t="s">
        <v>175</v>
      </c>
    </row>
    <row r="40235" spans="1:1" ht="12.75">
      <c r="A40235" s="2" t="s">
        <v>173</v>
      </c>
    </row>
    <row r="40236" spans="1:1" ht="12.75">
      <c r="A40236" s="2" t="s">
        <v>160</v>
      </c>
    </row>
    <row r="40237" spans="1:1" ht="12.75">
      <c r="A40237" s="2" t="s">
        <v>173</v>
      </c>
    </row>
    <row r="40239" spans="1:1" ht="12.75">
      <c r="A40239" s="2" t="s">
        <v>173</v>
      </c>
    </row>
    <row r="40241" spans="1:1" ht="12.75">
      <c r="A40241" s="2" t="s">
        <v>163</v>
      </c>
    </row>
    <row r="40242" spans="1:1" ht="12.75">
      <c r="A40242" s="2" t="s">
        <v>170</v>
      </c>
    </row>
    <row r="40244" spans="1:1" ht="12.75">
      <c r="A40244" s="2" t="s">
        <v>162</v>
      </c>
    </row>
    <row r="40245" spans="1:1" ht="12.75">
      <c r="A40245" s="2" t="s">
        <v>163</v>
      </c>
    </row>
    <row r="40246" spans="1:1" ht="12.75">
      <c r="A40246" s="2" t="s">
        <v>162</v>
      </c>
    </row>
    <row r="40247" spans="1:1" ht="12.75">
      <c r="A40247" s="2" t="s">
        <v>175</v>
      </c>
    </row>
    <row r="40248" spans="1:1" ht="12.75">
      <c r="A40248" s="2" t="s">
        <v>162</v>
      </c>
    </row>
    <row r="40249" spans="1:1" ht="12.75">
      <c r="A40249" s="2" t="s">
        <v>184</v>
      </c>
    </row>
    <row r="40251" spans="1:1" ht="12.75">
      <c r="A40251" s="2" t="s">
        <v>179</v>
      </c>
    </row>
    <row r="40252" spans="1:1" ht="12.75">
      <c r="A40252" s="2" t="s">
        <v>184</v>
      </c>
    </row>
    <row r="40253" spans="1:1" ht="12.75">
      <c r="A40253" s="2" t="s">
        <v>179</v>
      </c>
    </row>
    <row r="40254" spans="1:1" ht="12.75">
      <c r="A40254" s="2" t="s">
        <v>184</v>
      </c>
    </row>
    <row r="40255" spans="1:1" ht="12.75">
      <c r="A40255" s="2" t="s">
        <v>194</v>
      </c>
    </row>
    <row r="40256" spans="1:1" ht="12.75">
      <c r="A40256" s="2" t="s">
        <v>183</v>
      </c>
    </row>
    <row r="40258" spans="1:1" ht="12.75">
      <c r="A40258" s="2" t="s">
        <v>196</v>
      </c>
    </row>
    <row r="40261" spans="1:1" ht="12.75">
      <c r="A40261" s="2" t="s">
        <v>169</v>
      </c>
    </row>
    <row r="40262" spans="1:1" ht="12.75">
      <c r="A40262" s="2" t="s">
        <v>168</v>
      </c>
    </row>
    <row r="40263" spans="1:1" ht="12.75">
      <c r="A40263" s="2" t="s">
        <v>183</v>
      </c>
    </row>
    <row r="40264" spans="1:1" ht="12.75">
      <c r="A40264" s="2" t="s">
        <v>169</v>
      </c>
    </row>
    <row r="40265" spans="1:1" ht="12.75">
      <c r="A40265" s="2" t="s">
        <v>196</v>
      </c>
    </row>
    <row r="40266" spans="1:1" ht="12.75">
      <c r="A40266" s="2" t="s">
        <v>177</v>
      </c>
    </row>
    <row r="40267" spans="1:1" ht="12.75">
      <c r="A40267" s="2" t="s">
        <v>168</v>
      </c>
    </row>
    <row r="40268" spans="1:1" ht="12.75">
      <c r="A40268" s="2" t="s">
        <v>177</v>
      </c>
    </row>
    <row r="40269" spans="1:1" ht="12.75">
      <c r="A40269" s="2" t="s">
        <v>167</v>
      </c>
    </row>
    <row r="40270" spans="1:1" ht="12.75">
      <c r="A40270" s="2" t="s">
        <v>165</v>
      </c>
    </row>
    <row r="40271" spans="1:1" ht="12.75">
      <c r="A40271" s="2" t="s">
        <v>167</v>
      </c>
    </row>
    <row r="40272" spans="1:1" ht="12.75">
      <c r="A40272" s="2" t="s">
        <v>167</v>
      </c>
    </row>
    <row r="40273" spans="1:1" ht="12.75">
      <c r="A40273" s="2" t="s">
        <v>167</v>
      </c>
    </row>
    <row r="40274" spans="1:1" ht="12.75">
      <c r="A40274" s="2" t="s">
        <v>165</v>
      </c>
    </row>
    <row r="40275" spans="1:1" ht="12.75">
      <c r="A40275" s="2" t="s">
        <v>166</v>
      </c>
    </row>
    <row r="40276" spans="1:1" ht="12.75">
      <c r="A40276" s="2" t="s">
        <v>189</v>
      </c>
    </row>
    <row r="40277" spans="1:1" ht="12.75">
      <c r="A40277" s="2" t="s">
        <v>166</v>
      </c>
    </row>
    <row r="40278" spans="1:1" ht="12.75">
      <c r="A40278" s="2" t="s">
        <v>160</v>
      </c>
    </row>
    <row r="40279" spans="1:1" ht="12.75">
      <c r="A40279" s="2" t="s">
        <v>166</v>
      </c>
    </row>
    <row r="40280" spans="1:1" ht="12.75">
      <c r="A40280" s="2" t="s">
        <v>160</v>
      </c>
    </row>
    <row r="40281" spans="1:1" ht="12.75">
      <c r="A40281" s="2" t="s">
        <v>393</v>
      </c>
    </row>
    <row r="40282" spans="1:1" ht="12.75">
      <c r="A40282" s="2" t="s">
        <v>170</v>
      </c>
    </row>
    <row r="40283" spans="1:1" ht="12.75">
      <c r="A40283" s="2" t="s">
        <v>734</v>
      </c>
    </row>
    <row r="40284" spans="1:1" ht="12.75">
      <c r="A40284" s="2" t="s">
        <v>221</v>
      </c>
    </row>
    <row r="40285" spans="1:1" ht="12.75">
      <c r="A40285" s="2" t="s">
        <v>165</v>
      </c>
    </row>
    <row r="40286" spans="1:1" ht="12.75">
      <c r="A40286" s="2" t="s">
        <v>734</v>
      </c>
    </row>
    <row r="40287" spans="1:1" ht="12.75">
      <c r="A40287" s="2" t="s">
        <v>225</v>
      </c>
    </row>
    <row r="40288" spans="1:1" ht="12.75">
      <c r="A40288" s="2" t="s">
        <v>173</v>
      </c>
    </row>
    <row r="40289" spans="1:1" ht="12.75">
      <c r="A40289" s="2" t="s">
        <v>178</v>
      </c>
    </row>
    <row r="40290" spans="1:1" ht="12.75">
      <c r="A40290" s="2" t="s">
        <v>173</v>
      </c>
    </row>
    <row r="40291" spans="1:1" ht="12.75">
      <c r="A40291" s="2" t="s">
        <v>1392</v>
      </c>
    </row>
    <row r="40292" spans="1:1" ht="12.75">
      <c r="A40292" s="2" t="s">
        <v>173</v>
      </c>
    </row>
    <row r="40293" spans="1:1" ht="12.75">
      <c r="A40293" s="2" t="s">
        <v>185</v>
      </c>
    </row>
    <row r="40294" spans="1:1" ht="12.75">
      <c r="A40294" s="2" t="s">
        <v>225</v>
      </c>
    </row>
    <row r="40295" spans="1:1" ht="12.75">
      <c r="A40295" s="2" t="s">
        <v>175</v>
      </c>
    </row>
    <row r="40296" spans="1:1" ht="12.75">
      <c r="A40296" s="2" t="s">
        <v>163</v>
      </c>
    </row>
    <row r="40297" spans="1:1" ht="12.75">
      <c r="A40297" s="2" t="s">
        <v>175</v>
      </c>
    </row>
    <row r="40298" spans="1:1" ht="12.75">
      <c r="A40298" s="2" t="s">
        <v>163</v>
      </c>
    </row>
    <row r="40299" spans="1:1" ht="12.75">
      <c r="A40299" s="2" t="s">
        <v>185</v>
      </c>
    </row>
    <row r="40300" spans="1:1" ht="12.75">
      <c r="A40300" s="2" t="s">
        <v>162</v>
      </c>
    </row>
    <row r="40301" spans="1:1" ht="12.75">
      <c r="A40301" s="2" t="s">
        <v>179</v>
      </c>
    </row>
    <row r="40302" spans="1:1" ht="12.75">
      <c r="A40302" s="2" t="s">
        <v>193</v>
      </c>
    </row>
    <row r="40303" spans="1:1" ht="12.75">
      <c r="A40303" s="2" t="s">
        <v>179</v>
      </c>
    </row>
    <row r="40304" spans="1:1" ht="12.75">
      <c r="A40304" s="2" t="s">
        <v>181</v>
      </c>
    </row>
    <row r="40305" spans="1:1" ht="12.75">
      <c r="A40305" s="2" t="s">
        <v>1393</v>
      </c>
    </row>
    <row r="40306" spans="1:1" ht="12.75">
      <c r="A40306" s="2" t="s">
        <v>181</v>
      </c>
    </row>
    <row r="40307" spans="1:1" ht="12.75">
      <c r="A40307" s="2" t="s">
        <v>1393</v>
      </c>
    </row>
    <row r="40308" spans="1:1" ht="12.75">
      <c r="A40308" s="2" t="s">
        <v>181</v>
      </c>
    </row>
    <row r="40309" spans="1:1" ht="12.75">
      <c r="A40309" s="2" t="s">
        <v>1394</v>
      </c>
    </row>
    <row r="40310" spans="1:1" ht="12.75">
      <c r="A40310" s="2" t="s">
        <v>223</v>
      </c>
    </row>
    <row r="40311" spans="1:1" ht="12.75">
      <c r="A40311" s="2" t="s">
        <v>183</v>
      </c>
    </row>
    <row r="40312" spans="1:1" ht="12.75">
      <c r="A40312" s="2" t="s">
        <v>172</v>
      </c>
    </row>
    <row r="40313" spans="1:1" ht="12.75">
      <c r="A40313" s="2" t="s">
        <v>161</v>
      </c>
    </row>
    <row r="40314" spans="1:1" ht="12.75">
      <c r="A40314" s="2" t="s">
        <v>172</v>
      </c>
    </row>
    <row r="40315" spans="1:1" ht="12.75">
      <c r="A40315" s="2" t="s">
        <v>193</v>
      </c>
    </row>
    <row r="40316" spans="1:1" ht="12.75">
      <c r="A40316" s="2" t="s">
        <v>172</v>
      </c>
    </row>
    <row r="40317" spans="1:1" ht="12.75">
      <c r="A40317" s="2" t="s">
        <v>193</v>
      </c>
    </row>
    <row r="40318" spans="1:1" ht="12.75">
      <c r="A40318" s="2" t="s">
        <v>183</v>
      </c>
    </row>
    <row r="40319" spans="1:1" ht="12.75">
      <c r="A40319" s="2" t="s">
        <v>177</v>
      </c>
    </row>
    <row r="40320" spans="1:1" ht="12.75">
      <c r="A40320" s="2" t="s">
        <v>733</v>
      </c>
    </row>
    <row r="40321" spans="1:1" ht="12.75">
      <c r="A40321" s="2" t="s">
        <v>177</v>
      </c>
    </row>
    <row r="40322" spans="1:1" ht="12.75">
      <c r="A40322" s="2" t="s">
        <v>518</v>
      </c>
    </row>
    <row r="40323" spans="1:1" ht="12.75">
      <c r="A40323" s="2" t="s">
        <v>168</v>
      </c>
    </row>
    <row r="40325" spans="1:1" ht="12.75">
      <c r="A40325" s="2" t="s">
        <v>168</v>
      </c>
    </row>
    <row r="40326" spans="1:1" ht="12.75">
      <c r="A40326" s="2" t="s">
        <v>177</v>
      </c>
    </row>
    <row r="40327" spans="1:1" ht="12.75">
      <c r="A40327" s="2" t="s">
        <v>160</v>
      </c>
    </row>
    <row r="40328" spans="1:1" ht="12.75">
      <c r="A40328" s="2" t="s">
        <v>166</v>
      </c>
    </row>
    <row r="40329" spans="1:1" ht="12.75">
      <c r="A40329" s="2" t="s">
        <v>160</v>
      </c>
    </row>
    <row r="40330" spans="1:1" ht="12.75">
      <c r="A40330" s="2" t="s">
        <v>166</v>
      </c>
    </row>
    <row r="40331" spans="1:1" ht="12.75">
      <c r="A40331" s="2" t="s">
        <v>737</v>
      </c>
    </row>
    <row r="40332" spans="1:1" ht="12.75">
      <c r="A40332" s="2" t="s">
        <v>166</v>
      </c>
    </row>
    <row r="40334" spans="1:1" ht="12.75">
      <c r="A40334" s="2" t="s">
        <v>184</v>
      </c>
    </row>
    <row r="40335" spans="1:1" ht="12.75">
      <c r="A40335" s="2" t="s">
        <v>165</v>
      </c>
    </row>
    <row r="40336" spans="1:1" ht="12.75">
      <c r="A40336" s="2" t="s">
        <v>161</v>
      </c>
    </row>
    <row r="40337" spans="1:1" ht="12.75">
      <c r="A40337" s="2" t="s">
        <v>165</v>
      </c>
    </row>
    <row r="40338" spans="1:1" ht="12.75">
      <c r="A40338" s="2" t="s">
        <v>160</v>
      </c>
    </row>
    <row r="40339" spans="1:1" ht="12.75">
      <c r="A40339" s="2" t="s">
        <v>173</v>
      </c>
    </row>
    <row r="40340" spans="1:1" ht="12.75">
      <c r="A40340" s="2" t="s">
        <v>225</v>
      </c>
    </row>
    <row r="40341" spans="1:1" ht="12.75">
      <c r="A40341" s="2" t="s">
        <v>173</v>
      </c>
    </row>
    <row r="40342" spans="1:1" ht="12.75">
      <c r="A40342" s="2" t="s">
        <v>225</v>
      </c>
    </row>
    <row r="40343" spans="1:1" ht="12.75">
      <c r="A40343" s="2" t="s">
        <v>173</v>
      </c>
    </row>
    <row r="40344" spans="1:1" ht="12.75">
      <c r="A40344" s="2" t="s">
        <v>171</v>
      </c>
    </row>
    <row r="40345" spans="1:1" ht="12.75">
      <c r="A40345" s="2" t="s">
        <v>225</v>
      </c>
    </row>
    <row r="40346" spans="1:1" ht="12.75">
      <c r="A40346" s="2" t="s">
        <v>161</v>
      </c>
    </row>
    <row r="40348" spans="1:1" ht="12.75">
      <c r="A40348" s="2" t="s">
        <v>179</v>
      </c>
    </row>
    <row r="40350" spans="1:1" ht="12.75">
      <c r="A40350" s="2" t="s">
        <v>168</v>
      </c>
    </row>
    <row r="40351" spans="1:1" ht="12.75">
      <c r="A40351" s="2" t="s">
        <v>162</v>
      </c>
    </row>
    <row r="40352" spans="1:1" ht="12.75">
      <c r="A40352" s="2" t="s">
        <v>168</v>
      </c>
    </row>
    <row r="40353" spans="1:1" ht="12.75">
      <c r="A40353" s="2" t="s">
        <v>162</v>
      </c>
    </row>
    <row r="40355" spans="1:1" ht="12.75">
      <c r="A40355" s="2" t="s">
        <v>162</v>
      </c>
    </row>
    <row r="40356" spans="1:1" ht="12.75">
      <c r="A40356" s="2" t="s">
        <v>166</v>
      </c>
    </row>
    <row r="40357" spans="1:1" ht="12.75">
      <c r="A40357" s="2" t="s">
        <v>177</v>
      </c>
    </row>
    <row r="40358" spans="1:1" ht="12.75">
      <c r="A40358" s="2" t="s">
        <v>194</v>
      </c>
    </row>
    <row r="40360" spans="1:1" ht="12.75">
      <c r="A40360" s="2" t="s">
        <v>194</v>
      </c>
    </row>
    <row r="40361" spans="1:1" ht="12.75">
      <c r="A40361" s="2" t="s">
        <v>161</v>
      </c>
    </row>
    <row r="40363" spans="1:1" ht="12.75">
      <c r="A40363" s="2" t="s">
        <v>179</v>
      </c>
    </row>
    <row r="40364" spans="1:1" ht="12.75">
      <c r="A40364" s="2" t="s">
        <v>177</v>
      </c>
    </row>
    <row r="40365" spans="1:1" ht="12.75">
      <c r="A40365" s="2" t="s">
        <v>163</v>
      </c>
    </row>
    <row r="40366" spans="1:1" ht="12.75">
      <c r="A40366" s="2" t="s">
        <v>160</v>
      </c>
    </row>
    <row r="40367" spans="1:1" ht="12.75">
      <c r="A40367" s="2" t="s">
        <v>163</v>
      </c>
    </row>
    <row r="40368" spans="1:1" ht="12.75">
      <c r="A40368" s="2" t="s">
        <v>160</v>
      </c>
    </row>
    <row r="40369" spans="1:1" ht="12.75">
      <c r="A40369" s="2" t="s">
        <v>163</v>
      </c>
    </row>
    <row r="40370" spans="1:1" ht="12.75">
      <c r="A40370" s="2" t="s">
        <v>160</v>
      </c>
    </row>
    <row r="40372" spans="1:1" ht="12.75">
      <c r="A40372" s="2" t="s">
        <v>165</v>
      </c>
    </row>
    <row r="40374" spans="1:1" ht="12.75">
      <c r="A40374" s="2" t="s">
        <v>165</v>
      </c>
    </row>
    <row r="40376" spans="1:1" ht="12.75">
      <c r="A40376" s="2" t="s">
        <v>165</v>
      </c>
    </row>
    <row r="40378" spans="1:1" ht="12.75">
      <c r="A40378" s="2" t="s">
        <v>191</v>
      </c>
    </row>
    <row r="40380" spans="1:1" ht="12.75">
      <c r="A40380" s="2" t="s">
        <v>175</v>
      </c>
    </row>
    <row r="40381" spans="1:1" ht="12.75">
      <c r="A40381" s="2" t="s">
        <v>184</v>
      </c>
    </row>
    <row r="40383" spans="1:1" ht="12.75">
      <c r="A40383" s="2" t="s">
        <v>184</v>
      </c>
    </row>
    <row r="40384" spans="1:1" ht="12.75">
      <c r="A40384" s="2" t="s">
        <v>175</v>
      </c>
    </row>
    <row r="40387" spans="1:1" ht="12.75">
      <c r="A40387" s="2" t="s">
        <v>171</v>
      </c>
    </row>
    <row r="40388" spans="1:1" ht="12.75">
      <c r="A40388" s="2" t="s">
        <v>178</v>
      </c>
    </row>
    <row r="40389" spans="1:1" ht="12.75">
      <c r="A40389" s="2" t="s">
        <v>1395</v>
      </c>
    </row>
    <row r="40391" spans="1:1" ht="12.75">
      <c r="A40391" s="2" t="s">
        <v>189</v>
      </c>
    </row>
    <row r="40394" spans="1:1" ht="12.75">
      <c r="A40394" s="2" t="s">
        <v>185</v>
      </c>
    </row>
    <row r="40395" spans="1:1" ht="12.75">
      <c r="A40395" s="2" t="s">
        <v>225</v>
      </c>
    </row>
    <row r="40397" spans="1:1" ht="12.75">
      <c r="A40397" s="2" t="s">
        <v>225</v>
      </c>
    </row>
    <row r="40399" spans="1:1" ht="12.75">
      <c r="A40399" s="2" t="s">
        <v>223</v>
      </c>
    </row>
    <row r="40400" spans="1:1" ht="12.75">
      <c r="A40400" s="2" t="s">
        <v>163</v>
      </c>
    </row>
    <row r="40402" spans="1:1" ht="12.75">
      <c r="A40402" s="2" t="s">
        <v>163</v>
      </c>
    </row>
    <row r="40403" spans="1:1" ht="12.75">
      <c r="A40403" s="2" t="s">
        <v>185</v>
      </c>
    </row>
    <row r="40404" spans="1:1" ht="12.75">
      <c r="A40404" s="2" t="s">
        <v>163</v>
      </c>
    </row>
    <row r="40405" spans="1:1" ht="12.75">
      <c r="A40405" s="2" t="s">
        <v>185</v>
      </c>
    </row>
    <row r="40406" spans="1:1" ht="12.75">
      <c r="A40406" s="2" t="s">
        <v>177</v>
      </c>
    </row>
    <row r="40407" spans="1:1" ht="12.75">
      <c r="A40407" s="2" t="s">
        <v>179</v>
      </c>
    </row>
    <row r="40409" spans="1:1" ht="12.75">
      <c r="A40409" s="2" t="s">
        <v>223</v>
      </c>
    </row>
    <row r="40410" spans="1:1" ht="12.75">
      <c r="A40410" s="2" t="s">
        <v>181</v>
      </c>
    </row>
    <row r="40411" spans="1:1" ht="12.75">
      <c r="A40411" s="2" t="s">
        <v>162</v>
      </c>
    </row>
    <row r="40412" spans="1:1" ht="12.75">
      <c r="A40412" s="2" t="s">
        <v>181</v>
      </c>
    </row>
    <row r="40413" spans="1:1" ht="12.75">
      <c r="A40413" s="2" t="s">
        <v>162</v>
      </c>
    </row>
    <row r="40415" spans="1:1" ht="12.75">
      <c r="A40415" s="2" t="s">
        <v>162</v>
      </c>
    </row>
    <row r="40416" spans="1:1" ht="12.75">
      <c r="A40416" s="2" t="s">
        <v>179</v>
      </c>
    </row>
    <row r="40417" spans="1:1" ht="12.75">
      <c r="A40417" s="2" t="s">
        <v>183</v>
      </c>
    </row>
    <row r="40418" spans="1:1" ht="12.75">
      <c r="A40418" s="2" t="s">
        <v>168</v>
      </c>
    </row>
    <row r="40419" spans="1:1" ht="12.75">
      <c r="A40419" s="2" t="s">
        <v>167</v>
      </c>
    </row>
    <row r="40420" spans="1:1" ht="12.75">
      <c r="A40420" s="2" t="s">
        <v>168</v>
      </c>
    </row>
    <row r="40421" spans="1:1" ht="12.75">
      <c r="A40421" s="2" t="s">
        <v>167</v>
      </c>
    </row>
    <row r="40422" spans="1:1" ht="12.75">
      <c r="A40422" s="2" t="s">
        <v>170</v>
      </c>
    </row>
    <row r="40423" spans="1:1" ht="12.75">
      <c r="A40423" s="2" t="s">
        <v>194</v>
      </c>
    </row>
    <row r="40425" spans="1:1" ht="12.75">
      <c r="A40425" s="2" t="s">
        <v>194</v>
      </c>
    </row>
    <row r="40427" spans="1:1" ht="12.75">
      <c r="A40427" s="2" t="s">
        <v>194</v>
      </c>
    </row>
    <row r="40429" spans="1:1" ht="12.75">
      <c r="A40429" s="2" t="s">
        <v>175</v>
      </c>
    </row>
    <row r="40430" spans="1:1" ht="12.75">
      <c r="A40430" s="2" t="s">
        <v>733</v>
      </c>
    </row>
    <row r="40431" spans="1:1" ht="12.75">
      <c r="A40431" s="2" t="s">
        <v>175</v>
      </c>
    </row>
    <row r="40433" spans="1:1" ht="12.75">
      <c r="A40433" s="2" t="s">
        <v>175</v>
      </c>
    </row>
    <row r="40434" spans="1:1" ht="12.75">
      <c r="A40434" s="2" t="s">
        <v>733</v>
      </c>
    </row>
    <row r="40436" spans="1:1" ht="12.75">
      <c r="A40436" s="2" t="s">
        <v>178</v>
      </c>
    </row>
    <row r="40437" spans="1:1" ht="12.75">
      <c r="A40437" s="2" t="s">
        <v>184</v>
      </c>
    </row>
    <row r="40438" spans="1:1" ht="12.75">
      <c r="A40438" s="2" t="s">
        <v>171</v>
      </c>
    </row>
    <row r="40440" spans="1:1" ht="12.75">
      <c r="A40440" s="2" t="s">
        <v>176</v>
      </c>
    </row>
    <row r="40441" spans="1:1" ht="12.75">
      <c r="A40441" s="2" t="s">
        <v>184</v>
      </c>
    </row>
    <row r="40442" spans="1:1" ht="12.75">
      <c r="A40442" s="2" t="s">
        <v>176</v>
      </c>
    </row>
    <row r="40443" spans="1:1" ht="12.75">
      <c r="A40443" s="2" t="s">
        <v>173</v>
      </c>
    </row>
    <row r="40446" spans="1:1" ht="12.75">
      <c r="A40446" s="2" t="s">
        <v>185</v>
      </c>
    </row>
    <row r="40447" spans="1:1" ht="12.75">
      <c r="A40447" s="2" t="s">
        <v>161</v>
      </c>
    </row>
    <row r="40448" spans="1:1" ht="12.75">
      <c r="A40448" s="2" t="s">
        <v>185</v>
      </c>
    </row>
    <row r="40449" spans="1:1" ht="12.75">
      <c r="A40449" s="2" t="s">
        <v>178</v>
      </c>
    </row>
    <row r="40450" spans="1:1" ht="12.75">
      <c r="A40450" s="2" t="s">
        <v>173</v>
      </c>
    </row>
    <row r="40451" spans="1:1" ht="12.75">
      <c r="A40451" s="2" t="s">
        <v>178</v>
      </c>
    </row>
    <row r="40452" spans="1:1" ht="12.75">
      <c r="A40452" s="2" t="s">
        <v>173</v>
      </c>
    </row>
    <row r="40453" spans="1:1" ht="12.75">
      <c r="A40453" s="2" t="s">
        <v>193</v>
      </c>
    </row>
    <row r="40454" spans="1:1" ht="12.75">
      <c r="A40454" s="2" t="s">
        <v>162</v>
      </c>
    </row>
    <row r="40455" spans="1:1" ht="12.75">
      <c r="A40455" s="2" t="s">
        <v>175</v>
      </c>
    </row>
    <row r="40456" spans="1:1" ht="12.75">
      <c r="A40456" s="2" t="s">
        <v>162</v>
      </c>
    </row>
    <row r="40457" spans="1:1" ht="12.75">
      <c r="A40457" s="2" t="s">
        <v>175</v>
      </c>
    </row>
    <row r="40458" spans="1:1" ht="12.75">
      <c r="A40458" s="2" t="s">
        <v>193</v>
      </c>
    </row>
    <row r="40459" spans="1:1" ht="12.75">
      <c r="A40459" s="2" t="s">
        <v>175</v>
      </c>
    </row>
    <row r="40460" spans="1:1" ht="12.75">
      <c r="A40460" s="2" t="s">
        <v>193</v>
      </c>
    </row>
    <row r="40461" spans="1:1" ht="12.75">
      <c r="A40461" s="2" t="s">
        <v>179</v>
      </c>
    </row>
    <row r="40462" spans="1:1" ht="12.75">
      <c r="A40462" s="2" t="s">
        <v>181</v>
      </c>
    </row>
    <row r="40463" spans="1:1" ht="12.75">
      <c r="A40463" s="2" t="s">
        <v>179</v>
      </c>
    </row>
    <row r="40464" spans="1:1" ht="12.75">
      <c r="A40464" s="2" t="s">
        <v>181</v>
      </c>
    </row>
    <row r="40465" spans="1:1" ht="12.75">
      <c r="A40465" s="2" t="s">
        <v>162</v>
      </c>
    </row>
    <row r="40466" spans="1:1" ht="12.75">
      <c r="A40466" s="2" t="s">
        <v>179</v>
      </c>
    </row>
    <row r="40467" spans="1:1" ht="12.75">
      <c r="A40467" s="2" t="s">
        <v>194</v>
      </c>
    </row>
    <row r="40468" spans="1:1" ht="12.75">
      <c r="A40468" s="2" t="s">
        <v>172</v>
      </c>
    </row>
    <row r="40469" spans="1:1" ht="12.75">
      <c r="A40469" s="2" t="s">
        <v>194</v>
      </c>
    </row>
    <row r="40470" spans="1:1" ht="12.75">
      <c r="A40470" s="2" t="s">
        <v>183</v>
      </c>
    </row>
    <row r="40471" spans="1:1" ht="12.75">
      <c r="A40471" s="2" t="s">
        <v>194</v>
      </c>
    </row>
    <row r="40472" spans="1:1" ht="12.75">
      <c r="A40472" s="2" t="s">
        <v>183</v>
      </c>
    </row>
    <row r="40473" spans="1:1" ht="12.75">
      <c r="A40473" s="2" t="s">
        <v>181</v>
      </c>
    </row>
    <row r="40474" spans="1:1" ht="12.75">
      <c r="A40474" s="2" t="s">
        <v>183</v>
      </c>
    </row>
    <row r="40475" spans="1:1" ht="12.75">
      <c r="A40475" s="2" t="s">
        <v>168</v>
      </c>
    </row>
    <row r="40476" spans="1:1" ht="12.75">
      <c r="A40476" s="2" t="s">
        <v>184</v>
      </c>
    </row>
    <row r="40477" spans="1:1" ht="12.75">
      <c r="A40477" s="2" t="s">
        <v>168</v>
      </c>
    </row>
    <row r="40478" spans="1:1" ht="12.75">
      <c r="A40478" s="2" t="s">
        <v>184</v>
      </c>
    </row>
    <row r="40480" spans="1:1" ht="12.75">
      <c r="A40480" s="2" t="s">
        <v>177</v>
      </c>
    </row>
    <row r="40481" spans="1:1" ht="12.75">
      <c r="A40481" s="2" t="s">
        <v>172</v>
      </c>
    </row>
    <row r="40482" spans="1:1" ht="12.75">
      <c r="A40482" s="2" t="s">
        <v>177</v>
      </c>
    </row>
    <row r="40483" spans="1:1" ht="12.75">
      <c r="A40483" s="2" t="s">
        <v>172</v>
      </c>
    </row>
    <row r="40484" spans="1:1" ht="12.75">
      <c r="A40484" s="2" t="s">
        <v>196</v>
      </c>
    </row>
    <row r="40485" spans="1:1" ht="12.75">
      <c r="A40485" s="2" t="s">
        <v>165</v>
      </c>
    </row>
    <row r="40486" spans="1:1" ht="12.75">
      <c r="A40486" s="2" t="s">
        <v>160</v>
      </c>
    </row>
    <row r="40487" spans="1:1" ht="12.75">
      <c r="A40487" s="2" t="s">
        <v>165</v>
      </c>
    </row>
    <row r="40488" spans="1:1" ht="12.75">
      <c r="A40488" s="2" t="s">
        <v>176</v>
      </c>
    </row>
    <row r="40489" spans="1:1" ht="12.75">
      <c r="A40489" s="2" t="s">
        <v>165</v>
      </c>
    </row>
    <row r="40490" spans="1:1" ht="12.75">
      <c r="A40490" s="2" t="s">
        <v>176</v>
      </c>
    </row>
    <row r="40491" spans="1:1" ht="12.75">
      <c r="A40491" s="2" t="s">
        <v>184</v>
      </c>
    </row>
    <row r="40493" spans="1:1" ht="12.75">
      <c r="A40493" s="2" t="s">
        <v>171</v>
      </c>
    </row>
    <row r="40494" spans="1:1" ht="12.75">
      <c r="A40494" s="2" t="s">
        <v>173</v>
      </c>
    </row>
    <row r="40495" spans="1:1" ht="12.75">
      <c r="A40495" s="2" t="s">
        <v>160</v>
      </c>
    </row>
    <row r="40496" spans="1:1" ht="12.75">
      <c r="A40496" s="2" t="s">
        <v>169</v>
      </c>
    </row>
    <row r="40497" spans="1:1" ht="12.75">
      <c r="A40497" s="2" t="s">
        <v>160</v>
      </c>
    </row>
    <row r="40498" spans="1:1" ht="12.75">
      <c r="A40498" s="2" t="s">
        <v>225</v>
      </c>
    </row>
    <row r="40499" spans="1:1" ht="12.75">
      <c r="A40499" s="2" t="s">
        <v>196</v>
      </c>
    </row>
    <row r="40501" spans="1:1" ht="12.75">
      <c r="A40501" s="2" t="s">
        <v>173</v>
      </c>
    </row>
    <row r="40503" spans="1:1" ht="12.75">
      <c r="A40503" s="2" t="s">
        <v>173</v>
      </c>
    </row>
    <row r="40505" spans="1:1" ht="12.75">
      <c r="A40505" s="2" t="s">
        <v>950</v>
      </c>
    </row>
    <row r="40506" spans="1:1" ht="12.75">
      <c r="A40506" s="2" t="s">
        <v>179</v>
      </c>
    </row>
    <row r="40507" spans="1:1" ht="12.75">
      <c r="A40507" s="2" t="s">
        <v>163</v>
      </c>
    </row>
    <row r="40509" spans="1:1" ht="12.75">
      <c r="A40509" s="2" t="s">
        <v>163</v>
      </c>
    </row>
    <row r="40510" spans="1:1" ht="12.75">
      <c r="A40510" s="2" t="s">
        <v>162</v>
      </c>
    </row>
    <row r="40511" spans="1:1" ht="12.75">
      <c r="A40511" s="2" t="s">
        <v>175</v>
      </c>
    </row>
    <row r="40512" spans="1:1" ht="12.75">
      <c r="A40512" s="2" t="s">
        <v>162</v>
      </c>
    </row>
    <row r="40513" spans="1:1" ht="12.75">
      <c r="A40513" s="2" t="s">
        <v>175</v>
      </c>
    </row>
    <row r="40514" spans="1:1" ht="12.75">
      <c r="A40514" s="2" t="s">
        <v>162</v>
      </c>
    </row>
    <row r="40515" spans="1:1" ht="12.75">
      <c r="A40515" s="2" t="s">
        <v>194</v>
      </c>
    </row>
    <row r="40516" spans="1:1" ht="12.75">
      <c r="A40516" s="2" t="s">
        <v>183</v>
      </c>
    </row>
    <row r="40517" spans="1:1" ht="12.75">
      <c r="A40517" s="2" t="s">
        <v>194</v>
      </c>
    </row>
    <row r="40518" spans="1:1" ht="12.75">
      <c r="A40518" s="2" t="s">
        <v>393</v>
      </c>
    </row>
    <row r="40519" spans="1:1" ht="12.75">
      <c r="A40519" s="2" t="s">
        <v>179</v>
      </c>
    </row>
    <row r="40520" spans="1:1" ht="12.75">
      <c r="A40520" s="2" t="s">
        <v>194</v>
      </c>
    </row>
    <row r="40521" spans="1:1" ht="12.75">
      <c r="A40521" s="2" t="s">
        <v>172</v>
      </c>
    </row>
    <row r="40522" spans="1:1" ht="12.75">
      <c r="A40522" s="2" t="s">
        <v>168</v>
      </c>
    </row>
    <row r="40523" spans="1:1" ht="12.75">
      <c r="A40523" s="2" t="s">
        <v>172</v>
      </c>
    </row>
    <row r="40525" spans="1:1" ht="12.75">
      <c r="A40525" s="2" t="s">
        <v>183</v>
      </c>
    </row>
    <row r="40526" spans="1:1" ht="12.75">
      <c r="A40526" s="2" t="s">
        <v>172</v>
      </c>
    </row>
    <row r="40527" spans="1:1" ht="12.75">
      <c r="A40527" s="2" t="s">
        <v>566</v>
      </c>
    </row>
    <row r="40528" spans="1:1" ht="12.75">
      <c r="A40528" s="2" t="s">
        <v>566</v>
      </c>
    </row>
    <row r="40529" spans="1:1" ht="12.75">
      <c r="A40529" s="2" t="s">
        <v>566</v>
      </c>
    </row>
    <row r="40530" spans="1:1" ht="12.75">
      <c r="A40530" s="2" t="s">
        <v>566</v>
      </c>
    </row>
    <row r="40531" spans="1:1" ht="12.75">
      <c r="A40531" s="2" t="s">
        <v>566</v>
      </c>
    </row>
    <row r="40532" spans="1:1" ht="12.75">
      <c r="A40532" s="2" t="s">
        <v>566</v>
      </c>
    </row>
    <row r="40533" spans="1:1" ht="12.75">
      <c r="A40533" s="2" t="s">
        <v>566</v>
      </c>
    </row>
    <row r="40534" spans="1:1" ht="12.75">
      <c r="A40534" s="2" t="s">
        <v>566</v>
      </c>
    </row>
    <row r="40535" spans="1:1" ht="12.75">
      <c r="A40535" s="2" t="s">
        <v>566</v>
      </c>
    </row>
    <row r="40536" spans="1:1" ht="12.75">
      <c r="A40536" s="2" t="s">
        <v>566</v>
      </c>
    </row>
    <row r="40537" spans="1:1" ht="12.75">
      <c r="A40537" s="2" t="s">
        <v>496</v>
      </c>
    </row>
    <row r="40538" spans="1:1" ht="12.75">
      <c r="A40538" s="2" t="s">
        <v>497</v>
      </c>
    </row>
    <row r="40539" spans="1:1" ht="12.75">
      <c r="A40539" s="2" t="s">
        <v>496</v>
      </c>
    </row>
    <row r="40540" spans="1:1" ht="12.75">
      <c r="A40540" s="2" t="s">
        <v>496</v>
      </c>
    </row>
    <row r="40541" spans="1:1" ht="12.75">
      <c r="A40541" s="2" t="s">
        <v>496</v>
      </c>
    </row>
    <row r="40542" spans="1:1" ht="12.75">
      <c r="A40542" s="2" t="s">
        <v>496</v>
      </c>
    </row>
    <row r="40543" spans="1:1" ht="12.75">
      <c r="A40543" s="2" t="s">
        <v>496</v>
      </c>
    </row>
    <row r="40544" spans="1:1" ht="12.75">
      <c r="A40544" s="2" t="s">
        <v>496</v>
      </c>
    </row>
    <row r="40545" spans="1:1" ht="12.75">
      <c r="A40545" s="2" t="s">
        <v>496</v>
      </c>
    </row>
    <row r="40546" spans="1:1" ht="12.75">
      <c r="A40546" s="2" t="s">
        <v>497</v>
      </c>
    </row>
    <row r="40547" spans="1:1" ht="12.75">
      <c r="A40547" s="2" t="s">
        <v>497</v>
      </c>
    </row>
    <row r="40548" spans="1:1" ht="12.75">
      <c r="A40548" s="2" t="s">
        <v>496</v>
      </c>
    </row>
    <row r="40549" spans="1:1" ht="12.75">
      <c r="A40549" s="2" t="s">
        <v>496</v>
      </c>
    </row>
    <row r="40550" spans="1:1" ht="12.75">
      <c r="A40550" s="2" t="s">
        <v>496</v>
      </c>
    </row>
    <row r="40551" spans="1:1" ht="12.75">
      <c r="A40551" s="2" t="s">
        <v>496</v>
      </c>
    </row>
    <row r="40552" spans="1:1" ht="12.75">
      <c r="A40552" s="2" t="s">
        <v>1396</v>
      </c>
    </row>
    <row r="40553" spans="1:1" ht="12.75">
      <c r="A40553" s="2" t="s">
        <v>1396</v>
      </c>
    </row>
    <row r="40554" spans="1:1" ht="12.75">
      <c r="A40554" s="2" t="s">
        <v>1396</v>
      </c>
    </row>
    <row r="40555" spans="1:1" ht="12.75">
      <c r="A40555" s="2" t="s">
        <v>1396</v>
      </c>
    </row>
    <row r="40556" spans="1:1" ht="12.75">
      <c r="A40556" s="2" t="s">
        <v>1396</v>
      </c>
    </row>
    <row r="40557" spans="1:1" ht="12.75">
      <c r="A40557" s="2" t="s">
        <v>1396</v>
      </c>
    </row>
    <row r="40558" spans="1:1" ht="12.75">
      <c r="A40558" s="2" t="s">
        <v>1396</v>
      </c>
    </row>
    <row r="40559" spans="1:1" ht="12.75">
      <c r="A40559" s="2" t="s">
        <v>1396</v>
      </c>
    </row>
    <row r="40560" spans="1:1" ht="12.75">
      <c r="A40560" s="2" t="s">
        <v>1396</v>
      </c>
    </row>
    <row r="40561" spans="1:1" ht="12.75">
      <c r="A40561" s="2" t="s">
        <v>1396</v>
      </c>
    </row>
    <row r="40564" spans="1:1" ht="12.75">
      <c r="A40564" s="2" t="s">
        <v>1397</v>
      </c>
    </row>
    <row r="40565" spans="1:1" ht="12.75">
      <c r="A40565" s="2" t="s">
        <v>495</v>
      </c>
    </row>
    <row r="40566" spans="1:1" ht="12.75">
      <c r="A40566" s="2" t="s">
        <v>1398</v>
      </c>
    </row>
    <row r="40569" spans="1:1" ht="12.75">
      <c r="A40569" s="2" t="s">
        <v>591</v>
      </c>
    </row>
    <row r="40570" spans="1:1" ht="12.75">
      <c r="A40570" s="2" t="s">
        <v>299</v>
      </c>
    </row>
    <row r="40571" spans="1:1" ht="12.75">
      <c r="A40571" s="2" t="s">
        <v>472</v>
      </c>
    </row>
    <row r="40576" spans="1:1" ht="12.75">
      <c r="A40576" s="2" t="s">
        <v>215</v>
      </c>
    </row>
    <row r="40577" spans="1:1" ht="12.75">
      <c r="A40577" s="2" t="s">
        <v>215</v>
      </c>
    </row>
    <row r="40578" spans="1:1" ht="12.75">
      <c r="A40578" s="2" t="s">
        <v>215</v>
      </c>
    </row>
    <row r="40579" spans="1:1" ht="12.75">
      <c r="A40579" s="2" t="s">
        <v>215</v>
      </c>
    </row>
    <row r="40580" spans="1:1" ht="12.75">
      <c r="A40580" s="2" t="s">
        <v>215</v>
      </c>
    </row>
    <row r="40581" spans="1:1" ht="12.75">
      <c r="A40581" s="2" t="s">
        <v>215</v>
      </c>
    </row>
    <row r="40596" spans="1:1" ht="12.75">
      <c r="A40596" s="2" t="s">
        <v>354</v>
      </c>
    </row>
    <row r="40597" spans="1:1" ht="12.75">
      <c r="A40597" s="2" t="s">
        <v>354</v>
      </c>
    </row>
    <row r="40598" spans="1:1" ht="12.75">
      <c r="A40598" s="2" t="s">
        <v>1399</v>
      </c>
    </row>
    <row r="40599" spans="1:1" ht="12.75">
      <c r="A40599" s="2" t="s">
        <v>740</v>
      </c>
    </row>
    <row r="40600" spans="1:1" ht="12.75">
      <c r="A40600" s="2" t="s">
        <v>1400</v>
      </c>
    </row>
    <row r="40601" spans="1:1" ht="12.75">
      <c r="A40601" s="2" t="s">
        <v>502</v>
      </c>
    </row>
    <row r="40602" spans="1:1" ht="12.75">
      <c r="A40602" s="2" t="s">
        <v>502</v>
      </c>
    </row>
    <row r="40603" spans="1:1" ht="12.75">
      <c r="A40603" s="2" t="s">
        <v>502</v>
      </c>
    </row>
    <row r="40613" spans="1:1" ht="12.75">
      <c r="A40613" s="2" t="s">
        <v>502</v>
      </c>
    </row>
    <row r="40614" spans="1:1" ht="12.75">
      <c r="A40614" s="2" t="s">
        <v>502</v>
      </c>
    </row>
    <row r="40615" spans="1:1" ht="12.75">
      <c r="A40615" s="2" t="s">
        <v>502</v>
      </c>
    </row>
    <row r="40616" spans="1:1" ht="12.75">
      <c r="A40616" s="2" t="s">
        <v>502</v>
      </c>
    </row>
    <row r="40617" spans="1:1" ht="12.75">
      <c r="A40617" s="2" t="s">
        <v>502</v>
      </c>
    </row>
    <row r="40618" spans="1:1" ht="12.75">
      <c r="A40618" s="2" t="s">
        <v>502</v>
      </c>
    </row>
    <row r="40619" spans="1:1" ht="12.75">
      <c r="A40619" s="2" t="s">
        <v>502</v>
      </c>
    </row>
    <row r="40622" spans="1:1" ht="12.75">
      <c r="A40622" s="2" t="s">
        <v>502</v>
      </c>
    </row>
    <row r="40625" spans="1:1" ht="12.75">
      <c r="A40625" s="2" t="s">
        <v>502</v>
      </c>
    </row>
    <row r="40626" spans="1:1" ht="12.75">
      <c r="A40626" s="2" t="s">
        <v>502</v>
      </c>
    </row>
    <row r="40627" spans="1:1" ht="12.75">
      <c r="A40627" s="2" t="s">
        <v>502</v>
      </c>
    </row>
    <row r="40628" spans="1:1" ht="12.75">
      <c r="A40628" s="2" t="s">
        <v>502</v>
      </c>
    </row>
    <row r="40629" spans="1:1" ht="12.75">
      <c r="A40629" s="2" t="s">
        <v>502</v>
      </c>
    </row>
    <row r="40630" spans="1:1" ht="12.75">
      <c r="A40630" s="2" t="s">
        <v>502</v>
      </c>
    </row>
    <row r="40631" spans="1:1" ht="12.75">
      <c r="A40631" s="2" t="s">
        <v>1401</v>
      </c>
    </row>
    <row r="40632" spans="1:1" ht="12.75">
      <c r="A40632" s="2" t="s">
        <v>1401</v>
      </c>
    </row>
    <row r="40635" spans="1:1" ht="12.75">
      <c r="A40635" s="2" t="s">
        <v>1184</v>
      </c>
    </row>
    <row r="40636" spans="1:1" ht="12.75">
      <c r="A40636" s="2" t="s">
        <v>1184</v>
      </c>
    </row>
    <row r="40637" spans="1:1" ht="12.75">
      <c r="A40637" s="2" t="s">
        <v>1185</v>
      </c>
    </row>
    <row r="40638" spans="1:1" ht="12.75">
      <c r="A40638" s="2" t="s">
        <v>1185</v>
      </c>
    </row>
    <row r="40651" spans="1:1" ht="12.75">
      <c r="A40651" s="2" t="s">
        <v>1185</v>
      </c>
    </row>
    <row r="40652" spans="1:1" ht="12.75">
      <c r="A40652" s="2" t="s">
        <v>1184</v>
      </c>
    </row>
    <row r="40657" spans="1:1" ht="12.75">
      <c r="A40657" s="2" t="s">
        <v>1402</v>
      </c>
    </row>
    <row r="40659" spans="1:1" ht="12.75">
      <c r="A40659" s="2" t="s">
        <v>1403</v>
      </c>
    </row>
    <row r="40660" spans="1:1" ht="12.75">
      <c r="A40660" s="2" t="s">
        <v>392</v>
      </c>
    </row>
    <row r="40661" spans="1:1" ht="12.75">
      <c r="A40661" s="2" t="s">
        <v>1266</v>
      </c>
    </row>
    <row r="40662" spans="1:1" ht="12.75">
      <c r="A40662" s="2" t="s">
        <v>729</v>
      </c>
    </row>
    <row r="40663" spans="1:1" ht="12.75">
      <c r="A40663" s="2" t="s">
        <v>392</v>
      </c>
    </row>
    <row r="40664" spans="1:1" ht="12.75">
      <c r="A40664" s="2" t="s">
        <v>392</v>
      </c>
    </row>
    <row r="40676" spans="1:1" ht="12.75">
      <c r="A40676" s="2" t="s">
        <v>935</v>
      </c>
    </row>
    <row r="40677" spans="1:1" ht="12.75">
      <c r="A40677" s="2" t="s">
        <v>935</v>
      </c>
    </row>
    <row r="40678" spans="1:1" ht="12.75">
      <c r="A40678" s="2" t="s">
        <v>935</v>
      </c>
    </row>
    <row r="40680" spans="1:1" ht="12.75">
      <c r="A40680" s="2" t="s">
        <v>1104</v>
      </c>
    </row>
    <row r="40681" spans="1:1" ht="12.75">
      <c r="A40681" s="2" t="s">
        <v>1104</v>
      </c>
    </row>
    <row r="40682" spans="1:1" ht="12.75">
      <c r="A40682" s="2" t="s">
        <v>1104</v>
      </c>
    </row>
    <row r="40683" spans="1:1" ht="12.75">
      <c r="A40683" s="2" t="s">
        <v>1104</v>
      </c>
    </row>
    <row r="40684" spans="1:1" ht="12.75">
      <c r="A40684" s="2" t="s">
        <v>1104</v>
      </c>
    </row>
    <row r="40685" spans="1:1" ht="12.75">
      <c r="A40685" s="2" t="s">
        <v>393</v>
      </c>
    </row>
    <row r="40686" spans="1:1" ht="12.75">
      <c r="A40686" s="2" t="s">
        <v>393</v>
      </c>
    </row>
    <row r="40687" spans="1:1" ht="12.75">
      <c r="A40687" s="2" t="s">
        <v>393</v>
      </c>
    </row>
    <row r="40688" spans="1:1" ht="12.75">
      <c r="A40688" s="2" t="s">
        <v>393</v>
      </c>
    </row>
    <row r="40689" spans="1:1" ht="12.75">
      <c r="A40689" s="2" t="s">
        <v>393</v>
      </c>
    </row>
    <row r="40694" spans="1:1" ht="12.75">
      <c r="A40694" s="2" t="s">
        <v>1404</v>
      </c>
    </row>
    <row r="40695" spans="1:1" ht="12.75">
      <c r="A40695" s="2" t="s">
        <v>1404</v>
      </c>
    </row>
    <row r="40696" spans="1:1" ht="12.75">
      <c r="A40696" s="2" t="s">
        <v>1404</v>
      </c>
    </row>
    <row r="40697" spans="1:1" ht="12.75">
      <c r="A40697" s="2" t="s">
        <v>1404</v>
      </c>
    </row>
    <row r="40698" spans="1:1" ht="12.75">
      <c r="A40698" s="2" t="s">
        <v>1404</v>
      </c>
    </row>
    <row r="40699" spans="1:1" ht="12.75">
      <c r="A40699" s="2" t="s">
        <v>1404</v>
      </c>
    </row>
    <row r="40700" spans="1:1" ht="12.75">
      <c r="A40700" s="2" t="s">
        <v>1404</v>
      </c>
    </row>
    <row r="40710" spans="1:1" ht="12.75">
      <c r="A40710" s="2" t="s">
        <v>1405</v>
      </c>
    </row>
    <row r="40711" spans="1:1" ht="12.75">
      <c r="A40711" s="2" t="s">
        <v>1405</v>
      </c>
    </row>
    <row r="40712" spans="1:1" ht="12.75">
      <c r="A40712" s="2" t="s">
        <v>1405</v>
      </c>
    </row>
    <row r="40720" spans="1:1" ht="12.75">
      <c r="A40720" s="2" t="s">
        <v>589</v>
      </c>
    </row>
    <row r="40728" spans="1:1" ht="12.75">
      <c r="A40728" s="2" t="s">
        <v>302</v>
      </c>
    </row>
    <row r="40729" spans="1:1" ht="12.75">
      <c r="A40729" s="2" t="s">
        <v>302</v>
      </c>
    </row>
    <row r="40730" spans="1:1" ht="12.75">
      <c r="A40730" s="2" t="s">
        <v>302</v>
      </c>
    </row>
    <row r="40731" spans="1:1" ht="12.75">
      <c r="A40731" s="2" t="s">
        <v>302</v>
      </c>
    </row>
    <row r="40732" spans="1:1" ht="12.75">
      <c r="A40732" s="2" t="s">
        <v>302</v>
      </c>
    </row>
    <row r="40733" spans="1:1" ht="12.75">
      <c r="A40733" s="2" t="s">
        <v>302</v>
      </c>
    </row>
    <row r="40734" spans="1:1" ht="12.75">
      <c r="A40734" s="2" t="s">
        <v>302</v>
      </c>
    </row>
    <row r="40735" spans="1:1" ht="12.75">
      <c r="A40735" s="2" t="s">
        <v>302</v>
      </c>
    </row>
    <row r="40736" spans="1:1" ht="12.75">
      <c r="A40736" s="2" t="s">
        <v>302</v>
      </c>
    </row>
    <row r="40737" spans="1:1" ht="12.75">
      <c r="A40737" s="2" t="s">
        <v>302</v>
      </c>
    </row>
    <row r="40738" spans="1:1" ht="12.75">
      <c r="A40738" s="2" t="s">
        <v>302</v>
      </c>
    </row>
    <row r="40739" spans="1:1" ht="12.75">
      <c r="A40739" s="2" t="s">
        <v>302</v>
      </c>
    </row>
    <row r="40740" spans="1:1" ht="12.75">
      <c r="A40740" s="2" t="s">
        <v>302</v>
      </c>
    </row>
    <row r="40741" spans="1:1" ht="12.75">
      <c r="A40741" s="2" t="s">
        <v>302</v>
      </c>
    </row>
    <row r="40742" spans="1:1" ht="12.75">
      <c r="A40742" s="2" t="s">
        <v>302</v>
      </c>
    </row>
    <row r="40743" spans="1:1" ht="12.75">
      <c r="A40743" s="2" t="s">
        <v>302</v>
      </c>
    </row>
    <row r="40744" spans="1:1" ht="12.75">
      <c r="A40744" s="2" t="s">
        <v>1406</v>
      </c>
    </row>
    <row r="40745" spans="1:1" ht="12.75">
      <c r="A40745" s="2" t="s">
        <v>302</v>
      </c>
    </row>
    <row r="40746" spans="1:1" ht="12.75">
      <c r="A40746" s="2" t="s">
        <v>302</v>
      </c>
    </row>
    <row r="40747" spans="1:1" ht="12.75">
      <c r="A40747" s="2" t="s">
        <v>302</v>
      </c>
    </row>
    <row r="40748" spans="1:1" ht="12.75">
      <c r="A40748" s="2" t="s">
        <v>302</v>
      </c>
    </row>
    <row r="40749" spans="1:1" ht="12.75">
      <c r="A40749" s="2" t="s">
        <v>302</v>
      </c>
    </row>
    <row r="40750" spans="1:1" ht="12.75">
      <c r="A40750" s="2" t="s">
        <v>302</v>
      </c>
    </row>
    <row r="40751" spans="1:1" ht="12.75">
      <c r="A40751" s="2" t="s">
        <v>302</v>
      </c>
    </row>
    <row r="40752" spans="1:1" ht="12.75">
      <c r="A40752" s="2" t="s">
        <v>1407</v>
      </c>
    </row>
    <row r="40753" spans="1:1" ht="12.75">
      <c r="A40753" s="2" t="s">
        <v>1407</v>
      </c>
    </row>
    <row r="40867" spans="1:1" ht="12.75">
      <c r="A40867" s="2" t="s">
        <v>1408</v>
      </c>
    </row>
    <row r="40868" spans="1:1" ht="12.75">
      <c r="A40868" s="2" t="s">
        <v>1408</v>
      </c>
    </row>
    <row r="40869" spans="1:1" ht="12.75">
      <c r="A40869" s="2" t="s">
        <v>1408</v>
      </c>
    </row>
    <row r="40870" spans="1:1" ht="12.75">
      <c r="A40870" s="2" t="s">
        <v>1038</v>
      </c>
    </row>
    <row r="40871" spans="1:1" ht="12.75">
      <c r="A40871" s="2" t="s">
        <v>495</v>
      </c>
    </row>
    <row r="40872" spans="1:1" ht="12.75">
      <c r="A40872" s="2" t="s">
        <v>495</v>
      </c>
    </row>
    <row r="40973" spans="1:1" ht="12.75">
      <c r="A40973" s="2" t="s">
        <v>401</v>
      </c>
    </row>
    <row r="40975" spans="1:1" ht="12.75">
      <c r="A40975" s="2" t="s">
        <v>401</v>
      </c>
    </row>
    <row r="40978" spans="1:1" ht="12.75">
      <c r="A40978" s="2" t="s">
        <v>529</v>
      </c>
    </row>
    <row r="40979" spans="1:1" ht="12.75">
      <c r="A40979" s="2" t="s">
        <v>528</v>
      </c>
    </row>
    <row r="40980" spans="1:1" ht="12.75">
      <c r="A40980" s="2" t="s">
        <v>528</v>
      </c>
    </row>
    <row r="40981" spans="1:1" ht="12.75">
      <c r="A40981" s="2" t="s">
        <v>513</v>
      </c>
    </row>
    <row r="40982" spans="1:1" ht="12.75">
      <c r="A40982" s="2" t="s">
        <v>513</v>
      </c>
    </row>
    <row r="40983" spans="1:1" ht="12.75">
      <c r="A40983" s="2" t="s">
        <v>514</v>
      </c>
    </row>
    <row r="40984" spans="1:1" ht="12.75">
      <c r="A40984" s="2" t="s">
        <v>514</v>
      </c>
    </row>
    <row r="40985" spans="1:1" ht="12.75">
      <c r="A40985" s="2" t="s">
        <v>528</v>
      </c>
    </row>
    <row r="40986" spans="1:1" ht="12.75">
      <c r="A40986" s="2" t="s">
        <v>797</v>
      </c>
    </row>
    <row r="40987" spans="1:1" ht="12.75">
      <c r="A40987" s="2" t="s">
        <v>546</v>
      </c>
    </row>
    <row r="40988" spans="1:1" ht="12.75">
      <c r="A40988" s="2" t="s">
        <v>528</v>
      </c>
    </row>
    <row r="40989" spans="1:1" ht="12.75">
      <c r="A40989" s="2" t="s">
        <v>530</v>
      </c>
    </row>
    <row r="40990" spans="1:1" ht="12.75">
      <c r="A40990" s="2" t="s">
        <v>530</v>
      </c>
    </row>
    <row r="40991" spans="1:1" ht="12.75">
      <c r="A40991" s="2" t="s">
        <v>531</v>
      </c>
    </row>
    <row r="40992" spans="1:1" ht="12.75">
      <c r="A40992" s="2" t="s">
        <v>531</v>
      </c>
    </row>
    <row r="40993" spans="1:1" ht="12.75">
      <c r="A40993" s="2" t="s">
        <v>794</v>
      </c>
    </row>
    <row r="40994" spans="1:1" ht="12.75">
      <c r="A40994" s="2" t="s">
        <v>529</v>
      </c>
    </row>
    <row r="40995" spans="1:1" ht="12.75">
      <c r="A40995" s="2" t="s">
        <v>528</v>
      </c>
    </row>
    <row r="40996" spans="1:1" ht="12.75">
      <c r="A40996" s="2" t="s">
        <v>528</v>
      </c>
    </row>
    <row r="40997" spans="1:1" ht="12.75">
      <c r="A40997" s="2" t="s">
        <v>513</v>
      </c>
    </row>
    <row r="40999" spans="1:1" ht="12.75">
      <c r="A40999" s="2" t="s">
        <v>799</v>
      </c>
    </row>
    <row r="41000" spans="1:1" ht="12.75">
      <c r="A41000" s="2" t="s">
        <v>799</v>
      </c>
    </row>
    <row r="41001" spans="1:1" ht="12.75">
      <c r="A41001" s="2" t="s">
        <v>546</v>
      </c>
    </row>
    <row r="41002" spans="1:1" ht="12.75">
      <c r="A41002" s="2" t="s">
        <v>1409</v>
      </c>
    </row>
    <row r="41003" spans="1:1" ht="12.75">
      <c r="A41003" s="2" t="s">
        <v>530</v>
      </c>
    </row>
    <row r="41004" spans="1:1" ht="12.75">
      <c r="A41004" s="2" t="s">
        <v>530</v>
      </c>
    </row>
    <row r="41005" spans="1:1" ht="12.75">
      <c r="A41005" s="2" t="s">
        <v>532</v>
      </c>
    </row>
    <row r="41007" spans="1:1" ht="12.75">
      <c r="A41007" s="2" t="s">
        <v>529</v>
      </c>
    </row>
    <row r="41008" spans="1:1" ht="12.75">
      <c r="A41008" s="2" t="s">
        <v>529</v>
      </c>
    </row>
    <row r="41009" spans="1:1" ht="12.75">
      <c r="A41009" s="2" t="s">
        <v>528</v>
      </c>
    </row>
    <row r="41010" spans="1:1" ht="12.75">
      <c r="A41010" s="2" t="s">
        <v>514</v>
      </c>
    </row>
    <row r="41011" spans="1:1" ht="12.75">
      <c r="A41011" s="2" t="s">
        <v>531</v>
      </c>
    </row>
    <row r="41012" spans="1:1" ht="12.75">
      <c r="A41012" s="2" t="s">
        <v>531</v>
      </c>
    </row>
    <row r="41013" spans="1:1" ht="12.75">
      <c r="A41013" s="2" t="s">
        <v>530</v>
      </c>
    </row>
    <row r="41014" spans="1:1" ht="12.75">
      <c r="A41014" s="2" t="s">
        <v>529</v>
      </c>
    </row>
    <row r="41015" spans="1:1" ht="12.75">
      <c r="A41015" s="2" t="s">
        <v>530</v>
      </c>
    </row>
    <row r="41016" spans="1:1" ht="12.75">
      <c r="A41016" s="2" t="s">
        <v>797</v>
      </c>
    </row>
    <row r="41017" spans="1:1" ht="12.75">
      <c r="A41017" s="2" t="s">
        <v>514</v>
      </c>
    </row>
    <row r="41018" spans="1:1" ht="12.75">
      <c r="A41018" s="2" t="s">
        <v>514</v>
      </c>
    </row>
    <row r="41019" spans="1:1" ht="12.75">
      <c r="A41019" s="2" t="s">
        <v>514</v>
      </c>
    </row>
    <row r="41020" spans="1:1" ht="12.75">
      <c r="A41020" s="2" t="s">
        <v>546</v>
      </c>
    </row>
    <row r="41021" spans="1:1" ht="12.75">
      <c r="A41021" s="2" t="s">
        <v>798</v>
      </c>
    </row>
    <row r="41022" spans="1:1" ht="12.75">
      <c r="A41022" s="2" t="s">
        <v>513</v>
      </c>
    </row>
    <row r="41023" spans="1:1" ht="12.75">
      <c r="A41023" s="2" t="s">
        <v>546</v>
      </c>
    </row>
    <row r="41024" spans="1:1" ht="12.75">
      <c r="A41024" s="2" t="s">
        <v>514</v>
      </c>
    </row>
    <row r="41025" spans="1:1" ht="12.75">
      <c r="A41025" s="2" t="s">
        <v>513</v>
      </c>
    </row>
    <row r="41026" spans="1:1" ht="12.75">
      <c r="A41026" s="2" t="s">
        <v>513</v>
      </c>
    </row>
    <row r="41027" spans="1:1" ht="12.75">
      <c r="A41027" s="2" t="s">
        <v>514</v>
      </c>
    </row>
    <row r="41028" spans="1:1" ht="12.75">
      <c r="A41028" s="2" t="s">
        <v>531</v>
      </c>
    </row>
    <row r="41029" spans="1:1" ht="12.75">
      <c r="A41029" s="2" t="s">
        <v>531</v>
      </c>
    </row>
    <row r="41030" spans="1:1" ht="12.75">
      <c r="A41030" s="2" t="s">
        <v>530</v>
      </c>
    </row>
    <row r="41031" spans="1:1" ht="12.75">
      <c r="A41031" s="2" t="s">
        <v>530</v>
      </c>
    </row>
    <row r="41032" spans="1:1" ht="12.75">
      <c r="A41032" s="2" t="s">
        <v>514</v>
      </c>
    </row>
    <row r="41033" spans="1:1" ht="12.75">
      <c r="A41033" s="2" t="s">
        <v>514</v>
      </c>
    </row>
    <row r="41034" spans="1:1" ht="12.75">
      <c r="A41034" s="2" t="s">
        <v>546</v>
      </c>
    </row>
    <row r="41035" spans="1:1" ht="12.75">
      <c r="A41035" s="2" t="s">
        <v>546</v>
      </c>
    </row>
    <row r="41036" spans="1:1" ht="12.75">
      <c r="A41036" s="2" t="s">
        <v>514</v>
      </c>
    </row>
    <row r="41037" spans="1:1" ht="12.75">
      <c r="A41037" s="2" t="s">
        <v>514</v>
      </c>
    </row>
    <row r="41038" spans="1:1" ht="12.75">
      <c r="A41038" s="2" t="s">
        <v>530</v>
      </c>
    </row>
    <row r="41039" spans="1:1" ht="12.75">
      <c r="A41039" s="2" t="s">
        <v>514</v>
      </c>
    </row>
    <row r="41040" spans="1:1" ht="12.75">
      <c r="A41040" s="2" t="s">
        <v>530</v>
      </c>
    </row>
    <row r="41041" spans="1:1" ht="12.75">
      <c r="A41041" s="2" t="s">
        <v>514</v>
      </c>
    </row>
    <row r="41042" spans="1:1" ht="12.75">
      <c r="A41042" s="2" t="s">
        <v>794</v>
      </c>
    </row>
    <row r="41043" spans="1:1" ht="12.75">
      <c r="A41043" s="2" t="s">
        <v>530</v>
      </c>
    </row>
    <row r="41044" spans="1:1" ht="12.75">
      <c r="A41044" s="2" t="s">
        <v>513</v>
      </c>
    </row>
    <row r="41045" spans="1:1" ht="12.75">
      <c r="A41045" s="2" t="s">
        <v>528</v>
      </c>
    </row>
    <row r="41047" spans="1:1" ht="12.75">
      <c r="A41047" s="2" t="s">
        <v>528</v>
      </c>
    </row>
    <row r="41048" spans="1:1" ht="12.75">
      <c r="A41048" s="2" t="s">
        <v>514</v>
      </c>
    </row>
    <row r="41049" spans="1:1" ht="12.75">
      <c r="A41049" s="2" t="s">
        <v>529</v>
      </c>
    </row>
    <row r="41050" spans="1:1" ht="12.75">
      <c r="A41050" s="2" t="s">
        <v>530</v>
      </c>
    </row>
    <row r="41051" spans="1:1" ht="12.75">
      <c r="A41051" s="2" t="s">
        <v>797</v>
      </c>
    </row>
    <row r="41052" spans="1:1" ht="12.75">
      <c r="A41052" s="2" t="s">
        <v>530</v>
      </c>
    </row>
    <row r="41053" spans="1:1" ht="12.75">
      <c r="A41053" s="2" t="s">
        <v>797</v>
      </c>
    </row>
    <row r="41054" spans="1:1" ht="12.75">
      <c r="A41054" s="2" t="s">
        <v>530</v>
      </c>
    </row>
    <row r="41055" spans="1:1" ht="12.75">
      <c r="A41055" s="2" t="s">
        <v>514</v>
      </c>
    </row>
    <row r="41056" spans="1:1" ht="12.75">
      <c r="A41056" s="2" t="s">
        <v>513</v>
      </c>
    </row>
    <row r="41057" spans="1:1" ht="12.75">
      <c r="A41057" s="2" t="s">
        <v>531</v>
      </c>
    </row>
    <row r="41058" spans="1:1" ht="12.75">
      <c r="A41058" s="2" t="s">
        <v>514</v>
      </c>
    </row>
    <row r="41059" spans="1:1" ht="12.75">
      <c r="A41059" s="2" t="s">
        <v>529</v>
      </c>
    </row>
    <row r="41060" spans="1:1" ht="12.75">
      <c r="A41060" s="2" t="s">
        <v>514</v>
      </c>
    </row>
    <row r="41061" spans="1:1" ht="12.75">
      <c r="A41061" s="2" t="s">
        <v>529</v>
      </c>
    </row>
    <row r="41062" spans="1:1" ht="12.75">
      <c r="A41062" s="2" t="s">
        <v>514</v>
      </c>
    </row>
    <row r="41063" spans="1:1" ht="12.75">
      <c r="A41063" s="2" t="s">
        <v>513</v>
      </c>
    </row>
    <row r="41064" spans="1:1" ht="12.75">
      <c r="A41064" s="2" t="s">
        <v>528</v>
      </c>
    </row>
    <row r="41065" spans="1:1" ht="12.75">
      <c r="A41065" s="2" t="s">
        <v>530</v>
      </c>
    </row>
    <row r="41066" spans="1:1" ht="12.75">
      <c r="A41066" s="2" t="s">
        <v>528</v>
      </c>
    </row>
    <row r="41067" spans="1:1" ht="12.75">
      <c r="A41067" s="2" t="s">
        <v>530</v>
      </c>
    </row>
    <row r="41068" spans="1:1" ht="12.75">
      <c r="A41068" s="2" t="s">
        <v>530</v>
      </c>
    </row>
    <row r="41069" spans="1:1" ht="12.75">
      <c r="A41069" s="2" t="s">
        <v>513</v>
      </c>
    </row>
    <row r="41070" spans="1:1" ht="12.75">
      <c r="A41070" s="2" t="s">
        <v>530</v>
      </c>
    </row>
    <row r="41072" spans="1:1" ht="12.75">
      <c r="A41072" s="2" t="s">
        <v>531</v>
      </c>
    </row>
    <row r="41073" spans="1:1" ht="12.75">
      <c r="A41073" s="2" t="s">
        <v>794</v>
      </c>
    </row>
    <row r="41074" spans="1:1" ht="12.75">
      <c r="A41074" s="2" t="s">
        <v>513</v>
      </c>
    </row>
    <row r="41075" spans="1:1" ht="12.75">
      <c r="A41075" s="2" t="s">
        <v>528</v>
      </c>
    </row>
    <row r="41076" spans="1:1" ht="12.75">
      <c r="A41076" s="2" t="s">
        <v>546</v>
      </c>
    </row>
    <row r="41077" spans="1:1" ht="12.75">
      <c r="A41077" s="2" t="s">
        <v>528</v>
      </c>
    </row>
    <row r="41178" spans="1:1" ht="12.75">
      <c r="A41178" s="2" t="s">
        <v>531</v>
      </c>
    </row>
    <row r="41179" spans="1:1" ht="12.75">
      <c r="A41179" s="2" t="s">
        <v>797</v>
      </c>
    </row>
    <row r="41180" spans="1:1" ht="12.75">
      <c r="A41180" s="2" t="s">
        <v>546</v>
      </c>
    </row>
    <row r="41181" spans="1:1" ht="12.75">
      <c r="A41181" s="2" t="s">
        <v>528</v>
      </c>
    </row>
    <row r="41182" spans="1:1" ht="12.75">
      <c r="A41182" s="2" t="s">
        <v>531</v>
      </c>
    </row>
    <row r="41183" spans="1:1" ht="12.75">
      <c r="A41183" s="2" t="s">
        <v>532</v>
      </c>
    </row>
    <row r="41184" spans="1:1" ht="12.75">
      <c r="A41184" s="2" t="s">
        <v>546</v>
      </c>
    </row>
    <row r="41185" spans="1:1" ht="12.75">
      <c r="A41185" s="2" t="s">
        <v>546</v>
      </c>
    </row>
    <row r="41186" spans="1:1" ht="12.75">
      <c r="A41186" s="2" t="s">
        <v>546</v>
      </c>
    </row>
    <row r="41187" spans="1:1" ht="12.75">
      <c r="A41187" s="2" t="s">
        <v>530</v>
      </c>
    </row>
    <row r="41188" spans="1:1" ht="12.75">
      <c r="A41188" s="2" t="s">
        <v>1410</v>
      </c>
    </row>
    <row r="41189" spans="1:1" ht="12.75">
      <c r="A41189" s="2" t="s">
        <v>513</v>
      </c>
    </row>
    <row r="41190" spans="1:1" ht="12.75">
      <c r="A41190" s="2" t="s">
        <v>513</v>
      </c>
    </row>
    <row r="41191" spans="1:1" ht="12.75">
      <c r="A41191" s="2" t="s">
        <v>513</v>
      </c>
    </row>
    <row r="41192" spans="1:1" ht="12.75">
      <c r="A41192" s="2" t="s">
        <v>513</v>
      </c>
    </row>
    <row r="41193" spans="1:1" ht="12.75">
      <c r="A41193" s="2" t="s">
        <v>546</v>
      </c>
    </row>
    <row r="41194" spans="1:1" ht="12.75">
      <c r="A41194" s="2" t="s">
        <v>514</v>
      </c>
    </row>
    <row r="41195" spans="1:1" ht="12.75">
      <c r="A41195" s="2" t="s">
        <v>528</v>
      </c>
    </row>
    <row r="41196" spans="1:1" ht="12.75">
      <c r="A41196" s="2" t="s">
        <v>514</v>
      </c>
    </row>
    <row r="41197" spans="1:1" ht="12.75">
      <c r="A41197" s="2" t="s">
        <v>530</v>
      </c>
    </row>
    <row r="41198" spans="1:1" ht="12.75">
      <c r="A41198" s="2" t="s">
        <v>1411</v>
      </c>
    </row>
    <row r="41199" spans="1:1" ht="12.75">
      <c r="A41199" s="2" t="s">
        <v>513</v>
      </c>
    </row>
    <row r="41201" spans="1:1" ht="12.75">
      <c r="A41201" s="2" t="s">
        <v>514</v>
      </c>
    </row>
    <row r="41202" spans="1:1" ht="12.75">
      <c r="A41202" s="2" t="s">
        <v>797</v>
      </c>
    </row>
    <row r="41203" spans="1:1" ht="12.75">
      <c r="A41203" s="2" t="s">
        <v>797</v>
      </c>
    </row>
    <row r="41204" spans="1:1" ht="12.75">
      <c r="A41204" s="2" t="s">
        <v>576</v>
      </c>
    </row>
    <row r="41205" spans="1:1" ht="12.75">
      <c r="A41205" s="2" t="s">
        <v>530</v>
      </c>
    </row>
    <row r="41206" spans="1:1" ht="12.75">
      <c r="A41206" s="2" t="s">
        <v>528</v>
      </c>
    </row>
    <row r="41207" spans="1:1" ht="12.75">
      <c r="A41207" s="2" t="s">
        <v>528</v>
      </c>
    </row>
    <row r="41208" spans="1:1" ht="12.75">
      <c r="A41208" s="2" t="s">
        <v>546</v>
      </c>
    </row>
    <row r="41209" spans="1:1" ht="12.75">
      <c r="A41209" s="2" t="s">
        <v>546</v>
      </c>
    </row>
    <row r="41210" spans="1:1" ht="12.75">
      <c r="A41210" s="2" t="s">
        <v>513</v>
      </c>
    </row>
    <row r="41211" spans="1:1" ht="12.75">
      <c r="A41211" s="2" t="s">
        <v>513</v>
      </c>
    </row>
    <row r="41213" spans="1:1" ht="12.75">
      <c r="A41213" s="2" t="s">
        <v>530</v>
      </c>
    </row>
    <row r="41214" spans="1:1" ht="12.75">
      <c r="A41214" s="2" t="s">
        <v>513</v>
      </c>
    </row>
    <row r="41215" spans="1:1" ht="12.75">
      <c r="A41215" s="2" t="s">
        <v>514</v>
      </c>
    </row>
    <row r="41216" spans="1:1" ht="12.75">
      <c r="A41216" s="2" t="s">
        <v>546</v>
      </c>
    </row>
    <row r="41217" spans="1:1" ht="12.75">
      <c r="A41217" s="2" t="s">
        <v>1412</v>
      </c>
    </row>
    <row r="41218" spans="1:1" ht="12.75">
      <c r="A41218" s="2" t="s">
        <v>547</v>
      </c>
    </row>
    <row r="41219" spans="1:1" ht="12.75">
      <c r="A41219" s="2" t="s">
        <v>546</v>
      </c>
    </row>
    <row r="41220" spans="1:1" ht="12.75">
      <c r="A41220" s="2" t="s">
        <v>530</v>
      </c>
    </row>
    <row r="41221" spans="1:1" ht="12.75">
      <c r="A41221" s="2" t="s">
        <v>514</v>
      </c>
    </row>
    <row r="41222" spans="1:1" ht="12.75">
      <c r="A41222" s="2" t="s">
        <v>797</v>
      </c>
    </row>
    <row r="41223" spans="1:1" ht="12.75">
      <c r="A41223" s="2" t="s">
        <v>530</v>
      </c>
    </row>
    <row r="41224" spans="1:1" ht="12.75">
      <c r="A41224" s="2" t="s">
        <v>514</v>
      </c>
    </row>
    <row r="41225" spans="1:1" ht="12.75">
      <c r="A41225" s="2" t="s">
        <v>514</v>
      </c>
    </row>
    <row r="41226" spans="1:1" ht="12.75">
      <c r="A41226" s="2" t="s">
        <v>514</v>
      </c>
    </row>
    <row r="41227" spans="1:1" ht="12.75">
      <c r="A41227" s="2" t="s">
        <v>514</v>
      </c>
    </row>
    <row r="41228" spans="1:1" ht="12.75">
      <c r="A41228" s="2" t="s">
        <v>513</v>
      </c>
    </row>
    <row r="41230" spans="1:1" ht="12.75">
      <c r="A41230" s="2" t="s">
        <v>546</v>
      </c>
    </row>
    <row r="41231" spans="1:1" ht="12.75">
      <c r="A41231" s="2" t="s">
        <v>546</v>
      </c>
    </row>
    <row r="41232" spans="1:1" ht="12.75">
      <c r="A41232" s="2" t="s">
        <v>530</v>
      </c>
    </row>
    <row r="41233" spans="1:1" ht="12.75">
      <c r="A41233" s="2" t="s">
        <v>530</v>
      </c>
    </row>
    <row r="41234" spans="1:1" ht="12.75">
      <c r="A41234" s="2" t="s">
        <v>528</v>
      </c>
    </row>
    <row r="41235" spans="1:1" ht="12.75">
      <c r="A41235" s="2" t="s">
        <v>528</v>
      </c>
    </row>
    <row r="41236" spans="1:1" ht="12.75">
      <c r="A41236" s="2" t="s">
        <v>1413</v>
      </c>
    </row>
    <row r="41237" spans="1:1" ht="12.75">
      <c r="A41237" s="2" t="s">
        <v>514</v>
      </c>
    </row>
    <row r="41238" spans="1:1" ht="12.75">
      <c r="A41238" s="2" t="s">
        <v>530</v>
      </c>
    </row>
    <row r="41239" spans="1:1" ht="12.75">
      <c r="A41239" s="2" t="s">
        <v>797</v>
      </c>
    </row>
    <row r="41240" spans="1:1" ht="12.75">
      <c r="A41240" s="2" t="s">
        <v>529</v>
      </c>
    </row>
    <row r="41241" spans="1:1" ht="12.75">
      <c r="A41241" s="2" t="s">
        <v>528</v>
      </c>
    </row>
    <row r="41242" spans="1:1" ht="12.75">
      <c r="A41242" s="2" t="s">
        <v>513</v>
      </c>
    </row>
    <row r="41243" spans="1:1" ht="12.75">
      <c r="A41243" s="2" t="s">
        <v>529</v>
      </c>
    </row>
    <row r="41244" spans="1:1" ht="12.75">
      <c r="A41244" s="2" t="s">
        <v>546</v>
      </c>
    </row>
    <row r="41245" spans="1:1" ht="12.75">
      <c r="A41245" s="2" t="s">
        <v>513</v>
      </c>
    </row>
    <row r="41246" spans="1:1" ht="12.75">
      <c r="A41246" s="2" t="s">
        <v>528</v>
      </c>
    </row>
    <row r="41247" spans="1:1" ht="12.75">
      <c r="A41247" s="2" t="s">
        <v>546</v>
      </c>
    </row>
    <row r="41248" spans="1:1" ht="12.75">
      <c r="A41248" s="2" t="s">
        <v>530</v>
      </c>
    </row>
    <row r="41249" spans="1:1" ht="12.75">
      <c r="A41249" s="2" t="s">
        <v>528</v>
      </c>
    </row>
    <row r="41250" spans="1:1" ht="12.75">
      <c r="A41250" s="2" t="s">
        <v>514</v>
      </c>
    </row>
    <row r="41251" spans="1:1" ht="12.75">
      <c r="A41251" s="2" t="s">
        <v>530</v>
      </c>
    </row>
    <row r="41252" spans="1:1" ht="12.75">
      <c r="A41252" s="2" t="s">
        <v>513</v>
      </c>
    </row>
    <row r="41253" spans="1:1" ht="12.75">
      <c r="A41253" s="2" t="s">
        <v>528</v>
      </c>
    </row>
    <row r="41254" spans="1:1" ht="12.75">
      <c r="A41254" s="2" t="s">
        <v>514</v>
      </c>
    </row>
    <row r="41255" spans="1:1" ht="12.75">
      <c r="A41255" s="2" t="s">
        <v>531</v>
      </c>
    </row>
    <row r="41256" spans="1:1" ht="12.75">
      <c r="A41256" s="2" t="s">
        <v>514</v>
      </c>
    </row>
    <row r="41257" spans="1:1" ht="12.75">
      <c r="A41257" s="2" t="s">
        <v>514</v>
      </c>
    </row>
    <row r="41258" spans="1:1" ht="12.75">
      <c r="A41258" s="2" t="s">
        <v>529</v>
      </c>
    </row>
    <row r="41259" spans="1:1" ht="12.75">
      <c r="A41259" s="2" t="s">
        <v>529</v>
      </c>
    </row>
    <row r="41260" spans="1:1" ht="12.75">
      <c r="A41260" s="2" t="s">
        <v>528</v>
      </c>
    </row>
    <row r="41261" spans="1:1" ht="12.75">
      <c r="A41261" s="2" t="s">
        <v>528</v>
      </c>
    </row>
    <row r="41262" spans="1:1" ht="12.75">
      <c r="A41262" s="2" t="s">
        <v>532</v>
      </c>
    </row>
    <row r="41263" spans="1:1" ht="12.75">
      <c r="A41263" s="2" t="s">
        <v>532</v>
      </c>
    </row>
    <row r="41264" spans="1:1" ht="12.75">
      <c r="A41264" s="2" t="s">
        <v>546</v>
      </c>
    </row>
    <row r="41265" spans="1:1" ht="12.75">
      <c r="A41265" s="2" t="s">
        <v>546</v>
      </c>
    </row>
    <row r="41266" spans="1:1" ht="12.75">
      <c r="A41266" s="2" t="s">
        <v>530</v>
      </c>
    </row>
    <row r="41268" spans="1:1" ht="12.75">
      <c r="A41268" s="2" t="s">
        <v>513</v>
      </c>
    </row>
    <row r="41269" spans="1:1" ht="12.75">
      <c r="A41269" s="2" t="s">
        <v>513</v>
      </c>
    </row>
    <row r="41270" spans="1:1" ht="12.75">
      <c r="A41270" s="2" t="s">
        <v>528</v>
      </c>
    </row>
    <row r="41271" spans="1:1" ht="12.75">
      <c r="A41271" s="2" t="s">
        <v>530</v>
      </c>
    </row>
    <row r="41272" spans="1:1" ht="12.75">
      <c r="A41272" s="2" t="s">
        <v>546</v>
      </c>
    </row>
    <row r="41273" spans="1:1" ht="12.75">
      <c r="A41273" s="2" t="s">
        <v>546</v>
      </c>
    </row>
    <row r="41274" spans="1:1" ht="12.75">
      <c r="A41274" s="2" t="s">
        <v>797</v>
      </c>
    </row>
    <row r="41275" spans="1:1" ht="12.75">
      <c r="A41275" s="2" t="s">
        <v>528</v>
      </c>
    </row>
    <row r="41276" spans="1:1" ht="12.75">
      <c r="A41276" s="2" t="s">
        <v>528</v>
      </c>
    </row>
    <row r="41277" spans="1:1" ht="12.75">
      <c r="A41277" s="2" t="s">
        <v>514</v>
      </c>
    </row>
    <row r="41278" spans="1:1" ht="12.75">
      <c r="A41278" s="2" t="s">
        <v>514</v>
      </c>
    </row>
    <row r="41279" spans="1:1" ht="12.75">
      <c r="A41279" s="2" t="s">
        <v>797</v>
      </c>
    </row>
    <row r="41280" spans="1:1" ht="12.75">
      <c r="A41280" s="2" t="s">
        <v>513</v>
      </c>
    </row>
    <row r="41281" spans="1:1" ht="12.75">
      <c r="A41281" s="2" t="s">
        <v>546</v>
      </c>
    </row>
    <row r="41282" spans="1:1" ht="12.75">
      <c r="A41282" s="2" t="s">
        <v>546</v>
      </c>
    </row>
    <row r="41283" spans="1:1" ht="12.75">
      <c r="A41283" s="2" t="s">
        <v>546</v>
      </c>
    </row>
    <row r="41284" spans="1:1" ht="12.75">
      <c r="A41284" s="2" t="s">
        <v>528</v>
      </c>
    </row>
    <row r="41285" spans="1:1" ht="12.75">
      <c r="A41285" s="2" t="s">
        <v>528</v>
      </c>
    </row>
    <row r="41286" spans="1:1" ht="12.75">
      <c r="A41286" s="2" t="s">
        <v>532</v>
      </c>
    </row>
    <row r="41287" spans="1:1" ht="12.75">
      <c r="A41287" s="2" t="s">
        <v>528</v>
      </c>
    </row>
    <row r="41288" spans="1:1" ht="12.75">
      <c r="A41288" s="2" t="s">
        <v>530</v>
      </c>
    </row>
    <row r="41289" spans="1:1" ht="12.75">
      <c r="A41289" s="2" t="s">
        <v>532</v>
      </c>
    </row>
    <row r="41290" spans="1:1" ht="12.75">
      <c r="A41290" s="2" t="s">
        <v>546</v>
      </c>
    </row>
    <row r="41291" spans="1:1" ht="12.75">
      <c r="A41291" s="2" t="s">
        <v>528</v>
      </c>
    </row>
    <row r="41292" spans="1:1" ht="12.75">
      <c r="A41292" s="2" t="s">
        <v>1414</v>
      </c>
    </row>
    <row r="41293" spans="1:1" ht="12.75">
      <c r="A41293" s="2" t="s">
        <v>546</v>
      </c>
    </row>
    <row r="41294" spans="1:1" ht="12.75">
      <c r="A41294" s="2" t="s">
        <v>530</v>
      </c>
    </row>
    <row r="41295" spans="1:1" ht="12.75">
      <c r="A41295" s="2" t="s">
        <v>532</v>
      </c>
    </row>
    <row r="41296" spans="1:1" ht="12.75">
      <c r="A41296" s="2" t="s">
        <v>577</v>
      </c>
    </row>
    <row r="41297" spans="1:1" ht="12.75">
      <c r="A41297" s="2" t="s">
        <v>530</v>
      </c>
    </row>
    <row r="41298" spans="1:1" ht="12.75">
      <c r="A41298" s="2" t="s">
        <v>513</v>
      </c>
    </row>
    <row r="41299" spans="1:1" ht="12.75">
      <c r="A41299" s="2" t="s">
        <v>528</v>
      </c>
    </row>
    <row r="41300" spans="1:1" ht="12.75">
      <c r="A41300" s="2" t="s">
        <v>546</v>
      </c>
    </row>
    <row r="41301" spans="1:1" ht="12.75">
      <c r="A41301" s="2" t="s">
        <v>513</v>
      </c>
    </row>
    <row r="41302" spans="1:1" ht="12.75">
      <c r="A41302" s="2" t="s">
        <v>528</v>
      </c>
    </row>
    <row r="41303" spans="1:1" ht="12.75">
      <c r="A41303" s="2" t="s">
        <v>546</v>
      </c>
    </row>
    <row r="41304" spans="1:1" ht="12.75">
      <c r="A41304" s="2" t="s">
        <v>528</v>
      </c>
    </row>
    <row r="41305" spans="1:1" ht="12.75">
      <c r="A41305" s="2" t="s">
        <v>546</v>
      </c>
    </row>
    <row r="41306" spans="1:1" ht="12.75">
      <c r="A41306" s="2" t="s">
        <v>546</v>
      </c>
    </row>
    <row r="41307" spans="1:1" ht="12.75">
      <c r="A41307" s="2" t="s">
        <v>513</v>
      </c>
    </row>
    <row r="41308" spans="1:1" ht="12.75">
      <c r="A41308" s="2" t="s">
        <v>528</v>
      </c>
    </row>
    <row r="41309" spans="1:1" ht="12.75">
      <c r="A41309" s="2" t="s">
        <v>528</v>
      </c>
    </row>
    <row r="41310" spans="1:1" ht="12.75">
      <c r="A41310" s="2" t="s">
        <v>513</v>
      </c>
    </row>
    <row r="41311" spans="1:1" ht="12.75">
      <c r="A41311" s="2" t="s">
        <v>513</v>
      </c>
    </row>
    <row r="41312" spans="1:1" ht="12.75">
      <c r="A41312" s="2" t="s">
        <v>532</v>
      </c>
    </row>
    <row r="41313" spans="1:1" ht="12.75">
      <c r="A41313" s="2" t="s">
        <v>532</v>
      </c>
    </row>
    <row r="41314" spans="1:1" ht="12.75">
      <c r="A41314" s="2" t="s">
        <v>514</v>
      </c>
    </row>
    <row r="41315" spans="1:1" ht="12.75">
      <c r="A41315" s="2" t="s">
        <v>547</v>
      </c>
    </row>
    <row r="41316" spans="1:1" ht="12.75">
      <c r="A41316" s="2" t="s">
        <v>514</v>
      </c>
    </row>
    <row r="41317" spans="1:1" ht="12.75">
      <c r="A41317" s="2" t="s">
        <v>514</v>
      </c>
    </row>
    <row r="41318" spans="1:1" ht="12.75">
      <c r="A41318" s="2" t="s">
        <v>530</v>
      </c>
    </row>
    <row r="41319" spans="1:1" ht="12.75">
      <c r="A41319" s="2" t="s">
        <v>514</v>
      </c>
    </row>
    <row r="41321" spans="1:1" ht="12.75">
      <c r="A41321" s="2" t="s">
        <v>546</v>
      </c>
    </row>
    <row r="41322" spans="1:1" ht="12.75">
      <c r="A41322" s="2" t="s">
        <v>546</v>
      </c>
    </row>
    <row r="41323" spans="1:1" ht="12.75">
      <c r="A41323" s="2" t="s">
        <v>513</v>
      </c>
    </row>
    <row r="41324" spans="1:1" ht="12.75">
      <c r="A41324" s="2" t="s">
        <v>532</v>
      </c>
    </row>
    <row r="41325" spans="1:1" ht="12.75">
      <c r="A41325" s="2" t="s">
        <v>529</v>
      </c>
    </row>
    <row r="41326" spans="1:1" ht="12.75">
      <c r="A41326" s="2" t="s">
        <v>514</v>
      </c>
    </row>
    <row r="41327" spans="1:1" ht="12.75">
      <c r="A41327" s="2" t="s">
        <v>532</v>
      </c>
    </row>
    <row r="41328" spans="1:1" ht="12.75">
      <c r="A41328" s="2" t="s">
        <v>797</v>
      </c>
    </row>
    <row r="41329" spans="1:1" ht="12.75">
      <c r="A41329" s="2" t="s">
        <v>514</v>
      </c>
    </row>
    <row r="41330" spans="1:1" ht="12.75">
      <c r="A41330" s="2" t="s">
        <v>797</v>
      </c>
    </row>
    <row r="41331" spans="1:1" ht="12.75">
      <c r="A41331" s="2" t="s">
        <v>797</v>
      </c>
    </row>
    <row r="41332" spans="1:1" ht="12.75">
      <c r="A41332" s="2" t="s">
        <v>529</v>
      </c>
    </row>
    <row r="41333" spans="1:1" ht="12.75">
      <c r="A41333" s="2" t="s">
        <v>513</v>
      </c>
    </row>
    <row r="41334" spans="1:1" ht="12.75">
      <c r="A41334" s="2" t="s">
        <v>514</v>
      </c>
    </row>
    <row r="41335" spans="1:1" ht="12.75">
      <c r="A41335" s="2" t="s">
        <v>514</v>
      </c>
    </row>
    <row r="41336" spans="1:1" ht="12.75">
      <c r="A41336" s="2" t="s">
        <v>514</v>
      </c>
    </row>
    <row r="41337" spans="1:1" ht="12.75">
      <c r="A41337" s="2" t="s">
        <v>514</v>
      </c>
    </row>
    <row r="41338" spans="1:1" ht="12.75">
      <c r="A41338" s="2" t="s">
        <v>1144</v>
      </c>
    </row>
    <row r="41343" spans="1:1" ht="12.75">
      <c r="A41343" s="2" t="s">
        <v>797</v>
      </c>
    </row>
    <row r="41344" spans="1:1" ht="12.75">
      <c r="A41344" s="2" t="s">
        <v>797</v>
      </c>
    </row>
    <row r="41354" spans="1:1" ht="12.75">
      <c r="A41354" s="2" t="s">
        <v>514</v>
      </c>
    </row>
    <row r="41355" spans="1:1" ht="12.75">
      <c r="A41355" s="2" t="s">
        <v>514</v>
      </c>
    </row>
    <row r="41356" spans="1:1" ht="12.75">
      <c r="A41356" s="2" t="s">
        <v>528</v>
      </c>
    </row>
    <row r="41357" spans="1:1" ht="12.75">
      <c r="A41357" s="2" t="s">
        <v>514</v>
      </c>
    </row>
    <row r="41358" spans="1:1" ht="12.75">
      <c r="A41358" s="2" t="s">
        <v>546</v>
      </c>
    </row>
    <row r="41359" spans="1:1" ht="12.75">
      <c r="A41359" s="2" t="s">
        <v>528</v>
      </c>
    </row>
    <row r="41360" spans="1:1" ht="12.75">
      <c r="A41360" s="2" t="s">
        <v>532</v>
      </c>
    </row>
    <row r="41361" spans="1:1" ht="12.75">
      <c r="A41361" s="2" t="s">
        <v>546</v>
      </c>
    </row>
    <row r="41364" spans="1:1" ht="12.75">
      <c r="A41364" s="2" t="s">
        <v>514</v>
      </c>
    </row>
    <row r="41365" spans="1:1" ht="12.75">
      <c r="A41365" s="2" t="s">
        <v>514</v>
      </c>
    </row>
    <row r="41366" spans="1:1" ht="12.75">
      <c r="A41366" s="2" t="s">
        <v>531</v>
      </c>
    </row>
    <row r="41367" spans="1:1" ht="12.75">
      <c r="A41367" s="2" t="s">
        <v>531</v>
      </c>
    </row>
    <row r="41368" spans="1:1" ht="12.75">
      <c r="A41368" s="2" t="s">
        <v>513</v>
      </c>
    </row>
    <row r="41369" spans="1:1" ht="12.75">
      <c r="A41369" s="2" t="s">
        <v>513</v>
      </c>
    </row>
    <row r="41370" spans="1:1" ht="12.75">
      <c r="A41370" s="2" t="s">
        <v>531</v>
      </c>
    </row>
    <row r="41371" spans="1:1" ht="12.75">
      <c r="A41371" s="2" t="s">
        <v>529</v>
      </c>
    </row>
    <row r="41372" spans="1:1" ht="12.75">
      <c r="A41372" s="2" t="s">
        <v>529</v>
      </c>
    </row>
    <row r="41373" spans="1:1" ht="12.75">
      <c r="A41373" s="2" t="s">
        <v>531</v>
      </c>
    </row>
    <row r="41374" spans="1:1" ht="12.75">
      <c r="A41374" s="2" t="s">
        <v>528</v>
      </c>
    </row>
    <row r="41375" spans="1:1" ht="12.75">
      <c r="A41375" s="2" t="s">
        <v>529</v>
      </c>
    </row>
    <row r="41376" spans="1:1" ht="12.75">
      <c r="A41376" s="2" t="s">
        <v>513</v>
      </c>
    </row>
    <row r="41377" spans="1:1" ht="12.75">
      <c r="A41377" s="2" t="s">
        <v>528</v>
      </c>
    </row>
    <row r="41378" spans="1:1" ht="12.75">
      <c r="A41378" s="2" t="s">
        <v>799</v>
      </c>
    </row>
    <row r="41379" spans="1:1" ht="12.75">
      <c r="A41379" s="2" t="s">
        <v>513</v>
      </c>
    </row>
    <row r="41478" spans="1:1" ht="12.75">
      <c r="A41478" s="2" t="s">
        <v>1333</v>
      </c>
    </row>
    <row r="41479" spans="1:1" ht="12.75">
      <c r="A41479" s="2" t="s">
        <v>1333</v>
      </c>
    </row>
    <row r="41480" spans="1:1" ht="12.75">
      <c r="A41480" s="2" t="s">
        <v>1334</v>
      </c>
    </row>
    <row r="41481" spans="1:1" ht="12.75">
      <c r="A41481" s="2" t="s">
        <v>1415</v>
      </c>
    </row>
    <row r="41482" spans="1:1" ht="12.75">
      <c r="A41482" s="2" t="s">
        <v>949</v>
      </c>
    </row>
    <row r="41483" spans="1:1" ht="12.75">
      <c r="A41483" s="2" t="s">
        <v>949</v>
      </c>
    </row>
    <row r="41484" spans="1:1" ht="12.75">
      <c r="A41484" s="2" t="s">
        <v>949</v>
      </c>
    </row>
    <row r="41485" spans="1:1" ht="12.75">
      <c r="A41485" s="2" t="s">
        <v>949</v>
      </c>
    </row>
    <row r="41486" spans="1:1" ht="12.75">
      <c r="A41486" s="2" t="s">
        <v>1416</v>
      </c>
    </row>
    <row r="41488" spans="1:1" ht="12.75">
      <c r="A41488" s="2" t="s">
        <v>1416</v>
      </c>
    </row>
    <row r="41489" spans="1:1" ht="12.75">
      <c r="A41489" s="2" t="s">
        <v>1416</v>
      </c>
    </row>
    <row r="41490" spans="1:1" ht="12.75">
      <c r="A41490" s="2" t="s">
        <v>1416</v>
      </c>
    </row>
    <row r="41491" spans="1:1" ht="12.75">
      <c r="A41491" s="2" t="s">
        <v>1416</v>
      </c>
    </row>
    <row r="41492" spans="1:1" ht="12.75">
      <c r="A41492" s="2" t="s">
        <v>1416</v>
      </c>
    </row>
    <row r="41493" spans="1:1" ht="12.75">
      <c r="A41493" s="2" t="s">
        <v>1417</v>
      </c>
    </row>
    <row r="41494" spans="1:1" ht="12.75">
      <c r="A41494" s="2" t="s">
        <v>1418</v>
      </c>
    </row>
    <row r="41495" spans="1:1" ht="12.75">
      <c r="A41495" s="2" t="s">
        <v>1419</v>
      </c>
    </row>
    <row r="41496" spans="1:1" ht="12.75">
      <c r="A41496" s="2" t="s">
        <v>1419</v>
      </c>
    </row>
    <row r="41497" spans="1:1" ht="12.75">
      <c r="A41497" s="2" t="s">
        <v>1418</v>
      </c>
    </row>
    <row r="41498" spans="1:1" ht="12.75">
      <c r="A41498" s="2" t="s">
        <v>1418</v>
      </c>
    </row>
    <row r="41499" spans="1:1" ht="12.75">
      <c r="A41499" s="2" t="s">
        <v>1419</v>
      </c>
    </row>
    <row r="41500" spans="1:1" ht="12.75">
      <c r="A41500" s="2" t="s">
        <v>290</v>
      </c>
    </row>
    <row r="41501" spans="1:1" ht="12.75">
      <c r="A41501" s="2" t="s">
        <v>290</v>
      </c>
    </row>
    <row r="41503" spans="1:1" ht="12.75">
      <c r="A41503" s="2" t="s">
        <v>292</v>
      </c>
    </row>
    <row r="41504" spans="1:1" ht="12.75">
      <c r="A41504" s="2" t="s">
        <v>292</v>
      </c>
    </row>
    <row r="41505" spans="1:1" ht="12.75">
      <c r="A41505" s="2" t="s">
        <v>290</v>
      </c>
    </row>
    <row r="41506" spans="1:1" ht="12.75">
      <c r="A41506" s="2" t="s">
        <v>293</v>
      </c>
    </row>
    <row r="41507" spans="1:1" ht="12.75">
      <c r="A41507" s="2" t="s">
        <v>1420</v>
      </c>
    </row>
    <row r="41508" spans="1:1" ht="12.75">
      <c r="A41508" s="2" t="s">
        <v>291</v>
      </c>
    </row>
    <row r="41509" spans="1:1" ht="12.75">
      <c r="A41509" s="2" t="s">
        <v>291</v>
      </c>
    </row>
    <row r="41510" spans="1:1" ht="12.75">
      <c r="A41510" s="2" t="s">
        <v>289</v>
      </c>
    </row>
    <row r="41511" spans="1:1" ht="12.75">
      <c r="A41511" s="2" t="s">
        <v>289</v>
      </c>
    </row>
    <row r="41512" spans="1:1" ht="12.75">
      <c r="A41512" s="2" t="s">
        <v>297</v>
      </c>
    </row>
    <row r="41513" spans="1:1" ht="12.75">
      <c r="A41513" s="2" t="s">
        <v>290</v>
      </c>
    </row>
    <row r="41514" spans="1:1" ht="12.75">
      <c r="A41514" s="2" t="s">
        <v>298</v>
      </c>
    </row>
    <row r="41515" spans="1:1" ht="12.75">
      <c r="A41515" s="2" t="s">
        <v>290</v>
      </c>
    </row>
    <row r="41516" spans="1:1" ht="12.75">
      <c r="A41516" s="2" t="s">
        <v>296</v>
      </c>
    </row>
    <row r="41517" spans="1:1" ht="12.75">
      <c r="A41517" s="2" t="s">
        <v>296</v>
      </c>
    </row>
    <row r="41518" spans="1:1" ht="12.75">
      <c r="A41518" s="2" t="s">
        <v>296</v>
      </c>
    </row>
    <row r="41519" spans="1:1" ht="12.75">
      <c r="A41519" s="2" t="s">
        <v>296</v>
      </c>
    </row>
    <row r="41520" spans="1:1" ht="12.75">
      <c r="A41520" s="2" t="s">
        <v>755</v>
      </c>
    </row>
    <row r="41521" spans="1:1" ht="12.75">
      <c r="A41521" s="2" t="s">
        <v>290</v>
      </c>
    </row>
    <row r="41522" spans="1:1" ht="12.75">
      <c r="A41522" s="2" t="s">
        <v>298</v>
      </c>
    </row>
    <row r="41523" spans="1:1" ht="12.75">
      <c r="A41523" s="2" t="s">
        <v>298</v>
      </c>
    </row>
    <row r="41524" spans="1:1" ht="12.75">
      <c r="A41524" s="2" t="s">
        <v>292</v>
      </c>
    </row>
    <row r="41525" spans="1:1" ht="12.75">
      <c r="A41525" s="2" t="s">
        <v>292</v>
      </c>
    </row>
    <row r="41528" spans="1:1" ht="12.75">
      <c r="A41528" s="2" t="s">
        <v>297</v>
      </c>
    </row>
    <row r="41529" spans="1:1" ht="12.75">
      <c r="A41529" s="2" t="s">
        <v>291</v>
      </c>
    </row>
    <row r="41530" spans="1:1" ht="12.75">
      <c r="A41530" s="2" t="s">
        <v>292</v>
      </c>
    </row>
    <row r="41531" spans="1:1" ht="12.75">
      <c r="A41531" s="2" t="s">
        <v>292</v>
      </c>
    </row>
    <row r="41532" spans="1:1" ht="12.75">
      <c r="A41532" s="2" t="s">
        <v>254</v>
      </c>
    </row>
    <row r="41533" spans="1:1" ht="12.75">
      <c r="A41533" s="2" t="s">
        <v>254</v>
      </c>
    </row>
    <row r="41534" spans="1:1" ht="12.75">
      <c r="A41534" s="2" t="s">
        <v>297</v>
      </c>
    </row>
    <row r="41535" spans="1:1" ht="12.75">
      <c r="A41535" s="2" t="s">
        <v>755</v>
      </c>
    </row>
    <row r="41536" spans="1:1" ht="12.75">
      <c r="A41536" s="2" t="s">
        <v>289</v>
      </c>
    </row>
    <row r="41537" spans="1:1" ht="12.75">
      <c r="A41537" s="2" t="s">
        <v>289</v>
      </c>
    </row>
    <row r="41538" spans="1:1" ht="12.75">
      <c r="A41538" s="2" t="s">
        <v>289</v>
      </c>
    </row>
    <row r="41539" spans="1:1" ht="12.75">
      <c r="A41539" s="2" t="s">
        <v>289</v>
      </c>
    </row>
    <row r="41540" spans="1:1" ht="12.75">
      <c r="A41540" s="2" t="s">
        <v>256</v>
      </c>
    </row>
    <row r="41541" spans="1:1" ht="12.75">
      <c r="A41541" s="2" t="s">
        <v>769</v>
      </c>
    </row>
    <row r="41542" spans="1:1" ht="12.75">
      <c r="A41542" s="2" t="s">
        <v>1421</v>
      </c>
    </row>
    <row r="41543" spans="1:1" ht="12.75">
      <c r="A41543" s="2" t="s">
        <v>1421</v>
      </c>
    </row>
    <row r="41544" spans="1:1" ht="12.75">
      <c r="A41544" s="2" t="s">
        <v>1421</v>
      </c>
    </row>
    <row r="41545" spans="1:1" ht="12.75">
      <c r="A41545" s="2" t="s">
        <v>1421</v>
      </c>
    </row>
    <row r="41546" spans="1:1" ht="12.75">
      <c r="A41546" s="2" t="s">
        <v>1422</v>
      </c>
    </row>
    <row r="41547" spans="1:1" ht="12.75">
      <c r="A41547" s="2" t="s">
        <v>1262</v>
      </c>
    </row>
    <row r="41548" spans="1:1" ht="12.75">
      <c r="A41548" s="2" t="s">
        <v>1262</v>
      </c>
    </row>
    <row r="41549" spans="1:1" ht="12.75">
      <c r="A41549" s="2" t="s">
        <v>1262</v>
      </c>
    </row>
    <row r="41550" spans="1:1" ht="12.75">
      <c r="A41550" s="2" t="s">
        <v>1421</v>
      </c>
    </row>
    <row r="41551" spans="1:1" ht="12.75">
      <c r="A41551" s="2" t="s">
        <v>1421</v>
      </c>
    </row>
    <row r="41552" spans="1:1" ht="12.75">
      <c r="A41552" s="2" t="s">
        <v>1421</v>
      </c>
    </row>
    <row r="41553" spans="1:1" ht="12.75">
      <c r="A41553" s="2" t="s">
        <v>1262</v>
      </c>
    </row>
    <row r="41554" spans="1:1" ht="12.75">
      <c r="A41554" s="2" t="s">
        <v>1262</v>
      </c>
    </row>
    <row r="41555" spans="1:1" ht="12.75">
      <c r="A41555" s="2" t="s">
        <v>1262</v>
      </c>
    </row>
    <row r="41556" spans="1:1" ht="12.75">
      <c r="A41556" s="2" t="s">
        <v>1262</v>
      </c>
    </row>
    <row r="41557" spans="1:1" ht="12.75">
      <c r="A41557" s="2" t="s">
        <v>1262</v>
      </c>
    </row>
    <row r="41558" spans="1:1" ht="12.75">
      <c r="A41558" s="2" t="s">
        <v>1421</v>
      </c>
    </row>
    <row r="41559" spans="1:1" ht="12.75">
      <c r="A41559" s="2" t="s">
        <v>1262</v>
      </c>
    </row>
    <row r="41560" spans="1:1" ht="12.75">
      <c r="A41560" s="2" t="s">
        <v>1262</v>
      </c>
    </row>
    <row r="41561" spans="1:1" ht="12.75">
      <c r="A41561" s="2" t="s">
        <v>1262</v>
      </c>
    </row>
    <row r="41562" spans="1:1" ht="12.75">
      <c r="A41562" s="2" t="s">
        <v>1262</v>
      </c>
    </row>
    <row r="41563" spans="1:1" ht="12.75">
      <c r="A41563" s="2" t="s">
        <v>1262</v>
      </c>
    </row>
    <row r="41564" spans="1:1" ht="12.75">
      <c r="A41564" s="2" t="s">
        <v>1262</v>
      </c>
    </row>
    <row r="41565" spans="1:1" ht="12.75">
      <c r="A41565" s="2" t="s">
        <v>1262</v>
      </c>
    </row>
    <row r="41566" spans="1:1" ht="12.75">
      <c r="A41566" s="2" t="s">
        <v>1018</v>
      </c>
    </row>
    <row r="41567" spans="1:1" ht="12.75">
      <c r="A41567" s="2" t="s">
        <v>1017</v>
      </c>
    </row>
    <row r="41569" spans="1:1" ht="12.75">
      <c r="A41569" s="2" t="s">
        <v>1423</v>
      </c>
    </row>
    <row r="41570" spans="1:1" ht="12.75">
      <c r="A41570" s="2" t="s">
        <v>1162</v>
      </c>
    </row>
    <row r="41572" spans="1:1" ht="12.75">
      <c r="A41572" s="2" t="s">
        <v>292</v>
      </c>
    </row>
    <row r="41573" spans="1:1" ht="12.75">
      <c r="A41573" s="2" t="s">
        <v>292</v>
      </c>
    </row>
    <row r="41576" spans="1:1" ht="12.75">
      <c r="A41576" s="2" t="s">
        <v>288</v>
      </c>
    </row>
    <row r="41577" spans="1:1" ht="12.75">
      <c r="A41577" s="2" t="s">
        <v>298</v>
      </c>
    </row>
    <row r="41578" spans="1:1" ht="12.75">
      <c r="A41578" s="2" t="s">
        <v>291</v>
      </c>
    </row>
    <row r="41579" spans="1:1" ht="12.75">
      <c r="A41579" s="2" t="s">
        <v>293</v>
      </c>
    </row>
    <row r="41580" spans="1:1" ht="12.75">
      <c r="A41580" s="2" t="s">
        <v>762</v>
      </c>
    </row>
    <row r="41581" spans="1:1" ht="12.75">
      <c r="A41581" s="2" t="s">
        <v>289</v>
      </c>
    </row>
    <row r="41582" spans="1:1" ht="12.75">
      <c r="A41582" s="2" t="s">
        <v>289</v>
      </c>
    </row>
    <row r="41584" spans="1:1" ht="12.75">
      <c r="A41584" s="2" t="s">
        <v>293</v>
      </c>
    </row>
    <row r="41585" spans="1:1" ht="12.75">
      <c r="A41585" s="2" t="s">
        <v>293</v>
      </c>
    </row>
    <row r="41586" spans="1:1" ht="12.75">
      <c r="A41586" s="2" t="s">
        <v>694</v>
      </c>
    </row>
    <row r="41587" spans="1:1" ht="12.75">
      <c r="A41587" s="2" t="s">
        <v>694</v>
      </c>
    </row>
    <row r="41588" spans="1:1" ht="12.75">
      <c r="A41588" s="2" t="s">
        <v>694</v>
      </c>
    </row>
    <row r="41589" spans="1:1" ht="12.75">
      <c r="A41589" s="2" t="s">
        <v>1424</v>
      </c>
    </row>
    <row r="41590" spans="1:1" ht="12.75">
      <c r="A41590" s="2" t="s">
        <v>694</v>
      </c>
    </row>
    <row r="41591" spans="1:1" ht="12.75">
      <c r="A41591" s="2" t="s">
        <v>694</v>
      </c>
    </row>
    <row r="41592" spans="1:1" ht="12.75">
      <c r="A41592" s="2" t="s">
        <v>694</v>
      </c>
    </row>
    <row r="41593" spans="1:1" ht="12.75">
      <c r="A41593" s="2" t="s">
        <v>694</v>
      </c>
    </row>
    <row r="41594" spans="1:1" ht="12.75">
      <c r="A41594" s="2" t="s">
        <v>694</v>
      </c>
    </row>
    <row r="41595" spans="1:1" ht="12.75">
      <c r="A41595" s="2" t="s">
        <v>694</v>
      </c>
    </row>
    <row r="41596" spans="1:1" ht="12.75">
      <c r="A41596" s="2" t="s">
        <v>694</v>
      </c>
    </row>
    <row r="41597" spans="1:1" ht="12.75">
      <c r="A41597" s="2" t="s">
        <v>750</v>
      </c>
    </row>
    <row r="41598" spans="1:1" ht="12.75">
      <c r="A41598" s="2" t="s">
        <v>694</v>
      </c>
    </row>
    <row r="41599" spans="1:1" ht="12.75">
      <c r="A41599" s="2" t="s">
        <v>750</v>
      </c>
    </row>
    <row r="41600" spans="1:1" ht="12.75">
      <c r="A41600" s="2" t="s">
        <v>750</v>
      </c>
    </row>
    <row r="41601" spans="1:1" ht="12.75">
      <c r="A41601" s="2" t="s">
        <v>750</v>
      </c>
    </row>
    <row r="41602" spans="1:1" ht="12.75">
      <c r="A41602" s="2" t="s">
        <v>750</v>
      </c>
    </row>
    <row r="41603" spans="1:1" ht="12.75">
      <c r="A41603" s="2" t="s">
        <v>750</v>
      </c>
    </row>
    <row r="41604" spans="1:1" ht="12.75">
      <c r="A41604" s="2" t="s">
        <v>750</v>
      </c>
    </row>
    <row r="41605" spans="1:1" ht="12.75">
      <c r="A41605" s="2" t="s">
        <v>750</v>
      </c>
    </row>
    <row r="41606" spans="1:1" ht="12.75">
      <c r="A41606" s="2" t="s">
        <v>1425</v>
      </c>
    </row>
    <row r="41607" spans="1:1" ht="12.75">
      <c r="A41607" s="2" t="s">
        <v>1426</v>
      </c>
    </row>
    <row r="41608" spans="1:1" ht="12.75">
      <c r="A41608" s="2" t="s">
        <v>750</v>
      </c>
    </row>
    <row r="41609" spans="1:1" ht="12.75">
      <c r="A41609" s="2" t="s">
        <v>750</v>
      </c>
    </row>
    <row r="41610" spans="1:1" ht="12.75">
      <c r="A41610" s="2" t="s">
        <v>694</v>
      </c>
    </row>
    <row r="41611" spans="1:1" ht="12.75">
      <c r="A41611" s="2" t="s">
        <v>694</v>
      </c>
    </row>
    <row r="41612" spans="1:1" ht="12.75">
      <c r="A41612" s="2" t="s">
        <v>694</v>
      </c>
    </row>
    <row r="41613" spans="1:1" ht="12.75">
      <c r="A41613" s="2" t="s">
        <v>694</v>
      </c>
    </row>
    <row r="41614" spans="1:1" ht="12.75">
      <c r="A41614" s="2" t="s">
        <v>291</v>
      </c>
    </row>
    <row r="41615" spans="1:1" ht="12.75">
      <c r="A41615" s="2" t="s">
        <v>291</v>
      </c>
    </row>
    <row r="41626" spans="1:1" ht="12.75">
      <c r="A41626" s="2" t="s">
        <v>768</v>
      </c>
    </row>
    <row r="41627" spans="1:1" ht="12.75">
      <c r="A41627" s="2" t="s">
        <v>768</v>
      </c>
    </row>
    <row r="41630" spans="1:1" ht="12.75">
      <c r="A41630" s="2" t="s">
        <v>768</v>
      </c>
    </row>
    <row r="41631" spans="1:1" ht="12.75">
      <c r="A41631" s="2" t="s">
        <v>768</v>
      </c>
    </row>
    <row r="41632" spans="1:1" ht="12.75">
      <c r="A41632" s="2" t="s">
        <v>768</v>
      </c>
    </row>
    <row r="41633" spans="1:1" ht="12.75">
      <c r="A41633" s="2" t="s">
        <v>768</v>
      </c>
    </row>
    <row r="41634" spans="1:1" ht="12.75">
      <c r="A41634" s="2" t="s">
        <v>768</v>
      </c>
    </row>
    <row r="41635" spans="1:1" ht="12.75">
      <c r="A41635" s="2" t="s">
        <v>768</v>
      </c>
    </row>
    <row r="41636" spans="1:1" ht="12.75">
      <c r="A41636" s="2" t="s">
        <v>768</v>
      </c>
    </row>
    <row r="41637" spans="1:1" ht="12.75">
      <c r="A41637" s="2" t="s">
        <v>768</v>
      </c>
    </row>
    <row r="41638" spans="1:1" ht="12.75">
      <c r="A41638" s="2" t="s">
        <v>768</v>
      </c>
    </row>
    <row r="41640" spans="1:1" ht="12.75">
      <c r="A41640" s="2" t="s">
        <v>768</v>
      </c>
    </row>
    <row r="41641" spans="1:1" ht="12.75">
      <c r="A41641" s="2" t="s">
        <v>768</v>
      </c>
    </row>
    <row r="41668" spans="1:1" ht="12.75">
      <c r="A41668" s="2" t="s">
        <v>768</v>
      </c>
    </row>
    <row r="41669" spans="1:1" ht="12.75">
      <c r="A41669" s="2" t="s">
        <v>768</v>
      </c>
    </row>
    <row r="41676" spans="1:1" ht="12.75">
      <c r="A41676" s="2" t="s">
        <v>1427</v>
      </c>
    </row>
    <row r="41677" spans="1:1" ht="12.75">
      <c r="A41677" s="2" t="s">
        <v>872</v>
      </c>
    </row>
    <row r="41678" spans="1:1" ht="12.75">
      <c r="A41678" s="2" t="s">
        <v>769</v>
      </c>
    </row>
    <row r="41679" spans="1:1" ht="12.75">
      <c r="A41679" s="2" t="s">
        <v>769</v>
      </c>
    </row>
    <row r="41680" spans="1:1" ht="12.75">
      <c r="A41680" s="2" t="s">
        <v>291</v>
      </c>
    </row>
    <row r="41681" spans="1:1" ht="12.75">
      <c r="A41681" s="2" t="s">
        <v>291</v>
      </c>
    </row>
    <row r="41682" spans="1:1" ht="12.75">
      <c r="A41682" s="2" t="s">
        <v>296</v>
      </c>
    </row>
    <row r="41684" spans="1:1" ht="12.75">
      <c r="A41684" s="2" t="s">
        <v>293</v>
      </c>
    </row>
    <row r="41685" spans="1:1" ht="12.75">
      <c r="A41685" s="2" t="s">
        <v>293</v>
      </c>
    </row>
    <row r="41686" spans="1:1" ht="12.75">
      <c r="A41686" s="2" t="s">
        <v>289</v>
      </c>
    </row>
    <row r="41687" spans="1:1" ht="12.75">
      <c r="A41687" s="2" t="s">
        <v>289</v>
      </c>
    </row>
    <row r="41688" spans="1:1" ht="12.75">
      <c r="A41688" s="2" t="s">
        <v>694</v>
      </c>
    </row>
    <row r="41689" spans="1:1" ht="12.75">
      <c r="A41689" s="2" t="s">
        <v>694</v>
      </c>
    </row>
    <row r="41690" spans="1:1" ht="12.75">
      <c r="A41690" s="2" t="s">
        <v>762</v>
      </c>
    </row>
    <row r="41691" spans="1:1" ht="12.75">
      <c r="A41691" s="2" t="s">
        <v>292</v>
      </c>
    </row>
    <row r="41692" spans="1:1" ht="12.75">
      <c r="A41692" s="2" t="s">
        <v>291</v>
      </c>
    </row>
    <row r="41693" spans="1:1" ht="12.75">
      <c r="A41693" s="2" t="s">
        <v>288</v>
      </c>
    </row>
    <row r="41696" spans="1:1" ht="12.75">
      <c r="A41696" s="2" t="s">
        <v>289</v>
      </c>
    </row>
    <row r="41697" spans="1:1" ht="12.75">
      <c r="A41697" s="2" t="s">
        <v>289</v>
      </c>
    </row>
    <row r="41700" spans="1:1" ht="12.75">
      <c r="A41700" s="2" t="s">
        <v>292</v>
      </c>
    </row>
    <row r="41701" spans="1:1" ht="12.75">
      <c r="A41701" s="2" t="s">
        <v>290</v>
      </c>
    </row>
    <row r="41702" spans="1:1" ht="12.75">
      <c r="A41702" s="2" t="s">
        <v>291</v>
      </c>
    </row>
    <row r="41703" spans="1:1" ht="12.75">
      <c r="A41703" s="2" t="s">
        <v>291</v>
      </c>
    </row>
    <row r="41704" spans="1:1" ht="12.75">
      <c r="A41704" s="2" t="s">
        <v>296</v>
      </c>
    </row>
    <row r="41705" spans="1:1" ht="12.75">
      <c r="A41705" s="2" t="s">
        <v>296</v>
      </c>
    </row>
    <row r="41706" spans="1:1" ht="12.75">
      <c r="A41706" s="2" t="s">
        <v>762</v>
      </c>
    </row>
    <row r="41707" spans="1:1" ht="12.75">
      <c r="A41707" s="2" t="s">
        <v>762</v>
      </c>
    </row>
    <row r="41709" spans="1:1" ht="12.75">
      <c r="A41709" s="2" t="s">
        <v>1420</v>
      </c>
    </row>
    <row r="41710" spans="1:1" ht="12.75">
      <c r="A41710" s="2" t="s">
        <v>293</v>
      </c>
    </row>
    <row r="41711" spans="1:1" ht="12.75">
      <c r="A41711" s="2" t="s">
        <v>291</v>
      </c>
    </row>
    <row r="41712" spans="1:1" ht="12.75">
      <c r="A41712" s="2" t="s">
        <v>291</v>
      </c>
    </row>
    <row r="41713" spans="1:1" ht="12.75">
      <c r="A41713" s="2" t="s">
        <v>293</v>
      </c>
    </row>
    <row r="41714" spans="1:1" ht="12.75">
      <c r="A41714" s="2" t="s">
        <v>292</v>
      </c>
    </row>
    <row r="41715" spans="1:1" ht="12.75">
      <c r="A41715" s="2" t="s">
        <v>292</v>
      </c>
    </row>
    <row r="41716" spans="1:1" ht="12.75">
      <c r="A41716" s="2" t="s">
        <v>959</v>
      </c>
    </row>
    <row r="41717" spans="1:1" ht="12.75">
      <c r="A41717" s="2" t="s">
        <v>959</v>
      </c>
    </row>
    <row r="41720" spans="1:1" ht="12.75">
      <c r="A41720" s="2" t="s">
        <v>959</v>
      </c>
    </row>
    <row r="41722" spans="1:1" ht="12.75">
      <c r="A41722" s="2" t="s">
        <v>959</v>
      </c>
    </row>
    <row r="41723" spans="1:1" ht="12.75">
      <c r="A41723" s="2" t="s">
        <v>959</v>
      </c>
    </row>
    <row r="41724" spans="1:1" ht="12.75">
      <c r="A41724" s="2" t="s">
        <v>959</v>
      </c>
    </row>
    <row r="41725" spans="1:1" ht="12.75">
      <c r="A41725" s="2" t="s">
        <v>959</v>
      </c>
    </row>
    <row r="41726" spans="1:1" ht="12.75">
      <c r="A41726" s="2" t="s">
        <v>959</v>
      </c>
    </row>
    <row r="41727" spans="1:1" ht="12.75">
      <c r="A41727" s="2" t="s">
        <v>1158</v>
      </c>
    </row>
    <row r="41728" spans="1:1" ht="12.75">
      <c r="A41728" s="2" t="s">
        <v>959</v>
      </c>
    </row>
    <row r="41729" spans="1:1" ht="12.75">
      <c r="A41729" s="2" t="s">
        <v>959</v>
      </c>
    </row>
    <row r="41730" spans="1:1" ht="12.75">
      <c r="A41730" s="2" t="s">
        <v>959</v>
      </c>
    </row>
    <row r="41731" spans="1:1" ht="12.75">
      <c r="A41731" s="2" t="s">
        <v>959</v>
      </c>
    </row>
    <row r="41753" spans="1:1" ht="12.75">
      <c r="A41753" s="2" t="s">
        <v>753</v>
      </c>
    </row>
    <row r="41754" spans="1:1" ht="12.75">
      <c r="A41754" s="2" t="s">
        <v>764</v>
      </c>
    </row>
    <row r="41758" spans="1:1" ht="12.75">
      <c r="A41758" s="2" t="s">
        <v>753</v>
      </c>
    </row>
    <row r="41759" spans="1:1" ht="12.75">
      <c r="A41759" s="2" t="s">
        <v>753</v>
      </c>
    </row>
    <row r="41762" spans="1:1" ht="12.75">
      <c r="A41762" s="2" t="s">
        <v>752</v>
      </c>
    </row>
    <row r="41763" spans="1:1" ht="12.75">
      <c r="A41763" s="2" t="s">
        <v>752</v>
      </c>
    </row>
    <row r="41764" spans="1:1" ht="12.75">
      <c r="A41764" s="2" t="s">
        <v>753</v>
      </c>
    </row>
    <row r="41765" spans="1:1" ht="12.75">
      <c r="A41765" s="2" t="s">
        <v>752</v>
      </c>
    </row>
    <row r="41766" spans="1:1" ht="12.75">
      <c r="A41766" s="2" t="s">
        <v>1000</v>
      </c>
    </row>
    <row r="41767" spans="1:1" ht="12.75">
      <c r="A41767" s="2" t="s">
        <v>1000</v>
      </c>
    </row>
    <row r="41768" spans="1:1" ht="12.75">
      <c r="A41768" s="2" t="s">
        <v>752</v>
      </c>
    </row>
    <row r="41769" spans="1:1" ht="12.75">
      <c r="A41769" s="2" t="s">
        <v>764</v>
      </c>
    </row>
    <row r="41770" spans="1:1" ht="12.75">
      <c r="A41770" s="2" t="s">
        <v>753</v>
      </c>
    </row>
    <row r="41771" spans="1:1" ht="12.75">
      <c r="A41771" s="2" t="s">
        <v>1000</v>
      </c>
    </row>
    <row r="41772" spans="1:1" ht="12.75">
      <c r="A41772" s="2" t="s">
        <v>752</v>
      </c>
    </row>
    <row r="41773" spans="1:1" ht="12.75">
      <c r="A41773" s="2" t="s">
        <v>752</v>
      </c>
    </row>
    <row r="41774" spans="1:1" ht="12.75">
      <c r="A41774" s="2" t="s">
        <v>1000</v>
      </c>
    </row>
    <row r="41775" spans="1:1" ht="12.75">
      <c r="A41775" s="2" t="s">
        <v>1000</v>
      </c>
    </row>
    <row r="41776" spans="1:1" ht="12.75">
      <c r="A41776" s="2" t="s">
        <v>753</v>
      </c>
    </row>
    <row r="41777" spans="1:1" ht="12.75">
      <c r="A41777" s="2" t="s">
        <v>753</v>
      </c>
    </row>
    <row r="41778" spans="1:1" ht="12.75">
      <c r="A41778" s="2" t="s">
        <v>752</v>
      </c>
    </row>
    <row r="41779" spans="1:1" ht="12.75">
      <c r="A41779" s="2" t="s">
        <v>752</v>
      </c>
    </row>
    <row r="41780" spans="1:1" ht="12.75">
      <c r="A41780" s="2" t="s">
        <v>752</v>
      </c>
    </row>
    <row r="41781" spans="1:1" ht="12.75">
      <c r="A41781" s="2" t="s">
        <v>764</v>
      </c>
    </row>
    <row r="41782" spans="1:1" ht="12.75">
      <c r="A41782" s="2" t="s">
        <v>1000</v>
      </c>
    </row>
    <row r="41783" spans="1:1" ht="12.75">
      <c r="A41783" s="2" t="s">
        <v>1000</v>
      </c>
    </row>
    <row r="41784" spans="1:1" ht="12.75">
      <c r="A41784" s="2" t="s">
        <v>1000</v>
      </c>
    </row>
    <row r="41785" spans="1:1" ht="12.75">
      <c r="A41785" s="2" t="s">
        <v>753</v>
      </c>
    </row>
    <row r="41786" spans="1:1" ht="12.75">
      <c r="A41786" s="2" t="s">
        <v>288</v>
      </c>
    </row>
    <row r="41787" spans="1:1" ht="12.75">
      <c r="A41787" s="2" t="s">
        <v>290</v>
      </c>
    </row>
    <row r="41788" spans="1:1" ht="12.75">
      <c r="A41788" s="2" t="s">
        <v>288</v>
      </c>
    </row>
    <row r="41789" spans="1:1" ht="12.75">
      <c r="A41789" s="2" t="s">
        <v>288</v>
      </c>
    </row>
    <row r="41790" spans="1:1" ht="12.75">
      <c r="A41790" s="2" t="s">
        <v>297</v>
      </c>
    </row>
    <row r="41791" spans="1:1" ht="12.75">
      <c r="A41791" s="2" t="s">
        <v>297</v>
      </c>
    </row>
    <row r="41792" spans="1:1" ht="12.75">
      <c r="A41792" s="2" t="s">
        <v>292</v>
      </c>
    </row>
    <row r="41793" spans="1:1" ht="12.75">
      <c r="A41793" s="2" t="s">
        <v>292</v>
      </c>
    </row>
    <row r="41794" spans="1:1" ht="12.75">
      <c r="A41794" s="2" t="s">
        <v>298</v>
      </c>
    </row>
    <row r="41795" spans="1:1" ht="12.75">
      <c r="A41795" s="2" t="s">
        <v>298</v>
      </c>
    </row>
    <row r="41796" spans="1:1" ht="12.75">
      <c r="A41796" s="2" t="s">
        <v>289</v>
      </c>
    </row>
    <row r="41797" spans="1:1" ht="12.75">
      <c r="A41797" s="2" t="s">
        <v>299</v>
      </c>
    </row>
    <row r="41798" spans="1:1" ht="12.75">
      <c r="A41798" s="2" t="s">
        <v>293</v>
      </c>
    </row>
    <row r="41799" spans="1:1" ht="12.75">
      <c r="A41799" s="2" t="s">
        <v>293</v>
      </c>
    </row>
    <row r="41800" spans="1:1" ht="12.75">
      <c r="A41800" s="2" t="s">
        <v>291</v>
      </c>
    </row>
    <row r="41801" spans="1:1" ht="12.75">
      <c r="A41801" s="2" t="s">
        <v>291</v>
      </c>
    </row>
    <row r="41802" spans="1:1" ht="12.75">
      <c r="A41802" s="2" t="s">
        <v>289</v>
      </c>
    </row>
    <row r="41803" spans="1:1" ht="12.75">
      <c r="A41803" s="2" t="s">
        <v>289</v>
      </c>
    </row>
    <row r="41804" spans="1:1" ht="12.75">
      <c r="A41804" s="2" t="s">
        <v>290</v>
      </c>
    </row>
    <row r="41805" spans="1:1" ht="12.75">
      <c r="A41805" s="2" t="s">
        <v>290</v>
      </c>
    </row>
    <row r="41806" spans="1:1" ht="12.75">
      <c r="A41806" s="2" t="s">
        <v>292</v>
      </c>
    </row>
    <row r="41807" spans="1:1" ht="12.75">
      <c r="A41807" s="2" t="s">
        <v>289</v>
      </c>
    </row>
    <row r="41808" spans="1:1" ht="12.75">
      <c r="A41808" s="2" t="s">
        <v>299</v>
      </c>
    </row>
    <row r="41809" spans="1:1" ht="12.75">
      <c r="A41809" s="2" t="s">
        <v>299</v>
      </c>
    </row>
    <row r="41810" spans="1:1" ht="12.75">
      <c r="A41810" s="2" t="s">
        <v>288</v>
      </c>
    </row>
    <row r="41811" spans="1:1" ht="12.75">
      <c r="A41811" s="2" t="s">
        <v>289</v>
      </c>
    </row>
    <row r="41812" spans="1:1" ht="12.75">
      <c r="A41812" s="2" t="s">
        <v>291</v>
      </c>
    </row>
    <row r="41813" spans="1:1" ht="12.75">
      <c r="A41813" s="2" t="s">
        <v>291</v>
      </c>
    </row>
    <row r="41814" spans="1:1" ht="12.75">
      <c r="A41814" s="2" t="s">
        <v>290</v>
      </c>
    </row>
    <row r="41815" spans="1:1" ht="12.75">
      <c r="A41815" s="2" t="s">
        <v>290</v>
      </c>
    </row>
    <row r="41816" spans="1:1" ht="12.75">
      <c r="A41816" s="2" t="s">
        <v>292</v>
      </c>
    </row>
    <row r="41817" spans="1:1" ht="12.75">
      <c r="A41817" s="2" t="s">
        <v>292</v>
      </c>
    </row>
    <row r="41818" spans="1:1" ht="12.75">
      <c r="A41818" s="2" t="s">
        <v>289</v>
      </c>
    </row>
    <row r="41819" spans="1:1" ht="12.75">
      <c r="A41819" s="2" t="s">
        <v>289</v>
      </c>
    </row>
    <row r="41820" spans="1:1" ht="12.75">
      <c r="A41820" s="2" t="s">
        <v>291</v>
      </c>
    </row>
    <row r="41821" spans="1:1" ht="12.75">
      <c r="A41821" s="2" t="s">
        <v>291</v>
      </c>
    </row>
    <row r="41822" spans="1:1" ht="12.75">
      <c r="A41822" s="2" t="s">
        <v>288</v>
      </c>
    </row>
    <row r="41823" spans="1:1" ht="12.75">
      <c r="A41823" s="2" t="s">
        <v>288</v>
      </c>
    </row>
    <row r="41824" spans="1:1" ht="12.75">
      <c r="A41824" s="2" t="s">
        <v>291</v>
      </c>
    </row>
    <row r="41825" spans="1:1" ht="12.75">
      <c r="A41825" s="2" t="s">
        <v>291</v>
      </c>
    </row>
    <row r="41826" spans="1:1" ht="12.75">
      <c r="A41826" s="2" t="s">
        <v>293</v>
      </c>
    </row>
    <row r="41827" spans="1:1" ht="12.75">
      <c r="A41827" s="2" t="s">
        <v>293</v>
      </c>
    </row>
    <row r="41828" spans="1:1" ht="12.75">
      <c r="A41828" s="2" t="s">
        <v>299</v>
      </c>
    </row>
    <row r="41829" spans="1:1" ht="12.75">
      <c r="A41829" s="2" t="s">
        <v>299</v>
      </c>
    </row>
    <row r="41830" spans="1:1" ht="12.75">
      <c r="A41830" s="2" t="s">
        <v>297</v>
      </c>
    </row>
    <row r="41831" spans="1:1" ht="12.75">
      <c r="A41831" s="2" t="s">
        <v>297</v>
      </c>
    </row>
    <row r="41832" spans="1:1" ht="12.75">
      <c r="A41832" s="2" t="s">
        <v>291</v>
      </c>
    </row>
    <row r="41833" spans="1:1" ht="12.75">
      <c r="A41833" s="2" t="s">
        <v>291</v>
      </c>
    </row>
    <row r="41834" spans="1:1" ht="12.75">
      <c r="A41834" s="2" t="s">
        <v>296</v>
      </c>
    </row>
    <row r="41835" spans="1:1" ht="12.75">
      <c r="A41835" s="2" t="s">
        <v>296</v>
      </c>
    </row>
    <row r="41836" spans="1:1" ht="12.75">
      <c r="A41836" s="2" t="s">
        <v>297</v>
      </c>
    </row>
    <row r="41837" spans="1:1" ht="12.75">
      <c r="A41837" s="2" t="s">
        <v>292</v>
      </c>
    </row>
    <row r="41838" spans="1:1" ht="12.75">
      <c r="A41838" s="2" t="s">
        <v>296</v>
      </c>
    </row>
    <row r="41840" spans="1:1" ht="12.75">
      <c r="A41840" s="2" t="s">
        <v>1262</v>
      </c>
    </row>
    <row r="41841" spans="1:1" ht="12.75">
      <c r="A41841" s="2" t="s">
        <v>1262</v>
      </c>
    </row>
    <row r="41842" spans="1:1" ht="12.75">
      <c r="A41842" s="2" t="s">
        <v>289</v>
      </c>
    </row>
    <row r="41843" spans="1:1" ht="12.75">
      <c r="A41843" s="2" t="s">
        <v>289</v>
      </c>
    </row>
    <row r="41845" spans="1:1" ht="12.75">
      <c r="A41845" s="2" t="s">
        <v>290</v>
      </c>
    </row>
    <row r="41846" spans="1:1" ht="12.75">
      <c r="A41846" s="2" t="s">
        <v>290</v>
      </c>
    </row>
    <row r="41847" spans="1:1" ht="12.75">
      <c r="A41847" s="2" t="s">
        <v>292</v>
      </c>
    </row>
    <row r="41848" spans="1:1" ht="12.75">
      <c r="A41848" s="2" t="s">
        <v>292</v>
      </c>
    </row>
    <row r="41849" spans="1:1" ht="12.75">
      <c r="A41849" s="2" t="s">
        <v>299</v>
      </c>
    </row>
    <row r="41850" spans="1:1" ht="12.75">
      <c r="A41850" s="2" t="s">
        <v>299</v>
      </c>
    </row>
    <row r="41851" spans="1:1" ht="12.75">
      <c r="A41851" s="2" t="s">
        <v>293</v>
      </c>
    </row>
    <row r="41852" spans="1:1" ht="12.75">
      <c r="A41852" s="2" t="s">
        <v>1118</v>
      </c>
    </row>
    <row r="41853" spans="1:1" ht="12.75">
      <c r="A41853" s="2" t="s">
        <v>1118</v>
      </c>
    </row>
    <row r="41866" spans="1:1" ht="12.75">
      <c r="A41866" s="2" t="s">
        <v>1118</v>
      </c>
    </row>
    <row r="41867" spans="1:1" ht="12.75">
      <c r="A41867" s="2" t="s">
        <v>1118</v>
      </c>
    </row>
    <row r="41868" spans="1:1" ht="12.75">
      <c r="A41868" s="2" t="s">
        <v>1118</v>
      </c>
    </row>
    <row r="41869" spans="1:1" ht="12.75">
      <c r="A41869" s="2" t="s">
        <v>1118</v>
      </c>
    </row>
    <row r="41870" spans="1:1" ht="12.75">
      <c r="A41870" s="2" t="s">
        <v>1118</v>
      </c>
    </row>
    <row r="41871" spans="1:1" ht="12.75">
      <c r="A41871" s="2" t="s">
        <v>1118</v>
      </c>
    </row>
    <row r="41872" spans="1:1" ht="12.75">
      <c r="A41872" s="2" t="s">
        <v>1421</v>
      </c>
    </row>
    <row r="41873" spans="1:1" ht="12.75">
      <c r="A41873" s="2" t="s">
        <v>1421</v>
      </c>
    </row>
    <row r="41874" spans="1:1" ht="12.75">
      <c r="A41874" s="2" t="s">
        <v>1421</v>
      </c>
    </row>
    <row r="41875" spans="1:1" ht="12.75">
      <c r="A41875" s="2" t="s">
        <v>1421</v>
      </c>
    </row>
    <row r="41876" spans="1:1" ht="12.75">
      <c r="A41876" s="2" t="s">
        <v>1262</v>
      </c>
    </row>
    <row r="41877" spans="1:1" ht="12.75">
      <c r="A41877" s="2" t="s">
        <v>1262</v>
      </c>
    </row>
    <row r="41878" spans="1:1" ht="12.75">
      <c r="A41878" s="2" t="s">
        <v>1262</v>
      </c>
    </row>
    <row r="41879" spans="1:1" ht="12.75">
      <c r="A41879" s="2" t="s">
        <v>1262</v>
      </c>
    </row>
    <row r="41880" spans="1:1" ht="12.75">
      <c r="A41880" s="2" t="s">
        <v>1262</v>
      </c>
    </row>
    <row r="41881" spans="1:1" ht="12.75">
      <c r="A41881" s="2" t="s">
        <v>1262</v>
      </c>
    </row>
    <row r="41882" spans="1:1" ht="12.75">
      <c r="A41882" s="2" t="s">
        <v>1262</v>
      </c>
    </row>
    <row r="41883" spans="1:1" ht="12.75">
      <c r="A41883" s="2" t="s">
        <v>1422</v>
      </c>
    </row>
    <row r="41884" spans="1:1" ht="12.75">
      <c r="A41884" s="2" t="s">
        <v>1421</v>
      </c>
    </row>
    <row r="41885" spans="1:1" ht="12.75">
      <c r="A41885" s="2" t="s">
        <v>1421</v>
      </c>
    </row>
    <row r="41886" spans="1:1" ht="12.75">
      <c r="A41886" s="2" t="s">
        <v>1262</v>
      </c>
    </row>
    <row r="41887" spans="1:1" ht="12.75">
      <c r="A41887" s="2" t="s">
        <v>1421</v>
      </c>
    </row>
    <row r="41888" spans="1:1" ht="12.75">
      <c r="A41888" s="2" t="s">
        <v>1262</v>
      </c>
    </row>
    <row r="41889" spans="1:1" ht="12.75">
      <c r="A41889" s="2" t="s">
        <v>1262</v>
      </c>
    </row>
    <row r="41890" spans="1:1" ht="12.75">
      <c r="A41890" s="2" t="s">
        <v>1262</v>
      </c>
    </row>
    <row r="41891" spans="1:1" ht="12.75">
      <c r="A41891" s="2" t="s">
        <v>1422</v>
      </c>
    </row>
    <row r="41892" spans="1:1" ht="12.75">
      <c r="A41892" s="2" t="s">
        <v>1262</v>
      </c>
    </row>
    <row r="41893" spans="1:1" ht="12.75">
      <c r="A41893" s="2" t="s">
        <v>1262</v>
      </c>
    </row>
    <row r="41894" spans="1:1" ht="12.75">
      <c r="A41894" s="2" t="s">
        <v>1262</v>
      </c>
    </row>
    <row r="41895" spans="1:1" ht="12.75">
      <c r="A41895" s="2" t="s">
        <v>1262</v>
      </c>
    </row>
    <row r="41896" spans="1:1" ht="12.75">
      <c r="A41896" s="2" t="s">
        <v>1262</v>
      </c>
    </row>
    <row r="41897" spans="1:1" ht="12.75">
      <c r="A41897" s="2" t="s">
        <v>1262</v>
      </c>
    </row>
    <row r="41898" spans="1:1" ht="12.75">
      <c r="A41898" s="2" t="s">
        <v>1262</v>
      </c>
    </row>
    <row r="41899" spans="1:1" ht="12.75">
      <c r="A41899" s="2" t="s">
        <v>1262</v>
      </c>
    </row>
    <row r="41902" spans="1:1" ht="12.75">
      <c r="A41902" s="2" t="s">
        <v>1428</v>
      </c>
    </row>
    <row r="41903" spans="1:1" ht="12.75">
      <c r="A41903" s="2" t="s">
        <v>1429</v>
      </c>
    </row>
    <row r="41905" spans="1:1" ht="12.75">
      <c r="A41905" s="2" t="s">
        <v>1430</v>
      </c>
    </row>
    <row r="41907" spans="1:1" ht="12.75">
      <c r="A41907" s="2" t="s">
        <v>188</v>
      </c>
    </row>
    <row r="41908" spans="1:1" ht="12.75">
      <c r="A41908" s="2" t="s">
        <v>188</v>
      </c>
    </row>
    <row r="41909" spans="1:1" ht="12.75">
      <c r="A41909" s="2" t="s">
        <v>188</v>
      </c>
    </row>
    <row r="41910" spans="1:1" ht="12.75">
      <c r="A41910" s="2" t="s">
        <v>295</v>
      </c>
    </row>
    <row r="41911" spans="1:1" ht="12.75">
      <c r="A41911" s="2" t="s">
        <v>295</v>
      </c>
    </row>
    <row r="41912" spans="1:1" ht="12.75">
      <c r="A41912" s="2" t="s">
        <v>295</v>
      </c>
    </row>
    <row r="41913" spans="1:1" ht="12.75">
      <c r="A41913" s="2" t="s">
        <v>295</v>
      </c>
    </row>
    <row r="41914" spans="1:1" ht="12.75">
      <c r="A41914" s="2" t="s">
        <v>1340</v>
      </c>
    </row>
    <row r="41915" spans="1:1" ht="12.75">
      <c r="A41915" s="2" t="s">
        <v>354</v>
      </c>
    </row>
    <row r="41916" spans="1:1" ht="12.75">
      <c r="A41916" s="2" t="s">
        <v>188</v>
      </c>
    </row>
    <row r="41917" spans="1:1" ht="12.75">
      <c r="A41917" s="2" t="s">
        <v>836</v>
      </c>
    </row>
    <row r="41918" spans="1:1" ht="12.75">
      <c r="A41918" s="2" t="s">
        <v>836</v>
      </c>
    </row>
    <row r="41919" spans="1:1" ht="12.75">
      <c r="A41919" s="2" t="s">
        <v>819</v>
      </c>
    </row>
    <row r="41920" spans="1:1" ht="12.75">
      <c r="A41920" s="2" t="s">
        <v>819</v>
      </c>
    </row>
    <row r="41921" spans="1:1" ht="12.75">
      <c r="A41921" s="2" t="s">
        <v>1431</v>
      </c>
    </row>
    <row r="41922" spans="1:1" ht="12.75">
      <c r="A41922" s="2" t="s">
        <v>1431</v>
      </c>
    </row>
    <row r="41923" spans="1:1" ht="12.75">
      <c r="A41923" s="2" t="s">
        <v>821</v>
      </c>
    </row>
    <row r="41924" spans="1:1" ht="12.75">
      <c r="A41924" s="2" t="s">
        <v>825</v>
      </c>
    </row>
    <row r="41925" spans="1:1" ht="12.75">
      <c r="A41925" s="2" t="s">
        <v>921</v>
      </c>
    </row>
    <row r="41926" spans="1:1" ht="12.75">
      <c r="A41926" s="2" t="s">
        <v>836</v>
      </c>
    </row>
    <row r="41927" spans="1:1" ht="12.75">
      <c r="A41927" s="2" t="s">
        <v>819</v>
      </c>
    </row>
    <row r="41928" spans="1:1" ht="12.75">
      <c r="A41928" s="2" t="s">
        <v>819</v>
      </c>
    </row>
    <row r="41929" spans="1:1" ht="12.75">
      <c r="A41929" s="2" t="s">
        <v>836</v>
      </c>
    </row>
    <row r="41930" spans="1:1" ht="12.75">
      <c r="A41930" s="2" t="s">
        <v>825</v>
      </c>
    </row>
    <row r="41931" spans="1:1" ht="12.75">
      <c r="A41931" s="2" t="s">
        <v>825</v>
      </c>
    </row>
    <row r="41932" spans="1:1" ht="12.75">
      <c r="A41932" s="2" t="s">
        <v>854</v>
      </c>
    </row>
    <row r="41933" spans="1:1" ht="12.75">
      <c r="A41933" s="2" t="s">
        <v>844</v>
      </c>
    </row>
    <row r="41934" spans="1:1" ht="12.75">
      <c r="A41934" s="2" t="s">
        <v>854</v>
      </c>
    </row>
    <row r="41935" spans="1:1" ht="12.75">
      <c r="A41935" s="2" t="s">
        <v>826</v>
      </c>
    </row>
    <row r="41936" spans="1:1" ht="12.75">
      <c r="A41936" s="2" t="s">
        <v>844</v>
      </c>
    </row>
    <row r="41937" spans="1:1" ht="12.75">
      <c r="A41937" s="2" t="s">
        <v>854</v>
      </c>
    </row>
    <row r="41938" spans="1:1" ht="12.75">
      <c r="A41938" s="2" t="s">
        <v>854</v>
      </c>
    </row>
    <row r="41939" spans="1:1" ht="12.75">
      <c r="A41939" s="2" t="s">
        <v>844</v>
      </c>
    </row>
    <row r="41940" spans="1:1" ht="12.75">
      <c r="A41940" s="2" t="s">
        <v>844</v>
      </c>
    </row>
    <row r="41941" spans="1:1" ht="12.75">
      <c r="A41941" s="2" t="s">
        <v>826</v>
      </c>
    </row>
    <row r="41942" spans="1:1" ht="12.75">
      <c r="A41942" s="2" t="s">
        <v>857</v>
      </c>
    </row>
    <row r="41943" spans="1:1" ht="12.75">
      <c r="A41943" s="2" t="s">
        <v>819</v>
      </c>
    </row>
    <row r="41944" spans="1:1" ht="12.75">
      <c r="A41944" s="2" t="s">
        <v>819</v>
      </c>
    </row>
    <row r="41945" spans="1:1" ht="12.75">
      <c r="A41945" s="2" t="s">
        <v>821</v>
      </c>
    </row>
    <row r="41946" spans="1:1" ht="12.75">
      <c r="A41946" s="2" t="s">
        <v>821</v>
      </c>
    </row>
    <row r="41947" spans="1:1" ht="12.75">
      <c r="A41947" s="2" t="s">
        <v>829</v>
      </c>
    </row>
    <row r="41948" spans="1:1" ht="12.75">
      <c r="A41948" s="2" t="s">
        <v>829</v>
      </c>
    </row>
    <row r="41949" spans="1:1" ht="12.75">
      <c r="A41949" s="2" t="s">
        <v>829</v>
      </c>
    </row>
    <row r="41950" spans="1:1" ht="12.75">
      <c r="A41950" s="2" t="s">
        <v>920</v>
      </c>
    </row>
    <row r="41951" spans="1:1" ht="12.75">
      <c r="A41951" s="2" t="s">
        <v>825</v>
      </c>
    </row>
    <row r="41952" spans="1:1" ht="12.75">
      <c r="A41952" s="2" t="s">
        <v>825</v>
      </c>
    </row>
    <row r="41953" spans="1:1" ht="12.75">
      <c r="A41953" s="2" t="s">
        <v>829</v>
      </c>
    </row>
    <row r="41954" spans="1:1" ht="12.75">
      <c r="A41954" s="2" t="s">
        <v>829</v>
      </c>
    </row>
    <row r="41955" spans="1:1" ht="12.75">
      <c r="A41955" s="2" t="s">
        <v>1432</v>
      </c>
    </row>
    <row r="41956" spans="1:1" ht="12.75">
      <c r="A41956" s="2" t="s">
        <v>829</v>
      </c>
    </row>
    <row r="41957" spans="1:1" ht="12.75">
      <c r="A41957" s="2">
        <v>16800</v>
      </c>
    </row>
    <row r="41958" spans="1:1" ht="12.75">
      <c r="A41958" s="2" t="s">
        <v>479</v>
      </c>
    </row>
    <row r="41959" spans="1:1" ht="12.75">
      <c r="A41959" s="2" t="s">
        <v>623</v>
      </c>
    </row>
    <row r="41960" spans="1:1" ht="12.75">
      <c r="A41960" s="2" t="s">
        <v>623</v>
      </c>
    </row>
    <row r="41961" spans="1:1" ht="12.75">
      <c r="A41961" s="2" t="s">
        <v>623</v>
      </c>
    </row>
    <row r="41962" spans="1:1" ht="12.75">
      <c r="A41962" s="2" t="s">
        <v>623</v>
      </c>
    </row>
    <row r="41963" spans="1:1" ht="12.75">
      <c r="A41963" s="2" t="s">
        <v>623</v>
      </c>
    </row>
    <row r="41964" spans="1:1" ht="12.75">
      <c r="A41964" s="2" t="s">
        <v>623</v>
      </c>
    </row>
    <row r="41965" spans="1:1" ht="12.75">
      <c r="A41965" s="2" t="s">
        <v>433</v>
      </c>
    </row>
    <row r="41966" spans="1:1" ht="12.75">
      <c r="A41966" s="2" t="s">
        <v>433</v>
      </c>
    </row>
    <row r="41967" spans="1:1" ht="12.75">
      <c r="A41967" s="2" t="s">
        <v>622</v>
      </c>
    </row>
    <row r="41968" spans="1:1" ht="12.75">
      <c r="A41968" s="2" t="s">
        <v>432</v>
      </c>
    </row>
    <row r="41969" spans="1:1" ht="12.75">
      <c r="A41969" s="2" t="s">
        <v>620</v>
      </c>
    </row>
    <row r="41970" spans="1:1" ht="12.75">
      <c r="A41970" s="2" t="s">
        <v>620</v>
      </c>
    </row>
    <row r="41971" spans="1:1" ht="12.75">
      <c r="A41971" s="2" t="s">
        <v>620</v>
      </c>
    </row>
    <row r="41972" spans="1:1" ht="12.75">
      <c r="A41972" s="2" t="s">
        <v>620</v>
      </c>
    </row>
    <row r="41973" spans="1:1" ht="12.75">
      <c r="A41973" s="2" t="s">
        <v>1384</v>
      </c>
    </row>
    <row r="41974" spans="1:1" ht="12.75">
      <c r="A41974" s="2" t="s">
        <v>404</v>
      </c>
    </row>
    <row r="41975" spans="1:1" ht="12.75">
      <c r="A41975" s="2" t="s">
        <v>404</v>
      </c>
    </row>
    <row r="41976" spans="1:1" ht="12.75">
      <c r="A41976" s="2" t="s">
        <v>404</v>
      </c>
    </row>
    <row r="41977" spans="1:1" ht="12.75">
      <c r="A41977" s="2" t="s">
        <v>825</v>
      </c>
    </row>
    <row r="41978" spans="1:1" ht="12.75">
      <c r="A41978" s="2" t="s">
        <v>825</v>
      </c>
    </row>
    <row r="41979" spans="1:1" ht="12.75">
      <c r="A41979" s="2" t="s">
        <v>819</v>
      </c>
    </row>
    <row r="41980" spans="1:1" ht="12.75">
      <c r="A41980" s="2" t="s">
        <v>819</v>
      </c>
    </row>
    <row r="41981" spans="1:1" ht="12.75">
      <c r="A41981" s="2" t="s">
        <v>1431</v>
      </c>
    </row>
    <row r="41982" spans="1:1" ht="12.75">
      <c r="A41982" s="2" t="s">
        <v>1431</v>
      </c>
    </row>
    <row r="41983" spans="1:1" ht="12.75">
      <c r="A41983" s="2" t="s">
        <v>826</v>
      </c>
    </row>
    <row r="41984" spans="1:1" ht="12.75">
      <c r="A41984" s="2" t="s">
        <v>844</v>
      </c>
    </row>
    <row r="41985" spans="1:1" ht="12.75">
      <c r="A41985" s="2" t="s">
        <v>1433</v>
      </c>
    </row>
    <row r="41986" spans="1:1" ht="12.75">
      <c r="A41986" s="2" t="s">
        <v>844</v>
      </c>
    </row>
    <row r="41987" spans="1:1" ht="12.75">
      <c r="A41987" s="2" t="s">
        <v>826</v>
      </c>
    </row>
    <row r="41989" spans="1:1" ht="12.75">
      <c r="A41989" s="2" t="s">
        <v>844</v>
      </c>
    </row>
    <row r="41990" spans="1:1" ht="12.75">
      <c r="A41990" s="2" t="s">
        <v>844</v>
      </c>
    </row>
    <row r="41991" spans="1:1" ht="12.75">
      <c r="A41991" s="2" t="s">
        <v>826</v>
      </c>
    </row>
    <row r="41992" spans="1:1" ht="12.75">
      <c r="A41992" s="2" t="s">
        <v>844</v>
      </c>
    </row>
    <row r="41993" spans="1:1" ht="12.75">
      <c r="A41993" s="2" t="s">
        <v>821</v>
      </c>
    </row>
    <row r="41994" spans="1:1" ht="12.75">
      <c r="A41994" s="2" t="s">
        <v>821</v>
      </c>
    </row>
    <row r="41995" spans="1:1" ht="12.75">
      <c r="A41995" s="2" t="s">
        <v>836</v>
      </c>
    </row>
    <row r="41996" spans="1:1" ht="12.75">
      <c r="A41996" s="2" t="s">
        <v>836</v>
      </c>
    </row>
    <row r="41997" spans="1:1" ht="12.75">
      <c r="A41997" s="2" t="s">
        <v>452</v>
      </c>
    </row>
    <row r="41998" spans="1:1" ht="12.75">
      <c r="A41998" s="2" t="s">
        <v>452</v>
      </c>
    </row>
    <row r="41999" spans="1:1" ht="12.75">
      <c r="A41999" s="2" t="s">
        <v>452</v>
      </c>
    </row>
    <row r="42000" spans="1:1" ht="12.75">
      <c r="A42000" s="2" t="s">
        <v>452</v>
      </c>
    </row>
    <row r="42001" spans="1:1" ht="12.75">
      <c r="A42001" s="2" t="s">
        <v>452</v>
      </c>
    </row>
    <row r="42002" spans="1:1" ht="12.75">
      <c r="A42002" s="2" t="s">
        <v>452</v>
      </c>
    </row>
    <row r="42003" spans="1:1" ht="12.75">
      <c r="A42003" s="2" t="s">
        <v>623</v>
      </c>
    </row>
    <row r="42004" spans="1:1" ht="12.75">
      <c r="A42004" s="2" t="s">
        <v>818</v>
      </c>
    </row>
    <row r="42005" spans="1:1" ht="12.75">
      <c r="A42005" s="2" t="s">
        <v>1434</v>
      </c>
    </row>
    <row r="42006" spans="1:1" ht="12.75">
      <c r="A42006" s="2" t="s">
        <v>432</v>
      </c>
    </row>
    <row r="42007" spans="1:1" ht="12.75">
      <c r="A42007" s="2" t="s">
        <v>1384</v>
      </c>
    </row>
    <row r="42008" spans="1:1" ht="12.75">
      <c r="A42008" s="2" t="s">
        <v>432</v>
      </c>
    </row>
    <row r="42009" spans="1:1" ht="12.75">
      <c r="A42009" s="2" t="s">
        <v>404</v>
      </c>
    </row>
    <row r="42010" spans="1:1" ht="12.75">
      <c r="A42010" s="2" t="s">
        <v>404</v>
      </c>
    </row>
    <row r="42011" spans="1:1" ht="12.75">
      <c r="A42011" s="2" t="s">
        <v>404</v>
      </c>
    </row>
    <row r="42012" spans="1:1" ht="12.75">
      <c r="A42012" s="2" t="s">
        <v>404</v>
      </c>
    </row>
    <row r="42013" spans="1:1" ht="12.75">
      <c r="A42013" s="2" t="s">
        <v>477</v>
      </c>
    </row>
    <row r="42014" spans="1:1" ht="12.75">
      <c r="A42014" s="2" t="s">
        <v>477</v>
      </c>
    </row>
    <row r="42015" spans="1:1" ht="12.75">
      <c r="A42015" s="2" t="s">
        <v>477</v>
      </c>
    </row>
    <row r="42016" spans="1:1" ht="12.75">
      <c r="A42016" s="2" t="s">
        <v>477</v>
      </c>
    </row>
    <row r="42017" spans="1:1" ht="12.75">
      <c r="A42017" s="2" t="s">
        <v>817</v>
      </c>
    </row>
    <row r="42018" spans="1:1" ht="12.75">
      <c r="A42018" s="2" t="s">
        <v>817</v>
      </c>
    </row>
    <row r="42019" spans="1:1" ht="12.75">
      <c r="A42019" s="2" t="s">
        <v>816</v>
      </c>
    </row>
    <row r="42020" spans="1:1" ht="12.75">
      <c r="A42020" s="2" t="s">
        <v>437</v>
      </c>
    </row>
    <row r="42021" spans="1:1" ht="12.75">
      <c r="A42021" s="2" t="s">
        <v>816</v>
      </c>
    </row>
    <row r="42022" spans="1:1" ht="12.75">
      <c r="A42022" s="2" t="s">
        <v>816</v>
      </c>
    </row>
    <row r="42023" spans="1:1" ht="12.75">
      <c r="A42023" s="2" t="s">
        <v>623</v>
      </c>
    </row>
    <row r="42024" spans="1:1" ht="12.75">
      <c r="A42024" s="2" t="s">
        <v>623</v>
      </c>
    </row>
    <row r="42025" spans="1:1" ht="12.75">
      <c r="A42025" s="2" t="s">
        <v>618</v>
      </c>
    </row>
    <row r="42026" spans="1:1" ht="12.75">
      <c r="A42026" s="2" t="s">
        <v>623</v>
      </c>
    </row>
    <row r="42027" spans="1:1" ht="12.75">
      <c r="A42027" s="2" t="s">
        <v>404</v>
      </c>
    </row>
    <row r="42028" spans="1:1" ht="12.75">
      <c r="A42028" s="2" t="s">
        <v>404</v>
      </c>
    </row>
    <row r="42029" spans="1:1" ht="12.75">
      <c r="A42029" s="2" t="s">
        <v>404</v>
      </c>
    </row>
    <row r="42030" spans="1:1" ht="12.75">
      <c r="A42030" s="2" t="s">
        <v>404</v>
      </c>
    </row>
    <row r="42031" spans="1:1" ht="12.75">
      <c r="A42031" s="2" t="s">
        <v>404</v>
      </c>
    </row>
    <row r="42032" spans="1:1" ht="12.75">
      <c r="A42032" s="2" t="s">
        <v>404</v>
      </c>
    </row>
    <row r="42033" spans="1:1" ht="12.75">
      <c r="A42033" s="2" t="s">
        <v>620</v>
      </c>
    </row>
    <row r="42034" spans="1:1" ht="12.75">
      <c r="A42034" s="2" t="s">
        <v>620</v>
      </c>
    </row>
    <row r="42035" spans="1:1" ht="12.75">
      <c r="A42035" s="2" t="s">
        <v>620</v>
      </c>
    </row>
    <row r="42036" spans="1:1" ht="12.75">
      <c r="A42036" s="2" t="s">
        <v>620</v>
      </c>
    </row>
    <row r="42037" spans="1:1" ht="12.75">
      <c r="A42037" s="2" t="s">
        <v>623</v>
      </c>
    </row>
    <row r="42038" spans="1:1" ht="12.75">
      <c r="A42038" s="2" t="s">
        <v>623</v>
      </c>
    </row>
    <row r="42039" spans="1:1" ht="12.75">
      <c r="A42039" s="2" t="s">
        <v>435</v>
      </c>
    </row>
    <row r="42040" spans="1:1" ht="12.75">
      <c r="A42040" s="2" t="s">
        <v>435</v>
      </c>
    </row>
    <row r="42041" spans="1:1" ht="12.75">
      <c r="A42041" s="2" t="s">
        <v>437</v>
      </c>
    </row>
    <row r="42042" spans="1:1" ht="12.75">
      <c r="A42042" s="2" t="s">
        <v>437</v>
      </c>
    </row>
    <row r="42043" spans="1:1" ht="12.75">
      <c r="A42043" s="2" t="s">
        <v>437</v>
      </c>
    </row>
    <row r="42044" spans="1:1" ht="12.75">
      <c r="A42044" s="2" t="s">
        <v>437</v>
      </c>
    </row>
    <row r="42045" spans="1:1" ht="12.75">
      <c r="A42045" s="2" t="s">
        <v>620</v>
      </c>
    </row>
    <row r="42046" spans="1:1" ht="12.75">
      <c r="A42046" s="2" t="s">
        <v>620</v>
      </c>
    </row>
    <row r="42047" spans="1:1" ht="12.75">
      <c r="A42047" s="2" t="s">
        <v>620</v>
      </c>
    </row>
    <row r="42048" spans="1:1" ht="12.75">
      <c r="A42048" s="2" t="s">
        <v>620</v>
      </c>
    </row>
    <row r="42049" spans="1:1" ht="12.75">
      <c r="A42049" s="2" t="s">
        <v>817</v>
      </c>
    </row>
    <row r="42050" spans="1:1" ht="12.75">
      <c r="A42050" s="2" t="s">
        <v>817</v>
      </c>
    </row>
    <row r="42051" spans="1:1" ht="12.75">
      <c r="A42051" s="2" t="s">
        <v>618</v>
      </c>
    </row>
    <row r="42052" spans="1:1" ht="12.75">
      <c r="A42052" s="2" t="s">
        <v>623</v>
      </c>
    </row>
    <row r="42053" spans="1:1" ht="12.75">
      <c r="A42053" s="2" t="s">
        <v>817</v>
      </c>
    </row>
    <row r="42054" spans="1:1" ht="12.75">
      <c r="A42054" s="2" t="s">
        <v>817</v>
      </c>
    </row>
    <row r="42055" spans="1:1" ht="12.75">
      <c r="A42055" s="2" t="s">
        <v>432</v>
      </c>
    </row>
    <row r="42056" spans="1:1" ht="12.75">
      <c r="A42056" s="2" t="s">
        <v>432</v>
      </c>
    </row>
    <row r="42057" spans="1:1" ht="12.75">
      <c r="A42057" s="2" t="s">
        <v>477</v>
      </c>
    </row>
    <row r="42058" spans="1:1" ht="12.75">
      <c r="A42058" s="2" t="s">
        <v>477</v>
      </c>
    </row>
    <row r="42059" spans="1:1" ht="12.75">
      <c r="A42059" s="2" t="s">
        <v>432</v>
      </c>
    </row>
    <row r="42060" spans="1:1" ht="12.75">
      <c r="A42060" s="2" t="s">
        <v>620</v>
      </c>
    </row>
    <row r="42061" spans="1:1" ht="12.75">
      <c r="A42061" s="2" t="s">
        <v>452</v>
      </c>
    </row>
    <row r="42062" spans="1:1" ht="12.75">
      <c r="A42062" s="2" t="s">
        <v>452</v>
      </c>
    </row>
    <row r="42063" spans="1:1" ht="12.75">
      <c r="A42063" s="2" t="s">
        <v>452</v>
      </c>
    </row>
    <row r="42064" spans="1:1" ht="12.75">
      <c r="A42064" s="2" t="s">
        <v>452</v>
      </c>
    </row>
    <row r="42065" spans="1:1" ht="12.75">
      <c r="A42065" s="2" t="s">
        <v>432</v>
      </c>
    </row>
    <row r="42066" spans="1:1" ht="12.75">
      <c r="A42066" s="2" t="s">
        <v>432</v>
      </c>
    </row>
    <row r="42067" spans="1:1" ht="12.75">
      <c r="A42067" s="2" t="s">
        <v>622</v>
      </c>
    </row>
    <row r="42068" spans="1:1" ht="12.75">
      <c r="A42068" s="2" t="s">
        <v>622</v>
      </c>
    </row>
    <row r="42069" spans="1:1" ht="12.75">
      <c r="A42069" s="2" t="s">
        <v>434</v>
      </c>
    </row>
    <row r="42070" spans="1:1" ht="12.75">
      <c r="A42070" s="2" t="s">
        <v>465</v>
      </c>
    </row>
    <row r="42071" spans="1:1" ht="12.75">
      <c r="A42071" s="2" t="s">
        <v>479</v>
      </c>
    </row>
    <row r="42072" spans="1:1" ht="12.75">
      <c r="A42072" s="2" t="s">
        <v>479</v>
      </c>
    </row>
    <row r="42073" spans="1:1" ht="12.75">
      <c r="A42073" s="2" t="s">
        <v>435</v>
      </c>
    </row>
    <row r="42074" spans="1:1" ht="12.75">
      <c r="A42074" s="2" t="s">
        <v>463</v>
      </c>
    </row>
    <row r="42075" spans="1:1" ht="12.75">
      <c r="A42075" s="2" t="s">
        <v>466</v>
      </c>
    </row>
    <row r="42076" spans="1:1" ht="12.75">
      <c r="A42076" s="2" t="s">
        <v>477</v>
      </c>
    </row>
    <row r="42077" spans="1:1" ht="12.75">
      <c r="A42077" s="2" t="s">
        <v>473</v>
      </c>
    </row>
    <row r="42078" spans="1:1" ht="12.75">
      <c r="A42078" s="2" t="s">
        <v>473</v>
      </c>
    </row>
    <row r="42079" spans="1:1" ht="12.75">
      <c r="A42079" s="2" t="s">
        <v>446</v>
      </c>
    </row>
    <row r="42080" spans="1:1" ht="12.75">
      <c r="A42080" s="2" t="s">
        <v>446</v>
      </c>
    </row>
    <row r="42081" spans="1:1" ht="12.75">
      <c r="A42081" s="2" t="s">
        <v>448</v>
      </c>
    </row>
    <row r="42082" spans="1:1" ht="12.75">
      <c r="A42082" s="2" t="s">
        <v>446</v>
      </c>
    </row>
    <row r="42083" spans="1:1" ht="12.75">
      <c r="A42083" s="2" t="s">
        <v>446</v>
      </c>
    </row>
    <row r="42084" spans="1:1" ht="12.75">
      <c r="A42084" s="2" t="s">
        <v>615</v>
      </c>
    </row>
    <row r="42085" spans="1:1" ht="12.75">
      <c r="A42085" s="2" t="s">
        <v>446</v>
      </c>
    </row>
    <row r="42086" spans="1:1" ht="12.75">
      <c r="A42086" s="2" t="s">
        <v>634</v>
      </c>
    </row>
    <row r="42087" spans="1:1" ht="12.75">
      <c r="A42087" s="2" t="s">
        <v>473</v>
      </c>
    </row>
    <row r="42088" spans="1:1" ht="12.75">
      <c r="A42088" s="2" t="s">
        <v>473</v>
      </c>
    </row>
    <row r="42089" spans="1:1" ht="12.75">
      <c r="A42089" s="2" t="s">
        <v>448</v>
      </c>
    </row>
    <row r="42090" spans="1:1" ht="12.75">
      <c r="A42090" s="2" t="s">
        <v>473</v>
      </c>
    </row>
    <row r="42091" spans="1:1" ht="12.75">
      <c r="A42091" s="2" t="s">
        <v>615</v>
      </c>
    </row>
    <row r="42092" spans="1:1" ht="12.75">
      <c r="A42092" s="2" t="s">
        <v>448</v>
      </c>
    </row>
    <row r="42093" spans="1:1" ht="12.75">
      <c r="A42093" s="2" t="s">
        <v>615</v>
      </c>
    </row>
    <row r="42094" spans="1:1" ht="12.75">
      <c r="A42094" s="2" t="s">
        <v>615</v>
      </c>
    </row>
    <row r="42095" spans="1:1" ht="12.75">
      <c r="A42095" s="2" t="s">
        <v>634</v>
      </c>
    </row>
    <row r="42096" spans="1:1" ht="12.75">
      <c r="A42096" s="2" t="s">
        <v>634</v>
      </c>
    </row>
    <row r="42097" spans="1:1" ht="12.75">
      <c r="A42097" s="2" t="s">
        <v>446</v>
      </c>
    </row>
    <row r="42098" spans="1:1" ht="12.75">
      <c r="A42098" s="2" t="s">
        <v>446</v>
      </c>
    </row>
    <row r="42099" spans="1:1" ht="12.75">
      <c r="A42099" s="2" t="s">
        <v>615</v>
      </c>
    </row>
    <row r="42100" spans="1:1" ht="12.75">
      <c r="A42100" s="2" t="s">
        <v>446</v>
      </c>
    </row>
    <row r="42101" spans="1:1" ht="12.75">
      <c r="A42101" s="2" t="s">
        <v>446</v>
      </c>
    </row>
    <row r="42102" spans="1:1" ht="12.75">
      <c r="A42102" s="2" t="s">
        <v>446</v>
      </c>
    </row>
    <row r="42103" spans="1:1" ht="12.75">
      <c r="A42103" s="2" t="s">
        <v>446</v>
      </c>
    </row>
    <row r="42104" spans="1:1" ht="12.75">
      <c r="A42104" s="2" t="s">
        <v>446</v>
      </c>
    </row>
    <row r="42105" spans="1:1" ht="12.75">
      <c r="A42105" s="2" t="s">
        <v>450</v>
      </c>
    </row>
    <row r="42106" spans="1:1" ht="12.75">
      <c r="A42106" s="2" t="s">
        <v>450</v>
      </c>
    </row>
    <row r="42107" spans="1:1" ht="12.75">
      <c r="A42107" s="2" t="s">
        <v>448</v>
      </c>
    </row>
    <row r="42108" spans="1:1" ht="12.75">
      <c r="A42108" s="2" t="s">
        <v>450</v>
      </c>
    </row>
    <row r="42109" spans="1:1" ht="12.75">
      <c r="A42109" s="2" t="s">
        <v>448</v>
      </c>
    </row>
    <row r="42110" spans="1:1" ht="12.75">
      <c r="A42110" s="2" t="s">
        <v>448</v>
      </c>
    </row>
    <row r="42111" spans="1:1" ht="12.75">
      <c r="A42111" s="2" t="s">
        <v>447</v>
      </c>
    </row>
    <row r="42112" spans="1:1" ht="12.75">
      <c r="A42112" s="2" t="s">
        <v>447</v>
      </c>
    </row>
    <row r="42113" spans="1:1" ht="12.75">
      <c r="A42113" s="2" t="s">
        <v>447</v>
      </c>
    </row>
    <row r="42114" spans="1:1" ht="12.75">
      <c r="A42114" s="2" t="s">
        <v>447</v>
      </c>
    </row>
    <row r="42115" spans="1:1" ht="12.75">
      <c r="A42115" s="2" t="s">
        <v>473</v>
      </c>
    </row>
    <row r="42116" spans="1:1" ht="12.75">
      <c r="A42116" s="2" t="s">
        <v>473</v>
      </c>
    </row>
    <row r="42117" spans="1:1" ht="12.75">
      <c r="A42117" s="2" t="s">
        <v>447</v>
      </c>
    </row>
    <row r="42118" spans="1:1" ht="12.75">
      <c r="A42118" s="2" t="s">
        <v>447</v>
      </c>
    </row>
    <row r="42119" spans="1:1" ht="12.75">
      <c r="A42119" s="2" t="s">
        <v>447</v>
      </c>
    </row>
    <row r="42120" spans="1:1" ht="12.75">
      <c r="A42120" s="2" t="s">
        <v>473</v>
      </c>
    </row>
    <row r="42121" spans="1:1" ht="12.75">
      <c r="A42121" s="2" t="s">
        <v>473</v>
      </c>
    </row>
    <row r="42122" spans="1:1" ht="12.75">
      <c r="A42122" s="2" t="s">
        <v>473</v>
      </c>
    </row>
    <row r="42123" spans="1:1" ht="12.75">
      <c r="A42123" s="2" t="s">
        <v>450</v>
      </c>
    </row>
    <row r="42124" spans="1:1" ht="12.75">
      <c r="A42124" s="2" t="s">
        <v>634</v>
      </c>
    </row>
    <row r="42125" spans="1:1" ht="12.75">
      <c r="A42125" s="2" t="s">
        <v>473</v>
      </c>
    </row>
    <row r="42126" spans="1:1" ht="12.75">
      <c r="A42126" s="2" t="s">
        <v>473</v>
      </c>
    </row>
    <row r="42127" spans="1:1" ht="12.75">
      <c r="A42127" s="2" t="s">
        <v>450</v>
      </c>
    </row>
    <row r="42128" spans="1:1" ht="12.75">
      <c r="A42128" s="2" t="s">
        <v>450</v>
      </c>
    </row>
    <row r="42129" spans="1:1" ht="12.75">
      <c r="A42129" s="2" t="s">
        <v>446</v>
      </c>
    </row>
    <row r="42130" spans="1:1" ht="12.75">
      <c r="A42130" s="2" t="s">
        <v>450</v>
      </c>
    </row>
    <row r="42131" spans="1:1" ht="12.75">
      <c r="A42131" s="2" t="s">
        <v>450</v>
      </c>
    </row>
    <row r="42132" spans="1:1" ht="12.75">
      <c r="A42132" s="2" t="s">
        <v>473</v>
      </c>
    </row>
    <row r="42133" spans="1:1" ht="12.75">
      <c r="A42133" s="2" t="s">
        <v>473</v>
      </c>
    </row>
    <row r="42134" spans="1:1" ht="12.75">
      <c r="A42134" s="2" t="s">
        <v>446</v>
      </c>
    </row>
    <row r="42135" spans="1:1" ht="12.75">
      <c r="A42135" s="2" t="s">
        <v>446</v>
      </c>
    </row>
    <row r="42136" spans="1:1" ht="12.75">
      <c r="A42136" s="2" t="s">
        <v>446</v>
      </c>
    </row>
    <row r="42137" spans="1:1" ht="12.75">
      <c r="A42137" s="2" t="s">
        <v>446</v>
      </c>
    </row>
    <row r="42138" spans="1:1" ht="12.75">
      <c r="A42138" s="2" t="s">
        <v>446</v>
      </c>
    </row>
    <row r="42139" spans="1:1" ht="12.75">
      <c r="A42139" s="2" t="s">
        <v>446</v>
      </c>
    </row>
    <row r="42140" spans="1:1" ht="12.75">
      <c r="A42140" s="2" t="s">
        <v>446</v>
      </c>
    </row>
    <row r="42141" spans="1:1" ht="12.75">
      <c r="A42141" s="2" t="s">
        <v>446</v>
      </c>
    </row>
    <row r="42142" spans="1:1" ht="12.75">
      <c r="A42142" s="2" t="s">
        <v>473</v>
      </c>
    </row>
    <row r="42143" spans="1:1" ht="12.75">
      <c r="A42143" s="2" t="s">
        <v>473</v>
      </c>
    </row>
    <row r="42144" spans="1:1" ht="12.75">
      <c r="A42144" s="2" t="s">
        <v>448</v>
      </c>
    </row>
    <row r="42145" spans="1:1" ht="12.75">
      <c r="A42145" s="2" t="s">
        <v>448</v>
      </c>
    </row>
    <row r="42146" spans="1:1" ht="12.75">
      <c r="A42146" s="2" t="s">
        <v>473</v>
      </c>
    </row>
    <row r="42147" spans="1:1" ht="12.75">
      <c r="A42147" s="2" t="s">
        <v>473</v>
      </c>
    </row>
    <row r="42148" spans="1:1" ht="12.75">
      <c r="A42148" s="2" t="s">
        <v>448</v>
      </c>
    </row>
    <row r="42149" spans="1:1" ht="12.75">
      <c r="A42149" s="2" t="s">
        <v>448</v>
      </c>
    </row>
    <row r="42150" spans="1:1" ht="12.75">
      <c r="A42150" s="2" t="s">
        <v>446</v>
      </c>
    </row>
    <row r="42151" spans="1:1" ht="12.75">
      <c r="A42151" s="2" t="s">
        <v>446</v>
      </c>
    </row>
    <row r="42152" spans="1:1" ht="12.75">
      <c r="A42152" s="2" t="s">
        <v>450</v>
      </c>
    </row>
    <row r="42153" spans="1:1" ht="12.75">
      <c r="A42153" s="2" t="s">
        <v>448</v>
      </c>
    </row>
    <row r="42154" spans="1:1" ht="12.75">
      <c r="A42154" s="2" t="s">
        <v>448</v>
      </c>
    </row>
    <row r="42155" spans="1:1" ht="12.75">
      <c r="A42155" s="2" t="s">
        <v>917</v>
      </c>
    </row>
    <row r="42156" spans="1:1" ht="12.75">
      <c r="A42156" s="2" t="s">
        <v>447</v>
      </c>
    </row>
    <row r="42157" spans="1:1" ht="12.75">
      <c r="A42157" s="2" t="s">
        <v>917</v>
      </c>
    </row>
    <row r="42158" spans="1:1" ht="12.75">
      <c r="A42158" s="2" t="s">
        <v>404</v>
      </c>
    </row>
    <row r="42159" spans="1:1" ht="12.75">
      <c r="A42159" s="2" t="s">
        <v>404</v>
      </c>
    </row>
    <row r="42160" spans="1:1" ht="12.75">
      <c r="A42160" s="2" t="s">
        <v>404</v>
      </c>
    </row>
    <row r="42161" spans="1:1" ht="12.75">
      <c r="A42161" s="2" t="s">
        <v>914</v>
      </c>
    </row>
    <row r="42162" spans="1:1" ht="12.75">
      <c r="A42162" s="2" t="s">
        <v>914</v>
      </c>
    </row>
    <row r="42163" spans="1:1" ht="12.75">
      <c r="A42163" s="2" t="s">
        <v>914</v>
      </c>
    </row>
    <row r="42164" spans="1:1" ht="12.75">
      <c r="A42164" s="2" t="s">
        <v>914</v>
      </c>
    </row>
    <row r="42165" spans="1:1" ht="12.75">
      <c r="A42165" s="2" t="s">
        <v>452</v>
      </c>
    </row>
    <row r="42166" spans="1:1" ht="12.75">
      <c r="A42166" s="2" t="s">
        <v>452</v>
      </c>
    </row>
    <row r="42167" spans="1:1" ht="12.75">
      <c r="A42167" s="2" t="s">
        <v>434</v>
      </c>
    </row>
    <row r="42168" spans="1:1" ht="12.75">
      <c r="A42168" s="2" t="s">
        <v>817</v>
      </c>
    </row>
    <row r="42169" spans="1:1" ht="12.75">
      <c r="A42169" s="2" t="s">
        <v>479</v>
      </c>
    </row>
    <row r="42170" spans="1:1" ht="12.75">
      <c r="A42170" s="2" t="s">
        <v>817</v>
      </c>
    </row>
    <row r="42171" spans="1:1" ht="12.75">
      <c r="A42171" s="2" t="s">
        <v>404</v>
      </c>
    </row>
    <row r="42172" spans="1:1" ht="12.75">
      <c r="A42172" s="2" t="s">
        <v>1384</v>
      </c>
    </row>
    <row r="42173" spans="1:1" ht="12.75">
      <c r="A42173" s="2" t="s">
        <v>404</v>
      </c>
    </row>
    <row r="42174" spans="1:1" ht="12.75">
      <c r="A42174" s="2" t="s">
        <v>404</v>
      </c>
    </row>
    <row r="42175" spans="1:1" ht="12.75">
      <c r="A42175" s="2" t="s">
        <v>477</v>
      </c>
    </row>
    <row r="42176" spans="1:1" ht="12.75">
      <c r="A42176" s="2" t="s">
        <v>477</v>
      </c>
    </row>
    <row r="42177" spans="1:1" ht="12.75">
      <c r="A42177" s="2" t="s">
        <v>620</v>
      </c>
    </row>
    <row r="42178" spans="1:1" ht="12.75">
      <c r="A42178" s="2" t="s">
        <v>620</v>
      </c>
    </row>
    <row r="42179" spans="1:1" ht="12.75">
      <c r="A42179" s="2" t="s">
        <v>435</v>
      </c>
    </row>
    <row r="42180" spans="1:1" ht="12.75">
      <c r="A42180" s="2" t="s">
        <v>435</v>
      </c>
    </row>
    <row r="42181" spans="1:1" ht="12.75">
      <c r="A42181" s="2" t="s">
        <v>434</v>
      </c>
    </row>
    <row r="42182" spans="1:1" ht="12.75">
      <c r="A42182" s="2" t="s">
        <v>465</v>
      </c>
    </row>
    <row r="42183" spans="1:1" ht="12.75">
      <c r="A42183" s="2" t="s">
        <v>479</v>
      </c>
    </row>
    <row r="42184" spans="1:1" ht="12.75">
      <c r="A42184" s="2" t="s">
        <v>479</v>
      </c>
    </row>
    <row r="42185" spans="1:1" ht="12.75">
      <c r="A42185" s="2" t="s">
        <v>479</v>
      </c>
    </row>
    <row r="42186" spans="1:1" ht="12.75">
      <c r="A42186" s="2" t="s">
        <v>479</v>
      </c>
    </row>
    <row r="42187" spans="1:1" ht="12.75">
      <c r="A42187" s="2" t="s">
        <v>816</v>
      </c>
    </row>
    <row r="42188" spans="1:1" ht="12.75">
      <c r="A42188" s="2" t="s">
        <v>437</v>
      </c>
    </row>
    <row r="42189" spans="1:1" ht="12.75">
      <c r="A42189" s="2" t="s">
        <v>816</v>
      </c>
    </row>
    <row r="42190" spans="1:1" ht="12.75">
      <c r="A42190" s="2" t="s">
        <v>816</v>
      </c>
    </row>
    <row r="42191" spans="1:1" ht="12.75">
      <c r="A42191" s="2" t="s">
        <v>817</v>
      </c>
    </row>
    <row r="42192" spans="1:1" ht="12.75">
      <c r="A42192" s="2" t="s">
        <v>817</v>
      </c>
    </row>
    <row r="42193" spans="1:1" ht="12.75">
      <c r="A42193" s="2" t="s">
        <v>622</v>
      </c>
    </row>
    <row r="42194" spans="1:1" ht="12.75">
      <c r="A42194" s="2" t="s">
        <v>432</v>
      </c>
    </row>
    <row r="42195" spans="1:1" ht="12.75">
      <c r="A42195" s="2" t="s">
        <v>452</v>
      </c>
    </row>
    <row r="42196" spans="1:1" ht="12.75">
      <c r="A42196" s="2" t="s">
        <v>452</v>
      </c>
    </row>
    <row r="42197" spans="1:1" ht="12.75">
      <c r="A42197" s="2" t="s">
        <v>615</v>
      </c>
    </row>
    <row r="42198" spans="1:1" ht="12.75">
      <c r="A42198" s="2" t="s">
        <v>450</v>
      </c>
    </row>
    <row r="42199" spans="1:1" ht="12.75">
      <c r="A42199" s="2" t="s">
        <v>634</v>
      </c>
    </row>
    <row r="42200" spans="1:1" ht="12.75">
      <c r="A42200" s="2" t="s">
        <v>473</v>
      </c>
    </row>
    <row r="42201" spans="1:1" ht="12.75">
      <c r="A42201" s="2" t="s">
        <v>473</v>
      </c>
    </row>
    <row r="42202" spans="1:1" ht="12.75">
      <c r="A42202" s="2" t="s">
        <v>450</v>
      </c>
    </row>
    <row r="42203" spans="1:1" ht="12.75">
      <c r="A42203" s="2" t="s">
        <v>450</v>
      </c>
    </row>
    <row r="42204" spans="1:1" ht="12.75">
      <c r="A42204" s="2" t="s">
        <v>450</v>
      </c>
    </row>
    <row r="42205" spans="1:1" ht="12.75">
      <c r="A42205" s="2" t="s">
        <v>448</v>
      </c>
    </row>
    <row r="42206" spans="1:1" ht="12.75">
      <c r="A42206" s="2" t="s">
        <v>448</v>
      </c>
    </row>
    <row r="42207" spans="1:1" ht="12.75">
      <c r="A42207" s="2" t="s">
        <v>446</v>
      </c>
    </row>
    <row r="42208" spans="1:1" ht="12.75">
      <c r="A42208" s="2" t="s">
        <v>446</v>
      </c>
    </row>
    <row r="42209" spans="1:1" ht="12.75">
      <c r="A42209" s="2" t="s">
        <v>446</v>
      </c>
    </row>
    <row r="42210" spans="1:1" ht="12.75">
      <c r="A42210" s="2" t="s">
        <v>446</v>
      </c>
    </row>
    <row r="42211" spans="1:1" ht="12.75">
      <c r="A42211" s="2" t="s">
        <v>446</v>
      </c>
    </row>
    <row r="42212" spans="1:1" ht="12.75">
      <c r="A42212" s="2" t="s">
        <v>447</v>
      </c>
    </row>
    <row r="42213" spans="1:1" ht="12.75">
      <c r="A42213" s="2" t="s">
        <v>447</v>
      </c>
    </row>
    <row r="42214" spans="1:1" ht="12.75">
      <c r="A42214" s="2" t="s">
        <v>447</v>
      </c>
    </row>
    <row r="42215" spans="1:1" ht="12.75">
      <c r="A42215" s="2" t="s">
        <v>448</v>
      </c>
    </row>
    <row r="42216" spans="1:1" ht="12.75">
      <c r="A42216" s="2" t="s">
        <v>448</v>
      </c>
    </row>
    <row r="42217" spans="1:1" ht="12.75">
      <c r="A42217" s="2" t="s">
        <v>829</v>
      </c>
    </row>
    <row r="42218" spans="1:1" ht="12.75">
      <c r="A42218" s="2" t="s">
        <v>844</v>
      </c>
    </row>
    <row r="42219" spans="1:1" ht="12.75">
      <c r="A42219" s="2" t="s">
        <v>844</v>
      </c>
    </row>
    <row r="42220" spans="1:1" ht="12.75">
      <c r="A42220" s="2" t="s">
        <v>854</v>
      </c>
    </row>
    <row r="42221" spans="1:1" ht="12.75">
      <c r="A42221" s="2" t="s">
        <v>825</v>
      </c>
    </row>
    <row r="42222" spans="1:1" ht="12.75">
      <c r="A42222" s="2" t="s">
        <v>819</v>
      </c>
    </row>
    <row r="42223" spans="1:1" ht="12.75">
      <c r="A42223" s="2" t="s">
        <v>819</v>
      </c>
    </row>
    <row r="42224" spans="1:1" ht="12.75">
      <c r="A42224" s="2" t="s">
        <v>921</v>
      </c>
    </row>
    <row r="42225" spans="1:1" ht="12.75">
      <c r="A42225" s="2" t="s">
        <v>836</v>
      </c>
    </row>
    <row r="42226" spans="1:1" ht="12.75">
      <c r="A42226" s="2" t="s">
        <v>1179</v>
      </c>
    </row>
    <row r="42227" spans="1:1" ht="12.75">
      <c r="A42227" s="2" t="s">
        <v>1179</v>
      </c>
    </row>
    <row r="42228" spans="1:1" ht="12.75">
      <c r="A42228" s="2" t="s">
        <v>1179</v>
      </c>
    </row>
    <row r="42229" spans="1:1" ht="12.75">
      <c r="A42229" s="2" t="s">
        <v>820</v>
      </c>
    </row>
    <row r="42230" spans="1:1" ht="12.75">
      <c r="A42230" s="2" t="s">
        <v>820</v>
      </c>
    </row>
    <row r="42231" spans="1:1" ht="12.75">
      <c r="A42231" s="2" t="s">
        <v>920</v>
      </c>
    </row>
    <row r="42232" spans="1:1" ht="12.75">
      <c r="A42232" s="2" t="s">
        <v>1435</v>
      </c>
    </row>
    <row r="42233" spans="1:1" ht="12.75">
      <c r="A42233" s="2" t="s">
        <v>844</v>
      </c>
    </row>
    <row r="42234" spans="1:1" ht="12.75">
      <c r="A42234" s="2" t="s">
        <v>1436</v>
      </c>
    </row>
    <row r="42235" spans="1:1" ht="12.75">
      <c r="A42235" s="2" t="s">
        <v>854</v>
      </c>
    </row>
    <row r="42236" spans="1:1" ht="12.75">
      <c r="A42236" s="2" t="s">
        <v>1178</v>
      </c>
    </row>
    <row r="42237" spans="1:1" ht="12.75">
      <c r="A42237" s="2" t="s">
        <v>857</v>
      </c>
    </row>
    <row r="42238" spans="1:1" ht="12.75">
      <c r="A42238" s="2" t="s">
        <v>857</v>
      </c>
    </row>
    <row r="42239" spans="1:1" ht="12.75">
      <c r="A42239" s="2" t="s">
        <v>820</v>
      </c>
    </row>
    <row r="42240" spans="1:1" ht="12.75">
      <c r="A42240" s="2" t="s">
        <v>829</v>
      </c>
    </row>
    <row r="42241" spans="1:1" ht="12.75">
      <c r="A42241" s="2" t="s">
        <v>829</v>
      </c>
    </row>
    <row r="42242" spans="1:1" ht="12.75">
      <c r="A42242" s="2" t="s">
        <v>844</v>
      </c>
    </row>
    <row r="42243" spans="1:1" ht="12.75">
      <c r="A42243" s="2" t="s">
        <v>844</v>
      </c>
    </row>
    <row r="42244" spans="1:1" ht="12.75">
      <c r="A42244" s="2" t="s">
        <v>854</v>
      </c>
    </row>
    <row r="42245" spans="1:1" ht="12.75">
      <c r="A42245" s="2" t="s">
        <v>854</v>
      </c>
    </row>
    <row r="42246" spans="1:1" ht="12.75">
      <c r="A42246" s="2" t="s">
        <v>844</v>
      </c>
    </row>
    <row r="42247" spans="1:1" ht="12.75">
      <c r="A42247" s="2" t="s">
        <v>844</v>
      </c>
    </row>
    <row r="42248" spans="1:1" ht="12.75">
      <c r="A42248" s="2" t="s">
        <v>854</v>
      </c>
    </row>
    <row r="42249" spans="1:1" ht="12.75">
      <c r="A42249" s="2" t="s">
        <v>854</v>
      </c>
    </row>
    <row r="42250" spans="1:1" ht="12.75">
      <c r="A42250" s="2" t="s">
        <v>821</v>
      </c>
    </row>
    <row r="42251" spans="1:1" ht="12.75">
      <c r="A42251" s="2" t="s">
        <v>821</v>
      </c>
    </row>
    <row r="42252" spans="1:1" ht="12.75">
      <c r="A42252" s="2" t="s">
        <v>825</v>
      </c>
    </row>
    <row r="42253" spans="1:1" ht="12.75">
      <c r="A42253" s="2" t="s">
        <v>825</v>
      </c>
    </row>
    <row r="42254" spans="1:1" ht="12.75">
      <c r="A42254" s="2" t="s">
        <v>822</v>
      </c>
    </row>
    <row r="42255" spans="1:1" ht="12.75">
      <c r="A42255" s="2" t="s">
        <v>836</v>
      </c>
    </row>
    <row r="42256" spans="1:1" ht="12.75">
      <c r="A42256" s="2" t="s">
        <v>921</v>
      </c>
    </row>
    <row r="42257" spans="1:1" ht="12.75">
      <c r="A42257" s="2" t="s">
        <v>1179</v>
      </c>
    </row>
    <row r="42258" spans="1:1" ht="12.75">
      <c r="A42258" s="2" t="s">
        <v>662</v>
      </c>
    </row>
    <row r="42259" spans="1:1" ht="12.75">
      <c r="A42259" s="2" t="s">
        <v>857</v>
      </c>
    </row>
    <row r="42260" spans="1:1" ht="12.75">
      <c r="A42260" s="2" t="s">
        <v>857</v>
      </c>
    </row>
    <row r="42261" spans="1:1" ht="12.75">
      <c r="A42261" s="2" t="s">
        <v>854</v>
      </c>
    </row>
    <row r="42262" spans="1:1" ht="12.75">
      <c r="A42262" s="2" t="s">
        <v>854</v>
      </c>
    </row>
    <row r="42263" spans="1:1" ht="12.75">
      <c r="A42263" s="2" t="s">
        <v>854</v>
      </c>
    </row>
    <row r="42264" spans="1:1" ht="12.75">
      <c r="A42264" s="2" t="s">
        <v>854</v>
      </c>
    </row>
    <row r="42265" spans="1:1" ht="12.75">
      <c r="A42265" s="2" t="s">
        <v>844</v>
      </c>
    </row>
    <row r="42266" spans="1:1" ht="12.75">
      <c r="A42266" s="2" t="s">
        <v>844</v>
      </c>
    </row>
    <row r="42267" spans="1:1" ht="12.75">
      <c r="A42267" s="2" t="s">
        <v>844</v>
      </c>
    </row>
    <row r="42268" spans="1:1" ht="12.75">
      <c r="A42268" s="2" t="s">
        <v>844</v>
      </c>
    </row>
    <row r="42269" spans="1:1" ht="12.75">
      <c r="A42269" s="2" t="s">
        <v>844</v>
      </c>
    </row>
    <row r="42270" spans="1:1" ht="12.75">
      <c r="A42270" s="2" t="s">
        <v>1179</v>
      </c>
    </row>
    <row r="42271" spans="1:1" ht="12.75">
      <c r="A42271" s="2" t="s">
        <v>844</v>
      </c>
    </row>
    <row r="42272" spans="1:1" ht="12.75">
      <c r="A42272" s="2" t="s">
        <v>854</v>
      </c>
    </row>
    <row r="42273" spans="1:1" ht="12.75">
      <c r="A42273" s="2" t="s">
        <v>857</v>
      </c>
    </row>
    <row r="42274" spans="1:1" ht="12.75">
      <c r="A42274" s="2" t="s">
        <v>854</v>
      </c>
    </row>
    <row r="42275" spans="1:1" ht="12.75">
      <c r="A42275" s="2" t="s">
        <v>854</v>
      </c>
    </row>
    <row r="42276" spans="1:1" ht="12.75">
      <c r="A42276" s="2" t="s">
        <v>920</v>
      </c>
    </row>
    <row r="42277" spans="1:1" ht="12.75">
      <c r="A42277" s="2" t="s">
        <v>854</v>
      </c>
    </row>
    <row r="42278" spans="1:1" ht="12.75">
      <c r="A42278" s="2" t="s">
        <v>829</v>
      </c>
    </row>
    <row r="42279" spans="1:1" ht="12.75">
      <c r="A42279" s="2" t="s">
        <v>844</v>
      </c>
    </row>
    <row r="42280" spans="1:1" ht="12.75">
      <c r="A42280" s="2" t="s">
        <v>821</v>
      </c>
    </row>
    <row r="42281" spans="1:1" ht="12.75">
      <c r="A42281" s="2" t="s">
        <v>829</v>
      </c>
    </row>
    <row r="42282" spans="1:1" ht="12.75">
      <c r="A42282" s="2" t="s">
        <v>825</v>
      </c>
    </row>
    <row r="42283" spans="1:1" ht="12.75">
      <c r="A42283" s="2" t="s">
        <v>920</v>
      </c>
    </row>
    <row r="42284" spans="1:1" ht="12.75">
      <c r="A42284" s="2" t="s">
        <v>825</v>
      </c>
    </row>
    <row r="42285" spans="1:1" ht="12.75">
      <c r="A42285" s="2" t="s">
        <v>855</v>
      </c>
    </row>
    <row r="42286" spans="1:1" ht="12.75">
      <c r="A42286" s="2" t="s">
        <v>843</v>
      </c>
    </row>
    <row r="42287" spans="1:1" ht="12.75">
      <c r="A42287" s="2" t="s">
        <v>1437</v>
      </c>
    </row>
    <row r="42288" spans="1:1" ht="12.75">
      <c r="A42288" s="2" t="s">
        <v>839</v>
      </c>
    </row>
    <row r="42289" spans="1:1" ht="12.75">
      <c r="A42289" s="2" t="s">
        <v>1438</v>
      </c>
    </row>
    <row r="42290" spans="1:1" ht="12.75">
      <c r="A42290" s="2" t="s">
        <v>1181</v>
      </c>
    </row>
    <row r="42291" spans="1:1" ht="12.75">
      <c r="A42291" s="2" t="s">
        <v>820</v>
      </c>
    </row>
    <row r="42292" spans="1:1" ht="12.75">
      <c r="A42292" s="2" t="s">
        <v>825</v>
      </c>
    </row>
    <row r="42293" spans="1:1" ht="12.75">
      <c r="A42293" s="2" t="s">
        <v>820</v>
      </c>
    </row>
    <row r="42294" spans="1:1" ht="12.75">
      <c r="A42294" s="2" t="s">
        <v>825</v>
      </c>
    </row>
    <row r="42295" spans="1:1" ht="12.75">
      <c r="A42295" s="2" t="s">
        <v>836</v>
      </c>
    </row>
    <row r="42296" spans="1:1" ht="12.75">
      <c r="A42296" s="2" t="s">
        <v>821</v>
      </c>
    </row>
    <row r="42297" spans="1:1" ht="12.75">
      <c r="A42297" s="2" t="s">
        <v>836</v>
      </c>
    </row>
    <row r="42298" spans="1:1" ht="12.75">
      <c r="A42298" s="2" t="s">
        <v>821</v>
      </c>
    </row>
    <row r="42299" spans="1:1" ht="12.75">
      <c r="A42299" s="2" t="s">
        <v>857</v>
      </c>
    </row>
    <row r="42300" spans="1:1" ht="12.75">
      <c r="A42300" s="2" t="s">
        <v>844</v>
      </c>
    </row>
    <row r="42301" spans="1:1" ht="12.75">
      <c r="A42301" s="2" t="s">
        <v>857</v>
      </c>
    </row>
    <row r="42302" spans="1:1" ht="12.75">
      <c r="A42302" s="2" t="s">
        <v>839</v>
      </c>
    </row>
    <row r="42303" spans="1:1" ht="12.75">
      <c r="A42303" s="2" t="s">
        <v>854</v>
      </c>
    </row>
    <row r="42304" spans="1:1" ht="12.75">
      <c r="A42304" s="2" t="s">
        <v>1179</v>
      </c>
    </row>
    <row r="42305" spans="1:1" ht="12.75">
      <c r="A42305" s="2" t="s">
        <v>854</v>
      </c>
    </row>
    <row r="42306" spans="1:1" ht="12.75">
      <c r="A42306" s="2" t="s">
        <v>825</v>
      </c>
    </row>
    <row r="42307" spans="1:1" ht="12.75">
      <c r="A42307" s="2" t="s">
        <v>844</v>
      </c>
    </row>
    <row r="42308" spans="1:1" ht="12.75">
      <c r="A42308" s="2" t="s">
        <v>825</v>
      </c>
    </row>
    <row r="42309" spans="1:1" ht="12.75">
      <c r="A42309" s="2" t="s">
        <v>821</v>
      </c>
    </row>
    <row r="42310" spans="1:1" ht="12.75">
      <c r="A42310" s="2" t="s">
        <v>836</v>
      </c>
    </row>
    <row r="42311" spans="1:1" ht="12.75">
      <c r="A42311" s="2" t="s">
        <v>836</v>
      </c>
    </row>
    <row r="42312" spans="1:1" ht="12.75">
      <c r="A42312" s="2" t="s">
        <v>1179</v>
      </c>
    </row>
    <row r="42313" spans="1:1" ht="12.75">
      <c r="A42313" s="2" t="s">
        <v>1179</v>
      </c>
    </row>
    <row r="42314" spans="1:1" ht="12.75">
      <c r="A42314" s="2" t="s">
        <v>857</v>
      </c>
    </row>
    <row r="42315" spans="1:1" ht="12.75">
      <c r="A42315" s="2" t="s">
        <v>857</v>
      </c>
    </row>
    <row r="42316" spans="1:1" ht="12.75">
      <c r="A42316" s="2" t="s">
        <v>829</v>
      </c>
    </row>
    <row r="42317" spans="1:1" ht="12.75">
      <c r="A42317" s="2" t="s">
        <v>962</v>
      </c>
    </row>
    <row r="42318" spans="1:1" ht="12.75">
      <c r="A42318" s="2" t="s">
        <v>962</v>
      </c>
    </row>
    <row r="42319" spans="1:1" ht="12.75">
      <c r="A42319" s="2" t="s">
        <v>1142</v>
      </c>
    </row>
    <row r="42320" spans="1:1" ht="12.75">
      <c r="A42320" s="2" t="s">
        <v>1142</v>
      </c>
    </row>
    <row r="42321" spans="1:1" ht="12.75">
      <c r="A42321" s="2" t="s">
        <v>966</v>
      </c>
    </row>
    <row r="42322" spans="1:1" ht="12.75">
      <c r="A42322" s="2" t="s">
        <v>966</v>
      </c>
    </row>
    <row r="42323" spans="1:1" ht="12.75">
      <c r="A42323" s="2" t="s">
        <v>708</v>
      </c>
    </row>
    <row r="42324" spans="1:1" ht="12.75">
      <c r="A42324" s="2" t="s">
        <v>708</v>
      </c>
    </row>
    <row r="42325" spans="1:1" ht="12.75">
      <c r="A42325" s="2" t="s">
        <v>957</v>
      </c>
    </row>
    <row r="42326" spans="1:1" ht="12.75">
      <c r="A42326" s="2" t="s">
        <v>957</v>
      </c>
    </row>
    <row r="42327" spans="1:1" ht="12.75">
      <c r="A42327" s="2" t="s">
        <v>1142</v>
      </c>
    </row>
    <row r="42328" spans="1:1" ht="12.75">
      <c r="A42328" s="2" t="s">
        <v>1142</v>
      </c>
    </row>
    <row r="42329" spans="1:1" ht="12.75">
      <c r="A42329" s="2" t="s">
        <v>957</v>
      </c>
    </row>
    <row r="42330" spans="1:1" ht="12.75">
      <c r="A42330" s="2" t="s">
        <v>957</v>
      </c>
    </row>
    <row r="42331" spans="1:1" ht="12.75">
      <c r="A42331" s="2" t="s">
        <v>1144</v>
      </c>
    </row>
    <row r="42332" spans="1:1" ht="12.75">
      <c r="A42332" s="2" t="s">
        <v>1144</v>
      </c>
    </row>
    <row r="42333" spans="1:1" ht="12.75">
      <c r="A42333" s="2" t="s">
        <v>1134</v>
      </c>
    </row>
    <row r="42334" spans="1:1" ht="12.75">
      <c r="A42334" s="2" t="s">
        <v>1134</v>
      </c>
    </row>
    <row r="42335" spans="1:1" ht="12.75">
      <c r="A42335" s="2" t="s">
        <v>1439</v>
      </c>
    </row>
    <row r="42336" spans="1:1" ht="12.75">
      <c r="A42336" s="2" t="s">
        <v>1440</v>
      </c>
    </row>
    <row r="42337" spans="1:1" ht="12.75">
      <c r="A42337" s="2" t="s">
        <v>1142</v>
      </c>
    </row>
    <row r="42338" spans="1:1" ht="12.75">
      <c r="A42338" s="2" t="s">
        <v>1142</v>
      </c>
    </row>
    <row r="42339" spans="1:1" ht="12.75">
      <c r="A42339" s="2" t="s">
        <v>1144</v>
      </c>
    </row>
    <row r="42340" spans="1:1" ht="12.75">
      <c r="A42340" s="2" t="s">
        <v>1144</v>
      </c>
    </row>
    <row r="42349" spans="1:1" ht="12.75">
      <c r="A42349" s="2" t="s">
        <v>1298</v>
      </c>
    </row>
    <row r="42350" spans="1:1" ht="12.75">
      <c r="A42350" s="2" t="s">
        <v>1298</v>
      </c>
    </row>
    <row r="42351" spans="1:1" ht="12.75">
      <c r="A42351" s="2" t="s">
        <v>1287</v>
      </c>
    </row>
    <row r="42352" spans="1:1" ht="12.75">
      <c r="A42352" s="2" t="s">
        <v>1287</v>
      </c>
    </row>
    <row r="42353" spans="1:1" ht="12.75">
      <c r="A42353" s="2" t="s">
        <v>1358</v>
      </c>
    </row>
    <row r="42354" spans="1:1" ht="12.75">
      <c r="A42354" s="2" t="s">
        <v>1358</v>
      </c>
    </row>
    <row r="42355" spans="1:1" ht="12.75">
      <c r="A42355" s="2" t="s">
        <v>1256</v>
      </c>
    </row>
    <row r="42356" spans="1:1" ht="12.75">
      <c r="A42356" s="2" t="s">
        <v>1256</v>
      </c>
    </row>
    <row r="42357" spans="1:1" ht="12.75">
      <c r="A42357" s="2" t="s">
        <v>1441</v>
      </c>
    </row>
    <row r="42358" spans="1:1" ht="12.75">
      <c r="A42358" s="2" t="s">
        <v>1357</v>
      </c>
    </row>
    <row r="42359" spans="1:1" ht="12.75">
      <c r="A42359" s="2" t="s">
        <v>1359</v>
      </c>
    </row>
    <row r="42360" spans="1:1" ht="12.75">
      <c r="A42360" s="2" t="s">
        <v>1359</v>
      </c>
    </row>
    <row r="42361" spans="1:1" ht="12.75">
      <c r="A42361" s="2" t="s">
        <v>708</v>
      </c>
    </row>
    <row r="42362" spans="1:1" ht="12.75">
      <c r="A42362" s="2" t="s">
        <v>708</v>
      </c>
    </row>
    <row r="42363" spans="1:1" ht="12.75">
      <c r="A42363" s="2" t="s">
        <v>1292</v>
      </c>
    </row>
    <row r="42364" spans="1:1" ht="12.75">
      <c r="A42364" s="2" t="s">
        <v>1292</v>
      </c>
    </row>
    <row r="42365" spans="1:1" ht="12.75">
      <c r="A42365" s="2" t="s">
        <v>1293</v>
      </c>
    </row>
    <row r="42366" spans="1:1" ht="12.75">
      <c r="A42366" s="2" t="s">
        <v>1293</v>
      </c>
    </row>
    <row r="42367" spans="1:1" ht="12.75">
      <c r="A42367" s="2" t="s">
        <v>957</v>
      </c>
    </row>
    <row r="42368" spans="1:1" ht="12.75">
      <c r="A42368" s="2" t="s">
        <v>976</v>
      </c>
    </row>
    <row r="42369" spans="1:1" ht="12.75">
      <c r="A42369" s="2" t="s">
        <v>1291</v>
      </c>
    </row>
    <row r="42370" spans="1:1" ht="12.75">
      <c r="A42370" s="2" t="s">
        <v>1291</v>
      </c>
    </row>
    <row r="42371" spans="1:1" ht="12.75">
      <c r="A42371" s="2" t="s">
        <v>1358</v>
      </c>
    </row>
    <row r="42372" spans="1:1" ht="12.75">
      <c r="A42372" s="2" t="s">
        <v>1358</v>
      </c>
    </row>
    <row r="42373" spans="1:1" ht="12.75">
      <c r="A42373" s="2" t="s">
        <v>1357</v>
      </c>
    </row>
    <row r="42374" spans="1:1" ht="12.75">
      <c r="A42374" s="2" t="s">
        <v>1357</v>
      </c>
    </row>
    <row r="42375" spans="1:1" ht="12.75">
      <c r="A42375" s="2" t="s">
        <v>1357</v>
      </c>
    </row>
    <row r="42376" spans="1:1" ht="12.75">
      <c r="A42376" s="2" t="s">
        <v>1357</v>
      </c>
    </row>
    <row r="42377" spans="1:1" ht="12.75">
      <c r="A42377" s="2" t="s">
        <v>1256</v>
      </c>
    </row>
    <row r="42378" spans="1:1" ht="12.75">
      <c r="A42378" s="2" t="s">
        <v>1256</v>
      </c>
    </row>
    <row r="42379" spans="1:1" ht="12.75">
      <c r="A42379" s="2" t="s">
        <v>1287</v>
      </c>
    </row>
    <row r="42380" spans="1:1" ht="12.75">
      <c r="A42380" s="2" t="s">
        <v>1287</v>
      </c>
    </row>
    <row r="42383" spans="1:1" ht="12.75">
      <c r="A42383" s="2" t="s">
        <v>1364</v>
      </c>
    </row>
    <row r="42384" spans="1:1" ht="12.75">
      <c r="A42384" s="2" t="s">
        <v>1292</v>
      </c>
    </row>
    <row r="42385" spans="1:1" ht="12.75">
      <c r="A42385" s="2" t="s">
        <v>1357</v>
      </c>
    </row>
    <row r="42386" spans="1:1" ht="12.75">
      <c r="A42386" s="2" t="s">
        <v>1357</v>
      </c>
    </row>
    <row r="42389" spans="1:1" ht="12.75">
      <c r="A42389" s="2" t="s">
        <v>1359</v>
      </c>
    </row>
    <row r="42390" spans="1:1" ht="12.75">
      <c r="A42390" s="2" t="s">
        <v>1359</v>
      </c>
    </row>
    <row r="42391" spans="1:1" ht="12.75">
      <c r="A42391" s="2" t="s">
        <v>1298</v>
      </c>
    </row>
    <row r="42392" spans="1:1" ht="12.75">
      <c r="A42392" s="2" t="s">
        <v>1298</v>
      </c>
    </row>
    <row r="42393" spans="1:1" ht="12.75">
      <c r="A42393" s="2" t="s">
        <v>1291</v>
      </c>
    </row>
    <row r="42394" spans="1:1" ht="12.75">
      <c r="A42394" s="2" t="s">
        <v>1291</v>
      </c>
    </row>
    <row r="42395" spans="1:1" ht="12.75">
      <c r="A42395" s="2" t="s">
        <v>1287</v>
      </c>
    </row>
    <row r="42396" spans="1:1" ht="12.75">
      <c r="A42396" s="2" t="s">
        <v>1287</v>
      </c>
    </row>
    <row r="42397" spans="1:1" ht="12.75">
      <c r="A42397" s="2" t="s">
        <v>1256</v>
      </c>
    </row>
    <row r="42398" spans="1:1" ht="12.75">
      <c r="A42398" s="2" t="s">
        <v>1256</v>
      </c>
    </row>
    <row r="42399" spans="1:1" ht="12.75">
      <c r="A42399" s="2" t="s">
        <v>1144</v>
      </c>
    </row>
    <row r="42400" spans="1:1" ht="12.75">
      <c r="A42400" s="2" t="s">
        <v>1144</v>
      </c>
    </row>
    <row r="42401" spans="1:1" ht="12.75">
      <c r="A42401" s="2" t="s">
        <v>958</v>
      </c>
    </row>
    <row r="42402" spans="1:1" ht="12.75">
      <c r="A42402" s="2" t="s">
        <v>958</v>
      </c>
    </row>
    <row r="42403" spans="1:1" ht="12.75">
      <c r="A42403" s="2" t="s">
        <v>1292</v>
      </c>
    </row>
    <row r="42404" spans="1:1" ht="12.75">
      <c r="A42404" s="2" t="s">
        <v>1292</v>
      </c>
    </row>
    <row r="42407" spans="1:1" ht="12.75">
      <c r="A42407" s="2" t="s">
        <v>957</v>
      </c>
    </row>
    <row r="42408" spans="1:1" ht="12.75">
      <c r="A42408" s="2" t="s">
        <v>957</v>
      </c>
    </row>
    <row r="42409" spans="1:1" ht="12.75">
      <c r="A42409" s="2" t="s">
        <v>1358</v>
      </c>
    </row>
    <row r="42410" spans="1:1" ht="12.75">
      <c r="A42410" s="2" t="s">
        <v>1358</v>
      </c>
    </row>
    <row r="42412" spans="1:1" ht="12.75">
      <c r="A42412" s="2" t="s">
        <v>1293</v>
      </c>
    </row>
    <row r="42413" spans="1:1" ht="12.75">
      <c r="A42413" s="2" t="s">
        <v>1142</v>
      </c>
    </row>
    <row r="42414" spans="1:1" ht="12.75">
      <c r="A42414" s="2" t="s">
        <v>1142</v>
      </c>
    </row>
    <row r="42415" spans="1:1" ht="12.75">
      <c r="A42415" s="2" t="s">
        <v>966</v>
      </c>
    </row>
    <row r="42416" spans="1:1" ht="12.75">
      <c r="A42416" s="2" t="s">
        <v>1146</v>
      </c>
    </row>
    <row r="42417" spans="1:1" ht="12.75">
      <c r="A42417" s="2" t="s">
        <v>708</v>
      </c>
    </row>
    <row r="42418" spans="1:1" ht="12.75">
      <c r="A42418" s="2" t="s">
        <v>708</v>
      </c>
    </row>
    <row r="42419" spans="1:1" ht="12.75">
      <c r="A42419" s="2" t="s">
        <v>708</v>
      </c>
    </row>
    <row r="42420" spans="1:1" ht="12.75">
      <c r="A42420" s="2" t="s">
        <v>708</v>
      </c>
    </row>
    <row r="42421" spans="1:1" ht="12.75">
      <c r="A42421" s="2" t="s">
        <v>957</v>
      </c>
    </row>
    <row r="42422" spans="1:1" ht="12.75">
      <c r="A42422" s="2" t="s">
        <v>957</v>
      </c>
    </row>
    <row r="42423" spans="1:1" ht="12.75">
      <c r="A42423" s="2" t="s">
        <v>957</v>
      </c>
    </row>
    <row r="42424" spans="1:1" ht="12.75">
      <c r="A42424" s="2" t="s">
        <v>957</v>
      </c>
    </row>
    <row r="42425" spans="1:1" ht="12.75">
      <c r="A42425" s="2" t="s">
        <v>1442</v>
      </c>
    </row>
    <row r="42426" spans="1:1" ht="12.75">
      <c r="A42426" s="2" t="s">
        <v>1442</v>
      </c>
    </row>
    <row r="42427" spans="1:1" ht="12.75">
      <c r="A42427" s="2" t="s">
        <v>1142</v>
      </c>
    </row>
    <row r="42428" spans="1:1" ht="12.75">
      <c r="A42428" s="2" t="s">
        <v>1142</v>
      </c>
    </row>
    <row r="42431" spans="1:1" ht="12.75">
      <c r="A42431" s="2" t="s">
        <v>1144</v>
      </c>
    </row>
    <row r="42432" spans="1:1" ht="12.75">
      <c r="A42432" s="2" t="s">
        <v>1144</v>
      </c>
    </row>
    <row r="42433" spans="1:1" ht="12.75">
      <c r="A42433" s="2" t="s">
        <v>1256</v>
      </c>
    </row>
    <row r="42434" spans="1:1" ht="12.75">
      <c r="A42434" s="2" t="s">
        <v>1256</v>
      </c>
    </row>
    <row r="42435" spans="1:1" ht="12.75">
      <c r="A42435" s="2" t="s">
        <v>1293</v>
      </c>
    </row>
    <row r="42436" spans="1:1" ht="12.75">
      <c r="A42436" s="2" t="s">
        <v>1293</v>
      </c>
    </row>
    <row r="42437" spans="1:1" ht="12.75">
      <c r="A42437" s="2" t="s">
        <v>1357</v>
      </c>
    </row>
    <row r="42438" spans="1:1" ht="12.75">
      <c r="A42438" s="2" t="s">
        <v>1357</v>
      </c>
    </row>
    <row r="42439" spans="1:1" ht="12.75">
      <c r="A42439" s="2" t="s">
        <v>1358</v>
      </c>
    </row>
    <row r="42440" spans="1:1" ht="12.75">
      <c r="A42440" s="2" t="s">
        <v>1358</v>
      </c>
    </row>
    <row r="42441" spans="1:1" ht="12.75">
      <c r="A42441" s="2" t="s">
        <v>1359</v>
      </c>
    </row>
    <row r="42442" spans="1:1" ht="12.75">
      <c r="A42442" s="2" t="s">
        <v>1359</v>
      </c>
    </row>
    <row r="42443" spans="1:1" ht="12.75">
      <c r="A42443" s="2" t="s">
        <v>1298</v>
      </c>
    </row>
    <row r="42444" spans="1:1" ht="12.75">
      <c r="A42444" s="2" t="s">
        <v>1298</v>
      </c>
    </row>
    <row r="42445" spans="1:1" ht="12.75">
      <c r="A42445" s="2" t="s">
        <v>1292</v>
      </c>
    </row>
    <row r="42446" spans="1:1" ht="12.75">
      <c r="A42446" s="2" t="s">
        <v>1292</v>
      </c>
    </row>
    <row r="42447" spans="1:1" ht="12.75">
      <c r="A42447" s="2" t="s">
        <v>1291</v>
      </c>
    </row>
    <row r="42448" spans="1:1" ht="12.75">
      <c r="A42448" s="2" t="s">
        <v>1291</v>
      </c>
    </row>
    <row r="42449" spans="1:1" ht="12.75">
      <c r="A42449" s="2" t="s">
        <v>1287</v>
      </c>
    </row>
    <row r="42450" spans="1:1" ht="12.75">
      <c r="A42450" s="2" t="s">
        <v>1362</v>
      </c>
    </row>
    <row r="42451" spans="1:1" ht="12.75">
      <c r="A42451" s="2" t="s">
        <v>1443</v>
      </c>
    </row>
    <row r="42452" spans="1:1" ht="12.75">
      <c r="A42452" s="2" t="s">
        <v>1444</v>
      </c>
    </row>
    <row r="42453" spans="1:1" ht="12.75">
      <c r="A42453" s="2" t="s">
        <v>1445</v>
      </c>
    </row>
    <row r="42454" spans="1:1" ht="12.75">
      <c r="A42454" s="2" t="s">
        <v>1446</v>
      </c>
    </row>
    <row r="42455" spans="1:1" ht="12.75">
      <c r="A42455" s="2" t="s">
        <v>1291</v>
      </c>
    </row>
    <row r="42456" spans="1:1" ht="12.75">
      <c r="A42456" s="2" t="s">
        <v>1291</v>
      </c>
    </row>
    <row r="42457" spans="1:1" ht="12.75">
      <c r="A42457" s="2" t="s">
        <v>1360</v>
      </c>
    </row>
    <row r="42458" spans="1:1" ht="12.75">
      <c r="A42458" s="2" t="s">
        <v>1287</v>
      </c>
    </row>
    <row r="42459" spans="1:1" ht="12.75">
      <c r="A42459" s="2" t="s">
        <v>1256</v>
      </c>
    </row>
    <row r="42460" spans="1:1" ht="12.75">
      <c r="A42460" s="2" t="s">
        <v>1447</v>
      </c>
    </row>
    <row r="42461" spans="1:1" ht="12.75">
      <c r="A42461" s="2" t="s">
        <v>1144</v>
      </c>
    </row>
    <row r="42462" spans="1:1" ht="12.75">
      <c r="A42462" s="2" t="s">
        <v>1144</v>
      </c>
    </row>
    <row r="42463" spans="1:1" ht="12.75">
      <c r="A42463" s="2" t="s">
        <v>958</v>
      </c>
    </row>
    <row r="42464" spans="1:1" ht="12.75">
      <c r="A42464" s="2" t="s">
        <v>958</v>
      </c>
    </row>
    <row r="42465" spans="1:1" ht="12.75">
      <c r="A42465" s="2" t="s">
        <v>1142</v>
      </c>
    </row>
    <row r="42466" spans="1:1" ht="12.75">
      <c r="A42466" s="2" t="s">
        <v>1142</v>
      </c>
    </row>
    <row r="42467" spans="1:1" ht="12.75">
      <c r="A42467" s="2" t="s">
        <v>1448</v>
      </c>
    </row>
    <row r="42468" spans="1:1" ht="12.75">
      <c r="A42468" s="2" t="s">
        <v>1448</v>
      </c>
    </row>
    <row r="42469" spans="1:1" ht="12.75">
      <c r="A42469" s="2" t="s">
        <v>966</v>
      </c>
    </row>
    <row r="42470" spans="1:1" ht="12.75">
      <c r="A42470" s="2" t="s">
        <v>966</v>
      </c>
    </row>
    <row r="42471" spans="1:1" ht="12.75">
      <c r="A42471" s="2" t="s">
        <v>708</v>
      </c>
    </row>
    <row r="42472" spans="1:1" ht="12.75">
      <c r="A42472" s="2" t="s">
        <v>708</v>
      </c>
    </row>
    <row r="42473" spans="1:1" ht="12.75">
      <c r="A42473" s="2" t="s">
        <v>1357</v>
      </c>
    </row>
    <row r="42474" spans="1:1" ht="12.75">
      <c r="A42474" s="2" t="s">
        <v>1357</v>
      </c>
    </row>
    <row r="42475" spans="1:1" ht="12.75">
      <c r="A42475" s="2" t="s">
        <v>1449</v>
      </c>
    </row>
    <row r="42476" spans="1:1" ht="12.75">
      <c r="A42476" s="2" t="s">
        <v>1450</v>
      </c>
    </row>
    <row r="42477" spans="1:1" ht="12.75">
      <c r="A42477" s="2" t="s">
        <v>1451</v>
      </c>
    </row>
    <row r="42478" spans="1:1" ht="12.75">
      <c r="A42478" s="2" t="s">
        <v>1446</v>
      </c>
    </row>
    <row r="42479" spans="1:1" ht="12.75">
      <c r="A42479" s="2" t="s">
        <v>1287</v>
      </c>
    </row>
    <row r="42480" spans="1:1" ht="12.75">
      <c r="A42480" s="2" t="s">
        <v>1287</v>
      </c>
    </row>
    <row r="42481" spans="1:1" ht="12.75">
      <c r="A42481" s="2" t="s">
        <v>1256</v>
      </c>
    </row>
    <row r="42482" spans="1:1" ht="12.75">
      <c r="A42482" s="2" t="s">
        <v>1256</v>
      </c>
    </row>
    <row r="42483" spans="1:1" ht="12.75">
      <c r="A42483" s="2" t="s">
        <v>1144</v>
      </c>
    </row>
    <row r="42484" spans="1:1" ht="12.75">
      <c r="A42484" s="2" t="s">
        <v>1144</v>
      </c>
    </row>
    <row r="42487" spans="1:1" ht="12.75">
      <c r="A42487" s="2" t="s">
        <v>1142</v>
      </c>
    </row>
    <row r="42488" spans="1:1" ht="12.75">
      <c r="A42488" s="2" t="s">
        <v>1142</v>
      </c>
    </row>
    <row r="42489" spans="1:1" ht="12.75">
      <c r="A42489" s="2" t="s">
        <v>962</v>
      </c>
    </row>
    <row r="42490" spans="1:1" ht="12.75">
      <c r="A42490" s="2" t="s">
        <v>962</v>
      </c>
    </row>
    <row r="42491" spans="1:1" ht="12.75">
      <c r="A42491" s="2" t="s">
        <v>1292</v>
      </c>
    </row>
    <row r="42492" spans="1:1" ht="12.75">
      <c r="A42492" s="2" t="s">
        <v>1292</v>
      </c>
    </row>
    <row r="42493" spans="1:1" ht="12.75">
      <c r="A42493" s="2" t="s">
        <v>1452</v>
      </c>
    </row>
    <row r="42494" spans="1:1" ht="12.75">
      <c r="A42494" s="2" t="s">
        <v>708</v>
      </c>
    </row>
    <row r="42495" spans="1:1" ht="12.75">
      <c r="A42495" s="2" t="s">
        <v>957</v>
      </c>
    </row>
    <row r="42496" spans="1:1" ht="12.75">
      <c r="A42496" s="2" t="s">
        <v>957</v>
      </c>
    </row>
    <row r="42497" spans="1:1" ht="12.75">
      <c r="A42497" s="2" t="s">
        <v>1453</v>
      </c>
    </row>
    <row r="42498" spans="1:1" ht="12.75">
      <c r="A42498" s="2" t="s">
        <v>1453</v>
      </c>
    </row>
    <row r="42499" spans="1:1" ht="12.75">
      <c r="A42499" s="2" t="s">
        <v>1448</v>
      </c>
    </row>
    <row r="42500" spans="1:1" ht="12.75">
      <c r="A42500" s="2" t="s">
        <v>1448</v>
      </c>
    </row>
    <row r="42501" spans="1:1" ht="12.75">
      <c r="A42501" s="2" t="s">
        <v>1447</v>
      </c>
    </row>
    <row r="42502" spans="1:1" ht="12.75">
      <c r="A42502" s="2" t="s">
        <v>1447</v>
      </c>
    </row>
    <row r="42503" spans="1:1" ht="12.75">
      <c r="A42503" s="2" t="s">
        <v>1454</v>
      </c>
    </row>
    <row r="42504" spans="1:1" ht="12.75">
      <c r="A42504" s="2" t="s">
        <v>1454</v>
      </c>
    </row>
    <row r="42505" spans="1:1" ht="12.75">
      <c r="A42505" s="2" t="s">
        <v>1455</v>
      </c>
    </row>
    <row r="42506" spans="1:1" ht="12.75">
      <c r="A42506" s="2" t="s">
        <v>1456</v>
      </c>
    </row>
    <row r="42509" spans="1:1" ht="12.75">
      <c r="A42509" s="2" t="s">
        <v>1446</v>
      </c>
    </row>
    <row r="42510" spans="1:1" ht="12.75">
      <c r="A42510" s="2" t="s">
        <v>1446</v>
      </c>
    </row>
    <row r="42512" spans="1:1" ht="12.75">
      <c r="A42512" s="2" t="s">
        <v>966</v>
      </c>
    </row>
    <row r="42515" spans="1:1" ht="12.75">
      <c r="A42515" s="2" t="s">
        <v>1142</v>
      </c>
    </row>
    <row r="42516" spans="1:1" ht="12.75">
      <c r="A42516" s="2" t="s">
        <v>1142</v>
      </c>
    </row>
    <row r="42517" spans="1:1" ht="12.75">
      <c r="A42517" s="2" t="s">
        <v>708</v>
      </c>
    </row>
    <row r="42518" spans="1:1" ht="12.75">
      <c r="A42518" s="2" t="s">
        <v>708</v>
      </c>
    </row>
    <row r="42519" spans="1:1" ht="12.75">
      <c r="A42519" s="2" t="s">
        <v>1442</v>
      </c>
    </row>
    <row r="42520" spans="1:1" ht="12.75">
      <c r="A42520" s="2" t="s">
        <v>1442</v>
      </c>
    </row>
    <row r="42521" spans="1:1" ht="12.75">
      <c r="A42521" s="2" t="s">
        <v>958</v>
      </c>
    </row>
    <row r="42522" spans="1:1" ht="12.75">
      <c r="A42522" s="2" t="s">
        <v>958</v>
      </c>
    </row>
    <row r="42523" spans="1:1" ht="12.75">
      <c r="A42523" s="2" t="s">
        <v>1144</v>
      </c>
    </row>
    <row r="42524" spans="1:1" ht="12.75">
      <c r="A42524" s="2" t="s">
        <v>1144</v>
      </c>
    </row>
    <row r="42525" spans="1:1" ht="12.75">
      <c r="A42525" s="2" t="s">
        <v>1256</v>
      </c>
    </row>
    <row r="42526" spans="1:1" ht="12.75">
      <c r="A42526" s="2" t="s">
        <v>1256</v>
      </c>
    </row>
    <row r="42527" spans="1:1" ht="12.75">
      <c r="A42527" s="2" t="s">
        <v>1293</v>
      </c>
    </row>
    <row r="42528" spans="1:1" ht="12.75">
      <c r="A42528" s="2" t="s">
        <v>1293</v>
      </c>
    </row>
    <row r="42529" spans="1:1" ht="12.75">
      <c r="A42529" s="2" t="s">
        <v>1357</v>
      </c>
    </row>
    <row r="42530" spans="1:1" ht="12.75">
      <c r="A42530" s="2" t="s">
        <v>1357</v>
      </c>
    </row>
    <row r="42531" spans="1:1" ht="12.75">
      <c r="A42531" s="2" t="s">
        <v>1358</v>
      </c>
    </row>
    <row r="42532" spans="1:1" ht="12.75">
      <c r="A42532" s="2" t="s">
        <v>1358</v>
      </c>
    </row>
    <row r="42533" spans="1:1" ht="12.75">
      <c r="A42533" s="2" t="s">
        <v>1359</v>
      </c>
    </row>
    <row r="42534" spans="1:1" ht="12.75">
      <c r="A42534" s="2" t="s">
        <v>1359</v>
      </c>
    </row>
    <row r="42535" spans="1:1" ht="12.75">
      <c r="A42535" s="2" t="s">
        <v>1292</v>
      </c>
    </row>
    <row r="42536" spans="1:1" ht="12.75">
      <c r="A42536" s="2" t="s">
        <v>1292</v>
      </c>
    </row>
    <row r="42537" spans="1:1" ht="12.75">
      <c r="A42537" s="2" t="s">
        <v>1291</v>
      </c>
    </row>
    <row r="42538" spans="1:1" ht="12.75">
      <c r="A42538" s="2" t="s">
        <v>1291</v>
      </c>
    </row>
    <row r="42539" spans="1:1" ht="12.75">
      <c r="A42539" s="2" t="s">
        <v>958</v>
      </c>
    </row>
    <row r="42540" spans="1:1" ht="12.75">
      <c r="A42540" s="2" t="s">
        <v>958</v>
      </c>
    </row>
    <row r="42541" spans="1:1" ht="12.75">
      <c r="A42541" s="2" t="s">
        <v>966</v>
      </c>
    </row>
    <row r="42542" spans="1:1" ht="12.75">
      <c r="A42542" s="2" t="s">
        <v>966</v>
      </c>
    </row>
    <row r="42543" spans="1:1" ht="12.75">
      <c r="A42543" s="2" t="s">
        <v>1457</v>
      </c>
    </row>
    <row r="42544" spans="1:1" ht="12.75">
      <c r="A42544" s="2" t="s">
        <v>1457</v>
      </c>
    </row>
    <row r="42545" spans="1:1" ht="12.75">
      <c r="A42545" s="2" t="s">
        <v>1293</v>
      </c>
    </row>
    <row r="42546" spans="1:1" ht="12.75">
      <c r="A42546" s="2" t="s">
        <v>1293</v>
      </c>
    </row>
    <row r="42547" spans="1:1" ht="12.75">
      <c r="A42547" s="2" t="s">
        <v>708</v>
      </c>
    </row>
    <row r="42548" spans="1:1" ht="12.75">
      <c r="A42548" s="2" t="s">
        <v>708</v>
      </c>
    </row>
    <row r="42549" spans="1:1" ht="12.75">
      <c r="A42549" s="2" t="s">
        <v>962</v>
      </c>
    </row>
    <row r="42550" spans="1:1" ht="12.75">
      <c r="A42550" s="2" t="s">
        <v>962</v>
      </c>
    </row>
    <row r="42551" spans="1:1" ht="12.75">
      <c r="A42551" s="2" t="s">
        <v>1363</v>
      </c>
    </row>
    <row r="42552" spans="1:1" ht="12.75">
      <c r="A42552" s="2" t="s">
        <v>1363</v>
      </c>
    </row>
    <row r="42553" spans="1:1" ht="12.75">
      <c r="A42553" s="2" t="s">
        <v>1458</v>
      </c>
    </row>
    <row r="42554" spans="1:1" ht="12.75">
      <c r="A42554" s="2" t="s">
        <v>1459</v>
      </c>
    </row>
    <row r="42555" spans="1:1" ht="12.75">
      <c r="A42555" s="2" t="s">
        <v>1459</v>
      </c>
    </row>
    <row r="42556" spans="1:1" ht="12.75">
      <c r="A42556" s="2" t="s">
        <v>1454</v>
      </c>
    </row>
    <row r="42557" spans="1:1" ht="12.75">
      <c r="A42557" s="2" t="s">
        <v>1460</v>
      </c>
    </row>
    <row r="42558" spans="1:1" ht="12.75">
      <c r="A42558" s="2" t="s">
        <v>1460</v>
      </c>
    </row>
    <row r="42559" spans="1:1" ht="12.75">
      <c r="A42559" s="2" t="s">
        <v>1140</v>
      </c>
    </row>
    <row r="42560" spans="1:1" ht="12.75">
      <c r="A42560" s="2" t="s">
        <v>1443</v>
      </c>
    </row>
    <row r="42561" spans="1:1" ht="12.75">
      <c r="A42561" s="2" t="s">
        <v>1461</v>
      </c>
    </row>
    <row r="42562" spans="1:1" ht="12.75">
      <c r="A42562" s="2" t="s">
        <v>1461</v>
      </c>
    </row>
    <row r="42563" spans="1:1" ht="12.75">
      <c r="A42563" s="2" t="s">
        <v>1462</v>
      </c>
    </row>
    <row r="42564" spans="1:1" ht="12.75">
      <c r="A42564" s="2" t="s">
        <v>1463</v>
      </c>
    </row>
    <row r="42565" spans="1:1" ht="12.75">
      <c r="A42565" s="2" t="s">
        <v>1457</v>
      </c>
    </row>
    <row r="42567" spans="1:1" ht="12.75">
      <c r="A42567" s="2" t="s">
        <v>1357</v>
      </c>
    </row>
    <row r="42568" spans="1:1" ht="12.75">
      <c r="A42568" s="2" t="s">
        <v>1357</v>
      </c>
    </row>
    <row r="42569" spans="1:1" ht="12.75">
      <c r="A42569" s="2" t="s">
        <v>1464</v>
      </c>
    </row>
    <row r="42570" spans="1:1" ht="12.75">
      <c r="A42570" s="2" t="s">
        <v>1358</v>
      </c>
    </row>
    <row r="42571" spans="1:1" ht="12.75">
      <c r="A42571" s="2" t="s">
        <v>1465</v>
      </c>
    </row>
    <row r="42572" spans="1:1" ht="12.75">
      <c r="A42572" s="2" t="s">
        <v>1359</v>
      </c>
    </row>
    <row r="42573" spans="1:1" ht="12.75">
      <c r="A42573" s="2" t="s">
        <v>957</v>
      </c>
    </row>
    <row r="42574" spans="1:1" ht="12.75">
      <c r="A42574" s="2" t="s">
        <v>957</v>
      </c>
    </row>
    <row r="42575" spans="1:1" ht="12.75">
      <c r="A42575" s="2" t="s">
        <v>1293</v>
      </c>
    </row>
    <row r="42576" spans="1:1" ht="12.75">
      <c r="A42576" s="2" t="s">
        <v>1293</v>
      </c>
    </row>
    <row r="42577" spans="1:1" ht="12.75">
      <c r="A42577" s="2" t="s">
        <v>1291</v>
      </c>
    </row>
    <row r="42578" spans="1:1" ht="12.75">
      <c r="A42578" s="2" t="s">
        <v>1291</v>
      </c>
    </row>
    <row r="42579" spans="1:1" ht="12.75">
      <c r="A42579" s="2" t="s">
        <v>1446</v>
      </c>
    </row>
    <row r="42580" spans="1:1" ht="12.75">
      <c r="A42580" s="2" t="s">
        <v>1446</v>
      </c>
    </row>
    <row r="42581" spans="1:1" ht="12.75">
      <c r="A42581" s="2" t="s">
        <v>1442</v>
      </c>
    </row>
    <row r="42582" spans="1:1" ht="12.75">
      <c r="A42582" s="2" t="s">
        <v>1442</v>
      </c>
    </row>
    <row r="42585" spans="1:1" ht="12.75">
      <c r="A42585" s="2" t="s">
        <v>974</v>
      </c>
    </row>
    <row r="42586" spans="1:1" ht="12.75">
      <c r="A42586" s="2" t="s">
        <v>974</v>
      </c>
    </row>
    <row r="42587" spans="1:1" ht="12.75">
      <c r="A42587" s="2" t="s">
        <v>1442</v>
      </c>
    </row>
    <row r="42588" spans="1:1" ht="12.75">
      <c r="A42588" s="2" t="s">
        <v>1442</v>
      </c>
    </row>
    <row r="42589" spans="1:1" ht="12.75">
      <c r="A42589" s="2" t="s">
        <v>1358</v>
      </c>
    </row>
    <row r="42590" spans="1:1" ht="12.75">
      <c r="A42590" s="2" t="s">
        <v>1358</v>
      </c>
    </row>
    <row r="42591" spans="1:1" ht="12.75">
      <c r="A42591" s="2" t="s">
        <v>1357</v>
      </c>
    </row>
    <row r="42592" spans="1:1" ht="12.75">
      <c r="A42592" s="2" t="s">
        <v>1466</v>
      </c>
    </row>
    <row r="42593" spans="1:1" ht="12.75">
      <c r="A42593" s="2" t="s">
        <v>1256</v>
      </c>
    </row>
    <row r="42594" spans="1:1" ht="12.75">
      <c r="A42594" s="2" t="s">
        <v>1256</v>
      </c>
    </row>
    <row r="42595" spans="1:1" ht="12.75">
      <c r="A42595" s="2" t="s">
        <v>1359</v>
      </c>
    </row>
    <row r="42596" spans="1:1" ht="12.75">
      <c r="A42596" s="2" t="s">
        <v>1359</v>
      </c>
    </row>
    <row r="42597" spans="1:1" ht="12.75">
      <c r="A42597" s="2" t="s">
        <v>1442</v>
      </c>
    </row>
    <row r="42598" spans="1:1" ht="12.75">
      <c r="A42598" s="2" t="s">
        <v>1442</v>
      </c>
    </row>
    <row r="42599" spans="1:1" ht="12.75">
      <c r="A42599" s="2" t="s">
        <v>1443</v>
      </c>
    </row>
    <row r="42600" spans="1:1" ht="12.75">
      <c r="A42600" s="2" t="s">
        <v>1443</v>
      </c>
    </row>
    <row r="42601" spans="1:1" ht="12.75">
      <c r="A42601" s="2" t="s">
        <v>1467</v>
      </c>
    </row>
    <row r="42602" spans="1:1" ht="12.75">
      <c r="A42602" s="2" t="s">
        <v>1467</v>
      </c>
    </row>
    <row r="42603" spans="1:1" ht="12.75">
      <c r="A42603" s="2" t="s">
        <v>1446</v>
      </c>
    </row>
    <row r="42604" spans="1:1" ht="12.75">
      <c r="A42604" s="2" t="s">
        <v>1446</v>
      </c>
    </row>
    <row r="42605" spans="1:1" ht="12.75">
      <c r="A42605" s="2" t="s">
        <v>1144</v>
      </c>
    </row>
    <row r="42606" spans="1:1" ht="12.75">
      <c r="A42606" s="2" t="s">
        <v>1468</v>
      </c>
    </row>
    <row r="42607" spans="1:1" ht="12.75">
      <c r="A42607" s="2" t="s">
        <v>957</v>
      </c>
    </row>
    <row r="42608" spans="1:1" ht="12.75">
      <c r="A42608" s="2" t="s">
        <v>957</v>
      </c>
    </row>
    <row r="42609" spans="1:1" ht="12.75">
      <c r="A42609" s="2" t="s">
        <v>1142</v>
      </c>
    </row>
    <row r="42610" spans="1:1" ht="12.75">
      <c r="A42610" s="2" t="s">
        <v>1142</v>
      </c>
    </row>
    <row r="42611" spans="1:1" ht="12.75">
      <c r="A42611" s="2" t="s">
        <v>1287</v>
      </c>
    </row>
    <row r="42612" spans="1:1" ht="12.75">
      <c r="A42612" s="2" t="s">
        <v>1287</v>
      </c>
    </row>
    <row r="42613" spans="1:1" ht="12.75">
      <c r="A42613" s="2" t="s">
        <v>1291</v>
      </c>
    </row>
    <row r="42614" spans="1:1" ht="12.75">
      <c r="A42614" s="2" t="s">
        <v>1291</v>
      </c>
    </row>
    <row r="42615" spans="1:1" ht="12.75">
      <c r="A42615" s="2" t="s">
        <v>1292</v>
      </c>
    </row>
    <row r="42616" spans="1:1" ht="12.75">
      <c r="A42616" s="2" t="s">
        <v>1292</v>
      </c>
    </row>
    <row r="42617" spans="1:1" ht="12.75">
      <c r="A42617" s="2" t="s">
        <v>1449</v>
      </c>
    </row>
    <row r="42618" spans="1:1" ht="12.75">
      <c r="A42618" s="2" t="s">
        <v>1449</v>
      </c>
    </row>
    <row r="42619" spans="1:1" ht="12.75">
      <c r="A42619" s="2" t="s">
        <v>1469</v>
      </c>
    </row>
    <row r="42620" spans="1:1" ht="12.75">
      <c r="A42620" s="2" t="s">
        <v>1469</v>
      </c>
    </row>
    <row r="42621" spans="1:1" ht="12.75">
      <c r="A42621" s="2" t="s">
        <v>1449</v>
      </c>
    </row>
    <row r="42622" spans="1:1" ht="12.75">
      <c r="A42622" s="2" t="s">
        <v>1449</v>
      </c>
    </row>
    <row r="42623" spans="1:1" ht="12.75">
      <c r="A42623" s="2" t="s">
        <v>1470</v>
      </c>
    </row>
    <row r="42624" spans="1:1" ht="12.75">
      <c r="A42624" s="2" t="s">
        <v>1357</v>
      </c>
    </row>
    <row r="42625" spans="1:1" ht="12.75">
      <c r="A42625" s="2" t="s">
        <v>1358</v>
      </c>
    </row>
    <row r="42626" spans="1:1" ht="12.75">
      <c r="A42626" s="2" t="s">
        <v>1358</v>
      </c>
    </row>
    <row r="42627" spans="1:1" ht="12.75">
      <c r="A42627" s="2" t="s">
        <v>1359</v>
      </c>
    </row>
    <row r="42628" spans="1:1" ht="12.75">
      <c r="A42628" s="2" t="s">
        <v>1359</v>
      </c>
    </row>
    <row r="42629" spans="1:1" ht="12.75">
      <c r="A42629" s="2" t="s">
        <v>1292</v>
      </c>
    </row>
    <row r="42630" spans="1:1" ht="12.75">
      <c r="A42630" s="2" t="s">
        <v>1292</v>
      </c>
    </row>
    <row r="42631" spans="1:1" ht="12.75">
      <c r="A42631" s="2" t="s">
        <v>1293</v>
      </c>
    </row>
    <row r="42632" spans="1:1" ht="12.75">
      <c r="A42632" s="2" t="s">
        <v>1293</v>
      </c>
    </row>
    <row r="42633" spans="1:1" ht="12.75">
      <c r="A42633" s="2" t="s">
        <v>1291</v>
      </c>
    </row>
    <row r="42634" spans="1:1" ht="12.75">
      <c r="A42634" s="2" t="s">
        <v>1291</v>
      </c>
    </row>
    <row r="42635" spans="1:1" ht="12.75">
      <c r="A42635" s="2" t="s">
        <v>1287</v>
      </c>
    </row>
    <row r="42637" spans="1:1" ht="12.75">
      <c r="A42637" s="2" t="s">
        <v>1471</v>
      </c>
    </row>
    <row r="42638" spans="1:1" ht="12.75">
      <c r="A42638" s="2" t="s">
        <v>1140</v>
      </c>
    </row>
    <row r="42639" spans="1:1" ht="12.75">
      <c r="A42639" s="2" t="s">
        <v>1457</v>
      </c>
    </row>
    <row r="42640" spans="1:1" ht="12.75">
      <c r="A42640" s="2" t="s">
        <v>1457</v>
      </c>
    </row>
    <row r="42641" spans="1:1" ht="12.75">
      <c r="A42641" s="2" t="s">
        <v>1461</v>
      </c>
    </row>
    <row r="42642" spans="1:1" ht="12.75">
      <c r="A42642" s="2" t="s">
        <v>1461</v>
      </c>
    </row>
    <row r="42643" spans="1:1" ht="12.75">
      <c r="A42643" s="2" t="s">
        <v>1256</v>
      </c>
    </row>
    <row r="42644" spans="1:1" ht="12.75">
      <c r="A42644" s="2" t="s">
        <v>1256</v>
      </c>
    </row>
    <row r="42645" spans="1:1" ht="12.75">
      <c r="A42645" s="2" t="s">
        <v>1144</v>
      </c>
    </row>
    <row r="42646" spans="1:1" ht="12.75">
      <c r="A42646" s="2" t="s">
        <v>1144</v>
      </c>
    </row>
    <row r="42649" spans="1:1" ht="12.75">
      <c r="A42649" s="2" t="s">
        <v>1142</v>
      </c>
    </row>
    <row r="42650" spans="1:1" ht="12.75">
      <c r="A42650" s="2" t="s">
        <v>1142</v>
      </c>
    </row>
    <row r="42651" spans="1:1" ht="12.75">
      <c r="A42651" s="2" t="s">
        <v>962</v>
      </c>
    </row>
    <row r="42652" spans="1:1" ht="12.75">
      <c r="A42652" s="2" t="s">
        <v>962</v>
      </c>
    </row>
    <row r="42653" spans="1:1" ht="12.75">
      <c r="A42653" s="2" t="s">
        <v>966</v>
      </c>
    </row>
    <row r="42654" spans="1:1" ht="12.75">
      <c r="A42654" s="2" t="s">
        <v>966</v>
      </c>
    </row>
    <row r="42655" spans="1:1" ht="12.75">
      <c r="A42655" s="2" t="s">
        <v>708</v>
      </c>
    </row>
    <row r="42656" spans="1:1" ht="12.75">
      <c r="A42656" s="2" t="s">
        <v>708</v>
      </c>
    </row>
    <row r="42657" spans="1:1" ht="12.75">
      <c r="A42657" s="2" t="s">
        <v>957</v>
      </c>
    </row>
    <row r="42658" spans="1:1" ht="12.75">
      <c r="A42658" s="2" t="s">
        <v>957</v>
      </c>
    </row>
    <row r="42659" spans="1:1" ht="12.75">
      <c r="A42659" s="2" t="s">
        <v>1358</v>
      </c>
    </row>
    <row r="42660" spans="1:1" ht="12.75">
      <c r="A42660" s="2" t="s">
        <v>1358</v>
      </c>
    </row>
    <row r="42661" spans="1:1" ht="12.75">
      <c r="A42661" s="2" t="s">
        <v>1359</v>
      </c>
    </row>
    <row r="42662" spans="1:1" ht="12.75">
      <c r="A42662" s="2" t="s">
        <v>1359</v>
      </c>
    </row>
    <row r="42663" spans="1:1" ht="12.75">
      <c r="A42663" s="2" t="s">
        <v>1449</v>
      </c>
    </row>
    <row r="42664" spans="1:1" ht="12.75">
      <c r="A42664" s="2" t="s">
        <v>1449</v>
      </c>
    </row>
    <row r="42665" spans="1:1" ht="12.75">
      <c r="A42665" s="2" t="s">
        <v>1292</v>
      </c>
    </row>
    <row r="42666" spans="1:1" ht="12.75">
      <c r="A42666" s="2" t="s">
        <v>1292</v>
      </c>
    </row>
    <row r="42667" spans="1:1" ht="12.75">
      <c r="A42667" s="2" t="s">
        <v>1291</v>
      </c>
    </row>
    <row r="42668" spans="1:1" ht="12.75">
      <c r="A42668" s="2" t="s">
        <v>1291</v>
      </c>
    </row>
    <row r="42669" spans="1:1" ht="12.75">
      <c r="A42669" s="2" t="s">
        <v>1360</v>
      </c>
    </row>
    <row r="42670" spans="1:1" ht="12.75">
      <c r="A42670" s="2" t="s">
        <v>1287</v>
      </c>
    </row>
    <row r="42671" spans="1:1" ht="12.75">
      <c r="A42671" s="2" t="s">
        <v>1443</v>
      </c>
    </row>
    <row r="42672" spans="1:1" ht="12.75">
      <c r="A42672" s="2" t="s">
        <v>1443</v>
      </c>
    </row>
    <row r="42673" spans="1:1" ht="12.75">
      <c r="A42673" s="2" t="s">
        <v>1446</v>
      </c>
    </row>
    <row r="42674" spans="1:1" ht="12.75">
      <c r="A42674" s="2" t="s">
        <v>1446</v>
      </c>
    </row>
    <row r="42675" spans="1:1" ht="12.75">
      <c r="A42675" s="2" t="s">
        <v>1471</v>
      </c>
    </row>
    <row r="42676" spans="1:1" ht="12.75">
      <c r="A42676" s="2" t="s">
        <v>1471</v>
      </c>
    </row>
    <row r="42677" spans="1:1" ht="12.75">
      <c r="A42677" s="2" t="s">
        <v>1461</v>
      </c>
    </row>
    <row r="42678" spans="1:1" ht="12.75">
      <c r="A42678" s="2" t="s">
        <v>1461</v>
      </c>
    </row>
    <row r="42679" spans="1:1" ht="12.75">
      <c r="A42679" s="2" t="s">
        <v>1443</v>
      </c>
    </row>
    <row r="42680" spans="1:1" ht="12.75">
      <c r="A42680" s="2" t="s">
        <v>1443</v>
      </c>
    </row>
    <row r="42685" spans="1:1" ht="12.75">
      <c r="A42685" s="2" t="s">
        <v>1293</v>
      </c>
    </row>
    <row r="42686" spans="1:1" ht="12.75">
      <c r="A42686" s="2" t="s">
        <v>1472</v>
      </c>
    </row>
    <row r="42687" spans="1:1" ht="12.75">
      <c r="A42687" s="2" t="s">
        <v>957</v>
      </c>
    </row>
    <row r="42688" spans="1:1" ht="12.75">
      <c r="A42688" s="2" t="s">
        <v>957</v>
      </c>
    </row>
    <row r="42689" spans="1:1" ht="12.75">
      <c r="A42689" s="2" t="s">
        <v>1298</v>
      </c>
    </row>
    <row r="42690" spans="1:1" ht="12.75">
      <c r="A42690" s="2" t="s">
        <v>1298</v>
      </c>
    </row>
    <row r="42691" spans="1:1" ht="12.75">
      <c r="A42691" s="2" t="s">
        <v>1292</v>
      </c>
    </row>
    <row r="42692" spans="1:1" ht="12.75">
      <c r="A42692" s="2" t="s">
        <v>269</v>
      </c>
    </row>
    <row r="42693" spans="1:1" ht="12.75">
      <c r="A42693" s="2" t="s">
        <v>1292</v>
      </c>
    </row>
    <row r="42695" spans="1:1" ht="12.75">
      <c r="A42695" s="2" t="s">
        <v>708</v>
      </c>
    </row>
    <row r="42696" spans="1:1" ht="12.75">
      <c r="A42696" s="2" t="s">
        <v>708</v>
      </c>
    </row>
    <row r="42701" spans="1:1" ht="12.75">
      <c r="A42701" s="2" t="s">
        <v>365</v>
      </c>
    </row>
    <row r="42702" spans="1:1" ht="12.75">
      <c r="A42702" s="2" t="s">
        <v>1142</v>
      </c>
    </row>
    <row r="42705" spans="1:1" ht="12.75">
      <c r="A42705" s="2" t="s">
        <v>1357</v>
      </c>
    </row>
    <row r="42706" spans="1:1" ht="12.75">
      <c r="A42706" s="2" t="s">
        <v>1357</v>
      </c>
    </row>
    <row r="42707" spans="1:1" ht="12.75">
      <c r="A42707" s="2" t="s">
        <v>1359</v>
      </c>
    </row>
    <row r="42708" spans="1:1" ht="12.75">
      <c r="A42708" s="2" t="s">
        <v>1359</v>
      </c>
    </row>
    <row r="42709" spans="1:1" ht="12.75">
      <c r="A42709" s="2" t="s">
        <v>1358</v>
      </c>
    </row>
    <row r="42710" spans="1:1" ht="12.75">
      <c r="A42710" s="2" t="s">
        <v>1358</v>
      </c>
    </row>
    <row r="42711" spans="1:1" ht="12.75">
      <c r="A42711" s="2" t="s">
        <v>1144</v>
      </c>
    </row>
    <row r="42712" spans="1:1" ht="12.75">
      <c r="A42712" s="2" t="s">
        <v>1144</v>
      </c>
    </row>
    <row r="42713" spans="1:1" ht="12.75">
      <c r="A42713" s="2" t="s">
        <v>1256</v>
      </c>
    </row>
    <row r="42714" spans="1:1" ht="12.75">
      <c r="A42714" s="2" t="s">
        <v>1256</v>
      </c>
    </row>
    <row r="42715" spans="1:1" ht="12.75">
      <c r="A42715" s="2" t="s">
        <v>1293</v>
      </c>
    </row>
    <row r="42716" spans="1:1" ht="12.75">
      <c r="A42716" s="2" t="s">
        <v>1293</v>
      </c>
    </row>
    <row r="42724" spans="1:1" ht="12.75">
      <c r="A42724" s="2" t="s">
        <v>1473</v>
      </c>
    </row>
    <row r="42725" spans="1:1" ht="12.75">
      <c r="A42725" s="2" t="s">
        <v>1474</v>
      </c>
    </row>
    <row r="42727" spans="1:1" ht="12.75">
      <c r="A42727" s="2" t="s">
        <v>1033</v>
      </c>
    </row>
    <row r="42729" spans="1:1" ht="12.75">
      <c r="A42729" s="2" t="s">
        <v>1475</v>
      </c>
    </row>
    <row r="42730" spans="1:1" ht="12.75">
      <c r="A42730" s="2" t="s">
        <v>1033</v>
      </c>
    </row>
    <row r="42731" spans="1:1" ht="12.75">
      <c r="A42731" s="2" t="s">
        <v>1033</v>
      </c>
    </row>
    <row r="42732" spans="1:1" ht="12.75">
      <c r="A42732" s="2" t="s">
        <v>1033</v>
      </c>
    </row>
    <row r="42733" spans="1:1" ht="12.75">
      <c r="A42733" s="2" t="s">
        <v>1419</v>
      </c>
    </row>
    <row r="42734" spans="1:1" ht="12.75">
      <c r="A42734" s="2" t="s">
        <v>1418</v>
      </c>
    </row>
    <row r="42736" spans="1:1" ht="12.75">
      <c r="A42736" s="2" t="s">
        <v>1474</v>
      </c>
    </row>
    <row r="42737" spans="1:1" ht="12.75">
      <c r="A42737" s="2" t="s">
        <v>1473</v>
      </c>
    </row>
    <row r="42740" spans="1:1" ht="12.75">
      <c r="A42740" s="2" t="s">
        <v>876</v>
      </c>
    </row>
    <row r="42744" spans="1:1" ht="12.75">
      <c r="A42744" s="2" t="s">
        <v>226</v>
      </c>
    </row>
    <row r="42745" spans="1:1" ht="12.75">
      <c r="A42745" s="2" t="s">
        <v>226</v>
      </c>
    </row>
    <row r="42746" spans="1:1" ht="12.75">
      <c r="A42746" s="2" t="s">
        <v>876</v>
      </c>
    </row>
    <row r="42747" spans="1:1" ht="12.75">
      <c r="A42747" s="2" t="s">
        <v>876</v>
      </c>
    </row>
    <row r="42748" spans="1:1" ht="12.75">
      <c r="A42748" s="2" t="s">
        <v>988</v>
      </c>
    </row>
    <row r="42749" spans="1:1" ht="12.75">
      <c r="A42749" s="2" t="s">
        <v>1476</v>
      </c>
    </row>
    <row r="42750" spans="1:1" ht="12.75">
      <c r="A42750" s="2" t="s">
        <v>988</v>
      </c>
    </row>
    <row r="42763" spans="1:1" ht="12.75">
      <c r="A42763" s="2" t="s">
        <v>153</v>
      </c>
    </row>
    <row r="42764" spans="1:1" ht="12.75">
      <c r="A42764" s="2" t="s">
        <v>153</v>
      </c>
    </row>
    <row r="42765" spans="1:1" ht="12.75">
      <c r="A42765" s="2" t="s">
        <v>153</v>
      </c>
    </row>
    <row r="42767" spans="1:1" ht="12.75">
      <c r="A42767" s="2" t="s">
        <v>153</v>
      </c>
    </row>
    <row r="42768" spans="1:1" ht="12.75">
      <c r="A42768" s="2" t="s">
        <v>153</v>
      </c>
    </row>
    <row r="42769" spans="1:1" ht="12.75">
      <c r="A42769" s="2" t="s">
        <v>153</v>
      </c>
    </row>
    <row r="42770" spans="1:1" ht="12.75">
      <c r="A42770" s="2" t="s">
        <v>153</v>
      </c>
    </row>
    <row r="42793" spans="1:1" ht="12.75">
      <c r="A42793" s="2" t="s">
        <v>210</v>
      </c>
    </row>
    <row r="42794" spans="1:1" ht="12.75">
      <c r="A42794" s="2" t="s">
        <v>210</v>
      </c>
    </row>
    <row r="42795" spans="1:1" ht="12.75">
      <c r="A42795" s="2" t="s">
        <v>787</v>
      </c>
    </row>
    <row r="42796" spans="1:1" ht="12.75">
      <c r="A42796" s="2" t="s">
        <v>787</v>
      </c>
    </row>
    <row r="42797" spans="1:1" ht="12.75">
      <c r="A42797" s="2" t="s">
        <v>787</v>
      </c>
    </row>
    <row r="42798" spans="1:1" ht="12.75">
      <c r="A42798" s="2" t="s">
        <v>787</v>
      </c>
    </row>
    <row r="42799" spans="1:1" ht="12.75">
      <c r="A42799" s="2" t="s">
        <v>366</v>
      </c>
    </row>
    <row r="42800" spans="1:1" ht="12.75">
      <c r="A42800" s="2" t="s">
        <v>486</v>
      </c>
    </row>
    <row r="42801" spans="1:1" ht="12.75">
      <c r="A42801" s="2" t="s">
        <v>364</v>
      </c>
    </row>
    <row r="42802" spans="1:1" ht="12.75">
      <c r="A42802" s="2" t="s">
        <v>364</v>
      </c>
    </row>
    <row r="42803" spans="1:1" ht="12.75">
      <c r="A42803" s="2" t="s">
        <v>486</v>
      </c>
    </row>
    <row r="42804" spans="1:1" ht="12.75">
      <c r="A42804" s="2" t="s">
        <v>486</v>
      </c>
    </row>
    <row r="42805" spans="1:1" ht="12.75">
      <c r="A42805" s="2" t="s">
        <v>364</v>
      </c>
    </row>
    <row r="42809" spans="1:1" ht="12.75">
      <c r="A42809" s="2" t="s">
        <v>364</v>
      </c>
    </row>
    <row r="42810" spans="1:1" ht="12.75">
      <c r="A42810" s="2" t="s">
        <v>364</v>
      </c>
    </row>
    <row r="42811" spans="1:1" ht="12.75">
      <c r="A42811" s="2" t="s">
        <v>486</v>
      </c>
    </row>
    <row r="42812" spans="1:1" ht="12.75">
      <c r="A42812" s="2" t="s">
        <v>366</v>
      </c>
    </row>
    <row r="42813" spans="1:1" ht="12.75">
      <c r="A42813" s="2" t="s">
        <v>210</v>
      </c>
    </row>
    <row r="42814" spans="1:1" ht="12.75">
      <c r="A42814" s="2" t="s">
        <v>210</v>
      </c>
    </row>
    <row r="42815" spans="1:1" ht="12.75">
      <c r="A42815" s="2" t="s">
        <v>210</v>
      </c>
    </row>
    <row r="42816" spans="1:1" ht="12.75">
      <c r="A42816" s="2" t="s">
        <v>210</v>
      </c>
    </row>
    <row r="42819" spans="1:1" ht="12.75">
      <c r="A42819" s="2" t="s">
        <v>210</v>
      </c>
    </row>
    <row r="42820" spans="1:1" ht="12.75">
      <c r="A42820" s="2" t="s">
        <v>210</v>
      </c>
    </row>
    <row r="42821" spans="1:1" ht="12.75">
      <c r="A42821" s="2" t="s">
        <v>787</v>
      </c>
    </row>
    <row r="42822" spans="1:1" ht="12.75">
      <c r="A42822" s="2" t="s">
        <v>787</v>
      </c>
    </row>
    <row r="42823" spans="1:1" ht="12.75">
      <c r="A42823" s="2" t="s">
        <v>787</v>
      </c>
    </row>
    <row r="42824" spans="1:1" ht="12.75">
      <c r="A42824" s="2" t="s">
        <v>787</v>
      </c>
    </row>
    <row r="42825" spans="1:1" ht="12.75">
      <c r="A42825" s="2" t="s">
        <v>787</v>
      </c>
    </row>
    <row r="42826" spans="1:1" ht="12.75">
      <c r="A42826" s="2" t="s">
        <v>787</v>
      </c>
    </row>
    <row r="42831" spans="1:1" ht="12.75">
      <c r="A42831" s="2" t="s">
        <v>718</v>
      </c>
    </row>
    <row r="42832" spans="1:1" ht="12.75">
      <c r="A42832" s="2" t="s">
        <v>718</v>
      </c>
    </row>
    <row r="42833" spans="1:1" ht="12.75">
      <c r="A42833" s="2" t="s">
        <v>209</v>
      </c>
    </row>
    <row r="42834" spans="1:1" ht="12.75">
      <c r="A42834" s="2" t="s">
        <v>209</v>
      </c>
    </row>
    <row r="42838" spans="1:1" ht="12.75">
      <c r="A42838" s="2" t="s">
        <v>209</v>
      </c>
    </row>
    <row r="42839" spans="1:1" ht="12.75">
      <c r="A42839" s="2" t="s">
        <v>212</v>
      </c>
    </row>
    <row r="42840" spans="1:1" ht="12.75">
      <c r="A42840" s="2" t="s">
        <v>212</v>
      </c>
    </row>
    <row r="42845" spans="1:1" ht="12.75">
      <c r="A42845" s="2" t="s">
        <v>787</v>
      </c>
    </row>
    <row r="42846" spans="1:1" ht="12.75">
      <c r="A42846" s="2" t="s">
        <v>787</v>
      </c>
    </row>
    <row r="42849" spans="1:1" ht="12.75">
      <c r="A42849" s="2" t="s">
        <v>313</v>
      </c>
    </row>
    <row r="42850" spans="1:1" ht="12.75">
      <c r="A42850" s="2" t="s">
        <v>1207</v>
      </c>
    </row>
    <row r="42851" spans="1:1" ht="12.75">
      <c r="A42851" s="2" t="s">
        <v>1207</v>
      </c>
    </row>
    <row r="42852" spans="1:1" ht="12.75">
      <c r="A42852" s="2" t="s">
        <v>1207</v>
      </c>
    </row>
    <row r="42853" spans="1:1" ht="12.75">
      <c r="A42853" s="2" t="s">
        <v>1207</v>
      </c>
    </row>
    <row r="42854" spans="1:1" ht="12.75">
      <c r="A42854" s="2" t="s">
        <v>1207</v>
      </c>
    </row>
    <row r="42855" spans="1:1" ht="12.75">
      <c r="A42855" s="2" t="s">
        <v>311</v>
      </c>
    </row>
    <row r="42856" spans="1:1" ht="12.75">
      <c r="A42856" s="2" t="s">
        <v>311</v>
      </c>
    </row>
    <row r="42857" spans="1:1" ht="12.75">
      <c r="A42857" s="2" t="s">
        <v>1207</v>
      </c>
    </row>
    <row r="42858" spans="1:1" ht="12.75">
      <c r="A42858" s="2" t="s">
        <v>1207</v>
      </c>
    </row>
    <row r="42859" spans="1:1" ht="12.75">
      <c r="A42859" s="2" t="s">
        <v>1207</v>
      </c>
    </row>
    <row r="42860" spans="1:1" ht="12.75">
      <c r="A42860" s="2" t="s">
        <v>1207</v>
      </c>
    </row>
    <row r="42861" spans="1:1" ht="12.75">
      <c r="A42861" s="2" t="s">
        <v>1207</v>
      </c>
    </row>
    <row r="42863" spans="1:1" ht="12.75">
      <c r="A42863" s="2" t="s">
        <v>784</v>
      </c>
    </row>
    <row r="42864" spans="1:1" ht="12.75">
      <c r="A42864" s="2" t="s">
        <v>784</v>
      </c>
    </row>
    <row r="42865" spans="1:1" ht="12.75">
      <c r="A42865" s="2" t="s">
        <v>784</v>
      </c>
    </row>
    <row r="42868" spans="1:1" ht="12.75">
      <c r="A42868" s="2" t="s">
        <v>1477</v>
      </c>
    </row>
    <row r="42874" spans="1:1" ht="12.75">
      <c r="A42874" s="2" t="s">
        <v>1477</v>
      </c>
    </row>
    <row r="42875" spans="1:1" ht="12.75">
      <c r="A42875" s="2" t="s">
        <v>1478</v>
      </c>
    </row>
    <row r="42876" spans="1:1" ht="12.75">
      <c r="A42876" s="2" t="s">
        <v>664</v>
      </c>
    </row>
    <row r="42877" spans="1:1" ht="12.75">
      <c r="A42877" s="2" t="s">
        <v>1479</v>
      </c>
    </row>
    <row r="42878" spans="1:1" ht="12.75">
      <c r="A42878" s="2" t="s">
        <v>665</v>
      </c>
    </row>
    <row r="42879" spans="1:1" ht="12.75">
      <c r="A42879" s="2" t="s">
        <v>664</v>
      </c>
    </row>
    <row r="42880" spans="1:1" ht="12.75">
      <c r="A42880" s="2" t="s">
        <v>665</v>
      </c>
    </row>
    <row r="42881" spans="1:1" ht="12.75">
      <c r="A42881" s="2" t="s">
        <v>780</v>
      </c>
    </row>
    <row r="42882" spans="1:1" ht="12.75">
      <c r="A42882" s="2" t="s">
        <v>1477</v>
      </c>
    </row>
    <row r="42883" spans="1:1" ht="12.75">
      <c r="A42883" s="2" t="s">
        <v>671</v>
      </c>
    </row>
    <row r="42884" spans="1:1" ht="12.75">
      <c r="A42884" s="2" t="s">
        <v>673</v>
      </c>
    </row>
    <row r="42885" spans="1:1" ht="12.75">
      <c r="A42885" s="2" t="s">
        <v>662</v>
      </c>
    </row>
    <row r="42886" spans="1:1" ht="12.75">
      <c r="A42886" s="2" t="s">
        <v>664</v>
      </c>
    </row>
    <row r="42887" spans="1:1" ht="12.75">
      <c r="A42887" s="2" t="s">
        <v>664</v>
      </c>
    </row>
    <row r="42888" spans="1:1" ht="12.75">
      <c r="A42888" s="2" t="s">
        <v>673</v>
      </c>
    </row>
    <row r="42889" spans="1:1" ht="12.75">
      <c r="A42889" s="2" t="s">
        <v>664</v>
      </c>
    </row>
    <row r="42890" spans="1:1" ht="12.75">
      <c r="A42890" s="2" t="s">
        <v>673</v>
      </c>
    </row>
    <row r="42891" spans="1:1" ht="12.75">
      <c r="A42891" s="2" t="s">
        <v>665</v>
      </c>
    </row>
    <row r="42892" spans="1:1" ht="12.75">
      <c r="A42892" s="2" t="s">
        <v>665</v>
      </c>
    </row>
    <row r="42893" spans="1:1" ht="12.75">
      <c r="A42893" s="2" t="s">
        <v>780</v>
      </c>
    </row>
    <row r="42895" spans="1:1" ht="12.75">
      <c r="A42895" s="2" t="s">
        <v>1477</v>
      </c>
    </row>
    <row r="42896" spans="1:1" ht="12.75">
      <c r="A42896" s="2" t="s">
        <v>1477</v>
      </c>
    </row>
    <row r="42897" spans="1:1" ht="12.75">
      <c r="A42897" s="2" t="s">
        <v>665</v>
      </c>
    </row>
    <row r="42898" spans="1:1" ht="12.75">
      <c r="A42898" s="2" t="s">
        <v>662</v>
      </c>
    </row>
    <row r="42899" spans="1:1" ht="12.75">
      <c r="A42899" s="2" t="s">
        <v>780</v>
      </c>
    </row>
    <row r="42900" spans="1:1" ht="12.75">
      <c r="A42900" s="2" t="s">
        <v>1480</v>
      </c>
    </row>
    <row r="42901" spans="1:1" ht="12.75">
      <c r="A42901" s="2" t="s">
        <v>671</v>
      </c>
    </row>
    <row r="42902" spans="1:1" ht="12.75">
      <c r="A42902" s="2" t="s">
        <v>780</v>
      </c>
    </row>
    <row r="42903" spans="1:1" ht="12.75">
      <c r="A42903" s="2" t="s">
        <v>662</v>
      </c>
    </row>
    <row r="42904" spans="1:1" ht="12.75">
      <c r="A42904" s="2" t="s">
        <v>664</v>
      </c>
    </row>
    <row r="42905" spans="1:1" ht="12.75">
      <c r="A42905" s="2" t="s">
        <v>671</v>
      </c>
    </row>
    <row r="42906" spans="1:1" ht="12.75">
      <c r="A42906" s="2" t="s">
        <v>662</v>
      </c>
    </row>
    <row r="42907" spans="1:1" ht="12.75">
      <c r="A42907" s="2" t="s">
        <v>673</v>
      </c>
    </row>
    <row r="42908" spans="1:1" ht="12.75">
      <c r="A42908" s="2" t="s">
        <v>664</v>
      </c>
    </row>
    <row r="42909" spans="1:1" ht="12.75">
      <c r="A42909" s="2" t="s">
        <v>662</v>
      </c>
    </row>
    <row r="42910" spans="1:1" ht="12.75">
      <c r="A42910" s="2" t="s">
        <v>664</v>
      </c>
    </row>
    <row r="42911" spans="1:1" ht="12.75">
      <c r="A42911" s="2" t="s">
        <v>662</v>
      </c>
    </row>
    <row r="42912" spans="1:1" ht="12.75">
      <c r="A42912" s="2" t="s">
        <v>671</v>
      </c>
    </row>
    <row r="42913" spans="1:1" ht="12.75">
      <c r="A42913" s="2" t="s">
        <v>673</v>
      </c>
    </row>
    <row r="42914" spans="1:1" ht="12.75">
      <c r="A42914" s="2" t="s">
        <v>666</v>
      </c>
    </row>
    <row r="42915" spans="1:1" ht="12.75">
      <c r="A42915" s="2" t="s">
        <v>664</v>
      </c>
    </row>
    <row r="42916" spans="1:1" ht="12.75">
      <c r="A42916" s="2" t="s">
        <v>1477</v>
      </c>
    </row>
    <row r="42917" spans="1:1" ht="12.75">
      <c r="A42917" s="2" t="s">
        <v>666</v>
      </c>
    </row>
    <row r="42918" spans="1:1" ht="12.75">
      <c r="A42918" s="2" t="s">
        <v>664</v>
      </c>
    </row>
    <row r="42919" spans="1:1" ht="12.75">
      <c r="A42919" s="2" t="s">
        <v>665</v>
      </c>
    </row>
    <row r="42920" spans="1:1" ht="12.75">
      <c r="A42920" s="2" t="s">
        <v>665</v>
      </c>
    </row>
    <row r="42921" spans="1:1" ht="12.75">
      <c r="A42921" s="2" t="s">
        <v>664</v>
      </c>
    </row>
    <row r="42922" spans="1:1" ht="12.75">
      <c r="A42922" s="2" t="s">
        <v>666</v>
      </c>
    </row>
    <row r="42923" spans="1:1" ht="12.75">
      <c r="A42923" s="2" t="s">
        <v>673</v>
      </c>
    </row>
    <row r="42924" spans="1:1" ht="12.75">
      <c r="A42924" s="2" t="s">
        <v>666</v>
      </c>
    </row>
    <row r="42925" spans="1:1" ht="12.75">
      <c r="A42925" s="2" t="s">
        <v>671</v>
      </c>
    </row>
    <row r="42926" spans="1:1" ht="12.75">
      <c r="A42926" s="2" t="s">
        <v>671</v>
      </c>
    </row>
    <row r="42927" spans="1:1" ht="12.75">
      <c r="A42927" s="2" t="s">
        <v>662</v>
      </c>
    </row>
    <row r="42928" spans="1:1" ht="12.75">
      <c r="A42928" s="2" t="s">
        <v>673</v>
      </c>
    </row>
    <row r="42929" spans="1:1" ht="12.75">
      <c r="A42929" s="2" t="s">
        <v>664</v>
      </c>
    </row>
    <row r="42930" spans="1:1" ht="12.75">
      <c r="A42930" s="2" t="s">
        <v>673</v>
      </c>
    </row>
    <row r="42931" spans="1:1" ht="12.75">
      <c r="A42931" s="2" t="s">
        <v>784</v>
      </c>
    </row>
    <row r="42932" spans="1:1" ht="12.75">
      <c r="A42932" s="2" t="s">
        <v>664</v>
      </c>
    </row>
    <row r="42933" spans="1:1" ht="12.75">
      <c r="A42933" s="2" t="s">
        <v>673</v>
      </c>
    </row>
    <row r="42934" spans="1:1" ht="12.75">
      <c r="A42934" s="2" t="s">
        <v>665</v>
      </c>
    </row>
    <row r="42935" spans="1:1" ht="12.75">
      <c r="A42935" s="2" t="s">
        <v>666</v>
      </c>
    </row>
    <row r="42936" spans="1:1" ht="12.75">
      <c r="A42936" s="2" t="s">
        <v>662</v>
      </c>
    </row>
    <row r="42937" spans="1:1" ht="12.75">
      <c r="A42937" s="2" t="s">
        <v>671</v>
      </c>
    </row>
    <row r="42938" spans="1:1" ht="12.75">
      <c r="A42938" s="2" t="s">
        <v>666</v>
      </c>
    </row>
    <row r="42939" spans="1:1" ht="12.75">
      <c r="A42939" s="2" t="s">
        <v>662</v>
      </c>
    </row>
    <row r="42940" spans="1:1" ht="12.75">
      <c r="A42940" s="2" t="s">
        <v>662</v>
      </c>
    </row>
    <row r="42941" spans="1:1" ht="12.75">
      <c r="A42941" s="2" t="s">
        <v>673</v>
      </c>
    </row>
    <row r="42942" spans="1:1" ht="12.75">
      <c r="A42942" s="2" t="s">
        <v>673</v>
      </c>
    </row>
    <row r="42943" spans="1:1" ht="12.75">
      <c r="A42943" s="2" t="s">
        <v>671</v>
      </c>
    </row>
    <row r="42944" spans="1:1" ht="12.75">
      <c r="A42944" s="2" t="s">
        <v>664</v>
      </c>
    </row>
    <row r="42945" spans="1:1" ht="12.75">
      <c r="A42945" s="2" t="s">
        <v>664</v>
      </c>
    </row>
    <row r="42946" spans="1:1" ht="12.75">
      <c r="A42946" s="2" t="s">
        <v>664</v>
      </c>
    </row>
    <row r="42947" spans="1:1" ht="12.75">
      <c r="A42947" s="2" t="s">
        <v>664</v>
      </c>
    </row>
    <row r="42948" spans="1:1" ht="12.75">
      <c r="A42948" s="2" t="s">
        <v>671</v>
      </c>
    </row>
    <row r="42949" spans="1:1" ht="12.75">
      <c r="A42949" s="2" t="s">
        <v>665</v>
      </c>
    </row>
    <row r="42950" spans="1:1" ht="12.75">
      <c r="A42950" s="2" t="s">
        <v>664</v>
      </c>
    </row>
    <row r="42951" spans="1:1" ht="12.75">
      <c r="A42951" s="2" t="s">
        <v>784</v>
      </c>
    </row>
    <row r="42952" spans="1:1" ht="12.75">
      <c r="A42952" s="2" t="s">
        <v>665</v>
      </c>
    </row>
    <row r="42953" spans="1:1" ht="12.75">
      <c r="A42953" s="2" t="s">
        <v>671</v>
      </c>
    </row>
    <row r="42954" spans="1:1" ht="12.75">
      <c r="A42954" s="2" t="s">
        <v>782</v>
      </c>
    </row>
    <row r="42955" spans="1:1" ht="12.75">
      <c r="A42955" s="2" t="s">
        <v>664</v>
      </c>
    </row>
    <row r="42956" spans="1:1" ht="12.75">
      <c r="A42956" s="2" t="s">
        <v>671</v>
      </c>
    </row>
    <row r="42957" spans="1:1" ht="12.75">
      <c r="A42957" s="2" t="s">
        <v>673</v>
      </c>
    </row>
    <row r="42958" spans="1:1" ht="12.75">
      <c r="A42958" s="2" t="s">
        <v>662</v>
      </c>
    </row>
    <row r="42959" spans="1:1" ht="12.75">
      <c r="A42959" s="2" t="s">
        <v>1215</v>
      </c>
    </row>
    <row r="42960" spans="1:1" ht="12.75">
      <c r="A42960" s="2" t="s">
        <v>1215</v>
      </c>
    </row>
    <row r="42961" spans="1:1" ht="12.75">
      <c r="A42961" s="2" t="s">
        <v>666</v>
      </c>
    </row>
    <row r="42962" spans="1:1" ht="12.75">
      <c r="A42962" s="2" t="s">
        <v>671</v>
      </c>
    </row>
    <row r="42963" spans="1:1" ht="12.75">
      <c r="A42963" s="2" t="s">
        <v>662</v>
      </c>
    </row>
    <row r="42964" spans="1:1" ht="12.75">
      <c r="A42964" s="2" t="s">
        <v>664</v>
      </c>
    </row>
    <row r="42965" spans="1:1" ht="12.75">
      <c r="A42965" s="2" t="s">
        <v>670</v>
      </c>
    </row>
    <row r="42966" spans="1:1" ht="12.75">
      <c r="A42966" s="2" t="s">
        <v>670</v>
      </c>
    </row>
    <row r="42967" spans="1:1" ht="12.75">
      <c r="A42967" s="2" t="s">
        <v>780</v>
      </c>
    </row>
    <row r="42968" spans="1:1" ht="12.75">
      <c r="A42968" s="2" t="s">
        <v>780</v>
      </c>
    </row>
    <row r="42969" spans="1:1" ht="12.75">
      <c r="A42969" s="2" t="s">
        <v>665</v>
      </c>
    </row>
    <row r="42970" spans="1:1" ht="12.75">
      <c r="A42970" s="2" t="s">
        <v>665</v>
      </c>
    </row>
    <row r="42972" spans="1:1" ht="12.75">
      <c r="A42972" s="2" t="s">
        <v>664</v>
      </c>
    </row>
    <row r="42973" spans="1:1" ht="12.75">
      <c r="A42973" s="2" t="s">
        <v>664</v>
      </c>
    </row>
    <row r="42974" spans="1:1" ht="12.75">
      <c r="A42974" s="2" t="s">
        <v>784</v>
      </c>
    </row>
    <row r="42975" spans="1:1" ht="12.75">
      <c r="A42975" s="2" t="s">
        <v>664</v>
      </c>
    </row>
    <row r="42976" spans="1:1" ht="12.75">
      <c r="A42976" s="2" t="s">
        <v>665</v>
      </c>
    </row>
    <row r="42977" spans="1:1" ht="12.75">
      <c r="A42977" s="2" t="s">
        <v>784</v>
      </c>
    </row>
    <row r="42978" spans="1:1" ht="12.75">
      <c r="A42978" s="2" t="s">
        <v>665</v>
      </c>
    </row>
    <row r="42979" spans="1:1" ht="12.75">
      <c r="A42979" s="2" t="s">
        <v>784</v>
      </c>
    </row>
    <row r="42980" spans="1:1" ht="12.75">
      <c r="A42980" s="2" t="s">
        <v>780</v>
      </c>
    </row>
    <row r="42981" spans="1:1" ht="12.75">
      <c r="A42981" s="2" t="s">
        <v>670</v>
      </c>
    </row>
    <row r="42982" spans="1:1" ht="12.75">
      <c r="A42982" s="2" t="s">
        <v>670</v>
      </c>
    </row>
    <row r="42983" spans="1:1" ht="12.75">
      <c r="A42983" s="2" t="s">
        <v>662</v>
      </c>
    </row>
    <row r="42984" spans="1:1" ht="12.75">
      <c r="A42984" s="2" t="s">
        <v>662</v>
      </c>
    </row>
    <row r="42985" spans="1:1" ht="12.75">
      <c r="A42985" s="2" t="s">
        <v>666</v>
      </c>
    </row>
    <row r="42987" spans="1:1" ht="12.75">
      <c r="A42987" s="2" t="s">
        <v>1215</v>
      </c>
    </row>
    <row r="42988" spans="1:1" ht="12.75">
      <c r="A42988" s="2" t="s">
        <v>1215</v>
      </c>
    </row>
    <row r="42989" spans="1:1" ht="12.75">
      <c r="A42989" s="2" t="s">
        <v>313</v>
      </c>
    </row>
    <row r="42990" spans="1:1" ht="12.75">
      <c r="A42990" s="2" t="s">
        <v>313</v>
      </c>
    </row>
    <row r="42991" spans="1:1" ht="12.75">
      <c r="A42991" s="2" t="s">
        <v>190</v>
      </c>
    </row>
    <row r="42992" spans="1:1" ht="12.75">
      <c r="A42992" s="2" t="s">
        <v>190</v>
      </c>
    </row>
    <row r="42994" spans="1:1" ht="12.75">
      <c r="A42994" s="2" t="s">
        <v>190</v>
      </c>
    </row>
    <row r="42995" spans="1:1" ht="12.75">
      <c r="A42995" s="2" t="s">
        <v>997</v>
      </c>
    </row>
    <row r="42996" spans="1:1" ht="12.75">
      <c r="A42996" s="2" t="s">
        <v>997</v>
      </c>
    </row>
    <row r="42997" spans="1:1" ht="12.75">
      <c r="A42997" s="2" t="s">
        <v>775</v>
      </c>
    </row>
    <row r="42999" spans="1:1" ht="12.75">
      <c r="A42999" s="2" t="s">
        <v>995</v>
      </c>
    </row>
    <row r="43000" spans="1:1" ht="12.75">
      <c r="A43000" s="2" t="s">
        <v>313</v>
      </c>
    </row>
    <row r="43002" spans="1:1" ht="12.75">
      <c r="A43002" s="2" t="s">
        <v>313</v>
      </c>
    </row>
    <row r="43003" spans="1:1" ht="12.75">
      <c r="A43003" s="2" t="s">
        <v>995</v>
      </c>
    </row>
    <row r="43005" spans="1:1" ht="12.75">
      <c r="A43005" s="2" t="s">
        <v>995</v>
      </c>
    </row>
    <row r="43006" spans="1:1" ht="12.75">
      <c r="A43006" s="2" t="s">
        <v>380</v>
      </c>
    </row>
    <row r="43007" spans="1:1" ht="12.75">
      <c r="A43007" s="2" t="s">
        <v>313</v>
      </c>
    </row>
    <row r="43008" spans="1:1" ht="12.75">
      <c r="A43008" s="2" t="s">
        <v>997</v>
      </c>
    </row>
    <row r="43009" spans="1:1" ht="12.75">
      <c r="A43009" s="2" t="s">
        <v>313</v>
      </c>
    </row>
    <row r="43011" spans="1:1" ht="12.75">
      <c r="A43011" s="2" t="s">
        <v>313</v>
      </c>
    </row>
    <row r="43013" spans="1:1" ht="12.75">
      <c r="A43013" s="2" t="s">
        <v>311</v>
      </c>
    </row>
    <row r="43014" spans="1:1" ht="12.75">
      <c r="A43014" s="2" t="s">
        <v>190</v>
      </c>
    </row>
    <row r="43015" spans="1:1" ht="12.75">
      <c r="A43015" s="2" t="s">
        <v>311</v>
      </c>
    </row>
    <row r="43016" spans="1:1" ht="12.75">
      <c r="A43016" s="2" t="s">
        <v>311</v>
      </c>
    </row>
    <row r="43018" spans="1:1" ht="12.75">
      <c r="A43018" s="2" t="s">
        <v>775</v>
      </c>
    </row>
    <row r="43019" spans="1:1" ht="12.75">
      <c r="A43019" s="2" t="s">
        <v>311</v>
      </c>
    </row>
    <row r="43020" spans="1:1" ht="12.75">
      <c r="A43020" s="2" t="s">
        <v>1207</v>
      </c>
    </row>
    <row r="43021" spans="1:1" ht="12.75">
      <c r="A43021" s="2" t="s">
        <v>1207</v>
      </c>
    </row>
    <row r="43022" spans="1:1" ht="12.75">
      <c r="A43022" s="2" t="s">
        <v>669</v>
      </c>
    </row>
    <row r="43023" spans="1:1" ht="12.75">
      <c r="A43023" s="2" t="s">
        <v>1207</v>
      </c>
    </row>
    <row r="43024" spans="1:1" ht="12.75">
      <c r="A43024" s="2" t="s">
        <v>313</v>
      </c>
    </row>
    <row r="43025" spans="1:1" ht="12.75">
      <c r="A43025" s="2" t="s">
        <v>313</v>
      </c>
    </row>
    <row r="43026" spans="1:1" ht="12.75">
      <c r="A43026" s="2" t="s">
        <v>311</v>
      </c>
    </row>
    <row r="43027" spans="1:1" ht="12.75">
      <c r="A43027" s="2" t="s">
        <v>311</v>
      </c>
    </row>
    <row r="43028" spans="1:1" ht="12.75">
      <c r="A43028" s="2" t="s">
        <v>313</v>
      </c>
    </row>
    <row r="43029" spans="1:1" ht="12.75">
      <c r="A43029" s="2" t="s">
        <v>1207</v>
      </c>
    </row>
    <row r="43030" spans="1:1" ht="12.75">
      <c r="A43030" s="2" t="s">
        <v>313</v>
      </c>
    </row>
    <row r="43031" spans="1:1" ht="12.75">
      <c r="A43031" s="2" t="s">
        <v>1207</v>
      </c>
    </row>
    <row r="43032" spans="1:1" ht="12.75">
      <c r="A43032" s="2" t="s">
        <v>311</v>
      </c>
    </row>
    <row r="43033" spans="1:1" ht="12.75">
      <c r="A43033" s="2" t="s">
        <v>1481</v>
      </c>
    </row>
    <row r="43034" spans="1:1" ht="12.75">
      <c r="A43034" s="2" t="s">
        <v>1207</v>
      </c>
    </row>
    <row r="43035" spans="1:1" ht="12.75">
      <c r="A43035" s="2" t="s">
        <v>313</v>
      </c>
    </row>
    <row r="43036" spans="1:1" ht="12.75">
      <c r="A43036" s="2" t="s">
        <v>313</v>
      </c>
    </row>
    <row r="43038" spans="1:1" ht="12.75">
      <c r="A43038" s="2" t="s">
        <v>311</v>
      </c>
    </row>
    <row r="43039" spans="1:1" ht="12.75">
      <c r="A43039" s="2" t="s">
        <v>311</v>
      </c>
    </row>
    <row r="43040" spans="1:1" ht="12.75">
      <c r="A43040" s="2" t="s">
        <v>313</v>
      </c>
    </row>
    <row r="43041" spans="1:1" ht="12.75">
      <c r="A43041" s="2" t="s">
        <v>313</v>
      </c>
    </row>
    <row r="43042" spans="1:1" ht="12.75">
      <c r="A43042" s="2" t="s">
        <v>311</v>
      </c>
    </row>
    <row r="43043" spans="1:1" ht="12.75">
      <c r="A43043" s="2" t="s">
        <v>313</v>
      </c>
    </row>
    <row r="43044" spans="1:1" ht="12.75">
      <c r="A43044" s="2" t="s">
        <v>311</v>
      </c>
    </row>
    <row r="43045" spans="1:1" ht="12.75">
      <c r="A43045" s="2" t="s">
        <v>1207</v>
      </c>
    </row>
    <row r="43047" spans="1:1" ht="12.75">
      <c r="A43047" s="2" t="s">
        <v>1207</v>
      </c>
    </row>
    <row r="43048" spans="1:1" ht="12.75">
      <c r="A43048" s="2" t="s">
        <v>1207</v>
      </c>
    </row>
    <row r="43049" spans="1:1" ht="12.75">
      <c r="A43049" s="2" t="s">
        <v>1207</v>
      </c>
    </row>
    <row r="43050" spans="1:1" ht="12.75">
      <c r="A43050" s="2" t="s">
        <v>1207</v>
      </c>
    </row>
    <row r="43051" spans="1:1" ht="12.75">
      <c r="A43051" s="2" t="s">
        <v>1207</v>
      </c>
    </row>
    <row r="43052" spans="1:1" ht="12.75">
      <c r="A43052" s="2" t="s">
        <v>313</v>
      </c>
    </row>
    <row r="43053" spans="1:1" ht="12.75">
      <c r="A43053" s="2" t="s">
        <v>1207</v>
      </c>
    </row>
    <row r="43054" spans="1:1" ht="12.75">
      <c r="A43054" s="2" t="s">
        <v>1207</v>
      </c>
    </row>
    <row r="43055" spans="1:1" ht="12.75">
      <c r="A43055" s="2" t="s">
        <v>1207</v>
      </c>
    </row>
    <row r="43056" spans="1:1" ht="12.75">
      <c r="A43056" s="2" t="s">
        <v>1207</v>
      </c>
    </row>
    <row r="43057" spans="1:1" ht="12.75">
      <c r="A43057" s="2" t="s">
        <v>1207</v>
      </c>
    </row>
    <row r="43058" spans="1:1" ht="12.75">
      <c r="A43058" s="2" t="s">
        <v>1207</v>
      </c>
    </row>
    <row r="43059" spans="1:1" ht="12.75">
      <c r="A43059" s="2" t="s">
        <v>1207</v>
      </c>
    </row>
    <row r="43060" spans="1:1" ht="12.75">
      <c r="A43060" s="2" t="s">
        <v>1207</v>
      </c>
    </row>
    <row r="43061" spans="1:1" ht="12.75">
      <c r="A43061" s="2" t="s">
        <v>1207</v>
      </c>
    </row>
    <row r="43062" spans="1:1" ht="12.75">
      <c r="A43062" s="2" t="s">
        <v>1207</v>
      </c>
    </row>
    <row r="43063" spans="1:1" ht="12.75">
      <c r="A43063" s="2" t="s">
        <v>1207</v>
      </c>
    </row>
    <row r="43065" spans="1:1" ht="12.75">
      <c r="A43065" s="2" t="s">
        <v>1207</v>
      </c>
    </row>
    <row r="43083" spans="1:1" ht="12.75">
      <c r="A43083" s="2" t="s">
        <v>669</v>
      </c>
    </row>
    <row r="43084" spans="1:1" ht="12.75">
      <c r="A43084" s="2">
        <v>383</v>
      </c>
    </row>
    <row r="43086" spans="1:1" ht="12.75">
      <c r="A43086" s="2" t="s">
        <v>997</v>
      </c>
    </row>
    <row r="43087" spans="1:1" ht="12.75">
      <c r="A43087" s="2" t="s">
        <v>669</v>
      </c>
    </row>
    <row r="43088" spans="1:1" ht="12.75">
      <c r="A43088" s="2" t="s">
        <v>669</v>
      </c>
    </row>
    <row r="43089" spans="1:1" ht="12.75">
      <c r="A43089" s="2" t="s">
        <v>669</v>
      </c>
    </row>
    <row r="43090" spans="1:1" ht="12.75">
      <c r="A43090" s="2" t="s">
        <v>669</v>
      </c>
    </row>
    <row r="43091" spans="1:1" ht="12.75">
      <c r="A43091" s="2" t="s">
        <v>669</v>
      </c>
    </row>
    <row r="43092" spans="1:1" ht="12.75">
      <c r="A43092" s="2" t="s">
        <v>669</v>
      </c>
    </row>
    <row r="43093" spans="1:1" ht="12.75">
      <c r="A43093" s="2" t="s">
        <v>661</v>
      </c>
    </row>
    <row r="43094" spans="1:1" ht="12.75">
      <c r="A43094" s="2" t="s">
        <v>661</v>
      </c>
    </row>
    <row r="43095" spans="1:1" ht="12.75">
      <c r="A43095" s="2" t="s">
        <v>669</v>
      </c>
    </row>
    <row r="43096" spans="1:1" ht="12.75">
      <c r="A43096" s="2" t="s">
        <v>661</v>
      </c>
    </row>
    <row r="43097" spans="1:1" ht="12.75">
      <c r="A43097" s="2" t="s">
        <v>775</v>
      </c>
    </row>
    <row r="43098" spans="1:1" ht="12.75">
      <c r="A43098" s="2" t="s">
        <v>281</v>
      </c>
    </row>
    <row r="43099" spans="1:1" ht="12.75">
      <c r="A43099" s="2" t="s">
        <v>281</v>
      </c>
    </row>
    <row r="43100" spans="1:1" ht="12.75">
      <c r="A43100" s="2" t="s">
        <v>281</v>
      </c>
    </row>
    <row r="43101" spans="1:1" ht="12.75">
      <c r="A43101" s="2" t="s">
        <v>281</v>
      </c>
    </row>
    <row r="43102" spans="1:1" ht="12.75">
      <c r="A43102" s="2" t="s">
        <v>281</v>
      </c>
    </row>
    <row r="43103" spans="1:1" ht="12.75">
      <c r="A43103" s="2" t="s">
        <v>281</v>
      </c>
    </row>
    <row r="43104" spans="1:1" ht="12.75">
      <c r="A43104" s="2" t="s">
        <v>281</v>
      </c>
    </row>
    <row r="43106" spans="1:1" ht="12.75">
      <c r="A43106" s="2" t="s">
        <v>281</v>
      </c>
    </row>
    <row r="43107" spans="1:1" ht="12.75">
      <c r="A43107" s="2" t="s">
        <v>1482</v>
      </c>
    </row>
    <row r="43108" spans="1:1" ht="12.75">
      <c r="A43108" s="2" t="s">
        <v>222</v>
      </c>
    </row>
    <row r="43109" spans="1:1" ht="12.75">
      <c r="A43109" s="2" t="s">
        <v>222</v>
      </c>
    </row>
    <row r="43110" spans="1:1" ht="12.75">
      <c r="A43110" s="2" t="s">
        <v>222</v>
      </c>
    </row>
    <row r="43111" spans="1:1" ht="12.75">
      <c r="A43111" s="2" t="s">
        <v>222</v>
      </c>
    </row>
    <row r="43112" spans="1:1" ht="12.75">
      <c r="A43112" s="2" t="s">
        <v>222</v>
      </c>
    </row>
    <row r="43113" spans="1:1" ht="12.75">
      <c r="A43113" s="2" t="s">
        <v>222</v>
      </c>
    </row>
    <row r="43114" spans="1:1" ht="12.75">
      <c r="A43114" s="2" t="s">
        <v>222</v>
      </c>
    </row>
    <row r="43115" spans="1:1" ht="12.75">
      <c r="A43115" s="2">
        <v>8304</v>
      </c>
    </row>
    <row r="43116" spans="1:1" ht="12.75">
      <c r="A43116" s="2" t="s">
        <v>222</v>
      </c>
    </row>
    <row r="43117" spans="1:1" ht="12.75">
      <c r="A43117" s="2" t="s">
        <v>222</v>
      </c>
    </row>
    <row r="43118" spans="1:1" ht="12.75">
      <c r="A43118" s="2" t="s">
        <v>222</v>
      </c>
    </row>
    <row r="43119" spans="1:1" ht="12.75">
      <c r="A43119" s="2" t="s">
        <v>875</v>
      </c>
    </row>
    <row r="43120" spans="1:1" ht="12.75">
      <c r="A43120" s="2" t="s">
        <v>222</v>
      </c>
    </row>
    <row r="43121" spans="1:1" ht="12.75">
      <c r="A43121" s="2" t="s">
        <v>875</v>
      </c>
    </row>
    <row r="43122" spans="1:1" ht="12.75">
      <c r="A43122" s="2" t="s">
        <v>222</v>
      </c>
    </row>
    <row r="43123" spans="1:1" ht="12.75">
      <c r="A43123" s="2" t="s">
        <v>875</v>
      </c>
    </row>
    <row r="43124" spans="1:1" ht="12.75">
      <c r="A43124" s="2" t="s">
        <v>984</v>
      </c>
    </row>
    <row r="43125" spans="1:1" ht="12.75">
      <c r="A43125" s="2" t="s">
        <v>414</v>
      </c>
    </row>
    <row r="43126" spans="1:1" ht="12.75">
      <c r="A43126" s="2" t="s">
        <v>875</v>
      </c>
    </row>
    <row r="43127" spans="1:1" ht="12.75">
      <c r="A43127" s="2" t="s">
        <v>222</v>
      </c>
    </row>
    <row r="43128" spans="1:1" ht="12.75">
      <c r="A43128" s="2" t="s">
        <v>985</v>
      </c>
    </row>
    <row r="43129" spans="1:1" ht="12.75">
      <c r="A43129" s="2" t="s">
        <v>985</v>
      </c>
    </row>
    <row r="43130" spans="1:1" ht="12.75">
      <c r="A43130" s="2" t="s">
        <v>222</v>
      </c>
    </row>
    <row r="43131" spans="1:1" ht="12.75">
      <c r="A43131" s="2" t="s">
        <v>222</v>
      </c>
    </row>
    <row r="43132" spans="1:1" ht="12.75">
      <c r="A43132" s="2" t="s">
        <v>222</v>
      </c>
    </row>
    <row r="43133" spans="1:1" ht="12.75">
      <c r="A43133" s="2" t="s">
        <v>222</v>
      </c>
    </row>
    <row r="43135" spans="1:1" ht="12.75">
      <c r="A43135" s="2" t="s">
        <v>222</v>
      </c>
    </row>
    <row r="43136" spans="1:1" ht="12.75">
      <c r="A43136" s="2" t="s">
        <v>875</v>
      </c>
    </row>
    <row r="43137" spans="1:1" ht="12.75">
      <c r="A43137" s="2" t="s">
        <v>222</v>
      </c>
    </row>
    <row r="43138" spans="1:1" ht="12.75">
      <c r="A43138" s="2" t="s">
        <v>222</v>
      </c>
    </row>
    <row r="43139" spans="1:1" ht="12.75">
      <c r="A43139" s="2" t="s">
        <v>222</v>
      </c>
    </row>
    <row r="43140" spans="1:1" ht="12.75">
      <c r="A43140" s="2" t="s">
        <v>222</v>
      </c>
    </row>
    <row r="43141" spans="1:1" ht="12.75">
      <c r="A43141" s="2" t="s">
        <v>222</v>
      </c>
    </row>
    <row r="43142" spans="1:1" ht="12.75">
      <c r="A43142" s="2" t="s">
        <v>875</v>
      </c>
    </row>
    <row r="43143" spans="1:1" ht="12.75">
      <c r="A43143" s="2" t="s">
        <v>222</v>
      </c>
    </row>
    <row r="43144" spans="1:1" ht="12.75">
      <c r="A43144" s="2">
        <v>8304</v>
      </c>
    </row>
    <row r="43145" spans="1:1" ht="12.75">
      <c r="A43145" s="2" t="s">
        <v>222</v>
      </c>
    </row>
    <row r="43148" spans="1:1" ht="12.75">
      <c r="A43148" s="2" t="s">
        <v>414</v>
      </c>
    </row>
    <row r="43149" spans="1:1" ht="12.75">
      <c r="A43149" s="2" t="s">
        <v>414</v>
      </c>
    </row>
    <row r="43150" spans="1:1" ht="12.75">
      <c r="A43150" s="2" t="s">
        <v>414</v>
      </c>
    </row>
    <row r="43151" spans="1:1" ht="12.75">
      <c r="A43151" s="2" t="s">
        <v>414</v>
      </c>
    </row>
    <row r="43152" spans="1:1" ht="12.75">
      <c r="A43152" s="2" t="s">
        <v>985</v>
      </c>
    </row>
    <row r="43153" spans="1:1" ht="12.75">
      <c r="A43153" s="2" t="s">
        <v>985</v>
      </c>
    </row>
    <row r="43154" spans="1:1" ht="12.75">
      <c r="A43154" s="2" t="s">
        <v>985</v>
      </c>
    </row>
    <row r="43155" spans="1:1" ht="12.75">
      <c r="A43155" s="2" t="s">
        <v>985</v>
      </c>
    </row>
    <row r="43156" spans="1:1" ht="12.75">
      <c r="A43156" s="2" t="s">
        <v>222</v>
      </c>
    </row>
    <row r="43157" spans="1:1" ht="12.75">
      <c r="A43157" s="2" t="s">
        <v>222</v>
      </c>
    </row>
    <row r="43162" spans="1:1" ht="12.75">
      <c r="A43162" s="2" t="s">
        <v>1483</v>
      </c>
    </row>
    <row r="43163" spans="1:1" ht="12.75">
      <c r="A43163" s="2" t="s">
        <v>1484</v>
      </c>
    </row>
    <row r="43164" spans="1:1" ht="12.75">
      <c r="A43164" s="2" t="s">
        <v>1484</v>
      </c>
    </row>
    <row r="43165" spans="1:1" ht="12.75">
      <c r="A43165" s="2" t="s">
        <v>1484</v>
      </c>
    </row>
    <row r="43167" spans="1:1" ht="12.75">
      <c r="A43167" s="2" t="s">
        <v>403</v>
      </c>
    </row>
    <row r="43168" spans="1:1" ht="12.75">
      <c r="A43168" s="2" t="s">
        <v>403</v>
      </c>
    </row>
    <row r="43169" spans="1:1" ht="12.75">
      <c r="A43169" s="2" t="s">
        <v>403</v>
      </c>
    </row>
    <row r="43170" spans="1:1" ht="12.75">
      <c r="A43170" s="2" t="s">
        <v>403</v>
      </c>
    </row>
    <row r="43171" spans="1:1" ht="12.75">
      <c r="A43171" s="2" t="s">
        <v>403</v>
      </c>
    </row>
    <row r="43172" spans="1:1" ht="12.75">
      <c r="A43172" s="2" t="s">
        <v>403</v>
      </c>
    </row>
    <row r="43174" spans="1:1" ht="12.75">
      <c r="A43174" s="2" t="s">
        <v>403</v>
      </c>
    </row>
    <row r="43179" spans="1:1" ht="12.75">
      <c r="A43179" s="2" t="s">
        <v>727</v>
      </c>
    </row>
    <row r="43180" spans="1:1" ht="12.75">
      <c r="A43180" s="2" t="s">
        <v>727</v>
      </c>
    </row>
    <row r="43181" spans="1:1" ht="12.75">
      <c r="A43181" s="2" t="s">
        <v>343</v>
      </c>
    </row>
    <row r="43182" spans="1:1" ht="12.75">
      <c r="A43182" s="2" t="s">
        <v>727</v>
      </c>
    </row>
    <row r="43183" spans="1:1" ht="12.75">
      <c r="A43183" s="2" t="s">
        <v>727</v>
      </c>
    </row>
    <row r="43184" spans="1:1" ht="12.75">
      <c r="A43184" s="2" t="s">
        <v>727</v>
      </c>
    </row>
    <row r="43185" spans="1:1" ht="12.75">
      <c r="A43185" s="2" t="s">
        <v>1469</v>
      </c>
    </row>
    <row r="43186" spans="1:1" ht="12.75">
      <c r="A43186" s="2" t="s">
        <v>155</v>
      </c>
    </row>
    <row r="43187" spans="1:1" ht="12.75">
      <c r="A43187" s="2" t="s">
        <v>155</v>
      </c>
    </row>
    <row r="43188" spans="1:1" ht="12.75">
      <c r="A43188" s="2" t="s">
        <v>155</v>
      </c>
    </row>
    <row r="43189" spans="1:1" ht="12.75">
      <c r="A43189" s="2" t="s">
        <v>155</v>
      </c>
    </row>
    <row r="43190" spans="1:1" ht="12.75">
      <c r="A43190" s="2" t="s">
        <v>155</v>
      </c>
    </row>
    <row r="43191" spans="1:1" ht="12.75">
      <c r="A43191" s="2" t="s">
        <v>155</v>
      </c>
    </row>
    <row r="43192" spans="1:1" ht="12.75">
      <c r="A43192" s="2" t="s">
        <v>155</v>
      </c>
    </row>
    <row r="43193" spans="1:1" ht="12.75">
      <c r="A43193" s="2" t="s">
        <v>155</v>
      </c>
    </row>
    <row r="43194" spans="1:1" ht="12.75">
      <c r="A43194" s="2" t="s">
        <v>155</v>
      </c>
    </row>
    <row r="43195" spans="1:1" ht="12.75">
      <c r="A43195" s="2" t="s">
        <v>155</v>
      </c>
    </row>
    <row r="43196" spans="1:1" ht="12.75">
      <c r="A43196" s="2" t="s">
        <v>566</v>
      </c>
    </row>
    <row r="43197" spans="1:1" ht="12.75">
      <c r="A43197" s="2" t="s">
        <v>566</v>
      </c>
    </row>
    <row r="43198" spans="1:1" ht="12.75">
      <c r="A43198" s="2" t="s">
        <v>566</v>
      </c>
    </row>
    <row r="43199" spans="1:1" ht="12.75">
      <c r="A43199" s="2" t="s">
        <v>566</v>
      </c>
    </row>
    <row r="43200" spans="1:1" ht="12.75">
      <c r="A43200" s="2" t="s">
        <v>566</v>
      </c>
    </row>
    <row r="43201" spans="1:1" ht="12.75">
      <c r="A43201" s="2" t="s">
        <v>566</v>
      </c>
    </row>
    <row r="43202" spans="1:1" ht="12.75">
      <c r="A43202" s="2" t="s">
        <v>566</v>
      </c>
    </row>
    <row r="43203" spans="1:1" ht="12.75">
      <c r="A43203" s="2" t="s">
        <v>566</v>
      </c>
    </row>
    <row r="43204" spans="1:1" ht="12.75">
      <c r="A43204" s="2" t="s">
        <v>566</v>
      </c>
    </row>
    <row r="43205" spans="1:1" ht="12.75">
      <c r="A43205" s="2" t="s">
        <v>566</v>
      </c>
    </row>
    <row r="43206" spans="1:1" ht="12.75">
      <c r="A43206" s="2" t="s">
        <v>566</v>
      </c>
    </row>
    <row r="43208" spans="1:1" ht="12.75">
      <c r="A43208" s="2" t="s">
        <v>1485</v>
      </c>
    </row>
    <row r="43209" spans="1:1" ht="12.75">
      <c r="A43209" s="2" t="s">
        <v>1485</v>
      </c>
    </row>
    <row r="43212" spans="1:1" ht="12.75">
      <c r="A43212" s="2" t="s">
        <v>571</v>
      </c>
    </row>
    <row r="43215" spans="1:1" ht="12.75">
      <c r="A43215" s="2" t="s">
        <v>425</v>
      </c>
    </row>
    <row r="43216" spans="1:1" ht="12.75">
      <c r="A43216" s="2" t="s">
        <v>425</v>
      </c>
    </row>
    <row r="43217" spans="1:1" ht="12.75">
      <c r="A43217" s="2" t="s">
        <v>425</v>
      </c>
    </row>
    <row r="43218" spans="1:1" ht="12.75">
      <c r="A43218" s="2" t="s">
        <v>425</v>
      </c>
    </row>
    <row r="43219" spans="1:1" ht="12.75">
      <c r="A43219" s="2" t="s">
        <v>427</v>
      </c>
    </row>
    <row r="43220" spans="1:1" ht="12.75">
      <c r="A43220" s="2" t="s">
        <v>425</v>
      </c>
    </row>
    <row r="43221" spans="1:1" ht="12.75">
      <c r="A43221" s="2" t="s">
        <v>411</v>
      </c>
    </row>
    <row r="43226" spans="1:1" ht="12.75">
      <c r="A43226" s="2" t="s">
        <v>515</v>
      </c>
    </row>
    <row r="43227" spans="1:1" ht="12.75">
      <c r="A43227" s="2" t="s">
        <v>515</v>
      </c>
    </row>
    <row r="43228" spans="1:1" ht="12.75">
      <c r="A43228" s="2" t="s">
        <v>515</v>
      </c>
    </row>
    <row r="43229" spans="1:1" ht="12.75">
      <c r="A43229" s="2" t="s">
        <v>515</v>
      </c>
    </row>
    <row r="43230" spans="1:1" ht="12.75">
      <c r="A43230" s="2" t="s">
        <v>515</v>
      </c>
    </row>
    <row r="43231" spans="1:1" ht="12.75">
      <c r="A43231" s="2" t="s">
        <v>279</v>
      </c>
    </row>
    <row r="43233" spans="1:1" ht="12.75">
      <c r="A43233" s="2" t="s">
        <v>279</v>
      </c>
    </row>
    <row r="43234" spans="1:1" ht="12.75">
      <c r="A43234" s="2" t="s">
        <v>279</v>
      </c>
    </row>
    <row r="43235" spans="1:1" ht="12.75">
      <c r="A43235" s="2" t="s">
        <v>1486</v>
      </c>
    </row>
    <row r="43236" spans="1:1" ht="12.75">
      <c r="A43236" s="2" t="s">
        <v>279</v>
      </c>
    </row>
    <row r="43237" spans="1:1" ht="12.75">
      <c r="A43237" s="2" t="s">
        <v>722</v>
      </c>
    </row>
    <row r="43240" spans="1:1" ht="12.75">
      <c r="A43240" s="2" t="s">
        <v>1487</v>
      </c>
    </row>
    <row r="43241" spans="1:1" ht="12.75">
      <c r="A43241" s="2" t="s">
        <v>1408</v>
      </c>
    </row>
    <row r="43242" spans="1:1" ht="12.75">
      <c r="A43242" s="2" t="s">
        <v>1488</v>
      </c>
    </row>
    <row r="43245" spans="1:1" ht="12.75">
      <c r="A43245" s="2" t="s">
        <v>1489</v>
      </c>
    </row>
    <row r="43246" spans="1:1" ht="12.75">
      <c r="A43246" s="2" t="s">
        <v>1399</v>
      </c>
    </row>
    <row r="43247" spans="1:1" ht="12.75">
      <c r="A43247" s="2" t="s">
        <v>1399</v>
      </c>
    </row>
    <row r="43250" spans="1:1" ht="12.75">
      <c r="A43250" s="2" t="s">
        <v>1132</v>
      </c>
    </row>
    <row r="43254" spans="1:1" ht="12.75">
      <c r="A43254" s="2" t="s">
        <v>522</v>
      </c>
    </row>
    <row r="43299" spans="1:1" ht="12.75">
      <c r="A43299" s="2" t="s">
        <v>189</v>
      </c>
    </row>
    <row r="43304" spans="1:1" ht="12.75">
      <c r="A43304" s="2" t="s">
        <v>171</v>
      </c>
    </row>
    <row r="43305" spans="1:1" ht="12.75">
      <c r="A43305" s="2" t="s">
        <v>173</v>
      </c>
    </row>
    <row r="43306" spans="1:1" ht="12.75">
      <c r="A43306" s="2" t="s">
        <v>173</v>
      </c>
    </row>
    <row r="43308" spans="1:1" ht="12.75">
      <c r="A43308" s="2" t="s">
        <v>175</v>
      </c>
    </row>
    <row r="43309" spans="1:1" ht="12.75">
      <c r="A43309" s="2" t="s">
        <v>175</v>
      </c>
    </row>
    <row r="43310" spans="1:1" ht="12.75">
      <c r="A43310" s="2" t="s">
        <v>184</v>
      </c>
    </row>
    <row r="43314" spans="1:1" ht="12.75">
      <c r="A43314" s="2" t="s">
        <v>168</v>
      </c>
    </row>
    <row r="43315" spans="1:1" ht="12.75">
      <c r="A43315" s="2" t="s">
        <v>168</v>
      </c>
    </row>
    <row r="43317" spans="1:1" ht="12.75">
      <c r="A43317" s="2" t="s">
        <v>160</v>
      </c>
    </row>
    <row r="43318" spans="1:1" ht="12.75">
      <c r="A43318" s="2" t="s">
        <v>160</v>
      </c>
    </row>
    <row r="43319" spans="1:1" ht="12.75">
      <c r="A43319" s="2" t="s">
        <v>160</v>
      </c>
    </row>
    <row r="43320" spans="1:1" ht="12.75">
      <c r="A43320" s="2" t="s">
        <v>185</v>
      </c>
    </row>
    <row r="43321" spans="1:1" ht="12.75">
      <c r="A43321" s="2" t="s">
        <v>185</v>
      </c>
    </row>
    <row r="43323" spans="1:1" ht="12.75">
      <c r="A43323" s="2" t="s">
        <v>166</v>
      </c>
    </row>
    <row r="43326" spans="1:1" ht="12.75">
      <c r="A43326" s="2" t="s">
        <v>162</v>
      </c>
    </row>
    <row r="43327" spans="1:1" ht="12.75">
      <c r="A43327" s="2" t="s">
        <v>162</v>
      </c>
    </row>
    <row r="43328" spans="1:1" ht="12.75">
      <c r="A43328" s="2" t="s">
        <v>162</v>
      </c>
    </row>
    <row r="43329" spans="1:1" ht="12.75">
      <c r="A43329" s="2" t="s">
        <v>163</v>
      </c>
    </row>
    <row r="43330" spans="1:1" ht="12.75">
      <c r="A43330" s="2" t="s">
        <v>163</v>
      </c>
    </row>
    <row r="43331" spans="1:1" ht="12.75">
      <c r="A43331" s="2" t="s">
        <v>163</v>
      </c>
    </row>
    <row r="43332" spans="1:1" ht="12.75">
      <c r="A43332" s="2" t="s">
        <v>184</v>
      </c>
    </row>
    <row r="43335" spans="1:1" ht="12.75">
      <c r="A43335" s="2" t="s">
        <v>194</v>
      </c>
    </row>
    <row r="43337" spans="1:1" ht="12.75">
      <c r="A43337" s="2" t="s">
        <v>167</v>
      </c>
    </row>
    <row r="43338" spans="1:1" ht="12.75">
      <c r="A43338" s="2" t="s">
        <v>733</v>
      </c>
    </row>
    <row r="43339" spans="1:1" ht="12.75">
      <c r="A43339" s="2" t="s">
        <v>167</v>
      </c>
    </row>
    <row r="43340" spans="1:1" ht="12.75">
      <c r="A43340" s="2" t="s">
        <v>1391</v>
      </c>
    </row>
    <row r="43341" spans="1:1" ht="12.75">
      <c r="A43341" s="2" t="s">
        <v>177</v>
      </c>
    </row>
    <row r="43342" spans="1:1" ht="12.75">
      <c r="A43342" s="2" t="s">
        <v>184</v>
      </c>
    </row>
    <row r="43343" spans="1:1" ht="12.75">
      <c r="A43343" s="2" t="s">
        <v>176</v>
      </c>
    </row>
    <row r="43344" spans="1:1" ht="12.75">
      <c r="A43344" s="2" t="s">
        <v>176</v>
      </c>
    </row>
    <row r="43346" spans="1:1" ht="12.75">
      <c r="A43346" s="2" t="s">
        <v>171</v>
      </c>
    </row>
    <row r="43349" spans="1:1" ht="12.75">
      <c r="A43349" s="2" t="s">
        <v>189</v>
      </c>
    </row>
    <row r="43351" spans="1:1" ht="12.75">
      <c r="A43351" s="2" t="s">
        <v>161</v>
      </c>
    </row>
    <row r="43352" spans="1:1" ht="12.75">
      <c r="A43352" s="2" t="s">
        <v>168</v>
      </c>
    </row>
    <row r="43353" spans="1:1" ht="12.75">
      <c r="A43353" s="2" t="s">
        <v>168</v>
      </c>
    </row>
    <row r="43354" spans="1:1" ht="12.75">
      <c r="A43354" s="2" t="s">
        <v>194</v>
      </c>
    </row>
    <row r="43356" spans="1:1" ht="12.75">
      <c r="A43356" s="2" t="s">
        <v>522</v>
      </c>
    </row>
    <row r="43437" spans="1:1" ht="12.75">
      <c r="A43437" s="2" t="s">
        <v>169</v>
      </c>
    </row>
    <row r="43438" spans="1:1" ht="12.75">
      <c r="A43438" s="2" t="s">
        <v>169</v>
      </c>
    </row>
    <row r="43440" spans="1:1" ht="12.75">
      <c r="A43440" s="2" t="s">
        <v>189</v>
      </c>
    </row>
    <row r="43441" spans="1:1" ht="12.75">
      <c r="A43441" s="2" t="s">
        <v>735</v>
      </c>
    </row>
    <row r="43442" spans="1:1" ht="12.75">
      <c r="A43442" s="2" t="s">
        <v>735</v>
      </c>
    </row>
    <row r="43443" spans="1:1" ht="12.75">
      <c r="A43443" s="2" t="s">
        <v>227</v>
      </c>
    </row>
    <row r="43456" spans="1:1" ht="12.75">
      <c r="A43456" s="2" t="s">
        <v>165</v>
      </c>
    </row>
    <row r="43501" spans="1:1" ht="12.75">
      <c r="A43501" s="2" t="s">
        <v>162</v>
      </c>
    </row>
    <row r="43502" spans="1:1" ht="12.75">
      <c r="A43502" s="2" t="s">
        <v>162</v>
      </c>
    </row>
    <row r="43503" spans="1:1" ht="12.75">
      <c r="A43503" s="2" t="s">
        <v>162</v>
      </c>
    </row>
    <row r="43504" spans="1:1" ht="12.75">
      <c r="A43504" s="2" t="s">
        <v>194</v>
      </c>
    </row>
    <row r="43505" spans="1:1" ht="12.75">
      <c r="A43505" s="2" t="s">
        <v>194</v>
      </c>
    </row>
    <row r="43506" spans="1:1" ht="12.75">
      <c r="A43506" s="2" t="s">
        <v>194</v>
      </c>
    </row>
    <row r="43507" spans="1:1" ht="12.75">
      <c r="A43507" s="2" t="s">
        <v>181</v>
      </c>
    </row>
    <row r="43508" spans="1:1" ht="12.75">
      <c r="A43508" s="2" t="s">
        <v>181</v>
      </c>
    </row>
    <row r="43509" spans="1:1" ht="12.75">
      <c r="A43509" s="2" t="s">
        <v>181</v>
      </c>
    </row>
    <row r="43516" spans="1:1" ht="12.75">
      <c r="A43516" s="2" t="s">
        <v>167</v>
      </c>
    </row>
    <row r="43517" spans="1:1" ht="12.75">
      <c r="A43517" s="2" t="s">
        <v>167</v>
      </c>
    </row>
    <row r="43518" spans="1:1" ht="12.75">
      <c r="A43518" s="2" t="s">
        <v>167</v>
      </c>
    </row>
    <row r="43521" spans="1:1" ht="12.75">
      <c r="A43521" s="2" t="s">
        <v>165</v>
      </c>
    </row>
    <row r="43522" spans="1:1" ht="12.75">
      <c r="A43522" s="2" t="s">
        <v>176</v>
      </c>
    </row>
    <row r="43523" spans="1:1" ht="12.75">
      <c r="A43523" s="2" t="s">
        <v>176</v>
      </c>
    </row>
    <row r="43525" spans="1:1" ht="12.75">
      <c r="A43525" s="2" t="s">
        <v>169</v>
      </c>
    </row>
    <row r="43526" spans="1:1" ht="12.75">
      <c r="A43526" s="2" t="s">
        <v>169</v>
      </c>
    </row>
    <row r="43527" spans="1:1" ht="12.75">
      <c r="A43527" s="2" t="s">
        <v>169</v>
      </c>
    </row>
    <row r="43528" spans="1:1" ht="12.75">
      <c r="A43528" s="2" t="s">
        <v>221</v>
      </c>
    </row>
    <row r="43530" spans="1:1" ht="12.75">
      <c r="A43530" s="2" t="s">
        <v>221</v>
      </c>
    </row>
    <row r="43531" spans="1:1" ht="12.75">
      <c r="A43531" s="2" t="s">
        <v>734</v>
      </c>
    </row>
    <row r="43533" spans="1:1" ht="12.75">
      <c r="A43533" s="2" t="s">
        <v>393</v>
      </c>
    </row>
    <row r="43534" spans="1:1" ht="12.75">
      <c r="A43534" s="2" t="s">
        <v>1490</v>
      </c>
    </row>
    <row r="43557" spans="1:1" ht="12.75">
      <c r="A43557" s="2" t="s">
        <v>294</v>
      </c>
    </row>
    <row r="43558" spans="1:1" ht="12.75">
      <c r="A43558" s="2" t="s">
        <v>294</v>
      </c>
    </row>
    <row r="43559" spans="1:1" ht="12.75">
      <c r="A43559" s="2" t="s">
        <v>294</v>
      </c>
    </row>
    <row r="43560" spans="1:1" ht="12.75">
      <c r="A43560" s="2" t="s">
        <v>294</v>
      </c>
    </row>
    <row r="43561" spans="1:1" ht="12.75">
      <c r="A43561" s="2" t="s">
        <v>294</v>
      </c>
    </row>
    <row r="43562" spans="1:1" ht="12.75">
      <c r="A43562" s="2" t="s">
        <v>294</v>
      </c>
    </row>
    <row r="43563" spans="1:1" ht="12.75">
      <c r="A43563" s="2" t="s">
        <v>294</v>
      </c>
    </row>
    <row r="43564" spans="1:1" ht="12.75">
      <c r="A43564" s="2" t="s">
        <v>294</v>
      </c>
    </row>
    <row r="43565" spans="1:1" ht="12.75">
      <c r="A43565" s="2" t="s">
        <v>294</v>
      </c>
    </row>
    <row r="43566" spans="1:1" ht="12.75">
      <c r="A43566" s="2" t="s">
        <v>294</v>
      </c>
    </row>
    <row r="43567" spans="1:1" ht="12.75">
      <c r="A43567" s="2" t="s">
        <v>294</v>
      </c>
    </row>
    <row r="43568" spans="1:1" ht="12.75">
      <c r="A43568" s="2" t="s">
        <v>294</v>
      </c>
    </row>
    <row r="43586" spans="1:1" ht="12.75">
      <c r="A43586" s="2" t="s">
        <v>225</v>
      </c>
    </row>
    <row r="43588" spans="1:1" ht="12.75">
      <c r="A43588" s="2" t="s">
        <v>225</v>
      </c>
    </row>
    <row r="43590" spans="1:1" ht="12.75">
      <c r="A43590" s="2" t="s">
        <v>193</v>
      </c>
    </row>
    <row r="43592" spans="1:1" ht="12.75">
      <c r="A43592" s="2" t="s">
        <v>173</v>
      </c>
    </row>
    <row r="43593" spans="1:1" ht="12.75">
      <c r="A43593" s="2" t="s">
        <v>173</v>
      </c>
    </row>
    <row r="43594" spans="1:1" ht="12.75">
      <c r="A43594" s="2" t="s">
        <v>173</v>
      </c>
    </row>
    <row r="43598" spans="1:1" ht="12.75">
      <c r="A43598" s="2" t="s">
        <v>163</v>
      </c>
    </row>
    <row r="43599" spans="1:1" ht="12.75">
      <c r="A43599" s="2" t="s">
        <v>163</v>
      </c>
    </row>
    <row r="43600" spans="1:1" ht="12.75">
      <c r="A43600" s="2" t="s">
        <v>163</v>
      </c>
    </row>
    <row r="43669" spans="1:1" ht="12.75">
      <c r="A43669" s="2" t="s">
        <v>357</v>
      </c>
    </row>
    <row r="43670" spans="1:1" ht="12.75">
      <c r="A43670" s="2" t="s">
        <v>357</v>
      </c>
    </row>
    <row r="43671" spans="1:1" ht="12.75">
      <c r="A43671" s="2" t="s">
        <v>357</v>
      </c>
    </row>
    <row r="43672" spans="1:1" ht="12.75">
      <c r="A43672" s="2" t="s">
        <v>357</v>
      </c>
    </row>
    <row r="43673" spans="1:1" ht="12.75">
      <c r="A43673" s="2" t="s">
        <v>1300</v>
      </c>
    </row>
    <row r="43674" spans="1:1" ht="12.75">
      <c r="A43674" s="2" t="s">
        <v>357</v>
      </c>
    </row>
    <row r="43677" spans="1:1" ht="12.75">
      <c r="A43677" s="2" t="s">
        <v>357</v>
      </c>
    </row>
    <row r="43679" spans="1:1" ht="12.75">
      <c r="A43679" s="2" t="s">
        <v>354</v>
      </c>
    </row>
    <row r="43680" spans="1:1" ht="12.75">
      <c r="A43680" s="2" t="s">
        <v>1333</v>
      </c>
    </row>
    <row r="43681" spans="1:1" ht="12.75">
      <c r="A43681" s="2" t="s">
        <v>1333</v>
      </c>
    </row>
    <row r="43682" spans="1:1" ht="12.75">
      <c r="A43682" s="2" t="s">
        <v>1334</v>
      </c>
    </row>
    <row r="43683" spans="1:1" ht="12.75">
      <c r="A43683" s="2" t="s">
        <v>1415</v>
      </c>
    </row>
    <row r="43685" spans="1:1" ht="12.75">
      <c r="A43685" s="2" t="s">
        <v>949</v>
      </c>
    </row>
    <row r="43686" spans="1:1" ht="12.75">
      <c r="A43686" s="2" t="s">
        <v>949</v>
      </c>
    </row>
    <row r="43687" spans="1:1" ht="12.75">
      <c r="A43687" s="2" t="s">
        <v>1415</v>
      </c>
    </row>
    <row r="43688" spans="1:1" ht="12.75">
      <c r="A43688" s="2" t="s">
        <v>1270</v>
      </c>
    </row>
    <row r="43689" spans="1:1" ht="12.75">
      <c r="A43689" s="2" t="s">
        <v>1270</v>
      </c>
    </row>
    <row r="43690" spans="1:1" ht="12.75">
      <c r="A43690" s="2" t="s">
        <v>1270</v>
      </c>
    </row>
    <row r="43692" spans="1:1" ht="12.75">
      <c r="A43692" s="2" t="s">
        <v>1270</v>
      </c>
    </row>
    <row r="43693" spans="1:1" ht="12.75">
      <c r="A43693" s="2" t="s">
        <v>1270</v>
      </c>
    </row>
    <row r="43694" spans="1:1" ht="12.75">
      <c r="A43694" s="2" t="s">
        <v>1270</v>
      </c>
    </row>
    <row r="43695" spans="1:1" ht="12.75">
      <c r="A43695" s="2" t="s">
        <v>613</v>
      </c>
    </row>
    <row r="43696" spans="1:1" ht="12.75">
      <c r="A43696" s="2" t="s">
        <v>438</v>
      </c>
    </row>
    <row r="43697" spans="1:1" ht="12.75">
      <c r="A43697" s="2" t="s">
        <v>1491</v>
      </c>
    </row>
    <row r="43698" spans="1:1" ht="12.75">
      <c r="A43698" s="2" t="s">
        <v>443</v>
      </c>
    </row>
    <row r="43699" spans="1:1" ht="12.75">
      <c r="A43699" s="2" t="s">
        <v>440</v>
      </c>
    </row>
    <row r="43700" spans="1:1" ht="12.75">
      <c r="A43700" s="2" t="s">
        <v>612</v>
      </c>
    </row>
    <row r="43701" spans="1:1" ht="12.75">
      <c r="A43701" s="2" t="s">
        <v>439</v>
      </c>
    </row>
    <row r="43702" spans="1:1" ht="12.75">
      <c r="A43702" s="2" t="s">
        <v>439</v>
      </c>
    </row>
    <row r="43703" spans="1:1" ht="12.75">
      <c r="A43703" s="2" t="s">
        <v>438</v>
      </c>
    </row>
    <row r="43704" spans="1:1" ht="12.75">
      <c r="A43704" s="2" t="s">
        <v>491</v>
      </c>
    </row>
    <row r="43705" spans="1:1" ht="12.75">
      <c r="A43705" s="2" t="s">
        <v>613</v>
      </c>
    </row>
    <row r="43706" spans="1:1" ht="12.75">
      <c r="A43706" s="2" t="s">
        <v>613</v>
      </c>
    </row>
    <row r="43707" spans="1:1" ht="12.75">
      <c r="A43707" s="2" t="s">
        <v>443</v>
      </c>
    </row>
    <row r="43708" spans="1:1" ht="12.75">
      <c r="A43708" s="2" t="s">
        <v>443</v>
      </c>
    </row>
    <row r="43709" spans="1:1" ht="12.75">
      <c r="A43709" s="2" t="s">
        <v>1059</v>
      </c>
    </row>
    <row r="43710" spans="1:1" ht="12.75">
      <c r="A43710" s="2" t="s">
        <v>1174</v>
      </c>
    </row>
    <row r="43711" spans="1:1" ht="12.75">
      <c r="A43711" s="2" t="s">
        <v>848</v>
      </c>
    </row>
    <row r="43712" spans="1:1" ht="12.75">
      <c r="A43712" s="2" t="s">
        <v>846</v>
      </c>
    </row>
    <row r="43713" spans="1:1" ht="12.75">
      <c r="A43713" s="2" t="s">
        <v>852</v>
      </c>
    </row>
    <row r="43714" spans="1:1" ht="12.75">
      <c r="A43714" s="2" t="s">
        <v>1492</v>
      </c>
    </row>
    <row r="43715" spans="1:1" ht="12.75">
      <c r="A43715" s="2" t="s">
        <v>845</v>
      </c>
    </row>
    <row r="43716" spans="1:1" ht="12.75">
      <c r="A43716" s="2" t="s">
        <v>845</v>
      </c>
    </row>
    <row r="43717" spans="1:1" ht="12.75">
      <c r="A43717" s="2" t="s">
        <v>845</v>
      </c>
    </row>
    <row r="43718" spans="1:1" ht="12.75">
      <c r="A43718" s="2" t="s">
        <v>845</v>
      </c>
    </row>
    <row r="43719" spans="1:1" ht="12.75">
      <c r="A43719" s="2" t="s">
        <v>845</v>
      </c>
    </row>
    <row r="43720" spans="1:1" ht="12.75">
      <c r="A43720" s="2" t="s">
        <v>1493</v>
      </c>
    </row>
    <row r="43721" spans="1:1" ht="12.75">
      <c r="A43721" s="2" t="s">
        <v>845</v>
      </c>
    </row>
    <row r="43722" spans="1:1" ht="12.75">
      <c r="A43722" s="2" t="s">
        <v>845</v>
      </c>
    </row>
    <row r="43723" spans="1:1" ht="12.75">
      <c r="A43723" s="2" t="s">
        <v>845</v>
      </c>
    </row>
    <row r="43724" spans="1:1" ht="12.75">
      <c r="A43724" s="2" t="s">
        <v>845</v>
      </c>
    </row>
    <row r="43725" spans="1:1" ht="12.75">
      <c r="A43725" s="2" t="s">
        <v>483</v>
      </c>
    </row>
    <row r="43726" spans="1:1" ht="12.75">
      <c r="A43726" s="2" t="s">
        <v>845</v>
      </c>
    </row>
    <row r="43727" spans="1:1" ht="12.75">
      <c r="A43727" s="2" t="s">
        <v>483</v>
      </c>
    </row>
    <row r="43728" spans="1:1" ht="12.75">
      <c r="A43728" s="2" t="s">
        <v>483</v>
      </c>
    </row>
    <row r="43729" spans="1:1" ht="12.75">
      <c r="A43729" s="2" t="s">
        <v>854</v>
      </c>
    </row>
    <row r="43730" spans="1:1" ht="12.75">
      <c r="A43730" s="2" t="s">
        <v>839</v>
      </c>
    </row>
    <row r="43731" spans="1:1" ht="12.75">
      <c r="A43731" s="2" t="s">
        <v>821</v>
      </c>
    </row>
    <row r="43732" spans="1:1" ht="12.75">
      <c r="A43732" s="2" t="s">
        <v>825</v>
      </c>
    </row>
    <row r="43733" spans="1:1" ht="12.75">
      <c r="A43733" s="2" t="s">
        <v>825</v>
      </c>
    </row>
    <row r="43734" spans="1:1" ht="12.75">
      <c r="A43734" s="2" t="s">
        <v>829</v>
      </c>
    </row>
    <row r="43735" spans="1:1" ht="12.75">
      <c r="A43735" s="2" t="s">
        <v>829</v>
      </c>
    </row>
    <row r="43736" spans="1:1" ht="12.75">
      <c r="A43736" s="2" t="s">
        <v>920</v>
      </c>
    </row>
    <row r="43737" spans="1:1" ht="12.75">
      <c r="A43737" s="2" t="s">
        <v>829</v>
      </c>
    </row>
    <row r="43738" spans="1:1" ht="12.75">
      <c r="A43738" s="2" t="s">
        <v>1179</v>
      </c>
    </row>
    <row r="43739" spans="1:1" ht="12.75">
      <c r="A43739" s="2" t="s">
        <v>1179</v>
      </c>
    </row>
    <row r="43740" spans="1:1" ht="12.75">
      <c r="A43740" s="2" t="s">
        <v>836</v>
      </c>
    </row>
    <row r="43741" spans="1:1" ht="12.75">
      <c r="A43741" s="2" t="s">
        <v>836</v>
      </c>
    </row>
    <row r="43742" spans="1:1" ht="12.75">
      <c r="A43742" s="2" t="s">
        <v>854</v>
      </c>
    </row>
    <row r="43743" spans="1:1" ht="12.75">
      <c r="A43743" s="2" t="s">
        <v>854</v>
      </c>
    </row>
    <row r="43744" spans="1:1" ht="12.75">
      <c r="A43744" s="2" t="s">
        <v>857</v>
      </c>
    </row>
    <row r="43745" spans="1:1" ht="12.75">
      <c r="A43745" s="2" t="s">
        <v>857</v>
      </c>
    </row>
    <row r="43746" spans="1:1" ht="12.75">
      <c r="A43746" s="2" t="s">
        <v>855</v>
      </c>
    </row>
    <row r="43747" spans="1:1" ht="12.75">
      <c r="A43747" s="2" t="s">
        <v>827</v>
      </c>
    </row>
    <row r="43748" spans="1:1" ht="12.75">
      <c r="A43748" s="2" t="s">
        <v>856</v>
      </c>
    </row>
    <row r="43749" spans="1:1" ht="12.75">
      <c r="A43749" s="2" t="s">
        <v>856</v>
      </c>
    </row>
    <row r="43750" spans="1:1" ht="12.75">
      <c r="A43750" s="2" t="s">
        <v>826</v>
      </c>
    </row>
    <row r="43751" spans="1:1" ht="12.75">
      <c r="A43751" s="2" t="s">
        <v>844</v>
      </c>
    </row>
    <row r="43752" spans="1:1" ht="12.75">
      <c r="A43752" s="2" t="s">
        <v>839</v>
      </c>
    </row>
    <row r="43753" spans="1:1" ht="12.75">
      <c r="A43753" s="2" t="s">
        <v>854</v>
      </c>
    </row>
    <row r="43754" spans="1:1" ht="12.75">
      <c r="A43754" s="2" t="s">
        <v>854</v>
      </c>
    </row>
    <row r="43755" spans="1:1" ht="12.75">
      <c r="A43755" s="2" t="s">
        <v>1494</v>
      </c>
    </row>
    <row r="43756" spans="1:1" ht="12.75">
      <c r="A43756" s="2" t="s">
        <v>844</v>
      </c>
    </row>
    <row r="43757" spans="1:1" ht="12.75">
      <c r="A43757" s="2" t="s">
        <v>1179</v>
      </c>
    </row>
    <row r="43758" spans="1:1" ht="12.75">
      <c r="A43758" s="2" t="s">
        <v>844</v>
      </c>
    </row>
    <row r="43759" spans="1:1" ht="12.75">
      <c r="A43759" s="2" t="s">
        <v>839</v>
      </c>
    </row>
    <row r="43760" spans="1:1" ht="12.75">
      <c r="A43760" s="2" t="s">
        <v>920</v>
      </c>
    </row>
    <row r="43761" spans="1:1" ht="12.75">
      <c r="A43761" s="2" t="s">
        <v>821</v>
      </c>
    </row>
    <row r="43762" spans="1:1" ht="12.75">
      <c r="A43762" s="2" t="s">
        <v>821</v>
      </c>
    </row>
    <row r="43763" spans="1:1" ht="12.75">
      <c r="A43763" s="2" t="s">
        <v>825</v>
      </c>
    </row>
    <row r="43764" spans="1:1" ht="12.75">
      <c r="A43764" s="2" t="s">
        <v>825</v>
      </c>
    </row>
    <row r="43765" spans="1:1" ht="12.75">
      <c r="A43765" s="2" t="s">
        <v>1179</v>
      </c>
    </row>
    <row r="43766" spans="1:1" ht="12.75">
      <c r="A43766" s="2" t="s">
        <v>662</v>
      </c>
    </row>
    <row r="43767" spans="1:1" ht="12.75">
      <c r="A43767" s="2" t="s">
        <v>829</v>
      </c>
    </row>
    <row r="43768" spans="1:1" ht="12.75">
      <c r="A43768" s="2" t="s">
        <v>820</v>
      </c>
    </row>
    <row r="43769" spans="1:1" ht="12.75">
      <c r="A43769" s="2" t="s">
        <v>820</v>
      </c>
    </row>
    <row r="43770" spans="1:1" ht="12.75">
      <c r="A43770" s="2" t="s">
        <v>857</v>
      </c>
    </row>
    <row r="43771" spans="1:1" ht="12.75">
      <c r="A43771" s="2" t="s">
        <v>857</v>
      </c>
    </row>
    <row r="43772" spans="1:1" ht="12.75">
      <c r="A43772" s="2" t="s">
        <v>836</v>
      </c>
    </row>
    <row r="43773" spans="1:1" ht="12.75">
      <c r="A43773" s="2" t="s">
        <v>836</v>
      </c>
    </row>
    <row r="43774" spans="1:1" ht="12.75">
      <c r="A43774" s="2" t="s">
        <v>844</v>
      </c>
    </row>
    <row r="43775" spans="1:1" ht="12.75">
      <c r="A43775" s="2" t="s">
        <v>483</v>
      </c>
    </row>
    <row r="43776" spans="1:1" ht="12.75">
      <c r="A43776" s="2" t="s">
        <v>483</v>
      </c>
    </row>
    <row r="43777" spans="1:1" ht="12.75">
      <c r="A43777" s="2" t="s">
        <v>483</v>
      </c>
    </row>
    <row r="43778" spans="1:1" ht="12.75">
      <c r="A43778" s="2" t="s">
        <v>483</v>
      </c>
    </row>
    <row r="43779" spans="1:1" ht="12.75">
      <c r="A43779" s="2" t="s">
        <v>483</v>
      </c>
    </row>
    <row r="43780" spans="1:1" ht="12.75">
      <c r="A43780" s="2" t="s">
        <v>480</v>
      </c>
    </row>
    <row r="43781" spans="1:1" ht="12.75">
      <c r="A43781" s="2" t="s">
        <v>849</v>
      </c>
    </row>
    <row r="43782" spans="1:1" ht="12.75">
      <c r="A43782" s="2" t="s">
        <v>846</v>
      </c>
    </row>
    <row r="43783" spans="1:1" ht="12.75">
      <c r="A43783" s="2" t="s">
        <v>849</v>
      </c>
    </row>
    <row r="43784" spans="1:1" ht="12.75">
      <c r="A43784" s="2" t="s">
        <v>849</v>
      </c>
    </row>
    <row r="43785" spans="1:1" ht="12.75">
      <c r="A43785" s="2" t="s">
        <v>446</v>
      </c>
    </row>
    <row r="43786" spans="1:1" ht="12.75">
      <c r="A43786" s="2" t="s">
        <v>1495</v>
      </c>
    </row>
    <row r="43787" spans="1:1" ht="12.75">
      <c r="A43787" s="2" t="s">
        <v>446</v>
      </c>
    </row>
    <row r="43788" spans="1:1" ht="12.75">
      <c r="A43788" s="2" t="s">
        <v>446</v>
      </c>
    </row>
    <row r="43789" spans="1:1" ht="12.75">
      <c r="A43789" s="2" t="s">
        <v>446</v>
      </c>
    </row>
    <row r="43790" spans="1:1" ht="12.75">
      <c r="A43790" s="2" t="s">
        <v>446</v>
      </c>
    </row>
    <row r="43791" spans="1:1" ht="12.75">
      <c r="A43791" s="2" t="s">
        <v>450</v>
      </c>
    </row>
    <row r="43792" spans="1:1" ht="12.75">
      <c r="A43792" s="2" t="s">
        <v>450</v>
      </c>
    </row>
    <row r="43793" spans="1:1" ht="12.75">
      <c r="A43793" s="2" t="s">
        <v>1496</v>
      </c>
    </row>
    <row r="43794" spans="1:1" ht="12.75">
      <c r="A43794" s="2" t="s">
        <v>450</v>
      </c>
    </row>
    <row r="43795" spans="1:1" ht="12.75">
      <c r="A43795" s="2" t="s">
        <v>437</v>
      </c>
    </row>
    <row r="43796" spans="1:1" ht="12.75">
      <c r="A43796" s="2" t="s">
        <v>437</v>
      </c>
    </row>
    <row r="43797" spans="1:1" ht="12.75">
      <c r="A43797" s="2" t="s">
        <v>914</v>
      </c>
    </row>
    <row r="43798" spans="1:1" ht="12.75">
      <c r="A43798" s="2" t="s">
        <v>914</v>
      </c>
    </row>
    <row r="43799" spans="1:1" ht="12.75">
      <c r="A43799" s="2" t="s">
        <v>849</v>
      </c>
    </row>
    <row r="43800" spans="1:1" ht="12.75">
      <c r="A43800" s="2" t="s">
        <v>849</v>
      </c>
    </row>
    <row r="43801" spans="1:1" ht="12.75">
      <c r="A43801" s="2" t="s">
        <v>849</v>
      </c>
    </row>
    <row r="43802" spans="1:1" ht="12.75">
      <c r="A43802" s="2" t="s">
        <v>852</v>
      </c>
    </row>
    <row r="43803" spans="1:1" ht="12.75">
      <c r="A43803" s="2" t="s">
        <v>849</v>
      </c>
    </row>
    <row r="43804" spans="1:1" ht="12.75">
      <c r="A43804" s="2" t="s">
        <v>849</v>
      </c>
    </row>
    <row r="43805" spans="1:1" ht="12.75">
      <c r="A43805" s="2" t="s">
        <v>849</v>
      </c>
    </row>
    <row r="43806" spans="1:1" ht="12.75">
      <c r="A43806" s="2" t="s">
        <v>1175</v>
      </c>
    </row>
    <row r="43807" spans="1:1" ht="12.75">
      <c r="A43807" s="2" t="s">
        <v>848</v>
      </c>
    </row>
    <row r="43808" spans="1:1" ht="12.75">
      <c r="A43808" s="2" t="s">
        <v>1059</v>
      </c>
    </row>
    <row r="43809" spans="1:1" ht="12.75">
      <c r="A43809" s="2" t="s">
        <v>438</v>
      </c>
    </row>
    <row r="43810" spans="1:1" ht="12.75">
      <c r="A43810" s="2" t="s">
        <v>439</v>
      </c>
    </row>
    <row r="43811" spans="1:1" ht="12.75">
      <c r="A43811" s="2" t="s">
        <v>439</v>
      </c>
    </row>
    <row r="43812" spans="1:1" ht="12.75">
      <c r="A43812" s="2" t="s">
        <v>440</v>
      </c>
    </row>
    <row r="43813" spans="1:1" ht="12.75">
      <c r="A43813" s="2" t="s">
        <v>612</v>
      </c>
    </row>
    <row r="43814" spans="1:1" ht="12.75">
      <c r="A43814" s="2" t="s">
        <v>612</v>
      </c>
    </row>
    <row r="43815" spans="1:1" ht="12.75">
      <c r="A43815" s="2" t="s">
        <v>612</v>
      </c>
    </row>
    <row r="43816" spans="1:1" ht="12.75">
      <c r="A43816" s="2" t="s">
        <v>612</v>
      </c>
    </row>
    <row r="43817" spans="1:1" ht="12.75">
      <c r="A43817" s="2" t="s">
        <v>853</v>
      </c>
    </row>
    <row r="43818" spans="1:1" ht="12.75">
      <c r="A43818" s="2" t="s">
        <v>612</v>
      </c>
    </row>
    <row r="43819" spans="1:1" ht="12.75">
      <c r="A43819" s="2" t="s">
        <v>853</v>
      </c>
    </row>
    <row r="43820" spans="1:1" ht="12.75">
      <c r="A43820" s="2" t="s">
        <v>853</v>
      </c>
    </row>
    <row r="43821" spans="1:1" ht="12.75">
      <c r="A43821" s="2" t="s">
        <v>1497</v>
      </c>
    </row>
    <row r="43822" spans="1:1" ht="12.75">
      <c r="A43822" s="2" t="s">
        <v>853</v>
      </c>
    </row>
    <row r="43823" spans="1:1" ht="12.75">
      <c r="A43823" s="2" t="s">
        <v>612</v>
      </c>
    </row>
    <row r="43824" spans="1:1" ht="12.75">
      <c r="A43824" s="2" t="s">
        <v>853</v>
      </c>
    </row>
    <row r="43825" spans="1:1" ht="12.75">
      <c r="A43825" s="2" t="s">
        <v>613</v>
      </c>
    </row>
    <row r="43826" spans="1:1" ht="12.75">
      <c r="A43826" s="2" t="s">
        <v>439</v>
      </c>
    </row>
    <row r="43827" spans="1:1" ht="12.75">
      <c r="A43827" s="2" t="s">
        <v>853</v>
      </c>
    </row>
    <row r="43828" spans="1:1" ht="12.75">
      <c r="A43828" s="2" t="s">
        <v>853</v>
      </c>
    </row>
    <row r="43829" spans="1:1" ht="12.75">
      <c r="A43829" s="2" t="s">
        <v>443</v>
      </c>
    </row>
    <row r="43830" spans="1:1" ht="12.75">
      <c r="A43830" s="2" t="s">
        <v>443</v>
      </c>
    </row>
    <row r="43831" spans="1:1" ht="12.75">
      <c r="A43831" s="2" t="s">
        <v>439</v>
      </c>
    </row>
    <row r="43832" spans="1:1" ht="12.75">
      <c r="A43832" s="2" t="s">
        <v>440</v>
      </c>
    </row>
    <row r="43833" spans="1:1" ht="12.75">
      <c r="A43833" s="2" t="s">
        <v>853</v>
      </c>
    </row>
    <row r="43834" spans="1:1" ht="12.75">
      <c r="A43834" s="2" t="s">
        <v>853</v>
      </c>
    </row>
    <row r="43835" spans="1:1" ht="12.75">
      <c r="A43835" s="2" t="s">
        <v>438</v>
      </c>
    </row>
    <row r="43836" spans="1:1" ht="12.75">
      <c r="A43836" s="2" t="s">
        <v>438</v>
      </c>
    </row>
    <row r="43838" spans="1:1" ht="12.75">
      <c r="A43838" s="2" t="s">
        <v>443</v>
      </c>
    </row>
    <row r="43839" spans="1:1" ht="12.75">
      <c r="A43839" s="2" t="s">
        <v>439</v>
      </c>
    </row>
    <row r="43840" spans="1:1" ht="12.75">
      <c r="A43840" s="2" t="s">
        <v>439</v>
      </c>
    </row>
    <row r="43841" spans="1:1" ht="12.75">
      <c r="A43841" s="2" t="s">
        <v>612</v>
      </c>
    </row>
    <row r="43842" spans="1:1" ht="12.75">
      <c r="A43842" s="2" t="s">
        <v>440</v>
      </c>
    </row>
    <row r="43843" spans="1:1" ht="12.75">
      <c r="A43843" s="2" t="s">
        <v>847</v>
      </c>
    </row>
    <row r="43844" spans="1:1" ht="12.75">
      <c r="A43844" s="2" t="s">
        <v>847</v>
      </c>
    </row>
    <row r="43845" spans="1:1" ht="12.75">
      <c r="A43845" s="2" t="s">
        <v>613</v>
      </c>
    </row>
    <row r="43846" spans="1:1" ht="12.75">
      <c r="A43846" s="2" t="s">
        <v>438</v>
      </c>
    </row>
    <row r="43847" spans="1:1" ht="12.75">
      <c r="A43847" s="2" t="s">
        <v>438</v>
      </c>
    </row>
    <row r="43848" spans="1:1" ht="12.75">
      <c r="A43848" s="2" t="s">
        <v>439</v>
      </c>
    </row>
    <row r="43849" spans="1:1" ht="12.75">
      <c r="A43849" s="2" t="s">
        <v>439</v>
      </c>
    </row>
    <row r="43850" spans="1:1" ht="12.75">
      <c r="A43850" s="2" t="s">
        <v>440</v>
      </c>
    </row>
    <row r="43851" spans="1:1" ht="12.75">
      <c r="A43851" s="2" t="s">
        <v>440</v>
      </c>
    </row>
    <row r="43852" spans="1:1" ht="12.75">
      <c r="A43852" s="2" t="s">
        <v>439</v>
      </c>
    </row>
    <row r="43853" spans="1:1" ht="12.75">
      <c r="A43853" s="2" t="s">
        <v>613</v>
      </c>
    </row>
    <row r="43854" spans="1:1" ht="12.75">
      <c r="A43854" s="2" t="s">
        <v>613</v>
      </c>
    </row>
    <row r="43855" spans="1:1" ht="12.75">
      <c r="A43855" s="2" t="s">
        <v>443</v>
      </c>
    </row>
    <row r="43856" spans="1:1" ht="12.75">
      <c r="A43856" s="2" t="s">
        <v>443</v>
      </c>
    </row>
    <row r="43857" spans="1:1" ht="12.75">
      <c r="A43857" s="2" t="s">
        <v>438</v>
      </c>
    </row>
    <row r="43858" spans="1:1" ht="12.75">
      <c r="A43858" s="2" t="s">
        <v>440</v>
      </c>
    </row>
    <row r="43859" spans="1:1" ht="12.75">
      <c r="A43859" s="2" t="s">
        <v>443</v>
      </c>
    </row>
    <row r="43860" spans="1:1" ht="12.75">
      <c r="A43860" s="2" t="s">
        <v>443</v>
      </c>
    </row>
    <row r="43861" spans="1:1" ht="12.75">
      <c r="A43861" s="2" t="s">
        <v>439</v>
      </c>
    </row>
    <row r="43862" spans="1:1" ht="12.75">
      <c r="A43862" s="2" t="s">
        <v>439</v>
      </c>
    </row>
    <row r="43863" spans="1:1" ht="12.75">
      <c r="A43863" s="2" t="s">
        <v>439</v>
      </c>
    </row>
    <row r="43864" spans="1:1" ht="12.75">
      <c r="A43864" s="2" t="s">
        <v>439</v>
      </c>
    </row>
    <row r="43865" spans="1:1" ht="12.75">
      <c r="A43865" s="2" t="s">
        <v>439</v>
      </c>
    </row>
    <row r="43866" spans="1:1" ht="12.75">
      <c r="A43866" s="2" t="s">
        <v>438</v>
      </c>
    </row>
    <row r="43867" spans="1:1" ht="12.75">
      <c r="A43867" s="2" t="s">
        <v>440</v>
      </c>
    </row>
    <row r="43868" spans="1:1" ht="12.75">
      <c r="A43868" s="2" t="s">
        <v>438</v>
      </c>
    </row>
    <row r="43869" spans="1:1" ht="12.75">
      <c r="A43869" s="2" t="s">
        <v>1056</v>
      </c>
    </row>
    <row r="43870" spans="1:1" ht="12.75">
      <c r="A43870" s="2" t="s">
        <v>439</v>
      </c>
    </row>
    <row r="43871" spans="1:1" ht="12.75">
      <c r="A43871" s="2" t="s">
        <v>612</v>
      </c>
    </row>
    <row r="43872" spans="1:1" ht="12.75">
      <c r="A43872" s="2" t="s">
        <v>612</v>
      </c>
    </row>
    <row r="43873" spans="1:1" ht="12.75">
      <c r="A43873" s="2" t="s">
        <v>613</v>
      </c>
    </row>
    <row r="43874" spans="1:1" ht="12.75">
      <c r="A43874" s="2" t="s">
        <v>613</v>
      </c>
    </row>
    <row r="43875" spans="1:1" ht="12.75">
      <c r="A43875" s="2" t="s">
        <v>443</v>
      </c>
    </row>
    <row r="43876" spans="1:1" ht="12.75">
      <c r="A43876" s="2" t="s">
        <v>1055</v>
      </c>
    </row>
    <row r="43877" spans="1:1" ht="12.75">
      <c r="A43877" s="2" t="s">
        <v>438</v>
      </c>
    </row>
    <row r="43878" spans="1:1" ht="12.75">
      <c r="A43878" s="2" t="s">
        <v>440</v>
      </c>
    </row>
    <row r="43879" spans="1:1" ht="12.75">
      <c r="A43879" s="2" t="s">
        <v>439</v>
      </c>
    </row>
    <row r="43880" spans="1:1" ht="12.75">
      <c r="A43880" s="2" t="s">
        <v>439</v>
      </c>
    </row>
    <row r="43881" spans="1:1" ht="12.75">
      <c r="A43881" s="2" t="s">
        <v>613</v>
      </c>
    </row>
    <row r="43882" spans="1:1" ht="12.75">
      <c r="A43882" s="2" t="s">
        <v>613</v>
      </c>
    </row>
    <row r="43883" spans="1:1" ht="12.75">
      <c r="A43883" s="2" t="s">
        <v>443</v>
      </c>
    </row>
    <row r="43884" spans="1:1" ht="12.75">
      <c r="A43884" s="2" t="s">
        <v>443</v>
      </c>
    </row>
    <row r="43885" spans="1:1" ht="12.75">
      <c r="A43885" s="2" t="s">
        <v>439</v>
      </c>
    </row>
    <row r="43886" spans="1:1" ht="12.75">
      <c r="A43886" s="2" t="s">
        <v>438</v>
      </c>
    </row>
    <row r="43887" spans="1:1" ht="12.75">
      <c r="A43887" s="2" t="s">
        <v>847</v>
      </c>
    </row>
    <row r="43888" spans="1:1" ht="12.75">
      <c r="A43888" s="2" t="s">
        <v>847</v>
      </c>
    </row>
    <row r="43889" spans="1:1" ht="12.75">
      <c r="A43889" s="2" t="s">
        <v>440</v>
      </c>
    </row>
    <row r="43890" spans="1:1" ht="12.75">
      <c r="A43890" s="2" t="s">
        <v>1173</v>
      </c>
    </row>
    <row r="43891" spans="1:1" ht="12.75">
      <c r="A43891" s="2" t="s">
        <v>439</v>
      </c>
    </row>
    <row r="43892" spans="1:1" ht="12.75">
      <c r="A43892" s="2" t="s">
        <v>439</v>
      </c>
    </row>
    <row r="43893" spans="1:1" ht="12.75">
      <c r="A43893" s="2" t="s">
        <v>612</v>
      </c>
    </row>
    <row r="43894" spans="1:1" ht="12.75">
      <c r="A43894" s="2" t="s">
        <v>612</v>
      </c>
    </row>
    <row r="43895" spans="1:1" ht="12.75">
      <c r="A43895" s="2" t="s">
        <v>920</v>
      </c>
    </row>
    <row r="43896" spans="1:1" ht="12.75">
      <c r="A43896" s="2" t="s">
        <v>920</v>
      </c>
    </row>
    <row r="43897" spans="1:1" ht="12.75">
      <c r="A43897" s="2" t="s">
        <v>829</v>
      </c>
    </row>
    <row r="43898" spans="1:1" ht="12.75">
      <c r="A43898" s="2" t="s">
        <v>844</v>
      </c>
    </row>
    <row r="43899" spans="1:1" ht="12.75">
      <c r="A43899" s="2" t="s">
        <v>857</v>
      </c>
    </row>
    <row r="43900" spans="1:1" ht="12.75">
      <c r="A43900" s="2" t="s">
        <v>854</v>
      </c>
    </row>
    <row r="43901" spans="1:1" ht="12.75">
      <c r="A43901" s="2" t="s">
        <v>854</v>
      </c>
    </row>
    <row r="43902" spans="1:1" ht="12.75">
      <c r="A43902" s="2" t="s">
        <v>844</v>
      </c>
    </row>
    <row r="43903" spans="1:1" ht="12.75">
      <c r="A43903" s="2" t="s">
        <v>857</v>
      </c>
    </row>
    <row r="43904" spans="1:1" ht="12.75">
      <c r="A43904" s="2" t="s">
        <v>825</v>
      </c>
    </row>
    <row r="43905" spans="1:1" ht="12.75">
      <c r="A43905" s="2" t="s">
        <v>825</v>
      </c>
    </row>
    <row r="43906" spans="1:1" ht="12.75">
      <c r="A43906" s="2" t="s">
        <v>820</v>
      </c>
    </row>
    <row r="43907" spans="1:1" ht="12.75">
      <c r="A43907" s="2" t="s">
        <v>820</v>
      </c>
    </row>
    <row r="43908" spans="1:1" ht="12.75">
      <c r="A43908" s="2" t="s">
        <v>821</v>
      </c>
    </row>
    <row r="43909" spans="1:1" ht="12.75">
      <c r="A43909" s="2" t="s">
        <v>921</v>
      </c>
    </row>
    <row r="43910" spans="1:1" ht="12.75">
      <c r="A43910" s="2" t="s">
        <v>921</v>
      </c>
    </row>
    <row r="43911" spans="1:1" ht="12.75">
      <c r="A43911" s="2" t="s">
        <v>844</v>
      </c>
    </row>
    <row r="43912" spans="1:1" ht="12.75">
      <c r="A43912" s="2" t="s">
        <v>844</v>
      </c>
    </row>
    <row r="43913" spans="1:1" ht="12.75">
      <c r="A43913" s="2" t="s">
        <v>854</v>
      </c>
    </row>
    <row r="43914" spans="1:1" ht="12.75">
      <c r="A43914" s="2" t="s">
        <v>854</v>
      </c>
    </row>
    <row r="43915" spans="1:1" ht="12.75">
      <c r="A43915" s="2" t="s">
        <v>857</v>
      </c>
    </row>
    <row r="43916" spans="1:1" ht="12.75">
      <c r="A43916" s="2" t="s">
        <v>857</v>
      </c>
    </row>
    <row r="43917" spans="1:1" ht="12.75">
      <c r="A43917" s="2" t="s">
        <v>826</v>
      </c>
    </row>
    <row r="43918" spans="1:1" ht="12.75">
      <c r="A43918" s="2" t="s">
        <v>829</v>
      </c>
    </row>
    <row r="43919" spans="1:1" ht="12.75">
      <c r="A43919" s="2" t="s">
        <v>820</v>
      </c>
    </row>
    <row r="43920" spans="1:1" ht="12.75">
      <c r="A43920" s="2" t="s">
        <v>825</v>
      </c>
    </row>
    <row r="43921" spans="1:1" ht="12.75">
      <c r="A43921" s="2" t="s">
        <v>821</v>
      </c>
    </row>
    <row r="43922" spans="1:1" ht="12.75">
      <c r="A43922" s="2" t="s">
        <v>857</v>
      </c>
    </row>
    <row r="43923" spans="1:1" ht="12.75">
      <c r="A43923" s="2" t="s">
        <v>819</v>
      </c>
    </row>
    <row r="43924" spans="1:1" ht="12.75">
      <c r="A43924" s="2" t="s">
        <v>819</v>
      </c>
    </row>
    <row r="43925" spans="1:1" ht="12.75">
      <c r="A43925" s="2" t="s">
        <v>825</v>
      </c>
    </row>
    <row r="43926" spans="1:1" ht="12.75">
      <c r="A43926" s="2" t="s">
        <v>825</v>
      </c>
    </row>
    <row r="43927" spans="1:1" ht="12.75">
      <c r="A43927" s="2" t="s">
        <v>836</v>
      </c>
    </row>
    <row r="43928" spans="1:1" ht="12.75">
      <c r="A43928" s="2" t="s">
        <v>836</v>
      </c>
    </row>
    <row r="43929" spans="1:1" ht="12.75">
      <c r="A43929" s="2" t="s">
        <v>821</v>
      </c>
    </row>
    <row r="43930" spans="1:1" ht="12.75">
      <c r="A43930" s="2" t="s">
        <v>821</v>
      </c>
    </row>
    <row r="43931" spans="1:1" ht="12.75">
      <c r="A43931" s="2" t="s">
        <v>1498</v>
      </c>
    </row>
    <row r="43932" spans="1:1" ht="12.75">
      <c r="A43932" s="2" t="s">
        <v>857</v>
      </c>
    </row>
    <row r="43933" spans="1:1" ht="12.75">
      <c r="A43933" s="2" t="s">
        <v>835</v>
      </c>
    </row>
    <row r="43934" spans="1:1" ht="12.75">
      <c r="A43934" s="2" t="s">
        <v>835</v>
      </c>
    </row>
    <row r="43935" spans="1:1" ht="12.75">
      <c r="A43935" s="2" t="s">
        <v>835</v>
      </c>
    </row>
    <row r="43936" spans="1:1" ht="12.75">
      <c r="A43936" s="2" t="s">
        <v>835</v>
      </c>
    </row>
    <row r="43938" spans="1:1" ht="12.75">
      <c r="A43938" s="2" t="s">
        <v>835</v>
      </c>
    </row>
    <row r="43939" spans="1:1" ht="12.75">
      <c r="A43939" s="2" t="s">
        <v>854</v>
      </c>
    </row>
    <row r="43940" spans="1:1" ht="12.75">
      <c r="A43940" s="2" t="s">
        <v>854</v>
      </c>
    </row>
    <row r="43941" spans="1:1" ht="12.75">
      <c r="A43941" s="2" t="s">
        <v>834</v>
      </c>
    </row>
    <row r="43942" spans="1:1" ht="12.75">
      <c r="A43942" s="2" t="s">
        <v>856</v>
      </c>
    </row>
    <row r="43943" spans="1:1" ht="12.75">
      <c r="A43943" s="2" t="s">
        <v>834</v>
      </c>
    </row>
    <row r="43944" spans="1:1" ht="12.75">
      <c r="A43944" s="2" t="s">
        <v>855</v>
      </c>
    </row>
    <row r="43945" spans="1:1" ht="12.75">
      <c r="A43945" s="2" t="s">
        <v>839</v>
      </c>
    </row>
    <row r="43946" spans="1:1" ht="12.75">
      <c r="A43946" s="2" t="s">
        <v>826</v>
      </c>
    </row>
    <row r="43947" spans="1:1" ht="12.75">
      <c r="A43947" s="2" t="s">
        <v>844</v>
      </c>
    </row>
    <row r="43948" spans="1:1" ht="12.75">
      <c r="A43948" s="2" t="s">
        <v>827</v>
      </c>
    </row>
    <row r="43949" spans="1:1" ht="12.75">
      <c r="A43949" s="2" t="s">
        <v>1499</v>
      </c>
    </row>
    <row r="43950" spans="1:1" ht="12.75">
      <c r="A43950" s="2" t="s">
        <v>844</v>
      </c>
    </row>
    <row r="43951" spans="1:1" ht="12.75">
      <c r="A43951" s="2" t="s">
        <v>844</v>
      </c>
    </row>
    <row r="43952" spans="1:1" ht="12.75">
      <c r="A43952" s="2" t="s">
        <v>826</v>
      </c>
    </row>
    <row r="43953" spans="1:1" ht="12.75">
      <c r="A43953" s="2" t="s">
        <v>826</v>
      </c>
    </row>
    <row r="43954" spans="1:1" ht="12.75">
      <c r="A43954" s="2" t="s">
        <v>819</v>
      </c>
    </row>
    <row r="43955" spans="1:1" ht="12.75">
      <c r="A43955" s="2" t="s">
        <v>821</v>
      </c>
    </row>
    <row r="43956" spans="1:1" ht="12.75">
      <c r="A43956" s="2" t="s">
        <v>825</v>
      </c>
    </row>
    <row r="43957" spans="1:1" ht="12.75">
      <c r="A43957" s="2" t="s">
        <v>825</v>
      </c>
    </row>
    <row r="43958" spans="1:1" ht="12.75">
      <c r="A43958" s="2" t="s">
        <v>1179</v>
      </c>
    </row>
    <row r="43959" spans="1:1" ht="12.75">
      <c r="A43959" s="2" t="s">
        <v>1179</v>
      </c>
    </row>
    <row r="43960" spans="1:1" ht="12.75">
      <c r="A43960" s="2" t="s">
        <v>820</v>
      </c>
    </row>
    <row r="43961" spans="1:1" ht="12.75">
      <c r="A43961" s="2" t="s">
        <v>820</v>
      </c>
    </row>
    <row r="43962" spans="1:1" ht="12.75">
      <c r="A43962" s="2" t="s">
        <v>836</v>
      </c>
    </row>
    <row r="43963" spans="1:1" ht="12.75">
      <c r="A43963" s="2" t="s">
        <v>836</v>
      </c>
    </row>
    <row r="43964" spans="1:1" ht="12.75">
      <c r="A43964" s="2" t="s">
        <v>829</v>
      </c>
    </row>
    <row r="43965" spans="1:1" ht="12.75">
      <c r="A43965" s="2" t="s">
        <v>920</v>
      </c>
    </row>
    <row r="43966" spans="1:1" ht="12.75">
      <c r="A43966" s="2" t="s">
        <v>920</v>
      </c>
    </row>
    <row r="43967" spans="1:1" ht="12.75">
      <c r="A43967" s="2" t="s">
        <v>920</v>
      </c>
    </row>
    <row r="43968" spans="1:1" ht="12.75">
      <c r="A43968" s="2" t="s">
        <v>844</v>
      </c>
    </row>
    <row r="43969" spans="1:1" ht="12.75">
      <c r="A43969" s="2" t="s">
        <v>844</v>
      </c>
    </row>
    <row r="43970" spans="1:1" ht="12.75">
      <c r="A43970" s="2" t="s">
        <v>919</v>
      </c>
    </row>
    <row r="43971" spans="1:1" ht="12.75">
      <c r="A43971" s="2" t="s">
        <v>854</v>
      </c>
    </row>
    <row r="43972" spans="1:1" ht="12.75">
      <c r="A43972" s="2" t="s">
        <v>854</v>
      </c>
    </row>
    <row r="43973" spans="1:1" ht="12.75">
      <c r="A43973" s="2" t="s">
        <v>825</v>
      </c>
    </row>
    <row r="43974" spans="1:1" ht="12.75">
      <c r="A43974" s="2" t="s">
        <v>825</v>
      </c>
    </row>
    <row r="43975" spans="1:1" ht="12.75">
      <c r="A43975" s="2" t="s">
        <v>820</v>
      </c>
    </row>
    <row r="43976" spans="1:1" ht="12.75">
      <c r="A43976" s="2" t="s">
        <v>820</v>
      </c>
    </row>
    <row r="43977" spans="1:1" ht="12.75">
      <c r="A43977" s="2" t="s">
        <v>821</v>
      </c>
    </row>
    <row r="43978" spans="1:1" ht="12.75">
      <c r="A43978" s="2" t="s">
        <v>821</v>
      </c>
    </row>
    <row r="43979" spans="1:1" ht="12.75">
      <c r="A43979" s="2" t="s">
        <v>836</v>
      </c>
    </row>
    <row r="43980" spans="1:1" ht="12.75">
      <c r="A43980" s="2" t="s">
        <v>836</v>
      </c>
    </row>
    <row r="43981" spans="1:1" ht="12.75">
      <c r="A43981" s="2" t="s">
        <v>857</v>
      </c>
    </row>
    <row r="43982" spans="1:1" ht="12.75">
      <c r="A43982" s="2" t="s">
        <v>857</v>
      </c>
    </row>
    <row r="43983" spans="1:1" ht="12.75">
      <c r="A43983" s="2" t="s">
        <v>854</v>
      </c>
    </row>
    <row r="43984" spans="1:1" ht="12.75">
      <c r="A43984" s="2" t="s">
        <v>825</v>
      </c>
    </row>
    <row r="43985" spans="1:1" ht="12.75">
      <c r="A43985" s="2" t="s">
        <v>825</v>
      </c>
    </row>
    <row r="43986" spans="1:1" ht="12.75">
      <c r="A43986" s="2" t="s">
        <v>821</v>
      </c>
    </row>
    <row r="43987" spans="1:1" ht="12.75">
      <c r="A43987" s="2" t="s">
        <v>848</v>
      </c>
    </row>
    <row r="43988" spans="1:1" ht="12.75">
      <c r="A43988" s="2" t="s">
        <v>1174</v>
      </c>
    </row>
    <row r="43989" spans="1:1" ht="12.75">
      <c r="A43989" s="2" t="s">
        <v>452</v>
      </c>
    </row>
    <row r="43990" spans="1:1" ht="12.75">
      <c r="A43990" s="2" t="s">
        <v>452</v>
      </c>
    </row>
    <row r="43991" spans="1:1" ht="12.75">
      <c r="A43991" s="2" t="s">
        <v>452</v>
      </c>
    </row>
    <row r="43992" spans="1:1" ht="12.75">
      <c r="A43992" s="2" t="s">
        <v>452</v>
      </c>
    </row>
    <row r="43993" spans="1:1" ht="12.75">
      <c r="A43993" s="2" t="s">
        <v>437</v>
      </c>
    </row>
    <row r="43994" spans="1:1" ht="12.75">
      <c r="A43994" s="2" t="s">
        <v>437</v>
      </c>
    </row>
    <row r="43995" spans="1:1" ht="12.75">
      <c r="A43995" s="2" t="s">
        <v>446</v>
      </c>
    </row>
    <row r="43996" spans="1:1" ht="12.75">
      <c r="A43996" s="2" t="s">
        <v>447</v>
      </c>
    </row>
    <row r="43997" spans="1:1" ht="12.75">
      <c r="A43997" s="2" t="s">
        <v>447</v>
      </c>
    </row>
    <row r="43998" spans="1:1" ht="12.75">
      <c r="A43998" s="2" t="s">
        <v>447</v>
      </c>
    </row>
    <row r="43999" spans="1:1" ht="12.75">
      <c r="A43999" s="2" t="s">
        <v>473</v>
      </c>
    </row>
    <row r="44000" spans="1:1" ht="12.75">
      <c r="A44000" s="2" t="s">
        <v>447</v>
      </c>
    </row>
    <row r="44001" spans="1:1" ht="12.75">
      <c r="A44001" s="2" t="s">
        <v>473</v>
      </c>
    </row>
    <row r="44002" spans="1:1" ht="12.75">
      <c r="A44002" s="2" t="s">
        <v>448</v>
      </c>
    </row>
    <row r="44003" spans="1:1" ht="12.75">
      <c r="A44003" s="2" t="s">
        <v>1500</v>
      </c>
    </row>
    <row r="44004" spans="1:1" ht="12.75">
      <c r="A44004" s="2" t="s">
        <v>448</v>
      </c>
    </row>
    <row r="44005" spans="1:1" ht="12.75">
      <c r="A44005" s="2" t="s">
        <v>448</v>
      </c>
    </row>
    <row r="44006" spans="1:1" ht="12.75">
      <c r="A44006" s="2" t="s">
        <v>448</v>
      </c>
    </row>
    <row r="44007" spans="1:1" ht="12.75">
      <c r="A44007" s="2" t="s">
        <v>446</v>
      </c>
    </row>
    <row r="44008" spans="1:1" ht="12.75">
      <c r="A44008" s="2" t="s">
        <v>448</v>
      </c>
    </row>
    <row r="44009" spans="1:1" ht="12.75">
      <c r="A44009" s="2" t="s">
        <v>446</v>
      </c>
    </row>
    <row r="44010" spans="1:1" ht="12.75">
      <c r="A44010" s="2" t="s">
        <v>450</v>
      </c>
    </row>
    <row r="44011" spans="1:1" ht="12.75">
      <c r="A44011" s="2" t="s">
        <v>446</v>
      </c>
    </row>
    <row r="44012" spans="1:1" ht="12.75">
      <c r="A44012" s="2" t="s">
        <v>450</v>
      </c>
    </row>
    <row r="44013" spans="1:1" ht="12.75">
      <c r="A44013" s="2" t="s">
        <v>446</v>
      </c>
    </row>
    <row r="44014" spans="1:1" ht="12.75">
      <c r="A44014" s="2" t="s">
        <v>446</v>
      </c>
    </row>
    <row r="44015" spans="1:1" ht="12.75">
      <c r="A44015" s="2" t="s">
        <v>446</v>
      </c>
    </row>
    <row r="44016" spans="1:1" ht="12.75">
      <c r="A44016" s="2" t="s">
        <v>446</v>
      </c>
    </row>
    <row r="44017" spans="1:1" ht="12.75">
      <c r="A44017" s="2" t="s">
        <v>450</v>
      </c>
    </row>
    <row r="44018" spans="1:1" ht="12.75">
      <c r="A44018" s="2" t="s">
        <v>446</v>
      </c>
    </row>
    <row r="44019" spans="1:1" ht="12.75">
      <c r="A44019" s="2" t="s">
        <v>447</v>
      </c>
    </row>
    <row r="44020" spans="1:1" ht="12.75">
      <c r="A44020" s="2" t="s">
        <v>446</v>
      </c>
    </row>
    <row r="44021" spans="1:1" ht="12.75">
      <c r="A44021" s="2" t="s">
        <v>447</v>
      </c>
    </row>
    <row r="44022" spans="1:1" ht="12.75">
      <c r="A44022" s="2" t="s">
        <v>473</v>
      </c>
    </row>
    <row r="44023" spans="1:1" ht="12.75">
      <c r="A44023" s="2" t="s">
        <v>448</v>
      </c>
    </row>
    <row r="44024" spans="1:1" ht="12.75">
      <c r="A44024" s="2" t="s">
        <v>446</v>
      </c>
    </row>
    <row r="44025" spans="1:1" ht="12.75">
      <c r="A44025" s="2" t="s">
        <v>447</v>
      </c>
    </row>
    <row r="44026" spans="1:1" ht="12.75">
      <c r="A44026" s="2" t="s">
        <v>447</v>
      </c>
    </row>
    <row r="44027" spans="1:1" ht="12.75">
      <c r="A44027" s="2" t="s">
        <v>447</v>
      </c>
    </row>
    <row r="44028" spans="1:1" ht="12.75">
      <c r="A44028" s="2" t="s">
        <v>1501</v>
      </c>
    </row>
    <row r="44029" spans="1:1" ht="12.75">
      <c r="A44029" s="2" t="s">
        <v>447</v>
      </c>
    </row>
    <row r="44030" spans="1:1" ht="12.75">
      <c r="A44030" s="2" t="s">
        <v>473</v>
      </c>
    </row>
    <row r="44031" spans="1:1" ht="12.75">
      <c r="A44031" s="2" t="s">
        <v>447</v>
      </c>
    </row>
    <row r="44032" spans="1:1" ht="12.75">
      <c r="A44032" s="2" t="s">
        <v>448</v>
      </c>
    </row>
    <row r="44033" spans="1:1" ht="12.75">
      <c r="A44033" s="2" t="s">
        <v>446</v>
      </c>
    </row>
    <row r="44034" spans="1:1" ht="12.75">
      <c r="A44034" s="2" t="s">
        <v>448</v>
      </c>
    </row>
    <row r="44035" spans="1:1" ht="12.75">
      <c r="A44035" s="2" t="s">
        <v>434</v>
      </c>
    </row>
    <row r="44036" spans="1:1" ht="12.75">
      <c r="A44036" s="2" t="s">
        <v>435</v>
      </c>
    </row>
    <row r="44037" spans="1:1" ht="12.75">
      <c r="A44037" s="2" t="s">
        <v>434</v>
      </c>
    </row>
    <row r="44038" spans="1:1" ht="12.75">
      <c r="A44038" s="2" t="s">
        <v>479</v>
      </c>
    </row>
    <row r="44039" spans="1:1" ht="12.75">
      <c r="A44039" s="2" t="s">
        <v>434</v>
      </c>
    </row>
    <row r="44040" spans="1:1" ht="12.75">
      <c r="A44040" s="2" t="s">
        <v>479</v>
      </c>
    </row>
    <row r="44041" spans="1:1" ht="12.75">
      <c r="A44041" s="2" t="s">
        <v>434</v>
      </c>
    </row>
    <row r="44042" spans="1:1" ht="12.75">
      <c r="A44042" s="2" t="s">
        <v>434</v>
      </c>
    </row>
    <row r="44043" spans="1:1" ht="12.75">
      <c r="A44043" s="2" t="s">
        <v>465</v>
      </c>
    </row>
    <row r="44044" spans="1:1" ht="12.75">
      <c r="A44044" s="2" t="s">
        <v>479</v>
      </c>
    </row>
    <row r="44045" spans="1:1" ht="12.75">
      <c r="A44045" s="2" t="s">
        <v>623</v>
      </c>
    </row>
    <row r="44046" spans="1:1" ht="12.75">
      <c r="A44046" s="2" t="s">
        <v>818</v>
      </c>
    </row>
    <row r="44047" spans="1:1" ht="12.75">
      <c r="A44047" s="2" t="s">
        <v>623</v>
      </c>
    </row>
    <row r="44048" spans="1:1" ht="12.75">
      <c r="A44048" s="2" t="s">
        <v>818</v>
      </c>
    </row>
    <row r="44049" spans="1:1" ht="12.75">
      <c r="A44049" s="2" t="s">
        <v>816</v>
      </c>
    </row>
    <row r="44050" spans="1:1" ht="12.75">
      <c r="A44050" s="2" t="s">
        <v>623</v>
      </c>
    </row>
    <row r="44051" spans="1:1" ht="12.75">
      <c r="A44051" s="2" t="s">
        <v>623</v>
      </c>
    </row>
    <row r="44052" spans="1:1" ht="12.75">
      <c r="A44052" s="2" t="s">
        <v>623</v>
      </c>
    </row>
    <row r="44053" spans="1:1" ht="12.75">
      <c r="A44053" s="2" t="s">
        <v>623</v>
      </c>
    </row>
    <row r="44054" spans="1:1" ht="12.75">
      <c r="A44054" s="2" t="s">
        <v>818</v>
      </c>
    </row>
    <row r="44055" spans="1:1" ht="12.75">
      <c r="A44055" s="2" t="s">
        <v>914</v>
      </c>
    </row>
    <row r="44056" spans="1:1" ht="12.75">
      <c r="A44056" s="2" t="s">
        <v>914</v>
      </c>
    </row>
    <row r="44057" spans="1:1" ht="12.75">
      <c r="A44057" s="2" t="s">
        <v>404</v>
      </c>
    </row>
    <row r="44058" spans="1:1" ht="12.75">
      <c r="A44058" s="2" t="s">
        <v>404</v>
      </c>
    </row>
    <row r="44059" spans="1:1" ht="12.75">
      <c r="A44059" s="2" t="s">
        <v>404</v>
      </c>
    </row>
    <row r="44060" spans="1:1" ht="12.75">
      <c r="A44060" s="2" t="s">
        <v>404</v>
      </c>
    </row>
    <row r="44061" spans="1:1" ht="12.75">
      <c r="A44061" s="2" t="s">
        <v>477</v>
      </c>
    </row>
    <row r="44062" spans="1:1" ht="12.75">
      <c r="A44062" s="2" t="s">
        <v>477</v>
      </c>
    </row>
    <row r="44063" spans="1:1" ht="12.75">
      <c r="A44063" s="2" t="s">
        <v>404</v>
      </c>
    </row>
    <row r="44064" spans="1:1" ht="12.75">
      <c r="A44064" s="2" t="s">
        <v>404</v>
      </c>
    </row>
    <row r="44065" spans="1:1" ht="12.75">
      <c r="A44065" s="2" t="s">
        <v>554</v>
      </c>
    </row>
    <row r="44066" spans="1:1" ht="12.75">
      <c r="A44066" s="2" t="s">
        <v>1502</v>
      </c>
    </row>
    <row r="44067" spans="1:1" ht="12.75">
      <c r="A44067" s="2" t="s">
        <v>555</v>
      </c>
    </row>
    <row r="44068" spans="1:1" ht="12.75">
      <c r="A44068" s="2" t="s">
        <v>627</v>
      </c>
    </row>
    <row r="44069" spans="1:1" ht="12.75">
      <c r="A44069" s="2" t="s">
        <v>910</v>
      </c>
    </row>
    <row r="44070" spans="1:1" ht="12.75">
      <c r="A44070" s="2" t="s">
        <v>910</v>
      </c>
    </row>
    <row r="44071" spans="1:1" ht="12.75">
      <c r="A44071" s="2" t="s">
        <v>555</v>
      </c>
    </row>
    <row r="44072" spans="1:1" ht="12.75">
      <c r="A44072" s="2" t="s">
        <v>910</v>
      </c>
    </row>
    <row r="44073" spans="1:1" ht="12.75">
      <c r="A44073" s="2" t="s">
        <v>910</v>
      </c>
    </row>
    <row r="44075" spans="1:1" ht="12.75">
      <c r="A44075" s="2" t="s">
        <v>851</v>
      </c>
    </row>
    <row r="44076" spans="1:1" ht="12.75">
      <c r="A44076" s="2" t="s">
        <v>1503</v>
      </c>
    </row>
    <row r="44077" spans="1:1" ht="12.75">
      <c r="A44077" s="2" t="s">
        <v>1059</v>
      </c>
    </row>
    <row r="44078" spans="1:1" ht="12.75">
      <c r="A44078" s="2" t="s">
        <v>852</v>
      </c>
    </row>
    <row r="44079" spans="1:1" ht="12.75">
      <c r="A44079" s="2" t="s">
        <v>852</v>
      </c>
    </row>
    <row r="44080" spans="1:1" ht="12.75">
      <c r="A44080" s="2" t="s">
        <v>852</v>
      </c>
    </row>
    <row r="44081" spans="1:1" ht="12.75">
      <c r="A44081" s="2" t="s">
        <v>1174</v>
      </c>
    </row>
    <row r="44082" spans="1:1" ht="12.75">
      <c r="A44082" s="2" t="s">
        <v>1174</v>
      </c>
    </row>
    <row r="44084" spans="1:1" ht="12.75">
      <c r="A44084" s="2" t="s">
        <v>483</v>
      </c>
    </row>
    <row r="44085" spans="1:1" ht="12.75">
      <c r="A44085" s="2" t="s">
        <v>483</v>
      </c>
    </row>
    <row r="44086" spans="1:1" ht="12.75">
      <c r="A44086" s="2" t="s">
        <v>483</v>
      </c>
    </row>
    <row r="44087" spans="1:1" ht="12.75">
      <c r="A44087" s="2" t="s">
        <v>483</v>
      </c>
    </row>
    <row r="44088" spans="1:1" ht="12.75">
      <c r="A44088" s="2" t="s">
        <v>483</v>
      </c>
    </row>
    <row r="44089" spans="1:1" ht="12.75">
      <c r="A44089" s="2" t="s">
        <v>845</v>
      </c>
    </row>
    <row r="44090" spans="1:1" ht="12.75">
      <c r="A44090" s="2" t="s">
        <v>1493</v>
      </c>
    </row>
    <row r="44091" spans="1:1" ht="12.75">
      <c r="A44091" s="2" t="s">
        <v>845</v>
      </c>
    </row>
    <row r="44092" spans="1:1" ht="12.75">
      <c r="A44092" s="2" t="s">
        <v>845</v>
      </c>
    </row>
    <row r="44093" spans="1:1" ht="12.75">
      <c r="A44093" s="2" t="s">
        <v>820</v>
      </c>
    </row>
    <row r="44094" spans="1:1" ht="12.75">
      <c r="A44094" s="2" t="s">
        <v>920</v>
      </c>
    </row>
    <row r="44095" spans="1:1" ht="12.75">
      <c r="A44095" s="2" t="s">
        <v>916</v>
      </c>
    </row>
    <row r="44096" spans="1:1" ht="12.75">
      <c r="A44096" s="2" t="s">
        <v>916</v>
      </c>
    </row>
    <row r="44097" spans="1:1" ht="12.75">
      <c r="A44097" s="2" t="s">
        <v>437</v>
      </c>
    </row>
    <row r="44098" spans="1:1" ht="12.75">
      <c r="A44098" s="2" t="s">
        <v>437</v>
      </c>
    </row>
    <row r="44099" spans="1:1" ht="12.75">
      <c r="A44099" s="2" t="s">
        <v>437</v>
      </c>
    </row>
    <row r="44100" spans="1:1" ht="12.75">
      <c r="A44100" s="2" t="s">
        <v>437</v>
      </c>
    </row>
    <row r="44101" spans="1:1" ht="12.75">
      <c r="A44101" s="2" t="s">
        <v>452</v>
      </c>
    </row>
    <row r="44102" spans="1:1" ht="12.75">
      <c r="A44102" s="2" t="s">
        <v>452</v>
      </c>
    </row>
    <row r="44103" spans="1:1" ht="12.75">
      <c r="A44103" s="2" t="s">
        <v>914</v>
      </c>
    </row>
    <row r="44104" spans="1:1" ht="12.75">
      <c r="A44104" s="2" t="s">
        <v>1504</v>
      </c>
    </row>
    <row r="44105" spans="1:1" ht="12.75">
      <c r="A44105" s="2" t="s">
        <v>914</v>
      </c>
    </row>
    <row r="44106" spans="1:1" ht="12.75">
      <c r="A44106" s="2" t="s">
        <v>914</v>
      </c>
    </row>
    <row r="44107" spans="1:1" ht="12.75">
      <c r="A44107" s="2" t="s">
        <v>817</v>
      </c>
    </row>
    <row r="44108" spans="1:1" ht="12.75">
      <c r="A44108" s="2" t="s">
        <v>817</v>
      </c>
    </row>
    <row r="44109" spans="1:1" ht="12.75">
      <c r="A44109" s="2" t="s">
        <v>817</v>
      </c>
    </row>
    <row r="44110" spans="1:1" ht="12.75">
      <c r="A44110" s="2" t="s">
        <v>817</v>
      </c>
    </row>
    <row r="44111" spans="1:1" ht="12.75">
      <c r="A44111" s="2" t="s">
        <v>916</v>
      </c>
    </row>
    <row r="44112" spans="1:1" ht="12.75">
      <c r="A44112" s="2" t="s">
        <v>916</v>
      </c>
    </row>
    <row r="44113" spans="1:1" ht="12.75">
      <c r="A44113" s="2" t="s">
        <v>477</v>
      </c>
    </row>
    <row r="44114" spans="1:1" ht="12.75">
      <c r="A44114" s="2" t="s">
        <v>477</v>
      </c>
    </row>
    <row r="44115" spans="1:1" ht="12.75">
      <c r="A44115" s="2" t="s">
        <v>914</v>
      </c>
    </row>
    <row r="44116" spans="1:1" ht="12.75">
      <c r="A44116" s="2" t="s">
        <v>914</v>
      </c>
    </row>
    <row r="44117" spans="1:1" ht="12.75">
      <c r="A44117" s="2" t="s">
        <v>817</v>
      </c>
    </row>
    <row r="44118" spans="1:1" ht="12.75">
      <c r="A44118" s="2" t="s">
        <v>915</v>
      </c>
    </row>
    <row r="44119" spans="1:1" ht="12.75">
      <c r="A44119" s="2" t="s">
        <v>817</v>
      </c>
    </row>
    <row r="44120" spans="1:1" ht="12.75">
      <c r="A44120" s="2" t="s">
        <v>817</v>
      </c>
    </row>
    <row r="44121" spans="1:1" ht="12.75">
      <c r="A44121" s="2" t="s">
        <v>620</v>
      </c>
    </row>
    <row r="44123" spans="1:1" ht="12.75">
      <c r="A44123" s="2" t="s">
        <v>914</v>
      </c>
    </row>
    <row r="44124" spans="1:1" ht="12.75">
      <c r="A44124" s="2" t="s">
        <v>435</v>
      </c>
    </row>
    <row r="44125" spans="1:1" ht="12.75">
      <c r="A44125" s="2" t="s">
        <v>914</v>
      </c>
    </row>
    <row r="44126" spans="1:1" ht="12.75">
      <c r="A44126" s="2" t="s">
        <v>435</v>
      </c>
    </row>
    <row r="44127" spans="1:1" ht="12.75">
      <c r="A44127" s="2" t="s">
        <v>433</v>
      </c>
    </row>
    <row r="44128" spans="1:1" ht="12.75">
      <c r="A44128" s="2" t="s">
        <v>435</v>
      </c>
    </row>
    <row r="44129" spans="1:1" ht="12.75">
      <c r="A44129" s="2" t="s">
        <v>817</v>
      </c>
    </row>
    <row r="44130" spans="1:1" ht="12.75">
      <c r="A44130" s="2" t="s">
        <v>817</v>
      </c>
    </row>
    <row r="44131" spans="1:1" ht="12.75">
      <c r="A44131" s="2" t="s">
        <v>404</v>
      </c>
    </row>
    <row r="44132" spans="1:1" ht="12.75">
      <c r="A44132" s="2" t="s">
        <v>404</v>
      </c>
    </row>
    <row r="44133" spans="1:1" ht="12.75">
      <c r="A44133" s="2" t="s">
        <v>404</v>
      </c>
    </row>
    <row r="44134" spans="1:1" ht="12.75">
      <c r="A44134" s="2" t="s">
        <v>466</v>
      </c>
    </row>
    <row r="44135" spans="1:1" ht="12.75">
      <c r="A44135" s="2" t="s">
        <v>916</v>
      </c>
    </row>
    <row r="44136" spans="1:1" ht="12.75">
      <c r="A44136" s="2" t="s">
        <v>916</v>
      </c>
    </row>
    <row r="44137" spans="1:1" ht="12.75">
      <c r="A44137" s="2" t="s">
        <v>916</v>
      </c>
    </row>
    <row r="44138" spans="1:1" ht="12.75">
      <c r="A44138" s="2" t="s">
        <v>916</v>
      </c>
    </row>
    <row r="44139" spans="1:1" ht="12.75">
      <c r="A44139" s="2" t="s">
        <v>817</v>
      </c>
    </row>
    <row r="44140" spans="1:1" ht="12.75">
      <c r="A44140" s="2" t="s">
        <v>817</v>
      </c>
    </row>
    <row r="44141" spans="1:1" ht="12.75">
      <c r="A44141" s="2" t="s">
        <v>914</v>
      </c>
    </row>
    <row r="44142" spans="1:1" ht="12.75">
      <c r="A44142" s="2" t="s">
        <v>914</v>
      </c>
    </row>
    <row r="44143" spans="1:1" ht="12.75">
      <c r="A44143" s="2" t="s">
        <v>452</v>
      </c>
    </row>
    <row r="44144" spans="1:1" ht="12.75">
      <c r="A44144" s="2" t="s">
        <v>452</v>
      </c>
    </row>
    <row r="44145" spans="1:1" ht="12.75">
      <c r="A44145" s="2" t="s">
        <v>479</v>
      </c>
    </row>
    <row r="44146" spans="1:1" ht="12.75">
      <c r="A44146" s="2" t="s">
        <v>479</v>
      </c>
    </row>
    <row r="44147" spans="1:1" ht="12.75">
      <c r="A44147" s="2" t="s">
        <v>404</v>
      </c>
    </row>
    <row r="44148" spans="1:1" ht="12.75">
      <c r="A44148" s="2" t="s">
        <v>479</v>
      </c>
    </row>
    <row r="44149" spans="1:1" ht="12.75">
      <c r="A44149" s="2" t="s">
        <v>434</v>
      </c>
    </row>
    <row r="44150" spans="1:1" ht="12.75">
      <c r="A44150" s="2" t="s">
        <v>435</v>
      </c>
    </row>
    <row r="44151" spans="1:1" ht="12.75">
      <c r="A44151" s="2" t="s">
        <v>434</v>
      </c>
    </row>
    <row r="44152" spans="1:1" ht="12.75">
      <c r="A44152" s="2" t="s">
        <v>433</v>
      </c>
    </row>
    <row r="44153" spans="1:1" ht="12.75">
      <c r="A44153" s="2" t="s">
        <v>1384</v>
      </c>
    </row>
    <row r="44154" spans="1:1" ht="12.75">
      <c r="A44154" s="2" t="s">
        <v>1384</v>
      </c>
    </row>
    <row r="44155" spans="1:1" ht="12.75">
      <c r="A44155" s="2" t="s">
        <v>846</v>
      </c>
    </row>
    <row r="44156" spans="1:1" ht="12.75">
      <c r="A44156" s="2" t="s">
        <v>848</v>
      </c>
    </row>
    <row r="44157" spans="1:1" ht="12.75">
      <c r="A44157" s="2" t="s">
        <v>845</v>
      </c>
    </row>
    <row r="44158" spans="1:1" ht="12.75">
      <c r="A44158" s="2" t="s">
        <v>845</v>
      </c>
    </row>
    <row r="44159" spans="1:1" ht="12.75">
      <c r="A44159" s="2" t="s">
        <v>480</v>
      </c>
    </row>
    <row r="44160" spans="1:1" ht="12.75">
      <c r="A44160" s="2" t="s">
        <v>845</v>
      </c>
    </row>
    <row r="44161" spans="1:1" ht="12.75">
      <c r="A44161" s="2" t="s">
        <v>845</v>
      </c>
    </row>
    <row r="44162" spans="1:1" ht="12.75">
      <c r="A44162" s="2" t="s">
        <v>845</v>
      </c>
    </row>
    <row r="44163" spans="1:1" ht="12.75">
      <c r="A44163" s="2" t="s">
        <v>845</v>
      </c>
    </row>
    <row r="44164" spans="1:1" ht="12.75">
      <c r="A44164" s="2" t="s">
        <v>845</v>
      </c>
    </row>
    <row r="44165" spans="1:1" ht="12.75">
      <c r="A44165" s="2" t="s">
        <v>1059</v>
      </c>
    </row>
    <row r="44166" spans="1:1" ht="12.75">
      <c r="A44166" s="2" t="s">
        <v>480</v>
      </c>
    </row>
    <row r="44167" spans="1:1" ht="12.75">
      <c r="A44167" s="2" t="s">
        <v>1387</v>
      </c>
    </row>
    <row r="44168" spans="1:1" ht="12.75">
      <c r="A44168" s="2" t="s">
        <v>1387</v>
      </c>
    </row>
    <row r="44169" spans="1:1" ht="12.75">
      <c r="A44169" s="2" t="s">
        <v>1059</v>
      </c>
    </row>
    <row r="44170" spans="1:1" ht="12.75">
      <c r="A44170" s="2" t="s">
        <v>1059</v>
      </c>
    </row>
    <row r="44171" spans="1:1" ht="12.75">
      <c r="A44171" s="2" t="s">
        <v>1174</v>
      </c>
    </row>
    <row r="44172" spans="1:1" ht="12.75">
      <c r="A44172" s="2" t="s">
        <v>849</v>
      </c>
    </row>
    <row r="44173" spans="1:1" ht="12.75">
      <c r="A44173" s="2" t="s">
        <v>849</v>
      </c>
    </row>
    <row r="44174" spans="1:1" ht="12.75">
      <c r="A44174" s="2" t="s">
        <v>849</v>
      </c>
    </row>
    <row r="44175" spans="1:1" ht="12.75">
      <c r="A44175" s="2" t="s">
        <v>466</v>
      </c>
    </row>
    <row r="44176" spans="1:1" ht="12.75">
      <c r="A44176" s="2" t="s">
        <v>466</v>
      </c>
    </row>
    <row r="44177" spans="1:1" ht="12.75">
      <c r="A44177" s="2" t="s">
        <v>914</v>
      </c>
    </row>
    <row r="44178" spans="1:1" ht="12.75">
      <c r="A44178" s="2" t="s">
        <v>914</v>
      </c>
    </row>
    <row r="44179" spans="1:1" ht="12.75">
      <c r="A44179" s="2" t="s">
        <v>914</v>
      </c>
    </row>
    <row r="44180" spans="1:1" ht="12.75">
      <c r="A44180" s="2" t="s">
        <v>914</v>
      </c>
    </row>
    <row r="44181" spans="1:1" ht="12.75">
      <c r="A44181" s="2" t="s">
        <v>404</v>
      </c>
    </row>
    <row r="44182" spans="1:1" ht="12.75">
      <c r="A44182" s="2" t="s">
        <v>404</v>
      </c>
    </row>
    <row r="44183" spans="1:1" ht="12.75">
      <c r="A44183" s="2" t="s">
        <v>404</v>
      </c>
    </row>
    <row r="44184" spans="1:1" ht="12.75">
      <c r="A44184" s="2" t="s">
        <v>404</v>
      </c>
    </row>
    <row r="44185" spans="1:1" ht="12.75">
      <c r="A44185" s="2" t="s">
        <v>817</v>
      </c>
    </row>
    <row r="44186" spans="1:1" ht="12.75">
      <c r="A44186" s="2" t="s">
        <v>817</v>
      </c>
    </row>
    <row r="44187" spans="1:1" ht="12.75">
      <c r="A44187" s="2" t="s">
        <v>914</v>
      </c>
    </row>
    <row r="44188" spans="1:1" ht="12.75">
      <c r="A44188" s="2" t="s">
        <v>914</v>
      </c>
    </row>
    <row r="44189" spans="1:1" ht="12.75">
      <c r="A44189" s="2" t="s">
        <v>916</v>
      </c>
    </row>
    <row r="44190" spans="1:1" ht="12.75">
      <c r="A44190" s="2" t="s">
        <v>914</v>
      </c>
    </row>
    <row r="44191" spans="1:1" ht="12.75">
      <c r="A44191" s="2" t="s">
        <v>477</v>
      </c>
    </row>
    <row r="44192" spans="1:1" ht="12.75">
      <c r="A44192" s="2" t="s">
        <v>477</v>
      </c>
    </row>
    <row r="44193" spans="1:1" ht="12.75">
      <c r="A44193" s="2" t="s">
        <v>452</v>
      </c>
    </row>
    <row r="44194" spans="1:1" ht="12.75">
      <c r="A44194" s="2" t="s">
        <v>452</v>
      </c>
    </row>
    <row r="44213" spans="1:1" ht="12.75">
      <c r="A44213" s="2" t="s">
        <v>188</v>
      </c>
    </row>
    <row r="44214" spans="1:1" ht="12.75">
      <c r="A44214" s="2" t="s">
        <v>272</v>
      </c>
    </row>
    <row r="44215" spans="1:1" ht="12.75">
      <c r="A44215" s="2" t="s">
        <v>271</v>
      </c>
    </row>
    <row r="44216" spans="1:1" ht="12.75">
      <c r="A44216" s="2" t="s">
        <v>268</v>
      </c>
    </row>
    <row r="44217" spans="1:1" ht="12.75">
      <c r="A44217" s="2" t="s">
        <v>271</v>
      </c>
    </row>
    <row r="44218" spans="1:1" ht="12.75">
      <c r="A44218" s="2" t="s">
        <v>268</v>
      </c>
    </row>
    <row r="44219" spans="1:1" ht="12.75">
      <c r="A44219" s="2" t="s">
        <v>273</v>
      </c>
    </row>
    <row r="44220" spans="1:1" ht="12.75">
      <c r="A44220" s="2" t="s">
        <v>272</v>
      </c>
    </row>
    <row r="44221" spans="1:1" ht="12.75">
      <c r="A44221" s="2" t="s">
        <v>272</v>
      </c>
    </row>
    <row r="44222" spans="1:1" ht="12.75">
      <c r="A44222" s="2" t="s">
        <v>269</v>
      </c>
    </row>
    <row r="44223" spans="1:1" ht="12.75">
      <c r="A44223" s="2" t="s">
        <v>270</v>
      </c>
    </row>
    <row r="44224" spans="1:1" ht="12.75">
      <c r="A44224" s="2" t="s">
        <v>270</v>
      </c>
    </row>
    <row r="44225" spans="1:1" ht="12.75">
      <c r="A44225" s="2" t="s">
        <v>273</v>
      </c>
    </row>
    <row r="44226" spans="1:1" ht="12.75">
      <c r="A44226" s="2" t="s">
        <v>273</v>
      </c>
    </row>
    <row r="44227" spans="1:1" ht="12.75">
      <c r="A44227" s="2" t="s">
        <v>271</v>
      </c>
    </row>
    <row r="44228" spans="1:1" ht="12.75">
      <c r="A44228" s="2" t="s">
        <v>269</v>
      </c>
    </row>
    <row r="44229" spans="1:1" ht="12.75">
      <c r="A44229" s="2" t="s">
        <v>268</v>
      </c>
    </row>
    <row r="44230" spans="1:1" ht="12.75">
      <c r="A44230" s="2" t="s">
        <v>268</v>
      </c>
    </row>
    <row r="44232" spans="1:1" ht="12.75">
      <c r="A44232" s="2" t="s">
        <v>859</v>
      </c>
    </row>
    <row r="44233" spans="1:1" ht="12.75">
      <c r="A44233" s="2" t="s">
        <v>859</v>
      </c>
    </row>
    <row r="44234" spans="1:1" ht="12.75">
      <c r="A44234" s="2" t="s">
        <v>923</v>
      </c>
    </row>
    <row r="44235" spans="1:1" ht="12.75">
      <c r="A44235" s="2" t="s">
        <v>272</v>
      </c>
    </row>
    <row r="44236" spans="1:1" ht="12.75">
      <c r="A44236" s="2" t="s">
        <v>268</v>
      </c>
    </row>
    <row r="44237" spans="1:1" ht="12.75">
      <c r="A44237" s="2" t="s">
        <v>270</v>
      </c>
    </row>
    <row r="44238" spans="1:1" ht="12.75">
      <c r="A44238" s="2" t="s">
        <v>270</v>
      </c>
    </row>
    <row r="44239" spans="1:1" ht="12.75">
      <c r="A44239" s="2" t="s">
        <v>271</v>
      </c>
    </row>
    <row r="44240" spans="1:1" ht="12.75">
      <c r="A44240" s="2" t="s">
        <v>269</v>
      </c>
    </row>
    <row r="44241" spans="1:1" ht="12.75">
      <c r="A44241" s="2" t="s">
        <v>273</v>
      </c>
    </row>
    <row r="44242" spans="1:1" ht="12.75">
      <c r="A44242" s="2" t="s">
        <v>269</v>
      </c>
    </row>
    <row r="44243" spans="1:1" ht="12.75">
      <c r="A44243" s="2" t="s">
        <v>859</v>
      </c>
    </row>
    <row r="44244" spans="1:1" ht="12.75">
      <c r="A44244" s="2" t="s">
        <v>922</v>
      </c>
    </row>
    <row r="44245" spans="1:1" ht="12.75">
      <c r="A44245" s="2" t="s">
        <v>922</v>
      </c>
    </row>
    <row r="44246" spans="1:1" ht="12.75">
      <c r="A44246" s="2" t="s">
        <v>922</v>
      </c>
    </row>
    <row r="44247" spans="1:1" ht="12.75">
      <c r="A44247" s="2" t="s">
        <v>859</v>
      </c>
    </row>
    <row r="44248" spans="1:1" ht="12.75">
      <c r="A44248" s="2" t="s">
        <v>1505</v>
      </c>
    </row>
    <row r="44249" spans="1:1" ht="12.75">
      <c r="A44249" s="2" t="s">
        <v>272</v>
      </c>
    </row>
    <row r="44250" spans="1:1" ht="12.75">
      <c r="A44250" s="2" t="s">
        <v>268</v>
      </c>
    </row>
    <row r="44251" spans="1:1" ht="12.75">
      <c r="A44251" s="2" t="s">
        <v>1506</v>
      </c>
    </row>
    <row r="44252" spans="1:1" ht="12.75">
      <c r="A44252" s="2" t="s">
        <v>273</v>
      </c>
    </row>
    <row r="44253" spans="1:1" ht="12.75">
      <c r="A44253" s="2" t="s">
        <v>860</v>
      </c>
    </row>
    <row r="44254" spans="1:1" ht="12.75">
      <c r="A44254" s="2" t="s">
        <v>922</v>
      </c>
    </row>
    <row r="44255" spans="1:1" ht="12.75">
      <c r="A44255" s="2" t="s">
        <v>860</v>
      </c>
    </row>
    <row r="44256" spans="1:1" ht="12.75">
      <c r="A44256" s="2" t="s">
        <v>273</v>
      </c>
    </row>
    <row r="44257" spans="1:1" ht="12.75">
      <c r="A44257" s="2" t="s">
        <v>269</v>
      </c>
    </row>
    <row r="44258" spans="1:1" ht="12.75">
      <c r="A44258" s="2" t="s">
        <v>272</v>
      </c>
    </row>
    <row r="44259" spans="1:1" ht="12.75">
      <c r="A44259" s="2" t="s">
        <v>272</v>
      </c>
    </row>
    <row r="44260" spans="1:1" ht="12.75">
      <c r="A44260" s="2" t="s">
        <v>859</v>
      </c>
    </row>
    <row r="44261" spans="1:1" ht="12.75">
      <c r="A44261" s="2" t="s">
        <v>859</v>
      </c>
    </row>
    <row r="44262" spans="1:1" ht="12.75">
      <c r="A44262" s="2" t="s">
        <v>1507</v>
      </c>
    </row>
    <row r="44263" spans="1:1" ht="12.75">
      <c r="A44263" s="2" t="s">
        <v>269</v>
      </c>
    </row>
    <row r="44264" spans="1:1" ht="12.75">
      <c r="A44264" s="2" t="s">
        <v>269</v>
      </c>
    </row>
    <row r="44265" spans="1:1" ht="12.75">
      <c r="A44265" s="2" t="s">
        <v>923</v>
      </c>
    </row>
    <row r="44266" spans="1:1" ht="12.75">
      <c r="A44266" s="2" t="s">
        <v>922</v>
      </c>
    </row>
    <row r="44267" spans="1:1" ht="12.75">
      <c r="A44267" s="2" t="s">
        <v>922</v>
      </c>
    </row>
    <row r="44268" spans="1:1" ht="12.75">
      <c r="A44268" s="2" t="s">
        <v>273</v>
      </c>
    </row>
    <row r="44269" spans="1:1" ht="12.75">
      <c r="A44269" s="2" t="s">
        <v>269</v>
      </c>
    </row>
    <row r="44270" spans="1:1" ht="12.75">
      <c r="A44270" s="2" t="s">
        <v>272</v>
      </c>
    </row>
    <row r="44271" spans="1:1" ht="12.75">
      <c r="A44271" s="2" t="s">
        <v>269</v>
      </c>
    </row>
    <row r="44272" spans="1:1" ht="12.75">
      <c r="A44272" s="2" t="s">
        <v>269</v>
      </c>
    </row>
    <row r="44273" spans="1:1" ht="12.75">
      <c r="A44273" s="2" t="s">
        <v>268</v>
      </c>
    </row>
    <row r="44274" spans="1:1" ht="12.75">
      <c r="A44274" s="2" t="s">
        <v>861</v>
      </c>
    </row>
    <row r="44275" spans="1:1" ht="12.75">
      <c r="A44275" s="2" t="s">
        <v>859</v>
      </c>
    </row>
    <row r="44276" spans="1:1" ht="12.75">
      <c r="A44276" s="2" t="s">
        <v>859</v>
      </c>
    </row>
    <row r="44277" spans="1:1" ht="12.75">
      <c r="A44277" s="2" t="s">
        <v>922</v>
      </c>
    </row>
    <row r="44278" spans="1:1" ht="12.75">
      <c r="A44278" s="2" t="s">
        <v>860</v>
      </c>
    </row>
    <row r="44279" spans="1:1" ht="12.75">
      <c r="A44279" s="2" t="s">
        <v>860</v>
      </c>
    </row>
    <row r="44280" spans="1:1" ht="12.75">
      <c r="A44280" s="2" t="s">
        <v>269</v>
      </c>
    </row>
    <row r="44281" spans="1:1" ht="12.75">
      <c r="A44281" s="2" t="s">
        <v>273</v>
      </c>
    </row>
    <row r="44282" spans="1:1" ht="12.75">
      <c r="A44282" s="2" t="s">
        <v>273</v>
      </c>
    </row>
    <row r="44283" spans="1:1" ht="12.75">
      <c r="A44283" s="2" t="s">
        <v>268</v>
      </c>
    </row>
    <row r="44284" spans="1:1" ht="12.75">
      <c r="A44284" s="2" t="s">
        <v>271</v>
      </c>
    </row>
    <row r="44285" spans="1:1" ht="12.75">
      <c r="A44285" s="2" t="s">
        <v>922</v>
      </c>
    </row>
    <row r="44286" spans="1:1" ht="12.75">
      <c r="A44286" s="2" t="s">
        <v>860</v>
      </c>
    </row>
    <row r="44287" spans="1:1" ht="12.75">
      <c r="A44287" s="2" t="s">
        <v>860</v>
      </c>
    </row>
    <row r="44288" spans="1:1" ht="12.75">
      <c r="A44288" s="2" t="s">
        <v>924</v>
      </c>
    </row>
    <row r="44289" spans="1:1" ht="12.75">
      <c r="A44289" s="2" t="s">
        <v>924</v>
      </c>
    </row>
    <row r="44290" spans="1:1" ht="12.75">
      <c r="A44290" s="2" t="s">
        <v>268</v>
      </c>
    </row>
    <row r="44291" spans="1:1" ht="12.75">
      <c r="A44291" s="2" t="s">
        <v>271</v>
      </c>
    </row>
    <row r="44292" spans="1:1" ht="12.75">
      <c r="A44292" s="2" t="s">
        <v>923</v>
      </c>
    </row>
    <row r="44293" spans="1:1" ht="12.75">
      <c r="A44293" s="2" t="s">
        <v>860</v>
      </c>
    </row>
    <row r="44294" spans="1:1" ht="12.75">
      <c r="A44294" s="2" t="s">
        <v>860</v>
      </c>
    </row>
    <row r="44295" spans="1:1" ht="12.75">
      <c r="A44295" s="2" t="s">
        <v>272</v>
      </c>
    </row>
    <row r="44296" spans="1:1" ht="12.75">
      <c r="A44296" s="2" t="s">
        <v>273</v>
      </c>
    </row>
    <row r="44297" spans="1:1" ht="12.75">
      <c r="A44297" s="2" t="s">
        <v>268</v>
      </c>
    </row>
    <row r="44298" spans="1:1" ht="12.75">
      <c r="A44298" s="2" t="s">
        <v>1508</v>
      </c>
    </row>
    <row r="44299" spans="1:1" ht="12.75">
      <c r="A44299" s="2" t="s">
        <v>268</v>
      </c>
    </row>
    <row r="44300" spans="1:1" ht="12.75">
      <c r="A44300" s="2" t="s">
        <v>273</v>
      </c>
    </row>
    <row r="44301" spans="1:1" ht="12.75">
      <c r="A44301" s="2" t="s">
        <v>271</v>
      </c>
    </row>
    <row r="44302" spans="1:1" ht="12.75">
      <c r="A44302" s="2" t="s">
        <v>269</v>
      </c>
    </row>
    <row r="44303" spans="1:1" ht="12.75">
      <c r="A44303" s="2" t="s">
        <v>272</v>
      </c>
    </row>
    <row r="44304" spans="1:1" ht="12.75">
      <c r="A44304" s="2" t="s">
        <v>923</v>
      </c>
    </row>
    <row r="44305" spans="1:1" ht="12.75">
      <c r="A44305" s="2" t="s">
        <v>269</v>
      </c>
    </row>
    <row r="44306" spans="1:1" ht="12.75">
      <c r="A44306" s="2" t="s">
        <v>860</v>
      </c>
    </row>
    <row r="44307" spans="1:1" ht="12.75">
      <c r="A44307" s="2" t="s">
        <v>860</v>
      </c>
    </row>
    <row r="44308" spans="1:1" ht="12.75">
      <c r="A44308" s="2" t="s">
        <v>859</v>
      </c>
    </row>
    <row r="44309" spans="1:1" ht="12.75">
      <c r="A44309" s="2" t="s">
        <v>859</v>
      </c>
    </row>
    <row r="44310" spans="1:1" ht="12.75">
      <c r="A44310" s="2" t="s">
        <v>922</v>
      </c>
    </row>
    <row r="44311" spans="1:1" ht="12.75">
      <c r="A44311" s="2" t="s">
        <v>922</v>
      </c>
    </row>
    <row r="44312" spans="1:1" ht="12.75">
      <c r="A44312" s="2" t="s">
        <v>922</v>
      </c>
    </row>
    <row r="44313" spans="1:1" ht="12.75">
      <c r="A44313" s="2" t="s">
        <v>273</v>
      </c>
    </row>
    <row r="44314" spans="1:1" ht="12.75">
      <c r="A44314" s="2" t="s">
        <v>188</v>
      </c>
    </row>
    <row r="44315" spans="1:1" ht="12.75">
      <c r="A44315" s="2" t="s">
        <v>400</v>
      </c>
    </row>
    <row r="44316" spans="1:1" ht="12.75">
      <c r="A44316" s="2" t="s">
        <v>400</v>
      </c>
    </row>
    <row r="44317" spans="1:1" ht="12.75">
      <c r="A44317" s="2" t="s">
        <v>400</v>
      </c>
    </row>
    <row r="44318" spans="1:1" ht="12.75">
      <c r="A44318" s="2" t="s">
        <v>400</v>
      </c>
    </row>
    <row r="44319" spans="1:1" ht="12.75">
      <c r="A44319" s="2" t="s">
        <v>1509</v>
      </c>
    </row>
    <row r="44320" spans="1:1" ht="12.75">
      <c r="A44320" s="2" t="s">
        <v>400</v>
      </c>
    </row>
    <row r="44321" spans="1:1" ht="12.75">
      <c r="A44321" s="2" t="s">
        <v>188</v>
      </c>
    </row>
    <row r="44322" spans="1:1" ht="12.75">
      <c r="A44322" s="2" t="s">
        <v>188</v>
      </c>
    </row>
    <row r="44323" spans="1:1" ht="12.75">
      <c r="A44323" s="2" t="s">
        <v>272</v>
      </c>
    </row>
    <row r="44324" spans="1:1" ht="12.75">
      <c r="A44324" s="2" t="s">
        <v>271</v>
      </c>
    </row>
    <row r="44325" spans="1:1" ht="12.75">
      <c r="A44325" s="2" t="s">
        <v>272</v>
      </c>
    </row>
    <row r="44326" spans="1:1" ht="12.75">
      <c r="A44326" s="2" t="s">
        <v>270</v>
      </c>
    </row>
    <row r="44327" spans="1:1" ht="12.75">
      <c r="A44327" s="2" t="s">
        <v>1359</v>
      </c>
    </row>
    <row r="44328" spans="1:1" ht="12.75">
      <c r="A44328" s="2" t="s">
        <v>270</v>
      </c>
    </row>
    <row r="44329" spans="1:1" ht="12.75">
      <c r="A44329" s="2" t="s">
        <v>272</v>
      </c>
    </row>
    <row r="44330" spans="1:1" ht="12.75">
      <c r="A44330" s="2" t="s">
        <v>269</v>
      </c>
    </row>
    <row r="44331" spans="1:1" ht="12.75">
      <c r="A44331" s="2" t="s">
        <v>269</v>
      </c>
    </row>
    <row r="44332" spans="1:1" ht="12.75">
      <c r="A44332" s="2" t="s">
        <v>268</v>
      </c>
    </row>
    <row r="44333" spans="1:1" ht="12.75">
      <c r="A44333" s="2" t="s">
        <v>268</v>
      </c>
    </row>
    <row r="44334" spans="1:1" ht="12.75">
      <c r="A44334" s="2" t="s">
        <v>270</v>
      </c>
    </row>
    <row r="44335" spans="1:1" ht="12.75">
      <c r="A44335" s="2" t="s">
        <v>269</v>
      </c>
    </row>
    <row r="44336" spans="1:1" ht="12.75">
      <c r="A44336" s="2" t="s">
        <v>269</v>
      </c>
    </row>
    <row r="44337" spans="1:1" ht="12.75">
      <c r="A44337" s="2" t="s">
        <v>272</v>
      </c>
    </row>
    <row r="44338" spans="1:1" ht="12.75">
      <c r="A44338" s="2" t="s">
        <v>270</v>
      </c>
    </row>
    <row r="44339" spans="1:1" ht="12.75">
      <c r="A44339" s="2" t="s">
        <v>271</v>
      </c>
    </row>
    <row r="44340" spans="1:1" ht="12.75">
      <c r="A44340" s="2" t="s">
        <v>1510</v>
      </c>
    </row>
    <row r="44341" spans="1:1" ht="12.75">
      <c r="A44341" s="2" t="s">
        <v>269</v>
      </c>
    </row>
    <row r="44342" spans="1:1" ht="12.75">
      <c r="A44342" s="2" t="s">
        <v>271</v>
      </c>
    </row>
    <row r="44343" spans="1:1" ht="12.75">
      <c r="A44343" s="2" t="s">
        <v>273</v>
      </c>
    </row>
    <row r="44344" spans="1:1" ht="12.75">
      <c r="A44344" s="2" t="s">
        <v>270</v>
      </c>
    </row>
    <row r="44345" spans="1:1" ht="12.75">
      <c r="A44345" s="2" t="s">
        <v>861</v>
      </c>
    </row>
    <row r="44346" spans="1:1" ht="12.75">
      <c r="A44346" s="2" t="s">
        <v>273</v>
      </c>
    </row>
    <row r="44347" spans="1:1" ht="12.75">
      <c r="A44347" s="2" t="s">
        <v>861</v>
      </c>
    </row>
    <row r="44348" spans="1:1" ht="12.75">
      <c r="A44348" s="2" t="s">
        <v>273</v>
      </c>
    </row>
    <row r="44349" spans="1:1" ht="12.75">
      <c r="A44349" s="2" t="s">
        <v>861</v>
      </c>
    </row>
    <row r="44350" spans="1:1" ht="12.75">
      <c r="A44350" s="2" t="s">
        <v>861</v>
      </c>
    </row>
    <row r="44351" spans="1:1" ht="12.75">
      <c r="A44351" s="2" t="s">
        <v>269</v>
      </c>
    </row>
    <row r="44352" spans="1:1" ht="12.75">
      <c r="A44352" s="2" t="s">
        <v>272</v>
      </c>
    </row>
    <row r="44353" spans="1:1" ht="12.75">
      <c r="A44353" s="2" t="s">
        <v>922</v>
      </c>
    </row>
    <row r="44354" spans="1:1" ht="12.75">
      <c r="A44354" s="2" t="s">
        <v>269</v>
      </c>
    </row>
    <row r="44355" spans="1:1" ht="12.75">
      <c r="A44355" s="2" t="s">
        <v>269</v>
      </c>
    </row>
    <row r="44356" spans="1:1" ht="12.75">
      <c r="A44356" s="2" t="s">
        <v>922</v>
      </c>
    </row>
    <row r="44357" spans="1:1" ht="12.75">
      <c r="A44357" s="2" t="s">
        <v>860</v>
      </c>
    </row>
    <row r="44358" spans="1:1" ht="12.75">
      <c r="A44358" s="2" t="s">
        <v>269</v>
      </c>
    </row>
    <row r="44359" spans="1:1" ht="12.75">
      <c r="A44359" s="2" t="s">
        <v>271</v>
      </c>
    </row>
    <row r="44360" spans="1:1" ht="12.75">
      <c r="A44360" s="2" t="s">
        <v>1511</v>
      </c>
    </row>
    <row r="44361" spans="1:1" ht="12.75">
      <c r="A44361" s="2" t="s">
        <v>270</v>
      </c>
    </row>
    <row r="44362" spans="1:1" ht="12.75">
      <c r="A44362" s="2" t="s">
        <v>272</v>
      </c>
    </row>
    <row r="44363" spans="1:1" ht="12.75">
      <c r="A44363" s="2" t="s">
        <v>268</v>
      </c>
    </row>
    <row r="44364" spans="1:1" ht="12.75">
      <c r="A44364" s="2" t="s">
        <v>268</v>
      </c>
    </row>
    <row r="44365" spans="1:1" ht="12.75">
      <c r="A44365" s="2" t="s">
        <v>861</v>
      </c>
    </row>
    <row r="44366" spans="1:1" ht="12.75">
      <c r="A44366" s="2" t="s">
        <v>861</v>
      </c>
    </row>
    <row r="44367" spans="1:1" ht="12.75">
      <c r="A44367" s="2" t="s">
        <v>272</v>
      </c>
    </row>
    <row r="44368" spans="1:1" ht="12.75">
      <c r="A44368" s="2" t="s">
        <v>860</v>
      </c>
    </row>
    <row r="44369" spans="1:1" ht="12.75">
      <c r="A44369" s="2" t="s">
        <v>860</v>
      </c>
    </row>
    <row r="44370" spans="1:1" ht="12.75">
      <c r="A44370" s="2" t="s">
        <v>923</v>
      </c>
    </row>
    <row r="44371" spans="1:1" ht="12.75">
      <c r="A44371" s="2" t="s">
        <v>922</v>
      </c>
    </row>
    <row r="44372" spans="1:1" ht="12.75">
      <c r="A44372" s="2" t="s">
        <v>270</v>
      </c>
    </row>
    <row r="44373" spans="1:1" ht="12.75">
      <c r="A44373" s="2" t="s">
        <v>923</v>
      </c>
    </row>
    <row r="44374" spans="1:1" ht="12.75">
      <c r="A44374" s="2" t="s">
        <v>273</v>
      </c>
    </row>
    <row r="44375" spans="1:1" ht="12.75">
      <c r="A44375" s="2" t="s">
        <v>923</v>
      </c>
    </row>
    <row r="44376" spans="1:1" ht="12.75">
      <c r="A44376" s="2" t="s">
        <v>859</v>
      </c>
    </row>
    <row r="44377" spans="1:1" ht="12.75">
      <c r="A44377" s="2" t="s">
        <v>859</v>
      </c>
    </row>
    <row r="44378" spans="1:1" ht="12.75">
      <c r="A44378" s="2" t="s">
        <v>269</v>
      </c>
    </row>
    <row r="44379" spans="1:1" ht="12.75">
      <c r="A44379" s="2" t="s">
        <v>268</v>
      </c>
    </row>
    <row r="44380" spans="1:1" ht="12.75">
      <c r="A44380" s="2" t="s">
        <v>859</v>
      </c>
    </row>
    <row r="44381" spans="1:1" ht="12.75">
      <c r="A44381" s="2" t="s">
        <v>269</v>
      </c>
    </row>
    <row r="44382" spans="1:1" ht="12.75">
      <c r="A44382" s="2" t="s">
        <v>859</v>
      </c>
    </row>
    <row r="44383" spans="1:1" ht="12.75">
      <c r="A44383" s="2" t="s">
        <v>272</v>
      </c>
    </row>
    <row r="44384" spans="1:1" ht="12.75">
      <c r="A44384" s="2" t="s">
        <v>859</v>
      </c>
    </row>
    <row r="44385" spans="1:1" ht="12.75">
      <c r="A44385" s="2" t="s">
        <v>270</v>
      </c>
    </row>
    <row r="44386" spans="1:1" ht="12.75">
      <c r="A44386" s="2" t="s">
        <v>922</v>
      </c>
    </row>
    <row r="44387" spans="1:1" ht="12.75">
      <c r="A44387" s="2" t="s">
        <v>270</v>
      </c>
    </row>
    <row r="44388" spans="1:1" ht="12.75">
      <c r="A44388" s="2" t="s">
        <v>923</v>
      </c>
    </row>
    <row r="44389" spans="1:1" ht="12.75">
      <c r="A44389" s="2" t="s">
        <v>270</v>
      </c>
    </row>
    <row r="44390" spans="1:1" ht="12.75">
      <c r="A44390" s="2" t="s">
        <v>273</v>
      </c>
    </row>
    <row r="44391" spans="1:1" ht="12.75">
      <c r="A44391" s="2" t="s">
        <v>273</v>
      </c>
    </row>
    <row r="44392" spans="1:1" ht="12.75">
      <c r="A44392" s="2" t="s">
        <v>268</v>
      </c>
    </row>
    <row r="44393" spans="1:1" ht="12.75">
      <c r="A44393" s="2" t="s">
        <v>718</v>
      </c>
    </row>
    <row r="44394" spans="1:1" ht="12.75">
      <c r="A44394" s="2" t="s">
        <v>718</v>
      </c>
    </row>
    <row r="44395" spans="1:1" ht="12.75">
      <c r="A44395" s="2" t="s">
        <v>718</v>
      </c>
    </row>
    <row r="44396" spans="1:1" ht="12.75">
      <c r="A44396" s="2" t="s">
        <v>718</v>
      </c>
    </row>
    <row r="44397" spans="1:1" ht="12.75">
      <c r="A44397" s="2" t="s">
        <v>209</v>
      </c>
    </row>
    <row r="44398" spans="1:1" ht="12.75">
      <c r="A44398" s="2" t="s">
        <v>209</v>
      </c>
    </row>
    <row r="44399" spans="1:1" ht="12.75">
      <c r="A44399" s="2" t="s">
        <v>209</v>
      </c>
    </row>
    <row r="44400" spans="1:1" ht="12.75">
      <c r="A44400" s="2" t="s">
        <v>1512</v>
      </c>
    </row>
    <row r="44401" spans="1:1" ht="12.75">
      <c r="A44401" s="2" t="s">
        <v>486</v>
      </c>
    </row>
    <row r="44402" spans="1:1" ht="12.75">
      <c r="A44402" s="2" t="s">
        <v>486</v>
      </c>
    </row>
    <row r="44403" spans="1:1" ht="12.75">
      <c r="A44403" s="2" t="s">
        <v>486</v>
      </c>
    </row>
    <row r="44404" spans="1:1" ht="12.75">
      <c r="A44404" s="2" t="s">
        <v>486</v>
      </c>
    </row>
    <row r="44405" spans="1:1" ht="12.75">
      <c r="A44405" s="2" t="s">
        <v>209</v>
      </c>
    </row>
    <row r="44406" spans="1:1" ht="12.75">
      <c r="A44406" s="2" t="s">
        <v>209</v>
      </c>
    </row>
    <row r="44407" spans="1:1" ht="12.75">
      <c r="A44407" s="2" t="s">
        <v>209</v>
      </c>
    </row>
    <row r="44408" spans="1:1" ht="12.75">
      <c r="A44408" s="2" t="s">
        <v>486</v>
      </c>
    </row>
    <row r="44409" spans="1:1" ht="12.75">
      <c r="A44409" s="2" t="s">
        <v>486</v>
      </c>
    </row>
    <row r="44410" spans="1:1" ht="12.75">
      <c r="A44410" s="2" t="s">
        <v>486</v>
      </c>
    </row>
    <row r="44411" spans="1:1" ht="12.75">
      <c r="A44411" s="2" t="s">
        <v>486</v>
      </c>
    </row>
    <row r="44412" spans="1:1" ht="12.75">
      <c r="A44412" s="2" t="s">
        <v>486</v>
      </c>
    </row>
    <row r="44413" spans="1:1" ht="12.75">
      <c r="A44413" s="2" t="s">
        <v>718</v>
      </c>
    </row>
    <row r="44414" spans="1:1" ht="12.75">
      <c r="A44414" s="2" t="s">
        <v>209</v>
      </c>
    </row>
    <row r="44415" spans="1:1" ht="12.75">
      <c r="A44415" s="2" t="s">
        <v>486</v>
      </c>
    </row>
    <row r="44416" spans="1:1" ht="12.75">
      <c r="A44416" s="2" t="s">
        <v>486</v>
      </c>
    </row>
    <row r="44417" spans="1:1" ht="12.75">
      <c r="A44417" s="2" t="s">
        <v>486</v>
      </c>
    </row>
    <row r="44418" spans="1:1" ht="12.75">
      <c r="A44418" s="2" t="s">
        <v>486</v>
      </c>
    </row>
    <row r="44419" spans="1:1" ht="12.75">
      <c r="A44419" s="2" t="s">
        <v>718</v>
      </c>
    </row>
    <row r="44420" spans="1:1" ht="12.75">
      <c r="A44420" s="2" t="s">
        <v>718</v>
      </c>
    </row>
    <row r="44421" spans="1:1" ht="12.75">
      <c r="A44421" s="2" t="s">
        <v>718</v>
      </c>
    </row>
    <row r="44422" spans="1:1" ht="12.75">
      <c r="A44422" s="2" t="s">
        <v>718</v>
      </c>
    </row>
    <row r="44423" spans="1:1" ht="12.75">
      <c r="A44423" s="2" t="s">
        <v>188</v>
      </c>
    </row>
    <row r="44424" spans="1:1" ht="12.75">
      <c r="A44424" s="2" t="s">
        <v>1513</v>
      </c>
    </row>
    <row r="44425" spans="1:1" ht="12.75">
      <c r="A44425" s="2" t="s">
        <v>209</v>
      </c>
    </row>
    <row r="44426" spans="1:1" ht="12.75">
      <c r="A44426" s="2" t="s">
        <v>209</v>
      </c>
    </row>
    <row r="44427" spans="1:1" ht="12.75">
      <c r="A44427" s="2" t="s">
        <v>209</v>
      </c>
    </row>
    <row r="44428" spans="1:1" ht="12.75">
      <c r="A44428" s="2" t="s">
        <v>209</v>
      </c>
    </row>
    <row r="44429" spans="1:1" ht="12.75">
      <c r="A44429" s="2" t="s">
        <v>209</v>
      </c>
    </row>
    <row r="44432" spans="1:1" ht="12.75">
      <c r="A44432" s="2" t="s">
        <v>718</v>
      </c>
    </row>
    <row r="44433" spans="1:1" ht="12.75">
      <c r="A44433" s="2" t="s">
        <v>718</v>
      </c>
    </row>
    <row r="44434" spans="1:1" ht="12.75">
      <c r="A44434" s="2" t="s">
        <v>922</v>
      </c>
    </row>
    <row r="44435" spans="1:1" ht="12.75">
      <c r="A44435" s="2" t="s">
        <v>270</v>
      </c>
    </row>
    <row r="44436" spans="1:1" ht="12.75">
      <c r="A44436" s="2" t="s">
        <v>924</v>
      </c>
    </row>
    <row r="44437" spans="1:1" ht="12.75">
      <c r="A44437" s="2" t="s">
        <v>270</v>
      </c>
    </row>
    <row r="44438" spans="1:1" ht="12.75">
      <c r="A44438" s="2" t="s">
        <v>269</v>
      </c>
    </row>
    <row r="44439" spans="1:1" ht="12.75">
      <c r="A44439" s="2" t="s">
        <v>860</v>
      </c>
    </row>
    <row r="44440" spans="1:1" ht="12.75">
      <c r="A44440" s="2" t="s">
        <v>269</v>
      </c>
    </row>
    <row r="44441" spans="1:1" ht="12.75">
      <c r="A44441" s="2" t="s">
        <v>273</v>
      </c>
    </row>
    <row r="44442" spans="1:1" ht="12.75">
      <c r="A44442" s="2" t="s">
        <v>270</v>
      </c>
    </row>
    <row r="44443" spans="1:1" ht="12.75">
      <c r="A44443" s="2" t="s">
        <v>273</v>
      </c>
    </row>
    <row r="44444" spans="1:1" ht="12.75">
      <c r="A44444" s="2" t="s">
        <v>273</v>
      </c>
    </row>
    <row r="44445" spans="1:1" ht="12.75">
      <c r="A44445" s="2" t="s">
        <v>270</v>
      </c>
    </row>
    <row r="44446" spans="1:1" ht="12.75">
      <c r="A44446" s="2" t="s">
        <v>859</v>
      </c>
    </row>
    <row r="44447" spans="1:1" ht="12.75">
      <c r="A44447" s="2" t="s">
        <v>270</v>
      </c>
    </row>
    <row r="44448" spans="1:1" ht="12.75">
      <c r="A44448" s="2" t="s">
        <v>859</v>
      </c>
    </row>
    <row r="44450" spans="1:1" ht="12.75">
      <c r="A44450" s="2" t="s">
        <v>860</v>
      </c>
    </row>
    <row r="44452" spans="1:1" ht="12.75">
      <c r="A44452" s="2" t="s">
        <v>271</v>
      </c>
    </row>
    <row r="44453" spans="1:1" ht="12.75">
      <c r="A44453" s="2" t="s">
        <v>273</v>
      </c>
    </row>
    <row r="44454" spans="1:1" ht="12.75">
      <c r="A44454" s="2" t="s">
        <v>1514</v>
      </c>
    </row>
    <row r="44455" spans="1:1" ht="12.75">
      <c r="A44455" s="2" t="s">
        <v>273</v>
      </c>
    </row>
    <row r="44456" spans="1:1" ht="12.75">
      <c r="A44456" s="2" t="s">
        <v>272</v>
      </c>
    </row>
    <row r="44457" spans="1:1" ht="12.75">
      <c r="A44457" s="2" t="s">
        <v>272</v>
      </c>
    </row>
    <row r="44458" spans="1:1" ht="12.75">
      <c r="A44458" s="2" t="s">
        <v>272</v>
      </c>
    </row>
    <row r="44459" spans="1:1" ht="12.75">
      <c r="A44459" s="2" t="s">
        <v>269</v>
      </c>
    </row>
    <row r="44460" spans="1:1" ht="12.75">
      <c r="A44460" s="2" t="s">
        <v>270</v>
      </c>
    </row>
    <row r="44461" spans="1:1" ht="12.75">
      <c r="A44461" s="2" t="s">
        <v>270</v>
      </c>
    </row>
    <row r="44462" spans="1:1" ht="12.75">
      <c r="A44462" s="2" t="s">
        <v>860</v>
      </c>
    </row>
    <row r="44463" spans="1:1" ht="12.75">
      <c r="A44463" s="2" t="s">
        <v>269</v>
      </c>
    </row>
    <row r="44464" spans="1:1" ht="12.75">
      <c r="A44464" s="2" t="s">
        <v>269</v>
      </c>
    </row>
    <row r="44465" spans="1:1" ht="12.75">
      <c r="A44465" s="2" t="s">
        <v>273</v>
      </c>
    </row>
    <row r="44466" spans="1:1" ht="12.75">
      <c r="A44466" s="2" t="s">
        <v>271</v>
      </c>
    </row>
    <row r="44467" spans="1:1" ht="12.75">
      <c r="A44467" s="2" t="s">
        <v>861</v>
      </c>
    </row>
    <row r="44468" spans="1:1" ht="12.75">
      <c r="A44468" s="2" t="s">
        <v>269</v>
      </c>
    </row>
    <row r="44469" spans="1:1" ht="12.75">
      <c r="A44469" s="2" t="s">
        <v>271</v>
      </c>
    </row>
    <row r="44471" spans="1:1" ht="12.75">
      <c r="A44471" s="2" t="s">
        <v>273</v>
      </c>
    </row>
    <row r="44472" spans="1:1" ht="12.75">
      <c r="A44472" s="2" t="s">
        <v>861</v>
      </c>
    </row>
    <row r="44473" spans="1:1" ht="12.75">
      <c r="A44473" s="2" t="s">
        <v>272</v>
      </c>
    </row>
    <row r="44474" spans="1:1" ht="12.75">
      <c r="A44474" s="2" t="s">
        <v>268</v>
      </c>
    </row>
    <row r="44475" spans="1:1" ht="12.75">
      <c r="A44475" s="2" t="s">
        <v>268</v>
      </c>
    </row>
    <row r="44476" spans="1:1" ht="12.75">
      <c r="A44476" s="2" t="s">
        <v>924</v>
      </c>
    </row>
    <row r="44477" spans="1:1" ht="12.75">
      <c r="A44477" s="2" t="s">
        <v>268</v>
      </c>
    </row>
    <row r="44478" spans="1:1" ht="12.75">
      <c r="A44478" s="2" t="s">
        <v>859</v>
      </c>
    </row>
    <row r="44479" spans="1:1" ht="12.75">
      <c r="A44479" s="2" t="s">
        <v>271</v>
      </c>
    </row>
    <row r="44480" spans="1:1" ht="12.75">
      <c r="A44480" s="2" t="s">
        <v>859</v>
      </c>
    </row>
    <row r="44481" spans="1:1" ht="12.75">
      <c r="A44481" s="2" t="s">
        <v>271</v>
      </c>
    </row>
    <row r="44483" spans="1:1" ht="12.75">
      <c r="A44483" s="2" t="s">
        <v>272</v>
      </c>
    </row>
    <row r="44484" spans="1:1" ht="12.75">
      <c r="A44484" s="2" t="s">
        <v>922</v>
      </c>
    </row>
    <row r="44485" spans="1:1" ht="12.75">
      <c r="A44485" s="2" t="s">
        <v>273</v>
      </c>
    </row>
    <row r="44486" spans="1:1" ht="12.75">
      <c r="A44486" s="2" t="s">
        <v>922</v>
      </c>
    </row>
    <row r="44487" spans="1:1" ht="12.75">
      <c r="A44487" s="2" t="s">
        <v>273</v>
      </c>
    </row>
    <row r="44488" spans="1:1" ht="12.75">
      <c r="A44488" s="2" t="s">
        <v>268</v>
      </c>
    </row>
    <row r="44489" spans="1:1" ht="12.75">
      <c r="A44489" s="2" t="s">
        <v>272</v>
      </c>
    </row>
    <row r="44490" spans="1:1" ht="12.75">
      <c r="A44490" s="2" t="s">
        <v>268</v>
      </c>
    </row>
    <row r="44491" spans="1:1" ht="12.75">
      <c r="A44491" s="2" t="s">
        <v>269</v>
      </c>
    </row>
    <row r="44492" spans="1:1" ht="12.75">
      <c r="A44492" s="2" t="s">
        <v>269</v>
      </c>
    </row>
    <row r="44493" spans="1:1" ht="12.75">
      <c r="A44493" s="2" t="s">
        <v>271</v>
      </c>
    </row>
    <row r="44494" spans="1:1" ht="12.75">
      <c r="A44494" s="2" t="s">
        <v>270</v>
      </c>
    </row>
    <row r="44495" spans="1:1" ht="12.75">
      <c r="A44495" s="2" t="s">
        <v>269</v>
      </c>
    </row>
    <row r="44496" spans="1:1" ht="12.75">
      <c r="A44496" s="2" t="s">
        <v>273</v>
      </c>
    </row>
    <row r="44497" spans="1:1" ht="12.75">
      <c r="A44497" s="2" t="s">
        <v>270</v>
      </c>
    </row>
    <row r="44498" spans="1:1" ht="12.75">
      <c r="A44498" s="2" t="s">
        <v>269</v>
      </c>
    </row>
    <row r="44499" spans="1:1" ht="12.75">
      <c r="A44499" s="2" t="s">
        <v>268</v>
      </c>
    </row>
    <row r="44500" spans="1:1" ht="12.75">
      <c r="A44500" s="2" t="s">
        <v>271</v>
      </c>
    </row>
    <row r="44501" spans="1:1" ht="12.75">
      <c r="A44501" s="2" t="s">
        <v>269</v>
      </c>
    </row>
    <row r="44502" spans="1:1" ht="12.75">
      <c r="A44502" s="2" t="s">
        <v>268</v>
      </c>
    </row>
    <row r="44503" spans="1:1" ht="12.75">
      <c r="A44503" s="2" t="s">
        <v>271</v>
      </c>
    </row>
    <row r="44504" spans="1:1" ht="12.75">
      <c r="A44504" s="2" t="s">
        <v>268</v>
      </c>
    </row>
    <row r="44505" spans="1:1" ht="12.75">
      <c r="A44505" s="2" t="s">
        <v>268</v>
      </c>
    </row>
    <row r="44506" spans="1:1" ht="12.75">
      <c r="A44506" s="2" t="s">
        <v>268</v>
      </c>
    </row>
    <row r="44507" spans="1:1" ht="12.75">
      <c r="A44507" s="2" t="s">
        <v>268</v>
      </c>
    </row>
    <row r="44508" spans="1:1" ht="12.75">
      <c r="A44508" s="2" t="s">
        <v>860</v>
      </c>
    </row>
    <row r="44509" spans="1:1" ht="12.75">
      <c r="A44509" s="2" t="s">
        <v>268</v>
      </c>
    </row>
    <row r="44510" spans="1:1" ht="12.75">
      <c r="A44510" s="2" t="s">
        <v>269</v>
      </c>
    </row>
    <row r="44511" spans="1:1" ht="12.75">
      <c r="A44511" s="2" t="s">
        <v>924</v>
      </c>
    </row>
    <row r="44512" spans="1:1" ht="12.75">
      <c r="A44512" s="2" t="s">
        <v>861</v>
      </c>
    </row>
    <row r="44513" spans="1:1" ht="12.75">
      <c r="A44513" s="2" t="s">
        <v>861</v>
      </c>
    </row>
    <row r="44514" spans="1:1" ht="12.75">
      <c r="A44514" s="2" t="s">
        <v>924</v>
      </c>
    </row>
    <row r="44515" spans="1:1" ht="12.75">
      <c r="A44515" s="2" t="s">
        <v>270</v>
      </c>
    </row>
    <row r="44516" spans="1:1" ht="12.75">
      <c r="A44516" s="2" t="s">
        <v>271</v>
      </c>
    </row>
    <row r="44517" spans="1:1" ht="12.75">
      <c r="A44517" s="2" t="s">
        <v>924</v>
      </c>
    </row>
    <row r="44518" spans="1:1" ht="12.75">
      <c r="A44518" s="2" t="s">
        <v>272</v>
      </c>
    </row>
    <row r="44519" spans="1:1" ht="12.75">
      <c r="A44519" s="2" t="s">
        <v>924</v>
      </c>
    </row>
    <row r="44520" spans="1:1" ht="12.75">
      <c r="A44520" s="2" t="s">
        <v>922</v>
      </c>
    </row>
    <row r="44521" spans="1:1" ht="12.75">
      <c r="A44521" s="2" t="s">
        <v>271</v>
      </c>
    </row>
    <row r="44522" spans="1:1" ht="12.75">
      <c r="A44522" s="2" t="s">
        <v>272</v>
      </c>
    </row>
    <row r="44523" spans="1:1" ht="12.75">
      <c r="A44523" s="2" t="s">
        <v>268</v>
      </c>
    </row>
    <row r="44524" spans="1:1" ht="12.75">
      <c r="A44524" s="2" t="s">
        <v>270</v>
      </c>
    </row>
    <row r="44525" spans="1:1" ht="12.75">
      <c r="A44525" s="2" t="s">
        <v>273</v>
      </c>
    </row>
    <row r="44526" spans="1:1" ht="12.75">
      <c r="A44526" s="2" t="s">
        <v>268</v>
      </c>
    </row>
    <row r="44527" spans="1:1" ht="12.75">
      <c r="A44527" s="2" t="s">
        <v>269</v>
      </c>
    </row>
    <row r="44528" spans="1:1" ht="12.75">
      <c r="A44528" s="2" t="s">
        <v>859</v>
      </c>
    </row>
    <row r="44529" spans="1:1" ht="12.75">
      <c r="A44529" s="2" t="s">
        <v>271</v>
      </c>
    </row>
    <row r="44530" spans="1:1" ht="12.75">
      <c r="A44530" s="2" t="s">
        <v>922</v>
      </c>
    </row>
    <row r="44531" spans="1:1" ht="12.75">
      <c r="A44531" s="2" t="s">
        <v>922</v>
      </c>
    </row>
    <row r="44532" spans="1:1" ht="12.75">
      <c r="A44532" s="2" t="s">
        <v>861</v>
      </c>
    </row>
    <row r="44533" spans="1:1" ht="12.75">
      <c r="A44533" s="2" t="s">
        <v>861</v>
      </c>
    </row>
    <row r="44534" spans="1:1" ht="12.75">
      <c r="A44534" s="2" t="s">
        <v>859</v>
      </c>
    </row>
    <row r="44535" spans="1:1" ht="12.75">
      <c r="A44535" s="2" t="s">
        <v>860</v>
      </c>
    </row>
    <row r="44536" spans="1:1" ht="12.75">
      <c r="A44536" s="2" t="s">
        <v>268</v>
      </c>
    </row>
    <row r="44537" spans="1:1" ht="12.75">
      <c r="A44537" s="2" t="s">
        <v>271</v>
      </c>
    </row>
    <row r="44538" spans="1:1" ht="12.75">
      <c r="A44538" s="2" t="s">
        <v>270</v>
      </c>
    </row>
    <row r="44539" spans="1:1" ht="12.75">
      <c r="A44539" s="2" t="s">
        <v>270</v>
      </c>
    </row>
    <row r="44540" spans="1:1" ht="12.75">
      <c r="A44540" s="2" t="s">
        <v>272</v>
      </c>
    </row>
    <row r="44541" spans="1:1" ht="12.75">
      <c r="A44541" s="2" t="s">
        <v>270</v>
      </c>
    </row>
    <row r="44542" spans="1:1" ht="12.75">
      <c r="A44542" s="2" t="s">
        <v>860</v>
      </c>
    </row>
    <row r="44543" spans="1:1" ht="12.75">
      <c r="A44543" s="2" t="s">
        <v>273</v>
      </c>
    </row>
    <row r="44544" spans="1:1" ht="12.75">
      <c r="A44544" s="2" t="s">
        <v>924</v>
      </c>
    </row>
    <row r="44545" spans="1:1" ht="12.75">
      <c r="A44545" s="2" t="s">
        <v>272</v>
      </c>
    </row>
    <row r="44546" spans="1:1" ht="12.75">
      <c r="A44546" s="2" t="s">
        <v>272</v>
      </c>
    </row>
    <row r="44547" spans="1:1" ht="12.75">
      <c r="A44547" s="2" t="s">
        <v>924</v>
      </c>
    </row>
    <row r="44548" spans="1:1" ht="12.75">
      <c r="A44548" s="2" t="s">
        <v>269</v>
      </c>
    </row>
    <row r="44549" spans="1:1" ht="12.75">
      <c r="A44549" s="2" t="s">
        <v>269</v>
      </c>
    </row>
    <row r="44550" spans="1:1" ht="12.75">
      <c r="A44550" s="2" t="s">
        <v>924</v>
      </c>
    </row>
    <row r="44551" spans="1:1" ht="12.75">
      <c r="A44551" s="2" t="s">
        <v>273</v>
      </c>
    </row>
    <row r="44552" spans="1:1" ht="12.75">
      <c r="A44552" s="2" t="s">
        <v>268</v>
      </c>
    </row>
    <row r="44554" spans="1:1" ht="12.75">
      <c r="A44554" s="2" t="s">
        <v>270</v>
      </c>
    </row>
    <row r="44555" spans="1:1" ht="12.75">
      <c r="A44555" s="2" t="s">
        <v>859</v>
      </c>
    </row>
    <row r="44556" spans="1:1" ht="12.75">
      <c r="A44556" s="2" t="s">
        <v>272</v>
      </c>
    </row>
    <row r="44557" spans="1:1" ht="12.75">
      <c r="A44557" s="2" t="s">
        <v>860</v>
      </c>
    </row>
    <row r="44558" spans="1:1" ht="12.75">
      <c r="A44558" s="2" t="s">
        <v>859</v>
      </c>
    </row>
    <row r="44559" spans="1:1" ht="12.75">
      <c r="A44559" s="2" t="s">
        <v>271</v>
      </c>
    </row>
    <row r="44560" spans="1:1" ht="12.75">
      <c r="A44560" s="2" t="s">
        <v>861</v>
      </c>
    </row>
    <row r="44562" spans="1:1" ht="12.75">
      <c r="A44562" s="2" t="s">
        <v>1515</v>
      </c>
    </row>
    <row r="44563" spans="1:1" ht="12.75">
      <c r="A44563" s="2" t="s">
        <v>268</v>
      </c>
    </row>
    <row r="44564" spans="1:1" ht="12.75">
      <c r="A44564" s="2" t="s">
        <v>273</v>
      </c>
    </row>
    <row r="44565" spans="1:1" ht="12.75">
      <c r="A44565" s="2" t="s">
        <v>861</v>
      </c>
    </row>
    <row r="44566" spans="1:1" ht="12.75">
      <c r="A44566" s="2" t="s">
        <v>273</v>
      </c>
    </row>
    <row r="44567" spans="1:1" ht="12.75">
      <c r="A44567" s="2" t="s">
        <v>861</v>
      </c>
    </row>
    <row r="44568" spans="1:1" ht="12.75">
      <c r="A44568" s="2" t="s">
        <v>718</v>
      </c>
    </row>
    <row r="44569" spans="1:1" ht="12.75">
      <c r="A44569" s="2" t="s">
        <v>718</v>
      </c>
    </row>
    <row r="44570" spans="1:1" ht="12.75">
      <c r="A44570" s="2" t="s">
        <v>718</v>
      </c>
    </row>
    <row r="44571" spans="1:1" ht="12.75">
      <c r="A44571" s="2" t="s">
        <v>718</v>
      </c>
    </row>
    <row r="44572" spans="1:1" ht="12.75">
      <c r="A44572" s="2" t="s">
        <v>486</v>
      </c>
    </row>
    <row r="44573" spans="1:1" ht="12.75">
      <c r="A44573" s="2" t="s">
        <v>486</v>
      </c>
    </row>
    <row r="44574" spans="1:1" ht="12.75">
      <c r="A44574" s="2" t="s">
        <v>486</v>
      </c>
    </row>
    <row r="44575" spans="1:1" ht="12.75">
      <c r="A44575" s="2" t="s">
        <v>486</v>
      </c>
    </row>
    <row r="44576" spans="1:1" ht="12.75">
      <c r="A44576" s="2" t="s">
        <v>486</v>
      </c>
    </row>
    <row r="44577" spans="1:1" ht="12.75">
      <c r="A44577" s="2" t="s">
        <v>486</v>
      </c>
    </row>
    <row r="44578" spans="1:1" ht="12.75">
      <c r="A44578" s="2" t="s">
        <v>209</v>
      </c>
    </row>
    <row r="44579" spans="1:1" ht="12.75">
      <c r="A44579" s="2" t="s">
        <v>209</v>
      </c>
    </row>
    <row r="44580" spans="1:1" ht="12.75">
      <c r="A44580" s="2" t="s">
        <v>209</v>
      </c>
    </row>
    <row r="44581" spans="1:1" ht="12.75">
      <c r="A44581" s="2" t="s">
        <v>209</v>
      </c>
    </row>
    <row r="44584" spans="1:1" ht="12.75">
      <c r="A44584" s="2" t="s">
        <v>718</v>
      </c>
    </row>
    <row r="44585" spans="1:1" ht="12.75">
      <c r="A44585" s="2" t="s">
        <v>718</v>
      </c>
    </row>
    <row r="44602" spans="1:1" ht="12.75">
      <c r="A44602" s="2" t="s">
        <v>718</v>
      </c>
    </row>
    <row r="44603" spans="1:1" ht="12.75">
      <c r="A44603" s="2" t="s">
        <v>718</v>
      </c>
    </row>
    <row r="44604" spans="1:1" ht="12.75">
      <c r="A44604" s="2" t="s">
        <v>209</v>
      </c>
    </row>
    <row r="44605" spans="1:1" ht="12.75">
      <c r="A44605" s="2" t="s">
        <v>486</v>
      </c>
    </row>
    <row r="44606" spans="1:1" ht="12.75">
      <c r="A44606" s="2" t="s">
        <v>209</v>
      </c>
    </row>
    <row r="44607" spans="1:1" ht="12.75">
      <c r="A44607" s="2" t="s">
        <v>209</v>
      </c>
    </row>
    <row r="44624" spans="1:1" ht="12.75">
      <c r="A44624" s="2" t="s">
        <v>188</v>
      </c>
    </row>
    <row r="44625" spans="1:1" ht="12.75">
      <c r="A44625" s="2" t="s">
        <v>486</v>
      </c>
    </row>
    <row r="44626" spans="1:1" ht="12.75">
      <c r="A44626" s="2" t="s">
        <v>486</v>
      </c>
    </row>
    <row r="44647" spans="1:1" ht="12.75">
      <c r="A44647" s="2" t="s">
        <v>271</v>
      </c>
    </row>
    <row r="44649" spans="1:1" ht="12.75">
      <c r="A44649" s="2" t="s">
        <v>268</v>
      </c>
    </row>
    <row r="44660" spans="1:1" ht="12.75">
      <c r="A44660" s="2" t="s">
        <v>924</v>
      </c>
    </row>
    <row r="44676" spans="1:1" ht="12.75">
      <c r="A44676" s="2" t="s">
        <v>922</v>
      </c>
    </row>
    <row r="44678" spans="1:1" ht="12.75">
      <c r="A44678" s="2" t="s">
        <v>861</v>
      </c>
    </row>
    <row r="44679" spans="1:1" ht="12.75">
      <c r="A44679" s="2" t="s">
        <v>859</v>
      </c>
    </row>
    <row r="44680" spans="1:1" ht="12.75">
      <c r="A44680" s="2" t="s">
        <v>861</v>
      </c>
    </row>
    <row r="44681" spans="1:1" ht="12.75">
      <c r="A44681" s="2" t="s">
        <v>924</v>
      </c>
    </row>
    <row r="44682" spans="1:1" ht="12.75">
      <c r="A44682" s="2" t="s">
        <v>924</v>
      </c>
    </row>
    <row r="44683" spans="1:1" ht="12.75">
      <c r="A44683" s="2" t="s">
        <v>272</v>
      </c>
    </row>
    <row r="44684" spans="1:1" ht="12.75">
      <c r="A44684" s="2" t="s">
        <v>272</v>
      </c>
    </row>
    <row r="44685" spans="1:1" ht="12.75">
      <c r="A44685" s="2" t="s">
        <v>272</v>
      </c>
    </row>
    <row r="44686" spans="1:1" ht="12.75">
      <c r="A44686" s="2" t="s">
        <v>269</v>
      </c>
    </row>
    <row r="44687" spans="1:1" ht="12.75">
      <c r="A44687" s="2" t="s">
        <v>273</v>
      </c>
    </row>
    <row r="44688" spans="1:1" ht="12.75">
      <c r="A44688" s="2" t="s">
        <v>273</v>
      </c>
    </row>
    <row r="44689" spans="1:1" ht="12.75">
      <c r="A44689" s="2" t="s">
        <v>269</v>
      </c>
    </row>
    <row r="44694" spans="1:1" ht="12.75">
      <c r="A44694" s="2" t="s">
        <v>270</v>
      </c>
    </row>
    <row r="44695" spans="1:1" ht="12.75">
      <c r="A44695" s="2" t="s">
        <v>268</v>
      </c>
    </row>
    <row r="44696" spans="1:1" ht="12.75">
      <c r="A44696" s="2" t="s">
        <v>268</v>
      </c>
    </row>
    <row r="44697" spans="1:1" ht="12.75">
      <c r="A44697" s="2" t="s">
        <v>271</v>
      </c>
    </row>
    <row r="44698" spans="1:1" ht="12.75">
      <c r="A44698" s="2" t="s">
        <v>268</v>
      </c>
    </row>
    <row r="44699" spans="1:1" ht="12.75">
      <c r="A44699" s="2" t="s">
        <v>859</v>
      </c>
    </row>
    <row r="44700" spans="1:1" ht="12.75">
      <c r="A44700" s="2" t="s">
        <v>271</v>
      </c>
    </row>
    <row r="44701" spans="1:1" ht="12.75">
      <c r="A44701" s="2" t="s">
        <v>922</v>
      </c>
    </row>
    <row r="44702" spans="1:1" ht="12.75">
      <c r="A44702" s="2" t="s">
        <v>922</v>
      </c>
    </row>
    <row r="44703" spans="1:1" ht="12.75">
      <c r="A44703" s="2" t="s">
        <v>924</v>
      </c>
    </row>
    <row r="44704" spans="1:1" ht="12.75">
      <c r="A44704" s="2" t="s">
        <v>924</v>
      </c>
    </row>
    <row r="44705" spans="1:1" ht="12.75">
      <c r="A44705" s="2" t="s">
        <v>269</v>
      </c>
    </row>
    <row r="44706" spans="1:1" ht="12.75">
      <c r="A44706" s="2" t="s">
        <v>270</v>
      </c>
    </row>
    <row r="44708" spans="1:1" ht="12.75">
      <c r="A44708" s="2" t="s">
        <v>270</v>
      </c>
    </row>
    <row r="44710" spans="1:1" ht="12.75">
      <c r="A44710" s="2" t="s">
        <v>270</v>
      </c>
    </row>
    <row r="44712" spans="1:1" ht="12.75">
      <c r="A44712" s="2" t="s">
        <v>273</v>
      </c>
    </row>
    <row r="44714" spans="1:1" ht="12.75">
      <c r="A44714" s="2" t="s">
        <v>273</v>
      </c>
    </row>
    <row r="44718" spans="1:1" ht="12.75">
      <c r="A44718" s="2" t="s">
        <v>272</v>
      </c>
    </row>
    <row r="44720" spans="1:1" ht="12.75">
      <c r="A44720" s="2" t="s">
        <v>272</v>
      </c>
    </row>
    <row r="44721" spans="1:1" ht="12.75">
      <c r="A44721" s="2" t="s">
        <v>271</v>
      </c>
    </row>
    <row r="44722" spans="1:1" ht="12.75">
      <c r="A44722" s="2" t="s">
        <v>269</v>
      </c>
    </row>
    <row r="44723" spans="1:1" ht="12.75">
      <c r="A44723" s="2" t="s">
        <v>271</v>
      </c>
    </row>
    <row r="44724" spans="1:1" ht="12.75">
      <c r="A44724" s="2" t="s">
        <v>269</v>
      </c>
    </row>
    <row r="44739" spans="1:1" ht="12.75">
      <c r="A44739" s="2" t="s">
        <v>516</v>
      </c>
    </row>
    <row r="44745" spans="1:1" ht="12.75">
      <c r="A44745" s="2" t="s">
        <v>1516</v>
      </c>
    </row>
    <row r="44748" spans="1:1" ht="12.75">
      <c r="A44748" s="2" t="s">
        <v>903</v>
      </c>
    </row>
    <row r="44749" spans="1:1" ht="12.75">
      <c r="A44749" s="2" t="s">
        <v>461</v>
      </c>
    </row>
    <row r="44750" spans="1:1" ht="12.75">
      <c r="A44750" s="2" t="s">
        <v>1191</v>
      </c>
    </row>
    <row r="44751" spans="1:1" ht="12.75">
      <c r="A44751" s="2" t="s">
        <v>1191</v>
      </c>
    </row>
    <row r="44752" spans="1:1" ht="12.75">
      <c r="A44752" s="2" t="s">
        <v>1517</v>
      </c>
    </row>
    <row r="44753" spans="1:1" ht="12.75">
      <c r="A44753" s="2" t="s">
        <v>1517</v>
      </c>
    </row>
    <row r="44754" spans="1:1" ht="12.75">
      <c r="A44754" s="2" t="s">
        <v>1517</v>
      </c>
    </row>
    <row r="44756" spans="1:1" ht="12.75">
      <c r="A44756" s="2" t="s">
        <v>1517</v>
      </c>
    </row>
    <row r="44757" spans="1:1" ht="12.75">
      <c r="A44757" s="2" t="s">
        <v>1517</v>
      </c>
    </row>
    <row r="44758" spans="1:1" ht="12.75">
      <c r="A44758" s="2" t="s">
        <v>488</v>
      </c>
    </row>
    <row r="44759" spans="1:1" ht="12.75">
      <c r="A44759" s="2" t="s">
        <v>1518</v>
      </c>
    </row>
    <row r="44760" spans="1:1" ht="12.75">
      <c r="A44760" s="2" t="s">
        <v>1518</v>
      </c>
    </row>
    <row r="44761" spans="1:1" ht="12.75">
      <c r="A44761" s="2" t="s">
        <v>1519</v>
      </c>
    </row>
    <row r="44762" spans="1:1" ht="12.75">
      <c r="A44762" s="2" t="s">
        <v>1520</v>
      </c>
    </row>
    <row r="44763" spans="1:1" ht="12.75">
      <c r="A44763" s="2" t="s">
        <v>339</v>
      </c>
    </row>
    <row r="44764" spans="1:1" ht="12.75">
      <c r="A44764" s="2" t="s">
        <v>158</v>
      </c>
    </row>
    <row r="44765" spans="1:1" ht="12.75">
      <c r="A44765" s="2" t="s">
        <v>158</v>
      </c>
    </row>
    <row r="44766" spans="1:1" ht="12.75">
      <c r="A44766" s="2" t="s">
        <v>905</v>
      </c>
    </row>
    <row r="44767" spans="1:1" ht="12.75">
      <c r="A44767" s="2" t="s">
        <v>905</v>
      </c>
    </row>
    <row r="44768" spans="1:1" ht="12.75">
      <c r="A44768" s="2" t="s">
        <v>905</v>
      </c>
    </row>
    <row r="44769" spans="1:1" ht="12.75">
      <c r="A44769" s="2" t="s">
        <v>905</v>
      </c>
    </row>
    <row r="44771" spans="1:1" ht="12.75">
      <c r="A44771" s="2" t="s">
        <v>1019</v>
      </c>
    </row>
    <row r="44772" spans="1:1" ht="12.75">
      <c r="A44772" s="2" t="s">
        <v>1519</v>
      </c>
    </row>
    <row r="44773" spans="1:1" ht="12.75">
      <c r="A44773" s="2" t="s">
        <v>1519</v>
      </c>
    </row>
    <row r="44774" spans="1:1" ht="12.75">
      <c r="A44774" s="2" t="s">
        <v>1521</v>
      </c>
    </row>
    <row r="44775" spans="1:1" ht="12.75">
      <c r="A44775" s="2" t="s">
        <v>1522</v>
      </c>
    </row>
    <row r="44777" spans="1:1" ht="12.75">
      <c r="A44777" s="2" t="s">
        <v>1522</v>
      </c>
    </row>
    <row r="44780" spans="1:1" ht="12.75">
      <c r="A44780" s="2" t="s">
        <v>1045</v>
      </c>
    </row>
    <row r="44781" spans="1:1" ht="12.75">
      <c r="A44781" s="2" t="s">
        <v>1523</v>
      </c>
    </row>
    <row r="44784" spans="1:1" ht="12.75">
      <c r="A44784" s="2" t="s">
        <v>1524</v>
      </c>
    </row>
    <row r="44785" spans="1:1" ht="12.75">
      <c r="A44785" s="2" t="s">
        <v>1525</v>
      </c>
    </row>
    <row r="44786" spans="1:1" ht="12.75">
      <c r="A44786" s="2" t="s">
        <v>1525</v>
      </c>
    </row>
    <row r="44787" spans="1:1" ht="12.75">
      <c r="A44787" s="2" t="s">
        <v>1526</v>
      </c>
    </row>
    <row r="44789" spans="1:1" ht="12.75">
      <c r="A44789" s="2" t="s">
        <v>1527</v>
      </c>
    </row>
    <row r="44791" spans="1:1" ht="12.75">
      <c r="A44791" s="2" t="s">
        <v>1527</v>
      </c>
    </row>
    <row r="44794" spans="1:1" ht="12.75">
      <c r="A44794" s="2" t="s">
        <v>1528</v>
      </c>
    </row>
    <row r="44796" spans="1:1" ht="12.75">
      <c r="A44796" s="2" t="s">
        <v>1529</v>
      </c>
    </row>
    <row r="44798" spans="1:1" ht="12.75">
      <c r="A44798" s="2" t="s">
        <v>669</v>
      </c>
    </row>
    <row r="44799" spans="1:1" ht="12.75">
      <c r="A44799" s="2" t="s">
        <v>669</v>
      </c>
    </row>
    <row r="44801" spans="1:1" ht="12.75">
      <c r="A44801" s="2" t="s">
        <v>669</v>
      </c>
    </row>
    <row r="44802" spans="1:1" ht="12.75">
      <c r="A44802" s="2" t="s">
        <v>778</v>
      </c>
    </row>
    <row r="44803" spans="1:1" ht="12.75">
      <c r="A44803" s="2" t="s">
        <v>661</v>
      </c>
    </row>
    <row r="44804" spans="1:1" ht="12.75">
      <c r="A44804" s="2" t="s">
        <v>775</v>
      </c>
    </row>
    <row r="44805" spans="1:1" ht="12.75">
      <c r="A44805" s="2" t="s">
        <v>775</v>
      </c>
    </row>
    <row r="44806" spans="1:1" ht="12.75">
      <c r="A44806" s="2" t="s">
        <v>778</v>
      </c>
    </row>
    <row r="44807" spans="1:1" ht="12.75">
      <c r="A44807" s="2" t="s">
        <v>777</v>
      </c>
    </row>
    <row r="44808" spans="1:1" ht="12.75">
      <c r="A44808" s="2" t="s">
        <v>778</v>
      </c>
    </row>
    <row r="44809" spans="1:1" ht="12.75">
      <c r="A44809" s="2" t="s">
        <v>778</v>
      </c>
    </row>
    <row r="44810" spans="1:1" ht="12.75">
      <c r="A44810" s="2" t="s">
        <v>775</v>
      </c>
    </row>
    <row r="44811" spans="1:1" ht="12.75">
      <c r="A44811" s="2" t="s">
        <v>661</v>
      </c>
    </row>
    <row r="44812" spans="1:1" ht="12.75">
      <c r="A44812" s="2" t="s">
        <v>661</v>
      </c>
    </row>
    <row r="44813" spans="1:1" ht="12.75">
      <c r="A44813" s="2" t="s">
        <v>661</v>
      </c>
    </row>
    <row r="44814" spans="1:1" ht="12.75">
      <c r="A44814" s="2" t="s">
        <v>775</v>
      </c>
    </row>
    <row r="44815" spans="1:1" ht="12.75">
      <c r="A44815" s="2" t="s">
        <v>661</v>
      </c>
    </row>
    <row r="44816" spans="1:1" ht="12.75">
      <c r="A44816" s="2" t="s">
        <v>775</v>
      </c>
    </row>
    <row r="44817" spans="1:1" ht="12.75">
      <c r="A44817" s="2" t="s">
        <v>775</v>
      </c>
    </row>
    <row r="44818" spans="1:1" ht="12.75">
      <c r="A44818" s="2" t="s">
        <v>710</v>
      </c>
    </row>
    <row r="44819" spans="1:1" ht="12.75">
      <c r="A44819" s="2" t="s">
        <v>710</v>
      </c>
    </row>
    <row r="44820" spans="1:1" ht="12.75">
      <c r="A44820" s="2" t="s">
        <v>710</v>
      </c>
    </row>
    <row r="44821" spans="1:1" ht="12.75">
      <c r="A44821" s="2" t="s">
        <v>747</v>
      </c>
    </row>
    <row r="44823" spans="1:1" ht="12.75">
      <c r="A44823" s="2" t="s">
        <v>1530</v>
      </c>
    </row>
    <row r="44827" spans="1:1" ht="12.75">
      <c r="A44827" s="2" t="s">
        <v>1530</v>
      </c>
    </row>
    <row r="44829" spans="1:1" ht="12.75">
      <c r="A44829" s="2" t="s">
        <v>1531</v>
      </c>
    </row>
    <row r="44831" spans="1:1" ht="12.75">
      <c r="A44831" s="2" t="s">
        <v>377</v>
      </c>
    </row>
    <row r="44832" spans="1:1" ht="12.75">
      <c r="A44832" s="2" t="s">
        <v>377</v>
      </c>
    </row>
    <row r="44833" spans="1:1" ht="12.75">
      <c r="A44833" s="2" t="s">
        <v>377</v>
      </c>
    </row>
    <row r="44835" spans="1:1" ht="12.75">
      <c r="A44835" s="2" t="s">
        <v>377</v>
      </c>
    </row>
    <row r="44837" spans="1:1" ht="12.75">
      <c r="A44837" s="2" t="s">
        <v>377</v>
      </c>
    </row>
    <row r="44838" spans="1:1" ht="12.75">
      <c r="A44838" s="2" t="s">
        <v>377</v>
      </c>
    </row>
    <row r="44839" spans="1:1" ht="12.75">
      <c r="A44839" s="2" t="s">
        <v>377</v>
      </c>
    </row>
    <row r="44840" spans="1:1" ht="12.75">
      <c r="A44840" s="2" t="s">
        <v>377</v>
      </c>
    </row>
    <row r="44849" spans="1:1" ht="12.75">
      <c r="A44849" s="2" t="s">
        <v>402</v>
      </c>
    </row>
    <row r="44850" spans="1:1" ht="12.75">
      <c r="A44850" s="2" t="s">
        <v>402</v>
      </c>
    </row>
    <row r="44851" spans="1:1" ht="12.75">
      <c r="A44851" s="2" t="s">
        <v>1532</v>
      </c>
    </row>
    <row r="44854" spans="1:1" ht="12.75">
      <c r="A44854" s="2" t="s">
        <v>1533</v>
      </c>
    </row>
    <row r="44856" spans="1:1" ht="12.75">
      <c r="A44856" s="2" t="s">
        <v>1534</v>
      </c>
    </row>
    <row r="44860" spans="1:1" ht="12.75">
      <c r="A44860" s="2" t="s">
        <v>1535</v>
      </c>
    </row>
    <row r="44865" spans="1:1" ht="12.75">
      <c r="A44865" s="2" t="s">
        <v>1536</v>
      </c>
    </row>
    <row r="44866" spans="1:1" ht="12.75">
      <c r="A44866" s="2" t="s">
        <v>1537</v>
      </c>
    </row>
    <row r="44867" spans="1:1" ht="12.75">
      <c r="A44867" s="2" t="s">
        <v>331</v>
      </c>
    </row>
    <row r="44868" spans="1:1" ht="12.75">
      <c r="A44868" s="2" t="s">
        <v>332</v>
      </c>
    </row>
    <row r="44869" spans="1:1" ht="12.75">
      <c r="A44869" s="2" t="s">
        <v>331</v>
      </c>
    </row>
    <row r="44870" spans="1:1" ht="12.75">
      <c r="A44870" s="2" t="s">
        <v>332</v>
      </c>
    </row>
    <row r="44871" spans="1:1" ht="12.75">
      <c r="A44871" s="2" t="s">
        <v>331</v>
      </c>
    </row>
    <row r="44872" spans="1:1" ht="12.75">
      <c r="A44872" s="2" t="s">
        <v>332</v>
      </c>
    </row>
    <row r="44873" spans="1:1" ht="12.75">
      <c r="A44873" s="2" t="s">
        <v>1349</v>
      </c>
    </row>
    <row r="44874" spans="1:1" ht="12.75">
      <c r="A44874" s="2" t="s">
        <v>332</v>
      </c>
    </row>
    <row r="44875" spans="1:1" ht="12.75">
      <c r="A44875" s="2" t="s">
        <v>331</v>
      </c>
    </row>
    <row r="44876" spans="1:1" ht="12.75">
      <c r="A44876" s="2" t="s">
        <v>332</v>
      </c>
    </row>
    <row r="44877" spans="1:1" ht="12.75">
      <c r="A44877" s="2" t="s">
        <v>332</v>
      </c>
    </row>
    <row r="44878" spans="1:1" ht="12.75">
      <c r="A44878" s="2" t="s">
        <v>332</v>
      </c>
    </row>
    <row r="44879" spans="1:1" ht="12.75">
      <c r="A44879" s="2" t="s">
        <v>332</v>
      </c>
    </row>
    <row r="44880" spans="1:1" ht="12.75">
      <c r="A44880" s="2" t="s">
        <v>332</v>
      </c>
    </row>
    <row r="44881" spans="1:1" ht="12.75">
      <c r="A44881" s="2" t="s">
        <v>332</v>
      </c>
    </row>
    <row r="44882" spans="1:1" ht="12.75">
      <c r="A44882" s="2" t="s">
        <v>332</v>
      </c>
    </row>
    <row r="44883" spans="1:1" ht="12.75">
      <c r="A44883" s="2" t="s">
        <v>332</v>
      </c>
    </row>
    <row r="44884" spans="1:1" ht="12.75">
      <c r="A44884" s="2" t="s">
        <v>1538</v>
      </c>
    </row>
    <row r="44885" spans="1:1" ht="12.75">
      <c r="A44885" s="2" t="s">
        <v>331</v>
      </c>
    </row>
    <row r="44886" spans="1:1" ht="12.75">
      <c r="A44886" s="2" t="s">
        <v>1538</v>
      </c>
    </row>
    <row r="44887" spans="1:1" ht="12.75">
      <c r="A44887" s="2" t="s">
        <v>332</v>
      </c>
    </row>
    <row r="44888" spans="1:1" ht="12.75">
      <c r="A44888" s="2" t="s">
        <v>332</v>
      </c>
    </row>
    <row r="44889" spans="1:1" ht="12.75">
      <c r="A44889" s="2" t="s">
        <v>332</v>
      </c>
    </row>
    <row r="44890" spans="1:1" ht="12.75">
      <c r="A44890" s="2" t="s">
        <v>332</v>
      </c>
    </row>
    <row r="44891" spans="1:1" ht="12.75">
      <c r="A44891" s="2" t="s">
        <v>332</v>
      </c>
    </row>
    <row r="44892" spans="1:1" ht="12.75">
      <c r="A44892" s="2" t="s">
        <v>332</v>
      </c>
    </row>
    <row r="44893" spans="1:1" ht="12.75">
      <c r="A44893" s="2" t="s">
        <v>332</v>
      </c>
    </row>
    <row r="44894" spans="1:1" ht="12.75">
      <c r="A44894" s="2" t="s">
        <v>332</v>
      </c>
    </row>
    <row r="44895" spans="1:1" ht="12.75">
      <c r="A44895" s="2" t="s">
        <v>332</v>
      </c>
    </row>
    <row r="44896" spans="1:1" ht="12.75">
      <c r="A44896" s="2" t="s">
        <v>332</v>
      </c>
    </row>
    <row r="44897" spans="1:1" ht="12.75">
      <c r="A44897" s="2" t="s">
        <v>331</v>
      </c>
    </row>
    <row r="44898" spans="1:1" ht="12.75">
      <c r="A44898" s="2" t="s">
        <v>1349</v>
      </c>
    </row>
    <row r="44899" spans="1:1" ht="12.75">
      <c r="A44899" s="2" t="s">
        <v>331</v>
      </c>
    </row>
    <row r="44900" spans="1:1" ht="12.75">
      <c r="A44900" s="2" t="s">
        <v>331</v>
      </c>
    </row>
    <row r="44901" spans="1:1" ht="12.75">
      <c r="A44901" s="2" t="s">
        <v>331</v>
      </c>
    </row>
    <row r="44902" spans="1:1" ht="12.75">
      <c r="A44902" s="2" t="s">
        <v>332</v>
      </c>
    </row>
    <row r="44903" spans="1:1" ht="12.75">
      <c r="A44903" s="2" t="s">
        <v>331</v>
      </c>
    </row>
    <row r="44904" spans="1:1" ht="12.75">
      <c r="A44904" s="2" t="s">
        <v>332</v>
      </c>
    </row>
    <row r="44905" spans="1:1" ht="12.75">
      <c r="A44905" s="2" t="s">
        <v>331</v>
      </c>
    </row>
    <row r="44906" spans="1:1" ht="12.75">
      <c r="A44906" s="2" t="s">
        <v>332</v>
      </c>
    </row>
    <row r="44907" spans="1:1" ht="12.75">
      <c r="A44907" s="2" t="s">
        <v>331</v>
      </c>
    </row>
    <row r="44908" spans="1:1" ht="12.75">
      <c r="A44908" s="2" t="s">
        <v>332</v>
      </c>
    </row>
    <row r="44909" spans="1:1" ht="12.75">
      <c r="A44909" s="2" t="s">
        <v>331</v>
      </c>
    </row>
    <row r="44910" spans="1:1" ht="12.75">
      <c r="A44910" s="2" t="s">
        <v>332</v>
      </c>
    </row>
    <row r="44911" spans="1:1" ht="12.75">
      <c r="A44911" s="2" t="s">
        <v>331</v>
      </c>
    </row>
    <row r="44912" spans="1:1" ht="12.75">
      <c r="A44912" s="2" t="s">
        <v>332</v>
      </c>
    </row>
    <row r="44913" spans="1:1" ht="12.75">
      <c r="A44913" s="2" t="s">
        <v>332</v>
      </c>
    </row>
    <row r="44914" spans="1:1" ht="12.75">
      <c r="A44914" s="2" t="s">
        <v>332</v>
      </c>
    </row>
    <row r="44915" spans="1:1" ht="12.75">
      <c r="A44915" s="2" t="s">
        <v>332</v>
      </c>
    </row>
    <row r="44916" spans="1:1" ht="12.75">
      <c r="A44916" s="2" t="s">
        <v>332</v>
      </c>
    </row>
    <row r="44917" spans="1:1" ht="12.75">
      <c r="A44917" s="2" t="s">
        <v>331</v>
      </c>
    </row>
    <row r="44918" spans="1:1" ht="12.75">
      <c r="A44918" s="2" t="s">
        <v>332</v>
      </c>
    </row>
    <row r="44919" spans="1:1" ht="12.75">
      <c r="A44919" s="2" t="s">
        <v>331</v>
      </c>
    </row>
    <row r="44920" spans="1:1" ht="12.75">
      <c r="A44920" s="2" t="s">
        <v>332</v>
      </c>
    </row>
    <row r="44921" spans="1:1" ht="12.75">
      <c r="A44921" s="2" t="s">
        <v>331</v>
      </c>
    </row>
    <row r="44922" spans="1:1" ht="12.75">
      <c r="A44922" s="2" t="s">
        <v>332</v>
      </c>
    </row>
    <row r="44923" spans="1:1" ht="12.75">
      <c r="A44923" s="2" t="s">
        <v>331</v>
      </c>
    </row>
    <row r="44924" spans="1:1" ht="12.75">
      <c r="A44924" s="2" t="s">
        <v>332</v>
      </c>
    </row>
    <row r="44925" spans="1:1" ht="12.75">
      <c r="A44925" s="2" t="s">
        <v>1539</v>
      </c>
    </row>
    <row r="44926" spans="1:1" ht="12.75">
      <c r="A44926" s="2" t="s">
        <v>332</v>
      </c>
    </row>
    <row r="44927" spans="1:1" ht="12.75">
      <c r="A44927" s="2" t="s">
        <v>590</v>
      </c>
    </row>
    <row r="44933" spans="1:1" ht="12.75">
      <c r="A44933" s="2" t="s">
        <v>1126</v>
      </c>
    </row>
    <row r="44934" spans="1:1" ht="12.75">
      <c r="A44934" s="2" t="s">
        <v>1126</v>
      </c>
    </row>
    <row r="44935" spans="1:1" ht="12.75">
      <c r="A44935" s="2" t="s">
        <v>1540</v>
      </c>
    </row>
    <row r="44937" spans="1:1" ht="12.75">
      <c r="A44937" s="2" t="s">
        <v>393</v>
      </c>
    </row>
    <row r="44938" spans="1:1" ht="12.75">
      <c r="A44938" s="2" t="s">
        <v>393</v>
      </c>
    </row>
    <row r="44939" spans="1:1" ht="12.75">
      <c r="A44939" s="2" t="s">
        <v>393</v>
      </c>
    </row>
    <row r="44940" spans="1:1" ht="12.75">
      <c r="A44940" s="2" t="s">
        <v>393</v>
      </c>
    </row>
    <row r="44941" spans="1:1" ht="12.75">
      <c r="A44941" s="2" t="s">
        <v>393</v>
      </c>
    </row>
    <row r="44957" spans="1:1" ht="12.75">
      <c r="A44957" s="2" t="s">
        <v>550</v>
      </c>
    </row>
    <row r="44959" spans="1:1" ht="12.75">
      <c r="A44959" s="2" t="s">
        <v>550</v>
      </c>
    </row>
    <row r="44960" spans="1:1" ht="12.75">
      <c r="A44960" s="2" t="s">
        <v>550</v>
      </c>
    </row>
    <row r="44961" spans="1:1" ht="12.75">
      <c r="A44961" s="2" t="s">
        <v>257</v>
      </c>
    </row>
    <row r="44962" spans="1:1" ht="12.75">
      <c r="A44962" s="2" t="s">
        <v>257</v>
      </c>
    </row>
    <row r="44963" spans="1:1" ht="12.75">
      <c r="A44963" s="2" t="s">
        <v>260</v>
      </c>
    </row>
    <row r="44964" spans="1:1" ht="12.75">
      <c r="A44964" s="2" t="s">
        <v>260</v>
      </c>
    </row>
    <row r="44965" spans="1:1" ht="12.75">
      <c r="A44965" s="2" t="s">
        <v>301</v>
      </c>
    </row>
    <row r="44966" spans="1:1" ht="12.75">
      <c r="A44966" s="2" t="s">
        <v>301</v>
      </c>
    </row>
    <row r="44967" spans="1:1" ht="12.75">
      <c r="A44967" s="2" t="s">
        <v>257</v>
      </c>
    </row>
    <row r="44968" spans="1:1" ht="12.75">
      <c r="A44968" s="2" t="s">
        <v>257</v>
      </c>
    </row>
    <row r="44969" spans="1:1" ht="12.75">
      <c r="A44969" s="2" t="s">
        <v>260</v>
      </c>
    </row>
    <row r="44970" spans="1:1" ht="12.75">
      <c r="A44970" s="2" t="s">
        <v>260</v>
      </c>
    </row>
    <row r="44971" spans="1:1" ht="12.75">
      <c r="A44971" s="2" t="s">
        <v>259</v>
      </c>
    </row>
    <row r="44972" spans="1:1" ht="12.75">
      <c r="A44972" s="2" t="s">
        <v>259</v>
      </c>
    </row>
    <row r="44973" spans="1:1" ht="12.75">
      <c r="A44973" s="2" t="s">
        <v>301</v>
      </c>
    </row>
    <row r="44974" spans="1:1" ht="12.75">
      <c r="A44974" s="2" t="s">
        <v>301</v>
      </c>
    </row>
    <row r="44975" spans="1:1" ht="12.75">
      <c r="A44975" s="2" t="s">
        <v>301</v>
      </c>
    </row>
    <row r="44976" spans="1:1" ht="12.75">
      <c r="A44976" s="2" t="s">
        <v>301</v>
      </c>
    </row>
    <row r="44978" spans="1:1" ht="12.75">
      <c r="A44978" s="2" t="s">
        <v>301</v>
      </c>
    </row>
    <row r="44988" spans="1:1" ht="12.75">
      <c r="A44988" s="2" t="s">
        <v>260</v>
      </c>
    </row>
    <row r="44989" spans="1:1" ht="12.75">
      <c r="A44989" s="2" t="s">
        <v>257</v>
      </c>
    </row>
    <row r="44990" spans="1:1" ht="12.75">
      <c r="A44990" s="2" t="s">
        <v>257</v>
      </c>
    </row>
    <row r="44991" spans="1:1" ht="12.75">
      <c r="A44991" s="2" t="s">
        <v>259</v>
      </c>
    </row>
    <row r="44992" spans="1:1" ht="12.75">
      <c r="A44992" s="2" t="s">
        <v>258</v>
      </c>
    </row>
    <row r="44993" spans="1:1" ht="12.75">
      <c r="A44993" s="2" t="s">
        <v>258</v>
      </c>
    </row>
    <row r="44994" spans="1:1" ht="12.75">
      <c r="A44994" s="2" t="s">
        <v>260</v>
      </c>
    </row>
    <row r="44996" spans="1:1" ht="12.75">
      <c r="A44996" s="2" t="s">
        <v>259</v>
      </c>
    </row>
    <row r="44999" spans="1:1" ht="12.75">
      <c r="A44999" s="2" t="s">
        <v>257</v>
      </c>
    </row>
    <row r="45000" spans="1:1" ht="12.75">
      <c r="A45000" s="2" t="s">
        <v>258</v>
      </c>
    </row>
    <row r="45001" spans="1:1" ht="12.75">
      <c r="A45001" s="2" t="s">
        <v>257</v>
      </c>
    </row>
    <row r="45061" spans="1:1" ht="12.75">
      <c r="A45061" s="2" t="s">
        <v>1541</v>
      </c>
    </row>
    <row r="45063" spans="1:1" ht="12.75">
      <c r="A45063" s="2" t="s">
        <v>1454</v>
      </c>
    </row>
    <row r="45064" spans="1:1" ht="12.75">
      <c r="A45064" s="2" t="s">
        <v>1447</v>
      </c>
    </row>
    <row r="45065" spans="1:1" ht="12.75">
      <c r="A45065" s="2" t="s">
        <v>1458</v>
      </c>
    </row>
    <row r="45066" spans="1:1" ht="12.75">
      <c r="A45066" s="2" t="s">
        <v>1458</v>
      </c>
    </row>
    <row r="45067" spans="1:1" ht="12.75">
      <c r="A45067" s="2" t="s">
        <v>1454</v>
      </c>
    </row>
    <row r="45068" spans="1:1" ht="12.75">
      <c r="A45068" s="2" t="s">
        <v>1454</v>
      </c>
    </row>
    <row r="45069" spans="1:1" ht="12.75">
      <c r="A45069" s="2">
        <v>19255</v>
      </c>
    </row>
    <row r="45070" spans="1:1" ht="12.75">
      <c r="A45070" s="2">
        <v>19255</v>
      </c>
    </row>
    <row r="45071" spans="1:1" ht="12.75">
      <c r="A45071" s="2" t="s">
        <v>1454</v>
      </c>
    </row>
    <row r="45072" spans="1:1" ht="12.75">
      <c r="A45072" s="2" t="s">
        <v>1439</v>
      </c>
    </row>
    <row r="45073" spans="1:1" ht="12.75">
      <c r="A45073" s="2" t="s">
        <v>957</v>
      </c>
    </row>
    <row r="45074" spans="1:1" ht="12.75">
      <c r="A45074" s="2" t="s">
        <v>957</v>
      </c>
    </row>
    <row r="45075" spans="1:1" ht="12.75">
      <c r="A45075" s="2" t="s">
        <v>708</v>
      </c>
    </row>
    <row r="45076" spans="1:1" ht="12.75">
      <c r="A45076" s="2" t="s">
        <v>708</v>
      </c>
    </row>
    <row r="45081" spans="1:1" ht="12.75">
      <c r="A45081" s="2" t="s">
        <v>1142</v>
      </c>
    </row>
    <row r="45082" spans="1:1" ht="12.75">
      <c r="A45082" s="2" t="s">
        <v>1142</v>
      </c>
    </row>
    <row r="45085" spans="1:1" ht="12.75">
      <c r="A45085" s="2" t="s">
        <v>1144</v>
      </c>
    </row>
    <row r="45086" spans="1:1" ht="12.75">
      <c r="A45086" s="2" t="s">
        <v>763</v>
      </c>
    </row>
    <row r="45087" spans="1:1" ht="12.75">
      <c r="A45087" s="2" t="s">
        <v>1256</v>
      </c>
    </row>
    <row r="45088" spans="1:1" ht="12.75">
      <c r="A45088" s="2" t="s">
        <v>1256</v>
      </c>
    </row>
    <row r="45089" spans="1:1" ht="12.75">
      <c r="A45089" s="2" t="s">
        <v>1361</v>
      </c>
    </row>
    <row r="45090" spans="1:1" ht="12.75">
      <c r="A45090" s="2" t="s">
        <v>1361</v>
      </c>
    </row>
    <row r="45091" spans="1:1" ht="12.75">
      <c r="A45091" s="2" t="s">
        <v>1291</v>
      </c>
    </row>
    <row r="45092" spans="1:1" ht="12.75">
      <c r="A45092" s="2" t="s">
        <v>1291</v>
      </c>
    </row>
    <row r="45093" spans="1:1" ht="12.75">
      <c r="A45093" s="2" t="s">
        <v>1292</v>
      </c>
    </row>
    <row r="45094" spans="1:1" ht="12.75">
      <c r="A45094" s="2" t="s">
        <v>1292</v>
      </c>
    </row>
    <row r="45095" spans="1:1" ht="12.75">
      <c r="A45095" s="2" t="s">
        <v>1542</v>
      </c>
    </row>
    <row r="45096" spans="1:1" ht="12.75">
      <c r="A45096" s="2" t="s">
        <v>1542</v>
      </c>
    </row>
    <row r="45097" spans="1:1" ht="12.75">
      <c r="A45097" s="2" t="s">
        <v>1359</v>
      </c>
    </row>
    <row r="45098" spans="1:1" ht="12.75">
      <c r="A45098" s="2" t="s">
        <v>1359</v>
      </c>
    </row>
    <row r="45099" spans="1:1" ht="12.75">
      <c r="A45099" s="2" t="s">
        <v>1449</v>
      </c>
    </row>
    <row r="45100" spans="1:1" ht="12.75">
      <c r="A45100" s="2" t="s">
        <v>1543</v>
      </c>
    </row>
    <row r="45101" spans="1:1" ht="12.75">
      <c r="A45101" s="2" t="s">
        <v>1357</v>
      </c>
    </row>
    <row r="45102" spans="1:1" ht="12.75">
      <c r="A45102" s="2" t="s">
        <v>1357</v>
      </c>
    </row>
    <row r="45103" spans="1:1" ht="12.75">
      <c r="A45103" s="2" t="s">
        <v>1293</v>
      </c>
    </row>
    <row r="45104" spans="1:1" ht="12.75">
      <c r="A45104" s="2" t="s">
        <v>1544</v>
      </c>
    </row>
    <row r="45105" spans="1:1" ht="12.75">
      <c r="A45105" s="2" t="s">
        <v>1448</v>
      </c>
    </row>
    <row r="45106" spans="1:1" ht="12.75">
      <c r="A45106" s="2" t="s">
        <v>1448</v>
      </c>
    </row>
    <row r="45107" spans="1:1" ht="12.75">
      <c r="A45107" s="2" t="s">
        <v>1461</v>
      </c>
    </row>
    <row r="45108" spans="1:1" ht="12.75">
      <c r="A45108" s="2" t="s">
        <v>1461</v>
      </c>
    </row>
    <row r="45109" spans="1:1" ht="12.75">
      <c r="A45109" s="2" t="s">
        <v>1446</v>
      </c>
    </row>
    <row r="45110" spans="1:1" ht="12.75">
      <c r="A45110" s="2" t="s">
        <v>1446</v>
      </c>
    </row>
    <row r="45111" spans="1:1" ht="12.75">
      <c r="A45111" s="2" t="s">
        <v>1442</v>
      </c>
    </row>
    <row r="45112" spans="1:1" ht="12.75">
      <c r="A45112" s="2" t="s">
        <v>1442</v>
      </c>
    </row>
    <row r="45113" spans="1:1" ht="12.75">
      <c r="A45113" s="2" t="s">
        <v>1443</v>
      </c>
    </row>
    <row r="45114" spans="1:1" ht="12.75">
      <c r="A45114" s="2" t="s">
        <v>1443</v>
      </c>
    </row>
    <row r="45115" spans="1:1" ht="12.75">
      <c r="A45115" s="2" t="s">
        <v>1542</v>
      </c>
    </row>
    <row r="45116" spans="1:1" ht="12.75">
      <c r="A45116" s="2" t="s">
        <v>1542</v>
      </c>
    </row>
    <row r="45117" spans="1:1" ht="12.75">
      <c r="A45117" s="2" t="s">
        <v>1541</v>
      </c>
    </row>
    <row r="45118" spans="1:1" ht="12.75">
      <c r="A45118" s="2" t="s">
        <v>1541</v>
      </c>
    </row>
    <row r="45121" spans="1:1" ht="12.75">
      <c r="A45121" s="2" t="s">
        <v>1453</v>
      </c>
    </row>
    <row r="45122" spans="1:1" ht="12.75">
      <c r="A45122" s="2" t="s">
        <v>1453</v>
      </c>
    </row>
    <row r="45125" spans="1:1" ht="12.75">
      <c r="A45125" s="2" t="s">
        <v>1545</v>
      </c>
    </row>
    <row r="45126" spans="1:1" ht="12.75">
      <c r="A45126" s="2" t="s">
        <v>1545</v>
      </c>
    </row>
    <row r="45129" spans="1:1" ht="12.75">
      <c r="A45129" s="2" t="s">
        <v>1458</v>
      </c>
    </row>
    <row r="45130" spans="1:1" ht="12.75">
      <c r="A45130" s="2" t="s">
        <v>1458</v>
      </c>
    </row>
    <row r="45131" spans="1:1" ht="12.75">
      <c r="A45131" s="2" t="s">
        <v>1358</v>
      </c>
    </row>
    <row r="45132" spans="1:1" ht="12.75">
      <c r="A45132" s="2" t="s">
        <v>1358</v>
      </c>
    </row>
    <row r="45133" spans="1:1" ht="12.75">
      <c r="A45133" s="2" t="s">
        <v>1134</v>
      </c>
    </row>
    <row r="45136" spans="1:1" ht="12.75">
      <c r="A45136" s="2" t="s">
        <v>956</v>
      </c>
    </row>
    <row r="45137" spans="1:1" ht="12.75">
      <c r="A45137" s="2" t="s">
        <v>961</v>
      </c>
    </row>
    <row r="45138" spans="1:1" ht="12.75">
      <c r="A45138" s="2" t="s">
        <v>961</v>
      </c>
    </row>
    <row r="45139" spans="1:1" ht="12.75">
      <c r="A45139" s="2" t="s">
        <v>961</v>
      </c>
    </row>
    <row r="45140" spans="1:1" ht="12.75">
      <c r="A45140" s="2" t="s">
        <v>961</v>
      </c>
    </row>
    <row r="45141" spans="1:1" ht="12.75">
      <c r="A45141" s="2" t="s">
        <v>1134</v>
      </c>
    </row>
    <row r="45142" spans="1:1" ht="12.75">
      <c r="A45142" s="2" t="s">
        <v>1134</v>
      </c>
    </row>
    <row r="45143" spans="1:1" ht="12.75">
      <c r="A45143" s="2" t="s">
        <v>1135</v>
      </c>
    </row>
    <row r="45144" spans="1:1" ht="12.75">
      <c r="A45144" s="2" t="s">
        <v>1135</v>
      </c>
    </row>
    <row r="45145" spans="1:1" ht="12.75">
      <c r="A45145" s="2" t="s">
        <v>1134</v>
      </c>
    </row>
    <row r="45146" spans="1:1" ht="12.75">
      <c r="A45146" s="2" t="s">
        <v>1134</v>
      </c>
    </row>
    <row r="45147" spans="1:1" ht="12.75">
      <c r="A45147" s="2" t="s">
        <v>974</v>
      </c>
    </row>
    <row r="45149" spans="1:1" ht="12.75">
      <c r="A45149" s="2" t="s">
        <v>1467</v>
      </c>
    </row>
    <row r="45150" spans="1:1" ht="12.75">
      <c r="A45150" s="2" t="s">
        <v>1467</v>
      </c>
    </row>
    <row r="45159" spans="1:1" ht="12.75">
      <c r="A45159" s="2" t="s">
        <v>1546</v>
      </c>
    </row>
    <row r="45160" spans="1:1" ht="12.75">
      <c r="A45160" s="2" t="s">
        <v>1546</v>
      </c>
    </row>
    <row r="45161" spans="1:1" ht="12.75">
      <c r="A45161" s="2" t="s">
        <v>1458</v>
      </c>
    </row>
    <row r="45162" spans="1:1" ht="12.75">
      <c r="A45162" s="2" t="s">
        <v>1458</v>
      </c>
    </row>
    <row r="45163" spans="1:1" ht="12.75">
      <c r="A45163" s="2" t="s">
        <v>1541</v>
      </c>
    </row>
    <row r="45164" spans="1:1" ht="12.75">
      <c r="A45164" s="2" t="s">
        <v>1541</v>
      </c>
    </row>
    <row r="45165" spans="1:1" ht="12.75">
      <c r="A45165" s="2" t="s">
        <v>1545</v>
      </c>
    </row>
    <row r="45166" spans="1:1" ht="12.75">
      <c r="A45166" s="2" t="s">
        <v>1547</v>
      </c>
    </row>
    <row r="45167" spans="1:1" ht="12.75">
      <c r="A45167" s="2" t="s">
        <v>1439</v>
      </c>
    </row>
    <row r="45168" spans="1:1" ht="12.75">
      <c r="A45168" s="2" t="s">
        <v>1439</v>
      </c>
    </row>
    <row r="45169" spans="1:1" ht="12.75">
      <c r="A45169" s="2" t="s">
        <v>1457</v>
      </c>
    </row>
    <row r="45171" spans="1:1" ht="12.75">
      <c r="A45171" s="2" t="s">
        <v>1449</v>
      </c>
    </row>
    <row r="45172" spans="1:1" ht="12.75">
      <c r="A45172" s="2" t="s">
        <v>1548</v>
      </c>
    </row>
    <row r="45173" spans="1:1" ht="12.75">
      <c r="A45173" s="2" t="s">
        <v>1461</v>
      </c>
    </row>
    <row r="45174" spans="1:1" ht="12.75">
      <c r="A45174" s="2" t="s">
        <v>1461</v>
      </c>
    </row>
    <row r="45176" spans="1:1" ht="12.75">
      <c r="A45176" s="2" t="s">
        <v>1458</v>
      </c>
    </row>
    <row r="45177" spans="1:1" ht="12.75">
      <c r="A45177" s="2" t="s">
        <v>1442</v>
      </c>
    </row>
    <row r="45178" spans="1:1" ht="12.75">
      <c r="A45178" s="2" t="s">
        <v>1442</v>
      </c>
    </row>
    <row r="45179" spans="1:1" ht="12.75">
      <c r="A45179" s="2" t="s">
        <v>1443</v>
      </c>
    </row>
    <row r="45180" spans="1:1" ht="12.75">
      <c r="A45180" s="2" t="s">
        <v>1443</v>
      </c>
    </row>
    <row r="45181" spans="1:1" ht="12.75">
      <c r="A45181" s="2" t="s">
        <v>1291</v>
      </c>
    </row>
    <row r="45182" spans="1:1" ht="12.75">
      <c r="A45182" s="2" t="s">
        <v>1291</v>
      </c>
    </row>
    <row r="45183" spans="1:1" ht="12.75">
      <c r="A45183" s="2" t="s">
        <v>1292</v>
      </c>
    </row>
    <row r="45184" spans="1:1" ht="12.75">
      <c r="A45184" s="2" t="s">
        <v>1292</v>
      </c>
    </row>
    <row r="45185" spans="1:1" ht="12.75">
      <c r="A45185" s="2" t="s">
        <v>1293</v>
      </c>
    </row>
    <row r="45186" spans="1:1" ht="12.75">
      <c r="A45186" s="2" t="s">
        <v>1293</v>
      </c>
    </row>
    <row r="45187" spans="1:1" ht="12.75">
      <c r="A45187" s="2" t="s">
        <v>1144</v>
      </c>
    </row>
    <row r="45188" spans="1:1" ht="12.75">
      <c r="A45188" s="2" t="s">
        <v>1144</v>
      </c>
    </row>
    <row r="45189" spans="1:1" ht="12.75">
      <c r="A45189" s="2" t="s">
        <v>958</v>
      </c>
    </row>
    <row r="45190" spans="1:1" ht="12.75">
      <c r="A45190" s="2" t="s">
        <v>958</v>
      </c>
    </row>
    <row r="45191" spans="1:1" ht="12.75">
      <c r="A45191" s="2" t="s">
        <v>1142</v>
      </c>
    </row>
    <row r="45192" spans="1:1" ht="12.75">
      <c r="A45192" s="2" t="s">
        <v>1142</v>
      </c>
    </row>
    <row r="45193" spans="1:1" ht="12.75">
      <c r="A45193" s="2" t="s">
        <v>1542</v>
      </c>
    </row>
    <row r="45194" spans="1:1" ht="12.75">
      <c r="A45194" s="2" t="s">
        <v>1549</v>
      </c>
    </row>
    <row r="45195" spans="1:1" ht="12.75">
      <c r="A45195" s="2" t="s">
        <v>1146</v>
      </c>
    </row>
    <row r="45196" spans="1:1" ht="12.75">
      <c r="A45196" s="2" t="s">
        <v>1146</v>
      </c>
    </row>
    <row r="45197" spans="1:1" ht="12.75">
      <c r="A45197" s="2" t="s">
        <v>708</v>
      </c>
    </row>
    <row r="45198" spans="1:1" ht="12.75">
      <c r="A45198" s="2" t="s">
        <v>708</v>
      </c>
    </row>
    <row r="45199" spans="1:1" ht="12.75">
      <c r="A45199" s="2" t="s">
        <v>957</v>
      </c>
    </row>
    <row r="45200" spans="1:1" ht="12.75">
      <c r="A45200" s="2" t="s">
        <v>957</v>
      </c>
    </row>
    <row r="45201" spans="1:1" ht="12.75">
      <c r="A45201" s="2" t="s">
        <v>1550</v>
      </c>
    </row>
    <row r="45202" spans="1:1" ht="12.75">
      <c r="A45202" s="2" t="s">
        <v>1550</v>
      </c>
    </row>
    <row r="45203" spans="1:1" ht="12.75">
      <c r="A45203" s="2" t="s">
        <v>1454</v>
      </c>
    </row>
    <row r="45204" spans="1:1" ht="12.75">
      <c r="A45204" s="2">
        <v>192</v>
      </c>
    </row>
    <row r="45205" spans="1:1" ht="12.75">
      <c r="A45205" s="2" t="s">
        <v>1551</v>
      </c>
    </row>
    <row r="45206" spans="1:1" ht="12.75">
      <c r="A45206" s="2" t="s">
        <v>1551</v>
      </c>
    </row>
    <row r="45207" spans="1:1" ht="12.75">
      <c r="A45207" s="2" t="s">
        <v>1454</v>
      </c>
    </row>
    <row r="45208" spans="1:1" ht="12.75">
      <c r="A45208" s="2" t="s">
        <v>1546</v>
      </c>
    </row>
    <row r="45209" spans="1:1" ht="12.75">
      <c r="A45209" s="2" t="s">
        <v>1454</v>
      </c>
    </row>
    <row r="45210" spans="1:1" ht="12.75">
      <c r="A45210" s="2" t="s">
        <v>1472</v>
      </c>
    </row>
    <row r="45211" spans="1:1" ht="12.75">
      <c r="A45211" s="2" t="s">
        <v>1454</v>
      </c>
    </row>
    <row r="45212" spans="1:1" ht="12.75">
      <c r="A45212" s="2" t="s">
        <v>1552</v>
      </c>
    </row>
    <row r="45213" spans="1:1" ht="12.75">
      <c r="A45213" s="2" t="s">
        <v>1455</v>
      </c>
    </row>
    <row r="45214" spans="1:1" ht="12.75">
      <c r="A45214" s="2" t="s">
        <v>1455</v>
      </c>
    </row>
    <row r="45215" spans="1:1" ht="12.75">
      <c r="A45215" s="2" t="s">
        <v>1256</v>
      </c>
    </row>
    <row r="45216" spans="1:1" ht="12.75">
      <c r="A45216" s="2" t="s">
        <v>1256</v>
      </c>
    </row>
    <row r="45217" spans="1:1" ht="12.75">
      <c r="A45217" s="2" t="s">
        <v>1465</v>
      </c>
    </row>
    <row r="45218" spans="1:1" ht="12.75">
      <c r="A45218" s="2" t="s">
        <v>1359</v>
      </c>
    </row>
    <row r="45219" spans="1:1" ht="12.75">
      <c r="A45219" s="2" t="s">
        <v>1358</v>
      </c>
    </row>
    <row r="45220" spans="1:1" ht="12.75">
      <c r="A45220" s="2" t="s">
        <v>1358</v>
      </c>
    </row>
    <row r="45221" spans="1:1" ht="12.75">
      <c r="A45221" s="2" t="s">
        <v>1357</v>
      </c>
    </row>
    <row r="45222" spans="1:1" ht="12.75">
      <c r="A45222" s="2" t="s">
        <v>1357</v>
      </c>
    </row>
    <row r="45223" spans="1:1" ht="12.75">
      <c r="A45223" s="2" t="s">
        <v>1363</v>
      </c>
    </row>
    <row r="45224" spans="1:1" ht="12.75">
      <c r="A45224" s="2" t="s">
        <v>1363</v>
      </c>
    </row>
    <row r="45225" spans="1:1" ht="12.75">
      <c r="A45225" s="2" t="s">
        <v>1460</v>
      </c>
    </row>
    <row r="45226" spans="1:1" ht="12.75">
      <c r="A45226" s="2" t="s">
        <v>1449</v>
      </c>
    </row>
    <row r="45227" spans="1:1" ht="12.75">
      <c r="A45227" s="2" t="s">
        <v>1292</v>
      </c>
    </row>
    <row r="45228" spans="1:1" ht="12.75">
      <c r="A45228" s="2" t="s">
        <v>1292</v>
      </c>
    </row>
    <row r="45229" spans="1:1" ht="12.75">
      <c r="A45229" s="2" t="s">
        <v>708</v>
      </c>
    </row>
    <row r="45231" spans="1:1" ht="12.75">
      <c r="A45231" s="2" t="s">
        <v>1553</v>
      </c>
    </row>
    <row r="45233" spans="1:1" ht="12.75">
      <c r="A45233" s="2" t="s">
        <v>1144</v>
      </c>
    </row>
    <row r="45234" spans="1:1" ht="12.75">
      <c r="A45234" s="2" t="s">
        <v>1144</v>
      </c>
    </row>
    <row r="45237" spans="1:1" ht="12.75">
      <c r="A45237" s="2" t="s">
        <v>1142</v>
      </c>
    </row>
    <row r="45238" spans="1:1" ht="12.75">
      <c r="A45238" s="2" t="s">
        <v>1142</v>
      </c>
    </row>
    <row r="45240" spans="1:1" ht="12.75">
      <c r="A45240" s="2" t="s">
        <v>962</v>
      </c>
    </row>
    <row r="45243" spans="1:1" ht="12.75">
      <c r="A45243" s="2" t="s">
        <v>708</v>
      </c>
    </row>
    <row r="45244" spans="1:1" ht="12.75">
      <c r="A45244" s="2" t="s">
        <v>708</v>
      </c>
    </row>
    <row r="45245" spans="1:1" ht="12.75">
      <c r="A45245" s="2" t="s">
        <v>957</v>
      </c>
    </row>
    <row r="45246" spans="1:1" ht="12.75">
      <c r="A45246" s="2" t="s">
        <v>957</v>
      </c>
    </row>
    <row r="45247" spans="1:1" ht="12.75">
      <c r="A45247" s="2" t="s">
        <v>1361</v>
      </c>
    </row>
    <row r="45248" spans="1:1" ht="12.75">
      <c r="A45248" s="2" t="s">
        <v>1361</v>
      </c>
    </row>
    <row r="45249" spans="1:1" ht="12.75">
      <c r="A45249" s="2" t="s">
        <v>1545</v>
      </c>
    </row>
    <row r="45250" spans="1:1" ht="12.75">
      <c r="A45250" s="2" t="s">
        <v>1545</v>
      </c>
    </row>
    <row r="45251" spans="1:1" ht="12.75">
      <c r="A45251" s="2" t="s">
        <v>1454</v>
      </c>
    </row>
    <row r="45252" spans="1:1" ht="12.75">
      <c r="A45252" s="2" t="s">
        <v>1554</v>
      </c>
    </row>
    <row r="45253" spans="1:1" ht="12.75">
      <c r="A45253" s="2">
        <v>19255</v>
      </c>
    </row>
    <row r="45255" spans="1:1" ht="12.75">
      <c r="A45255" s="2" t="s">
        <v>1552</v>
      </c>
    </row>
    <row r="45256" spans="1:1" ht="12.75">
      <c r="A45256" s="2" t="s">
        <v>1256</v>
      </c>
    </row>
    <row r="45257" spans="1:1" ht="12.75">
      <c r="A45257" s="2" t="s">
        <v>1554</v>
      </c>
    </row>
    <row r="45258" spans="1:1" ht="12.75">
      <c r="A45258" s="2" t="s">
        <v>1554</v>
      </c>
    </row>
    <row r="45259" spans="1:1" ht="12.75">
      <c r="A45259" s="2" t="s">
        <v>1545</v>
      </c>
    </row>
    <row r="45260" spans="1:1" ht="12.75">
      <c r="A45260" s="2" t="s">
        <v>1545</v>
      </c>
    </row>
    <row r="45261" spans="1:1" ht="12.75">
      <c r="A45261" s="2" t="s">
        <v>1555</v>
      </c>
    </row>
    <row r="45262" spans="1:1" ht="12.75">
      <c r="A45262" s="2" t="s">
        <v>1550</v>
      </c>
    </row>
    <row r="45263" spans="1:1" ht="12.75">
      <c r="A45263" s="2" t="s">
        <v>1541</v>
      </c>
    </row>
    <row r="45264" spans="1:1" ht="12.75">
      <c r="A45264" s="2" t="s">
        <v>1541</v>
      </c>
    </row>
    <row r="45265" spans="1:1" ht="12.75">
      <c r="A45265" s="2" t="s">
        <v>1448</v>
      </c>
    </row>
    <row r="45266" spans="1:1" ht="12.75">
      <c r="A45266" s="2" t="s">
        <v>1448</v>
      </c>
    </row>
    <row r="45267" spans="1:1" ht="12.75">
      <c r="A45267" s="2" t="s">
        <v>1457</v>
      </c>
    </row>
    <row r="45269" spans="1:1" ht="12.75">
      <c r="A45269" s="2" t="s">
        <v>1442</v>
      </c>
    </row>
    <row r="45270" spans="1:1" ht="12.75">
      <c r="A45270" s="2" t="s">
        <v>1442</v>
      </c>
    </row>
    <row r="45271" spans="1:1" ht="12.75">
      <c r="A45271" s="2" t="s">
        <v>1461</v>
      </c>
    </row>
    <row r="45272" spans="1:1" ht="12.75">
      <c r="A45272" s="2" t="s">
        <v>1461</v>
      </c>
    </row>
    <row r="45273" spans="1:1" ht="12.75">
      <c r="A45273" s="2" t="s">
        <v>1443</v>
      </c>
    </row>
    <row r="45274" spans="1:1" ht="12.75">
      <c r="A45274" s="2" t="s">
        <v>1471</v>
      </c>
    </row>
    <row r="45275" spans="1:1" ht="12.75">
      <c r="A45275" s="2" t="s">
        <v>1446</v>
      </c>
    </row>
    <row r="45276" spans="1:1" ht="12.75">
      <c r="A45276" s="2" t="s">
        <v>1446</v>
      </c>
    </row>
    <row r="45277" spans="1:1" ht="12.75">
      <c r="A45277" s="2" t="s">
        <v>1546</v>
      </c>
    </row>
    <row r="45278" spans="1:1" ht="12.75">
      <c r="A45278" s="2" t="s">
        <v>1546</v>
      </c>
    </row>
    <row r="45279" spans="1:1" ht="12.75">
      <c r="A45279" s="2" t="s">
        <v>1551</v>
      </c>
    </row>
    <row r="45280" spans="1:1" ht="12.75">
      <c r="A45280" s="2" t="s">
        <v>1556</v>
      </c>
    </row>
    <row r="45281" spans="1:1" ht="12.75">
      <c r="A45281" s="2" t="s">
        <v>1447</v>
      </c>
    </row>
    <row r="45282" spans="1:1" ht="12.75">
      <c r="A45282" s="2" t="s">
        <v>1447</v>
      </c>
    </row>
    <row r="45283" spans="1:1" ht="12.75">
      <c r="A45283" s="2" t="s">
        <v>1550</v>
      </c>
    </row>
    <row r="45284" spans="1:1" ht="12.75">
      <c r="A45284" s="2" t="s">
        <v>1550</v>
      </c>
    </row>
    <row r="45285" spans="1:1" ht="12.75">
      <c r="A45285" s="2" t="s">
        <v>1446</v>
      </c>
    </row>
    <row r="45286" spans="1:1" ht="12.75">
      <c r="A45286" s="2" t="s">
        <v>1557</v>
      </c>
    </row>
    <row r="45287" spans="1:1" ht="12.75">
      <c r="A45287" s="2" t="s">
        <v>1558</v>
      </c>
    </row>
    <row r="45288" spans="1:1" ht="12.75">
      <c r="A45288" s="2" t="s">
        <v>1558</v>
      </c>
    </row>
    <row r="45289" spans="1:1" ht="12.75">
      <c r="A45289" s="2" t="s">
        <v>1559</v>
      </c>
    </row>
    <row r="45290" spans="1:1" ht="12.75">
      <c r="A45290" s="2" t="s">
        <v>1559</v>
      </c>
    </row>
    <row r="45291" spans="1:1" ht="12.75">
      <c r="A45291" s="2" t="s">
        <v>1439</v>
      </c>
    </row>
    <row r="45292" spans="1:1" ht="12.75">
      <c r="A45292" s="2" t="s">
        <v>1439</v>
      </c>
    </row>
    <row r="45293" spans="1:1" ht="12.75">
      <c r="A45293" s="2" t="s">
        <v>966</v>
      </c>
    </row>
    <row r="45294" spans="1:1" ht="12.75">
      <c r="A45294" s="2" t="s">
        <v>966</v>
      </c>
    </row>
    <row r="45295" spans="1:1" ht="12.75">
      <c r="A45295" s="2" t="s">
        <v>1454</v>
      </c>
    </row>
    <row r="45296" spans="1:1" ht="12.75">
      <c r="A45296" s="2" t="s">
        <v>1459</v>
      </c>
    </row>
    <row r="45299" spans="1:1" ht="12.75">
      <c r="A45299" s="2" t="s">
        <v>1256</v>
      </c>
    </row>
    <row r="45300" spans="1:1" ht="12.75">
      <c r="A45300" s="2" t="s">
        <v>1256</v>
      </c>
    </row>
    <row r="45301" spans="1:1" ht="12.75">
      <c r="A45301" s="2" t="s">
        <v>1357</v>
      </c>
    </row>
    <row r="45302" spans="1:1" ht="12.75">
      <c r="A45302" s="2" t="s">
        <v>165</v>
      </c>
    </row>
    <row r="45303" spans="1:1" ht="12.75">
      <c r="A45303" s="2" t="s">
        <v>1560</v>
      </c>
    </row>
    <row r="45304" spans="1:1" ht="12.75">
      <c r="A45304" s="2" t="s">
        <v>1358</v>
      </c>
    </row>
    <row r="45305" spans="1:1" ht="12.75">
      <c r="A45305" s="2" t="s">
        <v>1359</v>
      </c>
    </row>
    <row r="45306" spans="1:1" ht="12.75">
      <c r="A45306" s="2" t="s">
        <v>1359</v>
      </c>
    </row>
    <row r="45307" spans="1:1" ht="12.75">
      <c r="A45307" s="2" t="s">
        <v>1363</v>
      </c>
    </row>
    <row r="45308" spans="1:1" ht="12.75">
      <c r="A45308" s="2" t="s">
        <v>1363</v>
      </c>
    </row>
    <row r="45309" spans="1:1" ht="12.75">
      <c r="A45309" s="2" t="s">
        <v>1447</v>
      </c>
    </row>
    <row r="45310" spans="1:1" ht="12.75">
      <c r="A45310" s="2" t="s">
        <v>1454</v>
      </c>
    </row>
    <row r="45311" spans="1:1" ht="12.75">
      <c r="A45311" s="2" t="s">
        <v>708</v>
      </c>
    </row>
    <row r="45312" spans="1:1" ht="12.75">
      <c r="A45312" s="2" t="s">
        <v>708</v>
      </c>
    </row>
    <row r="45313" spans="1:1" ht="12.75">
      <c r="A45313" s="2" t="s">
        <v>1542</v>
      </c>
    </row>
    <row r="45314" spans="1:1" ht="12.75">
      <c r="A45314" s="2" t="s">
        <v>1542</v>
      </c>
    </row>
    <row r="45315" spans="1:1" ht="12.75">
      <c r="A45315" s="2" t="s">
        <v>1558</v>
      </c>
    </row>
    <row r="45316" spans="1:1" ht="12.75">
      <c r="A45316" s="2" t="s">
        <v>1558</v>
      </c>
    </row>
    <row r="45317" spans="1:1" ht="12.75">
      <c r="A45317" s="2" t="s">
        <v>1292</v>
      </c>
    </row>
    <row r="45318" spans="1:1" ht="12.75">
      <c r="A45318" s="2" t="s">
        <v>1292</v>
      </c>
    </row>
    <row r="45319" spans="1:1" ht="12.75">
      <c r="A45319" s="2" t="s">
        <v>1447</v>
      </c>
    </row>
    <row r="45320" spans="1:1" ht="12.75">
      <c r="A45320" s="2" t="s">
        <v>1454</v>
      </c>
    </row>
    <row r="45321" spans="1:1" ht="12.75">
      <c r="A45321" s="2" t="s">
        <v>1361</v>
      </c>
    </row>
    <row r="45322" spans="1:1" ht="12.75">
      <c r="A45322" s="2" t="s">
        <v>1361</v>
      </c>
    </row>
    <row r="45323" spans="1:1" ht="12.75">
      <c r="A45323" s="2" t="s">
        <v>956</v>
      </c>
    </row>
    <row r="45324" spans="1:1" ht="12.75">
      <c r="A45324" s="2" t="s">
        <v>956</v>
      </c>
    </row>
    <row r="45325" spans="1:1" ht="12.75">
      <c r="A45325" s="2" t="s">
        <v>1551</v>
      </c>
    </row>
    <row r="45326" spans="1:1" ht="12.75">
      <c r="A45326" s="2" t="s">
        <v>1551</v>
      </c>
    </row>
    <row r="45328" spans="1:1" ht="12.75">
      <c r="A45328" s="2" t="s">
        <v>962</v>
      </c>
    </row>
    <row r="45330" spans="1:1" ht="12.75">
      <c r="A45330" s="2" t="s">
        <v>1472</v>
      </c>
    </row>
    <row r="45331" spans="1:1" ht="12.75">
      <c r="A45331" s="2" t="s">
        <v>1550</v>
      </c>
    </row>
    <row r="45332" spans="1:1" ht="12.75">
      <c r="A45332" s="2" t="s">
        <v>1550</v>
      </c>
    </row>
    <row r="45333" spans="1:1" ht="12.75">
      <c r="A45333" s="2" t="s">
        <v>1561</v>
      </c>
    </row>
    <row r="45334" spans="1:1" ht="12.75">
      <c r="A45334" s="2" t="s">
        <v>1561</v>
      </c>
    </row>
    <row r="45337" spans="1:1" ht="12.75">
      <c r="A45337" s="2" t="s">
        <v>1439</v>
      </c>
    </row>
    <row r="45338" spans="1:1" ht="12.75">
      <c r="A45338" s="2" t="s">
        <v>1439</v>
      </c>
    </row>
    <row r="45339" spans="1:1" ht="12.75">
      <c r="A45339" s="2" t="s">
        <v>1545</v>
      </c>
    </row>
    <row r="45340" spans="1:1" ht="12.75">
      <c r="A45340" s="2" t="s">
        <v>1545</v>
      </c>
    </row>
    <row r="45341" spans="1:1" ht="12.75">
      <c r="A45341" s="2" t="s">
        <v>1541</v>
      </c>
    </row>
    <row r="45342" spans="1:1" ht="12.75">
      <c r="A45342" s="2" t="s">
        <v>1541</v>
      </c>
    </row>
    <row r="45343" spans="1:1" ht="12.75">
      <c r="A45343" s="2" t="s">
        <v>1458</v>
      </c>
    </row>
    <row r="45345" spans="1:1" ht="12.75">
      <c r="A45345" s="2" t="s">
        <v>957</v>
      </c>
    </row>
    <row r="45346" spans="1:1" ht="12.75">
      <c r="A45346" s="2" t="s">
        <v>976</v>
      </c>
    </row>
    <row r="45347" spans="1:1" ht="12.75">
      <c r="A45347" s="2" t="s">
        <v>1448</v>
      </c>
    </row>
    <row r="45348" spans="1:1" ht="12.75">
      <c r="A45348" s="2" t="s">
        <v>1448</v>
      </c>
    </row>
    <row r="45351" spans="1:1" ht="12.75">
      <c r="A45351" s="2" t="s">
        <v>1562</v>
      </c>
    </row>
    <row r="45352" spans="1:1" ht="12.75">
      <c r="A45352" s="2" t="s">
        <v>1563</v>
      </c>
    </row>
    <row r="45353" spans="1:1" ht="12.75">
      <c r="A45353" s="2" t="s">
        <v>1454</v>
      </c>
    </row>
    <row r="45354" spans="1:1" ht="12.75">
      <c r="A45354" s="2" t="s">
        <v>1454</v>
      </c>
    </row>
    <row r="45355" spans="1:1" ht="12.75">
      <c r="A45355" s="2" t="s">
        <v>1443</v>
      </c>
    </row>
    <row r="45356" spans="1:1" ht="12.75">
      <c r="A45356" s="2" t="s">
        <v>1443</v>
      </c>
    </row>
    <row r="45357" spans="1:1" ht="12.75">
      <c r="A45357" s="2" t="s">
        <v>1564</v>
      </c>
    </row>
    <row r="45358" spans="1:1" ht="12.75">
      <c r="A45358" s="2" t="s">
        <v>1564</v>
      </c>
    </row>
    <row r="45359" spans="1:1" ht="12.75">
      <c r="A45359" s="2" t="s">
        <v>1557</v>
      </c>
    </row>
    <row r="45360" spans="1:1" ht="12.75">
      <c r="A45360" s="2" t="s">
        <v>1557</v>
      </c>
    </row>
    <row r="45361" spans="1:1" ht="12.75">
      <c r="A45361" s="2" t="s">
        <v>1359</v>
      </c>
    </row>
    <row r="45362" spans="1:1" ht="12.75">
      <c r="A45362" s="2" t="s">
        <v>1359</v>
      </c>
    </row>
    <row r="45363" spans="1:1" ht="12.75">
      <c r="A45363" s="2" t="s">
        <v>1292</v>
      </c>
    </row>
    <row r="45364" spans="1:1" ht="12.75">
      <c r="A45364" s="2" t="s">
        <v>1292</v>
      </c>
    </row>
    <row r="45365" spans="1:1" ht="12.75">
      <c r="A45365" s="2" t="s">
        <v>1291</v>
      </c>
    </row>
    <row r="45366" spans="1:1" ht="12.75">
      <c r="A45366" s="2" t="s">
        <v>1291</v>
      </c>
    </row>
    <row r="45367" spans="1:1" ht="12.75">
      <c r="A45367" s="2" t="s">
        <v>1461</v>
      </c>
    </row>
    <row r="45368" spans="1:1" ht="12.75">
      <c r="A45368" s="2" t="s">
        <v>1461</v>
      </c>
    </row>
    <row r="45369" spans="1:1" ht="12.75">
      <c r="A45369" s="2" t="s">
        <v>1469</v>
      </c>
    </row>
    <row r="45370" spans="1:1" ht="12.75">
      <c r="A45370" s="2" t="s">
        <v>1469</v>
      </c>
    </row>
    <row r="45371" spans="1:1" ht="12.75">
      <c r="A45371" s="2" t="s">
        <v>1449</v>
      </c>
    </row>
    <row r="45372" spans="1:1" ht="12.75">
      <c r="A45372" s="2" t="s">
        <v>1449</v>
      </c>
    </row>
    <row r="45373" spans="1:1" ht="12.75">
      <c r="A45373" s="2" t="s">
        <v>1457</v>
      </c>
    </row>
    <row r="45374" spans="1:1" ht="12.75">
      <c r="A45374" s="2" t="s">
        <v>1457</v>
      </c>
    </row>
    <row r="45375" spans="1:1" ht="12.75">
      <c r="A45375" s="2" t="s">
        <v>1565</v>
      </c>
    </row>
    <row r="45376" spans="1:1" ht="12.75">
      <c r="A45376" s="2" t="s">
        <v>1566</v>
      </c>
    </row>
    <row r="45377" spans="1:1" ht="12.75">
      <c r="A45377" s="2" t="s">
        <v>1357</v>
      </c>
    </row>
    <row r="45378" spans="1:1" ht="12.75">
      <c r="A45378" s="2" t="s">
        <v>1357</v>
      </c>
    </row>
    <row r="45379" spans="1:1" ht="12.75">
      <c r="A45379" s="2" t="s">
        <v>1358</v>
      </c>
    </row>
    <row r="45380" spans="1:1" ht="12.75">
      <c r="A45380" s="2" t="s">
        <v>1358</v>
      </c>
    </row>
    <row r="45381" spans="1:1" ht="12.75">
      <c r="A45381" s="2" t="s">
        <v>1256</v>
      </c>
    </row>
    <row r="45382" spans="1:1" ht="12.75">
      <c r="A45382" s="2" t="s">
        <v>1256</v>
      </c>
    </row>
    <row r="45383" spans="1:1" ht="12.75">
      <c r="A45383" s="2" t="s">
        <v>1468</v>
      </c>
    </row>
    <row r="45384" spans="1:1" ht="12.75">
      <c r="A45384" s="2" t="s">
        <v>1567</v>
      </c>
    </row>
    <row r="45385" spans="1:1" ht="12.75">
      <c r="A45385" s="2" t="s">
        <v>958</v>
      </c>
    </row>
    <row r="45386" spans="1:1" ht="12.75">
      <c r="A45386" s="2" t="s">
        <v>958</v>
      </c>
    </row>
    <row r="45387" spans="1:1" ht="12.75">
      <c r="A45387" s="2" t="s">
        <v>1142</v>
      </c>
    </row>
    <row r="45388" spans="1:1" ht="12.75">
      <c r="A45388" s="2" t="s">
        <v>1142</v>
      </c>
    </row>
    <row r="45389" spans="1:1" ht="12.75">
      <c r="A45389" s="2" t="s">
        <v>962</v>
      </c>
    </row>
    <row r="45390" spans="1:1" ht="12.75">
      <c r="A45390" s="2" t="s">
        <v>962</v>
      </c>
    </row>
    <row r="45391" spans="1:1" ht="12.75">
      <c r="A45391" s="2" t="s">
        <v>966</v>
      </c>
    </row>
    <row r="45392" spans="1:1" ht="12.75">
      <c r="A45392" s="2" t="s">
        <v>966</v>
      </c>
    </row>
    <row r="45393" spans="1:1" ht="12.75">
      <c r="A45393" s="2" t="s">
        <v>708</v>
      </c>
    </row>
    <row r="45395" spans="1:1" ht="12.75">
      <c r="A45395" s="2" t="s">
        <v>957</v>
      </c>
    </row>
    <row r="45396" spans="1:1" ht="12.75">
      <c r="A45396" s="2" t="s">
        <v>976</v>
      </c>
    </row>
    <row r="45397" spans="1:1" ht="12.75">
      <c r="A45397" s="2" t="s">
        <v>1454</v>
      </c>
    </row>
    <row r="45398" spans="1:1" ht="12.75">
      <c r="A45398" s="2" t="s">
        <v>1454</v>
      </c>
    </row>
    <row r="45399" spans="1:1" ht="12.75">
      <c r="A45399" s="2" t="s">
        <v>1453</v>
      </c>
    </row>
    <row r="45400" spans="1:1" ht="12.75">
      <c r="A45400" s="2" t="s">
        <v>1568</v>
      </c>
    </row>
    <row r="45401" spans="1:1" ht="12.75">
      <c r="A45401" s="2" t="s">
        <v>1142</v>
      </c>
    </row>
    <row r="45402" spans="1:1" ht="12.75">
      <c r="A45402" s="2" t="s">
        <v>1142</v>
      </c>
    </row>
    <row r="45403" spans="1:1" ht="12.75">
      <c r="A45403" s="2" t="s">
        <v>1142</v>
      </c>
    </row>
    <row r="45404" spans="1:1" ht="12.75">
      <c r="A45404" s="2" t="s">
        <v>1142</v>
      </c>
    </row>
    <row r="45407" spans="1:1" ht="12.75">
      <c r="A45407" s="2" t="s">
        <v>1144</v>
      </c>
    </row>
    <row r="45408" spans="1:1" ht="12.75">
      <c r="A45408" s="2" t="s">
        <v>1144</v>
      </c>
    </row>
    <row r="45409" spans="1:1" ht="12.75">
      <c r="A45409" s="2" t="s">
        <v>1256</v>
      </c>
    </row>
    <row r="45410" spans="1:1" ht="12.75">
      <c r="A45410" s="2" t="s">
        <v>1256</v>
      </c>
    </row>
    <row r="45411" spans="1:1" ht="12.75">
      <c r="A45411" s="2" t="s">
        <v>1361</v>
      </c>
    </row>
    <row r="45412" spans="1:1" ht="12.75">
      <c r="A45412" s="2" t="s">
        <v>1361</v>
      </c>
    </row>
    <row r="45413" spans="1:1" ht="12.75">
      <c r="A45413" s="2" t="s">
        <v>1357</v>
      </c>
    </row>
    <row r="45414" spans="1:1" ht="12.75">
      <c r="A45414" s="2" t="s">
        <v>1357</v>
      </c>
    </row>
    <row r="45415" spans="1:1" ht="12.75">
      <c r="A45415" s="2" t="s">
        <v>1358</v>
      </c>
    </row>
    <row r="45416" spans="1:1" ht="12.75">
      <c r="A45416" s="2" t="s">
        <v>1569</v>
      </c>
    </row>
    <row r="45417" spans="1:1" ht="12.75">
      <c r="A45417" s="2" t="s">
        <v>1359</v>
      </c>
    </row>
    <row r="45418" spans="1:1" ht="12.75">
      <c r="A45418" s="2" t="s">
        <v>1570</v>
      </c>
    </row>
    <row r="45419" spans="1:1" ht="12.75">
      <c r="A45419" s="2" t="s">
        <v>1446</v>
      </c>
    </row>
    <row r="45420" spans="1:1" ht="12.75">
      <c r="A45420" s="2" t="s">
        <v>1446</v>
      </c>
    </row>
    <row r="45421" spans="1:1" ht="12.75">
      <c r="A45421" s="2" t="s">
        <v>1292</v>
      </c>
    </row>
    <row r="45422" spans="1:1" ht="12.75">
      <c r="A45422" s="2" t="s">
        <v>1571</v>
      </c>
    </row>
    <row r="45423" spans="1:1" ht="12.75">
      <c r="A45423" s="2" t="s">
        <v>1291</v>
      </c>
    </row>
    <row r="45424" spans="1:1" ht="12.75">
      <c r="A45424" s="2" t="s">
        <v>1291</v>
      </c>
    </row>
    <row r="45425" spans="1:1" ht="12.75">
      <c r="A45425" s="2" t="s">
        <v>1442</v>
      </c>
    </row>
    <row r="45426" spans="1:1" ht="12.75">
      <c r="A45426" s="2" t="s">
        <v>1442</v>
      </c>
    </row>
    <row r="45427" spans="1:1" ht="12.75">
      <c r="A45427" s="2" t="s">
        <v>1443</v>
      </c>
    </row>
    <row r="45428" spans="1:1" ht="12.75">
      <c r="A45428" s="2" t="s">
        <v>1443</v>
      </c>
    </row>
    <row r="45429" spans="1:1" ht="12.75">
      <c r="A45429" s="2" t="s">
        <v>1461</v>
      </c>
    </row>
    <row r="45430" spans="1:1" ht="12.75">
      <c r="A45430" s="2" t="s">
        <v>1572</v>
      </c>
    </row>
    <row r="45431" spans="1:1" ht="12.75">
      <c r="A45431" s="2" t="s">
        <v>1363</v>
      </c>
    </row>
    <row r="45432" spans="1:1" ht="12.75">
      <c r="A45432" s="2" t="s">
        <v>1454</v>
      </c>
    </row>
    <row r="45433" spans="1:1" ht="12.75">
      <c r="A45433" s="2" t="s">
        <v>1442</v>
      </c>
    </row>
    <row r="45434" spans="1:1" ht="12.75">
      <c r="A45434" s="2" t="s">
        <v>1363</v>
      </c>
    </row>
    <row r="45435" spans="1:1" ht="12.75">
      <c r="A45435" s="2" t="s">
        <v>1443</v>
      </c>
    </row>
    <row r="45436" spans="1:1" ht="12.75">
      <c r="A45436" s="2" t="s">
        <v>1443</v>
      </c>
    </row>
    <row r="45437" spans="1:1" ht="12.75">
      <c r="A45437" s="2" t="s">
        <v>1442</v>
      </c>
    </row>
    <row r="45438" spans="1:1" ht="12.75">
      <c r="A45438" s="2" t="s">
        <v>1442</v>
      </c>
    </row>
    <row r="45439" spans="1:1" ht="12.75">
      <c r="A45439" s="2" t="s">
        <v>1448</v>
      </c>
    </row>
    <row r="45440" spans="1:1" ht="12.75">
      <c r="A45440" s="2" t="s">
        <v>1448</v>
      </c>
    </row>
    <row r="45441" spans="1:1" ht="12.75">
      <c r="A45441" s="2" t="s">
        <v>1446</v>
      </c>
    </row>
    <row r="45442" spans="1:1" ht="12.75">
      <c r="A45442" s="2" t="s">
        <v>1446</v>
      </c>
    </row>
    <row r="45443" spans="1:1" ht="12.75">
      <c r="A45443" s="2" t="s">
        <v>1453</v>
      </c>
    </row>
    <row r="45444" spans="1:1" ht="12.75">
      <c r="A45444" s="2" t="s">
        <v>1453</v>
      </c>
    </row>
    <row r="45445" spans="1:1" ht="12.75">
      <c r="A45445" s="2" t="s">
        <v>1461</v>
      </c>
    </row>
    <row r="45446" spans="1:1" ht="12.75">
      <c r="A45446" s="2" t="s">
        <v>1461</v>
      </c>
    </row>
    <row r="45451" spans="1:1" ht="12.75">
      <c r="A45451" s="2" t="s">
        <v>1541</v>
      </c>
    </row>
    <row r="45452" spans="1:1" ht="12.75">
      <c r="A45452" s="2" t="s">
        <v>1541</v>
      </c>
    </row>
    <row r="45453" spans="1:1" ht="12.75">
      <c r="A45453" s="2" t="s">
        <v>1449</v>
      </c>
    </row>
    <row r="45454" spans="1:1" ht="12.75">
      <c r="A45454" s="2" t="s">
        <v>1460</v>
      </c>
    </row>
    <row r="45455" spans="1:1" ht="12.75">
      <c r="A45455" s="2" t="s">
        <v>1545</v>
      </c>
    </row>
    <row r="45456" spans="1:1" ht="12.75">
      <c r="A45456" s="2" t="s">
        <v>1545</v>
      </c>
    </row>
    <row r="45457" spans="1:1" ht="12.75">
      <c r="A45457" s="2" t="s">
        <v>1457</v>
      </c>
    </row>
    <row r="45459" spans="1:1" ht="12.75">
      <c r="A45459" s="2" t="s">
        <v>1457</v>
      </c>
    </row>
    <row r="45461" spans="1:1" ht="12.75">
      <c r="A45461" s="2" t="s">
        <v>400</v>
      </c>
    </row>
    <row r="45463" spans="1:1" ht="12.75">
      <c r="A45463" s="2" t="s">
        <v>400</v>
      </c>
    </row>
    <row r="45464" spans="1:1" ht="12.75">
      <c r="A45464" s="2" t="s">
        <v>400</v>
      </c>
    </row>
    <row r="45465" spans="1:1" ht="12.75">
      <c r="A45465" s="2" t="s">
        <v>400</v>
      </c>
    </row>
    <row r="45466" spans="1:1" ht="12.75">
      <c r="A45466" s="2" t="s">
        <v>400</v>
      </c>
    </row>
    <row r="45467" spans="1:1" ht="12.75">
      <c r="A45467" s="2" t="s">
        <v>1407</v>
      </c>
    </row>
    <row r="45468" spans="1:1" ht="12.75">
      <c r="A45468" s="2" t="s">
        <v>1407</v>
      </c>
    </row>
    <row r="45489" spans="1:1" ht="12.75">
      <c r="A45489" s="2" t="s">
        <v>354</v>
      </c>
    </row>
    <row r="45490" spans="1:1" ht="12.75">
      <c r="A45490" s="2" t="s">
        <v>354</v>
      </c>
    </row>
    <row r="45491" spans="1:1" ht="12.75">
      <c r="A45491" s="2" t="s">
        <v>354</v>
      </c>
    </row>
    <row r="45492" spans="1:1" ht="12.75">
      <c r="A45492" s="2" t="s">
        <v>1573</v>
      </c>
    </row>
    <row r="45515" spans="1:1" ht="12.75">
      <c r="A45515" s="2" t="s">
        <v>315</v>
      </c>
    </row>
    <row r="45516" spans="1:1" ht="12.75">
      <c r="A45516" s="2" t="s">
        <v>315</v>
      </c>
    </row>
    <row r="45517" spans="1:1" ht="12.75">
      <c r="A45517" s="2" t="s">
        <v>315</v>
      </c>
    </row>
    <row r="45519" spans="1:1" ht="12.75">
      <c r="A45519" s="2">
        <v>8313</v>
      </c>
    </row>
    <row r="45520" spans="1:1" ht="12.75">
      <c r="A45520" s="2" t="s">
        <v>1574</v>
      </c>
    </row>
    <row r="45522" spans="1:1" ht="12.75">
      <c r="A45522" s="2" t="s">
        <v>1575</v>
      </c>
    </row>
    <row r="45524" spans="1:1" ht="12.75">
      <c r="A45524" s="2" t="s">
        <v>347</v>
      </c>
    </row>
    <row r="45525" spans="1:1" ht="12.75">
      <c r="A45525" s="2" t="s">
        <v>1396</v>
      </c>
    </row>
    <row r="45526" spans="1:1" ht="12.75">
      <c r="A45526" s="2" t="s">
        <v>1396</v>
      </c>
    </row>
    <row r="45528" spans="1:1" ht="12.75">
      <c r="A45528" s="2" t="s">
        <v>1396</v>
      </c>
    </row>
    <row r="45539" spans="1:1" ht="12.75">
      <c r="A45539" s="2" t="s">
        <v>1396</v>
      </c>
    </row>
    <row r="45540" spans="1:1" ht="12.75">
      <c r="A45540" s="2" t="s">
        <v>1396</v>
      </c>
    </row>
    <row r="45541" spans="1:1" ht="12.75">
      <c r="A45541" s="2" t="s">
        <v>1396</v>
      </c>
    </row>
    <row r="45542" spans="1:1" ht="12.75">
      <c r="A45542" s="2" t="s">
        <v>1396</v>
      </c>
    </row>
    <row r="45543" spans="1:1" ht="12.75">
      <c r="A45543" s="2" t="s">
        <v>1396</v>
      </c>
    </row>
    <row r="45544" spans="1:1" ht="12.75">
      <c r="A45544" s="2" t="s">
        <v>1396</v>
      </c>
    </row>
    <row r="45575" spans="1:1" ht="12.75">
      <c r="A45575" s="2" t="s">
        <v>949</v>
      </c>
    </row>
    <row r="45576" spans="1:1" ht="12.75">
      <c r="A45576" s="2" t="s">
        <v>1334</v>
      </c>
    </row>
    <row r="45577" spans="1:1" ht="12.75">
      <c r="A45577" s="2" t="s">
        <v>1333</v>
      </c>
    </row>
    <row r="45578" spans="1:1" ht="12.75">
      <c r="A45578" s="2" t="s">
        <v>1333</v>
      </c>
    </row>
    <row r="45579" spans="1:1" ht="12.75">
      <c r="A45579" s="2" t="s">
        <v>1333</v>
      </c>
    </row>
    <row r="45580" spans="1:1" ht="12.75">
      <c r="A45580" s="2" t="s">
        <v>1333</v>
      </c>
    </row>
    <row r="45581" spans="1:1" ht="12.75">
      <c r="A45581" s="2" t="s">
        <v>1334</v>
      </c>
    </row>
    <row r="45582" spans="1:1" ht="12.75">
      <c r="A45582" s="2" t="s">
        <v>1576</v>
      </c>
    </row>
    <row r="45583" spans="1:1" ht="12.75">
      <c r="A45583" s="2" t="s">
        <v>1334</v>
      </c>
    </row>
    <row r="45584" spans="1:1" ht="12.75">
      <c r="A45584" s="2" t="s">
        <v>949</v>
      </c>
    </row>
    <row r="45585" spans="1:1" ht="12.75">
      <c r="A45585" s="2" t="s">
        <v>949</v>
      </c>
    </row>
    <row r="45586" spans="1:1" ht="12.75">
      <c r="A45586" s="2" t="s">
        <v>1577</v>
      </c>
    </row>
    <row r="45587" spans="1:1" ht="12.75">
      <c r="A45587" s="2" t="s">
        <v>949</v>
      </c>
    </row>
    <row r="45588" spans="1:1" ht="12.75">
      <c r="A45588" s="2" t="s">
        <v>949</v>
      </c>
    </row>
    <row r="45589" spans="1:1" ht="12.75">
      <c r="A45589" s="2" t="s">
        <v>393</v>
      </c>
    </row>
    <row r="45590" spans="1:1" ht="12.75">
      <c r="A45590" s="2" t="s">
        <v>393</v>
      </c>
    </row>
    <row r="45592" spans="1:1" ht="12.75">
      <c r="A45592" s="2" t="s">
        <v>1578</v>
      </c>
    </row>
    <row r="45593" spans="1:1" ht="12.75">
      <c r="A45593" s="2" t="s">
        <v>727</v>
      </c>
    </row>
    <row r="45594" spans="1:1" ht="12.75">
      <c r="A45594" s="2" t="s">
        <v>727</v>
      </c>
    </row>
    <row r="45595" spans="1:1" ht="12.75">
      <c r="A45595" s="2" t="s">
        <v>727</v>
      </c>
    </row>
    <row r="45596" spans="1:1" ht="12.75">
      <c r="A45596" s="2" t="s">
        <v>727</v>
      </c>
    </row>
    <row r="45597" spans="1:1" ht="12.75">
      <c r="A45597" s="2" t="s">
        <v>727</v>
      </c>
    </row>
    <row r="45598" spans="1:1" ht="12.75">
      <c r="A45598" s="2" t="s">
        <v>727</v>
      </c>
    </row>
    <row r="45699" spans="1:1" ht="12.75">
      <c r="A45699" s="2" t="s">
        <v>1579</v>
      </c>
    </row>
    <row r="45700" spans="1:1" ht="12.75">
      <c r="A45700" s="2" t="s">
        <v>1579</v>
      </c>
    </row>
    <row r="45701" spans="1:1" ht="12.75">
      <c r="A45701" s="2" t="s">
        <v>1579</v>
      </c>
    </row>
    <row r="45702" spans="1:1" ht="12.75">
      <c r="A45702" s="2" t="s">
        <v>1579</v>
      </c>
    </row>
    <row r="45703" spans="1:1" ht="12.75">
      <c r="A45703" s="2" t="s">
        <v>1580</v>
      </c>
    </row>
    <row r="45705" spans="1:1" ht="12.75">
      <c r="A45705" s="2" t="s">
        <v>1003</v>
      </c>
    </row>
    <row r="45706" spans="1:1" ht="12.75">
      <c r="A45706" s="2" t="s">
        <v>1003</v>
      </c>
    </row>
    <row r="45707" spans="1:1" ht="12.75">
      <c r="A45707" s="2" t="s">
        <v>970</v>
      </c>
    </row>
    <row r="45708" spans="1:1" ht="12.75">
      <c r="A45708" s="2" t="s">
        <v>970</v>
      </c>
    </row>
    <row r="45709" spans="1:1" ht="12.75">
      <c r="A45709" s="2" t="s">
        <v>970</v>
      </c>
    </row>
    <row r="45710" spans="1:1" ht="12.75">
      <c r="A45710" s="2" t="s">
        <v>970</v>
      </c>
    </row>
    <row r="45711" spans="1:1" ht="12.75">
      <c r="A45711" s="2" t="s">
        <v>1319</v>
      </c>
    </row>
    <row r="45712" spans="1:1" ht="12.75">
      <c r="A45712" s="2" t="s">
        <v>1319</v>
      </c>
    </row>
    <row r="45713" spans="1:1" ht="12.75">
      <c r="A45713" s="2" t="s">
        <v>970</v>
      </c>
    </row>
    <row r="45714" spans="1:1" ht="12.75">
      <c r="A45714" s="2" t="s">
        <v>970</v>
      </c>
    </row>
    <row r="45715" spans="1:1" ht="12.75">
      <c r="A45715" s="2" t="s">
        <v>264</v>
      </c>
    </row>
    <row r="45716" spans="1:1" ht="12.75">
      <c r="A45716" s="2" t="s">
        <v>1581</v>
      </c>
    </row>
    <row r="45717" spans="1:1" ht="12.75">
      <c r="A45717" s="2" t="s">
        <v>264</v>
      </c>
    </row>
    <row r="45718" spans="1:1" ht="12.75">
      <c r="A45718" s="2" t="s">
        <v>264</v>
      </c>
    </row>
    <row r="45719" spans="1:1" ht="12.75">
      <c r="A45719" s="2" t="s">
        <v>970</v>
      </c>
    </row>
    <row r="45720" spans="1:1" ht="12.75">
      <c r="A45720" s="2" t="s">
        <v>264</v>
      </c>
    </row>
    <row r="45721" spans="1:1" ht="12.75">
      <c r="A45721" s="2" t="s">
        <v>970</v>
      </c>
    </row>
    <row r="45722" spans="1:1" ht="12.75">
      <c r="A45722" s="2" t="s">
        <v>970</v>
      </c>
    </row>
    <row r="45723" spans="1:1" ht="12.75">
      <c r="A45723" s="2" t="s">
        <v>1319</v>
      </c>
    </row>
    <row r="45724" spans="1:1" ht="12.75">
      <c r="A45724" s="2" t="s">
        <v>1319</v>
      </c>
    </row>
    <row r="45725" spans="1:1" ht="12.75">
      <c r="A45725" s="2" t="s">
        <v>1582</v>
      </c>
    </row>
    <row r="45726" spans="1:1" ht="12.75">
      <c r="A45726" s="2" t="s">
        <v>1319</v>
      </c>
    </row>
    <row r="45727" spans="1:1" ht="12.75">
      <c r="A45727" s="2" t="s">
        <v>970</v>
      </c>
    </row>
    <row r="45728" spans="1:1" ht="12.75">
      <c r="A45728" s="2" t="s">
        <v>970</v>
      </c>
    </row>
    <row r="45729" spans="1:1" ht="12.75">
      <c r="A45729" s="2" t="s">
        <v>1319</v>
      </c>
    </row>
    <row r="45730" spans="1:1" ht="12.75">
      <c r="A45730" s="2" t="s">
        <v>1319</v>
      </c>
    </row>
    <row r="45731" spans="1:1" ht="12.75">
      <c r="A45731" s="2" t="s">
        <v>264</v>
      </c>
    </row>
    <row r="45732" spans="1:1" ht="12.75">
      <c r="A45732" s="2" t="s">
        <v>264</v>
      </c>
    </row>
    <row r="45733" spans="1:1" ht="12.75">
      <c r="A45733" s="2" t="s">
        <v>1319</v>
      </c>
    </row>
    <row r="45734" spans="1:1" ht="12.75">
      <c r="A45734" s="2" t="s">
        <v>1319</v>
      </c>
    </row>
    <row r="45735" spans="1:1" ht="12.75">
      <c r="A45735" s="2" t="s">
        <v>970</v>
      </c>
    </row>
    <row r="45736" spans="1:1" ht="12.75">
      <c r="A45736" s="2" t="s">
        <v>970</v>
      </c>
    </row>
    <row r="45737" spans="1:1" ht="12.75">
      <c r="A45737" s="2" t="s">
        <v>264</v>
      </c>
    </row>
    <row r="45738" spans="1:1" ht="12.75">
      <c r="A45738" s="2" t="s">
        <v>264</v>
      </c>
    </row>
    <row r="45739" spans="1:1" ht="12.75">
      <c r="A45739" s="2" t="s">
        <v>1319</v>
      </c>
    </row>
    <row r="45740" spans="1:1" ht="12.75">
      <c r="A45740" s="2" t="s">
        <v>264</v>
      </c>
    </row>
    <row r="45741" spans="1:1" ht="12.75">
      <c r="A45741" s="2" t="s">
        <v>1319</v>
      </c>
    </row>
    <row r="45742" spans="1:1" ht="12.75">
      <c r="A45742" s="2" t="s">
        <v>1319</v>
      </c>
    </row>
    <row r="45743" spans="1:1" ht="12.75">
      <c r="A45743" s="2" t="s">
        <v>970</v>
      </c>
    </row>
    <row r="45744" spans="1:1" ht="12.75">
      <c r="A45744" s="2" t="s">
        <v>970</v>
      </c>
    </row>
    <row r="45745" spans="1:1" ht="12.75">
      <c r="A45745" s="2" t="s">
        <v>1319</v>
      </c>
    </row>
    <row r="45746" spans="1:1" ht="12.75">
      <c r="A45746" s="2" t="s">
        <v>1319</v>
      </c>
    </row>
    <row r="45747" spans="1:1" ht="12.75">
      <c r="A45747" s="2" t="s">
        <v>970</v>
      </c>
    </row>
    <row r="45748" spans="1:1" ht="12.75">
      <c r="A45748" s="2" t="s">
        <v>970</v>
      </c>
    </row>
    <row r="45749" spans="1:1" ht="12.75">
      <c r="A45749" s="2" t="s">
        <v>970</v>
      </c>
    </row>
    <row r="45750" spans="1:1" ht="12.75">
      <c r="A45750" s="2" t="s">
        <v>970</v>
      </c>
    </row>
    <row r="45751" spans="1:1" ht="12.75">
      <c r="A45751" s="2" t="s">
        <v>264</v>
      </c>
    </row>
    <row r="45752" spans="1:1" ht="12.75">
      <c r="A45752" s="2" t="s">
        <v>264</v>
      </c>
    </row>
    <row r="45753" spans="1:1" ht="12.75">
      <c r="A45753" s="2" t="s">
        <v>970</v>
      </c>
    </row>
    <row r="45754" spans="1:1" ht="12.75">
      <c r="A45754" s="2" t="s">
        <v>970</v>
      </c>
    </row>
    <row r="45755" spans="1:1" ht="12.75">
      <c r="A45755" s="2" t="s">
        <v>970</v>
      </c>
    </row>
    <row r="45756" spans="1:1" ht="12.75">
      <c r="A45756" s="2" t="s">
        <v>264</v>
      </c>
    </row>
    <row r="45757" spans="1:1" ht="12.75">
      <c r="A45757" s="2" t="s">
        <v>264</v>
      </c>
    </row>
    <row r="45758" spans="1:1" ht="12.75">
      <c r="A45758" s="2" t="s">
        <v>264</v>
      </c>
    </row>
    <row r="45759" spans="1:1" ht="12.75">
      <c r="A45759" s="2" t="s">
        <v>970</v>
      </c>
    </row>
    <row r="45760" spans="1:1" ht="12.75">
      <c r="A45760" s="2" t="s">
        <v>970</v>
      </c>
    </row>
    <row r="45761" spans="1:1" ht="12.75">
      <c r="A45761" s="2" t="s">
        <v>264</v>
      </c>
    </row>
    <row r="45762" spans="1:1" ht="12.75">
      <c r="A45762" s="2" t="s">
        <v>264</v>
      </c>
    </row>
    <row r="45763" spans="1:1" ht="12.75">
      <c r="A45763" s="2" t="s">
        <v>1319</v>
      </c>
    </row>
    <row r="45764" spans="1:1" ht="12.75">
      <c r="A45764" s="2" t="s">
        <v>1319</v>
      </c>
    </row>
    <row r="45765" spans="1:1" ht="12.75">
      <c r="A45765" s="2" t="s">
        <v>769</v>
      </c>
    </row>
    <row r="45766" spans="1:1" ht="12.75">
      <c r="A45766" s="2" t="s">
        <v>769</v>
      </c>
    </row>
    <row r="45767" spans="1:1" ht="12.75">
      <c r="A45767" s="2" t="s">
        <v>252</v>
      </c>
    </row>
    <row r="45768" spans="1:1" ht="12.75">
      <c r="A45768" s="2" t="s">
        <v>252</v>
      </c>
    </row>
    <row r="45769" spans="1:1" ht="12.75">
      <c r="A45769" s="2" t="s">
        <v>769</v>
      </c>
    </row>
    <row r="45770" spans="1:1" ht="12.75">
      <c r="A45770" s="2" t="s">
        <v>769</v>
      </c>
    </row>
    <row r="45771" spans="1:1" ht="12.75">
      <c r="A45771" s="2" t="s">
        <v>256</v>
      </c>
    </row>
    <row r="45772" spans="1:1" ht="12.75">
      <c r="A45772" s="2" t="s">
        <v>256</v>
      </c>
    </row>
    <row r="45773" spans="1:1" ht="12.75">
      <c r="A45773" s="2" t="s">
        <v>254</v>
      </c>
    </row>
    <row r="45774" spans="1:1" ht="12.75">
      <c r="A45774" s="2" t="s">
        <v>254</v>
      </c>
    </row>
    <row r="45775" spans="1:1" ht="12.75">
      <c r="A45775" s="2" t="s">
        <v>254</v>
      </c>
    </row>
    <row r="45776" spans="1:1" ht="12.75">
      <c r="A45776" s="2" t="s">
        <v>254</v>
      </c>
    </row>
    <row r="45777" spans="1:1" ht="12.75">
      <c r="A45777" s="2" t="s">
        <v>256</v>
      </c>
    </row>
    <row r="45778" spans="1:1" ht="12.75">
      <c r="A45778" s="2" t="s">
        <v>256</v>
      </c>
    </row>
    <row r="45779" spans="1:1" ht="12.75">
      <c r="A45779" s="2" t="s">
        <v>1583</v>
      </c>
    </row>
    <row r="45780" spans="1:1" ht="12.75">
      <c r="A45780" s="2" t="s">
        <v>254</v>
      </c>
    </row>
    <row r="45781" spans="1:1" ht="12.75">
      <c r="A45781" s="2" t="s">
        <v>254</v>
      </c>
    </row>
    <row r="45782" spans="1:1" ht="12.75">
      <c r="A45782" s="2" t="s">
        <v>254</v>
      </c>
    </row>
    <row r="45783" spans="1:1" ht="12.75">
      <c r="A45783" s="2" t="s">
        <v>256</v>
      </c>
    </row>
    <row r="45784" spans="1:1" ht="12.75">
      <c r="A45784" s="2" t="s">
        <v>256</v>
      </c>
    </row>
    <row r="45785" spans="1:1" ht="12.75">
      <c r="A45785" s="2" t="s">
        <v>1584</v>
      </c>
    </row>
    <row r="45786" spans="1:1" ht="12.75">
      <c r="A45786" s="2" t="s">
        <v>213</v>
      </c>
    </row>
    <row r="45787" spans="1:1" ht="12.75">
      <c r="A45787" s="2" t="s">
        <v>213</v>
      </c>
    </row>
    <row r="45788" spans="1:1" ht="12.75">
      <c r="A45788" s="2" t="s">
        <v>213</v>
      </c>
    </row>
    <row r="45789" spans="1:1" ht="12.75">
      <c r="A45789" s="2" t="s">
        <v>213</v>
      </c>
    </row>
    <row r="45790" spans="1:1" ht="12.75">
      <c r="A45790" s="2" t="s">
        <v>213</v>
      </c>
    </row>
    <row r="45791" spans="1:1" ht="12.75">
      <c r="A45791" s="2" t="s">
        <v>213</v>
      </c>
    </row>
    <row r="45792" spans="1:1" ht="12.75">
      <c r="A45792" s="2" t="s">
        <v>213</v>
      </c>
    </row>
    <row r="45793" spans="1:1" ht="12.75">
      <c r="A45793" s="2" t="s">
        <v>213</v>
      </c>
    </row>
    <row r="45794" spans="1:1" ht="12.75">
      <c r="A45794" s="2" t="s">
        <v>213</v>
      </c>
    </row>
    <row r="45795" spans="1:1" ht="12.75">
      <c r="A45795" s="2" t="s">
        <v>252</v>
      </c>
    </row>
    <row r="45796" spans="1:1" ht="12.75">
      <c r="A45796" s="2" t="s">
        <v>252</v>
      </c>
    </row>
    <row r="45797" spans="1:1" ht="12.75">
      <c r="A45797" s="2" t="s">
        <v>254</v>
      </c>
    </row>
    <row r="45798" spans="1:1" ht="12.75">
      <c r="A45798" s="2" t="s">
        <v>252</v>
      </c>
    </row>
    <row r="45799" spans="1:1" ht="12.75">
      <c r="A45799" s="2" t="s">
        <v>769</v>
      </c>
    </row>
    <row r="45800" spans="1:1" ht="12.75">
      <c r="A45800" s="2" t="s">
        <v>769</v>
      </c>
    </row>
    <row r="45801" spans="1:1" ht="12.75">
      <c r="A45801" s="2" t="s">
        <v>256</v>
      </c>
    </row>
    <row r="45802" spans="1:1" ht="12.75">
      <c r="A45802" s="2" t="s">
        <v>256</v>
      </c>
    </row>
    <row r="45803" spans="1:1" ht="12.75">
      <c r="A45803" s="2" t="s">
        <v>254</v>
      </c>
    </row>
    <row r="45804" spans="1:1" ht="12.75">
      <c r="A45804" s="2" t="s">
        <v>256</v>
      </c>
    </row>
    <row r="45805" spans="1:1" ht="12.75">
      <c r="A45805" s="2" t="s">
        <v>254</v>
      </c>
    </row>
    <row r="45806" spans="1:1" ht="12.75">
      <c r="A45806" s="2" t="s">
        <v>254</v>
      </c>
    </row>
    <row r="45807" spans="1:1" ht="12.75">
      <c r="A45807" s="2" t="s">
        <v>254</v>
      </c>
    </row>
    <row r="45808" spans="1:1" ht="12.75">
      <c r="A45808" s="2" t="s">
        <v>769</v>
      </c>
    </row>
    <row r="45809" spans="1:1" ht="12.75">
      <c r="A45809" s="2" t="s">
        <v>1585</v>
      </c>
    </row>
    <row r="45810" spans="1:1" ht="12.75">
      <c r="A45810" s="2" t="s">
        <v>1586</v>
      </c>
    </row>
    <row r="45811" spans="1:1" ht="12.75">
      <c r="A45811" s="2" t="s">
        <v>1587</v>
      </c>
    </row>
    <row r="45812" spans="1:1" ht="12.75">
      <c r="A45812" s="2" t="s">
        <v>769</v>
      </c>
    </row>
    <row r="45813" spans="1:1" ht="12.75">
      <c r="A45813" s="2" t="s">
        <v>254</v>
      </c>
    </row>
    <row r="45814" spans="1:1" ht="12.75">
      <c r="A45814" s="2" t="s">
        <v>769</v>
      </c>
    </row>
    <row r="45815" spans="1:1" ht="12.75">
      <c r="A45815" s="2" t="s">
        <v>769</v>
      </c>
    </row>
    <row r="45816" spans="1:1" ht="12.75">
      <c r="A45816" s="2" t="s">
        <v>516</v>
      </c>
    </row>
    <row r="45817" spans="1:1" ht="12.75">
      <c r="A45817" s="2" t="s">
        <v>516</v>
      </c>
    </row>
    <row r="45818" spans="1:1" ht="12.75">
      <c r="A45818" s="2" t="s">
        <v>516</v>
      </c>
    </row>
    <row r="45819" spans="1:1" ht="12.75">
      <c r="A45819" s="2" t="s">
        <v>254</v>
      </c>
    </row>
    <row r="45820" spans="1:1" ht="12.75">
      <c r="A45820" s="2" t="s">
        <v>254</v>
      </c>
    </row>
    <row r="45821" spans="1:1" ht="12.75">
      <c r="A45821" s="2" t="s">
        <v>256</v>
      </c>
    </row>
    <row r="45822" spans="1:1" ht="12.75">
      <c r="A45822" s="2" t="s">
        <v>256</v>
      </c>
    </row>
    <row r="45823" spans="1:1" ht="12.75">
      <c r="A45823" s="2" t="s">
        <v>769</v>
      </c>
    </row>
    <row r="45824" spans="1:1" ht="12.75">
      <c r="A45824" s="2" t="s">
        <v>769</v>
      </c>
    </row>
    <row r="45825" spans="1:1" ht="12.75">
      <c r="A45825" s="2" t="s">
        <v>256</v>
      </c>
    </row>
    <row r="45827" spans="1:1" ht="12.75">
      <c r="A45827" s="2" t="s">
        <v>256</v>
      </c>
    </row>
    <row r="45828" spans="1:1" ht="12.75">
      <c r="A45828" s="2" t="s">
        <v>256</v>
      </c>
    </row>
    <row r="45829" spans="1:1" ht="12.75">
      <c r="A45829" s="2" t="s">
        <v>256</v>
      </c>
    </row>
    <row r="45830" spans="1:1" ht="12.75">
      <c r="A45830" s="2" t="s">
        <v>256</v>
      </c>
    </row>
    <row r="45831" spans="1:1" ht="12.75">
      <c r="A45831" s="2" t="s">
        <v>254</v>
      </c>
    </row>
    <row r="45832" spans="1:1" ht="12.75">
      <c r="A45832" s="2" t="s">
        <v>254</v>
      </c>
    </row>
    <row r="45833" spans="1:1" ht="12.75">
      <c r="A45833" s="2" t="s">
        <v>252</v>
      </c>
    </row>
    <row r="45834" spans="1:1" ht="12.75">
      <c r="A45834" s="2" t="s">
        <v>252</v>
      </c>
    </row>
    <row r="45835" spans="1:1" ht="12.75">
      <c r="A45835" s="2" t="s">
        <v>252</v>
      </c>
    </row>
    <row r="45836" spans="1:1" ht="12.75">
      <c r="A45836" s="2" t="s">
        <v>252</v>
      </c>
    </row>
    <row r="45837" spans="1:1" ht="12.75">
      <c r="A45837" s="2" t="s">
        <v>256</v>
      </c>
    </row>
    <row r="45838" spans="1:1" ht="12.75">
      <c r="A45838" s="2" t="s">
        <v>256</v>
      </c>
    </row>
    <row r="45839" spans="1:1" ht="12.75">
      <c r="A45839" s="2" t="s">
        <v>1586</v>
      </c>
    </row>
    <row r="45840" spans="1:1" ht="12.75">
      <c r="A45840" s="2" t="s">
        <v>254</v>
      </c>
    </row>
    <row r="45841" spans="1:1" ht="12.75">
      <c r="A45841" s="2" t="s">
        <v>256</v>
      </c>
    </row>
    <row r="45842" spans="1:1" ht="12.75">
      <c r="A45842" s="2" t="s">
        <v>256</v>
      </c>
    </row>
    <row r="45845" spans="1:1" ht="12.75">
      <c r="A45845" s="2" t="s">
        <v>516</v>
      </c>
    </row>
    <row r="45846" spans="1:1" ht="12.75">
      <c r="A45846" s="2" t="s">
        <v>516</v>
      </c>
    </row>
    <row r="45847" spans="1:1" ht="12.75">
      <c r="A45847" s="2" t="s">
        <v>772</v>
      </c>
    </row>
    <row r="45848" spans="1:1" ht="12.75">
      <c r="A45848" s="2" t="s">
        <v>254</v>
      </c>
    </row>
    <row r="45849" spans="1:1" ht="12.75">
      <c r="A45849" s="2" t="s">
        <v>254</v>
      </c>
    </row>
    <row r="45850" spans="1:1" ht="12.75">
      <c r="A45850" s="2" t="s">
        <v>254</v>
      </c>
    </row>
    <row r="45851" spans="1:1" ht="12.75">
      <c r="A45851" s="2" t="s">
        <v>254</v>
      </c>
    </row>
    <row r="45852" spans="1:1" ht="12.75">
      <c r="A45852" s="2" t="s">
        <v>254</v>
      </c>
    </row>
    <row r="45853" spans="1:1" ht="12.75">
      <c r="A45853" s="2" t="s">
        <v>256</v>
      </c>
    </row>
    <row r="45854" spans="1:1" ht="12.75">
      <c r="A45854" s="2" t="s">
        <v>769</v>
      </c>
    </row>
    <row r="45855" spans="1:1" ht="12.75">
      <c r="A45855" s="2" t="s">
        <v>393</v>
      </c>
    </row>
    <row r="45856" spans="1:1" ht="12.75">
      <c r="A45856" s="2" t="s">
        <v>393</v>
      </c>
    </row>
    <row r="45857" spans="1:1" ht="12.75">
      <c r="A45857" s="2" t="s">
        <v>393</v>
      </c>
    </row>
    <row r="45858" spans="1:1" ht="12.75">
      <c r="A45858" s="2" t="s">
        <v>393</v>
      </c>
    </row>
    <row r="45859" spans="1:1" ht="12.75">
      <c r="A45859" s="2" t="s">
        <v>393</v>
      </c>
    </row>
    <row r="45860" spans="1:1" ht="12.75">
      <c r="A45860" s="2" t="s">
        <v>393</v>
      </c>
    </row>
    <row r="45861" spans="1:1" ht="12.75">
      <c r="A45861" s="2" t="s">
        <v>393</v>
      </c>
    </row>
    <row r="45862" spans="1:1" ht="12.75">
      <c r="A45862" s="2" t="s">
        <v>1588</v>
      </c>
    </row>
    <row r="45863" spans="1:1" ht="12.75">
      <c r="A45863" s="2" t="s">
        <v>393</v>
      </c>
    </row>
    <row r="45864" spans="1:1" ht="12.75">
      <c r="A45864" s="2" t="s">
        <v>393</v>
      </c>
    </row>
    <row r="45865" spans="1:1" ht="12.75">
      <c r="A45865" s="2" t="s">
        <v>393</v>
      </c>
    </row>
    <row r="45866" spans="1:1" ht="12.75">
      <c r="A45866" s="2" t="s">
        <v>393</v>
      </c>
    </row>
    <row r="45867" spans="1:1" ht="12.75">
      <c r="A45867" s="2" t="s">
        <v>393</v>
      </c>
    </row>
    <row r="45868" spans="1:1" ht="12.75">
      <c r="A45868" s="2" t="s">
        <v>393</v>
      </c>
    </row>
    <row r="45869" spans="1:1" ht="12.75">
      <c r="A45869" s="2" t="s">
        <v>217</v>
      </c>
    </row>
    <row r="45870" spans="1:1" ht="12.75">
      <c r="A45870" s="2" t="s">
        <v>217</v>
      </c>
    </row>
    <row r="45871" spans="1:1" ht="12.75">
      <c r="A45871" s="2" t="s">
        <v>393</v>
      </c>
    </row>
    <row r="45872" spans="1:1" ht="12.75">
      <c r="A45872" s="2" t="s">
        <v>393</v>
      </c>
    </row>
    <row r="45873" spans="1:1" ht="12.75">
      <c r="A45873" s="2" t="s">
        <v>217</v>
      </c>
    </row>
    <row r="45874" spans="1:1" ht="12.75">
      <c r="A45874" s="2" t="s">
        <v>217</v>
      </c>
    </row>
    <row r="45877" spans="1:1" ht="12.75">
      <c r="A45877" s="2" t="s">
        <v>394</v>
      </c>
    </row>
    <row r="45879" spans="1:1" ht="12.75">
      <c r="A45879" s="2" t="s">
        <v>151</v>
      </c>
    </row>
    <row r="45880" spans="1:1" ht="12.75">
      <c r="A45880" s="2" t="s">
        <v>151</v>
      </c>
    </row>
    <row r="45881" spans="1:1" ht="12.75">
      <c r="A45881" s="2" t="s">
        <v>151</v>
      </c>
    </row>
    <row r="45882" spans="1:1" ht="12.75">
      <c r="A45882" s="2" t="s">
        <v>151</v>
      </c>
    </row>
    <row r="45883" spans="1:1" ht="12.75">
      <c r="A45883" s="2" t="s">
        <v>151</v>
      </c>
    </row>
    <row r="45884" spans="1:1" ht="12.75">
      <c r="A45884" s="2" t="s">
        <v>151</v>
      </c>
    </row>
    <row r="45885" spans="1:1" ht="12.75">
      <c r="A45885" s="2" t="s">
        <v>151</v>
      </c>
    </row>
    <row r="45886" spans="1:1" ht="12.75">
      <c r="A45886" s="2" t="s">
        <v>151</v>
      </c>
    </row>
    <row r="45887" spans="1:1" ht="12.75">
      <c r="A45887" s="2" t="s">
        <v>151</v>
      </c>
    </row>
    <row r="45888" spans="1:1" ht="12.75">
      <c r="A45888" s="2" t="s">
        <v>151</v>
      </c>
    </row>
    <row r="45889" spans="1:1" ht="12.75">
      <c r="A45889" s="2" t="s">
        <v>151</v>
      </c>
    </row>
    <row r="45890" spans="1:1" ht="12.75">
      <c r="A45890" s="2" t="s">
        <v>151</v>
      </c>
    </row>
    <row r="45891" spans="1:1" ht="12.75">
      <c r="A45891" s="2" t="s">
        <v>151</v>
      </c>
    </row>
    <row r="45892" spans="1:1" ht="12.75">
      <c r="A45892" s="2" t="s">
        <v>151</v>
      </c>
    </row>
    <row r="45895" spans="1:1" ht="12.75">
      <c r="A45895" s="2" t="s">
        <v>291</v>
      </c>
    </row>
    <row r="45896" spans="1:1" ht="12.75">
      <c r="A45896" s="2" t="s">
        <v>291</v>
      </c>
    </row>
    <row r="45897" spans="1:1" ht="12.75">
      <c r="A45897" s="2" t="s">
        <v>291</v>
      </c>
    </row>
    <row r="45898" spans="1:1" ht="12.75">
      <c r="A45898" s="2" t="s">
        <v>289</v>
      </c>
    </row>
    <row r="45900" spans="1:1" ht="12.75">
      <c r="A45900" s="2" t="s">
        <v>289</v>
      </c>
    </row>
    <row r="45901" spans="1:1" ht="12.75">
      <c r="A45901" s="2" t="s">
        <v>290</v>
      </c>
    </row>
    <row r="45902" spans="1:1" ht="12.75">
      <c r="A45902" s="2" t="s">
        <v>289</v>
      </c>
    </row>
    <row r="45903" spans="1:1" ht="12.75">
      <c r="A45903" s="2" t="s">
        <v>290</v>
      </c>
    </row>
    <row r="45904" spans="1:1" ht="12.75">
      <c r="A45904" s="2" t="s">
        <v>290</v>
      </c>
    </row>
    <row r="45905" spans="1:1" ht="12.75">
      <c r="A45905" s="2" t="s">
        <v>293</v>
      </c>
    </row>
    <row r="45906" spans="1:1" ht="12.75">
      <c r="A45906" s="2" t="s">
        <v>293</v>
      </c>
    </row>
    <row r="45907" spans="1:1" ht="12.75">
      <c r="A45907" s="2" t="s">
        <v>297</v>
      </c>
    </row>
    <row r="45908" spans="1:1" ht="12.75">
      <c r="A45908" s="2" t="s">
        <v>293</v>
      </c>
    </row>
    <row r="45909" spans="1:1" ht="12.75">
      <c r="A45909" s="2" t="s">
        <v>292</v>
      </c>
    </row>
    <row r="45910" spans="1:1" ht="12.75">
      <c r="A45910" s="2" t="s">
        <v>297</v>
      </c>
    </row>
    <row r="45911" spans="1:1" ht="12.75">
      <c r="A45911" s="2" t="s">
        <v>762</v>
      </c>
    </row>
    <row r="45912" spans="1:1" ht="12.75">
      <c r="A45912" s="2" t="s">
        <v>292</v>
      </c>
    </row>
    <row r="45913" spans="1:1" ht="12.75">
      <c r="A45913" s="2" t="s">
        <v>296</v>
      </c>
    </row>
    <row r="45914" spans="1:1" ht="12.75">
      <c r="A45914" s="2" t="s">
        <v>296</v>
      </c>
    </row>
    <row r="45915" spans="1:1" ht="12.75">
      <c r="A45915" s="2" t="s">
        <v>296</v>
      </c>
    </row>
    <row r="45916" spans="1:1" ht="12.75">
      <c r="A45916" s="2" t="s">
        <v>296</v>
      </c>
    </row>
    <row r="45917" spans="1:1" ht="12.75">
      <c r="A45917" s="2" t="s">
        <v>296</v>
      </c>
    </row>
    <row r="45918" spans="1:1" ht="12.75">
      <c r="A45918" s="2" t="s">
        <v>296</v>
      </c>
    </row>
    <row r="45919" spans="1:1" ht="12.75">
      <c r="A45919" s="2" t="s">
        <v>296</v>
      </c>
    </row>
    <row r="45920" spans="1:1" ht="12.75">
      <c r="A45920" s="2" t="s">
        <v>296</v>
      </c>
    </row>
    <row r="45921" spans="1:1" ht="12.75">
      <c r="A45921" s="2" t="s">
        <v>755</v>
      </c>
    </row>
    <row r="45922" spans="1:1" ht="12.75">
      <c r="A45922" s="2" t="s">
        <v>755</v>
      </c>
    </row>
    <row r="45923" spans="1:1" ht="12.75">
      <c r="A45923" s="2" t="s">
        <v>1010</v>
      </c>
    </row>
    <row r="45924" spans="1:1" ht="12.75">
      <c r="A45924" s="2" t="s">
        <v>284</v>
      </c>
    </row>
    <row r="45925" spans="1:1" ht="12.75">
      <c r="A45925" s="2" t="s">
        <v>401</v>
      </c>
    </row>
    <row r="45926" spans="1:1" ht="12.75">
      <c r="A45926" s="2" t="s">
        <v>401</v>
      </c>
    </row>
    <row r="45927" spans="1:1" ht="12.75">
      <c r="A45927" s="2" t="s">
        <v>401</v>
      </c>
    </row>
    <row r="45928" spans="1:1" ht="12.75">
      <c r="A45928" s="2" t="s">
        <v>401</v>
      </c>
    </row>
    <row r="45929" spans="1:1" ht="12.75">
      <c r="A45929" s="2" t="s">
        <v>1589</v>
      </c>
    </row>
    <row r="45930" spans="1:1" ht="12.75">
      <c r="A45930" s="2" t="s">
        <v>757</v>
      </c>
    </row>
    <row r="45931" spans="1:1" ht="12.75">
      <c r="A45931" s="2" t="s">
        <v>757</v>
      </c>
    </row>
    <row r="45932" spans="1:1" ht="12.75">
      <c r="A45932" s="2" t="s">
        <v>757</v>
      </c>
    </row>
    <row r="45933" spans="1:1" ht="12.75">
      <c r="A45933" s="2" t="s">
        <v>757</v>
      </c>
    </row>
    <row r="45934" spans="1:1" ht="12.75">
      <c r="A45934" s="2" t="s">
        <v>757</v>
      </c>
    </row>
    <row r="45935" spans="1:1" ht="12.75">
      <c r="A45935" s="2" t="s">
        <v>757</v>
      </c>
    </row>
    <row r="45936" spans="1:1" ht="12.75">
      <c r="A45936" s="2" t="s">
        <v>757</v>
      </c>
    </row>
    <row r="45939" spans="1:1" ht="12.75">
      <c r="A45939" s="2" t="s">
        <v>1010</v>
      </c>
    </row>
    <row r="45940" spans="1:1" ht="12.75">
      <c r="A45940" s="2" t="s">
        <v>1010</v>
      </c>
    </row>
    <row r="45941" spans="1:1" ht="12.75">
      <c r="A45941" s="2" t="s">
        <v>1010</v>
      </c>
    </row>
    <row r="45942" spans="1:1" ht="12.75">
      <c r="A45942" s="2" t="s">
        <v>1010</v>
      </c>
    </row>
    <row r="45943" spans="1:1" ht="12.75">
      <c r="A45943" s="2" t="s">
        <v>401</v>
      </c>
    </row>
    <row r="45944" spans="1:1" ht="12.75">
      <c r="A45944" s="2" t="s">
        <v>401</v>
      </c>
    </row>
    <row r="45945" spans="1:1" ht="12.75">
      <c r="A45945" s="2" t="s">
        <v>1258</v>
      </c>
    </row>
    <row r="45946" spans="1:1" ht="12.75">
      <c r="A45946" s="2" t="s">
        <v>1590</v>
      </c>
    </row>
    <row r="45947" spans="1:1" ht="12.75">
      <c r="A45947" s="2" t="s">
        <v>1258</v>
      </c>
    </row>
    <row r="45948" spans="1:1" ht="12.75">
      <c r="A45948" s="2" t="s">
        <v>1258</v>
      </c>
    </row>
    <row r="45949" spans="1:1" ht="12.75">
      <c r="A45949" s="2" t="s">
        <v>757</v>
      </c>
    </row>
    <row r="45950" spans="1:1" ht="12.75">
      <c r="A45950" s="2" t="s">
        <v>757</v>
      </c>
    </row>
    <row r="45951" spans="1:1" ht="12.75">
      <c r="A45951" s="2" t="s">
        <v>935</v>
      </c>
    </row>
    <row r="45952" spans="1:1" ht="12.75">
      <c r="A45952" s="2" t="s">
        <v>757</v>
      </c>
    </row>
    <row r="45953" spans="1:1" ht="12.75">
      <c r="A45953" s="2" t="s">
        <v>242</v>
      </c>
    </row>
    <row r="45954" spans="1:1" ht="12.75">
      <c r="A45954" s="2" t="s">
        <v>242</v>
      </c>
    </row>
    <row r="45977" spans="1:1" ht="12.75">
      <c r="A45977" s="2" t="s">
        <v>1591</v>
      </c>
    </row>
    <row r="45978" spans="1:1" ht="12.75">
      <c r="A45978" s="2" t="s">
        <v>242</v>
      </c>
    </row>
    <row r="45979" spans="1:1" ht="12.75">
      <c r="A45979" s="2" t="s">
        <v>242</v>
      </c>
    </row>
    <row r="45980" spans="1:1" ht="12.75">
      <c r="A45980" s="2" t="s">
        <v>1592</v>
      </c>
    </row>
    <row r="45981" spans="1:1" ht="12.75">
      <c r="A45981" s="2" t="s">
        <v>242</v>
      </c>
    </row>
    <row r="45982" spans="1:1" ht="12.75">
      <c r="A45982" s="2" t="s">
        <v>242</v>
      </c>
    </row>
    <row r="45983" spans="1:1" ht="12.75">
      <c r="A45983" s="2" t="s">
        <v>242</v>
      </c>
    </row>
    <row r="45984" spans="1:1" ht="12.75">
      <c r="A45984" s="2" t="s">
        <v>242</v>
      </c>
    </row>
    <row r="45985" spans="1:1" ht="12.75">
      <c r="A45985" s="2" t="s">
        <v>242</v>
      </c>
    </row>
    <row r="45986" spans="1:1" ht="12.75">
      <c r="A45986" s="2" t="s">
        <v>242</v>
      </c>
    </row>
    <row r="45987" spans="1:1" ht="12.75">
      <c r="A45987" s="2" t="s">
        <v>242</v>
      </c>
    </row>
    <row r="45988" spans="1:1" ht="12.75">
      <c r="A45988" s="2" t="s">
        <v>242</v>
      </c>
    </row>
    <row r="45989" spans="1:1" ht="12.75">
      <c r="A45989" s="2" t="s">
        <v>290</v>
      </c>
    </row>
    <row r="45990" spans="1:1" ht="12.75">
      <c r="A45990" s="2" t="s">
        <v>292</v>
      </c>
    </row>
    <row r="45991" spans="1:1" ht="12.75">
      <c r="A45991" s="2" t="s">
        <v>289</v>
      </c>
    </row>
    <row r="45992" spans="1:1" ht="12.75">
      <c r="A45992" s="2" t="s">
        <v>762</v>
      </c>
    </row>
    <row r="45993" spans="1:1" ht="12.75">
      <c r="A45993" s="2" t="s">
        <v>242</v>
      </c>
    </row>
    <row r="45994" spans="1:1" ht="12.75">
      <c r="A45994" s="2" t="s">
        <v>242</v>
      </c>
    </row>
    <row r="45995" spans="1:1" ht="12.75">
      <c r="A45995" s="2" t="s">
        <v>242</v>
      </c>
    </row>
    <row r="45996" spans="1:1" ht="12.75">
      <c r="A45996" s="2" t="s">
        <v>242</v>
      </c>
    </row>
    <row r="45997" spans="1:1" ht="12.75">
      <c r="A45997" s="2" t="s">
        <v>1262</v>
      </c>
    </row>
    <row r="45998" spans="1:1" ht="12.75">
      <c r="A45998" s="2" t="s">
        <v>1262</v>
      </c>
    </row>
    <row r="45999" spans="1:1" ht="12.75">
      <c r="A45999" s="2" t="s">
        <v>290</v>
      </c>
    </row>
    <row r="46000" spans="1:1" ht="12.75">
      <c r="A46000" s="2" t="s">
        <v>290</v>
      </c>
    </row>
    <row r="46001" spans="1:1" ht="12.75">
      <c r="A46001" s="2" t="s">
        <v>289</v>
      </c>
    </row>
    <row r="46002" spans="1:1" ht="12.75">
      <c r="A46002" s="2" t="s">
        <v>290</v>
      </c>
    </row>
    <row r="46003" spans="1:1" ht="12.75">
      <c r="A46003" s="2" t="s">
        <v>1593</v>
      </c>
    </row>
    <row r="46004" spans="1:1" ht="12.75">
      <c r="A46004" s="2" t="s">
        <v>289</v>
      </c>
    </row>
    <row r="46005" spans="1:1" ht="12.75">
      <c r="A46005" s="2" t="s">
        <v>291</v>
      </c>
    </row>
    <row r="46006" spans="1:1" ht="12.75">
      <c r="A46006" s="2" t="s">
        <v>289</v>
      </c>
    </row>
    <row r="46007" spans="1:1" ht="12.75">
      <c r="A46007" s="2" t="s">
        <v>291</v>
      </c>
    </row>
    <row r="46008" spans="1:1" ht="12.75">
      <c r="A46008" s="2" t="s">
        <v>291</v>
      </c>
    </row>
    <row r="46009" spans="1:1" ht="12.75">
      <c r="A46009" s="2" t="s">
        <v>297</v>
      </c>
    </row>
    <row r="46010" spans="1:1" ht="12.75">
      <c r="A46010" s="2" t="s">
        <v>297</v>
      </c>
    </row>
    <row r="46012" spans="1:1" ht="12.75">
      <c r="A46012" s="2" t="s">
        <v>1262</v>
      </c>
    </row>
    <row r="46013" spans="1:1" ht="12.75">
      <c r="A46013" s="2" t="s">
        <v>1353</v>
      </c>
    </row>
    <row r="46014" spans="1:1" ht="12.75">
      <c r="A46014" s="2" t="s">
        <v>1262</v>
      </c>
    </row>
    <row r="46015" spans="1:1" ht="12.75">
      <c r="A46015" s="2" t="s">
        <v>1262</v>
      </c>
    </row>
    <row r="46016" spans="1:1" ht="12.75">
      <c r="A46016" s="2" t="s">
        <v>1594</v>
      </c>
    </row>
    <row r="46017" spans="1:1" ht="12.75">
      <c r="A46017" s="2" t="s">
        <v>1262</v>
      </c>
    </row>
    <row r="46018" spans="1:1" ht="12.75">
      <c r="A46018" s="2" t="s">
        <v>1262</v>
      </c>
    </row>
    <row r="46019" spans="1:1" ht="12.75">
      <c r="A46019" s="2" t="s">
        <v>1595</v>
      </c>
    </row>
    <row r="46020" spans="1:1" ht="12.75">
      <c r="A46020" s="2" t="s">
        <v>1595</v>
      </c>
    </row>
    <row r="46021" spans="1:1" ht="12.75">
      <c r="A46021" s="2" t="s">
        <v>1595</v>
      </c>
    </row>
    <row r="46022" spans="1:1" ht="12.75">
      <c r="A46022" s="2" t="s">
        <v>1595</v>
      </c>
    </row>
    <row r="46023" spans="1:1" ht="12.75">
      <c r="A46023" s="2" t="s">
        <v>1596</v>
      </c>
    </row>
    <row r="46024" spans="1:1" ht="12.75">
      <c r="A46024" s="2" t="s">
        <v>1162</v>
      </c>
    </row>
    <row r="46025" spans="1:1" ht="12.75">
      <c r="A46025" s="2" t="s">
        <v>1262</v>
      </c>
    </row>
    <row r="46026" spans="1:1" ht="12.75">
      <c r="A46026" s="2" t="s">
        <v>1353</v>
      </c>
    </row>
    <row r="46027" spans="1:1" ht="12.75">
      <c r="A46027" s="2" t="s">
        <v>1595</v>
      </c>
    </row>
    <row r="46028" spans="1:1" ht="12.75">
      <c r="A46028" s="2" t="s">
        <v>1595</v>
      </c>
    </row>
    <row r="46029" spans="1:1" ht="12.75">
      <c r="A46029" s="2" t="s">
        <v>1262</v>
      </c>
    </row>
    <row r="46030" spans="1:1" ht="12.75">
      <c r="A46030" s="2" t="s">
        <v>1262</v>
      </c>
    </row>
    <row r="46031" spans="1:1" ht="12.75">
      <c r="A46031" s="2" t="s">
        <v>905</v>
      </c>
    </row>
    <row r="46032" spans="1:1" ht="12.75">
      <c r="A46032" s="2" t="s">
        <v>905</v>
      </c>
    </row>
    <row r="46033" spans="1:1" ht="12.75">
      <c r="A46033" s="2" t="s">
        <v>1019</v>
      </c>
    </row>
    <row r="46034" spans="1:1" ht="12.75">
      <c r="A46034" s="2" t="s">
        <v>1019</v>
      </c>
    </row>
    <row r="46035" spans="1:1" ht="12.75">
      <c r="A46035" s="2" t="s">
        <v>1595</v>
      </c>
    </row>
    <row r="46036" spans="1:1" ht="12.75">
      <c r="A46036" s="2" t="s">
        <v>1597</v>
      </c>
    </row>
    <row r="46037" spans="1:1" ht="12.75">
      <c r="A46037" s="2" t="s">
        <v>1595</v>
      </c>
    </row>
    <row r="46038" spans="1:1" ht="12.75">
      <c r="A46038" s="2" t="s">
        <v>1595</v>
      </c>
    </row>
    <row r="46039" spans="1:1" ht="12.75">
      <c r="A46039" s="2" t="s">
        <v>755</v>
      </c>
    </row>
    <row r="46040" spans="1:1" ht="12.75">
      <c r="A46040" s="2" t="s">
        <v>755</v>
      </c>
    </row>
    <row r="46041" spans="1:1" ht="12.75">
      <c r="A46041" s="2" t="s">
        <v>296</v>
      </c>
    </row>
    <row r="46042" spans="1:1" ht="12.75">
      <c r="A46042" s="2" t="s">
        <v>296</v>
      </c>
    </row>
    <row r="46043" spans="1:1" ht="12.75">
      <c r="A46043" s="2" t="s">
        <v>762</v>
      </c>
    </row>
    <row r="46044" spans="1:1" ht="12.75">
      <c r="A46044" s="2" t="s">
        <v>762</v>
      </c>
    </row>
    <row r="46045" spans="1:1" ht="12.75">
      <c r="A46045" s="2" t="s">
        <v>291</v>
      </c>
    </row>
    <row r="46046" spans="1:1" ht="12.75">
      <c r="A46046" s="2" t="s">
        <v>291</v>
      </c>
    </row>
    <row r="46047" spans="1:1" ht="12.75">
      <c r="A46047" s="2" t="s">
        <v>297</v>
      </c>
    </row>
    <row r="46048" spans="1:1" ht="12.75">
      <c r="A46048" s="2" t="s">
        <v>1598</v>
      </c>
    </row>
    <row r="46049" spans="1:1" ht="12.75">
      <c r="A46049" s="2" t="s">
        <v>292</v>
      </c>
    </row>
    <row r="46050" spans="1:1" ht="12.75">
      <c r="A46050" s="2" t="s">
        <v>292</v>
      </c>
    </row>
    <row r="46051" spans="1:1" ht="12.75">
      <c r="A46051" s="2" t="s">
        <v>296</v>
      </c>
    </row>
    <row r="46052" spans="1:1" ht="12.75">
      <c r="A46052" s="2" t="s">
        <v>762</v>
      </c>
    </row>
    <row r="46053" spans="1:1" ht="12.75">
      <c r="A46053" s="2" t="s">
        <v>291</v>
      </c>
    </row>
    <row r="46054" spans="1:1" ht="12.75">
      <c r="A46054" s="2" t="s">
        <v>296</v>
      </c>
    </row>
    <row r="46055" spans="1:1" ht="12.75">
      <c r="A46055" s="2" t="s">
        <v>293</v>
      </c>
    </row>
    <row r="46056" spans="1:1" ht="12.75">
      <c r="A46056" s="2" t="s">
        <v>1599</v>
      </c>
    </row>
    <row r="46057" spans="1:1" ht="12.75">
      <c r="A46057" s="2" t="s">
        <v>297</v>
      </c>
    </row>
    <row r="46058" spans="1:1" ht="12.75">
      <c r="A46058" s="2" t="s">
        <v>297</v>
      </c>
    </row>
    <row r="46059" spans="1:1" ht="12.75">
      <c r="A46059" s="2" t="s">
        <v>292</v>
      </c>
    </row>
    <row r="46060" spans="1:1" ht="12.75">
      <c r="A46060" s="2" t="s">
        <v>292</v>
      </c>
    </row>
    <row r="46061" spans="1:1" ht="12.75">
      <c r="A46061" s="2" t="s">
        <v>1600</v>
      </c>
    </row>
    <row r="46062" spans="1:1" ht="12.75">
      <c r="A46062" s="2" t="s">
        <v>290</v>
      </c>
    </row>
    <row r="46063" spans="1:1" ht="12.75">
      <c r="A46063" s="2" t="s">
        <v>1601</v>
      </c>
    </row>
    <row r="46064" spans="1:1" ht="12.75">
      <c r="A46064" s="2" t="s">
        <v>290</v>
      </c>
    </row>
    <row r="46065" spans="1:1" ht="12.75">
      <c r="A46065" s="2" t="s">
        <v>291</v>
      </c>
    </row>
    <row r="46066" spans="1:1" ht="12.75">
      <c r="A46066" s="2" t="s">
        <v>1599</v>
      </c>
    </row>
    <row r="46067" spans="1:1" ht="12.75">
      <c r="A46067" s="2" t="s">
        <v>291</v>
      </c>
    </row>
    <row r="46068" spans="1:1" ht="12.75">
      <c r="A46068" s="2" t="s">
        <v>289</v>
      </c>
    </row>
    <row r="46069" spans="1:1" ht="12.75">
      <c r="A46069" s="2" t="s">
        <v>289</v>
      </c>
    </row>
    <row r="46071" spans="1:1" ht="12.75">
      <c r="A46071" s="2" t="s">
        <v>289</v>
      </c>
    </row>
    <row r="46072" spans="1:1" ht="12.75">
      <c r="A46072" s="2" t="s">
        <v>290</v>
      </c>
    </row>
    <row r="46073" spans="1:1" ht="12.75">
      <c r="A46073" s="2" t="s">
        <v>290</v>
      </c>
    </row>
    <row r="46074" spans="1:1" ht="12.75">
      <c r="A46074" s="2" t="s">
        <v>290</v>
      </c>
    </row>
    <row r="46075" spans="1:1" ht="12.75">
      <c r="A46075" s="2" t="s">
        <v>401</v>
      </c>
    </row>
    <row r="46076" spans="1:1" ht="12.75">
      <c r="A46076" s="2" t="s">
        <v>757</v>
      </c>
    </row>
    <row r="46077" spans="1:1" ht="12.75">
      <c r="A46077" s="2" t="s">
        <v>401</v>
      </c>
    </row>
    <row r="46078" spans="1:1" ht="12.75">
      <c r="A46078" s="2" t="s">
        <v>401</v>
      </c>
    </row>
    <row r="46079" spans="1:1" ht="12.75">
      <c r="A46079" s="2" t="s">
        <v>296</v>
      </c>
    </row>
    <row r="46080" spans="1:1" ht="12.75">
      <c r="A46080" s="2" t="s">
        <v>296</v>
      </c>
    </row>
    <row r="46081" spans="1:1" ht="12.75">
      <c r="A46081" s="2" t="s">
        <v>1602</v>
      </c>
    </row>
    <row r="46082" spans="1:1" ht="12.75">
      <c r="A46082" s="2" t="s">
        <v>290</v>
      </c>
    </row>
    <row r="46083" spans="1:1" ht="12.75">
      <c r="A46083" s="2" t="s">
        <v>296</v>
      </c>
    </row>
    <row r="46084" spans="1:1" ht="12.75">
      <c r="A46084" s="2" t="s">
        <v>296</v>
      </c>
    </row>
    <row r="46087" spans="1:1" ht="12.75">
      <c r="A46087" s="2" t="s">
        <v>289</v>
      </c>
    </row>
    <row r="46088" spans="1:1" ht="12.75">
      <c r="A46088" s="2" t="s">
        <v>289</v>
      </c>
    </row>
    <row r="46089" spans="1:1" ht="12.75">
      <c r="A46089" s="2" t="s">
        <v>293</v>
      </c>
    </row>
    <row r="46090" spans="1:1" ht="12.75">
      <c r="A46090" s="2" t="s">
        <v>292</v>
      </c>
    </row>
    <row r="46091" spans="1:1" ht="12.75">
      <c r="A46091" s="2" t="s">
        <v>291</v>
      </c>
    </row>
    <row r="46092" spans="1:1" ht="12.75">
      <c r="A46092" s="2" t="s">
        <v>291</v>
      </c>
    </row>
    <row r="46093" spans="1:1" ht="12.75">
      <c r="A46093" s="2" t="s">
        <v>1603</v>
      </c>
    </row>
    <row r="46094" spans="1:1" ht="12.75">
      <c r="A46094" s="2" t="s">
        <v>289</v>
      </c>
    </row>
    <row r="46095" spans="1:1" ht="12.75">
      <c r="A46095" s="2" t="s">
        <v>289</v>
      </c>
    </row>
    <row r="46096" spans="1:1" ht="12.75">
      <c r="A46096" s="2" t="s">
        <v>290</v>
      </c>
    </row>
    <row r="46097" spans="1:1" ht="12.75">
      <c r="A46097" s="2" t="s">
        <v>288</v>
      </c>
    </row>
    <row r="46098" spans="1:1" ht="12.75">
      <c r="A46098" s="2" t="s">
        <v>762</v>
      </c>
    </row>
    <row r="46099" spans="1:1" ht="12.75">
      <c r="A46099" s="2" t="s">
        <v>293</v>
      </c>
    </row>
    <row r="46100" spans="1:1" ht="12.75">
      <c r="A46100" s="2" t="s">
        <v>288</v>
      </c>
    </row>
    <row r="46102" spans="1:1" ht="12.75">
      <c r="A46102" s="2" t="s">
        <v>755</v>
      </c>
    </row>
    <row r="46103" spans="1:1" ht="12.75">
      <c r="A46103" s="2" t="s">
        <v>298</v>
      </c>
    </row>
    <row r="46104" spans="1:1" ht="12.75">
      <c r="A46104" s="2" t="s">
        <v>291</v>
      </c>
    </row>
    <row r="46105" spans="1:1" ht="12.75">
      <c r="A46105" s="2" t="s">
        <v>935</v>
      </c>
    </row>
    <row r="46106" spans="1:1" ht="12.75">
      <c r="A46106" s="2" t="s">
        <v>1010</v>
      </c>
    </row>
    <row r="46107" spans="1:1" ht="12.75">
      <c r="A46107" s="2" t="s">
        <v>357</v>
      </c>
    </row>
    <row r="46109" spans="1:1" ht="12.75">
      <c r="A46109" s="2" t="s">
        <v>757</v>
      </c>
    </row>
    <row r="46110" spans="1:1" ht="12.75">
      <c r="A46110" s="2" t="s">
        <v>757</v>
      </c>
    </row>
    <row r="46111" spans="1:1" ht="12.75">
      <c r="A46111" s="2" t="s">
        <v>757</v>
      </c>
    </row>
    <row r="46112" spans="1:1" ht="12.75">
      <c r="A46112" s="2" t="s">
        <v>757</v>
      </c>
    </row>
    <row r="46113" spans="1:1" ht="12.75">
      <c r="A46113" s="2" t="s">
        <v>757</v>
      </c>
    </row>
    <row r="46114" spans="1:1" ht="12.75">
      <c r="A46114" s="2" t="s">
        <v>757</v>
      </c>
    </row>
    <row r="46115" spans="1:1" ht="12.75">
      <c r="A46115" s="2" t="s">
        <v>757</v>
      </c>
    </row>
    <row r="46116" spans="1:1" ht="12.75">
      <c r="A46116" s="2" t="s">
        <v>757</v>
      </c>
    </row>
    <row r="46117" spans="1:1" ht="12.75">
      <c r="A46117" s="2" t="s">
        <v>758</v>
      </c>
    </row>
    <row r="46118" spans="1:1" ht="12.75">
      <c r="A46118" s="2" t="s">
        <v>758</v>
      </c>
    </row>
    <row r="46119" spans="1:1" ht="12.75">
      <c r="A46119" s="2" t="s">
        <v>401</v>
      </c>
    </row>
    <row r="46120" spans="1:1" ht="12.75">
      <c r="A46120" s="2" t="s">
        <v>401</v>
      </c>
    </row>
    <row r="46121" spans="1:1" ht="12.75">
      <c r="A46121" s="2" t="s">
        <v>1604</v>
      </c>
    </row>
    <row r="46122" spans="1:1" ht="12.75">
      <c r="A46122" s="2" t="s">
        <v>401</v>
      </c>
    </row>
    <row r="46123" spans="1:1" ht="12.75">
      <c r="A46123" s="2" t="s">
        <v>1010</v>
      </c>
    </row>
    <row r="46124" spans="1:1" ht="12.75">
      <c r="A46124" s="2" t="s">
        <v>1354</v>
      </c>
    </row>
    <row r="46125" spans="1:1" ht="12.75">
      <c r="A46125" s="2" t="s">
        <v>1010</v>
      </c>
    </row>
    <row r="46126" spans="1:1" ht="12.75">
      <c r="A46126" s="2" t="s">
        <v>1010</v>
      </c>
    </row>
    <row r="46127" spans="1:1" ht="12.75">
      <c r="A46127" s="2" t="s">
        <v>758</v>
      </c>
    </row>
    <row r="46128" spans="1:1" ht="12.75">
      <c r="A46128" s="2" t="s">
        <v>758</v>
      </c>
    </row>
    <row r="46129" spans="1:1" ht="12.75">
      <c r="A46129" s="2" t="s">
        <v>1010</v>
      </c>
    </row>
    <row r="46130" spans="1:1" ht="12.75">
      <c r="A46130" s="2" t="s">
        <v>1010</v>
      </c>
    </row>
    <row r="46131" spans="1:1" ht="12.75">
      <c r="A46131" s="2" t="s">
        <v>290</v>
      </c>
    </row>
    <row r="46132" spans="1:1" ht="12.75">
      <c r="A46132" s="2" t="s">
        <v>290</v>
      </c>
    </row>
    <row r="46133" spans="1:1" ht="12.75">
      <c r="A46133" s="2" t="s">
        <v>289</v>
      </c>
    </row>
    <row r="46134" spans="1:1" ht="12.75">
      <c r="A46134" s="2" t="s">
        <v>289</v>
      </c>
    </row>
    <row r="46135" spans="1:1" ht="12.75">
      <c r="A46135" s="2" t="s">
        <v>291</v>
      </c>
    </row>
    <row r="46136" spans="1:1" ht="12.75">
      <c r="A46136" s="2" t="s">
        <v>289</v>
      </c>
    </row>
    <row r="46137" spans="1:1" ht="12.75">
      <c r="A46137" s="2" t="s">
        <v>292</v>
      </c>
    </row>
    <row r="46138" spans="1:1" ht="12.75">
      <c r="A46138" s="2" t="s">
        <v>292</v>
      </c>
    </row>
    <row r="46139" spans="1:1" ht="12.75">
      <c r="A46139" s="2" t="s">
        <v>291</v>
      </c>
    </row>
    <row r="46140" spans="1:1" ht="12.75">
      <c r="A46140" s="2" t="s">
        <v>291</v>
      </c>
    </row>
    <row r="46141" spans="1:1" ht="12.75">
      <c r="A46141" s="2" t="s">
        <v>291</v>
      </c>
    </row>
    <row r="46142" spans="1:1" ht="12.75">
      <c r="A46142" s="2" t="s">
        <v>291</v>
      </c>
    </row>
    <row r="46143" spans="1:1" ht="12.75">
      <c r="A46143" s="2" t="s">
        <v>293</v>
      </c>
    </row>
    <row r="46144" spans="1:1" ht="12.75">
      <c r="A46144" s="2" t="s">
        <v>291</v>
      </c>
    </row>
    <row r="46145" spans="1:1" ht="12.75">
      <c r="A46145" s="2" t="s">
        <v>293</v>
      </c>
    </row>
    <row r="46146" spans="1:1" ht="12.75">
      <c r="A46146" s="2" t="s">
        <v>293</v>
      </c>
    </row>
    <row r="46147" spans="1:1" ht="12.75">
      <c r="A46147" s="2" t="s">
        <v>292</v>
      </c>
    </row>
    <row r="46148" spans="1:1" ht="12.75">
      <c r="A46148" s="2" t="s">
        <v>292</v>
      </c>
    </row>
    <row r="46149" spans="1:1" ht="12.75">
      <c r="A46149" s="2" t="s">
        <v>298</v>
      </c>
    </row>
    <row r="46150" spans="1:1" ht="12.75">
      <c r="A46150" s="2" t="s">
        <v>959</v>
      </c>
    </row>
    <row r="46151" spans="1:1" ht="12.75">
      <c r="A46151" s="2" t="s">
        <v>1316</v>
      </c>
    </row>
    <row r="46152" spans="1:1" ht="12.75">
      <c r="A46152" s="2" t="s">
        <v>1316</v>
      </c>
    </row>
    <row r="46153" spans="1:1" ht="12.75">
      <c r="A46153" s="2" t="s">
        <v>1316</v>
      </c>
    </row>
    <row r="46154" spans="1:1" ht="12.75">
      <c r="A46154" s="2" t="s">
        <v>1316</v>
      </c>
    </row>
    <row r="46155" spans="1:1" ht="12.75">
      <c r="A46155" s="2" t="s">
        <v>1605</v>
      </c>
    </row>
    <row r="46156" spans="1:1" ht="12.75">
      <c r="A46156" s="2" t="s">
        <v>1606</v>
      </c>
    </row>
    <row r="46159" spans="1:1" ht="12.75">
      <c r="A46159" s="2" t="s">
        <v>1316</v>
      </c>
    </row>
    <row r="46160" spans="1:1" ht="12.75">
      <c r="A46160" s="2" t="s">
        <v>1316</v>
      </c>
    </row>
    <row r="46161" spans="1:1" ht="12.75">
      <c r="A46161" s="2" t="s">
        <v>1316</v>
      </c>
    </row>
    <row r="46162" spans="1:1" ht="12.75">
      <c r="A46162" s="2" t="s">
        <v>1316</v>
      </c>
    </row>
    <row r="46163" spans="1:1" ht="12.75">
      <c r="A46163" s="2" t="s">
        <v>1316</v>
      </c>
    </row>
    <row r="46164" spans="1:1" ht="12.75">
      <c r="A46164" s="2" t="s">
        <v>1316</v>
      </c>
    </row>
    <row r="46165" spans="1:1" ht="12.75">
      <c r="A46165" s="2" t="s">
        <v>1316</v>
      </c>
    </row>
    <row r="46171" spans="1:1" ht="12.75">
      <c r="A46171" s="2" t="s">
        <v>319</v>
      </c>
    </row>
    <row r="46172" spans="1:1" ht="12.75">
      <c r="A46172" s="2" t="s">
        <v>265</v>
      </c>
    </row>
    <row r="46173" spans="1:1" ht="12.75">
      <c r="A46173" s="2" t="s">
        <v>319</v>
      </c>
    </row>
    <row r="46174" spans="1:1" ht="12.75">
      <c r="A46174" s="2" t="s">
        <v>265</v>
      </c>
    </row>
    <row r="46175" spans="1:1" ht="12.75">
      <c r="A46175" s="2" t="s">
        <v>265</v>
      </c>
    </row>
    <row r="46176" spans="1:1" ht="12.75">
      <c r="A46176" s="2" t="s">
        <v>265</v>
      </c>
    </row>
    <row r="46177" spans="1:1" ht="12.75">
      <c r="A46177" s="2" t="s">
        <v>318</v>
      </c>
    </row>
    <row r="46178" spans="1:1" ht="12.75">
      <c r="A46178" s="2" t="s">
        <v>319</v>
      </c>
    </row>
    <row r="46179" spans="1:1" ht="12.75">
      <c r="A46179" s="2" t="s">
        <v>319</v>
      </c>
    </row>
    <row r="46180" spans="1:1" ht="12.75">
      <c r="A46180" s="2" t="s">
        <v>265</v>
      </c>
    </row>
    <row r="46181" spans="1:1" ht="12.75">
      <c r="A46181" s="2" t="s">
        <v>265</v>
      </c>
    </row>
    <row r="46182" spans="1:1" ht="12.75">
      <c r="A46182" s="2" t="s">
        <v>319</v>
      </c>
    </row>
    <row r="46187" spans="1:1" ht="12.75">
      <c r="A46187" s="2" t="s">
        <v>274</v>
      </c>
    </row>
    <row r="46188" spans="1:1" ht="12.75">
      <c r="A46188" s="2" t="s">
        <v>274</v>
      </c>
    </row>
    <row r="46189" spans="1:1" ht="12.75">
      <c r="A46189" s="2" t="s">
        <v>274</v>
      </c>
    </row>
    <row r="46190" spans="1:1" ht="12.75">
      <c r="A46190" s="2" t="s">
        <v>274</v>
      </c>
    </row>
    <row r="46191" spans="1:1" ht="12.75">
      <c r="A46191" s="2" t="s">
        <v>757</v>
      </c>
    </row>
    <row r="46192" spans="1:1" ht="12.75">
      <c r="A46192" s="2" t="s">
        <v>274</v>
      </c>
    </row>
    <row r="46193" spans="1:1" ht="12.75">
      <c r="A46193" s="2" t="s">
        <v>1607</v>
      </c>
    </row>
    <row r="46194" spans="1:1" ht="12.75">
      <c r="A46194" s="2" t="s">
        <v>1607</v>
      </c>
    </row>
    <row r="46195" spans="1:1" ht="12.75">
      <c r="A46195" s="2" t="s">
        <v>275</v>
      </c>
    </row>
    <row r="46196" spans="1:1" ht="12.75">
      <c r="A46196" s="2" t="s">
        <v>274</v>
      </c>
    </row>
    <row r="46197" spans="1:1" ht="12.75">
      <c r="A46197" s="2" t="s">
        <v>274</v>
      </c>
    </row>
    <row r="46198" spans="1:1" ht="12.75">
      <c r="A46198" s="2" t="s">
        <v>274</v>
      </c>
    </row>
    <row r="46199" spans="1:1" ht="12.75">
      <c r="A46199" s="2" t="s">
        <v>274</v>
      </c>
    </row>
    <row r="46200" spans="1:1" ht="12.75">
      <c r="A46200" s="2" t="s">
        <v>274</v>
      </c>
    </row>
    <row r="46201" spans="1:1" ht="12.75">
      <c r="A46201" s="2" t="s">
        <v>274</v>
      </c>
    </row>
    <row r="46202" spans="1:1" ht="12.75">
      <c r="A46202" s="2" t="s">
        <v>274</v>
      </c>
    </row>
    <row r="46203" spans="1:1" ht="12.75">
      <c r="A46203" s="2" t="s">
        <v>275</v>
      </c>
    </row>
    <row r="46204" spans="1:1" ht="12.75">
      <c r="A46204" s="2" t="s">
        <v>275</v>
      </c>
    </row>
    <row r="46205" spans="1:1" ht="12.75">
      <c r="A46205" s="2" t="s">
        <v>1608</v>
      </c>
    </row>
    <row r="46207" spans="1:1" ht="12.75">
      <c r="A46207" s="2" t="s">
        <v>1609</v>
      </c>
    </row>
    <row r="46208" spans="1:1" ht="12.75">
      <c r="A46208" s="2" t="s">
        <v>756</v>
      </c>
    </row>
    <row r="46209" spans="1:1" ht="12.75">
      <c r="A46209" s="2" t="s">
        <v>760</v>
      </c>
    </row>
    <row r="46210" spans="1:1" ht="12.75">
      <c r="A46210" s="2" t="s">
        <v>759</v>
      </c>
    </row>
    <row r="46211" spans="1:1" ht="12.75">
      <c r="A46211" s="2" t="s">
        <v>695</v>
      </c>
    </row>
    <row r="46214" spans="1:1" ht="12.75">
      <c r="A46214" s="2" t="s">
        <v>644</v>
      </c>
    </row>
    <row r="46217" spans="1:1" ht="12.75">
      <c r="A46217" s="2" t="s">
        <v>1147</v>
      </c>
    </row>
    <row r="46218" spans="1:1" ht="12.75">
      <c r="A46218" s="2" t="s">
        <v>1610</v>
      </c>
    </row>
    <row r="46219" spans="1:1" ht="12.75">
      <c r="A46219" s="2" t="s">
        <v>1611</v>
      </c>
    </row>
    <row r="46220" spans="1:1" ht="12.75">
      <c r="A46220" s="2" t="s">
        <v>393</v>
      </c>
    </row>
    <row r="46221" spans="1:1" ht="12.75">
      <c r="A46221" s="2" t="s">
        <v>393</v>
      </c>
    </row>
    <row r="46222" spans="1:1" ht="12.75">
      <c r="A46222" s="2" t="s">
        <v>393</v>
      </c>
    </row>
    <row r="46250" spans="1:1" ht="12.75">
      <c r="A46250" s="2" t="s">
        <v>188</v>
      </c>
    </row>
    <row r="46251" spans="1:1" ht="12.75">
      <c r="A46251" s="2" t="s">
        <v>188</v>
      </c>
    </row>
    <row r="46252" spans="1:1" ht="12.75">
      <c r="A46252" s="2" t="s">
        <v>188</v>
      </c>
    </row>
    <row r="46253" spans="1:1" ht="12.75">
      <c r="A46253" s="2" t="s">
        <v>1612</v>
      </c>
    </row>
    <row r="46254" spans="1:1" ht="12.75">
      <c r="A46254" s="2" t="s">
        <v>829</v>
      </c>
    </row>
    <row r="46255" spans="1:1" ht="12.75">
      <c r="A46255" s="2" t="s">
        <v>829</v>
      </c>
    </row>
    <row r="46256" spans="1:1" ht="12.75">
      <c r="A46256" s="2" t="s">
        <v>829</v>
      </c>
    </row>
    <row r="46257" spans="1:1" ht="12.75">
      <c r="A46257" s="2" t="s">
        <v>820</v>
      </c>
    </row>
    <row r="46258" spans="1:1" ht="12.75">
      <c r="A46258" s="2" t="s">
        <v>820</v>
      </c>
    </row>
    <row r="46259" spans="1:1" ht="12.75">
      <c r="A46259" s="2" t="s">
        <v>825</v>
      </c>
    </row>
    <row r="46260" spans="1:1" ht="12.75">
      <c r="A46260" s="2" t="s">
        <v>1431</v>
      </c>
    </row>
    <row r="46261" spans="1:1" ht="12.75">
      <c r="A46261" s="2" t="s">
        <v>820</v>
      </c>
    </row>
    <row r="46262" spans="1:1" ht="12.75">
      <c r="A46262" s="2" t="s">
        <v>820</v>
      </c>
    </row>
    <row r="46263" spans="1:1" ht="12.75">
      <c r="A46263" s="2" t="s">
        <v>819</v>
      </c>
    </row>
    <row r="46264" spans="1:1" ht="12.75">
      <c r="A46264" s="2" t="s">
        <v>819</v>
      </c>
    </row>
    <row r="46265" spans="1:1" ht="12.75">
      <c r="A46265" s="2" t="s">
        <v>836</v>
      </c>
    </row>
    <row r="46266" spans="1:1" ht="12.75">
      <c r="A46266" s="2" t="s">
        <v>836</v>
      </c>
    </row>
    <row r="46267" spans="1:1" ht="12.75">
      <c r="A46267" s="2" t="s">
        <v>825</v>
      </c>
    </row>
    <row r="46268" spans="1:1" ht="12.75">
      <c r="A46268" s="2" t="s">
        <v>825</v>
      </c>
    </row>
    <row r="46269" spans="1:1" ht="12.75">
      <c r="A46269" s="2" t="s">
        <v>821</v>
      </c>
    </row>
    <row r="46270" spans="1:1" ht="12.75">
      <c r="A46270" s="2" t="s">
        <v>1613</v>
      </c>
    </row>
    <row r="46271" spans="1:1" ht="12.75">
      <c r="A46271" s="2" t="s">
        <v>1431</v>
      </c>
    </row>
    <row r="46272" spans="1:1" ht="12.75">
      <c r="A46272" s="2" t="s">
        <v>1431</v>
      </c>
    </row>
    <row r="46273" spans="1:1" ht="12.75">
      <c r="A46273" s="2" t="s">
        <v>819</v>
      </c>
    </row>
    <row r="46274" spans="1:1" ht="12.75">
      <c r="A46274" s="2" t="s">
        <v>819</v>
      </c>
    </row>
    <row r="46275" spans="1:1" ht="12.75">
      <c r="A46275" s="2" t="s">
        <v>820</v>
      </c>
    </row>
    <row r="46276" spans="1:1" ht="12.75">
      <c r="A46276" s="2" t="s">
        <v>820</v>
      </c>
    </row>
    <row r="46277" spans="1:1" ht="12.75">
      <c r="A46277" s="2" t="s">
        <v>825</v>
      </c>
    </row>
    <row r="46278" spans="1:1" ht="12.75">
      <c r="A46278" s="2" t="s">
        <v>825</v>
      </c>
    </row>
    <row r="46279" spans="1:1" ht="12.75">
      <c r="A46279" s="2" t="s">
        <v>821</v>
      </c>
    </row>
    <row r="46280" spans="1:1" ht="12.75">
      <c r="A46280" s="2" t="s">
        <v>829</v>
      </c>
    </row>
    <row r="46281" spans="1:1" ht="12.75">
      <c r="A46281" s="2" t="s">
        <v>829</v>
      </c>
    </row>
    <row r="46282" spans="1:1" ht="12.75">
      <c r="A46282" s="2" t="s">
        <v>829</v>
      </c>
    </row>
    <row r="46283" spans="1:1" ht="12.75">
      <c r="A46283" s="2" t="s">
        <v>829</v>
      </c>
    </row>
    <row r="46284" spans="1:1" ht="12.75">
      <c r="A46284" s="2" t="s">
        <v>854</v>
      </c>
    </row>
    <row r="46285" spans="1:1" ht="12.75">
      <c r="A46285" s="2" t="s">
        <v>854</v>
      </c>
    </row>
    <row r="46286" spans="1:1" ht="12.75">
      <c r="A46286" s="2" t="s">
        <v>819</v>
      </c>
    </row>
    <row r="46287" spans="1:1" ht="12.75">
      <c r="A46287" s="2" t="s">
        <v>819</v>
      </c>
    </row>
    <row r="46288" spans="1:1" ht="12.75">
      <c r="A46288" s="2" t="s">
        <v>820</v>
      </c>
    </row>
    <row r="46289" spans="1:1" ht="12.75">
      <c r="A46289" s="2" t="s">
        <v>821</v>
      </c>
    </row>
    <row r="46306" spans="1:1" ht="12.75">
      <c r="A46306" s="2" t="s">
        <v>1431</v>
      </c>
    </row>
    <row r="46307" spans="1:1" ht="12.75">
      <c r="A46307" s="2" t="s">
        <v>825</v>
      </c>
    </row>
    <row r="46308" spans="1:1" ht="12.75">
      <c r="A46308" s="2" t="s">
        <v>837</v>
      </c>
    </row>
    <row r="46309" spans="1:1" ht="12.75">
      <c r="A46309" s="2" t="s">
        <v>844</v>
      </c>
    </row>
    <row r="46311" spans="1:1" ht="12.75">
      <c r="A46311" s="2" t="s">
        <v>623</v>
      </c>
    </row>
    <row r="46312" spans="1:1" ht="12.75">
      <c r="A46312" s="2">
        <v>6100</v>
      </c>
    </row>
    <row r="46313" spans="1:1" ht="12.75">
      <c r="A46313" s="2" t="s">
        <v>818</v>
      </c>
    </row>
    <row r="46314" spans="1:1" ht="12.75">
      <c r="A46314" s="2" t="s">
        <v>818</v>
      </c>
    </row>
    <row r="46315" spans="1:1" ht="12.75">
      <c r="A46315" s="2" t="s">
        <v>818</v>
      </c>
    </row>
    <row r="46316" spans="1:1" ht="12.75">
      <c r="A46316" s="2" t="s">
        <v>818</v>
      </c>
    </row>
    <row r="46317" spans="1:1" ht="12.75">
      <c r="A46317" s="2" t="s">
        <v>818</v>
      </c>
    </row>
    <row r="46318" spans="1:1" ht="12.75">
      <c r="A46318" s="2" t="s">
        <v>818</v>
      </c>
    </row>
    <row r="46319" spans="1:1" ht="12.75">
      <c r="A46319" s="2" t="s">
        <v>618</v>
      </c>
    </row>
    <row r="46320" spans="1:1" ht="12.75">
      <c r="A46320" s="2" t="s">
        <v>623</v>
      </c>
    </row>
    <row r="46321" spans="1:1" ht="12.75">
      <c r="A46321" s="2" t="s">
        <v>818</v>
      </c>
    </row>
    <row r="46322" spans="1:1" ht="12.75">
      <c r="A46322" s="2" t="s">
        <v>623</v>
      </c>
    </row>
    <row r="46323" spans="1:1" ht="12.75">
      <c r="A46323" s="2" t="s">
        <v>618</v>
      </c>
    </row>
    <row r="46324" spans="1:1" ht="12.75">
      <c r="A46324" s="2" t="s">
        <v>623</v>
      </c>
    </row>
    <row r="46327" spans="1:1" ht="12.75">
      <c r="A46327" s="2" t="s">
        <v>623</v>
      </c>
    </row>
    <row r="46328" spans="1:1" ht="12.75">
      <c r="A46328" s="2" t="s">
        <v>623</v>
      </c>
    </row>
    <row r="46331" spans="1:1" ht="12.75">
      <c r="A46331" s="2" t="s">
        <v>404</v>
      </c>
    </row>
    <row r="46332" spans="1:1" ht="12.75">
      <c r="A46332" s="2" t="s">
        <v>404</v>
      </c>
    </row>
    <row r="46333" spans="1:1" ht="12.75">
      <c r="A46333" s="2" t="s">
        <v>404</v>
      </c>
    </row>
    <row r="46334" spans="1:1" ht="12.75">
      <c r="A46334" s="2" t="s">
        <v>404</v>
      </c>
    </row>
    <row r="46335" spans="1:1" ht="12.75">
      <c r="A46335" s="2" t="s">
        <v>437</v>
      </c>
    </row>
    <row r="46336" spans="1:1" ht="12.75">
      <c r="A46336" s="2" t="s">
        <v>916</v>
      </c>
    </row>
    <row r="46337" spans="1:1" ht="12.75">
      <c r="A46337" s="2" t="s">
        <v>916</v>
      </c>
    </row>
    <row r="46338" spans="1:1" ht="12.75">
      <c r="A46338" s="2" t="s">
        <v>916</v>
      </c>
    </row>
    <row r="46339" spans="1:1" ht="12.75">
      <c r="A46339" s="2" t="s">
        <v>1384</v>
      </c>
    </row>
    <row r="46340" spans="1:1" ht="12.75">
      <c r="A46340" s="2" t="s">
        <v>1384</v>
      </c>
    </row>
    <row r="46341" spans="1:1" ht="12.75">
      <c r="A46341" s="2" t="s">
        <v>914</v>
      </c>
    </row>
    <row r="46343" spans="1:1" ht="12.75">
      <c r="A46343" s="2" t="s">
        <v>914</v>
      </c>
    </row>
    <row r="46344" spans="1:1" ht="12.75">
      <c r="A46344" s="2" t="s">
        <v>914</v>
      </c>
    </row>
    <row r="46345" spans="1:1" ht="12.75">
      <c r="A46345" s="2" t="s">
        <v>404</v>
      </c>
    </row>
    <row r="46351" spans="1:1" ht="12.75">
      <c r="A46351" s="2" t="s">
        <v>477</v>
      </c>
    </row>
    <row r="46352" spans="1:1" ht="12.75">
      <c r="A46352" s="2" t="s">
        <v>477</v>
      </c>
    </row>
    <row r="46353" spans="1:1" ht="12.75">
      <c r="A46353" s="2" t="s">
        <v>437</v>
      </c>
    </row>
    <row r="46354" spans="1:1" ht="12.75">
      <c r="A46354" s="2" t="s">
        <v>437</v>
      </c>
    </row>
    <row r="46355" spans="1:1" ht="12.75">
      <c r="A46355" s="2" t="s">
        <v>404</v>
      </c>
    </row>
    <row r="46356" spans="1:1" ht="12.75">
      <c r="A46356" s="2" t="s">
        <v>404</v>
      </c>
    </row>
    <row r="46357" spans="1:1" ht="12.75">
      <c r="A46357" s="2" t="s">
        <v>404</v>
      </c>
    </row>
    <row r="46358" spans="1:1" ht="12.75">
      <c r="A46358" s="2" t="s">
        <v>404</v>
      </c>
    </row>
    <row r="46359" spans="1:1" ht="12.75">
      <c r="A46359" s="2" t="s">
        <v>404</v>
      </c>
    </row>
    <row r="46360" spans="1:1" ht="12.75">
      <c r="A46360" s="2" t="s">
        <v>404</v>
      </c>
    </row>
    <row r="46361" spans="1:1" ht="12.75">
      <c r="A46361" s="2" t="s">
        <v>437</v>
      </c>
    </row>
    <row r="46362" spans="1:1" ht="12.75">
      <c r="A46362" s="2" t="s">
        <v>437</v>
      </c>
    </row>
    <row r="46363" spans="1:1" ht="12.75">
      <c r="A46363" s="2" t="s">
        <v>437</v>
      </c>
    </row>
    <row r="46364" spans="1:1" ht="12.75">
      <c r="A46364" s="2" t="s">
        <v>437</v>
      </c>
    </row>
    <row r="46365" spans="1:1" ht="12.75">
      <c r="A46365" s="2" t="s">
        <v>477</v>
      </c>
    </row>
    <row r="46366" spans="1:1" ht="12.75">
      <c r="A46366" s="2" t="s">
        <v>1614</v>
      </c>
    </row>
    <row r="46367" spans="1:1" ht="12.75">
      <c r="A46367" s="2" t="s">
        <v>477</v>
      </c>
    </row>
    <row r="46368" spans="1:1" ht="12.75">
      <c r="A46368" s="2" t="s">
        <v>477</v>
      </c>
    </row>
    <row r="46369" spans="1:1" ht="12.75">
      <c r="A46369" s="2" t="s">
        <v>1384</v>
      </c>
    </row>
    <row r="46370" spans="1:1" ht="12.75">
      <c r="A46370" s="2" t="s">
        <v>1384</v>
      </c>
    </row>
    <row r="46371" spans="1:1" ht="12.75">
      <c r="A46371" s="2" t="s">
        <v>466</v>
      </c>
    </row>
    <row r="46372" spans="1:1" ht="12.75">
      <c r="A46372" s="2" t="s">
        <v>437</v>
      </c>
    </row>
    <row r="46373" spans="1:1" ht="12.75">
      <c r="A46373" s="2" t="s">
        <v>437</v>
      </c>
    </row>
    <row r="46374" spans="1:1" ht="12.75">
      <c r="A46374" s="2" t="s">
        <v>466</v>
      </c>
    </row>
    <row r="46375" spans="1:1" ht="12.75">
      <c r="A46375" s="2" t="s">
        <v>1384</v>
      </c>
    </row>
    <row r="46376" spans="1:1" ht="12.75">
      <c r="A46376" s="2" t="s">
        <v>1384</v>
      </c>
    </row>
    <row r="46377" spans="1:1" ht="12.75">
      <c r="A46377" s="2" t="s">
        <v>1384</v>
      </c>
    </row>
    <row r="46378" spans="1:1" ht="12.75">
      <c r="A46378" s="2" t="s">
        <v>1384</v>
      </c>
    </row>
    <row r="46379" spans="1:1" ht="12.75">
      <c r="A46379" s="2" t="s">
        <v>477</v>
      </c>
    </row>
    <row r="46380" spans="1:1" ht="12.75">
      <c r="A46380" s="2" t="s">
        <v>477</v>
      </c>
    </row>
    <row r="46381" spans="1:1" ht="12.75">
      <c r="A46381" s="2" t="s">
        <v>477</v>
      </c>
    </row>
    <row r="46382" spans="1:1" ht="12.75">
      <c r="A46382" s="2" t="s">
        <v>477</v>
      </c>
    </row>
    <row r="46383" spans="1:1" ht="12.75">
      <c r="A46383" s="2" t="s">
        <v>1615</v>
      </c>
    </row>
    <row r="46384" spans="1:1" ht="12.75">
      <c r="A46384" s="2" t="s">
        <v>1615</v>
      </c>
    </row>
    <row r="46385" spans="1:1" ht="12.75">
      <c r="A46385" s="2" t="s">
        <v>452</v>
      </c>
    </row>
    <row r="46386" spans="1:1" ht="12.75">
      <c r="A46386" s="2" t="s">
        <v>452</v>
      </c>
    </row>
    <row r="46387" spans="1:1" ht="12.75">
      <c r="A46387" s="2" t="s">
        <v>452</v>
      </c>
    </row>
    <row r="46388" spans="1:1" ht="12.75">
      <c r="A46388" s="2" t="s">
        <v>452</v>
      </c>
    </row>
    <row r="46389" spans="1:1" ht="12.75">
      <c r="A46389" s="2" t="s">
        <v>452</v>
      </c>
    </row>
    <row r="46390" spans="1:1" ht="12.75">
      <c r="A46390" s="2" t="s">
        <v>452</v>
      </c>
    </row>
    <row r="46391" spans="1:1" ht="12.75">
      <c r="A46391" s="2" t="s">
        <v>452</v>
      </c>
    </row>
    <row r="46392" spans="1:1" ht="12.75">
      <c r="A46392" s="2" t="s">
        <v>452</v>
      </c>
    </row>
    <row r="46393" spans="1:1" ht="12.75">
      <c r="A46393" s="2" t="s">
        <v>452</v>
      </c>
    </row>
    <row r="46394" spans="1:1" ht="12.75">
      <c r="A46394" s="2" t="s">
        <v>452</v>
      </c>
    </row>
    <row r="46395" spans="1:1" ht="12.75">
      <c r="A46395" s="2" t="s">
        <v>449</v>
      </c>
    </row>
    <row r="46396" spans="1:1" ht="12.75">
      <c r="A46396" s="2" t="s">
        <v>449</v>
      </c>
    </row>
    <row r="46397" spans="1:1" ht="12.75">
      <c r="A46397" s="2" t="s">
        <v>449</v>
      </c>
    </row>
    <row r="46398" spans="1:1" ht="12.75">
      <c r="A46398" s="2" t="s">
        <v>449</v>
      </c>
    </row>
    <row r="46399" spans="1:1" ht="12.75">
      <c r="A46399" s="2" t="s">
        <v>449</v>
      </c>
    </row>
    <row r="46400" spans="1:1" ht="12.75">
      <c r="A46400" s="2" t="s">
        <v>449</v>
      </c>
    </row>
    <row r="46401" spans="1:1" ht="12.75">
      <c r="A46401" s="2" t="s">
        <v>449</v>
      </c>
    </row>
    <row r="46402" spans="1:1" ht="12.75">
      <c r="A46402" s="2" t="s">
        <v>449</v>
      </c>
    </row>
    <row r="46403" spans="1:1" ht="12.75">
      <c r="A46403" s="2" t="s">
        <v>449</v>
      </c>
    </row>
    <row r="46404" spans="1:1" ht="12.75">
      <c r="A46404" s="2" t="s">
        <v>449</v>
      </c>
    </row>
    <row r="46405" spans="1:1" ht="12.75">
      <c r="A46405" s="2" t="s">
        <v>1384</v>
      </c>
    </row>
    <row r="46406" spans="1:1" ht="12.75">
      <c r="A46406" s="2" t="s">
        <v>1384</v>
      </c>
    </row>
    <row r="46407" spans="1:1" ht="12.75">
      <c r="A46407" s="2" t="s">
        <v>1384</v>
      </c>
    </row>
    <row r="46408" spans="1:1" ht="12.75">
      <c r="A46408" s="2" t="s">
        <v>1384</v>
      </c>
    </row>
    <row r="46409" spans="1:1" ht="12.75">
      <c r="A46409" s="2" t="s">
        <v>437</v>
      </c>
    </row>
    <row r="46410" spans="1:1" ht="12.75">
      <c r="A46410" s="2" t="s">
        <v>437</v>
      </c>
    </row>
    <row r="46411" spans="1:1" ht="12.75">
      <c r="A46411" s="2" t="s">
        <v>448</v>
      </c>
    </row>
    <row r="46412" spans="1:1" ht="12.75">
      <c r="A46412" s="2" t="s">
        <v>448</v>
      </c>
    </row>
    <row r="46413" spans="1:1" ht="12.75">
      <c r="A46413" s="2" t="s">
        <v>473</v>
      </c>
    </row>
    <row r="46414" spans="1:1" ht="12.75">
      <c r="A46414" s="2" t="s">
        <v>473</v>
      </c>
    </row>
    <row r="46415" spans="1:1" ht="12.75">
      <c r="A46415" s="2" t="s">
        <v>473</v>
      </c>
    </row>
    <row r="46416" spans="1:1" ht="12.75">
      <c r="A46416" s="2" t="s">
        <v>447</v>
      </c>
    </row>
    <row r="46417" spans="1:1" ht="12.75">
      <c r="A46417" s="2" t="s">
        <v>447</v>
      </c>
    </row>
    <row r="46418" spans="1:1" ht="12.75">
      <c r="A46418" s="2" t="s">
        <v>447</v>
      </c>
    </row>
    <row r="46419" spans="1:1" ht="12.75">
      <c r="A46419" s="2" t="s">
        <v>446</v>
      </c>
    </row>
    <row r="46420" spans="1:1" ht="12.75">
      <c r="A46420" s="2" t="s">
        <v>446</v>
      </c>
    </row>
    <row r="46421" spans="1:1" ht="12.75">
      <c r="A46421" s="2" t="s">
        <v>845</v>
      </c>
    </row>
    <row r="46422" spans="1:1" ht="12.75">
      <c r="A46422" s="2" t="s">
        <v>480</v>
      </c>
    </row>
    <row r="46423" spans="1:1" ht="12.75">
      <c r="A46423" s="2" t="s">
        <v>480</v>
      </c>
    </row>
    <row r="46424" spans="1:1" ht="12.75">
      <c r="A46424" s="2" t="s">
        <v>845</v>
      </c>
    </row>
    <row r="46425" spans="1:1" ht="12.75">
      <c r="A46425" s="2" t="s">
        <v>845</v>
      </c>
    </row>
    <row r="46426" spans="1:1" ht="12.75">
      <c r="A46426" s="2" t="s">
        <v>1387</v>
      </c>
    </row>
    <row r="46429" spans="1:1" ht="12.75">
      <c r="A46429" s="2" t="s">
        <v>1387</v>
      </c>
    </row>
    <row r="46431" spans="1:1" ht="12.75">
      <c r="A46431" s="2" t="s">
        <v>446</v>
      </c>
    </row>
    <row r="46432" spans="1:1" ht="12.75">
      <c r="A46432" s="2" t="s">
        <v>446</v>
      </c>
    </row>
    <row r="46433" spans="1:1" ht="12.75">
      <c r="A46433" s="2" t="s">
        <v>446</v>
      </c>
    </row>
    <row r="46434" spans="1:1" ht="12.75">
      <c r="A46434" s="2" t="s">
        <v>446</v>
      </c>
    </row>
    <row r="46435" spans="1:1" ht="12.75">
      <c r="A46435" s="2" t="s">
        <v>447</v>
      </c>
    </row>
    <row r="46436" spans="1:1" ht="12.75">
      <c r="A46436" s="2" t="s">
        <v>447</v>
      </c>
    </row>
    <row r="46437" spans="1:1" ht="12.75">
      <c r="A46437" s="2" t="s">
        <v>447</v>
      </c>
    </row>
    <row r="46438" spans="1:1" ht="12.75">
      <c r="A46438" s="2" t="s">
        <v>473</v>
      </c>
    </row>
    <row r="46439" spans="1:1" ht="12.75">
      <c r="A46439" s="2" t="s">
        <v>473</v>
      </c>
    </row>
    <row r="46440" spans="1:1" ht="12.75">
      <c r="A46440" s="2" t="s">
        <v>473</v>
      </c>
    </row>
    <row r="46441" spans="1:1" ht="12.75">
      <c r="A46441" s="2" t="s">
        <v>448</v>
      </c>
    </row>
    <row r="46442" spans="1:1" ht="12.75">
      <c r="A46442" s="2" t="s">
        <v>448</v>
      </c>
    </row>
    <row r="46443" spans="1:1" ht="12.75">
      <c r="A46443" s="2" t="s">
        <v>615</v>
      </c>
    </row>
    <row r="46444" spans="1:1" ht="12.75">
      <c r="A46444" s="2" t="s">
        <v>615</v>
      </c>
    </row>
    <row r="46445" spans="1:1" ht="12.75">
      <c r="A46445" s="2" t="s">
        <v>450</v>
      </c>
    </row>
    <row r="46446" spans="1:1" ht="12.75">
      <c r="A46446" s="2" t="s">
        <v>450</v>
      </c>
    </row>
    <row r="46447" spans="1:1" ht="12.75">
      <c r="A46447" s="2" t="s">
        <v>450</v>
      </c>
    </row>
    <row r="46448" spans="1:1" ht="12.75">
      <c r="A46448" s="2" t="s">
        <v>473</v>
      </c>
    </row>
    <row r="46449" spans="1:1" ht="12.75">
      <c r="A46449" s="2" t="s">
        <v>446</v>
      </c>
    </row>
    <row r="46450" spans="1:1" ht="12.75">
      <c r="A46450" s="2" t="s">
        <v>446</v>
      </c>
    </row>
    <row r="46451" spans="1:1" ht="12.75">
      <c r="A46451" s="2" t="s">
        <v>446</v>
      </c>
    </row>
    <row r="46452" spans="1:1" ht="12.75">
      <c r="A46452" s="2" t="s">
        <v>446</v>
      </c>
    </row>
    <row r="46453" spans="1:1" ht="12.75">
      <c r="A46453" s="2" t="s">
        <v>446</v>
      </c>
    </row>
    <row r="46454" spans="1:1" ht="12.75">
      <c r="A46454" s="2" t="s">
        <v>446</v>
      </c>
    </row>
    <row r="46455" spans="1:1" ht="12.75">
      <c r="A46455" s="2" t="s">
        <v>450</v>
      </c>
    </row>
    <row r="46456" spans="1:1" ht="12.75">
      <c r="A46456" s="2" t="s">
        <v>450</v>
      </c>
    </row>
    <row r="46457" spans="1:1" ht="12.75">
      <c r="A46457" s="2" t="s">
        <v>450</v>
      </c>
    </row>
    <row r="46458" spans="1:1" ht="12.75">
      <c r="A46458" s="2" t="s">
        <v>450</v>
      </c>
    </row>
    <row r="46459" spans="1:1" ht="12.75">
      <c r="A46459" s="2" t="s">
        <v>448</v>
      </c>
    </row>
    <row r="46460" spans="1:1" ht="12.75">
      <c r="A46460" s="2" t="s">
        <v>448</v>
      </c>
    </row>
    <row r="46461" spans="1:1" ht="12.75">
      <c r="A46461" s="2" t="s">
        <v>448</v>
      </c>
    </row>
    <row r="46462" spans="1:1" ht="12.75">
      <c r="A46462" s="2" t="s">
        <v>447</v>
      </c>
    </row>
    <row r="46463" spans="1:1" ht="12.75">
      <c r="A46463" s="2" t="s">
        <v>447</v>
      </c>
    </row>
    <row r="46464" spans="1:1" ht="12.75">
      <c r="A46464" s="2" t="s">
        <v>447</v>
      </c>
    </row>
    <row r="46465" spans="1:1" ht="12.75">
      <c r="A46465" s="2" t="s">
        <v>452</v>
      </c>
    </row>
    <row r="46466" spans="1:1" ht="12.75">
      <c r="A46466" s="2" t="s">
        <v>452</v>
      </c>
    </row>
    <row r="46467" spans="1:1" ht="12.75">
      <c r="A46467" s="2" t="s">
        <v>1384</v>
      </c>
    </row>
    <row r="46468" spans="1:1" ht="12.75">
      <c r="A46468" s="2" t="s">
        <v>1384</v>
      </c>
    </row>
    <row r="46469" spans="1:1" ht="12.75">
      <c r="A46469" s="2" t="s">
        <v>1384</v>
      </c>
    </row>
    <row r="46470" spans="1:1" ht="12.75">
      <c r="A46470" s="2" t="s">
        <v>1384</v>
      </c>
    </row>
    <row r="46471" spans="1:1" ht="12.75">
      <c r="A46471" s="2" t="s">
        <v>623</v>
      </c>
    </row>
    <row r="46472" spans="1:1" ht="12.75">
      <c r="A46472" s="2" t="s">
        <v>623</v>
      </c>
    </row>
    <row r="46473" spans="1:1" ht="12.75">
      <c r="A46473" s="2" t="s">
        <v>452</v>
      </c>
    </row>
    <row r="46475" spans="1:1" ht="12.75">
      <c r="A46475" s="2" t="s">
        <v>452</v>
      </c>
    </row>
    <row r="46476" spans="1:1" ht="12.75">
      <c r="A46476" s="2" t="s">
        <v>452</v>
      </c>
    </row>
    <row r="46477" spans="1:1" ht="12.75">
      <c r="A46477" s="2" t="s">
        <v>404</v>
      </c>
    </row>
    <row r="46478" spans="1:1" ht="12.75">
      <c r="A46478" s="2" t="s">
        <v>404</v>
      </c>
    </row>
    <row r="46479" spans="1:1" ht="12.75">
      <c r="A46479" s="2" t="s">
        <v>404</v>
      </c>
    </row>
    <row r="46480" spans="1:1" ht="12.75">
      <c r="A46480" s="2" t="s">
        <v>404</v>
      </c>
    </row>
    <row r="46481" spans="1:1" ht="12.75">
      <c r="A46481" s="2" t="s">
        <v>434</v>
      </c>
    </row>
    <row r="46482" spans="1:1" ht="12.75">
      <c r="A46482" s="2" t="s">
        <v>479</v>
      </c>
    </row>
    <row r="46483" spans="1:1" ht="12.75">
      <c r="A46483" s="2" t="s">
        <v>479</v>
      </c>
    </row>
    <row r="46484" spans="1:1" ht="12.75">
      <c r="A46484" s="2" t="s">
        <v>435</v>
      </c>
    </row>
    <row r="46485" spans="1:1" ht="12.75">
      <c r="A46485" s="2" t="s">
        <v>435</v>
      </c>
    </row>
    <row r="46486" spans="1:1" ht="12.75">
      <c r="A46486" s="2" t="s">
        <v>434</v>
      </c>
    </row>
    <row r="46487" spans="1:1" ht="12.75">
      <c r="A46487" s="2" t="s">
        <v>435</v>
      </c>
    </row>
    <row r="46488" spans="1:1" ht="12.75">
      <c r="A46488" s="2" t="s">
        <v>435</v>
      </c>
    </row>
    <row r="46489" spans="1:1" ht="12.75">
      <c r="A46489" s="2" t="s">
        <v>479</v>
      </c>
    </row>
    <row r="46490" spans="1:1" ht="12.75">
      <c r="A46490" s="2" t="s">
        <v>434</v>
      </c>
    </row>
    <row r="46491" spans="1:1" ht="12.75">
      <c r="A46491" s="2" t="s">
        <v>1616</v>
      </c>
    </row>
    <row r="46492" spans="1:1" ht="12.75">
      <c r="A46492" s="2" t="s">
        <v>856</v>
      </c>
    </row>
    <row r="46493" spans="1:1" ht="12.75">
      <c r="A46493" s="2" t="s">
        <v>855</v>
      </c>
    </row>
    <row r="46495" spans="1:1" ht="12.75">
      <c r="A46495" s="2" t="s">
        <v>856</v>
      </c>
    </row>
    <row r="46496" spans="1:1" ht="12.75">
      <c r="A46496" s="2" t="s">
        <v>834</v>
      </c>
    </row>
    <row r="46501" spans="1:1" ht="12.75">
      <c r="A46501" s="2" t="s">
        <v>1179</v>
      </c>
    </row>
    <row r="46502" spans="1:1" ht="12.75">
      <c r="A46502" s="2" t="s">
        <v>1179</v>
      </c>
    </row>
    <row r="46503" spans="1:1" ht="12.75">
      <c r="A46503" s="2" t="s">
        <v>836</v>
      </c>
    </row>
    <row r="46504" spans="1:1" ht="12.75">
      <c r="A46504" s="2" t="s">
        <v>854</v>
      </c>
    </row>
    <row r="46505" spans="1:1" ht="12.75">
      <c r="A46505" s="2" t="s">
        <v>854</v>
      </c>
    </row>
    <row r="46506" spans="1:1" ht="12.75">
      <c r="A46506" s="2" t="s">
        <v>819</v>
      </c>
    </row>
    <row r="46507" spans="1:1" ht="12.75">
      <c r="A46507" s="2" t="s">
        <v>819</v>
      </c>
    </row>
    <row r="46508" spans="1:1" ht="12.75">
      <c r="A46508" s="2" t="s">
        <v>829</v>
      </c>
    </row>
    <row r="46509" spans="1:1" ht="12.75">
      <c r="A46509" s="2" t="s">
        <v>1182</v>
      </c>
    </row>
    <row r="46510" spans="1:1" ht="12.75">
      <c r="A46510" s="2" t="s">
        <v>820</v>
      </c>
    </row>
    <row r="46511" spans="1:1" ht="12.75">
      <c r="A46511" s="2" t="s">
        <v>820</v>
      </c>
    </row>
    <row r="46512" spans="1:1" ht="12.75">
      <c r="A46512" s="2" t="s">
        <v>1179</v>
      </c>
    </row>
    <row r="46513" spans="1:1" ht="12.75">
      <c r="A46513" s="2" t="s">
        <v>1179</v>
      </c>
    </row>
    <row r="46514" spans="1:1" ht="12.75">
      <c r="A46514" s="2" t="s">
        <v>836</v>
      </c>
    </row>
    <row r="46515" spans="1:1" ht="12.75">
      <c r="A46515" s="2" t="s">
        <v>854</v>
      </c>
    </row>
    <row r="46516" spans="1:1" ht="12.75">
      <c r="A46516" s="2" t="s">
        <v>854</v>
      </c>
    </row>
    <row r="46517" spans="1:1" ht="12.75">
      <c r="A46517" s="2" t="s">
        <v>825</v>
      </c>
    </row>
    <row r="46518" spans="1:1" ht="12.75">
      <c r="A46518" s="2" t="s">
        <v>1617</v>
      </c>
    </row>
    <row r="46519" spans="1:1" ht="12.75">
      <c r="A46519" s="2" t="s">
        <v>1179</v>
      </c>
    </row>
    <row r="46520" spans="1:1" ht="12.75">
      <c r="A46520" s="2" t="s">
        <v>1179</v>
      </c>
    </row>
    <row r="46521" spans="1:1" ht="12.75">
      <c r="A46521" s="2" t="s">
        <v>836</v>
      </c>
    </row>
    <row r="46522" spans="1:1" ht="12.75">
      <c r="A46522" s="2" t="s">
        <v>829</v>
      </c>
    </row>
    <row r="46523" spans="1:1" ht="12.75">
      <c r="A46523" s="2" t="s">
        <v>829</v>
      </c>
    </row>
    <row r="46524" spans="1:1" ht="12.75">
      <c r="A46524" s="2" t="s">
        <v>829</v>
      </c>
    </row>
    <row r="46525" spans="1:1" ht="12.75">
      <c r="A46525" s="2" t="s">
        <v>829</v>
      </c>
    </row>
    <row r="46526" spans="1:1" ht="12.75">
      <c r="A46526" s="2" t="s">
        <v>1432</v>
      </c>
    </row>
    <row r="46527" spans="1:1" ht="12.75">
      <c r="A46527" s="2" t="s">
        <v>1432</v>
      </c>
    </row>
    <row r="46528" spans="1:1" ht="12.75">
      <c r="A46528" s="2" t="s">
        <v>825</v>
      </c>
    </row>
    <row r="46529" spans="1:1" ht="12.75">
      <c r="A46529" s="2" t="s">
        <v>1432</v>
      </c>
    </row>
    <row r="46530" spans="1:1" ht="12.75">
      <c r="A46530" s="2" t="s">
        <v>820</v>
      </c>
    </row>
    <row r="46531" spans="1:1" ht="12.75">
      <c r="A46531" s="2" t="s">
        <v>836</v>
      </c>
    </row>
    <row r="46532" spans="1:1" ht="12.75">
      <c r="A46532" s="2" t="s">
        <v>1179</v>
      </c>
    </row>
    <row r="46533" spans="1:1" ht="12.75">
      <c r="A46533" s="2" t="s">
        <v>854</v>
      </c>
    </row>
    <row r="46534" spans="1:1" ht="12.75">
      <c r="A46534" s="2" t="s">
        <v>820</v>
      </c>
    </row>
    <row r="46535" spans="1:1" ht="12.75">
      <c r="A46535" s="2" t="s">
        <v>820</v>
      </c>
    </row>
    <row r="46536" spans="1:1" ht="12.75">
      <c r="A46536" s="2" t="s">
        <v>825</v>
      </c>
    </row>
    <row r="46537" spans="1:1" ht="12.75">
      <c r="A46537" s="2" t="s">
        <v>825</v>
      </c>
    </row>
    <row r="46538" spans="1:1" ht="12.75">
      <c r="A46538" s="2" t="s">
        <v>820</v>
      </c>
    </row>
    <row r="46539" spans="1:1" ht="12.75">
      <c r="A46539" s="2" t="s">
        <v>820</v>
      </c>
    </row>
    <row r="46540" spans="1:1" ht="12.75">
      <c r="A46540" s="2" t="s">
        <v>920</v>
      </c>
    </row>
    <row r="46541" spans="1:1" ht="12.75">
      <c r="A46541" s="2" t="s">
        <v>920</v>
      </c>
    </row>
    <row r="46542" spans="1:1" ht="12.75">
      <c r="A46542" s="2" t="s">
        <v>829</v>
      </c>
    </row>
    <row r="46543" spans="1:1" ht="12.75">
      <c r="A46543" s="2" t="s">
        <v>920</v>
      </c>
    </row>
    <row r="46544" spans="1:1" ht="12.75">
      <c r="A46544" s="2" t="s">
        <v>836</v>
      </c>
    </row>
    <row r="46545" spans="1:1" ht="12.75">
      <c r="A46545" s="2" t="s">
        <v>921</v>
      </c>
    </row>
    <row r="46546" spans="1:1" ht="12.75">
      <c r="A46546" s="2" t="s">
        <v>1431</v>
      </c>
    </row>
    <row r="46547" spans="1:1" ht="12.75">
      <c r="A46547" s="2" t="s">
        <v>825</v>
      </c>
    </row>
    <row r="46548" spans="1:1" ht="12.75">
      <c r="A46548" s="2" t="s">
        <v>825</v>
      </c>
    </row>
    <row r="46549" spans="1:1" ht="12.75">
      <c r="A46549" s="2" t="s">
        <v>857</v>
      </c>
    </row>
    <row r="46550" spans="1:1" ht="12.75">
      <c r="A46550" s="2" t="s">
        <v>1432</v>
      </c>
    </row>
    <row r="46551" spans="1:1" ht="12.75">
      <c r="A46551" s="2" t="s">
        <v>820</v>
      </c>
    </row>
    <row r="46552" spans="1:1" ht="12.75">
      <c r="A46552" s="2" t="s">
        <v>820</v>
      </c>
    </row>
    <row r="46553" spans="1:1" ht="12.75">
      <c r="A46553" s="2" t="s">
        <v>821</v>
      </c>
    </row>
    <row r="46554" spans="1:1" ht="12.75">
      <c r="A46554" s="2" t="s">
        <v>921</v>
      </c>
    </row>
    <row r="46555" spans="1:1" ht="12.75">
      <c r="A46555" s="2" t="s">
        <v>857</v>
      </c>
    </row>
    <row r="46556" spans="1:1" ht="12.75">
      <c r="A46556" s="2" t="s">
        <v>1432</v>
      </c>
    </row>
    <row r="46557" spans="1:1" ht="12.75">
      <c r="A46557" s="2" t="s">
        <v>825</v>
      </c>
    </row>
    <row r="46558" spans="1:1" ht="12.75">
      <c r="A46558" s="2" t="s">
        <v>825</v>
      </c>
    </row>
    <row r="46559" spans="1:1" ht="12.75">
      <c r="A46559" s="2" t="s">
        <v>820</v>
      </c>
    </row>
    <row r="46560" spans="1:1" ht="12.75">
      <c r="A46560" s="2" t="s">
        <v>820</v>
      </c>
    </row>
    <row r="46561" spans="1:1" ht="12.75">
      <c r="A46561" s="2" t="s">
        <v>836</v>
      </c>
    </row>
    <row r="46562" spans="1:1" ht="12.75">
      <c r="A46562" s="2" t="s">
        <v>857</v>
      </c>
    </row>
    <row r="46563" spans="1:1" ht="12.75">
      <c r="A46563" s="2" t="s">
        <v>1432</v>
      </c>
    </row>
    <row r="46564" spans="1:1" ht="12.75">
      <c r="A46564" s="2" t="s">
        <v>837</v>
      </c>
    </row>
    <row r="46565" spans="1:1" ht="12.75">
      <c r="A46565" s="2" t="s">
        <v>837</v>
      </c>
    </row>
    <row r="46566" spans="1:1" ht="12.75">
      <c r="A46566" s="2" t="s">
        <v>821</v>
      </c>
    </row>
    <row r="46568" spans="1:1" ht="12.75">
      <c r="A46568" s="2" t="s">
        <v>820</v>
      </c>
    </row>
    <row r="46569" spans="1:1" ht="12.75">
      <c r="A46569" s="2" t="s">
        <v>857</v>
      </c>
    </row>
    <row r="46570" spans="1:1" ht="12.75">
      <c r="A46570" s="2" t="s">
        <v>836</v>
      </c>
    </row>
    <row r="46572" spans="1:1" ht="12.75">
      <c r="A46572" s="2" t="s">
        <v>825</v>
      </c>
    </row>
    <row r="46573" spans="1:1" ht="12.75">
      <c r="A46573" s="2" t="s">
        <v>446</v>
      </c>
    </row>
    <row r="46574" spans="1:1" ht="12.75">
      <c r="A46574" s="2" t="s">
        <v>446</v>
      </c>
    </row>
    <row r="46575" spans="1:1" ht="12.75">
      <c r="A46575" s="2" t="s">
        <v>446</v>
      </c>
    </row>
    <row r="46576" spans="1:1" ht="12.75">
      <c r="A46576" s="2" t="s">
        <v>446</v>
      </c>
    </row>
    <row r="46577" spans="1:1" ht="12.75">
      <c r="A46577" s="2" t="s">
        <v>446</v>
      </c>
    </row>
    <row r="46578" spans="1:1" ht="12.75">
      <c r="A46578" s="2" t="s">
        <v>446</v>
      </c>
    </row>
    <row r="46579" spans="1:1" ht="12.75">
      <c r="A46579" s="2" t="s">
        <v>446</v>
      </c>
    </row>
    <row r="46580" spans="1:1" ht="12.75">
      <c r="A46580" s="2" t="s">
        <v>446</v>
      </c>
    </row>
    <row r="46581" spans="1:1" ht="12.75">
      <c r="A46581" s="2" t="s">
        <v>447</v>
      </c>
    </row>
    <row r="46582" spans="1:1" ht="12.75">
      <c r="A46582" s="2" t="s">
        <v>447</v>
      </c>
    </row>
    <row r="46583" spans="1:1" ht="12.75">
      <c r="A46583" s="2" t="s">
        <v>447</v>
      </c>
    </row>
    <row r="46584" spans="1:1" ht="12.75">
      <c r="A46584" s="2" t="s">
        <v>447</v>
      </c>
    </row>
    <row r="46585" spans="1:1" ht="12.75">
      <c r="A46585" s="2" t="s">
        <v>448</v>
      </c>
    </row>
    <row r="46586" spans="1:1" ht="12.75">
      <c r="A46586" s="2" t="s">
        <v>447</v>
      </c>
    </row>
    <row r="46587" spans="1:1" ht="12.75">
      <c r="A46587" s="2" t="s">
        <v>473</v>
      </c>
    </row>
    <row r="46588" spans="1:1" ht="12.75">
      <c r="A46588" s="2" t="s">
        <v>448</v>
      </c>
    </row>
    <row r="46589" spans="1:1" ht="12.75">
      <c r="A46589" s="2" t="s">
        <v>473</v>
      </c>
    </row>
    <row r="46590" spans="1:1" ht="12.75">
      <c r="A46590" s="2" t="s">
        <v>473</v>
      </c>
    </row>
    <row r="46591" spans="1:1" ht="12.75">
      <c r="A46591" s="2" t="s">
        <v>473</v>
      </c>
    </row>
    <row r="46592" spans="1:1" ht="12.75">
      <c r="A46592" s="2" t="s">
        <v>473</v>
      </c>
    </row>
    <row r="46593" spans="1:1" ht="12.75">
      <c r="A46593" s="2" t="s">
        <v>450</v>
      </c>
    </row>
    <row r="46594" spans="1:1" ht="12.75">
      <c r="A46594" s="2" t="s">
        <v>473</v>
      </c>
    </row>
    <row r="46595" spans="1:1" ht="12.75">
      <c r="A46595" s="2" t="s">
        <v>450</v>
      </c>
    </row>
    <row r="46596" spans="1:1" ht="12.75">
      <c r="A46596" s="2" t="s">
        <v>450</v>
      </c>
    </row>
    <row r="46597" spans="1:1" ht="12.75">
      <c r="A46597" s="2" t="s">
        <v>446</v>
      </c>
    </row>
    <row r="46598" spans="1:1" ht="12.75">
      <c r="A46598" s="2" t="s">
        <v>450</v>
      </c>
    </row>
    <row r="46599" spans="1:1" ht="12.75">
      <c r="A46599" s="2" t="s">
        <v>446</v>
      </c>
    </row>
    <row r="46600" spans="1:1" ht="12.75">
      <c r="A46600" s="2" t="s">
        <v>446</v>
      </c>
    </row>
    <row r="46601" spans="1:1" ht="12.75">
      <c r="A46601" s="2" t="s">
        <v>1618</v>
      </c>
    </row>
    <row r="46602" spans="1:1" ht="12.75">
      <c r="A46602" s="2" t="s">
        <v>446</v>
      </c>
    </row>
    <row r="46603" spans="1:1" ht="12.75">
      <c r="A46603" s="2" t="s">
        <v>447</v>
      </c>
    </row>
    <row r="46604" spans="1:1" ht="12.75">
      <c r="A46604" s="2" t="s">
        <v>447</v>
      </c>
    </row>
    <row r="46605" spans="1:1" ht="12.75">
      <c r="A46605" s="2" t="s">
        <v>473</v>
      </c>
    </row>
    <row r="46606" spans="1:1" ht="12.75">
      <c r="A46606" s="2" t="s">
        <v>473</v>
      </c>
    </row>
    <row r="46607" spans="1:1" ht="12.75">
      <c r="A46607" s="2" t="s">
        <v>450</v>
      </c>
    </row>
    <row r="46608" spans="1:1" ht="12.75">
      <c r="A46608" s="2" t="s">
        <v>450</v>
      </c>
    </row>
    <row r="46609" spans="1:1" ht="12.75">
      <c r="A46609" s="2" t="s">
        <v>448</v>
      </c>
    </row>
    <row r="46610" spans="1:1" ht="12.75">
      <c r="A46610" s="2" t="s">
        <v>448</v>
      </c>
    </row>
    <row r="46611" spans="1:1" ht="12.75">
      <c r="A46611" s="2" t="s">
        <v>446</v>
      </c>
    </row>
    <row r="46612" spans="1:1" ht="12.75">
      <c r="A46612" s="2" t="s">
        <v>446</v>
      </c>
    </row>
    <row r="46613" spans="1:1" ht="12.75">
      <c r="A46613" s="2" t="s">
        <v>446</v>
      </c>
    </row>
    <row r="46614" spans="1:1" ht="12.75">
      <c r="A46614" s="2" t="s">
        <v>446</v>
      </c>
    </row>
    <row r="46615" spans="1:1" ht="12.75">
      <c r="A46615" s="2" t="s">
        <v>447</v>
      </c>
    </row>
    <row r="46616" spans="1:1" ht="12.75">
      <c r="A46616" s="2" t="s">
        <v>446</v>
      </c>
    </row>
    <row r="46617" spans="1:1" ht="12.75">
      <c r="A46617" s="2" t="s">
        <v>447</v>
      </c>
    </row>
    <row r="46618" spans="1:1" ht="12.75">
      <c r="A46618" s="2" t="s">
        <v>447</v>
      </c>
    </row>
    <row r="46619" spans="1:1" ht="12.75">
      <c r="A46619" s="2" t="s">
        <v>448</v>
      </c>
    </row>
    <row r="46620" spans="1:1" ht="12.75">
      <c r="A46620" s="2" t="s">
        <v>448</v>
      </c>
    </row>
    <row r="46621" spans="1:1" ht="12.75">
      <c r="A46621" s="2" t="s">
        <v>473</v>
      </c>
    </row>
    <row r="46622" spans="1:1" ht="12.75">
      <c r="A46622" s="2" t="s">
        <v>473</v>
      </c>
    </row>
    <row r="46623" spans="1:1" ht="12.75">
      <c r="A46623" s="2" t="s">
        <v>404</v>
      </c>
    </row>
    <row r="46624" spans="1:1" ht="12.75">
      <c r="A46624" s="2" t="s">
        <v>404</v>
      </c>
    </row>
    <row r="46625" spans="1:1" ht="12.75">
      <c r="A46625" s="2" t="s">
        <v>404</v>
      </c>
    </row>
    <row r="46626" spans="1:1" ht="12.75">
      <c r="A46626" s="2" t="s">
        <v>404</v>
      </c>
    </row>
    <row r="46627" spans="1:1" ht="12.75">
      <c r="A46627" s="2" t="s">
        <v>449</v>
      </c>
    </row>
    <row r="46628" spans="1:1" ht="12.75">
      <c r="A46628" s="2" t="s">
        <v>449</v>
      </c>
    </row>
    <row r="46629" spans="1:1" ht="12.75">
      <c r="A46629" s="2" t="s">
        <v>452</v>
      </c>
    </row>
    <row r="46630" spans="1:1" ht="12.75">
      <c r="A46630" s="2" t="s">
        <v>452</v>
      </c>
    </row>
    <row r="46631" spans="1:1" ht="12.75">
      <c r="A46631" s="2" t="s">
        <v>916</v>
      </c>
    </row>
    <row r="46632" spans="1:1" ht="12.75">
      <c r="A46632" s="2" t="s">
        <v>916</v>
      </c>
    </row>
    <row r="46633" spans="1:1" ht="12.75">
      <c r="A46633" s="2" t="s">
        <v>817</v>
      </c>
    </row>
    <row r="46634" spans="1:1" ht="12.75">
      <c r="A46634" s="2" t="s">
        <v>817</v>
      </c>
    </row>
    <row r="46635" spans="1:1" ht="12.75">
      <c r="A46635" s="2" t="s">
        <v>817</v>
      </c>
    </row>
    <row r="46636" spans="1:1" ht="12.75">
      <c r="A46636" s="2" t="s">
        <v>817</v>
      </c>
    </row>
    <row r="46637" spans="1:1" ht="12.75">
      <c r="A46637" s="2" t="s">
        <v>914</v>
      </c>
    </row>
    <row r="46638" spans="1:1" ht="12.75">
      <c r="A46638" s="2" t="s">
        <v>914</v>
      </c>
    </row>
    <row r="46639" spans="1:1" ht="12.75">
      <c r="A46639" s="2" t="s">
        <v>916</v>
      </c>
    </row>
    <row r="46640" spans="1:1" ht="12.75">
      <c r="A46640" s="2" t="s">
        <v>916</v>
      </c>
    </row>
    <row r="46641" spans="1:1" ht="12.75">
      <c r="A46641" s="2" t="s">
        <v>914</v>
      </c>
    </row>
    <row r="46642" spans="1:1" ht="12.75">
      <c r="A46642" s="2" t="s">
        <v>914</v>
      </c>
    </row>
    <row r="46643" spans="1:1" ht="12.75">
      <c r="A46643" s="2" t="s">
        <v>914</v>
      </c>
    </row>
    <row r="46644" spans="1:1" ht="12.75">
      <c r="A46644" s="2" t="s">
        <v>914</v>
      </c>
    </row>
    <row r="46645" spans="1:1" ht="12.75">
      <c r="A46645" s="2" t="s">
        <v>914</v>
      </c>
    </row>
    <row r="46646" spans="1:1" ht="12.75">
      <c r="A46646" s="2" t="s">
        <v>914</v>
      </c>
    </row>
    <row r="46647" spans="1:1" ht="12.75">
      <c r="A46647" s="2" t="s">
        <v>477</v>
      </c>
    </row>
    <row r="46648" spans="1:1" ht="12.75">
      <c r="A46648" s="2" t="s">
        <v>477</v>
      </c>
    </row>
    <row r="46649" spans="1:1" ht="12.75">
      <c r="A46649" s="2" t="s">
        <v>452</v>
      </c>
    </row>
    <row r="46650" spans="1:1" ht="12.75">
      <c r="A46650" s="2" t="s">
        <v>452</v>
      </c>
    </row>
    <row r="46651" spans="1:1" ht="12.75">
      <c r="A46651" s="2" t="s">
        <v>452</v>
      </c>
    </row>
    <row r="46652" spans="1:1" ht="12.75">
      <c r="A46652" s="2" t="s">
        <v>914</v>
      </c>
    </row>
    <row r="46661" spans="1:1" ht="12.75">
      <c r="A46661" s="2" t="s">
        <v>446</v>
      </c>
    </row>
    <row r="46753" spans="1:1" ht="12.75">
      <c r="A46753" s="2" t="s">
        <v>437</v>
      </c>
    </row>
    <row r="46754" spans="1:1" ht="12.75">
      <c r="A46754" s="2" t="s">
        <v>437</v>
      </c>
    </row>
    <row r="46755" spans="1:1" ht="12.75">
      <c r="A46755" s="2" t="s">
        <v>816</v>
      </c>
    </row>
    <row r="46756" spans="1:1" ht="12.75">
      <c r="A46756" s="2" t="s">
        <v>437</v>
      </c>
    </row>
    <row r="46757" spans="1:1" ht="12.75">
      <c r="A46757" s="2" t="s">
        <v>466</v>
      </c>
    </row>
    <row r="46758" spans="1:1" ht="12.75">
      <c r="A46758" s="2" t="s">
        <v>466</v>
      </c>
    </row>
    <row r="46759" spans="1:1" ht="12.75">
      <c r="A46759" s="2" t="s">
        <v>466</v>
      </c>
    </row>
    <row r="46760" spans="1:1" ht="12.75">
      <c r="A46760" s="2" t="s">
        <v>466</v>
      </c>
    </row>
    <row r="46761" spans="1:1" ht="12.75">
      <c r="A46761" s="2" t="s">
        <v>466</v>
      </c>
    </row>
    <row r="46762" spans="1:1" ht="12.75">
      <c r="A46762" s="2" t="s">
        <v>466</v>
      </c>
    </row>
    <row r="46763" spans="1:1" ht="12.75">
      <c r="A46763" s="2" t="s">
        <v>466</v>
      </c>
    </row>
    <row r="46764" spans="1:1" ht="12.75">
      <c r="A46764" s="2" t="s">
        <v>466</v>
      </c>
    </row>
    <row r="46765" spans="1:1" ht="12.75">
      <c r="A46765" s="2" t="s">
        <v>449</v>
      </c>
    </row>
    <row r="46766" spans="1:1" ht="12.75">
      <c r="A46766" s="2" t="s">
        <v>449</v>
      </c>
    </row>
    <row r="46767" spans="1:1" ht="12.75">
      <c r="A46767" s="2" t="s">
        <v>452</v>
      </c>
    </row>
    <row r="46768" spans="1:1" ht="12.75">
      <c r="A46768" s="2" t="s">
        <v>452</v>
      </c>
    </row>
    <row r="46769" spans="1:1" ht="12.75">
      <c r="A46769" s="2" t="s">
        <v>914</v>
      </c>
    </row>
    <row r="46770" spans="1:1" ht="12.75">
      <c r="A46770" s="2" t="s">
        <v>914</v>
      </c>
    </row>
    <row r="46771" spans="1:1" ht="12.75">
      <c r="A46771" s="2" t="s">
        <v>437</v>
      </c>
    </row>
    <row r="46772" spans="1:1" ht="12.75">
      <c r="A46772" s="2" t="s">
        <v>437</v>
      </c>
    </row>
    <row r="46773" spans="1:1" ht="12.75">
      <c r="A46773" s="2" t="s">
        <v>437</v>
      </c>
    </row>
    <row r="46774" spans="1:1" ht="12.75">
      <c r="A46774" s="2" t="s">
        <v>437</v>
      </c>
    </row>
    <row r="46775" spans="1:1" ht="12.75">
      <c r="A46775" s="2" t="s">
        <v>452</v>
      </c>
    </row>
    <row r="46776" spans="1:1" ht="12.75">
      <c r="A46776" s="2" t="s">
        <v>1615</v>
      </c>
    </row>
    <row r="46777" spans="1:1" ht="12.75">
      <c r="A46777" s="2" t="s">
        <v>449</v>
      </c>
    </row>
    <row r="46778" spans="1:1" ht="12.75">
      <c r="A46778" s="2" t="s">
        <v>449</v>
      </c>
    </row>
    <row r="46779" spans="1:1" ht="12.75">
      <c r="A46779" s="2" t="s">
        <v>404</v>
      </c>
    </row>
    <row r="46780" spans="1:1" ht="12.75">
      <c r="A46780" s="2" t="s">
        <v>404</v>
      </c>
    </row>
    <row r="46781" spans="1:1" ht="12.75">
      <c r="A46781" s="2" t="s">
        <v>404</v>
      </c>
    </row>
    <row r="46782" spans="1:1" ht="12.75">
      <c r="A46782" s="2" t="s">
        <v>404</v>
      </c>
    </row>
    <row r="46783" spans="1:1" ht="12.75">
      <c r="A46783" s="2" t="s">
        <v>914</v>
      </c>
    </row>
    <row r="46784" spans="1:1" ht="12.75">
      <c r="A46784" s="2" t="s">
        <v>914</v>
      </c>
    </row>
    <row r="46785" spans="1:1" ht="12.75">
      <c r="A46785" s="2" t="s">
        <v>914</v>
      </c>
    </row>
    <row r="46786" spans="1:1" ht="12.75">
      <c r="A46786" s="2" t="s">
        <v>914</v>
      </c>
    </row>
    <row r="46787" spans="1:1" ht="12.75">
      <c r="A46787" s="2" t="s">
        <v>452</v>
      </c>
    </row>
    <row r="46788" spans="1:1" ht="12.75">
      <c r="A46788" s="2" t="s">
        <v>452</v>
      </c>
    </row>
    <row r="46789" spans="1:1" ht="12.75">
      <c r="A46789" s="2" t="s">
        <v>452</v>
      </c>
    </row>
    <row r="46790" spans="1:1" ht="12.75">
      <c r="A46790" s="2" t="s">
        <v>452</v>
      </c>
    </row>
    <row r="46791" spans="1:1" ht="12.75">
      <c r="A46791" s="2" t="s">
        <v>914</v>
      </c>
    </row>
    <row r="46792" spans="1:1" ht="12.75">
      <c r="A46792" s="2" t="s">
        <v>914</v>
      </c>
    </row>
    <row r="46793" spans="1:1" ht="12.75">
      <c r="A46793" s="2" t="s">
        <v>914</v>
      </c>
    </row>
    <row r="46794" spans="1:1" ht="12.75">
      <c r="A46794" s="2" t="s">
        <v>914</v>
      </c>
    </row>
    <row r="46795" spans="1:1" ht="12.75">
      <c r="A46795" s="2" t="s">
        <v>914</v>
      </c>
    </row>
    <row r="46796" spans="1:1" ht="12.75">
      <c r="A46796" s="2" t="s">
        <v>404</v>
      </c>
    </row>
    <row r="46797" spans="1:1" ht="12.75">
      <c r="A46797" s="2" t="s">
        <v>914</v>
      </c>
    </row>
    <row r="46798" spans="1:1" ht="12.75">
      <c r="A46798" s="2" t="s">
        <v>404</v>
      </c>
    </row>
    <row r="46799" spans="1:1" ht="12.75">
      <c r="A46799" s="2" t="s">
        <v>452</v>
      </c>
    </row>
    <row r="46800" spans="1:1" ht="12.75">
      <c r="A46800" s="2" t="s">
        <v>404</v>
      </c>
    </row>
    <row r="46801" spans="1:1" ht="12.75">
      <c r="A46801" s="2" t="s">
        <v>404</v>
      </c>
    </row>
    <row r="46802" spans="1:1" ht="12.75">
      <c r="A46802" s="2" t="s">
        <v>404</v>
      </c>
    </row>
    <row r="46803" spans="1:1" ht="12.75">
      <c r="A46803" s="2" t="s">
        <v>444</v>
      </c>
    </row>
    <row r="46804" spans="1:1" ht="12.75">
      <c r="A46804" s="2" t="s">
        <v>445</v>
      </c>
    </row>
    <row r="46805" spans="1:1" ht="12.75">
      <c r="A46805" s="2" t="s">
        <v>444</v>
      </c>
    </row>
    <row r="46806" spans="1:1" ht="12.75">
      <c r="A46806" s="2" t="s">
        <v>445</v>
      </c>
    </row>
    <row r="46808" spans="1:1" ht="12.75">
      <c r="A46808" s="2" t="s">
        <v>445</v>
      </c>
    </row>
    <row r="46809" spans="1:1" ht="12.75">
      <c r="A46809" s="2" t="s">
        <v>445</v>
      </c>
    </row>
    <row r="46810" spans="1:1" ht="12.75">
      <c r="A46810" s="2" t="s">
        <v>445</v>
      </c>
    </row>
    <row r="46811" spans="1:1" ht="12.75">
      <c r="A46811" s="2" t="s">
        <v>1619</v>
      </c>
    </row>
    <row r="46812" spans="1:1" ht="12.75">
      <c r="A46812" s="2" t="s">
        <v>445</v>
      </c>
    </row>
    <row r="46813" spans="1:1" ht="12.75">
      <c r="A46813" s="2" t="s">
        <v>1620</v>
      </c>
    </row>
    <row r="46814" spans="1:1" ht="12.75">
      <c r="A46814" s="2" t="s">
        <v>554</v>
      </c>
    </row>
    <row r="46832" spans="1:1" ht="12.75">
      <c r="A46832" s="2" t="s">
        <v>1621</v>
      </c>
    </row>
    <row r="46833" spans="1:1" ht="12.75">
      <c r="A46833" s="2" t="s">
        <v>434</v>
      </c>
    </row>
    <row r="46834" spans="1:1" ht="12.75">
      <c r="A46834" s="2" t="s">
        <v>434</v>
      </c>
    </row>
    <row r="46835" spans="1:1" ht="12.75">
      <c r="A46835" s="2" t="s">
        <v>479</v>
      </c>
    </row>
    <row r="46836" spans="1:1" ht="12.75">
      <c r="A46836" s="2" t="s">
        <v>479</v>
      </c>
    </row>
    <row r="46837" spans="1:1" ht="12.75">
      <c r="A46837" s="2" t="s">
        <v>1622</v>
      </c>
    </row>
    <row r="46838" spans="1:1" ht="12.75">
      <c r="A46838" s="2" t="s">
        <v>1623</v>
      </c>
    </row>
    <row r="46839" spans="1:1" ht="12.75">
      <c r="A46839" s="2" t="s">
        <v>465</v>
      </c>
    </row>
    <row r="46840" spans="1:1" ht="12.75">
      <c r="A46840" s="2" t="s">
        <v>463</v>
      </c>
    </row>
    <row r="46841" spans="1:1" ht="12.75">
      <c r="A46841" s="2" t="s">
        <v>435</v>
      </c>
    </row>
    <row r="46842" spans="1:1" ht="12.75">
      <c r="A46842" s="2" t="s">
        <v>435</v>
      </c>
    </row>
    <row r="46843" spans="1:1" ht="12.75">
      <c r="A46843" s="2" t="s">
        <v>1624</v>
      </c>
    </row>
    <row r="46844" spans="1:1" ht="12.75">
      <c r="A46844" s="2" t="s">
        <v>919</v>
      </c>
    </row>
    <row r="46845" spans="1:1" ht="12.75">
      <c r="A46845" s="2" t="s">
        <v>1625</v>
      </c>
    </row>
    <row r="46846" spans="1:1" ht="12.75">
      <c r="A46846" s="2" t="s">
        <v>919</v>
      </c>
    </row>
    <row r="46847" spans="1:1" ht="12.75">
      <c r="A46847" s="2" t="s">
        <v>919</v>
      </c>
    </row>
    <row r="46848" spans="1:1" ht="12.75">
      <c r="A46848" s="2" t="s">
        <v>919</v>
      </c>
    </row>
    <row r="46849" spans="1:1" ht="12.75">
      <c r="A46849" s="2" t="s">
        <v>1384</v>
      </c>
    </row>
    <row r="46850" spans="1:1" ht="12.75">
      <c r="A46850" s="2" t="s">
        <v>1384</v>
      </c>
    </row>
    <row r="46851" spans="1:1" ht="12.75">
      <c r="A46851" s="2" t="s">
        <v>1384</v>
      </c>
    </row>
    <row r="46852" spans="1:1" ht="12.75">
      <c r="A46852" s="2" t="s">
        <v>1384</v>
      </c>
    </row>
    <row r="46893" spans="1:1" ht="12.75">
      <c r="A46893" s="2" t="s">
        <v>482</v>
      </c>
    </row>
    <row r="46894" spans="1:1" ht="12.75">
      <c r="A46894" s="2" t="s">
        <v>554</v>
      </c>
    </row>
    <row r="46895" spans="1:1" ht="12.75">
      <c r="A46895" s="2" t="s">
        <v>554</v>
      </c>
    </row>
    <row r="46896" spans="1:1" ht="12.75">
      <c r="A46896" s="2" t="s">
        <v>482</v>
      </c>
    </row>
    <row r="46897" spans="1:1" ht="12.75">
      <c r="A46897" s="2" t="s">
        <v>909</v>
      </c>
    </row>
    <row r="46898" spans="1:1" ht="12.75">
      <c r="A46898" s="2" t="s">
        <v>909</v>
      </c>
    </row>
    <row r="46899" spans="1:1" ht="12.75">
      <c r="A46899" s="2" t="s">
        <v>910</v>
      </c>
    </row>
    <row r="46900" spans="1:1" ht="12.75">
      <c r="A46900" s="2" t="s">
        <v>485</v>
      </c>
    </row>
    <row r="46901" spans="1:1" ht="12.75">
      <c r="A46901" s="2" t="s">
        <v>482</v>
      </c>
    </row>
    <row r="46902" spans="1:1" ht="12.75">
      <c r="A46902" s="2" t="s">
        <v>706</v>
      </c>
    </row>
    <row r="46906" spans="1:1" ht="12.75">
      <c r="A46906" s="2" t="s">
        <v>1626</v>
      </c>
    </row>
    <row r="46910" spans="1:1" ht="12.75">
      <c r="A46910" s="2" t="s">
        <v>540</v>
      </c>
    </row>
    <row r="46912" spans="1:1" ht="12.75">
      <c r="A46912" s="2" t="s">
        <v>1627</v>
      </c>
    </row>
    <row r="46913" spans="1:1" ht="12.75">
      <c r="A46913" s="2" t="s">
        <v>1187</v>
      </c>
    </row>
    <row r="46938" spans="1:1" ht="12.75">
      <c r="A46938" s="2" t="s">
        <v>661</v>
      </c>
    </row>
    <row r="46939" spans="1:1" ht="12.75">
      <c r="A46939" s="2" t="s">
        <v>775</v>
      </c>
    </row>
    <row r="46940" spans="1:1" ht="12.75">
      <c r="A46940" s="2" t="s">
        <v>661</v>
      </c>
    </row>
    <row r="46941" spans="1:1" ht="12.75">
      <c r="A46941" s="2" t="s">
        <v>775</v>
      </c>
    </row>
    <row r="46942" spans="1:1" ht="12.75">
      <c r="A46942" s="2" t="s">
        <v>661</v>
      </c>
    </row>
    <row r="46943" spans="1:1" ht="12.75">
      <c r="A46943" s="2" t="s">
        <v>669</v>
      </c>
    </row>
    <row r="46944" spans="1:1" ht="12.75">
      <c r="A46944" s="2" t="s">
        <v>669</v>
      </c>
    </row>
    <row r="46945" spans="1:1" ht="12.75">
      <c r="A46945" s="2" t="s">
        <v>1628</v>
      </c>
    </row>
    <row r="46946" spans="1:1" ht="12.75">
      <c r="A46946" s="2" t="s">
        <v>669</v>
      </c>
    </row>
    <row r="46947" spans="1:1" ht="12.75">
      <c r="A46947" s="2" t="s">
        <v>775</v>
      </c>
    </row>
    <row r="46948" spans="1:1" ht="12.75">
      <c r="A46948" s="2" t="s">
        <v>669</v>
      </c>
    </row>
    <row r="46949" spans="1:1" ht="12.75">
      <c r="A46949" s="2" t="s">
        <v>669</v>
      </c>
    </row>
    <row r="46950" spans="1:1" ht="12.75">
      <c r="A46950" s="2" t="s">
        <v>997</v>
      </c>
    </row>
    <row r="46951" spans="1:1" ht="12.75">
      <c r="A46951" s="2" t="s">
        <v>1629</v>
      </c>
    </row>
    <row r="46952" spans="1:1" ht="12.75">
      <c r="A46952" s="2" t="s">
        <v>661</v>
      </c>
    </row>
    <row r="46953" spans="1:1" ht="12.75">
      <c r="A46953" s="2" t="s">
        <v>775</v>
      </c>
    </row>
    <row r="46954" spans="1:1" ht="12.75">
      <c r="A46954" s="2" t="s">
        <v>669</v>
      </c>
    </row>
    <row r="46955" spans="1:1" ht="12.75">
      <c r="A46955" s="2" t="s">
        <v>669</v>
      </c>
    </row>
    <row r="46956" spans="1:1" ht="12.75">
      <c r="A46956" s="2" t="s">
        <v>669</v>
      </c>
    </row>
    <row r="46957" spans="1:1" ht="12.75">
      <c r="A46957" s="2" t="s">
        <v>669</v>
      </c>
    </row>
    <row r="46966" spans="1:1" ht="12.75">
      <c r="A46966" s="2" t="s">
        <v>985</v>
      </c>
    </row>
    <row r="46967" spans="1:1" ht="12.75">
      <c r="A46967" s="2" t="s">
        <v>985</v>
      </c>
    </row>
    <row r="46968" spans="1:1" ht="12.75">
      <c r="A46968" s="2" t="s">
        <v>1630</v>
      </c>
    </row>
    <row r="46979" spans="1:1" ht="12.75">
      <c r="A46979" s="2" t="s">
        <v>361</v>
      </c>
    </row>
    <row r="46980" spans="1:1" ht="12.75">
      <c r="A46980" s="2" t="s">
        <v>1631</v>
      </c>
    </row>
    <row r="46981" spans="1:1" ht="12.75">
      <c r="A46981" s="2" t="s">
        <v>361</v>
      </c>
    </row>
    <row r="46987" spans="1:1" ht="12.75">
      <c r="A46987" s="2" t="s">
        <v>361</v>
      </c>
    </row>
    <row r="46988" spans="1:1" ht="12.75">
      <c r="A46988" s="2" t="s">
        <v>361</v>
      </c>
    </row>
    <row r="46989" spans="1:1" ht="12.75">
      <c r="A46989" s="2" t="s">
        <v>188</v>
      </c>
    </row>
    <row r="46990" spans="1:1" ht="12.75">
      <c r="A46990" s="2" t="s">
        <v>188</v>
      </c>
    </row>
    <row r="46991" spans="1:1" ht="12.75">
      <c r="A46991" s="2" t="s">
        <v>1632</v>
      </c>
    </row>
    <row r="46992" spans="1:1" ht="12.75">
      <c r="A46992" s="2" t="s">
        <v>1632</v>
      </c>
    </row>
    <row r="46993" spans="1:1" ht="12.75">
      <c r="A46993" s="2" t="s">
        <v>1545</v>
      </c>
    </row>
    <row r="46994" spans="1:1" ht="12.75">
      <c r="A46994" s="2" t="s">
        <v>1545</v>
      </c>
    </row>
    <row r="46995" spans="1:1" ht="12.75">
      <c r="A46995" s="2" t="s">
        <v>1448</v>
      </c>
    </row>
    <row r="46997" spans="1:1" ht="12.75">
      <c r="A46997" s="2">
        <v>19255</v>
      </c>
    </row>
    <row r="46998" spans="1:1" ht="12.75">
      <c r="A46998" s="2">
        <v>19255</v>
      </c>
    </row>
    <row r="46999" spans="1:1" ht="12.75">
      <c r="A46999" s="2" t="s">
        <v>1543</v>
      </c>
    </row>
    <row r="47000" spans="1:1" ht="12.75">
      <c r="A47000" s="2" t="s">
        <v>1453</v>
      </c>
    </row>
    <row r="47001" spans="1:1" ht="12.75">
      <c r="A47001" s="2" t="s">
        <v>1550</v>
      </c>
    </row>
    <row r="47002" spans="1:1" ht="12.75">
      <c r="A47002" s="2" t="s">
        <v>1550</v>
      </c>
    </row>
    <row r="47003" spans="1:1" ht="12.75">
      <c r="A47003" s="2" t="s">
        <v>1363</v>
      </c>
    </row>
    <row r="47004" spans="1:1" ht="12.75">
      <c r="A47004" s="2" t="s">
        <v>1363</v>
      </c>
    </row>
    <row r="47005" spans="1:1" ht="12.75">
      <c r="A47005" s="2" t="s">
        <v>1361</v>
      </c>
    </row>
    <row r="47006" spans="1:1" ht="12.75">
      <c r="A47006" s="2" t="s">
        <v>1361</v>
      </c>
    </row>
    <row r="47009" spans="1:1" ht="12.75">
      <c r="A47009" s="2" t="s">
        <v>1454</v>
      </c>
    </row>
    <row r="47010" spans="1:1" ht="12.75">
      <c r="A47010" s="2" t="s">
        <v>1459</v>
      </c>
    </row>
    <row r="47013" spans="1:1" ht="12.75">
      <c r="A47013" s="2" t="s">
        <v>1551</v>
      </c>
    </row>
    <row r="47014" spans="1:1" ht="12.75">
      <c r="A47014" s="2" t="s">
        <v>1551</v>
      </c>
    </row>
    <row r="47015" spans="1:1" ht="12.75">
      <c r="A47015" s="2" t="s">
        <v>1541</v>
      </c>
    </row>
    <row r="47016" spans="1:1" ht="12.75">
      <c r="A47016" s="2" t="s">
        <v>1541</v>
      </c>
    </row>
    <row r="47017" spans="1:1" ht="12.75">
      <c r="A47017" s="2" t="s">
        <v>1633</v>
      </c>
    </row>
    <row r="47018" spans="1:1" ht="12.75">
      <c r="A47018" s="2" t="s">
        <v>1469</v>
      </c>
    </row>
    <row r="47023" spans="1:1" ht="12.75">
      <c r="A47023" s="2" t="s">
        <v>1472</v>
      </c>
    </row>
    <row r="47024" spans="1:1" ht="12.75">
      <c r="A47024" s="2" t="s">
        <v>1472</v>
      </c>
    </row>
    <row r="47025" spans="1:1" ht="12.75">
      <c r="A47025" s="2" t="s">
        <v>1634</v>
      </c>
    </row>
    <row r="47026" spans="1:1" ht="12.75">
      <c r="A47026" s="2">
        <v>8051</v>
      </c>
    </row>
    <row r="47027" spans="1:1" ht="12.75">
      <c r="A47027" s="2" t="s">
        <v>962</v>
      </c>
    </row>
    <row r="47028" spans="1:1" ht="12.75">
      <c r="A47028" s="2" t="s">
        <v>962</v>
      </c>
    </row>
    <row r="47029" spans="1:1" ht="12.75">
      <c r="A47029" s="2" t="s">
        <v>1635</v>
      </c>
    </row>
    <row r="47030" spans="1:1" ht="12.75">
      <c r="A47030" s="2" t="s">
        <v>1454</v>
      </c>
    </row>
    <row r="47031" spans="1:1" ht="12.75">
      <c r="A47031" s="2" t="s">
        <v>1636</v>
      </c>
    </row>
    <row r="47032" spans="1:1" ht="12.75">
      <c r="A47032" s="2" t="s">
        <v>1637</v>
      </c>
    </row>
    <row r="47033" spans="1:1" ht="12.75">
      <c r="A47033" s="2" t="s">
        <v>1453</v>
      </c>
    </row>
    <row r="47034" spans="1:1" ht="12.75">
      <c r="A47034" s="2" t="s">
        <v>1453</v>
      </c>
    </row>
    <row r="47035" spans="1:1" ht="12.75">
      <c r="A47035" s="2" t="s">
        <v>1467</v>
      </c>
    </row>
    <row r="47036" spans="1:1" ht="12.75">
      <c r="A47036" s="2" t="s">
        <v>1467</v>
      </c>
    </row>
    <row r="47037" spans="1:1" ht="12.75">
      <c r="A47037" s="2" t="s">
        <v>1542</v>
      </c>
    </row>
    <row r="47038" spans="1:1" ht="12.75">
      <c r="A47038" s="2" t="s">
        <v>1542</v>
      </c>
    </row>
    <row r="47039" spans="1:1" ht="12.75">
      <c r="A47039" s="2" t="s">
        <v>1542</v>
      </c>
    </row>
    <row r="47040" spans="1:1" ht="12.75">
      <c r="A47040" s="2" t="s">
        <v>1542</v>
      </c>
    </row>
    <row r="47041" spans="1:1" ht="12.75">
      <c r="A47041" s="2" t="s">
        <v>1551</v>
      </c>
    </row>
    <row r="47042" spans="1:1" ht="12.75">
      <c r="A47042" s="2" t="s">
        <v>1551</v>
      </c>
    </row>
    <row r="47043" spans="1:1" ht="12.75">
      <c r="A47043" s="2" t="s">
        <v>1546</v>
      </c>
    </row>
    <row r="47044" spans="1:1" ht="12.75">
      <c r="A47044" s="2" t="s">
        <v>1638</v>
      </c>
    </row>
    <row r="47046" spans="1:1" ht="12.75">
      <c r="A47046" s="2" t="s">
        <v>1472</v>
      </c>
    </row>
    <row r="47047" spans="1:1" ht="12.75">
      <c r="A47047" s="2" t="s">
        <v>1550</v>
      </c>
    </row>
    <row r="47048" spans="1:1" ht="12.75">
      <c r="A47048" s="2" t="s">
        <v>1639</v>
      </c>
    </row>
    <row r="47051" spans="1:1" ht="12.75">
      <c r="A47051" s="2" t="s">
        <v>1439</v>
      </c>
    </row>
    <row r="47052" spans="1:1" ht="12.75">
      <c r="A47052" s="2" t="s">
        <v>1439</v>
      </c>
    </row>
    <row r="47055" spans="1:1" ht="12.75">
      <c r="A47055" s="2" t="s">
        <v>1541</v>
      </c>
    </row>
    <row r="47056" spans="1:1" ht="12.75">
      <c r="A47056" s="2" t="s">
        <v>1541</v>
      </c>
    </row>
    <row r="47057" spans="1:1" ht="12.75">
      <c r="A47057" s="2" t="s">
        <v>1458</v>
      </c>
    </row>
    <row r="47058" spans="1:1" ht="12.75">
      <c r="A47058" s="2" t="s">
        <v>1458</v>
      </c>
    </row>
    <row r="47059" spans="1:1" ht="12.75">
      <c r="A47059" s="2" t="s">
        <v>1453</v>
      </c>
    </row>
    <row r="47060" spans="1:1" ht="12.75">
      <c r="A47060" s="2" t="s">
        <v>1568</v>
      </c>
    </row>
    <row r="47061" spans="1:1" ht="12.75">
      <c r="A47061" s="2" t="s">
        <v>1448</v>
      </c>
    </row>
    <row r="47062" spans="1:1" ht="12.75">
      <c r="A47062" s="2" t="s">
        <v>1448</v>
      </c>
    </row>
    <row r="47063" spans="1:1" ht="12.75">
      <c r="A47063" s="2" t="s">
        <v>1467</v>
      </c>
    </row>
    <row r="47064" spans="1:1" ht="12.75">
      <c r="A47064" s="2" t="s">
        <v>1467</v>
      </c>
    </row>
    <row r="47067" spans="1:1" ht="12.75">
      <c r="A47067" s="2" t="s">
        <v>1640</v>
      </c>
    </row>
    <row r="47068" spans="1:1" ht="12.75">
      <c r="A47068" s="2" t="s">
        <v>1640</v>
      </c>
    </row>
    <row r="47069" spans="1:1" ht="12.75">
      <c r="A47069" s="2" t="s">
        <v>1446</v>
      </c>
    </row>
    <row r="47070" spans="1:1" ht="12.75">
      <c r="A47070" s="2" t="s">
        <v>1446</v>
      </c>
    </row>
    <row r="47071" spans="1:1" ht="12.75">
      <c r="A47071" s="2" t="s">
        <v>1461</v>
      </c>
    </row>
    <row r="47072" spans="1:1" ht="12.75">
      <c r="A47072" s="2" t="s">
        <v>1641</v>
      </c>
    </row>
    <row r="47073" spans="1:1" ht="12.75">
      <c r="A47073" s="2" t="s">
        <v>1469</v>
      </c>
    </row>
    <row r="47074" spans="1:1" ht="12.75">
      <c r="A47074" s="2" t="s">
        <v>1469</v>
      </c>
    </row>
    <row r="47075" spans="1:1" ht="12.75">
      <c r="A47075" s="2" t="s">
        <v>1449</v>
      </c>
    </row>
    <row r="47076" spans="1:1" ht="12.75">
      <c r="A47076" s="2" t="s">
        <v>1449</v>
      </c>
    </row>
    <row r="47077" spans="1:1" ht="12.75">
      <c r="A47077" s="2" t="s">
        <v>1457</v>
      </c>
    </row>
    <row r="47078" spans="1:1" ht="12.75">
      <c r="A47078" s="2" t="s">
        <v>1457</v>
      </c>
    </row>
    <row r="47079" spans="1:1" ht="12.75">
      <c r="A47079" s="2" t="s">
        <v>1361</v>
      </c>
    </row>
    <row r="47080" spans="1:1" ht="12.75">
      <c r="A47080" s="2" t="s">
        <v>1361</v>
      </c>
    </row>
    <row r="47081" spans="1:1" ht="12.75">
      <c r="A47081" s="2" t="s">
        <v>1357</v>
      </c>
    </row>
    <row r="47082" spans="1:1" ht="12.75">
      <c r="A47082" s="2" t="s">
        <v>1357</v>
      </c>
    </row>
    <row r="47083" spans="1:1" ht="12.75">
      <c r="A47083" s="2" t="s">
        <v>1358</v>
      </c>
    </row>
    <row r="47084" spans="1:1" ht="12.75">
      <c r="A47084" s="2" t="s">
        <v>1358</v>
      </c>
    </row>
    <row r="47085" spans="1:1" ht="12.75">
      <c r="A47085" s="2" t="s">
        <v>1359</v>
      </c>
    </row>
    <row r="47086" spans="1:1" ht="12.75">
      <c r="A47086" s="2" t="s">
        <v>1359</v>
      </c>
    </row>
    <row r="47087" spans="1:1" ht="12.75">
      <c r="A47087" s="2" t="s">
        <v>1292</v>
      </c>
    </row>
    <row r="47088" spans="1:1" ht="12.75">
      <c r="A47088" s="2" t="s">
        <v>1292</v>
      </c>
    </row>
    <row r="47089" spans="1:1" ht="12.75">
      <c r="A47089" s="2" t="s">
        <v>1291</v>
      </c>
    </row>
    <row r="47090" spans="1:1" ht="12.75">
      <c r="A47090" s="2" t="s">
        <v>1291</v>
      </c>
    </row>
    <row r="47091" spans="1:1" ht="12.75">
      <c r="A47091" s="2" t="s">
        <v>957</v>
      </c>
    </row>
    <row r="47092" spans="1:1" ht="12.75">
      <c r="A47092" s="2" t="s">
        <v>957</v>
      </c>
    </row>
    <row r="47093" spans="1:1" ht="12.75">
      <c r="A47093" s="2" t="s">
        <v>1642</v>
      </c>
    </row>
    <row r="47094" spans="1:1" ht="12.75">
      <c r="A47094" s="2" t="s">
        <v>966</v>
      </c>
    </row>
    <row r="47095" spans="1:1" ht="12.75">
      <c r="A47095" s="2" t="s">
        <v>962</v>
      </c>
    </row>
    <row r="47096" spans="1:1" ht="12.75">
      <c r="A47096" s="2" t="s">
        <v>962</v>
      </c>
    </row>
    <row r="47097" spans="1:1" ht="12.75">
      <c r="A47097" s="2" t="s">
        <v>1142</v>
      </c>
    </row>
    <row r="47098" spans="1:1" ht="12.75">
      <c r="A47098" s="2" t="s">
        <v>1142</v>
      </c>
    </row>
    <row r="47099" spans="1:1" ht="12.75">
      <c r="A47099" s="2" t="s">
        <v>958</v>
      </c>
    </row>
    <row r="47100" spans="1:1" ht="12.75">
      <c r="A47100" s="2" t="s">
        <v>958</v>
      </c>
    </row>
    <row r="47101" spans="1:1" ht="12.75">
      <c r="A47101" s="2" t="s">
        <v>1144</v>
      </c>
    </row>
    <row r="47102" spans="1:1" ht="12.75">
      <c r="A47102" s="2" t="s">
        <v>1144</v>
      </c>
    </row>
    <row r="47103" spans="1:1" ht="12.75">
      <c r="A47103" s="2" t="s">
        <v>1256</v>
      </c>
    </row>
    <row r="47104" spans="1:1" ht="12.75">
      <c r="A47104" s="2" t="s">
        <v>1256</v>
      </c>
    </row>
    <row r="47105" spans="1:1" ht="12.75">
      <c r="A47105" s="2" t="s">
        <v>1443</v>
      </c>
    </row>
    <row r="47106" spans="1:1" ht="12.75">
      <c r="A47106" s="2" t="s">
        <v>1443</v>
      </c>
    </row>
    <row r="47107" spans="1:1" ht="12.75">
      <c r="A47107" s="2" t="s">
        <v>1559</v>
      </c>
    </row>
    <row r="47108" spans="1:1" ht="12.75">
      <c r="A47108" s="2" t="s">
        <v>1559</v>
      </c>
    </row>
    <row r="47113" spans="1:1" ht="12.75">
      <c r="A47113" s="2" t="s">
        <v>205</v>
      </c>
    </row>
    <row r="47114" spans="1:1" ht="12.75">
      <c r="A47114" s="2" t="s">
        <v>205</v>
      </c>
    </row>
    <row r="47115" spans="1:1" ht="12.75">
      <c r="A47115" s="2" t="s">
        <v>1454</v>
      </c>
    </row>
    <row r="47116" spans="1:1" ht="12.75">
      <c r="A47116" s="2" t="s">
        <v>1643</v>
      </c>
    </row>
    <row r="47117" spans="1:1" ht="12.75">
      <c r="A47117" s="2" t="s">
        <v>1552</v>
      </c>
    </row>
    <row r="47118" spans="1:1" ht="12.75">
      <c r="A47118" s="2" t="s">
        <v>1454</v>
      </c>
    </row>
    <row r="47119" spans="1:1" ht="12.75">
      <c r="A47119" s="2" t="s">
        <v>1469</v>
      </c>
    </row>
    <row r="47123" spans="1:1" ht="12.75">
      <c r="A47123" s="2" t="s">
        <v>1467</v>
      </c>
    </row>
    <row r="47124" spans="1:1" ht="12.75">
      <c r="A47124" s="2" t="s">
        <v>1467</v>
      </c>
    </row>
    <row r="47125" spans="1:1" ht="12.75">
      <c r="A47125" s="2" t="s">
        <v>1558</v>
      </c>
    </row>
    <row r="47126" spans="1:1" ht="12.75">
      <c r="A47126" s="2" t="s">
        <v>1644</v>
      </c>
    </row>
    <row r="47127" spans="1:1" ht="12.75">
      <c r="A47127" s="2" t="s">
        <v>1449</v>
      </c>
    </row>
    <row r="47128" spans="1:1" ht="12.75">
      <c r="A47128" s="2" t="s">
        <v>1449</v>
      </c>
    </row>
    <row r="47129" spans="1:1" ht="12.75">
      <c r="A47129" s="2" t="s">
        <v>1461</v>
      </c>
    </row>
    <row r="47130" spans="1:1" ht="12.75">
      <c r="A47130" s="2" t="s">
        <v>1572</v>
      </c>
    </row>
    <row r="47131" spans="1:1" ht="12.75">
      <c r="A47131" s="2" t="s">
        <v>1443</v>
      </c>
    </row>
    <row r="47132" spans="1:1" ht="12.75">
      <c r="A47132" s="2" t="s">
        <v>1443</v>
      </c>
    </row>
    <row r="47133" spans="1:1" ht="12.75">
      <c r="A47133" s="2" t="s">
        <v>1446</v>
      </c>
    </row>
    <row r="47135" spans="1:1" ht="12.75">
      <c r="A47135" s="2" t="s">
        <v>1256</v>
      </c>
    </row>
    <row r="47136" spans="1:1" ht="12.75">
      <c r="A47136" s="2" t="s">
        <v>1256</v>
      </c>
    </row>
    <row r="47137" spans="1:1" ht="12.75">
      <c r="A47137" s="2" t="s">
        <v>1144</v>
      </c>
    </row>
    <row r="47138" spans="1:1" ht="12.75">
      <c r="A47138" s="2" t="s">
        <v>1144</v>
      </c>
    </row>
    <row r="47141" spans="1:1" ht="12.75">
      <c r="A47141" s="2" t="s">
        <v>1142</v>
      </c>
    </row>
    <row r="47143" spans="1:1" ht="12.75">
      <c r="A47143" s="2" t="s">
        <v>962</v>
      </c>
    </row>
    <row r="47144" spans="1:1" ht="12.75">
      <c r="A47144" s="2" t="s">
        <v>962</v>
      </c>
    </row>
    <row r="47147" spans="1:1" ht="12.75">
      <c r="A47147" s="2" t="s">
        <v>708</v>
      </c>
    </row>
    <row r="47148" spans="1:1" ht="12.75">
      <c r="A47148" s="2" t="s">
        <v>708</v>
      </c>
    </row>
    <row r="47149" spans="1:1" ht="12.75">
      <c r="A47149" s="2" t="s">
        <v>957</v>
      </c>
    </row>
    <row r="47150" spans="1:1" ht="12.75">
      <c r="A47150" s="2" t="s">
        <v>957</v>
      </c>
    </row>
    <row r="47151" spans="1:1" ht="12.75">
      <c r="A47151" s="2" t="s">
        <v>1293</v>
      </c>
    </row>
    <row r="47152" spans="1:1" ht="12.75">
      <c r="A47152" s="2">
        <v>13800</v>
      </c>
    </row>
    <row r="47153" spans="1:1" ht="12.75">
      <c r="A47153" s="2" t="s">
        <v>1357</v>
      </c>
    </row>
    <row r="47154" spans="1:1" ht="12.75">
      <c r="A47154" s="2" t="s">
        <v>1357</v>
      </c>
    </row>
    <row r="47155" spans="1:1" ht="12.75">
      <c r="A47155" s="2" t="s">
        <v>1358</v>
      </c>
    </row>
    <row r="47156" spans="1:1" ht="12.75">
      <c r="A47156" s="2" t="s">
        <v>1645</v>
      </c>
    </row>
    <row r="47157" spans="1:1" ht="12.75">
      <c r="A47157" s="2" t="s">
        <v>1359</v>
      </c>
    </row>
    <row r="47158" spans="1:1" ht="12.75">
      <c r="A47158" s="2" t="s">
        <v>1359</v>
      </c>
    </row>
    <row r="47159" spans="1:1" ht="12.75">
      <c r="A47159" s="2" t="s">
        <v>1566</v>
      </c>
    </row>
    <row r="47160" spans="1:1" ht="12.75">
      <c r="A47160" s="2" t="s">
        <v>1566</v>
      </c>
    </row>
    <row r="47161" spans="1:1" ht="12.75">
      <c r="A47161" s="2" t="s">
        <v>1292</v>
      </c>
    </row>
    <row r="47162" spans="1:1" ht="12.75">
      <c r="A47162" s="2" t="s">
        <v>1292</v>
      </c>
    </row>
    <row r="47163" spans="1:1" ht="12.75">
      <c r="A47163" s="2" t="s">
        <v>1646</v>
      </c>
    </row>
    <row r="47164" spans="1:1" ht="12.75">
      <c r="A47164" s="2" t="s">
        <v>1291</v>
      </c>
    </row>
    <row r="47165" spans="1:1" ht="12.75">
      <c r="A47165" s="2" t="s">
        <v>1647</v>
      </c>
    </row>
    <row r="47166" spans="1:1" ht="12.75">
      <c r="A47166" s="2" t="s">
        <v>1648</v>
      </c>
    </row>
    <row r="47167" spans="1:1" ht="12.75">
      <c r="A47167" s="2" t="s">
        <v>1649</v>
      </c>
    </row>
    <row r="47168" spans="1:1" ht="12.75">
      <c r="A47168" s="2" t="s">
        <v>1469</v>
      </c>
    </row>
    <row r="47169" spans="1:1" ht="12.75">
      <c r="A47169" s="2" t="s">
        <v>1650</v>
      </c>
    </row>
    <row r="47170" spans="1:1" ht="12.75">
      <c r="A47170" s="2" t="s">
        <v>1457</v>
      </c>
    </row>
    <row r="47171" spans="1:1" ht="12.75">
      <c r="A47171" s="2" t="s">
        <v>1439</v>
      </c>
    </row>
    <row r="47172" spans="1:1" ht="12.75">
      <c r="A47172" s="2" t="s">
        <v>1439</v>
      </c>
    </row>
    <row r="47173" spans="1:1" ht="12.75">
      <c r="A47173" s="2" t="s">
        <v>1545</v>
      </c>
    </row>
    <row r="47174" spans="1:1" ht="12.75">
      <c r="A47174" s="2" t="s">
        <v>1545</v>
      </c>
    </row>
    <row r="47175" spans="1:1" ht="12.75">
      <c r="A47175" s="2" t="s">
        <v>1651</v>
      </c>
    </row>
    <row r="47176" spans="1:1" ht="12.75">
      <c r="A47176" s="2" t="s">
        <v>1651</v>
      </c>
    </row>
    <row r="47177" spans="1:1" ht="12.75">
      <c r="A47177" s="2" t="s">
        <v>1559</v>
      </c>
    </row>
    <row r="47178" spans="1:1" ht="12.75">
      <c r="A47178" s="2" t="s">
        <v>1559</v>
      </c>
    </row>
    <row r="47181" spans="1:1" ht="12.75">
      <c r="A47181" s="2" t="s">
        <v>1453</v>
      </c>
    </row>
    <row r="47182" spans="1:1" ht="12.75">
      <c r="A47182" s="2" t="s">
        <v>1453</v>
      </c>
    </row>
    <row r="47183" spans="1:1" ht="12.75">
      <c r="A47183" s="2" t="s">
        <v>1652</v>
      </c>
    </row>
    <row r="47184" spans="1:1" ht="12.75">
      <c r="A47184" s="2" t="s">
        <v>1458</v>
      </c>
    </row>
    <row r="47185" spans="1:1" ht="12.75">
      <c r="A47185" s="2" t="s">
        <v>1653</v>
      </c>
    </row>
    <row r="47186" spans="1:1" ht="12.75">
      <c r="A47186" s="2" t="s">
        <v>1653</v>
      </c>
    </row>
    <row r="47187" spans="1:1" ht="12.75">
      <c r="A47187" s="2" t="s">
        <v>1654</v>
      </c>
    </row>
    <row r="47188" spans="1:1" ht="12.75">
      <c r="A47188" s="2" t="s">
        <v>1448</v>
      </c>
    </row>
    <row r="47189" spans="1:1" ht="12.75">
      <c r="A47189" s="2" t="s">
        <v>1655</v>
      </c>
    </row>
    <row r="47190" spans="1:1" ht="12.75">
      <c r="A47190" s="2" t="s">
        <v>1472</v>
      </c>
    </row>
    <row r="47191" spans="1:1" ht="12.75">
      <c r="A47191" s="2" t="s">
        <v>188</v>
      </c>
    </row>
    <row r="47192" spans="1:1" ht="12.75">
      <c r="A47192" s="2" t="s">
        <v>763</v>
      </c>
    </row>
    <row r="47193" spans="1:1" ht="12.75">
      <c r="A47193" s="2" t="s">
        <v>763</v>
      </c>
    </row>
    <row r="47194" spans="1:1" ht="12.75">
      <c r="A47194" s="2" t="s">
        <v>1542</v>
      </c>
    </row>
    <row r="47195" spans="1:1" ht="12.75">
      <c r="A47195" s="2" t="s">
        <v>1656</v>
      </c>
    </row>
    <row r="47196" spans="1:1" ht="12.75">
      <c r="A47196" s="2" t="s">
        <v>1551</v>
      </c>
    </row>
    <row r="47197" spans="1:1" ht="12.75">
      <c r="A47197" s="2" t="s">
        <v>1551</v>
      </c>
    </row>
    <row r="47198" spans="1:1" ht="12.75">
      <c r="A47198" s="2" t="s">
        <v>205</v>
      </c>
    </row>
    <row r="47199" spans="1:1" ht="12.75">
      <c r="A47199" s="2" t="s">
        <v>205</v>
      </c>
    </row>
    <row r="47202" spans="1:1" ht="12.75">
      <c r="A47202" s="2" t="s">
        <v>1657</v>
      </c>
    </row>
    <row r="47203" spans="1:1" ht="12.75">
      <c r="A47203" s="2" t="s">
        <v>1657</v>
      </c>
    </row>
    <row r="47204" spans="1:1" ht="12.75">
      <c r="A47204" s="2" t="s">
        <v>1447</v>
      </c>
    </row>
    <row r="47205" spans="1:1" ht="12.75">
      <c r="A47205" s="2" t="s">
        <v>1447</v>
      </c>
    </row>
    <row r="47206" spans="1:1" ht="12.75">
      <c r="A47206" s="2" t="s">
        <v>1643</v>
      </c>
    </row>
    <row r="47207" spans="1:1" ht="12.75">
      <c r="A47207" s="2" t="s">
        <v>1658</v>
      </c>
    </row>
    <row r="47208" spans="1:1" ht="12.75">
      <c r="A47208" s="2" t="s">
        <v>1361</v>
      </c>
    </row>
    <row r="47209" spans="1:1" ht="12.75">
      <c r="A47209" s="2" t="s">
        <v>1361</v>
      </c>
    </row>
    <row r="47210" spans="1:1" ht="12.75">
      <c r="A47210" s="2" t="s">
        <v>961</v>
      </c>
    </row>
    <row r="47211" spans="1:1" ht="12.75">
      <c r="A47211" s="2" t="s">
        <v>961</v>
      </c>
    </row>
    <row r="47212" spans="1:1" ht="12.75">
      <c r="A47212" s="2" t="s">
        <v>205</v>
      </c>
    </row>
    <row r="47213" spans="1:1" ht="12.75">
      <c r="A47213" s="2" t="s">
        <v>205</v>
      </c>
    </row>
    <row r="47214" spans="1:1" ht="12.75">
      <c r="A47214" s="2" t="s">
        <v>1647</v>
      </c>
    </row>
    <row r="47215" spans="1:1" ht="12.75">
      <c r="A47215" s="2" t="s">
        <v>1647</v>
      </c>
    </row>
    <row r="47216" spans="1:1" ht="12.75">
      <c r="A47216" s="2" t="s">
        <v>1658</v>
      </c>
    </row>
    <row r="47217" spans="1:1" ht="12.75">
      <c r="A47217" s="2" t="s">
        <v>1643</v>
      </c>
    </row>
    <row r="47218" spans="1:1" ht="12.75">
      <c r="A47218" s="2" t="s">
        <v>1361</v>
      </c>
    </row>
    <row r="47219" spans="1:1" ht="12.75">
      <c r="A47219" s="2" t="s">
        <v>1361</v>
      </c>
    </row>
    <row r="47220" spans="1:1" ht="12.75">
      <c r="A47220" s="2" t="s">
        <v>1656</v>
      </c>
    </row>
    <row r="47221" spans="1:1" ht="12.75">
      <c r="A47221" s="2" t="s">
        <v>1542</v>
      </c>
    </row>
    <row r="47222" spans="1:1" ht="12.75">
      <c r="A47222" s="2" t="s">
        <v>1659</v>
      </c>
    </row>
    <row r="47223" spans="1:1" ht="12.75">
      <c r="A47223" s="2" t="s">
        <v>1659</v>
      </c>
    </row>
    <row r="47224" spans="1:1" ht="12.75">
      <c r="A47224" s="2" t="s">
        <v>1546</v>
      </c>
    </row>
    <row r="47225" spans="1:1" ht="12.75">
      <c r="A47225" s="2" t="s">
        <v>1546</v>
      </c>
    </row>
    <row r="47226" spans="1:1" ht="12.75">
      <c r="A47226" s="2" t="s">
        <v>1472</v>
      </c>
    </row>
    <row r="47227" spans="1:1" ht="12.75">
      <c r="A47227" s="2" t="s">
        <v>1472</v>
      </c>
    </row>
    <row r="47230" spans="1:1" ht="12.75">
      <c r="A47230" s="2" t="s">
        <v>1660</v>
      </c>
    </row>
    <row r="47231" spans="1:1" ht="12.75">
      <c r="A47231" s="2" t="s">
        <v>1660</v>
      </c>
    </row>
    <row r="47232" spans="1:1" ht="12.75">
      <c r="A47232" s="2" t="s">
        <v>1644</v>
      </c>
    </row>
    <row r="47233" spans="1:1" ht="12.75">
      <c r="A47233" s="2" t="s">
        <v>1558</v>
      </c>
    </row>
    <row r="47236" spans="1:1" ht="12.75">
      <c r="A47236" s="2" t="s">
        <v>1545</v>
      </c>
    </row>
    <row r="47237" spans="1:1" ht="12.75">
      <c r="A47237" s="2" t="s">
        <v>1545</v>
      </c>
    </row>
    <row r="47238" spans="1:1" ht="12.75">
      <c r="A47238" s="2" t="s">
        <v>1541</v>
      </c>
    </row>
    <row r="47239" spans="1:1" ht="12.75">
      <c r="A47239" s="2" t="s">
        <v>1541</v>
      </c>
    </row>
    <row r="47240" spans="1:1" ht="12.75">
      <c r="A47240" s="2" t="s">
        <v>1458</v>
      </c>
    </row>
    <row r="47241" spans="1:1" ht="12.75">
      <c r="A47241" s="2" t="s">
        <v>1458</v>
      </c>
    </row>
    <row r="47244" spans="1:1" ht="12.75">
      <c r="A47244" s="2" t="s">
        <v>1654</v>
      </c>
    </row>
    <row r="47245" spans="1:1" ht="12.75">
      <c r="A47245" s="2" t="s">
        <v>1448</v>
      </c>
    </row>
    <row r="47246" spans="1:1" ht="12.75">
      <c r="A47246" s="2" t="s">
        <v>1467</v>
      </c>
    </row>
    <row r="47247" spans="1:1" ht="12.75">
      <c r="A47247" s="2" t="s">
        <v>1661</v>
      </c>
    </row>
    <row r="47250" spans="1:1" ht="12.75">
      <c r="A47250" s="2" t="s">
        <v>1357</v>
      </c>
    </row>
    <row r="47251" spans="1:1" ht="12.75">
      <c r="A47251" s="2" t="s">
        <v>1357</v>
      </c>
    </row>
    <row r="47252" spans="1:1" ht="12.75">
      <c r="A47252" s="2" t="s">
        <v>1662</v>
      </c>
    </row>
    <row r="47253" spans="1:1" ht="12.75">
      <c r="A47253" s="2" t="s">
        <v>1662</v>
      </c>
    </row>
    <row r="47254" spans="1:1" ht="12.75">
      <c r="A47254" s="2" t="s">
        <v>1653</v>
      </c>
    </row>
    <row r="47255" spans="1:1" ht="12.75">
      <c r="A47255" s="2" t="s">
        <v>1442</v>
      </c>
    </row>
    <row r="47256" spans="1:1" ht="12.75">
      <c r="A47256" s="2" t="s">
        <v>1557</v>
      </c>
    </row>
    <row r="47257" spans="1:1" ht="12.75">
      <c r="A47257" s="2" t="s">
        <v>1557</v>
      </c>
    </row>
    <row r="47258" spans="1:1" ht="12.75">
      <c r="A47258" s="2" t="s">
        <v>1461</v>
      </c>
    </row>
    <row r="47259" spans="1:1" ht="12.75">
      <c r="A47259" s="2" t="s">
        <v>1461</v>
      </c>
    </row>
    <row r="47260" spans="1:1" ht="12.75">
      <c r="A47260" s="2" t="s">
        <v>1663</v>
      </c>
    </row>
    <row r="47261" spans="1:1" ht="12.75">
      <c r="A47261" s="2" t="s">
        <v>1663</v>
      </c>
    </row>
    <row r="47262" spans="1:1" ht="12.75">
      <c r="A47262" s="2" t="s">
        <v>1664</v>
      </c>
    </row>
    <row r="47263" spans="1:1" ht="12.75">
      <c r="A47263" s="2" t="s">
        <v>1665</v>
      </c>
    </row>
    <row r="47264" spans="1:1" ht="12.75">
      <c r="A47264" s="2" t="s">
        <v>1457</v>
      </c>
    </row>
    <row r="47265" spans="1:1" ht="12.75">
      <c r="A47265" s="2" t="s">
        <v>1650</v>
      </c>
    </row>
    <row r="47266" spans="1:1" ht="12.75">
      <c r="A47266" s="2" t="s">
        <v>1291</v>
      </c>
    </row>
    <row r="47267" spans="1:1" ht="12.75">
      <c r="A47267" s="2" t="s">
        <v>1291</v>
      </c>
    </row>
    <row r="47268" spans="1:1" ht="12.75">
      <c r="A47268" s="2" t="s">
        <v>1292</v>
      </c>
    </row>
    <row r="47269" spans="1:1" ht="12.75">
      <c r="A47269" s="2" t="s">
        <v>1292</v>
      </c>
    </row>
    <row r="47270" spans="1:1" ht="12.75">
      <c r="A47270" s="2" t="s">
        <v>1359</v>
      </c>
    </row>
    <row r="47271" spans="1:1" ht="12.75">
      <c r="A47271" s="2" t="s">
        <v>1570</v>
      </c>
    </row>
    <row r="47272" spans="1:1" ht="12.75">
      <c r="A47272" s="2" t="s">
        <v>1358</v>
      </c>
    </row>
    <row r="47273" spans="1:1" ht="12.75">
      <c r="A47273" s="2" t="s">
        <v>1645</v>
      </c>
    </row>
    <row r="47274" spans="1:1" ht="12.75">
      <c r="A47274" s="2" t="s">
        <v>1666</v>
      </c>
    </row>
    <row r="47275" spans="1:1" ht="12.75">
      <c r="A47275" s="2" t="s">
        <v>1666</v>
      </c>
    </row>
    <row r="47276" spans="1:1" ht="12.75">
      <c r="A47276" s="2" t="s">
        <v>1667</v>
      </c>
    </row>
    <row r="47277" spans="1:1" ht="12.75">
      <c r="A47277" s="2" t="s">
        <v>1293</v>
      </c>
    </row>
    <row r="47278" spans="1:1" ht="12.75">
      <c r="A47278" s="2" t="s">
        <v>1256</v>
      </c>
    </row>
    <row r="47279" spans="1:1" ht="12.75">
      <c r="A47279" s="2" t="s">
        <v>1256</v>
      </c>
    </row>
    <row r="47280" spans="1:1" ht="12.75">
      <c r="A47280" s="2" t="s">
        <v>1144</v>
      </c>
    </row>
    <row r="47281" spans="1:1" ht="12.75">
      <c r="A47281" s="2" t="s">
        <v>1668</v>
      </c>
    </row>
    <row r="47282" spans="1:1" ht="12.75">
      <c r="A47282" s="2" t="s">
        <v>958</v>
      </c>
    </row>
    <row r="47283" spans="1:1" ht="12.75">
      <c r="A47283" s="2" t="s">
        <v>958</v>
      </c>
    </row>
    <row r="47284" spans="1:1" ht="12.75">
      <c r="A47284" s="2" t="s">
        <v>1142</v>
      </c>
    </row>
    <row r="47285" spans="1:1" ht="12.75">
      <c r="A47285" s="2" t="s">
        <v>1142</v>
      </c>
    </row>
    <row r="47288" spans="1:1" ht="12.75">
      <c r="A47288" s="2" t="s">
        <v>1669</v>
      </c>
    </row>
    <row r="47290" spans="1:1" ht="12.75">
      <c r="A47290" s="2" t="s">
        <v>708</v>
      </c>
    </row>
    <row r="47291" spans="1:1" ht="12.75">
      <c r="A47291" s="2" t="s">
        <v>708</v>
      </c>
    </row>
    <row r="47292" spans="1:1" ht="12.75">
      <c r="A47292" s="2" t="s">
        <v>957</v>
      </c>
    </row>
    <row r="47293" spans="1:1" ht="12.75">
      <c r="A47293" s="2" t="s">
        <v>957</v>
      </c>
    </row>
    <row r="47296" spans="1:1" ht="12.75">
      <c r="A47296" s="2" t="s">
        <v>1291</v>
      </c>
    </row>
    <row r="47297" spans="1:1" ht="12.75">
      <c r="A47297" s="2" t="s">
        <v>1646</v>
      </c>
    </row>
    <row r="47298" spans="1:1" ht="12.75">
      <c r="A47298" s="2" t="s">
        <v>1358</v>
      </c>
    </row>
    <row r="47299" spans="1:1" ht="12.75">
      <c r="A47299" s="2" t="s">
        <v>1358</v>
      </c>
    </row>
    <row r="47301" spans="1:1" ht="12.75">
      <c r="A47301" s="2" t="s">
        <v>1640</v>
      </c>
    </row>
    <row r="47302" spans="1:1" ht="12.75">
      <c r="A47302" s="2" t="s">
        <v>1256</v>
      </c>
    </row>
    <row r="47303" spans="1:1" ht="12.75">
      <c r="A47303" s="2" t="s">
        <v>1256</v>
      </c>
    </row>
    <row r="47304" spans="1:1" ht="12.75">
      <c r="A47304" s="2" t="s">
        <v>1670</v>
      </c>
    </row>
    <row r="47305" spans="1:1" ht="12.75">
      <c r="A47305" s="2" t="s">
        <v>1670</v>
      </c>
    </row>
    <row r="47306" spans="1:1" ht="12.75">
      <c r="A47306" s="2" t="s">
        <v>1552</v>
      </c>
    </row>
    <row r="47307" spans="1:1" ht="12.75">
      <c r="A47307" s="2" t="s">
        <v>1454</v>
      </c>
    </row>
    <row r="47308" spans="1:1" ht="12.75">
      <c r="A47308" s="2" t="s">
        <v>1454</v>
      </c>
    </row>
    <row r="47309" spans="1:1" ht="12.75">
      <c r="A47309" s="2" t="s">
        <v>1447</v>
      </c>
    </row>
    <row r="47310" spans="1:1" ht="12.75">
      <c r="A47310" s="2" t="s">
        <v>1671</v>
      </c>
    </row>
    <row r="47311" spans="1:1" ht="12.75">
      <c r="A47311" s="2" t="s">
        <v>1671</v>
      </c>
    </row>
    <row r="47312" spans="1:1" ht="12.75">
      <c r="A47312" s="2" t="s">
        <v>1359</v>
      </c>
    </row>
    <row r="47313" spans="1:1" ht="12.75">
      <c r="A47313" s="2" t="s">
        <v>1359</v>
      </c>
    </row>
    <row r="47314" spans="1:1" ht="12.75">
      <c r="A47314" s="2" t="s">
        <v>1640</v>
      </c>
    </row>
    <row r="47316" spans="1:1" ht="12.75">
      <c r="A47316" s="2" t="s">
        <v>1134</v>
      </c>
    </row>
    <row r="47317" spans="1:1" ht="12.75">
      <c r="A47317" s="2" t="s">
        <v>1134</v>
      </c>
    </row>
    <row r="47318" spans="1:1" ht="12.75">
      <c r="A47318" s="2" t="s">
        <v>763</v>
      </c>
    </row>
    <row r="47320" spans="1:1" ht="12.75">
      <c r="A47320" s="2" t="s">
        <v>763</v>
      </c>
    </row>
    <row r="47321" spans="1:1" ht="12.75">
      <c r="A47321" s="2" t="s">
        <v>763</v>
      </c>
    </row>
    <row r="47322" spans="1:1" ht="12.75">
      <c r="A47322" s="2" t="s">
        <v>961</v>
      </c>
    </row>
    <row r="47323" spans="1:1" ht="12.75">
      <c r="A47323" s="2" t="s">
        <v>961</v>
      </c>
    </row>
    <row r="47324" spans="1:1" ht="12.75">
      <c r="A47324" s="2" t="s">
        <v>763</v>
      </c>
    </row>
    <row r="47326" spans="1:1" ht="12.75">
      <c r="A47326" s="2" t="s">
        <v>957</v>
      </c>
    </row>
    <row r="47327" spans="1:1" ht="12.75">
      <c r="A47327" s="2" t="s">
        <v>957</v>
      </c>
    </row>
    <row r="47328" spans="1:1" ht="12.75">
      <c r="A47328" s="2" t="s">
        <v>708</v>
      </c>
    </row>
    <row r="47329" spans="1:1" ht="12.75">
      <c r="A47329" s="2" t="s">
        <v>708</v>
      </c>
    </row>
    <row r="47330" spans="1:1" ht="12.75">
      <c r="A47330" s="2" t="s">
        <v>1672</v>
      </c>
    </row>
    <row r="47331" spans="1:1" ht="12.75">
      <c r="A47331" s="2" t="s">
        <v>966</v>
      </c>
    </row>
    <row r="47332" spans="1:1" ht="12.75">
      <c r="A47332" s="2" t="s">
        <v>962</v>
      </c>
    </row>
    <row r="47333" spans="1:1" ht="12.75">
      <c r="A47333" s="2" t="s">
        <v>962</v>
      </c>
    </row>
    <row r="47334" spans="1:1" ht="12.75">
      <c r="A47334" s="2" t="s">
        <v>1142</v>
      </c>
    </row>
    <row r="47335" spans="1:1" ht="12.75">
      <c r="A47335" s="2" t="s">
        <v>1142</v>
      </c>
    </row>
    <row r="47336" spans="1:1" ht="12.75">
      <c r="A47336" s="2" t="s">
        <v>958</v>
      </c>
    </row>
    <row r="47337" spans="1:1" ht="12.75">
      <c r="A47337" s="2" t="s">
        <v>958</v>
      </c>
    </row>
    <row r="47338" spans="1:1" ht="12.75">
      <c r="A47338" s="2" t="s">
        <v>1144</v>
      </c>
    </row>
    <row r="47339" spans="1:1" ht="12.75">
      <c r="A47339" s="2" t="s">
        <v>1144</v>
      </c>
    </row>
    <row r="47340" spans="1:1" ht="12.75">
      <c r="A47340" s="2" t="s">
        <v>1256</v>
      </c>
    </row>
    <row r="47341" spans="1:1" ht="12.75">
      <c r="A47341" s="2" t="s">
        <v>1256</v>
      </c>
    </row>
    <row r="47342" spans="1:1" ht="12.75">
      <c r="A47342" s="2" t="s">
        <v>1293</v>
      </c>
    </row>
    <row r="47343" spans="1:1" ht="12.75">
      <c r="A47343" s="2" t="s">
        <v>1293</v>
      </c>
    </row>
    <row r="47344" spans="1:1" ht="12.75">
      <c r="A47344" s="2" t="s">
        <v>1457</v>
      </c>
    </row>
    <row r="47345" spans="1:1" ht="12.75">
      <c r="A47345" s="2" t="s">
        <v>1650</v>
      </c>
    </row>
    <row r="47346" spans="1:1" ht="12.75">
      <c r="A47346" s="2" t="s">
        <v>1439</v>
      </c>
    </row>
    <row r="47347" spans="1:1" ht="12.75">
      <c r="A47347" s="2" t="s">
        <v>1439</v>
      </c>
    </row>
    <row r="47350" spans="1:1" ht="12.75">
      <c r="A47350" s="2" t="s">
        <v>1559</v>
      </c>
    </row>
    <row r="47351" spans="1:1" ht="12.75">
      <c r="A47351" s="2" t="s">
        <v>1632</v>
      </c>
    </row>
    <row r="47352" spans="1:1" ht="12.75">
      <c r="A47352" s="2" t="s">
        <v>1545</v>
      </c>
    </row>
    <row r="47353" spans="1:1" ht="12.75">
      <c r="A47353" s="2" t="s">
        <v>1545</v>
      </c>
    </row>
    <row r="47354" spans="1:1" ht="12.75">
      <c r="A47354" s="2" t="s">
        <v>1449</v>
      </c>
    </row>
    <row r="47356" spans="1:1" ht="12.75">
      <c r="A47356" s="2" t="s">
        <v>1357</v>
      </c>
    </row>
    <row r="47357" spans="1:1" ht="12.75">
      <c r="A47357" s="2" t="s">
        <v>1357</v>
      </c>
    </row>
    <row r="47358" spans="1:1" ht="12.75">
      <c r="A47358" s="2" t="s">
        <v>763</v>
      </c>
    </row>
    <row r="47359" spans="1:1" ht="12.75">
      <c r="A47359" s="2" t="s">
        <v>763</v>
      </c>
    </row>
    <row r="47360" spans="1:1" ht="12.75">
      <c r="A47360" s="2" t="s">
        <v>1541</v>
      </c>
    </row>
    <row r="47361" spans="1:1" ht="12.75">
      <c r="A47361" s="2" t="s">
        <v>1541</v>
      </c>
    </row>
    <row r="47362" spans="1:1" ht="12.75">
      <c r="A47362" s="2" t="s">
        <v>1469</v>
      </c>
    </row>
    <row r="47363" spans="1:1" ht="12.75">
      <c r="A47363" s="2" t="s">
        <v>1469</v>
      </c>
    </row>
    <row r="47364" spans="1:1" ht="12.75">
      <c r="A47364" s="2" t="s">
        <v>1358</v>
      </c>
    </row>
    <row r="47365" spans="1:1" ht="12.75">
      <c r="A47365" s="2" t="s">
        <v>1569</v>
      </c>
    </row>
    <row r="47366" spans="1:1" ht="12.75">
      <c r="A47366" s="2" t="s">
        <v>1472</v>
      </c>
    </row>
    <row r="47367" spans="1:1" ht="12.75">
      <c r="A47367" s="2" t="s">
        <v>1472</v>
      </c>
    </row>
    <row r="47368" spans="1:1" ht="12.75">
      <c r="A47368" s="2" t="s">
        <v>1643</v>
      </c>
    </row>
    <row r="47369" spans="1:1" ht="12.75">
      <c r="A47369" s="2" t="s">
        <v>1643</v>
      </c>
    </row>
    <row r="47370" spans="1:1" ht="12.75">
      <c r="A47370" s="2" t="s">
        <v>1647</v>
      </c>
    </row>
    <row r="47371" spans="1:1" ht="12.75">
      <c r="A47371" s="2" t="s">
        <v>1647</v>
      </c>
    </row>
    <row r="47372" spans="1:1" ht="12.75">
      <c r="A47372" s="2" t="s">
        <v>957</v>
      </c>
    </row>
    <row r="47373" spans="1:1" ht="12.75">
      <c r="A47373" s="2" t="s">
        <v>957</v>
      </c>
    </row>
    <row r="47374" spans="1:1" ht="12.75">
      <c r="A47374" s="2" t="s">
        <v>1566</v>
      </c>
    </row>
    <row r="47375" spans="1:1" ht="12.75">
      <c r="A47375" s="2" t="s">
        <v>1566</v>
      </c>
    </row>
    <row r="47376" spans="1:1" ht="12.75">
      <c r="A47376" s="2" t="s">
        <v>1359</v>
      </c>
    </row>
    <row r="47377" spans="1:1" ht="12.75">
      <c r="A47377" s="2" t="s">
        <v>1359</v>
      </c>
    </row>
    <row r="47378" spans="1:1" ht="12.75">
      <c r="A47378" s="2" t="s">
        <v>1458</v>
      </c>
    </row>
    <row r="47379" spans="1:1" ht="12.75">
      <c r="A47379" s="2" t="s">
        <v>1458</v>
      </c>
    </row>
    <row r="47380" spans="1:1" ht="12.75">
      <c r="A47380" s="2" t="s">
        <v>1552</v>
      </c>
    </row>
    <row r="47381" spans="1:1" ht="12.75">
      <c r="A47381" s="2" t="s">
        <v>1552</v>
      </c>
    </row>
    <row r="47382" spans="1:1" ht="12.75">
      <c r="A47382" s="2" t="s">
        <v>1546</v>
      </c>
    </row>
    <row r="47383" spans="1:1" ht="12.75">
      <c r="A47383" s="2" t="s">
        <v>1546</v>
      </c>
    </row>
    <row r="47384" spans="1:1" ht="12.75">
      <c r="A47384" s="2" t="s">
        <v>1453</v>
      </c>
    </row>
    <row r="47385" spans="1:1" ht="12.75">
      <c r="A47385" s="2" t="s">
        <v>1453</v>
      </c>
    </row>
    <row r="47386" spans="1:1" ht="12.75">
      <c r="A47386" s="2" t="s">
        <v>1446</v>
      </c>
    </row>
    <row r="47387" spans="1:1" ht="12.75">
      <c r="A47387" s="2" t="s">
        <v>1446</v>
      </c>
    </row>
    <row r="47388" spans="1:1" ht="12.75">
      <c r="A47388" s="2" t="s">
        <v>1643</v>
      </c>
    </row>
    <row r="47389" spans="1:1" ht="12.75">
      <c r="A47389" s="2" t="s">
        <v>1643</v>
      </c>
    </row>
    <row r="47390" spans="1:1" ht="12.75">
      <c r="A47390" s="2" t="s">
        <v>1551</v>
      </c>
    </row>
    <row r="47391" spans="1:1" ht="12.75">
      <c r="A47391" s="2" t="s">
        <v>1551</v>
      </c>
    </row>
    <row r="47395" spans="1:1" ht="12.75">
      <c r="A47395" s="2" t="s">
        <v>158</v>
      </c>
    </row>
    <row r="47398" spans="1:1" ht="12.75">
      <c r="A47398" s="2" t="s">
        <v>658</v>
      </c>
    </row>
    <row r="47399" spans="1:1" ht="12.75">
      <c r="A47399" s="2" t="s">
        <v>657</v>
      </c>
    </row>
    <row r="47412" spans="1:1" ht="12.75">
      <c r="A47412" s="2" t="s">
        <v>348</v>
      </c>
    </row>
    <row r="47413" spans="1:1" ht="12.75">
      <c r="A47413" s="2" t="s">
        <v>933</v>
      </c>
    </row>
    <row r="47414" spans="1:1" ht="12.75">
      <c r="A47414" s="2" t="s">
        <v>348</v>
      </c>
    </row>
    <row r="47415" spans="1:1" ht="12.75">
      <c r="A47415" s="2" t="s">
        <v>348</v>
      </c>
    </row>
    <row r="47416" spans="1:1" ht="12.75">
      <c r="A47416" s="2" t="s">
        <v>512</v>
      </c>
    </row>
    <row r="47417" spans="1:1" ht="12.75">
      <c r="A47417" s="2" t="s">
        <v>675</v>
      </c>
    </row>
    <row r="47418" spans="1:1" ht="12.75">
      <c r="A47418" s="2" t="s">
        <v>547</v>
      </c>
    </row>
    <row r="47419" spans="1:1" ht="12.75">
      <c r="A47419" s="2" t="s">
        <v>675</v>
      </c>
    </row>
    <row r="47420" spans="1:1" ht="12.75">
      <c r="A47420" s="2" t="s">
        <v>675</v>
      </c>
    </row>
    <row r="47421" spans="1:1" ht="12.75">
      <c r="A47421" s="2" t="s">
        <v>547</v>
      </c>
    </row>
    <row r="47423" spans="1:1" ht="12.75">
      <c r="A47423" s="2" t="s">
        <v>1673</v>
      </c>
    </row>
    <row r="47425" spans="1:1" ht="12.75">
      <c r="A47425" s="2" t="s">
        <v>512</v>
      </c>
    </row>
    <row r="47426" spans="1:1" ht="12.75">
      <c r="A47426" s="2" t="s">
        <v>547</v>
      </c>
    </row>
    <row r="47427" spans="1:1" ht="12.75">
      <c r="A47427" s="2" t="s">
        <v>512</v>
      </c>
    </row>
    <row r="47428" spans="1:1" ht="12.75">
      <c r="A47428" s="2" t="s">
        <v>547</v>
      </c>
    </row>
    <row r="47429" spans="1:1" ht="12.75">
      <c r="A47429" s="2" t="s">
        <v>512</v>
      </c>
    </row>
    <row r="47430" spans="1:1" ht="12.75">
      <c r="A47430" s="2" t="s">
        <v>799</v>
      </c>
    </row>
    <row r="47431" spans="1:1" ht="12.75">
      <c r="A47431" s="2" t="s">
        <v>799</v>
      </c>
    </row>
    <row r="47432" spans="1:1" ht="12.75">
      <c r="A47432" s="2" t="s">
        <v>547</v>
      </c>
    </row>
    <row r="47433" spans="1:1" ht="12.75">
      <c r="A47433" s="2" t="s">
        <v>675</v>
      </c>
    </row>
    <row r="47434" spans="1:1" ht="12.75">
      <c r="A47434" s="2" t="s">
        <v>547</v>
      </c>
    </row>
    <row r="47436" spans="1:1" ht="12.75">
      <c r="A47436" s="2" t="s">
        <v>547</v>
      </c>
    </row>
    <row r="47438" spans="1:1" ht="12.75">
      <c r="A47438" s="2" t="s">
        <v>547</v>
      </c>
    </row>
    <row r="47439" spans="1:1" ht="12.75">
      <c r="A47439" s="2" t="s">
        <v>547</v>
      </c>
    </row>
    <row r="47440" spans="1:1" ht="12.75">
      <c r="A47440" s="2" t="s">
        <v>547</v>
      </c>
    </row>
    <row r="47441" spans="1:1" ht="12.75">
      <c r="A47441" s="2" t="s">
        <v>547</v>
      </c>
    </row>
    <row r="47442" spans="1:1" ht="12.75">
      <c r="A47442" s="2" t="s">
        <v>547</v>
      </c>
    </row>
    <row r="47443" spans="1:1" ht="12.75">
      <c r="A47443" s="2" t="s">
        <v>547</v>
      </c>
    </row>
    <row r="47444" spans="1:1" ht="12.75">
      <c r="A47444" s="2" t="s">
        <v>512</v>
      </c>
    </row>
    <row r="47445" spans="1:1" ht="12.75">
      <c r="A47445" s="2" t="s">
        <v>512</v>
      </c>
    </row>
    <row r="47446" spans="1:1" ht="12.75">
      <c r="A47446" s="2" t="s">
        <v>512</v>
      </c>
    </row>
    <row r="47447" spans="1:1" ht="12.75">
      <c r="A47447" s="2" t="s">
        <v>675</v>
      </c>
    </row>
    <row r="47449" spans="1:1" ht="12.75">
      <c r="A47449" s="2" t="s">
        <v>547</v>
      </c>
    </row>
    <row r="47450" spans="1:1" ht="12.75">
      <c r="A47450" s="2" t="s">
        <v>576</v>
      </c>
    </row>
    <row r="47451" spans="1:1" ht="12.75">
      <c r="A47451" s="2" t="s">
        <v>675</v>
      </c>
    </row>
    <row r="47452" spans="1:1" ht="12.75">
      <c r="A47452" s="2" t="s">
        <v>675</v>
      </c>
    </row>
    <row r="47454" spans="1:1" ht="12.75">
      <c r="A47454" s="2" t="s">
        <v>675</v>
      </c>
    </row>
    <row r="47456" spans="1:1" ht="12.75">
      <c r="A47456" s="2" t="s">
        <v>576</v>
      </c>
    </row>
    <row r="47457" spans="1:1" ht="12.75">
      <c r="A47457" s="2" t="s">
        <v>576</v>
      </c>
    </row>
    <row r="47458" spans="1:1" ht="12.75">
      <c r="A47458" s="2" t="s">
        <v>576</v>
      </c>
    </row>
    <row r="47459" spans="1:1" ht="12.75">
      <c r="A47459" s="2" t="s">
        <v>576</v>
      </c>
    </row>
    <row r="47460" spans="1:1" ht="12.75">
      <c r="A47460" s="2" t="s">
        <v>576</v>
      </c>
    </row>
    <row r="47461" spans="1:1" ht="12.75">
      <c r="A47461" s="2" t="s">
        <v>675</v>
      </c>
    </row>
    <row r="47462" spans="1:1" ht="12.75">
      <c r="A47462" s="2" t="s">
        <v>547</v>
      </c>
    </row>
    <row r="47463" spans="1:1" ht="12.75">
      <c r="A47463" s="2" t="s">
        <v>514</v>
      </c>
    </row>
    <row r="47464" spans="1:1" ht="12.75">
      <c r="A47464" s="2" t="s">
        <v>547</v>
      </c>
    </row>
    <row r="47465" spans="1:1" ht="12.75">
      <c r="A47465" s="2" t="s">
        <v>547</v>
      </c>
    </row>
    <row r="47468" spans="1:1" ht="12.75">
      <c r="A47468" s="2" t="s">
        <v>547</v>
      </c>
    </row>
    <row r="47469" spans="1:1" ht="12.75">
      <c r="A47469" s="2" t="s">
        <v>675</v>
      </c>
    </row>
    <row r="47470" spans="1:1" ht="12.75">
      <c r="A47470" s="2" t="s">
        <v>799</v>
      </c>
    </row>
    <row r="47471" spans="1:1" ht="12.75">
      <c r="A47471" s="2" t="s">
        <v>675</v>
      </c>
    </row>
    <row r="47472" spans="1:1" ht="12.75">
      <c r="A47472" s="2" t="s">
        <v>675</v>
      </c>
    </row>
    <row r="47473" spans="1:1" ht="12.75">
      <c r="A47473" s="2" t="s">
        <v>675</v>
      </c>
    </row>
    <row r="47474" spans="1:1" ht="12.75">
      <c r="A47474" s="2" t="s">
        <v>675</v>
      </c>
    </row>
    <row r="47475" spans="1:1" ht="12.75">
      <c r="A47475" s="2" t="s">
        <v>512</v>
      </c>
    </row>
    <row r="47476" spans="1:1" ht="12.75">
      <c r="A47476" s="2" t="s">
        <v>512</v>
      </c>
    </row>
    <row r="47477" spans="1:1" ht="12.75">
      <c r="A47477" s="2" t="s">
        <v>514</v>
      </c>
    </row>
    <row r="47478" spans="1:1" ht="12.75">
      <c r="A47478" s="2" t="s">
        <v>512</v>
      </c>
    </row>
    <row r="47479" spans="1:1" ht="12.75">
      <c r="A47479" s="2" t="s">
        <v>514</v>
      </c>
    </row>
    <row r="47480" spans="1:1" ht="12.75">
      <c r="A47480" s="2" t="s">
        <v>512</v>
      </c>
    </row>
    <row r="47481" spans="1:1" ht="12.75">
      <c r="A47481" s="2" t="s">
        <v>547</v>
      </c>
    </row>
    <row r="47482" spans="1:1" ht="12.75">
      <c r="A47482" s="2" t="s">
        <v>514</v>
      </c>
    </row>
    <row r="47483" spans="1:1" ht="12.75">
      <c r="A47483" s="2" t="s">
        <v>547</v>
      </c>
    </row>
    <row r="47484" spans="1:1" ht="12.75">
      <c r="A47484" s="2" t="s">
        <v>514</v>
      </c>
    </row>
    <row r="47485" spans="1:1" ht="12.75">
      <c r="A47485" s="2" t="s">
        <v>547</v>
      </c>
    </row>
    <row r="47487" spans="1:1" ht="12.75">
      <c r="A47487" s="2" t="s">
        <v>547</v>
      </c>
    </row>
    <row r="47488" spans="1:1" ht="12.75">
      <c r="A47488" s="2" t="s">
        <v>547</v>
      </c>
    </row>
    <row r="47489" spans="1:1" ht="12.75">
      <c r="A47489" s="2" t="s">
        <v>576</v>
      </c>
    </row>
    <row r="47490" spans="1:1" ht="12.75">
      <c r="A47490" s="2" t="s">
        <v>547</v>
      </c>
    </row>
    <row r="47491" spans="1:1" ht="12.75">
      <c r="A47491" s="2" t="s">
        <v>675</v>
      </c>
    </row>
    <row r="47495" spans="1:1" ht="12.75">
      <c r="A47495" s="2" t="s">
        <v>547</v>
      </c>
    </row>
    <row r="47497" spans="1:1" ht="12.75">
      <c r="A47497" s="2" t="s">
        <v>576</v>
      </c>
    </row>
    <row r="47498" spans="1:1" ht="12.75">
      <c r="A47498" s="2" t="s">
        <v>675</v>
      </c>
    </row>
    <row r="47499" spans="1:1" ht="12.75">
      <c r="A47499" s="2" t="s">
        <v>675</v>
      </c>
    </row>
    <row r="47500" spans="1:1" ht="12.75">
      <c r="A47500" s="2" t="s">
        <v>675</v>
      </c>
    </row>
    <row r="47501" spans="1:1" ht="12.75">
      <c r="A47501" s="2" t="s">
        <v>675</v>
      </c>
    </row>
    <row r="47502" spans="1:1" ht="12.75">
      <c r="A47502" s="2" t="s">
        <v>547</v>
      </c>
    </row>
    <row r="47503" spans="1:1" ht="12.75">
      <c r="A47503" s="2" t="s">
        <v>514</v>
      </c>
    </row>
    <row r="47504" spans="1:1" ht="12.75">
      <c r="A47504" s="2" t="s">
        <v>547</v>
      </c>
    </row>
    <row r="47505" spans="1:1" ht="12.75">
      <c r="A47505" s="2" t="s">
        <v>547</v>
      </c>
    </row>
    <row r="47506" spans="1:1" ht="12.75">
      <c r="A47506" s="2" t="s">
        <v>547</v>
      </c>
    </row>
    <row r="47507" spans="1:1" ht="12.75">
      <c r="A47507" s="2" t="s">
        <v>547</v>
      </c>
    </row>
    <row r="47508" spans="1:1" ht="12.75">
      <c r="A47508" s="2" t="s">
        <v>547</v>
      </c>
    </row>
    <row r="47509" spans="1:1" ht="12.75">
      <c r="A47509" s="2" t="s">
        <v>547</v>
      </c>
    </row>
    <row r="47510" spans="1:1" ht="12.75">
      <c r="A47510" s="2" t="s">
        <v>547</v>
      </c>
    </row>
    <row r="47511" spans="1:1" ht="12.75">
      <c r="A47511" s="2" t="s">
        <v>547</v>
      </c>
    </row>
    <row r="47513" spans="1:1" ht="12.75">
      <c r="A47513" s="2" t="s">
        <v>547</v>
      </c>
    </row>
    <row r="47516" spans="1:1" ht="12.75">
      <c r="A47516" s="2" t="s">
        <v>302</v>
      </c>
    </row>
    <row r="47517" spans="1:1" ht="12.75">
      <c r="A47517" s="2" t="s">
        <v>302</v>
      </c>
    </row>
    <row r="47518" spans="1:1" ht="12.75">
      <c r="A47518" s="2" t="s">
        <v>302</v>
      </c>
    </row>
    <row r="47519" spans="1:1" ht="12.75">
      <c r="A47519" s="2" t="s">
        <v>302</v>
      </c>
    </row>
    <row r="47520" spans="1:1" ht="12.75">
      <c r="A47520" s="2" t="s">
        <v>302</v>
      </c>
    </row>
    <row r="47521" spans="1:1" ht="12.75">
      <c r="A47521" s="2" t="s">
        <v>302</v>
      </c>
    </row>
    <row r="47522" spans="1:1" ht="12.75">
      <c r="A47522" s="2" t="s">
        <v>302</v>
      </c>
    </row>
    <row r="47523" spans="1:1" ht="12.75">
      <c r="A47523" s="2" t="s">
        <v>302</v>
      </c>
    </row>
    <row r="47524" spans="1:1" ht="12.75">
      <c r="A47524" s="2" t="s">
        <v>1674</v>
      </c>
    </row>
    <row r="47525" spans="1:1" ht="12.75">
      <c r="A47525" s="2" t="s">
        <v>302</v>
      </c>
    </row>
    <row r="47526" spans="1:1" ht="12.75">
      <c r="A47526" s="2" t="s">
        <v>302</v>
      </c>
    </row>
    <row r="47527" spans="1:1" ht="12.75">
      <c r="A47527" s="2" t="s">
        <v>302</v>
      </c>
    </row>
    <row r="47528" spans="1:1" ht="12.75">
      <c r="A47528" s="2" t="s">
        <v>302</v>
      </c>
    </row>
    <row r="47529" spans="1:1" ht="12.75">
      <c r="A47529" s="2" t="s">
        <v>302</v>
      </c>
    </row>
    <row r="47530" spans="1:1" ht="12.75">
      <c r="A47530" s="2" t="s">
        <v>302</v>
      </c>
    </row>
    <row r="47532" spans="1:1" ht="12.75">
      <c r="A47532" s="2" t="s">
        <v>302</v>
      </c>
    </row>
    <row r="47533" spans="1:1" ht="12.75">
      <c r="A47533" s="2" t="s">
        <v>302</v>
      </c>
    </row>
    <row r="47534" spans="1:1" ht="12.75">
      <c r="A47534" s="2" t="s">
        <v>302</v>
      </c>
    </row>
    <row r="47535" spans="1:1" ht="12.75">
      <c r="A47535" s="2" t="s">
        <v>302</v>
      </c>
    </row>
    <row r="47539" spans="1:1" ht="12.75">
      <c r="A47539" s="2" t="s">
        <v>302</v>
      </c>
    </row>
    <row r="47540" spans="1:1" ht="12.75">
      <c r="A47540" s="2" t="s">
        <v>302</v>
      </c>
    </row>
    <row r="47541" spans="1:1" ht="12.75">
      <c r="A47541" s="2" t="s">
        <v>302</v>
      </c>
    </row>
    <row r="47542" spans="1:1" ht="12.75">
      <c r="A47542" s="2" t="s">
        <v>302</v>
      </c>
    </row>
    <row r="47543" spans="1:1" ht="12.75">
      <c r="A47543" s="2" t="s">
        <v>302</v>
      </c>
    </row>
    <row r="47544" spans="1:1" ht="12.75">
      <c r="A47544" s="2" t="s">
        <v>302</v>
      </c>
    </row>
    <row r="47545" spans="1:1" ht="12.75">
      <c r="A47545" s="2" t="s">
        <v>302</v>
      </c>
    </row>
    <row r="47566" spans="1:1" ht="12.75">
      <c r="A47566" s="2" t="s">
        <v>1675</v>
      </c>
    </row>
    <row r="47568" spans="1:1" ht="12.75">
      <c r="A47568" s="2" t="s">
        <v>1676</v>
      </c>
    </row>
    <row r="47571" spans="1:1" ht="12.75">
      <c r="A47571" s="2" t="s">
        <v>576</v>
      </c>
    </row>
    <row r="47572" spans="1:1" ht="12.75">
      <c r="A47572" s="2" t="s">
        <v>576</v>
      </c>
    </row>
    <row r="47573" spans="1:1" ht="12.75">
      <c r="A47573" s="2" t="s">
        <v>547</v>
      </c>
    </row>
    <row r="47574" spans="1:1" ht="12.75">
      <c r="A47574" s="2" t="s">
        <v>514</v>
      </c>
    </row>
    <row r="47575" spans="1:1" ht="12.75">
      <c r="A47575" s="2" t="s">
        <v>547</v>
      </c>
    </row>
    <row r="47576" spans="1:1" ht="12.75">
      <c r="A47576" s="2" t="s">
        <v>514</v>
      </c>
    </row>
    <row r="47577" spans="1:1" ht="12.75">
      <c r="A47577" s="2" t="s">
        <v>547</v>
      </c>
    </row>
    <row r="47578" spans="1:1" ht="12.75">
      <c r="A47578" s="2" t="s">
        <v>547</v>
      </c>
    </row>
    <row r="47579" spans="1:1" ht="12.75">
      <c r="A47579" s="2" t="s">
        <v>547</v>
      </c>
    </row>
    <row r="47580" spans="1:1" ht="12.75">
      <c r="A47580" s="2" t="s">
        <v>514</v>
      </c>
    </row>
    <row r="47581" spans="1:1" ht="12.75">
      <c r="A47581" s="2" t="s">
        <v>547</v>
      </c>
    </row>
    <row r="47582" spans="1:1" ht="12.75">
      <c r="A47582" s="2" t="s">
        <v>1673</v>
      </c>
    </row>
    <row r="47583" spans="1:1" ht="12.75">
      <c r="A47583" s="2" t="s">
        <v>547</v>
      </c>
    </row>
    <row r="47584" spans="1:1" ht="12.75">
      <c r="A47584" s="2" t="s">
        <v>547</v>
      </c>
    </row>
    <row r="47585" spans="1:1" ht="12.75">
      <c r="A47585" s="2" t="s">
        <v>547</v>
      </c>
    </row>
    <row r="47586" spans="1:1" ht="12.75">
      <c r="A47586" s="2" t="s">
        <v>547</v>
      </c>
    </row>
    <row r="47587" spans="1:1" ht="12.75">
      <c r="A47587" s="2" t="s">
        <v>547</v>
      </c>
    </row>
    <row r="47588" spans="1:1" ht="12.75">
      <c r="A47588" s="2" t="s">
        <v>547</v>
      </c>
    </row>
    <row r="47589" spans="1:1" ht="12.75">
      <c r="A47589" s="2" t="s">
        <v>514</v>
      </c>
    </row>
    <row r="47590" spans="1:1" ht="12.75">
      <c r="A47590" s="2" t="s">
        <v>547</v>
      </c>
    </row>
    <row r="47591" spans="1:1" ht="12.75">
      <c r="A47591" s="2" t="s">
        <v>547</v>
      </c>
    </row>
    <row r="47592" spans="1:1" ht="12.75">
      <c r="A47592" s="2" t="s">
        <v>547</v>
      </c>
    </row>
    <row r="47593" spans="1:1" ht="12.75">
      <c r="A47593" s="2" t="s">
        <v>547</v>
      </c>
    </row>
    <row r="47595" spans="1:1" ht="12.75">
      <c r="A47595" s="2" t="s">
        <v>547</v>
      </c>
    </row>
    <row r="47596" spans="1:1" ht="12.75">
      <c r="A47596" s="2" t="s">
        <v>1677</v>
      </c>
    </row>
    <row r="47597" spans="1:1" ht="12.75">
      <c r="A47597" s="2" t="s">
        <v>547</v>
      </c>
    </row>
    <row r="47598" spans="1:1" ht="12.75">
      <c r="A47598" s="2" t="s">
        <v>547</v>
      </c>
    </row>
    <row r="47599" spans="1:1" ht="12.75">
      <c r="A47599" s="2" t="s">
        <v>1274</v>
      </c>
    </row>
    <row r="47600" spans="1:1" ht="12.75">
      <c r="A47600" s="2" t="s">
        <v>547</v>
      </c>
    </row>
    <row r="47601" spans="1:1" ht="12.75">
      <c r="A47601" s="2" t="s">
        <v>547</v>
      </c>
    </row>
    <row r="47602" spans="1:1" ht="12.75">
      <c r="A47602" s="2" t="s">
        <v>547</v>
      </c>
    </row>
    <row r="47603" spans="1:1" ht="12.75">
      <c r="A47603" s="2" t="s">
        <v>547</v>
      </c>
    </row>
    <row r="47604" spans="1:1" ht="12.75">
      <c r="A47604" s="2" t="s">
        <v>547</v>
      </c>
    </row>
    <row r="47605" spans="1:1" ht="12.75">
      <c r="A47605" s="2" t="s">
        <v>576</v>
      </c>
    </row>
    <row r="47606" spans="1:1" ht="12.75">
      <c r="A47606" s="2" t="s">
        <v>576</v>
      </c>
    </row>
    <row r="47608" spans="1:1" ht="12.75">
      <c r="A47608" s="2" t="s">
        <v>547</v>
      </c>
    </row>
    <row r="47610" spans="1:1" ht="12.75">
      <c r="A47610" s="2" t="s">
        <v>1673</v>
      </c>
    </row>
    <row r="47611" spans="1:1" ht="12.75">
      <c r="A47611" s="2" t="s">
        <v>576</v>
      </c>
    </row>
    <row r="47612" spans="1:1" ht="12.75">
      <c r="A47612" s="2" t="s">
        <v>1673</v>
      </c>
    </row>
    <row r="47613" spans="1:1" ht="12.75">
      <c r="A47613" s="2" t="s">
        <v>576</v>
      </c>
    </row>
    <row r="47614" spans="1:1" ht="12.75">
      <c r="A47614" s="2" t="s">
        <v>547</v>
      </c>
    </row>
    <row r="47618" spans="1:1" ht="12.75">
      <c r="A47618" s="2" t="s">
        <v>576</v>
      </c>
    </row>
    <row r="47619" spans="1:1" ht="12.75">
      <c r="A47619" s="2" t="s">
        <v>576</v>
      </c>
    </row>
    <row r="47620" spans="1:1" ht="12.75">
      <c r="A47620" s="2" t="s">
        <v>576</v>
      </c>
    </row>
    <row r="47671" spans="1:1" ht="12.75">
      <c r="A47671" s="2" t="s">
        <v>1678</v>
      </c>
    </row>
    <row r="47672" spans="1:1" ht="12.75">
      <c r="A47672" s="2" t="s">
        <v>1679</v>
      </c>
    </row>
    <row r="47673" spans="1:1" ht="12.75">
      <c r="A47673" s="2" t="s">
        <v>1679</v>
      </c>
    </row>
    <row r="47675" spans="1:1" ht="12.75">
      <c r="A47675" s="2" t="s">
        <v>1679</v>
      </c>
    </row>
    <row r="47730" spans="1:1" ht="12.75">
      <c r="A47730" s="2" t="s">
        <v>581</v>
      </c>
    </row>
    <row r="47731" spans="1:1" ht="12.75">
      <c r="A47731" s="2" t="s">
        <v>1680</v>
      </c>
    </row>
    <row r="47732" spans="1:1" ht="12.75">
      <c r="A47732" s="2" t="s">
        <v>581</v>
      </c>
    </row>
    <row r="47733" spans="1:1" ht="12.75">
      <c r="A47733" s="2" t="s">
        <v>581</v>
      </c>
    </row>
    <row r="47734" spans="1:1" ht="12.75">
      <c r="A47734" s="2" t="s">
        <v>581</v>
      </c>
    </row>
    <row r="47735" spans="1:1" ht="12.75">
      <c r="A47735" s="2" t="s">
        <v>581</v>
      </c>
    </row>
    <row r="47737" spans="1:1" ht="12.75">
      <c r="A47737" s="2" t="s">
        <v>1681</v>
      </c>
    </row>
    <row r="47738" spans="1:1" ht="12.75">
      <c r="A47738" s="2" t="s">
        <v>236</v>
      </c>
    </row>
    <row r="47739" spans="1:1" ht="12.75">
      <c r="A47739" s="2" t="s">
        <v>235</v>
      </c>
    </row>
    <row r="47740" spans="1:1" ht="12.75">
      <c r="A47740" s="2" t="s">
        <v>236</v>
      </c>
    </row>
    <row r="47741" spans="1:1" ht="12.75">
      <c r="A47741" s="2" t="s">
        <v>235</v>
      </c>
    </row>
    <row r="47742" spans="1:1" ht="12.75">
      <c r="A47742" s="2" t="s">
        <v>233</v>
      </c>
    </row>
    <row r="47743" spans="1:1" ht="12.75">
      <c r="A47743" s="2" t="s">
        <v>233</v>
      </c>
    </row>
    <row r="47744" spans="1:1" ht="12.75">
      <c r="A47744" s="2" t="s">
        <v>233</v>
      </c>
    </row>
    <row r="47745" spans="1:1" ht="12.75">
      <c r="A47745" s="2" t="s">
        <v>233</v>
      </c>
    </row>
    <row r="47746" spans="1:1" ht="12.75">
      <c r="A47746" s="2" t="s">
        <v>1307</v>
      </c>
    </row>
    <row r="47747" spans="1:1" ht="12.75">
      <c r="A47747" s="2" t="s">
        <v>234</v>
      </c>
    </row>
    <row r="47748" spans="1:1" ht="12.75">
      <c r="A47748" s="2" t="s">
        <v>235</v>
      </c>
    </row>
    <row r="47749" spans="1:1" ht="12.75">
      <c r="A47749" s="2" t="s">
        <v>234</v>
      </c>
    </row>
    <row r="47750" spans="1:1" ht="12.75">
      <c r="A47750" s="2" t="s">
        <v>234</v>
      </c>
    </row>
    <row r="47751" spans="1:1" ht="12.75">
      <c r="A47751" s="2" t="s">
        <v>1308</v>
      </c>
    </row>
    <row r="47752" spans="1:1" ht="12.75">
      <c r="A47752" s="2" t="s">
        <v>236</v>
      </c>
    </row>
    <row r="47753" spans="1:1" ht="12.75">
      <c r="A47753" s="2" t="s">
        <v>233</v>
      </c>
    </row>
    <row r="47754" spans="1:1" ht="12.75">
      <c r="A47754" s="2" t="s">
        <v>236</v>
      </c>
    </row>
    <row r="47755" spans="1:1" ht="12.75">
      <c r="A47755" s="2" t="s">
        <v>235</v>
      </c>
    </row>
    <row r="47756" spans="1:1" ht="12.75">
      <c r="A47756" s="2" t="s">
        <v>236</v>
      </c>
    </row>
    <row r="47757" spans="1:1" ht="12.75">
      <c r="A47757" s="2" t="s">
        <v>233</v>
      </c>
    </row>
    <row r="47758" spans="1:1" ht="12.75">
      <c r="A47758" s="2" t="s">
        <v>236</v>
      </c>
    </row>
    <row r="47759" spans="1:1" ht="12.75">
      <c r="A47759" s="2" t="s">
        <v>235</v>
      </c>
    </row>
    <row r="47760" spans="1:1" ht="12.75">
      <c r="A47760" s="2" t="s">
        <v>235</v>
      </c>
    </row>
    <row r="47761" spans="1:1" ht="12.75">
      <c r="A47761" s="2" t="s">
        <v>235</v>
      </c>
    </row>
    <row r="47762" spans="1:1" ht="12.75">
      <c r="A47762" s="2" t="s">
        <v>234</v>
      </c>
    </row>
    <row r="47763" spans="1:1" ht="12.75">
      <c r="A47763" s="2" t="s">
        <v>234</v>
      </c>
    </row>
    <row r="47764" spans="1:1" ht="12.75">
      <c r="A47764" s="2" t="s">
        <v>234</v>
      </c>
    </row>
    <row r="47765" spans="1:1" ht="12.75">
      <c r="A47765" s="2" t="s">
        <v>234</v>
      </c>
    </row>
    <row r="47766" spans="1:1" ht="12.75">
      <c r="A47766" s="2" t="s">
        <v>234</v>
      </c>
    </row>
    <row r="47767" spans="1:1" ht="12.75">
      <c r="A47767" s="2" t="s">
        <v>234</v>
      </c>
    </row>
    <row r="47768" spans="1:1" ht="12.75">
      <c r="A47768" s="2" t="s">
        <v>235</v>
      </c>
    </row>
    <row r="47769" spans="1:1" ht="12.75">
      <c r="A47769" s="2" t="s">
        <v>234</v>
      </c>
    </row>
    <row r="47770" spans="1:1" ht="12.75">
      <c r="A47770" s="2" t="s">
        <v>234</v>
      </c>
    </row>
    <row r="47771" spans="1:1" ht="12.75">
      <c r="A47771" s="2" t="s">
        <v>234</v>
      </c>
    </row>
    <row r="47772" spans="1:1" ht="12.75">
      <c r="A47772" s="2" t="s">
        <v>199</v>
      </c>
    </row>
    <row r="47773" spans="1:1" ht="12.75">
      <c r="A47773" s="2" t="s">
        <v>199</v>
      </c>
    </row>
    <row r="47774" spans="1:1" ht="12.75">
      <c r="A47774" s="2" t="s">
        <v>235</v>
      </c>
    </row>
    <row r="47775" spans="1:1" ht="12.75">
      <c r="A47775" s="2" t="s">
        <v>235</v>
      </c>
    </row>
    <row r="47776" spans="1:1" ht="12.75">
      <c r="A47776" s="2" t="s">
        <v>199</v>
      </c>
    </row>
    <row r="47777" spans="1:1" ht="12.75">
      <c r="A47777" s="2" t="s">
        <v>235</v>
      </c>
    </row>
    <row r="47778" spans="1:1" ht="12.75">
      <c r="A47778" s="2" t="s">
        <v>236</v>
      </c>
    </row>
    <row r="47779" spans="1:1" ht="12.75">
      <c r="A47779" s="2" t="s">
        <v>236</v>
      </c>
    </row>
    <row r="47790" spans="1:1" ht="12.75">
      <c r="A47790" s="2" t="s">
        <v>199</v>
      </c>
    </row>
    <row r="47791" spans="1:1" ht="12.75">
      <c r="A47791" s="2" t="s">
        <v>199</v>
      </c>
    </row>
    <row r="47792" spans="1:1" ht="12.75">
      <c r="A47792" s="2" t="s">
        <v>234</v>
      </c>
    </row>
    <row r="47793" spans="1:1" ht="12.75">
      <c r="A47793" s="2" t="s">
        <v>234</v>
      </c>
    </row>
    <row r="47794" spans="1:1" ht="12.75">
      <c r="A47794" s="2" t="s">
        <v>234</v>
      </c>
    </row>
    <row r="47795" spans="1:1" ht="12.75">
      <c r="A47795" s="2" t="s">
        <v>234</v>
      </c>
    </row>
    <row r="47796" spans="1:1" ht="12.75">
      <c r="A47796" s="2" t="s">
        <v>234</v>
      </c>
    </row>
    <row r="47797" spans="1:1" ht="12.75">
      <c r="A47797" s="2" t="s">
        <v>234</v>
      </c>
    </row>
    <row r="47798" spans="1:1" ht="12.75">
      <c r="A47798" s="2" t="s">
        <v>234</v>
      </c>
    </row>
    <row r="47799" spans="1:1" ht="12.75">
      <c r="A47799" s="2" t="s">
        <v>234</v>
      </c>
    </row>
    <row r="47800" spans="1:1" ht="12.75">
      <c r="A47800" s="2" t="s">
        <v>234</v>
      </c>
    </row>
    <row r="47801" spans="1:1" ht="12.75">
      <c r="A47801" s="2" t="s">
        <v>234</v>
      </c>
    </row>
    <row r="47802" spans="1:1" ht="12.75">
      <c r="A47802" s="2" t="s">
        <v>234</v>
      </c>
    </row>
    <row r="47803" spans="1:1" ht="12.75">
      <c r="A47803" s="2" t="s">
        <v>234</v>
      </c>
    </row>
    <row r="47804" spans="1:1" ht="12.75">
      <c r="A47804" s="2" t="s">
        <v>236</v>
      </c>
    </row>
    <row r="47805" spans="1:1" ht="12.75">
      <c r="A47805" s="2" t="s">
        <v>236</v>
      </c>
    </row>
    <row r="47806" spans="1:1" ht="12.75">
      <c r="A47806" s="2" t="s">
        <v>233</v>
      </c>
    </row>
    <row r="47807" spans="1:1" ht="12.75">
      <c r="A47807" s="2" t="s">
        <v>233</v>
      </c>
    </row>
    <row r="47808" spans="1:1" ht="12.75">
      <c r="A47808" s="2" t="s">
        <v>234</v>
      </c>
    </row>
    <row r="47809" spans="1:1" ht="12.75">
      <c r="A47809" s="2" t="s">
        <v>234</v>
      </c>
    </row>
    <row r="47810" spans="1:1" ht="12.75">
      <c r="A47810" s="2" t="s">
        <v>234</v>
      </c>
    </row>
    <row r="47811" spans="1:1" ht="12.75">
      <c r="A47811" s="2" t="s">
        <v>234</v>
      </c>
    </row>
    <row r="47812" spans="1:1" ht="12.75">
      <c r="A47812" s="2" t="s">
        <v>234</v>
      </c>
    </row>
    <row r="47813" spans="1:1" ht="12.75">
      <c r="A47813" s="2" t="s">
        <v>234</v>
      </c>
    </row>
    <row r="47814" spans="1:1" ht="12.75">
      <c r="A47814" s="2" t="s">
        <v>234</v>
      </c>
    </row>
    <row r="47815" spans="1:1" ht="12.75">
      <c r="A47815" s="2" t="s">
        <v>234</v>
      </c>
    </row>
    <row r="47816" spans="1:1" ht="12.75">
      <c r="A47816" s="2" t="s">
        <v>234</v>
      </c>
    </row>
    <row r="47817" spans="1:1" ht="12.75">
      <c r="A47817" s="2" t="s">
        <v>234</v>
      </c>
    </row>
    <row r="47818" spans="1:1" ht="12.75">
      <c r="A47818" s="2" t="s">
        <v>234</v>
      </c>
    </row>
    <row r="47819" spans="1:1" ht="12.75">
      <c r="A47819" s="2" t="s">
        <v>234</v>
      </c>
    </row>
    <row r="47820" spans="1:1" ht="12.75">
      <c r="A47820" s="2" t="s">
        <v>234</v>
      </c>
    </row>
    <row r="47821" spans="1:1" ht="12.75">
      <c r="A47821" s="2" t="s">
        <v>234</v>
      </c>
    </row>
    <row r="47822" spans="1:1" ht="12.75">
      <c r="A47822" s="2" t="s">
        <v>234</v>
      </c>
    </row>
    <row r="47823" spans="1:1" ht="12.75">
      <c r="A47823" s="2" t="s">
        <v>234</v>
      </c>
    </row>
    <row r="47824" spans="1:1" ht="12.75">
      <c r="A47824" s="2" t="s">
        <v>235</v>
      </c>
    </row>
    <row r="47825" spans="1:1" ht="12.75">
      <c r="A47825" s="2" t="s">
        <v>235</v>
      </c>
    </row>
    <row r="47826" spans="1:1" ht="12.75">
      <c r="A47826" s="2" t="s">
        <v>234</v>
      </c>
    </row>
    <row r="47827" spans="1:1" ht="12.75">
      <c r="A47827" s="2" t="s">
        <v>234</v>
      </c>
    </row>
    <row r="47828" spans="1:1" ht="12.75">
      <c r="A47828" s="2" t="s">
        <v>235</v>
      </c>
    </row>
    <row r="47829" spans="1:1" ht="12.75">
      <c r="A47829" s="2" t="s">
        <v>235</v>
      </c>
    </row>
    <row r="47830" spans="1:1" ht="12.75">
      <c r="A47830" s="2" t="s">
        <v>235</v>
      </c>
    </row>
    <row r="47831" spans="1:1" ht="12.75">
      <c r="A47831" s="2" t="s">
        <v>235</v>
      </c>
    </row>
    <row r="47832" spans="1:1" ht="12.75">
      <c r="A47832" s="2" t="s">
        <v>233</v>
      </c>
    </row>
    <row r="47833" spans="1:1" ht="12.75">
      <c r="A47833" s="2" t="s">
        <v>233</v>
      </c>
    </row>
    <row r="47834" spans="1:1" ht="12.75">
      <c r="A47834" s="2" t="s">
        <v>803</v>
      </c>
    </row>
    <row r="47835" spans="1:1" ht="12.75">
      <c r="A47835" s="2" t="s">
        <v>236</v>
      </c>
    </row>
    <row r="47836" spans="1:1" ht="12.75">
      <c r="A47836" s="2" t="s">
        <v>233</v>
      </c>
    </row>
    <row r="47837" spans="1:1" ht="12.75">
      <c r="A47837" s="2" t="s">
        <v>233</v>
      </c>
    </row>
    <row r="47838" spans="1:1" ht="12.75">
      <c r="A47838" s="2" t="s">
        <v>1682</v>
      </c>
    </row>
    <row r="47839" spans="1:1" ht="12.75">
      <c r="A47839" s="2" t="s">
        <v>1307</v>
      </c>
    </row>
    <row r="47840" spans="1:1" ht="12.75">
      <c r="A47840" s="2" t="s">
        <v>1307</v>
      </c>
    </row>
    <row r="47841" spans="1:1" ht="12.75">
      <c r="A47841" s="2" t="s">
        <v>199</v>
      </c>
    </row>
    <row r="47842" spans="1:1" ht="12.75">
      <c r="A47842" s="2" t="s">
        <v>199</v>
      </c>
    </row>
    <row r="47843" spans="1:1" ht="12.75">
      <c r="A47843" s="2" t="s">
        <v>199</v>
      </c>
    </row>
    <row r="47844" spans="1:1" ht="12.75">
      <c r="A47844" s="2" t="s">
        <v>199</v>
      </c>
    </row>
    <row r="47845" spans="1:1" ht="12.75">
      <c r="A47845" s="2" t="s">
        <v>236</v>
      </c>
    </row>
    <row r="47846" spans="1:1" ht="12.75">
      <c r="A47846" s="2" t="s">
        <v>236</v>
      </c>
    </row>
    <row r="47847" spans="1:1" ht="12.75">
      <c r="A47847" s="2" t="s">
        <v>233</v>
      </c>
    </row>
    <row r="47848" spans="1:1" ht="12.75">
      <c r="A47848" s="2" t="s">
        <v>233</v>
      </c>
    </row>
    <row r="47849" spans="1:1" ht="12.75">
      <c r="A47849" s="2" t="s">
        <v>233</v>
      </c>
    </row>
    <row r="47850" spans="1:1" ht="12.75">
      <c r="A47850" s="2" t="s">
        <v>233</v>
      </c>
    </row>
    <row r="47851" spans="1:1" ht="12.75">
      <c r="A47851" s="2" t="s">
        <v>233</v>
      </c>
    </row>
    <row r="47852" spans="1:1" ht="12.75">
      <c r="A47852" s="2" t="s">
        <v>233</v>
      </c>
    </row>
    <row r="47853" spans="1:1" ht="12.75">
      <c r="A47853" s="2" t="s">
        <v>235</v>
      </c>
    </row>
    <row r="47854" spans="1:1" ht="12.75">
      <c r="A47854" s="2" t="s">
        <v>235</v>
      </c>
    </row>
    <row r="47855" spans="1:1" ht="12.75">
      <c r="A47855" s="2" t="s">
        <v>235</v>
      </c>
    </row>
    <row r="47856" spans="1:1" ht="12.75">
      <c r="A47856" s="2" t="s">
        <v>1683</v>
      </c>
    </row>
    <row r="47857" spans="1:1" ht="12.75">
      <c r="A47857" s="2" t="s">
        <v>234</v>
      </c>
    </row>
    <row r="47858" spans="1:1" ht="12.75">
      <c r="A47858" s="2" t="s">
        <v>234</v>
      </c>
    </row>
    <row r="47859" spans="1:1" ht="12.75">
      <c r="A47859" s="2" t="s">
        <v>235</v>
      </c>
    </row>
    <row r="47860" spans="1:1" ht="12.75">
      <c r="A47860" s="2" t="s">
        <v>235</v>
      </c>
    </row>
    <row r="47861" spans="1:1" ht="12.75">
      <c r="A47861" s="2" t="s">
        <v>236</v>
      </c>
    </row>
    <row r="47862" spans="1:1" ht="12.75">
      <c r="A47862" s="2" t="s">
        <v>236</v>
      </c>
    </row>
    <row r="47863" spans="1:1" ht="12.75">
      <c r="A47863" s="2" t="s">
        <v>236</v>
      </c>
    </row>
    <row r="47864" spans="1:1" ht="12.75">
      <c r="A47864" s="2" t="s">
        <v>236</v>
      </c>
    </row>
    <row r="47865" spans="1:1" ht="12.75">
      <c r="A47865" s="2" t="s">
        <v>236</v>
      </c>
    </row>
    <row r="47866" spans="1:1" ht="12.75">
      <c r="A47866" s="2" t="s">
        <v>236</v>
      </c>
    </row>
    <row r="47867" spans="1:1" ht="12.75">
      <c r="A47867" s="2" t="s">
        <v>235</v>
      </c>
    </row>
    <row r="47868" spans="1:1" ht="12.75">
      <c r="A47868" s="2" t="s">
        <v>1307</v>
      </c>
    </row>
    <row r="47869" spans="1:1" ht="12.75">
      <c r="A47869" s="2" t="s">
        <v>234</v>
      </c>
    </row>
    <row r="47870" spans="1:1" ht="12.75">
      <c r="A47870" s="2" t="s">
        <v>234</v>
      </c>
    </row>
    <row r="47871" spans="1:1" ht="12.75">
      <c r="A47871" s="2" t="s">
        <v>234</v>
      </c>
    </row>
    <row r="47872" spans="1:1" ht="12.75">
      <c r="A47872" s="2" t="s">
        <v>234</v>
      </c>
    </row>
    <row r="47873" spans="1:1" ht="12.75">
      <c r="A47873" s="2" t="s">
        <v>234</v>
      </c>
    </row>
    <row r="47874" spans="1:1" ht="12.75">
      <c r="A47874" s="2" t="s">
        <v>234</v>
      </c>
    </row>
    <row r="47875" spans="1:1" ht="12.75">
      <c r="A47875" s="2" t="s">
        <v>234</v>
      </c>
    </row>
    <row r="47876" spans="1:1" ht="12.75">
      <c r="A47876" s="2" t="s">
        <v>234</v>
      </c>
    </row>
    <row r="47877" spans="1:1" ht="12.75">
      <c r="A47877" s="2" t="s">
        <v>199</v>
      </c>
    </row>
    <row r="47878" spans="1:1" ht="12.75">
      <c r="A47878" s="2" t="s">
        <v>199</v>
      </c>
    </row>
    <row r="47879" spans="1:1" ht="12.75">
      <c r="A47879" s="2" t="s">
        <v>236</v>
      </c>
    </row>
    <row r="47880" spans="1:1" ht="12.75">
      <c r="A47880" s="2" t="s">
        <v>236</v>
      </c>
    </row>
    <row r="47881" spans="1:1" ht="12.75">
      <c r="A47881" s="2" t="s">
        <v>233</v>
      </c>
    </row>
    <row r="47882" spans="1:1" ht="12.75">
      <c r="A47882" s="2" t="s">
        <v>233</v>
      </c>
    </row>
    <row r="47883" spans="1:1" ht="12.75">
      <c r="A47883" s="2" t="s">
        <v>234</v>
      </c>
    </row>
    <row r="47884" spans="1:1" ht="12.75">
      <c r="A47884" s="2" t="s">
        <v>234</v>
      </c>
    </row>
    <row r="47885" spans="1:1" ht="12.75">
      <c r="A47885" s="2" t="s">
        <v>234</v>
      </c>
    </row>
    <row r="47886" spans="1:1" ht="12.75">
      <c r="A47886" s="2" t="s">
        <v>234</v>
      </c>
    </row>
    <row r="47887" spans="1:1" ht="12.75">
      <c r="A47887" s="2" t="s">
        <v>1307</v>
      </c>
    </row>
    <row r="47888" spans="1:1" ht="12.75">
      <c r="A47888" s="2" t="s">
        <v>234</v>
      </c>
    </row>
    <row r="47889" spans="1:1" ht="12.75">
      <c r="A47889" s="2" t="s">
        <v>234</v>
      </c>
    </row>
    <row r="47890" spans="1:1" ht="12.75">
      <c r="A47890" s="2" t="s">
        <v>234</v>
      </c>
    </row>
    <row r="47891" spans="1:1" ht="12.75">
      <c r="A47891" s="2" t="s">
        <v>199</v>
      </c>
    </row>
    <row r="47892" spans="1:1" ht="12.75">
      <c r="A47892" s="2" t="s">
        <v>1307</v>
      </c>
    </row>
    <row r="47893" spans="1:1" ht="12.75">
      <c r="A47893" s="2" t="s">
        <v>235</v>
      </c>
    </row>
    <row r="47894" spans="1:1" ht="12.75">
      <c r="A47894" s="2" t="s">
        <v>1684</v>
      </c>
    </row>
    <row r="47895" spans="1:1" ht="12.75">
      <c r="A47895" s="2" t="s">
        <v>235</v>
      </c>
    </row>
    <row r="47896" spans="1:1" ht="12.75">
      <c r="A47896" s="2" t="s">
        <v>235</v>
      </c>
    </row>
    <row r="47897" spans="1:1" ht="12.75">
      <c r="A47897" s="2" t="s">
        <v>234</v>
      </c>
    </row>
    <row r="47899" spans="1:1" ht="12.75">
      <c r="A47899" s="2" t="s">
        <v>234</v>
      </c>
    </row>
    <row r="47900" spans="1:1" ht="12.75">
      <c r="A47900" s="2" t="s">
        <v>234</v>
      </c>
    </row>
    <row r="47901" spans="1:1" ht="12.75">
      <c r="A47901" s="2" t="s">
        <v>234</v>
      </c>
    </row>
    <row r="47902" spans="1:1" ht="12.75">
      <c r="A47902" s="2" t="s">
        <v>234</v>
      </c>
    </row>
    <row r="47903" spans="1:1" ht="12.75">
      <c r="A47903" s="2" t="s">
        <v>236</v>
      </c>
    </row>
    <row r="47904" spans="1:1" ht="12.75">
      <c r="A47904" s="2" t="s">
        <v>199</v>
      </c>
    </row>
    <row r="47905" spans="1:1" ht="12.75">
      <c r="A47905" s="2" t="s">
        <v>235</v>
      </c>
    </row>
    <row r="47906" spans="1:1" ht="12.75">
      <c r="A47906" s="2" t="s">
        <v>235</v>
      </c>
    </row>
    <row r="47907" spans="1:1" ht="12.75">
      <c r="A47907" s="2" t="s">
        <v>233</v>
      </c>
    </row>
    <row r="47908" spans="1:1" ht="12.75">
      <c r="A47908" s="2" t="s">
        <v>233</v>
      </c>
    </row>
    <row r="47909" spans="1:1" ht="12.75">
      <c r="A47909" s="2" t="s">
        <v>234</v>
      </c>
    </row>
    <row r="47910" spans="1:1" ht="12.75">
      <c r="A47910" s="2" t="s">
        <v>234</v>
      </c>
    </row>
    <row r="47911" spans="1:1" ht="12.75">
      <c r="A47911" s="2" t="s">
        <v>234</v>
      </c>
    </row>
    <row r="47912" spans="1:1" ht="12.75">
      <c r="A47912" s="2" t="s">
        <v>234</v>
      </c>
    </row>
    <row r="47913" spans="1:1" ht="12.75">
      <c r="A47913" s="2" t="s">
        <v>199</v>
      </c>
    </row>
    <row r="47914" spans="1:1" ht="12.75">
      <c r="A47914" s="2" t="s">
        <v>1307</v>
      </c>
    </row>
    <row r="47915" spans="1:1" ht="12.75">
      <c r="A47915" s="2" t="s">
        <v>234</v>
      </c>
    </row>
    <row r="47916" spans="1:1" ht="12.75">
      <c r="A47916" s="2" t="s">
        <v>234</v>
      </c>
    </row>
    <row r="47917" spans="1:1" ht="12.75">
      <c r="A47917" s="2" t="s">
        <v>234</v>
      </c>
    </row>
    <row r="47918" spans="1:1" ht="12.75">
      <c r="A47918" s="2" t="s">
        <v>233</v>
      </c>
    </row>
    <row r="47919" spans="1:1" ht="12.75">
      <c r="A47919" s="2" t="s">
        <v>236</v>
      </c>
    </row>
    <row r="47920" spans="1:1" ht="12.75">
      <c r="A47920" s="2" t="s">
        <v>235</v>
      </c>
    </row>
    <row r="47921" spans="1:1" ht="12.75">
      <c r="A47921" s="2" t="s">
        <v>199</v>
      </c>
    </row>
    <row r="47922" spans="1:1" ht="12.75">
      <c r="A47922" s="2" t="s">
        <v>199</v>
      </c>
    </row>
    <row r="47923" spans="1:1" ht="12.75">
      <c r="A47923" s="2" t="s">
        <v>234</v>
      </c>
    </row>
    <row r="47924" spans="1:1" ht="12.75">
      <c r="A47924" s="2" t="s">
        <v>234</v>
      </c>
    </row>
    <row r="47925" spans="1:1" ht="12.75">
      <c r="A47925" s="2" t="s">
        <v>234</v>
      </c>
    </row>
    <row r="47926" spans="1:1" ht="12.75">
      <c r="A47926" s="2" t="s">
        <v>234</v>
      </c>
    </row>
    <row r="47927" spans="1:1" ht="12.75">
      <c r="A47927" s="2" t="s">
        <v>234</v>
      </c>
    </row>
    <row r="47928" spans="1:1" ht="12.75">
      <c r="A47928" s="2" t="s">
        <v>234</v>
      </c>
    </row>
    <row r="47929" spans="1:1" ht="12.75">
      <c r="A47929" s="2" t="s">
        <v>234</v>
      </c>
    </row>
    <row r="47930" spans="1:1" ht="12.75">
      <c r="A47930" s="2" t="s">
        <v>234</v>
      </c>
    </row>
    <row r="47931" spans="1:1" ht="12.75">
      <c r="A47931" s="2" t="s">
        <v>234</v>
      </c>
    </row>
    <row r="47932" spans="1:1" ht="12.75">
      <c r="A47932" s="2" t="s">
        <v>234</v>
      </c>
    </row>
    <row r="47933" spans="1:1" ht="12.75">
      <c r="A47933" s="2" t="s">
        <v>236</v>
      </c>
    </row>
    <row r="47934" spans="1:1" ht="12.75">
      <c r="A47934" s="2" t="s">
        <v>236</v>
      </c>
    </row>
    <row r="47935" spans="1:1" ht="12.75">
      <c r="A47935" s="2" t="s">
        <v>236</v>
      </c>
    </row>
    <row r="47936" spans="1:1" ht="12.75">
      <c r="A47936" s="2" t="s">
        <v>236</v>
      </c>
    </row>
    <row r="47937" spans="1:1" ht="12.75">
      <c r="A47937" s="2" t="s">
        <v>236</v>
      </c>
    </row>
    <row r="47938" spans="1:1" ht="12.75">
      <c r="A47938" s="2" t="s">
        <v>236</v>
      </c>
    </row>
    <row r="47939" spans="1:1" ht="12.75">
      <c r="A47939" s="2" t="s">
        <v>337</v>
      </c>
    </row>
    <row r="47945" spans="1:1" ht="12.75">
      <c r="A47945" s="2" t="s">
        <v>496</v>
      </c>
    </row>
    <row r="47946" spans="1:1" ht="12.75">
      <c r="A47946" s="2" t="s">
        <v>496</v>
      </c>
    </row>
    <row r="47947" spans="1:1" ht="12.75">
      <c r="A47947" s="2" t="s">
        <v>496</v>
      </c>
    </row>
    <row r="47948" spans="1:1" ht="12.75">
      <c r="A47948" s="2" t="s">
        <v>496</v>
      </c>
    </row>
    <row r="47949" spans="1:1" ht="12.75">
      <c r="A47949" s="2" t="s">
        <v>496</v>
      </c>
    </row>
    <row r="47960" spans="1:1" ht="12.75">
      <c r="A47960" s="2" t="s">
        <v>400</v>
      </c>
    </row>
    <row r="47966" spans="1:1" ht="12.75">
      <c r="A47966" s="2" t="s">
        <v>1685</v>
      </c>
    </row>
    <row r="47976" spans="1:1" ht="12.75">
      <c r="A47976" s="2" t="s">
        <v>228</v>
      </c>
    </row>
    <row r="47977" spans="1:1" ht="12.75">
      <c r="A47977" s="2" t="s">
        <v>228</v>
      </c>
    </row>
    <row r="47978" spans="1:1" ht="12.75">
      <c r="A47978" s="2" t="s">
        <v>228</v>
      </c>
    </row>
    <row r="47982" spans="1:1" ht="12.75">
      <c r="A47982" s="2" t="s">
        <v>289</v>
      </c>
    </row>
    <row r="47983" spans="1:1" ht="12.75">
      <c r="A47983" s="2" t="s">
        <v>289</v>
      </c>
    </row>
    <row r="47984" spans="1:1" ht="12.75">
      <c r="A47984" s="2" t="s">
        <v>290</v>
      </c>
    </row>
    <row r="47985" spans="1:1" ht="12.75">
      <c r="A47985" s="2" t="s">
        <v>290</v>
      </c>
    </row>
    <row r="47986" spans="1:1" ht="12.75">
      <c r="A47986" s="2" t="s">
        <v>290</v>
      </c>
    </row>
    <row r="47987" spans="1:1" ht="12.75">
      <c r="A47987" s="2" t="s">
        <v>290</v>
      </c>
    </row>
    <row r="47988" spans="1:1" ht="12.75">
      <c r="A47988" s="2" t="s">
        <v>1595</v>
      </c>
    </row>
    <row r="47989" spans="1:1" ht="12.75">
      <c r="A47989" s="2" t="s">
        <v>290</v>
      </c>
    </row>
    <row r="47990" spans="1:1" ht="12.75">
      <c r="A47990" s="2" t="s">
        <v>217</v>
      </c>
    </row>
    <row r="47991" spans="1:1" ht="12.75">
      <c r="A47991" s="2" t="s">
        <v>217</v>
      </c>
    </row>
    <row r="47992" spans="1:1" ht="12.75">
      <c r="A47992" s="2" t="s">
        <v>393</v>
      </c>
    </row>
    <row r="47993" spans="1:1" ht="12.75">
      <c r="A47993" s="2" t="s">
        <v>393</v>
      </c>
    </row>
    <row r="47994" spans="1:1" ht="12.75">
      <c r="A47994" s="2" t="s">
        <v>393</v>
      </c>
    </row>
    <row r="47995" spans="1:1" ht="12.75">
      <c r="A47995" s="2" t="s">
        <v>393</v>
      </c>
    </row>
    <row r="47997" spans="1:1" ht="12.75">
      <c r="A47997" s="2" t="s">
        <v>393</v>
      </c>
    </row>
    <row r="47998" spans="1:1" ht="12.75">
      <c r="A47998" s="2" t="s">
        <v>217</v>
      </c>
    </row>
    <row r="47999" spans="1:1" ht="12.75">
      <c r="A47999" s="2" t="s">
        <v>217</v>
      </c>
    </row>
    <row r="48000" spans="1:1" ht="12.75">
      <c r="A48000" s="2" t="s">
        <v>217</v>
      </c>
    </row>
    <row r="48001" spans="1:1" ht="12.75">
      <c r="A48001" s="2" t="s">
        <v>217</v>
      </c>
    </row>
    <row r="48002" spans="1:1" ht="12.75">
      <c r="A48002" s="2" t="s">
        <v>217</v>
      </c>
    </row>
    <row r="48003" spans="1:1" ht="12.75">
      <c r="A48003" s="2" t="s">
        <v>1686</v>
      </c>
    </row>
    <row r="48004" spans="1:1" ht="12.75">
      <c r="A48004" s="2" t="s">
        <v>217</v>
      </c>
    </row>
    <row r="48005" spans="1:1" ht="12.75">
      <c r="A48005" s="2" t="s">
        <v>217</v>
      </c>
    </row>
    <row r="48006" spans="1:1" ht="12.75">
      <c r="A48006" s="2" t="s">
        <v>296</v>
      </c>
    </row>
    <row r="48007" spans="1:1" ht="12.75">
      <c r="A48007" s="2" t="s">
        <v>959</v>
      </c>
    </row>
    <row r="48009" spans="1:1" ht="12.75">
      <c r="A48009" s="2" t="s">
        <v>959</v>
      </c>
    </row>
    <row r="48010" spans="1:1" ht="12.75">
      <c r="A48010" s="2" t="s">
        <v>959</v>
      </c>
    </row>
    <row r="48011" spans="1:1" ht="12.75">
      <c r="A48011" s="2" t="s">
        <v>959</v>
      </c>
    </row>
    <row r="48012" spans="1:1" ht="12.75">
      <c r="A48012" s="2" t="s">
        <v>959</v>
      </c>
    </row>
    <row r="48013" spans="1:1" ht="12.75">
      <c r="A48013" s="2" t="s">
        <v>959</v>
      </c>
    </row>
    <row r="48014" spans="1:1" ht="12.75">
      <c r="A48014" s="2" t="s">
        <v>290</v>
      </c>
    </row>
    <row r="48015" spans="1:1" ht="12.75">
      <c r="A48015" s="2" t="s">
        <v>296</v>
      </c>
    </row>
    <row r="48016" spans="1:1" ht="12.75">
      <c r="A48016" s="2" t="s">
        <v>290</v>
      </c>
    </row>
    <row r="48017" spans="1:1" ht="12.75">
      <c r="A48017" s="2" t="s">
        <v>1687</v>
      </c>
    </row>
    <row r="48018" spans="1:1" ht="12.75">
      <c r="A48018" s="2" t="s">
        <v>290</v>
      </c>
    </row>
    <row r="48019" spans="1:1" ht="12.75">
      <c r="A48019" s="2" t="s">
        <v>296</v>
      </c>
    </row>
    <row r="48020" spans="1:1" ht="12.75">
      <c r="A48020" s="2" t="s">
        <v>762</v>
      </c>
    </row>
    <row r="48021" spans="1:1" ht="12.75">
      <c r="A48021" s="2" t="s">
        <v>762</v>
      </c>
    </row>
    <row r="48022" spans="1:1" ht="12.75">
      <c r="A48022" s="2" t="s">
        <v>290</v>
      </c>
    </row>
    <row r="48023" spans="1:1" ht="12.75">
      <c r="A48023" s="2" t="s">
        <v>296</v>
      </c>
    </row>
    <row r="48024" spans="1:1" ht="12.75">
      <c r="A48024" s="2" t="s">
        <v>1595</v>
      </c>
    </row>
    <row r="48025" spans="1:1" ht="12.75">
      <c r="A48025" s="2" t="s">
        <v>1595</v>
      </c>
    </row>
    <row r="48026" spans="1:1" ht="12.75">
      <c r="A48026" s="2" t="s">
        <v>1595</v>
      </c>
    </row>
    <row r="48027" spans="1:1" ht="12.75">
      <c r="A48027" s="2" t="s">
        <v>1688</v>
      </c>
    </row>
    <row r="48028" spans="1:1" ht="12.75">
      <c r="A48028" s="2" t="s">
        <v>905</v>
      </c>
    </row>
    <row r="48029" spans="1:1" ht="12.75">
      <c r="A48029" s="2" t="s">
        <v>1689</v>
      </c>
    </row>
    <row r="48030" spans="1:1" ht="12.75">
      <c r="A48030" s="2" t="s">
        <v>155</v>
      </c>
    </row>
    <row r="48031" spans="1:1" ht="12.75">
      <c r="A48031" s="2" t="s">
        <v>155</v>
      </c>
    </row>
    <row r="48032" spans="1:1" ht="12.75">
      <c r="A48032" s="2" t="s">
        <v>1017</v>
      </c>
    </row>
    <row r="48033" spans="1:1" ht="12.75">
      <c r="A48033" s="2" t="s">
        <v>1018</v>
      </c>
    </row>
    <row r="48034" spans="1:1" ht="12.75">
      <c r="A48034" s="2" t="s">
        <v>1262</v>
      </c>
    </row>
    <row r="48035" spans="1:1" ht="12.75">
      <c r="A48035" s="2" t="s">
        <v>1262</v>
      </c>
    </row>
    <row r="48036" spans="1:1" ht="12.75">
      <c r="A48036" s="2" t="s">
        <v>1595</v>
      </c>
    </row>
    <row r="48037" spans="1:1" ht="12.75">
      <c r="A48037" s="2" t="s">
        <v>1595</v>
      </c>
    </row>
    <row r="48038" spans="1:1" ht="12.75">
      <c r="A48038" s="2" t="s">
        <v>1262</v>
      </c>
    </row>
    <row r="48039" spans="1:1" ht="12.75">
      <c r="A48039" s="2" t="s">
        <v>1262</v>
      </c>
    </row>
    <row r="48040" spans="1:1" ht="12.75">
      <c r="A48040" s="2" t="s">
        <v>1595</v>
      </c>
    </row>
    <row r="48041" spans="1:1" ht="12.75">
      <c r="A48041" s="2" t="s">
        <v>1595</v>
      </c>
    </row>
    <row r="48042" spans="1:1" ht="12.75">
      <c r="A48042" s="2" t="s">
        <v>959</v>
      </c>
    </row>
    <row r="48043" spans="1:1" ht="12.75">
      <c r="A48043" s="2" t="s">
        <v>959</v>
      </c>
    </row>
    <row r="48044" spans="1:1" ht="12.75">
      <c r="A48044" s="2" t="s">
        <v>293</v>
      </c>
    </row>
    <row r="48045" spans="1:1" ht="12.75">
      <c r="A48045" s="2" t="s">
        <v>291</v>
      </c>
    </row>
    <row r="48046" spans="1:1" ht="12.75">
      <c r="A48046" s="2" t="s">
        <v>293</v>
      </c>
    </row>
    <row r="48047" spans="1:1" ht="12.75">
      <c r="A48047" s="2" t="s">
        <v>293</v>
      </c>
    </row>
    <row r="48048" spans="1:1" ht="12.75">
      <c r="A48048" s="2" t="s">
        <v>290</v>
      </c>
    </row>
    <row r="48049" spans="1:1" ht="12.75">
      <c r="A48049" s="2" t="s">
        <v>290</v>
      </c>
    </row>
    <row r="48050" spans="1:1" ht="12.75">
      <c r="A48050" s="2" t="s">
        <v>292</v>
      </c>
    </row>
    <row r="48051" spans="1:1" ht="12.75">
      <c r="A48051" s="2" t="s">
        <v>290</v>
      </c>
    </row>
    <row r="48052" spans="1:1" ht="12.75">
      <c r="A48052" s="2" t="s">
        <v>291</v>
      </c>
    </row>
    <row r="48053" spans="1:1" ht="12.75">
      <c r="A48053" s="2" t="s">
        <v>288</v>
      </c>
    </row>
    <row r="48054" spans="1:1" ht="12.75">
      <c r="A48054" s="2" t="s">
        <v>291</v>
      </c>
    </row>
    <row r="48055" spans="1:1" ht="12.75">
      <c r="A48055" s="2" t="s">
        <v>291</v>
      </c>
    </row>
    <row r="48056" spans="1:1" ht="12.75">
      <c r="A48056" s="2" t="s">
        <v>213</v>
      </c>
    </row>
    <row r="48057" spans="1:1" ht="12.75">
      <c r="A48057" s="2" t="s">
        <v>297</v>
      </c>
    </row>
    <row r="48060" spans="1:1" ht="12.75">
      <c r="A48060" s="2" t="s">
        <v>297</v>
      </c>
    </row>
    <row r="48061" spans="1:1" ht="12.75">
      <c r="A48061" s="2" t="s">
        <v>293</v>
      </c>
    </row>
    <row r="48062" spans="1:1" ht="12.75">
      <c r="A48062" s="2" t="s">
        <v>289</v>
      </c>
    </row>
    <row r="48063" spans="1:1" ht="12.75">
      <c r="A48063" s="2" t="s">
        <v>297</v>
      </c>
    </row>
    <row r="48064" spans="1:1" ht="12.75">
      <c r="A48064" s="2" t="s">
        <v>213</v>
      </c>
    </row>
    <row r="48065" spans="1:1" ht="12.75">
      <c r="A48065" s="2" t="s">
        <v>289</v>
      </c>
    </row>
    <row r="48066" spans="1:1" ht="12.75">
      <c r="A48066" s="2" t="s">
        <v>288</v>
      </c>
    </row>
    <row r="48067" spans="1:1" ht="12.75">
      <c r="A48067" s="2" t="s">
        <v>288</v>
      </c>
    </row>
    <row r="48069" spans="1:1" ht="12.75">
      <c r="A48069" s="2" t="s">
        <v>288</v>
      </c>
    </row>
    <row r="48070" spans="1:1" ht="12.75">
      <c r="A48070" s="2" t="s">
        <v>292</v>
      </c>
    </row>
    <row r="48072" spans="1:1" ht="12.75">
      <c r="A48072" s="2" t="s">
        <v>289</v>
      </c>
    </row>
    <row r="48073" spans="1:1" ht="12.75">
      <c r="A48073" s="2" t="s">
        <v>292</v>
      </c>
    </row>
    <row r="48074" spans="1:1" ht="12.75">
      <c r="A48074" s="2" t="s">
        <v>289</v>
      </c>
    </row>
    <row r="48075" spans="1:1" ht="12.75">
      <c r="A48075" s="2" t="s">
        <v>289</v>
      </c>
    </row>
    <row r="48076" spans="1:1" ht="12.75">
      <c r="A48076" s="2" t="s">
        <v>1332</v>
      </c>
    </row>
    <row r="48077" spans="1:1" ht="12.75">
      <c r="A48077" s="2" t="s">
        <v>1332</v>
      </c>
    </row>
    <row r="48283" spans="1:1" ht="12.75">
      <c r="A48283" s="2" t="s">
        <v>229</v>
      </c>
    </row>
    <row r="48691" spans="1:1" ht="12.75">
      <c r="A48691" s="2" t="s">
        <v>708</v>
      </c>
    </row>
    <row r="48692" spans="1:1" ht="12.75">
      <c r="A48692" s="2" t="s">
        <v>708</v>
      </c>
    </row>
    <row r="48693" spans="1:1" ht="12.75">
      <c r="A48693" s="2" t="s">
        <v>1298</v>
      </c>
    </row>
    <row r="48694" spans="1:1" ht="12.75">
      <c r="A48694" s="2" t="s">
        <v>1690</v>
      </c>
    </row>
    <row r="48695" spans="1:1" ht="12.75">
      <c r="A48695" s="2" t="s">
        <v>957</v>
      </c>
    </row>
    <row r="48696" spans="1:1" ht="12.75">
      <c r="A48696" s="2" t="s">
        <v>957</v>
      </c>
    </row>
    <row r="48697" spans="1:1" ht="12.75">
      <c r="A48697" s="2" t="s">
        <v>708</v>
      </c>
    </row>
    <row r="48698" spans="1:1" ht="12.75">
      <c r="A48698" s="2" t="s">
        <v>708</v>
      </c>
    </row>
    <row r="48699" spans="1:1" ht="12.75">
      <c r="A48699" s="2" t="s">
        <v>966</v>
      </c>
    </row>
    <row r="48700" spans="1:1" ht="12.75">
      <c r="A48700" s="2" t="s">
        <v>966</v>
      </c>
    </row>
    <row r="48703" spans="1:1" ht="12.75">
      <c r="A48703" s="2" t="s">
        <v>1142</v>
      </c>
    </row>
    <row r="48706" spans="1:1" ht="12.75">
      <c r="A48706" s="2" t="s">
        <v>958</v>
      </c>
    </row>
    <row r="48707" spans="1:1" ht="12.75">
      <c r="A48707" s="2" t="s">
        <v>1449</v>
      </c>
    </row>
    <row r="48708" spans="1:1" ht="12.75">
      <c r="A48708" s="2" t="s">
        <v>1449</v>
      </c>
    </row>
    <row r="48709" spans="1:1" ht="12.75">
      <c r="A48709" s="2" t="s">
        <v>1292</v>
      </c>
    </row>
    <row r="48710" spans="1:1" ht="12.75">
      <c r="A48710" s="2" t="s">
        <v>1292</v>
      </c>
    </row>
    <row r="48711" spans="1:1" ht="12.75">
      <c r="A48711" s="2" t="s">
        <v>1448</v>
      </c>
    </row>
    <row r="48712" spans="1:1" ht="12.75">
      <c r="A48712" s="2" t="s">
        <v>1448</v>
      </c>
    </row>
    <row r="48713" spans="1:1" ht="12.75">
      <c r="A48713" s="2" t="s">
        <v>1291</v>
      </c>
    </row>
    <row r="48714" spans="1:1" ht="12.75">
      <c r="A48714" s="2" t="s">
        <v>1291</v>
      </c>
    </row>
    <row r="48715" spans="1:1" ht="12.75">
      <c r="A48715" s="2" t="s">
        <v>1144</v>
      </c>
    </row>
    <row r="48716" spans="1:1" ht="12.75">
      <c r="A48716" s="2" t="s">
        <v>1144</v>
      </c>
    </row>
    <row r="48717" spans="1:1" ht="12.75">
      <c r="A48717" s="2" t="s">
        <v>1461</v>
      </c>
    </row>
    <row r="48718" spans="1:1" ht="12.75">
      <c r="A48718" s="2" t="s">
        <v>1461</v>
      </c>
    </row>
    <row r="48719" spans="1:1" ht="12.75">
      <c r="A48719" s="2" t="s">
        <v>1140</v>
      </c>
    </row>
    <row r="48720" spans="1:1" ht="12.75">
      <c r="A48720" s="2" t="s">
        <v>1443</v>
      </c>
    </row>
    <row r="48721" spans="1:1" ht="12.75">
      <c r="A48721" s="2" t="s">
        <v>1446</v>
      </c>
    </row>
    <row r="48722" spans="1:1" ht="12.75">
      <c r="A48722" s="2" t="s">
        <v>1446</v>
      </c>
    </row>
    <row r="48725" spans="1:1" ht="12.75">
      <c r="A48725" s="2" t="s">
        <v>1442</v>
      </c>
    </row>
    <row r="48726" spans="1:1" ht="12.75">
      <c r="A48726" s="2" t="s">
        <v>1442</v>
      </c>
    </row>
    <row r="48727" spans="1:1" ht="12.75">
      <c r="A48727" s="2" t="s">
        <v>1457</v>
      </c>
    </row>
    <row r="48728" spans="1:1" ht="12.75">
      <c r="A48728" s="2" t="s">
        <v>1457</v>
      </c>
    </row>
    <row r="48731" spans="1:1" ht="12.75">
      <c r="A48731" s="2" t="s">
        <v>1448</v>
      </c>
    </row>
    <row r="48732" spans="1:1" ht="12.75">
      <c r="A48732" s="2" t="s">
        <v>1448</v>
      </c>
    </row>
    <row r="48733" spans="1:1" ht="12.75">
      <c r="A48733" s="2" t="s">
        <v>1541</v>
      </c>
    </row>
    <row r="48734" spans="1:1" ht="12.75">
      <c r="A48734" s="2" t="s">
        <v>1541</v>
      </c>
    </row>
    <row r="48735" spans="1:1" ht="12.75">
      <c r="A48735" s="2" t="s">
        <v>1545</v>
      </c>
    </row>
    <row r="48736" spans="1:1" ht="12.75">
      <c r="A48736" s="2" t="s">
        <v>1545</v>
      </c>
    </row>
    <row r="48737" spans="1:1" ht="12.75">
      <c r="A48737" s="2" t="s">
        <v>1361</v>
      </c>
    </row>
    <row r="48738" spans="1:1" ht="12.75">
      <c r="A48738" s="2" t="s">
        <v>1361</v>
      </c>
    </row>
    <row r="48739" spans="1:1" ht="12.75">
      <c r="A48739" s="2" t="s">
        <v>1439</v>
      </c>
    </row>
    <row r="48740" spans="1:1" ht="12.75">
      <c r="A48740" s="2" t="s">
        <v>1439</v>
      </c>
    </row>
    <row r="48741" spans="1:1" ht="12.75">
      <c r="A48741" s="2" t="s">
        <v>1542</v>
      </c>
    </row>
    <row r="48742" spans="1:1" ht="12.75">
      <c r="A48742" s="2" t="s">
        <v>1542</v>
      </c>
    </row>
    <row r="48745" spans="1:1" ht="12.75">
      <c r="A48745" s="2" t="s">
        <v>1558</v>
      </c>
    </row>
    <row r="48747" spans="1:1" ht="12.75">
      <c r="A48747" s="2" t="s">
        <v>1559</v>
      </c>
    </row>
    <row r="48748" spans="1:1" ht="12.75">
      <c r="A48748" s="2" t="s">
        <v>1632</v>
      </c>
    </row>
    <row r="48749" spans="1:1" ht="12.75">
      <c r="A48749" s="2" t="s">
        <v>1647</v>
      </c>
    </row>
    <row r="48751" spans="1:1" ht="12.75">
      <c r="A48751" s="2" t="s">
        <v>1458</v>
      </c>
    </row>
    <row r="48752" spans="1:1" ht="12.75">
      <c r="A48752" s="2" t="s">
        <v>1458</v>
      </c>
    </row>
    <row r="48753" spans="1:1" ht="12.75">
      <c r="A48753" s="2" t="s">
        <v>1359</v>
      </c>
    </row>
    <row r="48754" spans="1:1" ht="12.75">
      <c r="A48754" s="2" t="s">
        <v>1359</v>
      </c>
    </row>
    <row r="48756" spans="1:1" ht="12.75">
      <c r="A48756" s="2" t="s">
        <v>1472</v>
      </c>
    </row>
    <row r="48757" spans="1:1" ht="12.75">
      <c r="A48757" s="2" t="s">
        <v>1551</v>
      </c>
    </row>
    <row r="48758" spans="1:1" ht="12.75">
      <c r="A48758" s="2" t="s">
        <v>1551</v>
      </c>
    </row>
    <row r="48759" spans="1:1" ht="12.75">
      <c r="A48759" s="2" t="s">
        <v>1566</v>
      </c>
    </row>
    <row r="48760" spans="1:1" ht="12.75">
      <c r="A48760" s="2" t="s">
        <v>1566</v>
      </c>
    </row>
    <row r="48761" spans="1:1" ht="12.75">
      <c r="A48761" s="2" t="s">
        <v>1135</v>
      </c>
    </row>
    <row r="48762" spans="1:1" ht="12.75">
      <c r="A48762" s="2" t="s">
        <v>1135</v>
      </c>
    </row>
    <row r="48763" spans="1:1" ht="12.75">
      <c r="A48763" s="2" t="s">
        <v>1363</v>
      </c>
    </row>
    <row r="48764" spans="1:1" ht="12.75">
      <c r="A48764" s="2" t="s">
        <v>1363</v>
      </c>
    </row>
    <row r="48765" spans="1:1" ht="12.75">
      <c r="A48765" s="2" t="s">
        <v>1359</v>
      </c>
    </row>
    <row r="48766" spans="1:1" ht="12.75">
      <c r="A48766" s="2" t="s">
        <v>1359</v>
      </c>
    </row>
    <row r="48767" spans="1:1" ht="12.75">
      <c r="A48767" s="2" t="s">
        <v>1560</v>
      </c>
    </row>
    <row r="48768" spans="1:1" ht="12.75">
      <c r="A48768" s="2" t="s">
        <v>1358</v>
      </c>
    </row>
    <row r="48769" spans="1:1" ht="12.75">
      <c r="A48769" s="2" t="s">
        <v>1357</v>
      </c>
    </row>
    <row r="48770" spans="1:1" ht="12.75">
      <c r="A48770" s="2" t="s">
        <v>1357</v>
      </c>
    </row>
    <row r="48771" spans="1:1" ht="12.75">
      <c r="A48771" s="2" t="s">
        <v>1256</v>
      </c>
    </row>
    <row r="48772" spans="1:1" ht="12.75">
      <c r="A48772" s="2" t="s">
        <v>1256</v>
      </c>
    </row>
    <row r="48773" spans="1:1" ht="12.75">
      <c r="A48773" s="2" t="s">
        <v>1640</v>
      </c>
    </row>
    <row r="48774" spans="1:1" ht="12.75">
      <c r="A48774" s="2" t="s">
        <v>1640</v>
      </c>
    </row>
    <row r="48775" spans="1:1" ht="12.75">
      <c r="A48775" s="2" t="s">
        <v>1454</v>
      </c>
    </row>
    <row r="48776" spans="1:1" ht="12.75">
      <c r="A48776" s="2" t="s">
        <v>1552</v>
      </c>
    </row>
    <row r="48777" spans="1:1" ht="12.75">
      <c r="A48777" s="2" t="s">
        <v>956</v>
      </c>
    </row>
    <row r="48778" spans="1:1" ht="12.75">
      <c r="A48778" s="2" t="s">
        <v>956</v>
      </c>
    </row>
    <row r="48779" spans="1:1" ht="12.75">
      <c r="A48779" s="2" t="s">
        <v>961</v>
      </c>
    </row>
    <row r="48780" spans="1:1" ht="12.75">
      <c r="A48780" s="2" t="s">
        <v>961</v>
      </c>
    </row>
    <row r="48781" spans="1:1" ht="12.75">
      <c r="A48781" s="2" t="s">
        <v>1640</v>
      </c>
    </row>
    <row r="48782" spans="1:1" ht="12.75">
      <c r="A48782" s="2" t="s">
        <v>1640</v>
      </c>
    </row>
    <row r="48783" spans="1:1" ht="12.75">
      <c r="A48783" s="2" t="s">
        <v>1443</v>
      </c>
    </row>
    <row r="48784" spans="1:1" ht="12.75">
      <c r="A48784" s="2" t="s">
        <v>1443</v>
      </c>
    </row>
    <row r="48785" spans="1:1" ht="12.75">
      <c r="A48785" s="2" t="s">
        <v>1552</v>
      </c>
    </row>
    <row r="48786" spans="1:1" ht="12.75">
      <c r="A48786" s="2" t="s">
        <v>1454</v>
      </c>
    </row>
    <row r="48789" spans="1:1" ht="12.75">
      <c r="A48789" s="2" t="s">
        <v>1640</v>
      </c>
    </row>
    <row r="48790" spans="1:1" ht="12.75">
      <c r="A48790" s="2" t="s">
        <v>1640</v>
      </c>
    </row>
    <row r="48791" spans="1:1" ht="12.75">
      <c r="A48791" s="2" t="s">
        <v>1643</v>
      </c>
    </row>
    <row r="48792" spans="1:1" ht="12.75">
      <c r="A48792" s="2" t="s">
        <v>1643</v>
      </c>
    </row>
    <row r="48793" spans="1:1" ht="12.75">
      <c r="A48793" s="2" t="s">
        <v>1647</v>
      </c>
    </row>
    <row r="48794" spans="1:1" ht="12.75">
      <c r="A48794" s="2" t="s">
        <v>1647</v>
      </c>
    </row>
    <row r="48795" spans="1:1" ht="12.75">
      <c r="A48795" s="2" t="s">
        <v>1447</v>
      </c>
    </row>
    <row r="48796" spans="1:1" ht="12.75">
      <c r="A48796" s="2" t="s">
        <v>1454</v>
      </c>
    </row>
    <row r="48797" spans="1:1" ht="12.75">
      <c r="A48797" s="2" t="s">
        <v>1566</v>
      </c>
    </row>
    <row r="48798" spans="1:1" ht="12.75">
      <c r="A48798" s="2" t="s">
        <v>1566</v>
      </c>
    </row>
    <row r="48799" spans="1:1" ht="12.75">
      <c r="A48799" s="2" t="s">
        <v>1472</v>
      </c>
    </row>
    <row r="48800" spans="1:1" ht="12.75">
      <c r="A48800" s="2" t="s">
        <v>1472</v>
      </c>
    </row>
    <row r="48801" spans="1:1" ht="12.75">
      <c r="A48801" s="2" t="s">
        <v>1550</v>
      </c>
    </row>
    <row r="48802" spans="1:1" ht="12.75">
      <c r="A48802" s="2" t="s">
        <v>1550</v>
      </c>
    </row>
    <row r="48803" spans="1:1" ht="12.75">
      <c r="A48803" s="2" t="s">
        <v>1559</v>
      </c>
    </row>
    <row r="48804" spans="1:1" ht="12.75">
      <c r="A48804" s="2" t="s">
        <v>1559</v>
      </c>
    </row>
    <row r="48805" spans="1:1" ht="12.75">
      <c r="A48805" s="2" t="s">
        <v>1439</v>
      </c>
    </row>
    <row r="48806" spans="1:1" ht="12.75">
      <c r="A48806" s="2" t="s">
        <v>1439</v>
      </c>
    </row>
    <row r="48807" spans="1:1" ht="12.75">
      <c r="A48807" s="2" t="s">
        <v>1558</v>
      </c>
    </row>
    <row r="48808" spans="1:1" ht="12.75">
      <c r="A48808" s="2" t="s">
        <v>1558</v>
      </c>
    </row>
    <row r="48811" spans="1:1" ht="12.75">
      <c r="A48811" s="2" t="s">
        <v>1293</v>
      </c>
    </row>
    <row r="48812" spans="1:1" ht="12.75">
      <c r="A48812" s="2" t="s">
        <v>1293</v>
      </c>
    </row>
    <row r="48813" spans="1:1" ht="12.75">
      <c r="A48813" s="2" t="s">
        <v>1256</v>
      </c>
    </row>
    <row r="48814" spans="1:1" ht="12.75">
      <c r="A48814" s="2" t="s">
        <v>1256</v>
      </c>
    </row>
    <row r="48815" spans="1:1" ht="12.75">
      <c r="A48815" s="2" t="s">
        <v>1545</v>
      </c>
    </row>
    <row r="48816" spans="1:1" ht="12.75">
      <c r="A48816" s="2" t="s">
        <v>1545</v>
      </c>
    </row>
    <row r="48817" spans="1:1" ht="12.75">
      <c r="A48817" s="2" t="s">
        <v>1541</v>
      </c>
    </row>
    <row r="48818" spans="1:1" ht="12.75">
      <c r="A48818" s="2" t="s">
        <v>1541</v>
      </c>
    </row>
    <row r="48819" spans="1:1" ht="12.75">
      <c r="A48819" s="2" t="s">
        <v>1458</v>
      </c>
    </row>
    <row r="48820" spans="1:1" ht="12.75">
      <c r="A48820" s="2" t="s">
        <v>1458</v>
      </c>
    </row>
    <row r="48823" spans="1:1" ht="12.75">
      <c r="A48823" s="2" t="s">
        <v>1448</v>
      </c>
    </row>
    <row r="48824" spans="1:1" ht="12.75">
      <c r="A48824" s="2" t="s">
        <v>1448</v>
      </c>
    </row>
    <row r="48825" spans="1:1" ht="12.75">
      <c r="A48825" s="2" t="s">
        <v>1467</v>
      </c>
    </row>
    <row r="48826" spans="1:1" ht="12.75">
      <c r="A48826" s="2" t="s">
        <v>1467</v>
      </c>
    </row>
    <row r="48827" spans="1:1" ht="12.75">
      <c r="A48827" s="2" t="s">
        <v>1363</v>
      </c>
    </row>
    <row r="48828" spans="1:1" ht="12.75">
      <c r="A48828" s="2" t="s">
        <v>1363</v>
      </c>
    </row>
    <row r="48829" spans="1:1" ht="12.75">
      <c r="A48829" s="2" t="s">
        <v>1691</v>
      </c>
    </row>
    <row r="48830" spans="1:1" ht="12.75">
      <c r="A48830" s="2" t="s">
        <v>1144</v>
      </c>
    </row>
    <row r="48831" spans="1:1" ht="12.75">
      <c r="A48831" s="2" t="s">
        <v>1449</v>
      </c>
    </row>
    <row r="48832" spans="1:1" ht="12.75">
      <c r="A48832" s="2" t="s">
        <v>1449</v>
      </c>
    </row>
    <row r="48833" spans="1:1" ht="12.75">
      <c r="A48833" s="2" t="s">
        <v>1357</v>
      </c>
    </row>
    <row r="48834" spans="1:1" ht="12.75">
      <c r="A48834" s="2" t="s">
        <v>1357</v>
      </c>
    </row>
    <row r="48835" spans="1:1" ht="12.75">
      <c r="A48835" s="2" t="s">
        <v>1469</v>
      </c>
    </row>
    <row r="48836" spans="1:1" ht="12.75">
      <c r="A48836" s="2" t="s">
        <v>1469</v>
      </c>
    </row>
    <row r="48837" spans="1:1" ht="12.75">
      <c r="A48837" s="2" t="s">
        <v>1291</v>
      </c>
    </row>
    <row r="48838" spans="1:1" ht="12.75">
      <c r="A48838" s="2" t="s">
        <v>1291</v>
      </c>
    </row>
    <row r="48839" spans="1:1" ht="12.75">
      <c r="A48839" s="2" t="s">
        <v>1446</v>
      </c>
    </row>
    <row r="48840" spans="1:1" ht="12.75">
      <c r="A48840" s="2" t="s">
        <v>1446</v>
      </c>
    </row>
    <row r="48841" spans="1:1" ht="12.75">
      <c r="A48841" s="2" t="s">
        <v>1442</v>
      </c>
    </row>
    <row r="48842" spans="1:1" ht="12.75">
      <c r="A48842" s="2" t="s">
        <v>1442</v>
      </c>
    </row>
    <row r="48843" spans="1:1" ht="12.75">
      <c r="A48843" s="2" t="s">
        <v>1443</v>
      </c>
    </row>
    <row r="48844" spans="1:1" ht="12.75">
      <c r="A48844" s="2" t="s">
        <v>1443</v>
      </c>
    </row>
    <row r="48845" spans="1:1" ht="12.75">
      <c r="A48845" s="2" t="s">
        <v>1298</v>
      </c>
    </row>
    <row r="48846" spans="1:1" ht="12.75">
      <c r="A48846" s="2" t="s">
        <v>1298</v>
      </c>
    </row>
    <row r="48847" spans="1:1" ht="12.75">
      <c r="A48847" s="2" t="s">
        <v>1291</v>
      </c>
    </row>
    <row r="48848" spans="1:1" ht="12.75">
      <c r="A48848" s="2" t="s">
        <v>1291</v>
      </c>
    </row>
    <row r="48850" spans="1:1" ht="12.75">
      <c r="A48850" s="2" t="s">
        <v>1292</v>
      </c>
    </row>
    <row r="48851" spans="1:1" ht="12.75">
      <c r="A48851" s="2" t="s">
        <v>958</v>
      </c>
    </row>
    <row r="48852" spans="1:1" ht="12.75">
      <c r="A48852" s="2" t="s">
        <v>958</v>
      </c>
    </row>
    <row r="48853" spans="1:1" ht="12.75">
      <c r="A48853" s="2" t="s">
        <v>1142</v>
      </c>
    </row>
    <row r="48854" spans="1:1" ht="12.75">
      <c r="A48854" s="2" t="s">
        <v>1142</v>
      </c>
    </row>
    <row r="48855" spans="1:1" ht="12.75">
      <c r="A48855" s="2" t="s">
        <v>1461</v>
      </c>
    </row>
    <row r="48856" spans="1:1" ht="12.75">
      <c r="A48856" s="2" t="s">
        <v>1461</v>
      </c>
    </row>
    <row r="48857" spans="1:1" ht="12.75">
      <c r="A48857" s="2" t="s">
        <v>1358</v>
      </c>
    </row>
    <row r="48858" spans="1:1" ht="12.75">
      <c r="A48858" s="2" t="s">
        <v>1358</v>
      </c>
    </row>
    <row r="48859" spans="1:1" ht="12.75">
      <c r="A48859" s="2" t="s">
        <v>1692</v>
      </c>
    </row>
    <row r="48860" spans="1:1" ht="12.75">
      <c r="A48860" s="2" t="s">
        <v>956</v>
      </c>
    </row>
    <row r="48861" spans="1:1" ht="12.75">
      <c r="A48861" s="2" t="s">
        <v>763</v>
      </c>
    </row>
    <row r="48862" spans="1:1" ht="12.75">
      <c r="A48862" s="2" t="s">
        <v>1693</v>
      </c>
    </row>
    <row r="48863" spans="1:1" ht="12.75">
      <c r="A48863" s="2" t="s">
        <v>961</v>
      </c>
    </row>
    <row r="48864" spans="1:1" ht="12.75">
      <c r="A48864" s="2" t="s">
        <v>961</v>
      </c>
    </row>
    <row r="48865" spans="1:1" ht="12.75">
      <c r="A48865" s="2" t="s">
        <v>1134</v>
      </c>
    </row>
    <row r="48866" spans="1:1" ht="12.75">
      <c r="A48866" s="2" t="s">
        <v>957</v>
      </c>
    </row>
    <row r="48867" spans="1:1" ht="12.75">
      <c r="A48867" s="2" t="s">
        <v>1358</v>
      </c>
    </row>
    <row r="48868" spans="1:1" ht="12.75">
      <c r="A48868" s="2" t="s">
        <v>1358</v>
      </c>
    </row>
    <row r="48869" spans="1:1" ht="12.75">
      <c r="A48869" s="2" t="s">
        <v>1256</v>
      </c>
    </row>
    <row r="48870" spans="1:1" ht="12.75">
      <c r="A48870" s="2" t="s">
        <v>1256</v>
      </c>
    </row>
    <row r="48871" spans="1:1" ht="12.75">
      <c r="A48871" s="2" t="s">
        <v>1357</v>
      </c>
    </row>
    <row r="48872" spans="1:1" ht="12.75">
      <c r="A48872" s="2" t="s">
        <v>1357</v>
      </c>
    </row>
    <row r="48873" spans="1:1" ht="12.75">
      <c r="A48873" s="2" t="s">
        <v>1666</v>
      </c>
    </row>
    <row r="48874" spans="1:1" ht="12.75">
      <c r="A48874" s="2" t="s">
        <v>1357</v>
      </c>
    </row>
    <row r="48877" spans="1:1" ht="12.75">
      <c r="A48877" s="2" t="s">
        <v>1359</v>
      </c>
    </row>
    <row r="48878" spans="1:1" ht="12.75">
      <c r="A48878" s="2" t="s">
        <v>1359</v>
      </c>
    </row>
    <row r="48879" spans="1:1" ht="12.75">
      <c r="A48879" s="2" t="s">
        <v>1552</v>
      </c>
    </row>
    <row r="48880" spans="1:1" ht="12.75">
      <c r="A48880" s="2" t="s">
        <v>1552</v>
      </c>
    </row>
    <row r="48881" spans="1:1" ht="12.75">
      <c r="A48881" s="2" t="s">
        <v>1361</v>
      </c>
    </row>
    <row r="48882" spans="1:1" ht="12.75">
      <c r="A48882" s="2" t="s">
        <v>1361</v>
      </c>
    </row>
    <row r="48883" spans="1:1" ht="12.75">
      <c r="A48883" s="2" t="s">
        <v>1542</v>
      </c>
    </row>
    <row r="48884" spans="1:1" ht="12.75">
      <c r="A48884" s="2" t="s">
        <v>1542</v>
      </c>
    </row>
    <row r="48885" spans="1:1" ht="12.75">
      <c r="A48885" s="2" t="s">
        <v>1551</v>
      </c>
    </row>
    <row r="48886" spans="1:1" ht="12.75">
      <c r="A48886" s="2" t="s">
        <v>1694</v>
      </c>
    </row>
    <row r="48887" spans="1:1" ht="12.75">
      <c r="A48887" s="2" t="s">
        <v>1695</v>
      </c>
    </row>
    <row r="48892" spans="1:1" ht="12.75">
      <c r="A48892" s="2" t="s">
        <v>1696</v>
      </c>
    </row>
    <row r="48893" spans="1:1" ht="12.75">
      <c r="A48893" s="2" t="s">
        <v>1697</v>
      </c>
    </row>
    <row r="48894" spans="1:1" ht="12.75">
      <c r="A48894" s="2" t="s">
        <v>1697</v>
      </c>
    </row>
    <row r="48898" spans="1:1" ht="12.75">
      <c r="A48898" s="2" t="s">
        <v>567</v>
      </c>
    </row>
    <row r="48899" spans="1:1" ht="12.75">
      <c r="A48899" s="2" t="s">
        <v>567</v>
      </c>
    </row>
    <row r="48900" spans="1:1" ht="12.75">
      <c r="A48900" s="2" t="s">
        <v>567</v>
      </c>
    </row>
    <row r="48901" spans="1:1" ht="12.75">
      <c r="A48901" s="2" t="s">
        <v>567</v>
      </c>
    </row>
    <row r="48906" spans="1:1" ht="12.75">
      <c r="A48906" s="2" t="s">
        <v>1698</v>
      </c>
    </row>
    <row r="48907" spans="1:1" ht="12.75">
      <c r="A48907" s="2" t="s">
        <v>1698</v>
      </c>
    </row>
    <row r="48909" spans="1:1" ht="12.75">
      <c r="A48909" s="2" t="s">
        <v>1698</v>
      </c>
    </row>
    <row r="48926" spans="1:1" ht="12.75">
      <c r="A48926" s="2" t="s">
        <v>295</v>
      </c>
    </row>
    <row r="48927" spans="1:1" ht="12.75">
      <c r="A48927" s="2" t="s">
        <v>295</v>
      </c>
    </row>
    <row r="48928" spans="1:1" ht="12.75">
      <c r="A48928" s="2" t="s">
        <v>295</v>
      </c>
    </row>
    <row r="48929" spans="1:1" ht="12.75">
      <c r="A48929" s="2" t="s">
        <v>295</v>
      </c>
    </row>
    <row r="48930" spans="1:1" ht="12.75">
      <c r="A48930" s="2" t="s">
        <v>295</v>
      </c>
    </row>
    <row r="48931" spans="1:1" ht="12.75">
      <c r="A48931" s="2" t="s">
        <v>295</v>
      </c>
    </row>
    <row r="48932" spans="1:1" ht="12.75">
      <c r="A48932" s="2" t="s">
        <v>295</v>
      </c>
    </row>
    <row r="48933" spans="1:1" ht="12.75">
      <c r="A48933" s="2" t="s">
        <v>295</v>
      </c>
    </row>
    <row r="48934" spans="1:1" ht="12.75">
      <c r="A48934" s="2" t="s">
        <v>295</v>
      </c>
    </row>
    <row r="48940" spans="1:1" ht="12.75">
      <c r="A48940" s="2" t="s">
        <v>294</v>
      </c>
    </row>
    <row r="48941" spans="1:1" ht="12.75">
      <c r="A48941" s="2" t="s">
        <v>294</v>
      </c>
    </row>
    <row r="48942" spans="1:1" ht="12.75">
      <c r="A48942" s="2" t="s">
        <v>294</v>
      </c>
    </row>
    <row r="48943" spans="1:1" ht="12.75">
      <c r="A48943" s="2" t="s">
        <v>294</v>
      </c>
    </row>
    <row r="48944" spans="1:1" ht="12.75">
      <c r="A48944" s="2" t="s">
        <v>1699</v>
      </c>
    </row>
    <row r="48945" spans="1:1" ht="12.75">
      <c r="A48945" s="2" t="s">
        <v>294</v>
      </c>
    </row>
    <row r="48946" spans="1:1" ht="12.75">
      <c r="A48946" s="2" t="s">
        <v>294</v>
      </c>
    </row>
    <row r="48948" spans="1:1" ht="12.75">
      <c r="A48948" s="2" t="s">
        <v>1700</v>
      </c>
    </row>
    <row r="48949" spans="1:1" ht="12.75">
      <c r="A48949" s="2" t="s">
        <v>1700</v>
      </c>
    </row>
    <row r="48950" spans="1:1" ht="12.75">
      <c r="A48950" s="2" t="s">
        <v>1700</v>
      </c>
    </row>
    <row r="48951" spans="1:1" ht="12.75">
      <c r="A48951" s="2" t="s">
        <v>1700</v>
      </c>
    </row>
    <row r="48952" spans="1:1" ht="12.75">
      <c r="A48952" s="2" t="s">
        <v>1700</v>
      </c>
    </row>
    <row r="48953" spans="1:1" ht="12.75">
      <c r="A48953" s="2" t="s">
        <v>242</v>
      </c>
    </row>
    <row r="48970" spans="1:1" ht="12.75">
      <c r="A48970" s="2" t="s">
        <v>1701</v>
      </c>
    </row>
    <row r="48973" spans="1:1" ht="12.75">
      <c r="A48973" s="2" t="s">
        <v>1194</v>
      </c>
    </row>
    <row r="48974" spans="1:1" ht="12.75">
      <c r="A48974" s="2" t="s">
        <v>1194</v>
      </c>
    </row>
    <row r="48975" spans="1:1" ht="12.75">
      <c r="A48975" s="2" t="s">
        <v>1702</v>
      </c>
    </row>
    <row r="48976" spans="1:1" ht="12.75">
      <c r="A48976" s="2" t="s">
        <v>1194</v>
      </c>
    </row>
    <row r="48977" spans="1:1" ht="12.75">
      <c r="A48977" s="2" t="s">
        <v>1193</v>
      </c>
    </row>
    <row r="49008" spans="1:1" ht="12.75">
      <c r="A49008" s="2" t="s">
        <v>1174</v>
      </c>
    </row>
    <row r="49010" spans="1:1" ht="12.75">
      <c r="A49010" s="2" t="s">
        <v>1431</v>
      </c>
    </row>
    <row r="49068" spans="1:1" ht="12.75">
      <c r="A49068" s="2" t="s">
        <v>914</v>
      </c>
    </row>
    <row r="49069" spans="1:1" ht="12.75">
      <c r="A49069" s="2" t="s">
        <v>914</v>
      </c>
    </row>
    <row r="49070" spans="1:1" ht="12.75">
      <c r="A49070" s="2" t="s">
        <v>1431</v>
      </c>
    </row>
    <row r="49071" spans="1:1" ht="12.75">
      <c r="A49071" s="2" t="s">
        <v>1431</v>
      </c>
    </row>
    <row r="49072" spans="1:1" ht="12.75">
      <c r="A49072" s="2" t="s">
        <v>1431</v>
      </c>
    </row>
    <row r="49073" spans="1:1" ht="12.75">
      <c r="A49073" s="2" t="s">
        <v>1055</v>
      </c>
    </row>
    <row r="49074" spans="1:1" ht="12.75">
      <c r="A49074" s="2" t="s">
        <v>1174</v>
      </c>
    </row>
    <row r="49075" spans="1:1" ht="12.75">
      <c r="A49075" s="2" t="s">
        <v>1174</v>
      </c>
    </row>
    <row r="49076" spans="1:1" ht="12.75">
      <c r="A49076" s="2" t="s">
        <v>1174</v>
      </c>
    </row>
    <row r="49077" spans="1:1" ht="12.75">
      <c r="A49077" s="2" t="s">
        <v>1174</v>
      </c>
    </row>
    <row r="49079" spans="1:1" ht="12.75">
      <c r="A49079" s="2" t="s">
        <v>677</v>
      </c>
    </row>
    <row r="49093" spans="1:1" ht="12.75">
      <c r="A49093" s="2" t="s">
        <v>526</v>
      </c>
    </row>
    <row r="49098" spans="1:1" ht="12.75">
      <c r="A49098" s="2" t="s">
        <v>526</v>
      </c>
    </row>
    <row r="49099" spans="1:1" ht="12.75">
      <c r="A49099" s="2" t="s">
        <v>524</v>
      </c>
    </row>
    <row r="49100" spans="1:1" ht="12.75">
      <c r="A49100" s="2" t="s">
        <v>1703</v>
      </c>
    </row>
    <row r="49101" spans="1:1" ht="12.75">
      <c r="A49101" s="2" t="s">
        <v>524</v>
      </c>
    </row>
    <row r="49102" spans="1:1" ht="12.75">
      <c r="A49102" s="2" t="s">
        <v>984</v>
      </c>
    </row>
    <row r="49103" spans="1:1" ht="12.75">
      <c r="A49103" s="2" t="s">
        <v>984</v>
      </c>
    </row>
    <row r="49104" spans="1:1" ht="12.75">
      <c r="A49104" s="2" t="s">
        <v>984</v>
      </c>
    </row>
    <row r="49105" spans="1:1" ht="12.75">
      <c r="A49105" s="2" t="s">
        <v>984</v>
      </c>
    </row>
    <row r="49108" spans="1:1" ht="12.75">
      <c r="A49108" s="2" t="s">
        <v>296</v>
      </c>
    </row>
    <row r="49111" spans="1:1" ht="12.75">
      <c r="A49111" s="2" t="s">
        <v>296</v>
      </c>
    </row>
    <row r="49112" spans="1:1" ht="12.75">
      <c r="A49112" s="2" t="s">
        <v>288</v>
      </c>
    </row>
    <row r="49114" spans="1:1" ht="12.75">
      <c r="A49114" s="2" t="s">
        <v>296</v>
      </c>
    </row>
    <row r="49115" spans="1:1" ht="12.75">
      <c r="A49115" s="2" t="s">
        <v>296</v>
      </c>
    </row>
    <row r="49117" spans="1:1" ht="12.75">
      <c r="A49117" s="2" t="s">
        <v>296</v>
      </c>
    </row>
    <row r="49156" spans="1:1" ht="12.75">
      <c r="A49156" s="2" t="s">
        <v>155</v>
      </c>
    </row>
    <row r="49157" spans="1:1" ht="12.75">
      <c r="A49157" s="2" t="s">
        <v>155</v>
      </c>
    </row>
    <row r="49160" spans="1:1" ht="12.75">
      <c r="A49160" s="2" t="s">
        <v>155</v>
      </c>
    </row>
    <row r="49162" spans="1:1" ht="12.75">
      <c r="A49162" s="2" t="s">
        <v>155</v>
      </c>
    </row>
    <row r="49163" spans="1:1" ht="12.75">
      <c r="A49163" s="2" t="s">
        <v>155</v>
      </c>
    </row>
    <row r="49164" spans="1:1" ht="12.75">
      <c r="A49164" s="2" t="s">
        <v>155</v>
      </c>
    </row>
    <row r="49165" spans="1:1" ht="12.75">
      <c r="A49165" s="2" t="s">
        <v>155</v>
      </c>
    </row>
    <row r="49166" spans="1:1" ht="12.75">
      <c r="A49166" s="2" t="s">
        <v>443</v>
      </c>
    </row>
    <row r="49167" spans="1:1" ht="12.75">
      <c r="A49167" s="2" t="s">
        <v>1431</v>
      </c>
    </row>
    <row r="49168" spans="1:1" ht="12.75">
      <c r="A49168" s="2" t="s">
        <v>1174</v>
      </c>
    </row>
    <row r="49172" spans="1:1" ht="12.75">
      <c r="A49172" s="2" t="s">
        <v>850</v>
      </c>
    </row>
    <row r="49210" spans="1:1" ht="12.75">
      <c r="A49210" s="2" t="s">
        <v>844</v>
      </c>
    </row>
    <row r="49211" spans="1:1" ht="12.75">
      <c r="A49211" s="2" t="s">
        <v>844</v>
      </c>
    </row>
    <row r="49212" spans="1:1" ht="12.75">
      <c r="A49212" s="2" t="s">
        <v>826</v>
      </c>
    </row>
    <row r="49213" spans="1:1" ht="12.75">
      <c r="A49213" s="2" t="s">
        <v>844</v>
      </c>
    </row>
    <row r="49214" spans="1:1" ht="12.75">
      <c r="A49214" s="2" t="s">
        <v>844</v>
      </c>
    </row>
    <row r="49215" spans="1:1" ht="12.75">
      <c r="A49215" s="2" t="s">
        <v>826</v>
      </c>
    </row>
    <row r="49316" spans="1:1" ht="12.75">
      <c r="A49316" s="2" t="s">
        <v>296</v>
      </c>
    </row>
    <row r="49317" spans="1:1" ht="12.75">
      <c r="A49317" s="2" t="s">
        <v>296</v>
      </c>
    </row>
    <row r="49318" spans="1:1" ht="12.75">
      <c r="A49318" s="2" t="s">
        <v>296</v>
      </c>
    </row>
    <row r="49319" spans="1:1" ht="12.75">
      <c r="A49319" s="2" t="s">
        <v>296</v>
      </c>
    </row>
    <row r="49320" spans="1:1" ht="12.75">
      <c r="A49320" s="2" t="s">
        <v>750</v>
      </c>
    </row>
    <row r="49321" spans="1:1" ht="12.75">
      <c r="A49321" s="2" t="s">
        <v>296</v>
      </c>
    </row>
    <row r="49322" spans="1:1" ht="12.75">
      <c r="A49322" s="2" t="s">
        <v>291</v>
      </c>
    </row>
    <row r="49323" spans="1:1" ht="12.75">
      <c r="A49323" s="2" t="s">
        <v>288</v>
      </c>
    </row>
    <row r="49324" spans="1:1" ht="12.75">
      <c r="A49324" s="2" t="s">
        <v>291</v>
      </c>
    </row>
    <row r="49325" spans="1:1" ht="12.75">
      <c r="A49325" s="2" t="s">
        <v>291</v>
      </c>
    </row>
    <row r="49326" spans="1:1" ht="12.75">
      <c r="A49326" s="2" t="s">
        <v>290</v>
      </c>
    </row>
    <row r="49327" spans="1:1" ht="12.75">
      <c r="A49327" s="2" t="s">
        <v>290</v>
      </c>
    </row>
    <row r="49328" spans="1:1" ht="12.75">
      <c r="A49328" s="2" t="s">
        <v>289</v>
      </c>
    </row>
    <row r="49329" spans="1:1" ht="12.75">
      <c r="A49329" s="2" t="s">
        <v>290</v>
      </c>
    </row>
    <row r="49330" spans="1:1" ht="12.75">
      <c r="A49330" s="2" t="s">
        <v>289</v>
      </c>
    </row>
    <row r="49331" spans="1:1" ht="12.75">
      <c r="A49331" s="2" t="s">
        <v>289</v>
      </c>
    </row>
    <row r="49332" spans="1:1" ht="12.75">
      <c r="A49332" s="2" t="s">
        <v>762</v>
      </c>
    </row>
    <row r="49333" spans="1:1" ht="12.75">
      <c r="A49333" s="2" t="s">
        <v>762</v>
      </c>
    </row>
    <row r="49334" spans="1:1" ht="12.75">
      <c r="A49334" s="2" t="s">
        <v>288</v>
      </c>
    </row>
    <row r="49335" spans="1:1" ht="12.75">
      <c r="A49335" s="2" t="s">
        <v>288</v>
      </c>
    </row>
    <row r="49336" spans="1:1" ht="12.75">
      <c r="A49336" s="2" t="s">
        <v>293</v>
      </c>
    </row>
    <row r="49337" spans="1:1" ht="12.75">
      <c r="A49337" s="2" t="s">
        <v>292</v>
      </c>
    </row>
    <row r="49338" spans="1:1" ht="12.75">
      <c r="A49338" s="2" t="s">
        <v>292</v>
      </c>
    </row>
    <row r="49339" spans="1:1" ht="12.75">
      <c r="A49339" s="2" t="s">
        <v>1704</v>
      </c>
    </row>
    <row r="49342" spans="1:1" ht="12.75">
      <c r="A49342" s="2" t="s">
        <v>297</v>
      </c>
    </row>
    <row r="49343" spans="1:1" ht="12.75">
      <c r="A49343" s="2" t="s">
        <v>755</v>
      </c>
    </row>
    <row r="49344" spans="1:1" ht="12.75">
      <c r="A49344" s="2" t="s">
        <v>401</v>
      </c>
    </row>
    <row r="49345" spans="1:1" ht="12.75">
      <c r="A49345" s="2" t="s">
        <v>401</v>
      </c>
    </row>
    <row r="49349" spans="1:1" ht="12.75">
      <c r="A49349" s="2" t="s">
        <v>401</v>
      </c>
    </row>
    <row r="49352" spans="1:1" ht="12.75">
      <c r="A49352" s="2" t="s">
        <v>293</v>
      </c>
    </row>
    <row r="49353" spans="1:1" ht="12.75">
      <c r="A49353" s="2" t="s">
        <v>213</v>
      </c>
    </row>
    <row r="49354" spans="1:1" ht="12.75">
      <c r="A49354" s="2" t="s">
        <v>296</v>
      </c>
    </row>
    <row r="49355" spans="1:1" ht="12.75">
      <c r="A49355" s="2" t="s">
        <v>296</v>
      </c>
    </row>
    <row r="49356" spans="1:1" ht="12.75">
      <c r="A49356" s="2" t="s">
        <v>296</v>
      </c>
    </row>
    <row r="49357" spans="1:1" ht="12.75">
      <c r="A49357" s="2" t="s">
        <v>296</v>
      </c>
    </row>
    <row r="49358" spans="1:1" ht="12.75">
      <c r="A49358" s="2" t="s">
        <v>296</v>
      </c>
    </row>
    <row r="49360" spans="1:1" ht="12.75">
      <c r="A49360" s="2" t="s">
        <v>289</v>
      </c>
    </row>
    <row r="49361" spans="1:1" ht="12.75">
      <c r="A49361" s="2" t="s">
        <v>289</v>
      </c>
    </row>
    <row r="49362" spans="1:1" ht="12.75">
      <c r="A49362" s="2" t="s">
        <v>289</v>
      </c>
    </row>
    <row r="49363" spans="1:1" ht="12.75">
      <c r="A49363" s="2" t="s">
        <v>291</v>
      </c>
    </row>
    <row r="49366" spans="1:1" ht="12.75">
      <c r="A49366" s="2" t="s">
        <v>755</v>
      </c>
    </row>
    <row r="49367" spans="1:1" ht="12.75">
      <c r="A49367" s="2" t="s">
        <v>288</v>
      </c>
    </row>
    <row r="49368" spans="1:1" ht="12.75">
      <c r="A49368" s="2" t="s">
        <v>288</v>
      </c>
    </row>
    <row r="49369" spans="1:1" ht="12.75">
      <c r="A49369" s="2" t="s">
        <v>755</v>
      </c>
    </row>
    <row r="49370" spans="1:1" ht="12.75">
      <c r="A49370" s="2" t="s">
        <v>1421</v>
      </c>
    </row>
    <row r="49371" spans="1:1" ht="12.75">
      <c r="A49371" s="2" t="s">
        <v>1705</v>
      </c>
    </row>
    <row r="49373" spans="1:1" ht="12.75">
      <c r="A49373" s="2" t="s">
        <v>1421</v>
      </c>
    </row>
    <row r="49374" spans="1:1" ht="12.75">
      <c r="A49374" s="2" t="s">
        <v>393</v>
      </c>
    </row>
    <row r="49375" spans="1:1" ht="12.75">
      <c r="A49375" s="2" t="s">
        <v>1588</v>
      </c>
    </row>
    <row r="49376" spans="1:1" ht="12.75">
      <c r="A49376" s="2" t="s">
        <v>1588</v>
      </c>
    </row>
    <row r="49377" spans="1:1" ht="12.75">
      <c r="A49377" s="2" t="s">
        <v>393</v>
      </c>
    </row>
    <row r="49378" spans="1:1" ht="12.75">
      <c r="A49378" s="2" t="s">
        <v>393</v>
      </c>
    </row>
    <row r="49379" spans="1:1" ht="12.75">
      <c r="A49379" s="2" t="s">
        <v>1588</v>
      </c>
    </row>
    <row r="49380" spans="1:1" ht="12.75">
      <c r="A49380" s="2" t="s">
        <v>393</v>
      </c>
    </row>
    <row r="49381" spans="1:1" ht="12.75">
      <c r="A49381" s="2" t="s">
        <v>393</v>
      </c>
    </row>
    <row r="49382" spans="1:1" ht="12.75">
      <c r="A49382" s="2" t="s">
        <v>1588</v>
      </c>
    </row>
    <row r="49383" spans="1:1" ht="12.75">
      <c r="A49383" s="2" t="s">
        <v>217</v>
      </c>
    </row>
    <row r="49384" spans="1:1" ht="12.75">
      <c r="A49384" s="2" t="s">
        <v>1588</v>
      </c>
    </row>
    <row r="49385" spans="1:1" ht="12.75">
      <c r="A49385" s="2" t="s">
        <v>393</v>
      </c>
    </row>
    <row r="49386" spans="1:1" ht="12.75">
      <c r="A49386" s="2" t="s">
        <v>1588</v>
      </c>
    </row>
    <row r="49387" spans="1:1" ht="12.75">
      <c r="A49387" s="2" t="s">
        <v>1588</v>
      </c>
    </row>
    <row r="49388" spans="1:1" ht="12.75">
      <c r="A49388" s="2" t="s">
        <v>393</v>
      </c>
    </row>
    <row r="49389" spans="1:1" ht="12.75">
      <c r="A49389" s="2" t="s">
        <v>393</v>
      </c>
    </row>
    <row r="49390" spans="1:1" ht="12.75">
      <c r="A49390" s="2" t="s">
        <v>393</v>
      </c>
    </row>
    <row r="49391" spans="1:1" ht="12.75">
      <c r="A49391" s="2" t="s">
        <v>393</v>
      </c>
    </row>
    <row r="49392" spans="1:1" ht="12.75">
      <c r="A49392" s="2" t="s">
        <v>1588</v>
      </c>
    </row>
    <row r="49393" spans="1:1" ht="12.75">
      <c r="A49393" s="2" t="s">
        <v>393</v>
      </c>
    </row>
    <row r="49394" spans="1:1" ht="12.75">
      <c r="A49394" s="2" t="s">
        <v>1588</v>
      </c>
    </row>
    <row r="49395" spans="1:1" ht="12.75">
      <c r="A49395" s="2" t="s">
        <v>393</v>
      </c>
    </row>
    <row r="49396" spans="1:1" ht="12.75">
      <c r="A49396" s="2" t="s">
        <v>1706</v>
      </c>
    </row>
    <row r="49397" spans="1:1" ht="12.75">
      <c r="A49397" s="2" t="s">
        <v>217</v>
      </c>
    </row>
    <row r="49398" spans="1:1" ht="12.75">
      <c r="A49398" s="2" t="s">
        <v>217</v>
      </c>
    </row>
    <row r="49399" spans="1:1" ht="12.75">
      <c r="A49399" s="2" t="s">
        <v>217</v>
      </c>
    </row>
    <row r="49400" spans="1:1" ht="12.75">
      <c r="A49400" s="2" t="s">
        <v>217</v>
      </c>
    </row>
    <row r="49401" spans="1:1" ht="12.75">
      <c r="A49401" s="2" t="s">
        <v>217</v>
      </c>
    </row>
    <row r="49402" spans="1:1" ht="12.75">
      <c r="A49402" s="2" t="s">
        <v>393</v>
      </c>
    </row>
    <row r="49403" spans="1:1" ht="12.75">
      <c r="A49403" s="2" t="s">
        <v>393</v>
      </c>
    </row>
    <row r="49404" spans="1:1" ht="12.75">
      <c r="A49404" s="2" t="s">
        <v>289</v>
      </c>
    </row>
    <row r="49406" spans="1:1" ht="12.75">
      <c r="A49406" s="2" t="s">
        <v>289</v>
      </c>
    </row>
    <row r="49407" spans="1:1" ht="12.75">
      <c r="A49407" s="2" t="s">
        <v>289</v>
      </c>
    </row>
    <row r="49408" spans="1:1" ht="12.75">
      <c r="A49408" s="2" t="s">
        <v>289</v>
      </c>
    </row>
    <row r="49409" spans="1:1" ht="12.75">
      <c r="A49409" s="2" t="s">
        <v>291</v>
      </c>
    </row>
    <row r="49411" spans="1:1" ht="12.75">
      <c r="A49411" s="2" t="s">
        <v>289</v>
      </c>
    </row>
    <row r="49413" spans="1:1" ht="12.75">
      <c r="A49413" s="2" t="s">
        <v>291</v>
      </c>
    </row>
    <row r="49415" spans="1:1" ht="12.75">
      <c r="A49415" s="2" t="s">
        <v>299</v>
      </c>
    </row>
    <row r="49416" spans="1:1" ht="12.75">
      <c r="A49416" s="2" t="s">
        <v>291</v>
      </c>
    </row>
    <row r="49417" spans="1:1" ht="12.75">
      <c r="A49417" s="2" t="s">
        <v>291</v>
      </c>
    </row>
    <row r="49418" spans="1:1" ht="12.75">
      <c r="A49418" s="2" t="s">
        <v>291</v>
      </c>
    </row>
    <row r="49419" spans="1:1" ht="12.75">
      <c r="A49419" s="2" t="s">
        <v>291</v>
      </c>
    </row>
    <row r="49420" spans="1:1" ht="12.75">
      <c r="A49420" s="2" t="s">
        <v>291</v>
      </c>
    </row>
    <row r="49421" spans="1:1" ht="12.75">
      <c r="A49421" s="2" t="s">
        <v>291</v>
      </c>
    </row>
    <row r="49422" spans="1:1" ht="12.75">
      <c r="A49422" s="2" t="s">
        <v>289</v>
      </c>
    </row>
    <row r="49423" spans="1:1" ht="12.75">
      <c r="A49423" s="2" t="s">
        <v>289</v>
      </c>
    </row>
    <row r="49424" spans="1:1" ht="12.75">
      <c r="A49424" s="2" t="s">
        <v>264</v>
      </c>
    </row>
    <row r="49425" spans="1:1" ht="12.75">
      <c r="A49425" s="2" t="s">
        <v>1319</v>
      </c>
    </row>
    <row r="49426" spans="1:1" ht="12.75">
      <c r="A49426" s="2" t="s">
        <v>264</v>
      </c>
    </row>
    <row r="49427" spans="1:1" ht="12.75">
      <c r="A49427" s="2" t="s">
        <v>264</v>
      </c>
    </row>
    <row r="49428" spans="1:1" ht="12.75">
      <c r="A49428" s="2" t="s">
        <v>290</v>
      </c>
    </row>
    <row r="49429" spans="1:1" ht="12.75">
      <c r="A49429" s="2" t="s">
        <v>296</v>
      </c>
    </row>
    <row r="49430" spans="1:1" ht="12.75">
      <c r="A49430" s="2" t="s">
        <v>293</v>
      </c>
    </row>
    <row r="49432" spans="1:1" ht="12.75">
      <c r="A49432" s="2" t="s">
        <v>290</v>
      </c>
    </row>
    <row r="49433" spans="1:1" ht="12.75">
      <c r="A49433" s="2" t="s">
        <v>293</v>
      </c>
    </row>
    <row r="49435" spans="1:1" ht="12.75">
      <c r="A49435" s="2" t="s">
        <v>750</v>
      </c>
    </row>
    <row r="49436" spans="1:1" ht="12.75">
      <c r="A49436" s="2" t="s">
        <v>299</v>
      </c>
    </row>
    <row r="49437" spans="1:1" ht="12.75">
      <c r="A49437" s="2" t="s">
        <v>299</v>
      </c>
    </row>
    <row r="49438" spans="1:1" ht="12.75">
      <c r="A49438" s="2" t="s">
        <v>292</v>
      </c>
    </row>
    <row r="49440" spans="1:1" ht="12.75">
      <c r="A49440" s="2" t="s">
        <v>293</v>
      </c>
    </row>
    <row r="49442" spans="1:1" ht="12.75">
      <c r="A49442" s="2" t="s">
        <v>1602</v>
      </c>
    </row>
    <row r="49443" spans="1:1" ht="12.75">
      <c r="A49443" s="2" t="s">
        <v>1602</v>
      </c>
    </row>
    <row r="49444" spans="1:1" ht="12.75">
      <c r="A49444" s="2" t="s">
        <v>264</v>
      </c>
    </row>
    <row r="49445" spans="1:1" ht="12.75">
      <c r="A49445" s="2" t="s">
        <v>264</v>
      </c>
    </row>
    <row r="49446" spans="1:1" ht="12.75">
      <c r="A49446" s="2" t="s">
        <v>970</v>
      </c>
    </row>
    <row r="49447" spans="1:1" ht="12.75">
      <c r="A49447" s="2" t="s">
        <v>970</v>
      </c>
    </row>
    <row r="49448" spans="1:1" ht="12.75">
      <c r="A49448" s="2" t="s">
        <v>1319</v>
      </c>
    </row>
    <row r="49449" spans="1:1" ht="12.75">
      <c r="A49449" s="2" t="s">
        <v>1319</v>
      </c>
    </row>
    <row r="49450" spans="1:1" ht="12.75">
      <c r="A49450" s="2" t="s">
        <v>970</v>
      </c>
    </row>
    <row r="49451" spans="1:1" ht="12.75">
      <c r="A49451" s="2" t="s">
        <v>970</v>
      </c>
    </row>
    <row r="49452" spans="1:1" ht="12.75">
      <c r="A49452" s="2" t="s">
        <v>970</v>
      </c>
    </row>
    <row r="49453" spans="1:1" ht="12.75">
      <c r="A49453" s="2" t="s">
        <v>970</v>
      </c>
    </row>
    <row r="49454" spans="1:1" ht="12.75">
      <c r="A49454" s="2" t="s">
        <v>1319</v>
      </c>
    </row>
    <row r="49455" spans="1:1" ht="12.75">
      <c r="A49455" s="2" t="s">
        <v>1319</v>
      </c>
    </row>
    <row r="49456" spans="1:1" ht="12.75">
      <c r="A49456" s="2" t="s">
        <v>264</v>
      </c>
    </row>
    <row r="49457" spans="1:1" ht="12.75">
      <c r="A49457" s="2" t="s">
        <v>264</v>
      </c>
    </row>
    <row r="49458" spans="1:1" ht="12.75">
      <c r="A49458" s="2" t="s">
        <v>1319</v>
      </c>
    </row>
    <row r="49459" spans="1:1" ht="12.75">
      <c r="A49459" s="2" t="s">
        <v>1319</v>
      </c>
    </row>
    <row r="49460" spans="1:1" ht="12.75">
      <c r="A49460" s="2" t="s">
        <v>970</v>
      </c>
    </row>
    <row r="49461" spans="1:1" ht="12.75">
      <c r="A49461" s="2" t="s">
        <v>970</v>
      </c>
    </row>
    <row r="49462" spans="1:1" ht="12.75">
      <c r="A49462" s="2" t="s">
        <v>289</v>
      </c>
    </row>
    <row r="49463" spans="1:1" ht="12.75">
      <c r="A49463" s="2" t="s">
        <v>750</v>
      </c>
    </row>
    <row r="49464" spans="1:1" ht="12.75">
      <c r="A49464" s="2" t="s">
        <v>750</v>
      </c>
    </row>
    <row r="49465" spans="1:1" ht="12.75">
      <c r="A49465" s="2" t="s">
        <v>694</v>
      </c>
    </row>
    <row r="49466" spans="1:1" ht="12.75">
      <c r="A49466" s="2" t="s">
        <v>758</v>
      </c>
    </row>
    <row r="49467" spans="1:1" ht="12.75">
      <c r="A49467" s="2" t="s">
        <v>758</v>
      </c>
    </row>
    <row r="49468" spans="1:1" ht="12.75">
      <c r="A49468" s="2" t="s">
        <v>758</v>
      </c>
    </row>
    <row r="49469" spans="1:1" ht="12.75">
      <c r="A49469" s="2" t="s">
        <v>758</v>
      </c>
    </row>
    <row r="49470" spans="1:1" ht="12.75">
      <c r="A49470" s="2" t="s">
        <v>758</v>
      </c>
    </row>
    <row r="49471" spans="1:1" ht="12.75">
      <c r="A49471" s="2" t="s">
        <v>758</v>
      </c>
    </row>
    <row r="49472" spans="1:1" ht="12.75">
      <c r="A49472" s="2" t="s">
        <v>1355</v>
      </c>
    </row>
    <row r="49473" spans="1:1" ht="12.75">
      <c r="A49473" s="2" t="s">
        <v>1355</v>
      </c>
    </row>
    <row r="49474" spans="1:1" ht="12.75">
      <c r="A49474" s="2" t="s">
        <v>757</v>
      </c>
    </row>
    <row r="49475" spans="1:1" ht="12.75">
      <c r="A49475" s="2" t="s">
        <v>757</v>
      </c>
    </row>
    <row r="49476" spans="1:1" ht="12.75">
      <c r="A49476" s="2" t="s">
        <v>757</v>
      </c>
    </row>
    <row r="49477" spans="1:1" ht="12.75">
      <c r="A49477" s="2" t="s">
        <v>757</v>
      </c>
    </row>
    <row r="49478" spans="1:1" ht="12.75">
      <c r="A49478" s="2" t="s">
        <v>757</v>
      </c>
    </row>
    <row r="49479" spans="1:1" ht="12.75">
      <c r="A49479" s="2" t="s">
        <v>1354</v>
      </c>
    </row>
    <row r="49480" spans="1:1" ht="12.75">
      <c r="A49480" s="2" t="s">
        <v>757</v>
      </c>
    </row>
    <row r="49481" spans="1:1" ht="12.75">
      <c r="A49481" s="2" t="s">
        <v>757</v>
      </c>
    </row>
    <row r="49482" spans="1:1" ht="12.75">
      <c r="A49482" s="2" t="s">
        <v>757</v>
      </c>
    </row>
    <row r="49483" spans="1:1" ht="12.75">
      <c r="A49483" s="2" t="s">
        <v>1354</v>
      </c>
    </row>
    <row r="49484" spans="1:1" ht="12.75">
      <c r="A49484" s="2" t="s">
        <v>284</v>
      </c>
    </row>
    <row r="49485" spans="1:1" ht="12.75">
      <c r="A49485" s="2" t="s">
        <v>1010</v>
      </c>
    </row>
    <row r="49486" spans="1:1" ht="12.75">
      <c r="A49486" s="2" t="s">
        <v>970</v>
      </c>
    </row>
    <row r="49487" spans="1:1" ht="12.75">
      <c r="A49487" s="2" t="s">
        <v>264</v>
      </c>
    </row>
    <row r="49488" spans="1:1" ht="12.75">
      <c r="A49488" s="2" t="s">
        <v>970</v>
      </c>
    </row>
    <row r="49489" spans="1:1" ht="12.75">
      <c r="A49489" s="2" t="s">
        <v>970</v>
      </c>
    </row>
    <row r="49490" spans="1:1" ht="12.75">
      <c r="A49490" s="2" t="s">
        <v>291</v>
      </c>
    </row>
    <row r="49492" spans="1:1" ht="12.75">
      <c r="A49492" s="2" t="s">
        <v>291</v>
      </c>
    </row>
    <row r="49493" spans="1:1" ht="12.75">
      <c r="A49493" s="2" t="s">
        <v>291</v>
      </c>
    </row>
    <row r="49494" spans="1:1" ht="12.75">
      <c r="A49494" s="2" t="s">
        <v>694</v>
      </c>
    </row>
    <row r="49496" spans="1:1" ht="12.75">
      <c r="A49496" s="2" t="s">
        <v>288</v>
      </c>
    </row>
    <row r="49497" spans="1:1" ht="12.75">
      <c r="A49497" s="2" t="s">
        <v>288</v>
      </c>
    </row>
    <row r="49498" spans="1:1" ht="12.75">
      <c r="A49498" s="2" t="s">
        <v>289</v>
      </c>
    </row>
    <row r="49500" spans="1:1" ht="12.75">
      <c r="A49500" s="2" t="s">
        <v>694</v>
      </c>
    </row>
    <row r="49501" spans="1:1" ht="12.75">
      <c r="A49501" s="2" t="s">
        <v>694</v>
      </c>
    </row>
    <row r="49502" spans="1:1" ht="12.75">
      <c r="A49502" s="2" t="s">
        <v>694</v>
      </c>
    </row>
    <row r="49503" spans="1:1" ht="12.75">
      <c r="A49503" s="2" t="s">
        <v>694</v>
      </c>
    </row>
    <row r="49506" spans="1:1" ht="12.75">
      <c r="A49506" s="2" t="s">
        <v>750</v>
      </c>
    </row>
    <row r="49515" spans="1:1" ht="12.75">
      <c r="A49515" s="2" t="s">
        <v>750</v>
      </c>
    </row>
    <row r="49516" spans="1:1" ht="12.75">
      <c r="A49516" s="2" t="s">
        <v>1566</v>
      </c>
    </row>
    <row r="49517" spans="1:1" ht="12.75">
      <c r="A49517" s="2" t="s">
        <v>1566</v>
      </c>
    </row>
    <row r="49518" spans="1:1" ht="12.75">
      <c r="A49518" s="2" t="s">
        <v>1472</v>
      </c>
    </row>
    <row r="49520" spans="1:1" ht="12.75">
      <c r="A49520" s="2" t="s">
        <v>1559</v>
      </c>
    </row>
    <row r="49521" spans="1:1" ht="12.75">
      <c r="A49521" s="2" t="s">
        <v>1559</v>
      </c>
    </row>
    <row r="49522" spans="1:1" ht="12.75">
      <c r="A49522" s="2" t="s">
        <v>1647</v>
      </c>
    </row>
    <row r="49523" spans="1:1" ht="12.75">
      <c r="A49523" s="2" t="s">
        <v>1707</v>
      </c>
    </row>
    <row r="49524" spans="1:1" ht="12.75">
      <c r="A49524" s="2" t="s">
        <v>1643</v>
      </c>
    </row>
    <row r="49525" spans="1:1" ht="12.75">
      <c r="A49525" s="2" t="s">
        <v>1658</v>
      </c>
    </row>
    <row r="49526" spans="1:1" ht="12.75">
      <c r="A49526" s="2" t="s">
        <v>1640</v>
      </c>
    </row>
    <row r="49527" spans="1:1" ht="12.75">
      <c r="A49527" s="2" t="s">
        <v>1640</v>
      </c>
    </row>
    <row r="49528" spans="1:1" ht="12.75">
      <c r="A49528" s="2" t="s">
        <v>1558</v>
      </c>
    </row>
    <row r="49530" spans="1:1" ht="12.75">
      <c r="A49530" s="2" t="s">
        <v>1559</v>
      </c>
    </row>
    <row r="49531" spans="1:1" ht="12.75">
      <c r="A49531" s="2" t="s">
        <v>1559</v>
      </c>
    </row>
    <row r="49532" spans="1:1" ht="12.75">
      <c r="A49532" s="2" t="s">
        <v>1550</v>
      </c>
    </row>
    <row r="49533" spans="1:1" ht="12.75">
      <c r="A49533" s="2" t="s">
        <v>1550</v>
      </c>
    </row>
    <row r="49534" spans="1:1" ht="12.75">
      <c r="A49534" s="2" t="s">
        <v>1708</v>
      </c>
    </row>
    <row r="49536" spans="1:1" ht="12.75">
      <c r="A49536" s="2" t="s">
        <v>1552</v>
      </c>
    </row>
    <row r="49537" spans="1:1" ht="12.75">
      <c r="A49537" s="2" t="s">
        <v>1454</v>
      </c>
    </row>
    <row r="49538" spans="1:1" ht="12.75">
      <c r="A49538" s="2" t="s">
        <v>1551</v>
      </c>
    </row>
    <row r="49539" spans="1:1" ht="12.75">
      <c r="A49539" s="2" t="s">
        <v>1551</v>
      </c>
    </row>
    <row r="49540" spans="1:1" ht="12.75">
      <c r="A49540" s="2" t="s">
        <v>1542</v>
      </c>
    </row>
    <row r="49541" spans="1:1" ht="12.75">
      <c r="A49541" s="2" t="s">
        <v>1542</v>
      </c>
    </row>
    <row r="49542" spans="1:1" ht="12.75">
      <c r="A49542" s="2" t="s">
        <v>1709</v>
      </c>
    </row>
    <row r="49543" spans="1:1" ht="12.75">
      <c r="A49543" s="2" t="s">
        <v>1361</v>
      </c>
    </row>
    <row r="49544" spans="1:1" ht="12.75">
      <c r="A49544" s="2" t="s">
        <v>1363</v>
      </c>
    </row>
    <row r="49545" spans="1:1" ht="12.75">
      <c r="A49545" s="2" t="s">
        <v>1363</v>
      </c>
    </row>
    <row r="49546" spans="1:1" ht="12.75">
      <c r="A49546" s="2" t="s">
        <v>1467</v>
      </c>
    </row>
    <row r="49547" spans="1:1" ht="12.75">
      <c r="A49547" s="2" t="s">
        <v>1467</v>
      </c>
    </row>
    <row r="49548" spans="1:1" ht="12.75">
      <c r="A49548" s="2" t="s">
        <v>1448</v>
      </c>
    </row>
    <row r="49549" spans="1:1" ht="12.75">
      <c r="A49549" s="2" t="s">
        <v>1448</v>
      </c>
    </row>
    <row r="49552" spans="1:1" ht="12.75">
      <c r="A49552" s="2" t="s">
        <v>1458</v>
      </c>
    </row>
    <row r="49553" spans="1:1" ht="12.75">
      <c r="A49553" s="2" t="s">
        <v>1458</v>
      </c>
    </row>
    <row r="49554" spans="1:1" ht="12.75">
      <c r="A49554" s="2" t="s">
        <v>1541</v>
      </c>
    </row>
    <row r="49555" spans="1:1" ht="12.75">
      <c r="A49555" s="2" t="s">
        <v>1541</v>
      </c>
    </row>
    <row r="49556" spans="1:1" ht="12.75">
      <c r="A49556" s="2" t="s">
        <v>1545</v>
      </c>
    </row>
    <row r="49557" spans="1:1" ht="12.75">
      <c r="A49557" s="2" t="s">
        <v>1545</v>
      </c>
    </row>
    <row r="49558" spans="1:1" ht="12.75">
      <c r="A49558" s="2" t="s">
        <v>1439</v>
      </c>
    </row>
    <row r="49559" spans="1:1" ht="12.75">
      <c r="A49559" s="2" t="s">
        <v>1439</v>
      </c>
    </row>
    <row r="49560" spans="1:1" ht="12.75">
      <c r="A49560" s="2" t="s">
        <v>763</v>
      </c>
    </row>
    <row r="49561" spans="1:1" ht="12.75">
      <c r="A49561" s="2" t="s">
        <v>763</v>
      </c>
    </row>
    <row r="49562" spans="1:1" ht="12.75">
      <c r="A49562" s="2" t="s">
        <v>1449</v>
      </c>
    </row>
    <row r="49563" spans="1:1" ht="12.75">
      <c r="A49563" s="2" t="s">
        <v>1449</v>
      </c>
    </row>
    <row r="49564" spans="1:1" ht="12.75">
      <c r="A49564" s="2" t="s">
        <v>1469</v>
      </c>
    </row>
    <row r="49565" spans="1:1" ht="12.75">
      <c r="A49565" s="2" t="s">
        <v>1469</v>
      </c>
    </row>
    <row r="49566" spans="1:1" ht="12.75">
      <c r="A49566" s="2" t="s">
        <v>1461</v>
      </c>
    </row>
    <row r="49567" spans="1:1" ht="12.75">
      <c r="A49567" s="2" t="s">
        <v>1461</v>
      </c>
    </row>
    <row r="49568" spans="1:1" ht="12.75">
      <c r="A49568" s="2" t="s">
        <v>1446</v>
      </c>
    </row>
    <row r="49569" spans="1:1" ht="12.75">
      <c r="A49569" s="2" t="s">
        <v>1446</v>
      </c>
    </row>
    <row r="49570" spans="1:1" ht="12.75">
      <c r="A49570" s="2" t="s">
        <v>1442</v>
      </c>
    </row>
    <row r="49571" spans="1:1" ht="12.75">
      <c r="A49571" s="2" t="s">
        <v>1442</v>
      </c>
    </row>
    <row r="49572" spans="1:1" ht="12.75">
      <c r="A49572" s="2" t="s">
        <v>1443</v>
      </c>
    </row>
    <row r="49573" spans="1:1" ht="12.75">
      <c r="A49573" s="2" t="s">
        <v>1443</v>
      </c>
    </row>
    <row r="49574" spans="1:1" ht="12.75">
      <c r="A49574" s="2" t="s">
        <v>1291</v>
      </c>
    </row>
    <row r="49575" spans="1:1" ht="12.75">
      <c r="A49575" s="2" t="s">
        <v>1291</v>
      </c>
    </row>
    <row r="49576" spans="1:1" ht="12.75">
      <c r="A49576" s="2" t="s">
        <v>1292</v>
      </c>
    </row>
    <row r="49577" spans="1:1" ht="12.75">
      <c r="A49577" s="2" t="s">
        <v>1292</v>
      </c>
    </row>
    <row r="49578" spans="1:1" ht="12.75">
      <c r="A49578" s="2" t="s">
        <v>1298</v>
      </c>
    </row>
    <row r="49579" spans="1:1" ht="12.75">
      <c r="A49579" s="2" t="s">
        <v>1298</v>
      </c>
    </row>
    <row r="49580" spans="1:1" ht="12.75">
      <c r="A49580" s="2" t="s">
        <v>1359</v>
      </c>
    </row>
    <row r="49581" spans="1:1" ht="12.75">
      <c r="A49581" s="2" t="s">
        <v>1359</v>
      </c>
    </row>
    <row r="49582" spans="1:1" ht="12.75">
      <c r="A49582" s="2" t="s">
        <v>1358</v>
      </c>
    </row>
    <row r="49583" spans="1:1" ht="12.75">
      <c r="A49583" s="2" t="s">
        <v>1358</v>
      </c>
    </row>
    <row r="49584" spans="1:1" ht="12.75">
      <c r="A49584" s="2" t="s">
        <v>1357</v>
      </c>
    </row>
    <row r="49585" spans="1:1" ht="12.75">
      <c r="A49585" s="2" t="s">
        <v>1357</v>
      </c>
    </row>
    <row r="49586" spans="1:1" ht="12.75">
      <c r="A49586" s="2" t="s">
        <v>1293</v>
      </c>
    </row>
    <row r="49588" spans="1:1" ht="12.75">
      <c r="A49588" s="2" t="s">
        <v>1256</v>
      </c>
    </row>
    <row r="49589" spans="1:1" ht="12.75">
      <c r="A49589" s="2" t="s">
        <v>1256</v>
      </c>
    </row>
    <row r="49590" spans="1:1" ht="12.75">
      <c r="A49590" s="2" t="s">
        <v>1144</v>
      </c>
    </row>
    <row r="49591" spans="1:1" ht="12.75">
      <c r="A49591" s="2" t="s">
        <v>1144</v>
      </c>
    </row>
    <row r="49594" spans="1:1" ht="12.75">
      <c r="A49594" s="2" t="s">
        <v>1142</v>
      </c>
    </row>
    <row r="49595" spans="1:1" ht="12.75">
      <c r="A49595" s="2" t="s">
        <v>1142</v>
      </c>
    </row>
    <row r="49596" spans="1:1" ht="12.75">
      <c r="A49596" s="2" t="s">
        <v>962</v>
      </c>
    </row>
    <row r="49597" spans="1:1" ht="12.75">
      <c r="A49597" s="2" t="s">
        <v>962</v>
      </c>
    </row>
    <row r="49598" spans="1:1" ht="12.75">
      <c r="A49598" s="2" t="s">
        <v>966</v>
      </c>
    </row>
    <row r="49599" spans="1:1" ht="12.75">
      <c r="A49599" s="2" t="s">
        <v>966</v>
      </c>
    </row>
    <row r="49600" spans="1:1" ht="12.75">
      <c r="A49600" s="2" t="s">
        <v>708</v>
      </c>
    </row>
    <row r="49601" spans="1:1" ht="12.75">
      <c r="A49601" s="2" t="s">
        <v>708</v>
      </c>
    </row>
    <row r="49602" spans="1:1" ht="12.75">
      <c r="A49602" s="2" t="s">
        <v>957</v>
      </c>
    </row>
    <row r="49603" spans="1:1" ht="12.75">
      <c r="A49603" s="2" t="s">
        <v>957</v>
      </c>
    </row>
    <row r="49604" spans="1:1" ht="12.75">
      <c r="A49604" s="2" t="s">
        <v>1454</v>
      </c>
    </row>
    <row r="49605" spans="1:1" ht="12.75">
      <c r="A49605" s="2" t="s">
        <v>1552</v>
      </c>
    </row>
    <row r="49606" spans="1:1" ht="12.75">
      <c r="A49606" s="2" t="s">
        <v>205</v>
      </c>
    </row>
    <row r="49607" spans="1:1" ht="12.75">
      <c r="A49607" s="2" t="s">
        <v>205</v>
      </c>
    </row>
    <row r="49608" spans="1:1" ht="12.75">
      <c r="A49608" s="2" t="s">
        <v>957</v>
      </c>
    </row>
    <row r="49609" spans="1:1" ht="12.75">
      <c r="A49609" s="2" t="s">
        <v>957</v>
      </c>
    </row>
    <row r="49610" spans="1:1" ht="12.75">
      <c r="A49610" s="2" t="s">
        <v>708</v>
      </c>
    </row>
    <row r="49611" spans="1:1" ht="12.75">
      <c r="A49611" s="2" t="s">
        <v>708</v>
      </c>
    </row>
    <row r="49612" spans="1:1" ht="12.75">
      <c r="A49612" s="2" t="s">
        <v>1135</v>
      </c>
    </row>
    <row r="49616" spans="1:1" ht="12.75">
      <c r="A49616" s="2" t="s">
        <v>1142</v>
      </c>
    </row>
    <row r="49617" spans="1:1" ht="12.75">
      <c r="A49617" s="2" t="s">
        <v>1142</v>
      </c>
    </row>
    <row r="49618" spans="1:1" ht="12.75">
      <c r="A49618" s="2" t="s">
        <v>958</v>
      </c>
    </row>
    <row r="49619" spans="1:1" ht="12.75">
      <c r="A49619" s="2" t="s">
        <v>958</v>
      </c>
    </row>
    <row r="49620" spans="1:1" ht="12.75">
      <c r="A49620" s="2" t="s">
        <v>1144</v>
      </c>
    </row>
    <row r="49622" spans="1:1" ht="12.75">
      <c r="A49622" s="2" t="s">
        <v>1256</v>
      </c>
    </row>
    <row r="49623" spans="1:1" ht="12.75">
      <c r="A49623" s="2" t="s">
        <v>1256</v>
      </c>
    </row>
    <row r="49624" spans="1:1" ht="12.75">
      <c r="A49624" s="2" t="s">
        <v>1293</v>
      </c>
    </row>
    <row r="49625" spans="1:1" ht="12.75">
      <c r="A49625" s="2" t="s">
        <v>1293</v>
      </c>
    </row>
    <row r="49626" spans="1:1" ht="12.75">
      <c r="A49626" s="2" t="s">
        <v>1457</v>
      </c>
    </row>
    <row r="49628" spans="1:1" ht="12.75">
      <c r="A49628" s="2" t="s">
        <v>1439</v>
      </c>
    </row>
    <row r="49629" spans="1:1" ht="12.75">
      <c r="A49629" s="2" t="s">
        <v>1439</v>
      </c>
    </row>
    <row r="49630" spans="1:1" ht="12.75">
      <c r="A49630" s="2" t="s">
        <v>1558</v>
      </c>
    </row>
    <row r="49632" spans="1:1" ht="12.75">
      <c r="A49632" s="2" t="s">
        <v>1640</v>
      </c>
    </row>
    <row r="49633" spans="1:1" ht="12.75">
      <c r="A49633" s="2" t="s">
        <v>1640</v>
      </c>
    </row>
    <row r="49634" spans="1:1" ht="12.75">
      <c r="A49634" s="2" t="s">
        <v>1643</v>
      </c>
    </row>
    <row r="49635" spans="1:1" ht="12.75">
      <c r="A49635" s="2" t="s">
        <v>1643</v>
      </c>
    </row>
    <row r="49637" spans="1:1" ht="12.75">
      <c r="A49637" s="2" t="s">
        <v>1710</v>
      </c>
    </row>
    <row r="49638" spans="1:1" ht="12.75">
      <c r="A49638" s="2" t="s">
        <v>205</v>
      </c>
    </row>
    <row r="49640" spans="1:1" ht="12.75">
      <c r="A49640" s="2" t="s">
        <v>1566</v>
      </c>
    </row>
    <row r="49641" spans="1:1" ht="12.75">
      <c r="A49641" s="2" t="s">
        <v>1566</v>
      </c>
    </row>
    <row r="49642" spans="1:1" ht="12.75">
      <c r="A49642" s="2" t="s">
        <v>1559</v>
      </c>
    </row>
    <row r="49643" spans="1:1" ht="12.75">
      <c r="A49643" s="2" t="s">
        <v>1559</v>
      </c>
    </row>
    <row r="49644" spans="1:1" ht="12.75">
      <c r="A49644" s="2" t="s">
        <v>1550</v>
      </c>
    </row>
    <row r="49645" spans="1:1" ht="12.75">
      <c r="A49645" s="2" t="s">
        <v>1550</v>
      </c>
    </row>
    <row r="49646" spans="1:1" ht="12.75">
      <c r="A49646" s="2" t="s">
        <v>1472</v>
      </c>
    </row>
    <row r="49647" spans="1:1" ht="12.75">
      <c r="A49647" s="2" t="s">
        <v>1472</v>
      </c>
    </row>
    <row r="49648" spans="1:1" ht="12.75">
      <c r="A49648" s="2" t="s">
        <v>1454</v>
      </c>
    </row>
    <row r="49649" spans="1:1" ht="12.75">
      <c r="A49649" s="2" t="s">
        <v>1552</v>
      </c>
    </row>
    <row r="49650" spans="1:1" ht="12.75">
      <c r="A49650" s="2" t="s">
        <v>1551</v>
      </c>
    </row>
    <row r="49651" spans="1:1" ht="12.75">
      <c r="A49651" s="2" t="s">
        <v>1551</v>
      </c>
    </row>
    <row r="49652" spans="1:1" ht="12.75">
      <c r="A49652" s="2" t="s">
        <v>1542</v>
      </c>
    </row>
    <row r="49653" spans="1:1" ht="12.75">
      <c r="A49653" s="2" t="s">
        <v>1542</v>
      </c>
    </row>
    <row r="49654" spans="1:1" ht="12.75">
      <c r="A49654" s="2" t="s">
        <v>1361</v>
      </c>
    </row>
    <row r="49655" spans="1:1" ht="12.75">
      <c r="A49655" s="2" t="s">
        <v>1361</v>
      </c>
    </row>
    <row r="49656" spans="1:1" ht="12.75">
      <c r="A49656" s="2" t="s">
        <v>1711</v>
      </c>
    </row>
    <row r="49657" spans="1:1" ht="12.75">
      <c r="A49657" s="2" t="s">
        <v>1363</v>
      </c>
    </row>
    <row r="49658" spans="1:1" ht="12.75">
      <c r="A49658" s="2" t="s">
        <v>1467</v>
      </c>
    </row>
    <row r="49659" spans="1:1" ht="12.75">
      <c r="A49659" s="2" t="s">
        <v>1467</v>
      </c>
    </row>
    <row r="49660" spans="1:1" ht="12.75">
      <c r="A49660" s="2" t="s">
        <v>1448</v>
      </c>
    </row>
    <row r="49662" spans="1:1" ht="12.75">
      <c r="A49662" s="2" t="s">
        <v>1453</v>
      </c>
    </row>
    <row r="49663" spans="1:1" ht="12.75">
      <c r="A49663" s="2" t="s">
        <v>1453</v>
      </c>
    </row>
    <row r="49664" spans="1:1" ht="12.75">
      <c r="A49664" s="2" t="s">
        <v>1458</v>
      </c>
    </row>
    <row r="49665" spans="1:1" ht="12.75">
      <c r="A49665" s="2" t="s">
        <v>1458</v>
      </c>
    </row>
    <row r="49666" spans="1:1" ht="12.75">
      <c r="A49666" s="2" t="s">
        <v>1541</v>
      </c>
    </row>
    <row r="49667" spans="1:1" ht="12.75">
      <c r="A49667" s="2" t="s">
        <v>1541</v>
      </c>
    </row>
    <row r="49668" spans="1:1" ht="12.75">
      <c r="A49668" s="2" t="s">
        <v>1712</v>
      </c>
    </row>
    <row r="49669" spans="1:1" ht="12.75">
      <c r="A49669" s="2" t="s">
        <v>1713</v>
      </c>
    </row>
    <row r="49670" spans="1:1" ht="12.75">
      <c r="A49670" s="2" t="s">
        <v>1449</v>
      </c>
    </row>
    <row r="49671" spans="1:1" ht="12.75">
      <c r="A49671" s="2" t="s">
        <v>1449</v>
      </c>
    </row>
    <row r="49672" spans="1:1" ht="12.75">
      <c r="A49672" s="2" t="s">
        <v>1469</v>
      </c>
    </row>
    <row r="49673" spans="1:1" ht="12.75">
      <c r="A49673" s="2" t="s">
        <v>1469</v>
      </c>
    </row>
    <row r="49676" spans="1:1" ht="12.75">
      <c r="A49676" s="2" t="s">
        <v>1446</v>
      </c>
    </row>
    <row r="49677" spans="1:1" ht="12.75">
      <c r="A49677" s="2" t="s">
        <v>1446</v>
      </c>
    </row>
    <row r="49678" spans="1:1" ht="12.75">
      <c r="A49678" s="2" t="s">
        <v>1442</v>
      </c>
    </row>
    <row r="49679" spans="1:1" ht="12.75">
      <c r="A49679" s="2" t="s">
        <v>1442</v>
      </c>
    </row>
    <row r="49680" spans="1:1" ht="12.75">
      <c r="A49680" s="2" t="s">
        <v>1443</v>
      </c>
    </row>
    <row r="49681" spans="1:1" ht="12.75">
      <c r="A49681" s="2" t="s">
        <v>1443</v>
      </c>
    </row>
    <row r="49682" spans="1:1" ht="12.75">
      <c r="A49682" s="2" t="s">
        <v>1357</v>
      </c>
    </row>
    <row r="49683" spans="1:1" ht="12.75">
      <c r="A49683" s="2" t="s">
        <v>1357</v>
      </c>
    </row>
    <row r="49684" spans="1:1" ht="12.75">
      <c r="A49684" s="2" t="s">
        <v>1358</v>
      </c>
    </row>
    <row r="49685" spans="1:1" ht="12.75">
      <c r="A49685" s="2" t="s">
        <v>1358</v>
      </c>
    </row>
    <row r="49686" spans="1:1" ht="12.75">
      <c r="A49686" s="2" t="s">
        <v>1714</v>
      </c>
    </row>
    <row r="49687" spans="1:1" ht="12.75">
      <c r="A49687" s="2" t="s">
        <v>1359</v>
      </c>
    </row>
    <row r="49688" spans="1:1" ht="12.75">
      <c r="A49688" s="2" t="s">
        <v>1298</v>
      </c>
    </row>
    <row r="49689" spans="1:1" ht="12.75">
      <c r="A49689" s="2" t="s">
        <v>1298</v>
      </c>
    </row>
    <row r="49690" spans="1:1" ht="12.75">
      <c r="A49690" s="2" t="s">
        <v>1292</v>
      </c>
    </row>
    <row r="49691" spans="1:1" ht="12.75">
      <c r="A49691" s="2" t="s">
        <v>1292</v>
      </c>
    </row>
    <row r="49692" spans="1:1" ht="12.75">
      <c r="A49692" s="2" t="s">
        <v>1291</v>
      </c>
    </row>
    <row r="49693" spans="1:1" ht="12.75">
      <c r="A49693" s="2" t="s">
        <v>1291</v>
      </c>
    </row>
    <row r="49694" spans="1:1" ht="12.75">
      <c r="A49694" s="2" t="s">
        <v>1552</v>
      </c>
    </row>
    <row r="49695" spans="1:1" ht="12.75">
      <c r="A49695" s="2" t="s">
        <v>1454</v>
      </c>
    </row>
    <row r="49696" spans="1:1" ht="12.75">
      <c r="A49696" s="2" t="s">
        <v>1447</v>
      </c>
    </row>
    <row r="49697" spans="1:1" ht="12.75">
      <c r="A49697" s="2" t="s">
        <v>1454</v>
      </c>
    </row>
    <row r="49698" spans="1:1" ht="12.75">
      <c r="A49698" s="2" t="s">
        <v>1552</v>
      </c>
    </row>
    <row r="49699" spans="1:1" ht="12.75">
      <c r="A49699" s="2" t="s">
        <v>1715</v>
      </c>
    </row>
    <row r="49702" spans="1:1" ht="12.75">
      <c r="A49702" s="2" t="s">
        <v>1552</v>
      </c>
    </row>
    <row r="49703" spans="1:1" ht="12.75">
      <c r="A49703" s="2" t="s">
        <v>1716</v>
      </c>
    </row>
    <row r="49704" spans="1:1" ht="12.75">
      <c r="A49704" s="2" t="s">
        <v>958</v>
      </c>
    </row>
    <row r="49706" spans="1:1" ht="12.75">
      <c r="A49706" s="2" t="s">
        <v>1144</v>
      </c>
    </row>
    <row r="49707" spans="1:1" ht="12.75">
      <c r="A49707" s="2" t="s">
        <v>1144</v>
      </c>
    </row>
    <row r="49708" spans="1:1" ht="12.75">
      <c r="A49708" s="2" t="s">
        <v>1643</v>
      </c>
    </row>
    <row r="49709" spans="1:1" ht="12.75">
      <c r="A49709" s="2" t="s">
        <v>1643</v>
      </c>
    </row>
    <row r="49711" spans="1:1" ht="12.75">
      <c r="A49711" s="2" t="s">
        <v>1558</v>
      </c>
    </row>
    <row r="49712" spans="1:1" ht="12.75">
      <c r="A49712" s="2" t="s">
        <v>1292</v>
      </c>
    </row>
    <row r="49713" spans="1:1" ht="12.75">
      <c r="A49713" s="2" t="s">
        <v>1292</v>
      </c>
    </row>
    <row r="49716" spans="1:1" ht="12.75">
      <c r="A49716" s="2" t="s">
        <v>1120</v>
      </c>
    </row>
    <row r="49717" spans="1:1" ht="12.75">
      <c r="A49717" s="2" t="s">
        <v>1120</v>
      </c>
    </row>
    <row r="49718" spans="1:1" ht="12.75">
      <c r="A49718" s="2" t="s">
        <v>1120</v>
      </c>
    </row>
    <row r="49781" spans="1:1" ht="12.75">
      <c r="A49781" s="2" t="s">
        <v>1717</v>
      </c>
    </row>
    <row r="49786" spans="1:1" ht="12.75">
      <c r="A49786" s="2" t="s">
        <v>425</v>
      </c>
    </row>
    <row r="49789" spans="1:1" ht="12.75">
      <c r="A49789" s="2" t="s">
        <v>425</v>
      </c>
    </row>
    <row r="49790" spans="1:1" ht="12.75">
      <c r="A49790" s="2" t="s">
        <v>427</v>
      </c>
    </row>
    <row r="49791" spans="1:1" ht="12.75">
      <c r="A49791" s="2" t="s">
        <v>425</v>
      </c>
    </row>
    <row r="49792" spans="1:1" ht="12.75">
      <c r="A49792" s="2" t="s">
        <v>1718</v>
      </c>
    </row>
    <row r="49793" spans="1:1" ht="12.75">
      <c r="A49793" s="2" t="s">
        <v>1719</v>
      </c>
    </row>
    <row r="49794" spans="1:1" ht="12.75">
      <c r="A49794" s="2" t="s">
        <v>1720</v>
      </c>
    </row>
    <row r="49821" spans="1:1" ht="12.75">
      <c r="A49821" s="2" t="s">
        <v>496</v>
      </c>
    </row>
    <row r="49822" spans="1:1" ht="12.75">
      <c r="A49822" s="2" t="s">
        <v>496</v>
      </c>
    </row>
    <row r="49841" spans="1:1" ht="12.75">
      <c r="A49841" s="2" t="s">
        <v>1721</v>
      </c>
    </row>
    <row r="49844" spans="1:1" ht="12.75">
      <c r="A49844" s="2" t="s">
        <v>775</v>
      </c>
    </row>
    <row r="49845" spans="1:1" ht="12.75">
      <c r="A49845" s="2" t="s">
        <v>669</v>
      </c>
    </row>
    <row r="49856" spans="1:1" ht="12.75">
      <c r="A49856" s="2" t="s">
        <v>669</v>
      </c>
    </row>
    <row r="49857" spans="1:1" ht="12.75">
      <c r="A49857" s="2" t="s">
        <v>669</v>
      </c>
    </row>
    <row r="49858" spans="1:1" ht="12.75">
      <c r="A49858" s="2" t="s">
        <v>669</v>
      </c>
    </row>
    <row r="49860" spans="1:1" ht="12.75">
      <c r="A49860" s="2" t="s">
        <v>775</v>
      </c>
    </row>
    <row r="49861" spans="1:1" ht="12.75">
      <c r="A49861" s="2" t="s">
        <v>997</v>
      </c>
    </row>
    <row r="49862" spans="1:1" ht="12.75">
      <c r="A49862" s="2" t="s">
        <v>669</v>
      </c>
    </row>
    <row r="49863" spans="1:1" ht="12.75">
      <c r="A49863" s="2" t="s">
        <v>669</v>
      </c>
    </row>
    <row r="49864" spans="1:1" ht="12.75">
      <c r="A49864" s="2" t="s">
        <v>669</v>
      </c>
    </row>
    <row r="49865" spans="1:1" ht="12.75">
      <c r="A49865" s="2" t="s">
        <v>778</v>
      </c>
    </row>
    <row r="49866" spans="1:1" ht="12.75">
      <c r="A49866" s="2" t="s">
        <v>669</v>
      </c>
    </row>
    <row r="49867" spans="1:1" ht="12.75">
      <c r="A49867" s="2" t="s">
        <v>997</v>
      </c>
    </row>
    <row r="49868" spans="1:1" ht="12.75">
      <c r="A49868" s="2" t="s">
        <v>775</v>
      </c>
    </row>
    <row r="49869" spans="1:1" ht="12.75">
      <c r="A49869" s="2" t="s">
        <v>669</v>
      </c>
    </row>
    <row r="49870" spans="1:1" ht="12.75">
      <c r="A49870" s="2" t="s">
        <v>669</v>
      </c>
    </row>
    <row r="49871" spans="1:1" ht="12.75">
      <c r="A49871" s="2" t="s">
        <v>669</v>
      </c>
    </row>
    <row r="49874" spans="1:1" ht="12.75">
      <c r="A49874" s="2" t="s">
        <v>1722</v>
      </c>
    </row>
    <row r="49875" spans="1:1" ht="12.75">
      <c r="A49875" s="2" t="s">
        <v>949</v>
      </c>
    </row>
    <row r="49877" spans="1:1" ht="12.75">
      <c r="A49877" s="2" t="s">
        <v>949</v>
      </c>
    </row>
    <row r="49878" spans="1:1" ht="12.75">
      <c r="A49878" s="2" t="s">
        <v>949</v>
      </c>
    </row>
    <row r="49879" spans="1:1" ht="12.75">
      <c r="A49879" s="2" t="s">
        <v>1577</v>
      </c>
    </row>
    <row r="49880" spans="1:1" ht="12.75">
      <c r="A49880" s="2" t="s">
        <v>1723</v>
      </c>
    </row>
    <row r="49881" spans="1:1" ht="12.75">
      <c r="A49881" s="2" t="s">
        <v>949</v>
      </c>
    </row>
    <row r="49882" spans="1:1" ht="12.75">
      <c r="A49882" s="2" t="s">
        <v>949</v>
      </c>
    </row>
    <row r="49883" spans="1:1" ht="12.75">
      <c r="A49883" s="2" t="s">
        <v>949</v>
      </c>
    </row>
    <row r="49884" spans="1:1" ht="12.75">
      <c r="A49884" s="2" t="s">
        <v>949</v>
      </c>
    </row>
    <row r="49888" spans="1:1" ht="12.75">
      <c r="A49888" s="2" t="s">
        <v>1333</v>
      </c>
    </row>
    <row r="49889" spans="1:1" ht="12.75">
      <c r="A49889" s="2" t="s">
        <v>1334</v>
      </c>
    </row>
    <row r="49890" spans="1:1" ht="12.75">
      <c r="A49890" s="2" t="s">
        <v>1333</v>
      </c>
    </row>
    <row r="49891" spans="1:1" ht="12.75">
      <c r="A49891" s="2" t="s">
        <v>1334</v>
      </c>
    </row>
    <row r="49892" spans="1:1" ht="12.75">
      <c r="A49892" s="2" t="s">
        <v>1334</v>
      </c>
    </row>
    <row r="49893" spans="1:1" ht="12.75">
      <c r="A49893" s="2" t="s">
        <v>1724</v>
      </c>
    </row>
    <row r="49894" spans="1:1" ht="12.75">
      <c r="A49894" s="2" t="s">
        <v>1415</v>
      </c>
    </row>
    <row r="49895" spans="1:1" ht="12.75">
      <c r="A49895" s="2" t="s">
        <v>1725</v>
      </c>
    </row>
    <row r="49896" spans="1:1" ht="12.75">
      <c r="A49896" s="2" t="s">
        <v>1726</v>
      </c>
    </row>
    <row r="50197" spans="1:1" ht="12.75">
      <c r="A50197" s="2" t="s">
        <v>446</v>
      </c>
    </row>
    <row r="50198" spans="1:1" ht="12.75">
      <c r="A50198" s="2" t="s">
        <v>446</v>
      </c>
    </row>
    <row r="50199" spans="1:1" ht="12.75">
      <c r="A50199" s="2" t="s">
        <v>446</v>
      </c>
    </row>
    <row r="50200" spans="1:1" ht="12.75">
      <c r="A50200" s="2" t="s">
        <v>446</v>
      </c>
    </row>
    <row r="50201" spans="1:1" ht="12.75">
      <c r="A50201" s="2" t="s">
        <v>447</v>
      </c>
    </row>
    <row r="50202" spans="1:1" ht="12.75">
      <c r="A50202" s="2" t="s">
        <v>447</v>
      </c>
    </row>
    <row r="50203" spans="1:1" ht="12.75">
      <c r="A50203" s="2" t="s">
        <v>447</v>
      </c>
    </row>
    <row r="50204" spans="1:1" ht="12.75">
      <c r="A50204" s="2" t="s">
        <v>448</v>
      </c>
    </row>
    <row r="50205" spans="1:1" ht="12.75">
      <c r="A50205" s="2" t="s">
        <v>448</v>
      </c>
    </row>
    <row r="50206" spans="1:1" ht="12.75">
      <c r="A50206" s="2" t="s">
        <v>446</v>
      </c>
    </row>
    <row r="50207" spans="1:1" ht="12.75">
      <c r="A50207" s="2" t="s">
        <v>477</v>
      </c>
    </row>
    <row r="50208" spans="1:1" ht="12.75">
      <c r="A50208" s="2" t="s">
        <v>477</v>
      </c>
    </row>
    <row r="50209" spans="1:1" ht="12.75">
      <c r="A50209" s="2" t="s">
        <v>477</v>
      </c>
    </row>
    <row r="50210" spans="1:1" ht="12.75">
      <c r="A50210" s="2" t="s">
        <v>477</v>
      </c>
    </row>
    <row r="50211" spans="1:1" ht="12.75">
      <c r="A50211" s="2" t="s">
        <v>452</v>
      </c>
    </row>
    <row r="50212" spans="1:1" ht="12.75">
      <c r="A50212" s="2" t="s">
        <v>452</v>
      </c>
    </row>
    <row r="50213" spans="1:1" ht="12.75">
      <c r="A50213" s="2" t="s">
        <v>452</v>
      </c>
    </row>
    <row r="50214" spans="1:1" ht="12.75">
      <c r="A50214" s="2" t="s">
        <v>452</v>
      </c>
    </row>
    <row r="50215" spans="1:1" ht="12.75">
      <c r="A50215" s="2" t="s">
        <v>452</v>
      </c>
    </row>
    <row r="50216" spans="1:1" ht="12.75">
      <c r="A50216" s="2" t="s">
        <v>452</v>
      </c>
    </row>
    <row r="50235" spans="1:1" ht="12.75">
      <c r="A50235" s="2" t="s">
        <v>434</v>
      </c>
    </row>
    <row r="50236" spans="1:1" ht="12.75">
      <c r="A50236" s="2" t="s">
        <v>620</v>
      </c>
    </row>
    <row r="50237" spans="1:1" ht="12.75">
      <c r="A50237" s="2" t="s">
        <v>1622</v>
      </c>
    </row>
    <row r="50238" spans="1:1" ht="12.75">
      <c r="A50238" s="2" t="s">
        <v>1623</v>
      </c>
    </row>
    <row r="50239" spans="1:1" ht="12.75">
      <c r="A50239" s="2" t="s">
        <v>1065</v>
      </c>
    </row>
    <row r="50240" spans="1:1" ht="12.75">
      <c r="A50240" s="2" t="s">
        <v>1065</v>
      </c>
    </row>
    <row r="50241" spans="1:1" ht="12.75">
      <c r="A50241" s="2" t="s">
        <v>434</v>
      </c>
    </row>
    <row r="50242" spans="1:1" ht="12.75">
      <c r="A50242" s="2" t="s">
        <v>435</v>
      </c>
    </row>
    <row r="50243" spans="1:1" ht="12.75">
      <c r="A50243" s="2" t="s">
        <v>1727</v>
      </c>
    </row>
    <row r="50244" spans="1:1" ht="12.75">
      <c r="A50244" s="2" t="s">
        <v>916</v>
      </c>
    </row>
    <row r="50245" spans="1:1" ht="12.75">
      <c r="A50245" s="2" t="s">
        <v>435</v>
      </c>
    </row>
    <row r="50246" spans="1:1" ht="12.75">
      <c r="A50246" s="2" t="s">
        <v>435</v>
      </c>
    </row>
    <row r="50247" spans="1:1" ht="12.75">
      <c r="A50247" s="2" t="s">
        <v>435</v>
      </c>
    </row>
    <row r="50248" spans="1:1" ht="12.75">
      <c r="A50248" s="2" t="s">
        <v>435</v>
      </c>
    </row>
    <row r="50249" spans="1:1" ht="12.75">
      <c r="A50249" s="2" t="s">
        <v>434</v>
      </c>
    </row>
    <row r="50250" spans="1:1" ht="12.75">
      <c r="A50250" s="2" t="s">
        <v>434</v>
      </c>
    </row>
    <row r="50251" spans="1:1" ht="12.75">
      <c r="A50251" s="2" t="s">
        <v>1065</v>
      </c>
    </row>
    <row r="50252" spans="1:1" ht="12.75">
      <c r="A50252" s="2" t="s">
        <v>434</v>
      </c>
    </row>
    <row r="50253" spans="1:1" ht="12.75">
      <c r="A50253" s="2" t="s">
        <v>479</v>
      </c>
    </row>
    <row r="50254" spans="1:1" ht="12.75">
      <c r="A50254" s="2" t="s">
        <v>1622</v>
      </c>
    </row>
    <row r="50255" spans="1:1" ht="12.75">
      <c r="A50255" s="2" t="s">
        <v>434</v>
      </c>
    </row>
    <row r="50256" spans="1:1" ht="12.75">
      <c r="A50256" s="2" t="s">
        <v>479</v>
      </c>
    </row>
    <row r="50257" spans="1:1" ht="12.75">
      <c r="A50257" s="2" t="s">
        <v>817</v>
      </c>
    </row>
    <row r="50258" spans="1:1" ht="12.75">
      <c r="A50258" s="2" t="s">
        <v>1728</v>
      </c>
    </row>
    <row r="50259" spans="1:1" ht="12.75">
      <c r="A50259" s="2" t="s">
        <v>1728</v>
      </c>
    </row>
    <row r="50260" spans="1:1" ht="12.75">
      <c r="A50260" s="2" t="s">
        <v>1728</v>
      </c>
    </row>
    <row r="50261" spans="1:1" ht="12.75">
      <c r="A50261" s="2" t="s">
        <v>477</v>
      </c>
    </row>
    <row r="50262" spans="1:1" ht="12.75">
      <c r="A50262" s="2" t="s">
        <v>477</v>
      </c>
    </row>
    <row r="50263" spans="1:1" ht="12.75">
      <c r="A50263" s="2" t="s">
        <v>477</v>
      </c>
    </row>
    <row r="50264" spans="1:1" ht="12.75">
      <c r="A50264" s="2" t="s">
        <v>1614</v>
      </c>
    </row>
    <row r="50266" spans="1:1" ht="12.75">
      <c r="A50266" s="2" t="s">
        <v>404</v>
      </c>
    </row>
    <row r="50268" spans="1:1" ht="12.75">
      <c r="A50268" s="2" t="s">
        <v>452</v>
      </c>
    </row>
    <row r="50269" spans="1:1" ht="12.75">
      <c r="A50269" s="2" t="s">
        <v>404</v>
      </c>
    </row>
    <row r="50270" spans="1:1" ht="12.75">
      <c r="A50270" s="2" t="s">
        <v>404</v>
      </c>
    </row>
    <row r="50271" spans="1:1" ht="12.75">
      <c r="A50271" s="2" t="s">
        <v>1384</v>
      </c>
    </row>
    <row r="50272" spans="1:1" ht="12.75">
      <c r="A50272" s="2" t="s">
        <v>1384</v>
      </c>
    </row>
    <row r="50273" spans="1:1" ht="12.75">
      <c r="A50273" s="2" t="s">
        <v>1384</v>
      </c>
    </row>
    <row r="50274" spans="1:1" ht="12.75">
      <c r="A50274" s="2" t="s">
        <v>1384</v>
      </c>
    </row>
    <row r="50275" spans="1:1" ht="12.75">
      <c r="A50275" s="2" t="s">
        <v>817</v>
      </c>
    </row>
    <row r="50276" spans="1:1" ht="12.75">
      <c r="A50276" s="2" t="s">
        <v>817</v>
      </c>
    </row>
    <row r="50277" spans="1:1" ht="12.75">
      <c r="A50277" s="2" t="s">
        <v>817</v>
      </c>
    </row>
    <row r="50278" spans="1:1" ht="12.75">
      <c r="A50278" s="2" t="s">
        <v>1682</v>
      </c>
    </row>
    <row r="50279" spans="1:1" ht="12.75">
      <c r="A50279" s="2" t="s">
        <v>817</v>
      </c>
    </row>
    <row r="50280" spans="1:1" ht="12.75">
      <c r="A50280" s="2" t="s">
        <v>817</v>
      </c>
    </row>
    <row r="50281" spans="1:1" ht="12.75">
      <c r="A50281" s="2" t="s">
        <v>437</v>
      </c>
    </row>
    <row r="50282" spans="1:1" ht="12.75">
      <c r="A50282" s="2" t="s">
        <v>437</v>
      </c>
    </row>
    <row r="50283" spans="1:1" ht="12.75">
      <c r="A50283" s="2" t="s">
        <v>437</v>
      </c>
    </row>
    <row r="50284" spans="1:1" ht="12.75">
      <c r="A50284" s="2" t="s">
        <v>816</v>
      </c>
    </row>
    <row r="50285" spans="1:1" ht="12.75">
      <c r="A50285" s="2" t="s">
        <v>437</v>
      </c>
    </row>
    <row r="50286" spans="1:1" ht="12.75">
      <c r="A50286" s="2" t="s">
        <v>435</v>
      </c>
    </row>
    <row r="50287" spans="1:1" ht="12.75">
      <c r="A50287" s="2" t="s">
        <v>816</v>
      </c>
    </row>
    <row r="50288" spans="1:1" ht="12.75">
      <c r="A50288" s="2" t="s">
        <v>816</v>
      </c>
    </row>
    <row r="50289" spans="1:1" ht="12.75">
      <c r="A50289" s="2" t="s">
        <v>466</v>
      </c>
    </row>
    <row r="50290" spans="1:1" ht="12.75">
      <c r="A50290" s="2" t="s">
        <v>466</v>
      </c>
    </row>
    <row r="50291" spans="1:1" ht="12.75">
      <c r="A50291" s="2" t="s">
        <v>1384</v>
      </c>
    </row>
    <row r="50292" spans="1:1" ht="12.75">
      <c r="A50292" s="2" t="s">
        <v>1384</v>
      </c>
    </row>
    <row r="50293" spans="1:1" ht="12.75">
      <c r="A50293" s="2" t="s">
        <v>1384</v>
      </c>
    </row>
    <row r="50294" spans="1:1" ht="12.75">
      <c r="A50294" s="2" t="s">
        <v>1384</v>
      </c>
    </row>
    <row r="50295" spans="1:1" ht="12.75">
      <c r="A50295" s="2" t="s">
        <v>1615</v>
      </c>
    </row>
    <row r="50296" spans="1:1" ht="12.75">
      <c r="A50296" s="2" t="s">
        <v>452</v>
      </c>
    </row>
    <row r="50397" spans="1:1" ht="12.75">
      <c r="A50397" s="2" t="s">
        <v>816</v>
      </c>
    </row>
    <row r="50398" spans="1:1" ht="12.75">
      <c r="A50398" s="2" t="s">
        <v>816</v>
      </c>
    </row>
    <row r="50401" spans="1:1" ht="12.75">
      <c r="A50401" s="2" t="s">
        <v>1384</v>
      </c>
    </row>
    <row r="50402" spans="1:1" ht="12.75">
      <c r="A50402" s="2" t="s">
        <v>1384</v>
      </c>
    </row>
    <row r="50403" spans="1:1" ht="12.75">
      <c r="A50403" s="2" t="s">
        <v>1434</v>
      </c>
    </row>
    <row r="50404" spans="1:1" ht="12.75">
      <c r="A50404" s="2" t="s">
        <v>1384</v>
      </c>
    </row>
    <row r="50405" spans="1:1" ht="12.75">
      <c r="A50405" s="2" t="s">
        <v>477</v>
      </c>
    </row>
    <row r="50406" spans="1:1" ht="12.75">
      <c r="A50406" s="2" t="s">
        <v>477</v>
      </c>
    </row>
    <row r="50407" spans="1:1" ht="12.75">
      <c r="A50407" s="2" t="s">
        <v>477</v>
      </c>
    </row>
    <row r="50408" spans="1:1" ht="12.75">
      <c r="A50408" s="2" t="s">
        <v>477</v>
      </c>
    </row>
    <row r="50409" spans="1:1" ht="12.75">
      <c r="A50409" s="2" t="s">
        <v>404</v>
      </c>
    </row>
    <row r="50411" spans="1:1" ht="12.75">
      <c r="A50411" s="2" t="s">
        <v>466</v>
      </c>
    </row>
    <row r="50413" spans="1:1" ht="12.75">
      <c r="A50413" s="2" t="s">
        <v>466</v>
      </c>
    </row>
    <row r="50415" spans="1:1" ht="12.75">
      <c r="A50415" s="2" t="s">
        <v>1384</v>
      </c>
    </row>
    <row r="50419" spans="1:1" ht="12.75">
      <c r="A50419" s="2" t="s">
        <v>817</v>
      </c>
    </row>
    <row r="50420" spans="1:1" ht="12.75">
      <c r="A50420" s="2" t="s">
        <v>817</v>
      </c>
    </row>
    <row r="50421" spans="1:1" ht="12.75">
      <c r="A50421" s="2" t="s">
        <v>479</v>
      </c>
    </row>
    <row r="50422" spans="1:1" ht="12.75">
      <c r="A50422" s="2" t="s">
        <v>479</v>
      </c>
    </row>
    <row r="50423" spans="1:1" ht="12.75">
      <c r="A50423" s="2" t="s">
        <v>479</v>
      </c>
    </row>
    <row r="50424" spans="1:1" ht="12.75">
      <c r="A50424" s="2" t="s">
        <v>479</v>
      </c>
    </row>
    <row r="50425" spans="1:1" ht="12.75">
      <c r="A50425" s="2" t="s">
        <v>404</v>
      </c>
    </row>
    <row r="50426" spans="1:1" ht="12.75">
      <c r="A50426" s="2" t="s">
        <v>1384</v>
      </c>
    </row>
    <row r="50427" spans="1:1" ht="12.75">
      <c r="A50427" s="2" t="s">
        <v>1384</v>
      </c>
    </row>
    <row r="50428" spans="1:1" ht="12.75">
      <c r="A50428" s="2" t="s">
        <v>1384</v>
      </c>
    </row>
    <row r="50429" spans="1:1" ht="12.75">
      <c r="A50429" s="2" t="s">
        <v>477</v>
      </c>
    </row>
    <row r="50430" spans="1:1" ht="12.75">
      <c r="A50430" s="2" t="s">
        <v>477</v>
      </c>
    </row>
    <row r="50431" spans="1:1" ht="12.75">
      <c r="A50431" s="2" t="s">
        <v>477</v>
      </c>
    </row>
    <row r="50432" spans="1:1" ht="12.75">
      <c r="A50432" s="2" t="s">
        <v>477</v>
      </c>
    </row>
    <row r="50433" spans="1:1" ht="12.75">
      <c r="A50433" s="2" t="s">
        <v>452</v>
      </c>
    </row>
    <row r="50434" spans="1:1" ht="12.75">
      <c r="A50434" s="2" t="s">
        <v>452</v>
      </c>
    </row>
    <row r="50435" spans="1:1" ht="12.75">
      <c r="A50435" s="2" t="s">
        <v>452</v>
      </c>
    </row>
    <row r="50436" spans="1:1" ht="12.75">
      <c r="A50436" s="2" t="s">
        <v>449</v>
      </c>
    </row>
    <row r="50457" spans="1:1" ht="12.75">
      <c r="A50457" s="2" t="s">
        <v>1056</v>
      </c>
    </row>
    <row r="50458" spans="1:1" ht="12.75">
      <c r="A50458" s="2" t="s">
        <v>439</v>
      </c>
    </row>
    <row r="50459" spans="1:1" ht="12.75">
      <c r="A50459" s="2" t="s">
        <v>1057</v>
      </c>
    </row>
    <row r="50460" spans="1:1" ht="12.75">
      <c r="A50460" s="2" t="s">
        <v>612</v>
      </c>
    </row>
    <row r="50461" spans="1:1" ht="12.75">
      <c r="A50461" s="2" t="s">
        <v>1053</v>
      </c>
    </row>
    <row r="50462" spans="1:1" ht="12.75">
      <c r="A50462" s="2" t="s">
        <v>1053</v>
      </c>
    </row>
    <row r="50463" spans="1:1" ht="12.75">
      <c r="A50463" s="2" t="s">
        <v>439</v>
      </c>
    </row>
    <row r="50464" spans="1:1" ht="12.75">
      <c r="A50464" s="2" t="s">
        <v>439</v>
      </c>
    </row>
    <row r="50465" spans="1:1" ht="12.75">
      <c r="A50465" s="2" t="s">
        <v>438</v>
      </c>
    </row>
    <row r="50467" spans="1:1" ht="12.75">
      <c r="A50467" s="2" t="s">
        <v>165</v>
      </c>
    </row>
    <row r="50495" spans="1:1" ht="12.75">
      <c r="A50495" s="2" t="s">
        <v>439</v>
      </c>
    </row>
    <row r="50496" spans="1:1" ht="12.75">
      <c r="A50496" s="2" t="s">
        <v>439</v>
      </c>
    </row>
    <row r="50498" spans="1:1" ht="12.75">
      <c r="A50498" s="2" t="s">
        <v>1729</v>
      </c>
    </row>
    <row r="50500" spans="1:1" ht="12.75">
      <c r="A50500" s="2" t="s">
        <v>1730</v>
      </c>
    </row>
    <row r="50502" spans="1:1" ht="12.75">
      <c r="A50502" s="2" t="s">
        <v>1731</v>
      </c>
    </row>
    <row r="50503" spans="1:1" ht="12.75">
      <c r="A50503" s="2" t="s">
        <v>1731</v>
      </c>
    </row>
    <row r="50504" spans="1:1" ht="12.75">
      <c r="A50504" s="2" t="s">
        <v>1732</v>
      </c>
    </row>
    <row r="50505" spans="1:1" ht="12.75">
      <c r="A50505" s="2" t="s">
        <v>1732</v>
      </c>
    </row>
    <row r="50506" spans="1:1" ht="12.75">
      <c r="A50506" s="2" t="s">
        <v>332</v>
      </c>
    </row>
    <row r="50507" spans="1:1" ht="12.75">
      <c r="A50507" s="2" t="s">
        <v>332</v>
      </c>
    </row>
    <row r="50508" spans="1:1" ht="12.75">
      <c r="A50508" s="2" t="s">
        <v>332</v>
      </c>
    </row>
    <row r="50509" spans="1:1" ht="12.75">
      <c r="A50509" s="2" t="s">
        <v>332</v>
      </c>
    </row>
    <row r="50510" spans="1:1" ht="12.75">
      <c r="A50510" s="2" t="s">
        <v>332</v>
      </c>
    </row>
    <row r="50511" spans="1:1" ht="12.75">
      <c r="A50511" s="2" t="s">
        <v>332</v>
      </c>
    </row>
    <row r="50512" spans="1:1" ht="12.75">
      <c r="A50512" s="2" t="s">
        <v>332</v>
      </c>
    </row>
    <row r="50513" spans="1:1" ht="12.75">
      <c r="A50513" s="2" t="s">
        <v>332</v>
      </c>
    </row>
    <row r="50514" spans="1:1" ht="12.75">
      <c r="A50514" s="2" t="s">
        <v>332</v>
      </c>
    </row>
    <row r="50515" spans="1:1" ht="12.75">
      <c r="A50515" s="2" t="s">
        <v>1538</v>
      </c>
    </row>
    <row r="50516" spans="1:1" ht="12.75">
      <c r="A50516" s="2" t="s">
        <v>332</v>
      </c>
    </row>
    <row r="50517" spans="1:1" ht="12.75">
      <c r="A50517" s="2" t="s">
        <v>332</v>
      </c>
    </row>
    <row r="50518" spans="1:1" ht="12.75">
      <c r="A50518" s="2" t="s">
        <v>332</v>
      </c>
    </row>
    <row r="50519" spans="1:1" ht="12.75">
      <c r="A50519" s="2" t="s">
        <v>332</v>
      </c>
    </row>
    <row r="50520" spans="1:1" ht="12.75">
      <c r="A50520" s="2" t="s">
        <v>332</v>
      </c>
    </row>
    <row r="50521" spans="1:1" ht="12.75">
      <c r="A50521" s="2" t="s">
        <v>332</v>
      </c>
    </row>
    <row r="50522" spans="1:1" ht="12.75">
      <c r="A50522" s="2" t="s">
        <v>1538</v>
      </c>
    </row>
    <row r="50523" spans="1:1" ht="12.75">
      <c r="A50523" s="2" t="s">
        <v>1538</v>
      </c>
    </row>
    <row r="50524" spans="1:1" ht="12.75">
      <c r="A50524" s="2" t="s">
        <v>332</v>
      </c>
    </row>
    <row r="50525" spans="1:1" ht="12.75">
      <c r="A50525" s="2" t="s">
        <v>332</v>
      </c>
    </row>
    <row r="50526" spans="1:1" ht="12.75">
      <c r="A50526" s="2" t="s">
        <v>332</v>
      </c>
    </row>
    <row r="50527" spans="1:1" ht="12.75">
      <c r="A50527" s="2" t="s">
        <v>332</v>
      </c>
    </row>
    <row r="50528" spans="1:1" ht="12.75">
      <c r="A50528" s="2" t="s">
        <v>332</v>
      </c>
    </row>
    <row r="50529" spans="1:1" ht="12.75">
      <c r="A50529" s="2" t="s">
        <v>1538</v>
      </c>
    </row>
    <row r="50530" spans="1:1" ht="12.75">
      <c r="A50530" s="2" t="s">
        <v>332</v>
      </c>
    </row>
    <row r="50531" spans="1:1" ht="12.75">
      <c r="A50531" s="2" t="s">
        <v>1538</v>
      </c>
    </row>
    <row r="50532" spans="1:1" ht="12.75">
      <c r="A50532" s="2" t="s">
        <v>1538</v>
      </c>
    </row>
    <row r="50533" spans="1:1" ht="12.75">
      <c r="A50533" s="2" t="s">
        <v>332</v>
      </c>
    </row>
    <row r="50534" spans="1:1" ht="12.75">
      <c r="A50534" s="2" t="s">
        <v>1538</v>
      </c>
    </row>
    <row r="50535" spans="1:1" ht="12.75">
      <c r="A50535" s="2" t="s">
        <v>332</v>
      </c>
    </row>
    <row r="50536" spans="1:1" ht="12.75">
      <c r="A50536" s="2" t="s">
        <v>1538</v>
      </c>
    </row>
    <row r="50537" spans="1:1" ht="12.75">
      <c r="A50537" s="2" t="s">
        <v>332</v>
      </c>
    </row>
    <row r="50538" spans="1:1" ht="12.75">
      <c r="A50538" s="2" t="s">
        <v>332</v>
      </c>
    </row>
    <row r="50539" spans="1:1" ht="12.75">
      <c r="A50539" s="2" t="s">
        <v>332</v>
      </c>
    </row>
    <row r="50572" spans="1:1" ht="12.75">
      <c r="A50572" s="2" t="s">
        <v>331</v>
      </c>
    </row>
    <row r="50574" spans="1:1" ht="12.75">
      <c r="A50574" s="2" t="s">
        <v>897</v>
      </c>
    </row>
    <row r="50576" spans="1:1" ht="12.75">
      <c r="A50576" s="2" t="s">
        <v>331</v>
      </c>
    </row>
    <row r="50578" spans="1:1" ht="12.75">
      <c r="A50578" s="2" t="s">
        <v>331</v>
      </c>
    </row>
    <row r="50580" spans="1:1" ht="12.75">
      <c r="A50580" s="2" t="s">
        <v>331</v>
      </c>
    </row>
    <row r="50582" spans="1:1" ht="12.75">
      <c r="A50582" s="2" t="s">
        <v>331</v>
      </c>
    </row>
    <row r="50584" spans="1:1" ht="12.75">
      <c r="A50584" s="2" t="s">
        <v>1733</v>
      </c>
    </row>
    <row r="50585" spans="1:1" ht="12.75">
      <c r="A50585" s="2" t="s">
        <v>331</v>
      </c>
    </row>
    <row r="50586" spans="1:1" ht="12.75">
      <c r="A50586" s="2" t="s">
        <v>331</v>
      </c>
    </row>
    <row r="50588" spans="1:1" ht="12.75">
      <c r="A50588" s="2" t="s">
        <v>331</v>
      </c>
    </row>
    <row r="50590" spans="1:1" ht="12.75">
      <c r="A50590" s="2" t="s">
        <v>331</v>
      </c>
    </row>
    <row r="50591" spans="1:1" ht="12.75">
      <c r="A50591" s="2" t="s">
        <v>331</v>
      </c>
    </row>
    <row r="50592" spans="1:1" ht="12.75">
      <c r="A50592" s="2" t="s">
        <v>331</v>
      </c>
    </row>
    <row r="50593" spans="1:1" ht="12.75">
      <c r="A50593" s="2" t="s">
        <v>331</v>
      </c>
    </row>
    <row r="50594" spans="1:1" ht="12.75">
      <c r="A50594" s="2" t="s">
        <v>331</v>
      </c>
    </row>
    <row r="50595" spans="1:1" ht="12.75">
      <c r="A50595" s="2" t="s">
        <v>331</v>
      </c>
    </row>
    <row r="50596" spans="1:1" ht="12.75">
      <c r="A50596" s="2" t="s">
        <v>331</v>
      </c>
    </row>
    <row r="50597" spans="1:1" ht="12.75">
      <c r="A50597" s="2" t="s">
        <v>331</v>
      </c>
    </row>
    <row r="50598" spans="1:1" ht="12.75">
      <c r="A50598" s="2" t="s">
        <v>331</v>
      </c>
    </row>
    <row r="50600" spans="1:1" ht="12.75">
      <c r="A50600" s="2" t="s">
        <v>331</v>
      </c>
    </row>
    <row r="50601" spans="1:1" ht="12.75">
      <c r="A50601" s="2" t="s">
        <v>331</v>
      </c>
    </row>
    <row r="50602" spans="1:1" ht="12.75">
      <c r="A50602" s="2" t="s">
        <v>331</v>
      </c>
    </row>
    <row r="50603" spans="1:1" ht="12.75">
      <c r="A50603" s="2" t="s">
        <v>331</v>
      </c>
    </row>
    <row r="50604" spans="1:1" ht="12.75">
      <c r="A50604" s="2" t="s">
        <v>331</v>
      </c>
    </row>
    <row r="50605" spans="1:1" ht="12.75">
      <c r="A50605" s="2" t="s">
        <v>331</v>
      </c>
    </row>
    <row r="50606" spans="1:1" ht="12.75">
      <c r="A50606" s="2" t="s">
        <v>1174</v>
      </c>
    </row>
    <row r="50607" spans="1:1" ht="12.75">
      <c r="A50607" s="2" t="s">
        <v>1407</v>
      </c>
    </row>
    <row r="50608" spans="1:1" ht="12.75">
      <c r="A50608" s="2" t="s">
        <v>1734</v>
      </c>
    </row>
    <row r="50609" spans="1:1" ht="12.75">
      <c r="A50609" s="2" t="s">
        <v>613</v>
      </c>
    </row>
    <row r="50610" spans="1:1" ht="12.75">
      <c r="A50610" s="2" t="s">
        <v>613</v>
      </c>
    </row>
    <row r="50611" spans="1:1" ht="12.75">
      <c r="A50611" s="2" t="s">
        <v>439</v>
      </c>
    </row>
    <row r="50612" spans="1:1" ht="12.75">
      <c r="A50612" s="2" t="s">
        <v>439</v>
      </c>
    </row>
    <row r="50613" spans="1:1" ht="12.75">
      <c r="A50613" s="2" t="s">
        <v>613</v>
      </c>
    </row>
    <row r="50614" spans="1:1" ht="12.75">
      <c r="A50614" s="2" t="s">
        <v>438</v>
      </c>
    </row>
    <row r="50615" spans="1:1" ht="12.75">
      <c r="A50615" s="2" t="s">
        <v>612</v>
      </c>
    </row>
    <row r="50616" spans="1:1" ht="12.75">
      <c r="A50616" s="2" t="s">
        <v>612</v>
      </c>
    </row>
    <row r="50617" spans="1:1" ht="12.75">
      <c r="A50617" s="2" t="s">
        <v>1057</v>
      </c>
    </row>
    <row r="50618" spans="1:1" ht="12.75">
      <c r="A50618" s="2" t="s">
        <v>440</v>
      </c>
    </row>
    <row r="50619" spans="1:1" ht="12.75">
      <c r="A50619" s="2" t="s">
        <v>439</v>
      </c>
    </row>
    <row r="50620" spans="1:1" ht="12.75">
      <c r="A50620" s="2" t="s">
        <v>439</v>
      </c>
    </row>
    <row r="50621" spans="1:1" ht="12.75">
      <c r="A50621" s="2" t="s">
        <v>440</v>
      </c>
    </row>
    <row r="50622" spans="1:1" ht="12.75">
      <c r="A50622" s="2" t="s">
        <v>438</v>
      </c>
    </row>
    <row r="50625" spans="1:1" ht="12.75">
      <c r="A50625" s="2" t="s">
        <v>439</v>
      </c>
    </row>
    <row r="50626" spans="1:1" ht="12.75">
      <c r="A50626" s="2" t="s">
        <v>439</v>
      </c>
    </row>
    <row r="50627" spans="1:1" ht="12.75">
      <c r="A50627" s="2" t="s">
        <v>438</v>
      </c>
    </row>
    <row r="50628" spans="1:1" ht="12.75">
      <c r="A50628" s="2" t="s">
        <v>440</v>
      </c>
    </row>
    <row r="50629" spans="1:1" ht="12.75">
      <c r="A50629" s="2" t="s">
        <v>1053</v>
      </c>
    </row>
    <row r="50630" spans="1:1" ht="12.75">
      <c r="A50630" s="2" t="s">
        <v>1053</v>
      </c>
    </row>
    <row r="50631" spans="1:1" ht="12.75">
      <c r="A50631" s="2" t="s">
        <v>439</v>
      </c>
    </row>
    <row r="50632" spans="1:1" ht="12.75">
      <c r="A50632" s="2" t="s">
        <v>439</v>
      </c>
    </row>
    <row r="50634" spans="1:1" ht="12.75">
      <c r="A50634" s="2" t="s">
        <v>613</v>
      </c>
    </row>
    <row r="50641" spans="1:1" ht="12.75">
      <c r="A50641" s="2" t="s">
        <v>613</v>
      </c>
    </row>
    <row r="50642" spans="1:1" ht="12.75">
      <c r="A50642" s="2" t="s">
        <v>613</v>
      </c>
    </row>
    <row r="50643" spans="1:1" ht="12.75">
      <c r="A50643" s="2" t="s">
        <v>1056</v>
      </c>
    </row>
    <row r="50644" spans="1:1" ht="12.75">
      <c r="A50644" s="2" t="s">
        <v>1056</v>
      </c>
    </row>
    <row r="50645" spans="1:1" ht="12.75">
      <c r="A50645" s="2" t="s">
        <v>440</v>
      </c>
    </row>
    <row r="50646" spans="1:1" ht="12.75">
      <c r="A50646" s="2" t="s">
        <v>440</v>
      </c>
    </row>
    <row r="50647" spans="1:1" ht="12.75">
      <c r="A50647" s="2" t="s">
        <v>440</v>
      </c>
    </row>
    <row r="50648" spans="1:1" ht="12.75">
      <c r="A50648" s="2" t="s">
        <v>440</v>
      </c>
    </row>
    <row r="50649" spans="1:1" ht="12.75">
      <c r="A50649" s="2" t="s">
        <v>849</v>
      </c>
    </row>
    <row r="50650" spans="1:1" ht="12.75">
      <c r="A50650" s="2" t="s">
        <v>849</v>
      </c>
    </row>
    <row r="50651" spans="1:1" ht="12.75">
      <c r="A50651" s="2" t="s">
        <v>849</v>
      </c>
    </row>
    <row r="50652" spans="1:1" ht="12.75">
      <c r="A50652" s="2" t="s">
        <v>849</v>
      </c>
    </row>
    <row r="50653" spans="1:1" ht="12.75">
      <c r="A50653" s="2" t="s">
        <v>849</v>
      </c>
    </row>
    <row r="50654" spans="1:1" ht="12.75">
      <c r="A50654" s="2" t="s">
        <v>849</v>
      </c>
    </row>
    <row r="50655" spans="1:1" ht="12.75">
      <c r="A50655" s="2" t="s">
        <v>849</v>
      </c>
    </row>
    <row r="50656" spans="1:1" ht="12.75">
      <c r="A50656" s="2" t="s">
        <v>849</v>
      </c>
    </row>
    <row r="50657" spans="1:1" ht="12.75">
      <c r="A50657" s="2" t="s">
        <v>849</v>
      </c>
    </row>
    <row r="50658" spans="1:1" ht="12.75">
      <c r="A50658" s="2" t="s">
        <v>849</v>
      </c>
    </row>
    <row r="50661" spans="1:1" ht="12.75">
      <c r="A50661" s="2" t="s">
        <v>1735</v>
      </c>
    </row>
    <row r="50662" spans="1:1" ht="12.75">
      <c r="A50662" s="2" t="s">
        <v>481</v>
      </c>
    </row>
    <row r="50663" spans="1:1" ht="12.75">
      <c r="A50663" s="2" t="s">
        <v>1736</v>
      </c>
    </row>
    <row r="50664" spans="1:1" ht="12.75">
      <c r="A50664" s="2" t="s">
        <v>483</v>
      </c>
    </row>
    <row r="50665" spans="1:1" ht="12.75">
      <c r="A50665" s="2" t="s">
        <v>483</v>
      </c>
    </row>
    <row r="50666" spans="1:1" ht="12.75">
      <c r="A50666" s="2" t="s">
        <v>483</v>
      </c>
    </row>
    <row r="50667" spans="1:1" ht="12.75">
      <c r="A50667" s="2" t="s">
        <v>483</v>
      </c>
    </row>
    <row r="50668" spans="1:1" ht="12.75">
      <c r="A50668" s="2" t="s">
        <v>483</v>
      </c>
    </row>
    <row r="50669" spans="1:1" ht="12.75">
      <c r="A50669" s="2" t="s">
        <v>483</v>
      </c>
    </row>
    <row r="50680" spans="1:1" ht="12.75">
      <c r="A50680" s="2" t="s">
        <v>845</v>
      </c>
    </row>
    <row r="50681" spans="1:1" ht="12.75">
      <c r="A50681" s="2" t="s">
        <v>845</v>
      </c>
    </row>
    <row r="50685" spans="1:1" ht="12.75">
      <c r="A50685" s="2" t="s">
        <v>1737</v>
      </c>
    </row>
    <row r="50686" spans="1:1" ht="12.75">
      <c r="A50686" s="2" t="s">
        <v>1738</v>
      </c>
    </row>
    <row r="50689" spans="1:1" ht="12.75">
      <c r="A50689" s="2" t="s">
        <v>1386</v>
      </c>
    </row>
    <row r="50690" spans="1:1" ht="12.75">
      <c r="A50690" s="2" t="s">
        <v>1431</v>
      </c>
    </row>
    <row r="50691" spans="1:1" ht="12.75">
      <c r="A50691" s="2" t="s">
        <v>1431</v>
      </c>
    </row>
    <row r="50692" spans="1:1" ht="12.75">
      <c r="A50692" s="2" t="s">
        <v>1174</v>
      </c>
    </row>
    <row r="50693" spans="1:1" ht="12.75">
      <c r="A50693" s="2" t="s">
        <v>1174</v>
      </c>
    </row>
    <row r="50694" spans="1:1" ht="12.75">
      <c r="A50694" s="2" t="s">
        <v>1386</v>
      </c>
    </row>
    <row r="50696" spans="1:1" ht="12.75">
      <c r="A50696" s="2" t="s">
        <v>849</v>
      </c>
    </row>
    <row r="50709" spans="1:1" ht="12.75">
      <c r="A50709" s="2" t="s">
        <v>447</v>
      </c>
    </row>
    <row r="50710" spans="1:1" ht="12.75">
      <c r="A50710" s="2" t="s">
        <v>446</v>
      </c>
    </row>
    <row r="50711" spans="1:1" ht="12.75">
      <c r="A50711" s="2" t="s">
        <v>448</v>
      </c>
    </row>
    <row r="50712" spans="1:1" ht="12.75">
      <c r="A50712" s="2" t="s">
        <v>446</v>
      </c>
    </row>
    <row r="50713" spans="1:1" ht="12.75">
      <c r="A50713" s="2" t="s">
        <v>448</v>
      </c>
    </row>
    <row r="50714" spans="1:1" ht="12.75">
      <c r="A50714" s="2" t="s">
        <v>446</v>
      </c>
    </row>
    <row r="50715" spans="1:1" ht="12.75">
      <c r="A50715" s="2" t="s">
        <v>448</v>
      </c>
    </row>
    <row r="50716" spans="1:1" ht="12.75">
      <c r="A50716" s="2" t="s">
        <v>473</v>
      </c>
    </row>
    <row r="50717" spans="1:1" ht="12.75">
      <c r="A50717" s="2" t="s">
        <v>473</v>
      </c>
    </row>
    <row r="50718" spans="1:1" ht="12.75">
      <c r="A50718" s="2" t="s">
        <v>473</v>
      </c>
    </row>
    <row r="50719" spans="1:1" ht="12.75">
      <c r="A50719" s="2" t="s">
        <v>473</v>
      </c>
    </row>
    <row r="50720" spans="1:1" ht="12.75">
      <c r="A50720" s="2" t="s">
        <v>473</v>
      </c>
    </row>
    <row r="50721" spans="1:1" ht="12.75">
      <c r="A50721" s="2" t="s">
        <v>473</v>
      </c>
    </row>
    <row r="50722" spans="1:1" ht="12.75">
      <c r="A50722" s="2" t="s">
        <v>473</v>
      </c>
    </row>
    <row r="50723" spans="1:1" ht="12.75">
      <c r="A50723" s="2" t="s">
        <v>446</v>
      </c>
    </row>
    <row r="50724" spans="1:1" ht="12.75">
      <c r="A50724" s="2" t="s">
        <v>448</v>
      </c>
    </row>
    <row r="50725" spans="1:1" ht="12.75">
      <c r="A50725" s="2" t="s">
        <v>446</v>
      </c>
    </row>
    <row r="50726" spans="1:1" ht="12.75">
      <c r="A50726" s="2" t="s">
        <v>448</v>
      </c>
    </row>
    <row r="50727" spans="1:1" ht="12.75">
      <c r="A50727" s="2" t="s">
        <v>446</v>
      </c>
    </row>
    <row r="50728" spans="1:1" ht="12.75">
      <c r="A50728" s="2" t="s">
        <v>447</v>
      </c>
    </row>
    <row r="50729" spans="1:1" ht="12.75">
      <c r="A50729" s="2" t="s">
        <v>447</v>
      </c>
    </row>
    <row r="50730" spans="1:1" ht="12.75">
      <c r="A50730" s="2" t="s">
        <v>446</v>
      </c>
    </row>
    <row r="50731" spans="1:1" ht="12.75">
      <c r="A50731" s="2" t="s">
        <v>446</v>
      </c>
    </row>
    <row r="50732" spans="1:1" ht="12.75">
      <c r="A50732" s="2" t="s">
        <v>446</v>
      </c>
    </row>
    <row r="50733" spans="1:1" ht="12.75">
      <c r="A50733" s="2" t="s">
        <v>446</v>
      </c>
    </row>
    <row r="50734" spans="1:1" ht="12.75">
      <c r="A50734" s="2" t="s">
        <v>447</v>
      </c>
    </row>
    <row r="50735" spans="1:1" ht="12.75">
      <c r="A50735" s="2" t="s">
        <v>446</v>
      </c>
    </row>
    <row r="50736" spans="1:1" ht="12.75">
      <c r="A50736" s="2" t="s">
        <v>447</v>
      </c>
    </row>
    <row r="50737" spans="1:1" ht="12.75">
      <c r="A50737" s="2" t="s">
        <v>446</v>
      </c>
    </row>
    <row r="50738" spans="1:1" ht="12.75">
      <c r="A50738" s="2" t="s">
        <v>447</v>
      </c>
    </row>
    <row r="50739" spans="1:1" ht="12.75">
      <c r="A50739" s="2" t="s">
        <v>473</v>
      </c>
    </row>
    <row r="50740" spans="1:1" ht="12.75">
      <c r="A50740" s="2" t="s">
        <v>446</v>
      </c>
    </row>
    <row r="50741" spans="1:1" ht="12.75">
      <c r="A50741" s="2" t="s">
        <v>473</v>
      </c>
    </row>
    <row r="50742" spans="1:1" ht="12.75">
      <c r="A50742" s="2" t="s">
        <v>617</v>
      </c>
    </row>
    <row r="50743" spans="1:1" ht="12.75">
      <c r="A50743" s="2" t="s">
        <v>448</v>
      </c>
    </row>
    <row r="50744" spans="1:1" ht="12.75">
      <c r="A50744" s="2" t="s">
        <v>447</v>
      </c>
    </row>
    <row r="50745" spans="1:1" ht="12.75">
      <c r="A50745" s="2" t="s">
        <v>448</v>
      </c>
    </row>
    <row r="50746" spans="1:1" ht="12.75">
      <c r="A50746" s="2" t="s">
        <v>447</v>
      </c>
    </row>
    <row r="50747" spans="1:1" ht="12.75">
      <c r="A50747" s="2" t="s">
        <v>448</v>
      </c>
    </row>
    <row r="50748" spans="1:1" ht="12.75">
      <c r="A50748" s="2" t="s">
        <v>447</v>
      </c>
    </row>
    <row r="50749" spans="1:1" ht="12.75">
      <c r="A50749" s="2" t="s">
        <v>446</v>
      </c>
    </row>
    <row r="50750" spans="1:1" ht="12.75">
      <c r="A50750" s="2" t="s">
        <v>446</v>
      </c>
    </row>
    <row r="50751" spans="1:1" ht="12.75">
      <c r="A50751" s="2" t="s">
        <v>446</v>
      </c>
    </row>
    <row r="50752" spans="1:1" ht="12.75">
      <c r="A50752" s="2" t="s">
        <v>451</v>
      </c>
    </row>
    <row r="50753" spans="1:1" ht="12.75">
      <c r="A50753" s="2" t="s">
        <v>446</v>
      </c>
    </row>
    <row r="50754" spans="1:1" ht="12.75">
      <c r="A50754" s="2" t="s">
        <v>447</v>
      </c>
    </row>
    <row r="50755" spans="1:1" ht="12.75">
      <c r="A50755" s="2" t="s">
        <v>446</v>
      </c>
    </row>
    <row r="50756" spans="1:1" ht="12.75">
      <c r="A50756" s="2" t="s">
        <v>473</v>
      </c>
    </row>
    <row r="50757" spans="1:1" ht="12.75">
      <c r="A50757" s="2" t="s">
        <v>446</v>
      </c>
    </row>
    <row r="50758" spans="1:1" ht="12.75">
      <c r="A50758" s="2" t="s">
        <v>473</v>
      </c>
    </row>
    <row r="50759" spans="1:1" ht="12.75">
      <c r="A50759" s="2" t="s">
        <v>447</v>
      </c>
    </row>
    <row r="50760" spans="1:1" ht="12.75">
      <c r="A50760" s="2" t="s">
        <v>473</v>
      </c>
    </row>
    <row r="50761" spans="1:1" ht="12.75">
      <c r="A50761" s="2" t="s">
        <v>447</v>
      </c>
    </row>
    <row r="50762" spans="1:1" ht="12.75">
      <c r="A50762" s="2" t="s">
        <v>473</v>
      </c>
    </row>
    <row r="50763" spans="1:1" ht="12.75">
      <c r="A50763" s="2" t="s">
        <v>447</v>
      </c>
    </row>
    <row r="50764" spans="1:1" ht="12.75">
      <c r="A50764" s="2" t="s">
        <v>473</v>
      </c>
    </row>
    <row r="50765" spans="1:1" ht="12.75">
      <c r="A50765" s="2" t="s">
        <v>447</v>
      </c>
    </row>
    <row r="50766" spans="1:1" ht="12.75">
      <c r="A50766" s="2" t="s">
        <v>448</v>
      </c>
    </row>
    <row r="50767" spans="1:1" ht="12.75">
      <c r="A50767" s="2" t="s">
        <v>473</v>
      </c>
    </row>
    <row r="50768" spans="1:1" ht="12.75">
      <c r="A50768" s="2" t="s">
        <v>448</v>
      </c>
    </row>
    <row r="50769" spans="1:1" ht="12.75">
      <c r="A50769" s="2" t="s">
        <v>451</v>
      </c>
    </row>
    <row r="50770" spans="1:1" ht="12.75">
      <c r="A50770" s="2" t="s">
        <v>446</v>
      </c>
    </row>
    <row r="50771" spans="1:1" ht="12.75">
      <c r="A50771" s="2" t="s">
        <v>446</v>
      </c>
    </row>
    <row r="50772" spans="1:1" ht="12.75">
      <c r="A50772" s="2" t="s">
        <v>446</v>
      </c>
    </row>
    <row r="50773" spans="1:1" ht="12.75">
      <c r="A50773" s="2" t="s">
        <v>446</v>
      </c>
    </row>
    <row r="50774" spans="1:1" ht="12.75">
      <c r="A50774" s="2" t="s">
        <v>446</v>
      </c>
    </row>
    <row r="50775" spans="1:1" ht="12.75">
      <c r="A50775" s="2" t="s">
        <v>446</v>
      </c>
    </row>
    <row r="50776" spans="1:1" ht="12.75">
      <c r="A50776" s="2" t="s">
        <v>447</v>
      </c>
    </row>
    <row r="50777" spans="1:1" ht="12.75">
      <c r="A50777" s="2" t="s">
        <v>447</v>
      </c>
    </row>
    <row r="50778" spans="1:1" ht="12.75">
      <c r="A50778" s="2" t="s">
        <v>447</v>
      </c>
    </row>
    <row r="50779" spans="1:1" ht="12.75">
      <c r="A50779" s="2" t="s">
        <v>447</v>
      </c>
    </row>
    <row r="50780" spans="1:1" ht="12.75">
      <c r="A50780" s="2" t="s">
        <v>448</v>
      </c>
    </row>
    <row r="50781" spans="1:1" ht="12.75">
      <c r="A50781" s="2" t="s">
        <v>448</v>
      </c>
    </row>
    <row r="50782" spans="1:1" ht="12.75">
      <c r="A50782" s="2" t="s">
        <v>448</v>
      </c>
    </row>
    <row r="50784" spans="1:1" ht="12.75">
      <c r="A50784" s="2" t="s">
        <v>473</v>
      </c>
    </row>
    <row r="50785" spans="1:1" ht="12.75">
      <c r="A50785" s="2" t="s">
        <v>473</v>
      </c>
    </row>
    <row r="50786" spans="1:1" ht="12.75">
      <c r="A50786" s="2" t="s">
        <v>473</v>
      </c>
    </row>
    <row r="50787" spans="1:1" ht="12.75">
      <c r="A50787" s="2" t="s">
        <v>447</v>
      </c>
    </row>
    <row r="50788" spans="1:1" ht="12.75">
      <c r="A50788" s="2" t="s">
        <v>447</v>
      </c>
    </row>
    <row r="50789" spans="1:1" ht="12.75">
      <c r="A50789" s="2" t="s">
        <v>447</v>
      </c>
    </row>
    <row r="50790" spans="1:1" ht="12.75">
      <c r="A50790" s="2" t="s">
        <v>446</v>
      </c>
    </row>
    <row r="50791" spans="1:1" ht="12.75">
      <c r="A50791" s="2" t="s">
        <v>446</v>
      </c>
    </row>
    <row r="50792" spans="1:1" ht="12.75">
      <c r="A50792" s="2" t="s">
        <v>446</v>
      </c>
    </row>
    <row r="50793" spans="1:1" ht="12.75">
      <c r="A50793" s="2" t="s">
        <v>446</v>
      </c>
    </row>
    <row r="50794" spans="1:1" ht="12.75">
      <c r="A50794" s="2" t="s">
        <v>446</v>
      </c>
    </row>
    <row r="50795" spans="1:1" ht="12.75">
      <c r="A50795" s="2" t="s">
        <v>448</v>
      </c>
    </row>
    <row r="50796" spans="1:1" ht="12.75">
      <c r="A50796" s="2" t="s">
        <v>448</v>
      </c>
    </row>
    <row r="50797" spans="1:1" ht="12.75">
      <c r="A50797" s="2" t="s">
        <v>448</v>
      </c>
    </row>
    <row r="50798" spans="1:1" ht="12.75">
      <c r="A50798" s="2" t="s">
        <v>446</v>
      </c>
    </row>
    <row r="50799" spans="1:1" ht="12.75">
      <c r="A50799" s="2" t="s">
        <v>446</v>
      </c>
    </row>
    <row r="50800" spans="1:1" ht="12.75">
      <c r="A50800" s="2" t="s">
        <v>446</v>
      </c>
    </row>
    <row r="50801" spans="1:1" ht="12.75">
      <c r="A50801" s="2" t="s">
        <v>447</v>
      </c>
    </row>
    <row r="50802" spans="1:1" ht="12.75">
      <c r="A50802" s="2" t="s">
        <v>447</v>
      </c>
    </row>
    <row r="50803" spans="1:1" ht="12.75">
      <c r="A50803" s="2" t="s">
        <v>446</v>
      </c>
    </row>
    <row r="50804" spans="1:1" ht="12.75">
      <c r="A50804" s="2" t="s">
        <v>447</v>
      </c>
    </row>
    <row r="50805" spans="1:1" ht="12.75">
      <c r="A50805" s="2" t="s">
        <v>473</v>
      </c>
    </row>
    <row r="50806" spans="1:1" ht="12.75">
      <c r="A50806" s="2" t="s">
        <v>446</v>
      </c>
    </row>
    <row r="50807" spans="1:1" ht="12.75">
      <c r="A50807" s="2" t="s">
        <v>473</v>
      </c>
    </row>
    <row r="50808" spans="1:1" ht="12.75">
      <c r="A50808" s="2" t="s">
        <v>473</v>
      </c>
    </row>
    <row r="50909" spans="1:1" ht="12.75">
      <c r="A50909" s="2" t="s">
        <v>1739</v>
      </c>
    </row>
    <row r="50910" spans="1:1" ht="12.75">
      <c r="A50910" s="2" t="s">
        <v>729</v>
      </c>
    </row>
    <row r="50911" spans="1:1" ht="12.75">
      <c r="A50911" s="2" t="s">
        <v>729</v>
      </c>
    </row>
    <row r="50912" spans="1:1" ht="12.75">
      <c r="A50912" s="2" t="s">
        <v>581</v>
      </c>
    </row>
    <row r="50913" spans="1:1" ht="12.75">
      <c r="A50913" s="2" t="s">
        <v>392</v>
      </c>
    </row>
    <row r="50914" spans="1:1" ht="12.75">
      <c r="A50914" s="2" t="s">
        <v>392</v>
      </c>
    </row>
    <row r="50915" spans="1:1" ht="12.75">
      <c r="A50915" s="2" t="s">
        <v>392</v>
      </c>
    </row>
    <row r="50919" spans="1:1" ht="12.75">
      <c r="A50919" s="2" t="s">
        <v>899</v>
      </c>
    </row>
    <row r="50925" spans="1:1" ht="12.75">
      <c r="A50925" s="2" t="s">
        <v>1740</v>
      </c>
    </row>
    <row r="50926" spans="1:1" ht="12.75">
      <c r="A50926" s="2" t="s">
        <v>899</v>
      </c>
    </row>
    <row r="51027" spans="1:1" ht="12.75">
      <c r="A51027" s="2" t="s">
        <v>1741</v>
      </c>
    </row>
    <row r="51028" spans="1:1" ht="12.75">
      <c r="A51028" s="2" t="s">
        <v>1566</v>
      </c>
    </row>
    <row r="51029" spans="1:1" ht="12.75">
      <c r="A51029" s="2" t="s">
        <v>1545</v>
      </c>
    </row>
    <row r="51030" spans="1:1" ht="12.75">
      <c r="A51030" s="2" t="s">
        <v>1713</v>
      </c>
    </row>
    <row r="51031" spans="1:1" ht="12.75">
      <c r="A51031" s="2" t="s">
        <v>1558</v>
      </c>
    </row>
    <row r="51032" spans="1:1" ht="12.75">
      <c r="A51032" s="2" t="s">
        <v>1558</v>
      </c>
    </row>
    <row r="51033" spans="1:1" ht="12.75">
      <c r="A51033" s="2" t="s">
        <v>1361</v>
      </c>
    </row>
    <row r="51034" spans="1:1" ht="12.75">
      <c r="A51034" s="2" t="s">
        <v>1361</v>
      </c>
    </row>
    <row r="51035" spans="1:1" ht="12.75">
      <c r="A51035" s="2" t="s">
        <v>1291</v>
      </c>
    </row>
    <row r="51036" spans="1:1" ht="12.75">
      <c r="A51036" s="2" t="s">
        <v>1291</v>
      </c>
    </row>
    <row r="51037" spans="1:1" ht="12.75">
      <c r="A51037" s="2" t="s">
        <v>1142</v>
      </c>
    </row>
    <row r="51038" spans="1:1" ht="12.75">
      <c r="A51038" s="2" t="s">
        <v>1142</v>
      </c>
    </row>
    <row r="51039" spans="1:1" ht="12.75">
      <c r="A51039" s="2" t="s">
        <v>957</v>
      </c>
    </row>
    <row r="51040" spans="1:1" ht="12.75">
      <c r="A51040" s="2" t="s">
        <v>957</v>
      </c>
    </row>
    <row r="51041" spans="1:1" ht="12.75">
      <c r="A51041" s="2" t="s">
        <v>1458</v>
      </c>
    </row>
    <row r="51042" spans="1:1" ht="12.75">
      <c r="A51042" s="2" t="s">
        <v>1458</v>
      </c>
    </row>
    <row r="51043" spans="1:1" ht="12.75">
      <c r="A51043" s="2" t="s">
        <v>1557</v>
      </c>
    </row>
    <row r="51044" spans="1:1" ht="12.75">
      <c r="A51044" s="2" t="s">
        <v>1446</v>
      </c>
    </row>
    <row r="51045" spans="1:1" ht="12.75">
      <c r="A51045" s="2" t="s">
        <v>1715</v>
      </c>
    </row>
    <row r="51046" spans="1:1" ht="12.75">
      <c r="A51046" s="2" t="s">
        <v>1715</v>
      </c>
    </row>
    <row r="51047" spans="1:1" ht="12.75">
      <c r="A51047" s="2" t="s">
        <v>1439</v>
      </c>
    </row>
    <row r="51048" spans="1:1" ht="12.75">
      <c r="A51048" s="2" t="s">
        <v>1439</v>
      </c>
    </row>
    <row r="51049" spans="1:1" ht="12.75">
      <c r="A51049" s="2" t="s">
        <v>1551</v>
      </c>
    </row>
    <row r="51050" spans="1:1" ht="12.75">
      <c r="A51050" s="2" t="s">
        <v>1551</v>
      </c>
    </row>
    <row r="51051" spans="1:1" ht="12.75">
      <c r="A51051" s="2" t="s">
        <v>1662</v>
      </c>
    </row>
    <row r="51052" spans="1:1" ht="12.75">
      <c r="A51052" s="2" t="s">
        <v>1662</v>
      </c>
    </row>
    <row r="51053" spans="1:1" ht="12.75">
      <c r="A51053" s="2" t="s">
        <v>1559</v>
      </c>
    </row>
    <row r="51054" spans="1:1" ht="12.75">
      <c r="A51054" s="2" t="s">
        <v>1559</v>
      </c>
    </row>
    <row r="51055" spans="1:1" ht="12.75">
      <c r="A51055" s="2" t="s">
        <v>1472</v>
      </c>
    </row>
    <row r="51056" spans="1:1" ht="12.75">
      <c r="A51056" s="2" t="s">
        <v>1472</v>
      </c>
    </row>
    <row r="51057" spans="1:1" ht="12.75">
      <c r="A51057" s="2" t="s">
        <v>1144</v>
      </c>
    </row>
    <row r="51058" spans="1:1" ht="12.75">
      <c r="A51058" s="2" t="s">
        <v>1144</v>
      </c>
    </row>
    <row r="51059" spans="1:1" ht="12.75">
      <c r="A51059" s="2" t="s">
        <v>1643</v>
      </c>
    </row>
    <row r="51060" spans="1:1" ht="12.75">
      <c r="A51060" s="2" t="s">
        <v>1643</v>
      </c>
    </row>
    <row r="51063" spans="1:1" ht="12.75">
      <c r="A51063" s="2" t="s">
        <v>1448</v>
      </c>
    </row>
    <row r="51064" spans="1:1" ht="12.75">
      <c r="A51064" s="2" t="s">
        <v>1448</v>
      </c>
    </row>
    <row r="51065" spans="1:1" ht="12.75">
      <c r="A51065" s="2" t="s">
        <v>1292</v>
      </c>
    </row>
    <row r="51066" spans="1:1" ht="12.75">
      <c r="A51066" s="2" t="s">
        <v>1292</v>
      </c>
    </row>
    <row r="51067" spans="1:1" ht="12.75">
      <c r="A51067" s="2" t="s">
        <v>1291</v>
      </c>
    </row>
    <row r="51068" spans="1:1" ht="12.75">
      <c r="A51068" s="2" t="s">
        <v>1291</v>
      </c>
    </row>
    <row r="51069" spans="1:1" ht="12.75">
      <c r="A51069" s="2" t="s">
        <v>1293</v>
      </c>
    </row>
    <row r="51070" spans="1:1" ht="12.75">
      <c r="A51070" s="2" t="s">
        <v>1293</v>
      </c>
    </row>
    <row r="51071" spans="1:1" ht="12.75">
      <c r="A51071" s="2" t="s">
        <v>708</v>
      </c>
    </row>
    <row r="51072" spans="1:1" ht="12.75">
      <c r="A51072" s="2" t="s">
        <v>708</v>
      </c>
    </row>
    <row r="51073" spans="1:1" ht="12.75">
      <c r="A51073" s="2" t="s">
        <v>1256</v>
      </c>
    </row>
    <row r="51074" spans="1:1" ht="12.75">
      <c r="A51074" s="2" t="s">
        <v>1256</v>
      </c>
    </row>
    <row r="51075" spans="1:1" ht="12.75">
      <c r="A51075" s="2" t="s">
        <v>1640</v>
      </c>
    </row>
    <row r="51076" spans="1:1" ht="12.75">
      <c r="A51076" s="2" t="s">
        <v>1640</v>
      </c>
    </row>
    <row r="51077" spans="1:1" ht="12.75">
      <c r="A51077" s="2" t="s">
        <v>957</v>
      </c>
    </row>
    <row r="51078" spans="1:1" ht="12.75">
      <c r="A51078" s="2" t="s">
        <v>957</v>
      </c>
    </row>
    <row r="51079" spans="1:1" ht="12.75">
      <c r="A51079" s="2" t="s">
        <v>1467</v>
      </c>
    </row>
    <row r="51080" spans="1:1" ht="12.75">
      <c r="A51080" s="2" t="s">
        <v>1661</v>
      </c>
    </row>
    <row r="51081" spans="1:1" ht="12.75">
      <c r="A51081" s="2" t="s">
        <v>1447</v>
      </c>
    </row>
    <row r="51082" spans="1:1" ht="12.75">
      <c r="A51082" s="2" t="s">
        <v>1447</v>
      </c>
    </row>
    <row r="51083" spans="1:1" ht="12.75">
      <c r="A51083" s="2" t="s">
        <v>1359</v>
      </c>
    </row>
    <row r="51084" spans="1:1" ht="12.75">
      <c r="A51084" s="2" t="s">
        <v>1359</v>
      </c>
    </row>
    <row r="51087" spans="1:1" ht="12.75">
      <c r="A51087" s="2" t="s">
        <v>1716</v>
      </c>
    </row>
    <row r="51088" spans="1:1" ht="12.75">
      <c r="A51088" s="2" t="s">
        <v>1716</v>
      </c>
    </row>
    <row r="51089" spans="1:1" ht="12.75">
      <c r="A51089" s="2" t="s">
        <v>1358</v>
      </c>
    </row>
    <row r="51090" spans="1:1" ht="12.75">
      <c r="A51090" s="2" t="s">
        <v>1742</v>
      </c>
    </row>
    <row r="51095" spans="1:1" ht="12.75">
      <c r="A51095" s="2" t="s">
        <v>957</v>
      </c>
    </row>
    <row r="51096" spans="1:1" ht="12.75">
      <c r="A51096" s="2" t="s">
        <v>957</v>
      </c>
    </row>
    <row r="51097" spans="1:1" ht="12.75">
      <c r="A51097" s="2" t="s">
        <v>708</v>
      </c>
    </row>
    <row r="51098" spans="1:1" ht="12.75">
      <c r="A51098" s="2" t="s">
        <v>708</v>
      </c>
    </row>
    <row r="51099" spans="1:1" ht="12.75">
      <c r="A51099" s="2" t="s">
        <v>966</v>
      </c>
    </row>
    <row r="51100" spans="1:1" ht="12.75">
      <c r="A51100" s="2" t="s">
        <v>966</v>
      </c>
    </row>
    <row r="51103" spans="1:1" ht="12.75">
      <c r="A51103" s="2" t="s">
        <v>1142</v>
      </c>
    </row>
    <row r="51104" spans="1:1" ht="12.75">
      <c r="A51104" s="2" t="s">
        <v>1142</v>
      </c>
    </row>
    <row r="51107" spans="1:1" ht="12.75">
      <c r="A51107" s="2" t="s">
        <v>1144</v>
      </c>
    </row>
    <row r="51108" spans="1:1" ht="12.75">
      <c r="A51108" s="2" t="s">
        <v>1144</v>
      </c>
    </row>
    <row r="51109" spans="1:1" ht="12.75">
      <c r="A51109" s="2" t="s">
        <v>1256</v>
      </c>
    </row>
    <row r="51110" spans="1:1" ht="12.75">
      <c r="A51110" s="2" t="s">
        <v>1256</v>
      </c>
    </row>
    <row r="51111" spans="1:1" ht="12.75">
      <c r="A51111" s="2" t="s">
        <v>1293</v>
      </c>
    </row>
    <row r="51112" spans="1:1" ht="12.75">
      <c r="A51112" s="2" t="s">
        <v>1293</v>
      </c>
    </row>
    <row r="51113" spans="1:1" ht="12.75">
      <c r="A51113" s="2" t="s">
        <v>1357</v>
      </c>
    </row>
    <row r="51114" spans="1:1" ht="12.75">
      <c r="A51114" s="2" t="s">
        <v>1357</v>
      </c>
    </row>
    <row r="51115" spans="1:1" ht="12.75">
      <c r="A51115" s="2" t="s">
        <v>1358</v>
      </c>
    </row>
    <row r="51116" spans="1:1" ht="12.75">
      <c r="A51116" s="2" t="s">
        <v>1358</v>
      </c>
    </row>
    <row r="51117" spans="1:1" ht="12.75">
      <c r="A51117" s="2" t="s">
        <v>1359</v>
      </c>
    </row>
    <row r="51118" spans="1:1" ht="12.75">
      <c r="A51118" s="2" t="s">
        <v>1359</v>
      </c>
    </row>
    <row r="51119" spans="1:1" ht="12.75">
      <c r="A51119" s="2" t="s">
        <v>1298</v>
      </c>
    </row>
    <row r="51120" spans="1:1" ht="12.75">
      <c r="A51120" s="2" t="s">
        <v>1298</v>
      </c>
    </row>
    <row r="51121" spans="1:1" ht="12.75">
      <c r="A51121" s="2" t="s">
        <v>1292</v>
      </c>
    </row>
    <row r="51122" spans="1:1" ht="12.75">
      <c r="A51122" s="2" t="s">
        <v>1292</v>
      </c>
    </row>
    <row r="51123" spans="1:1" ht="12.75">
      <c r="A51123" s="2" t="s">
        <v>1291</v>
      </c>
    </row>
    <row r="51124" spans="1:1" ht="12.75">
      <c r="A51124" s="2" t="s">
        <v>1743</v>
      </c>
    </row>
    <row r="51125" spans="1:1" ht="12.75">
      <c r="A51125" s="2" t="s">
        <v>1443</v>
      </c>
    </row>
    <row r="51126" spans="1:1" ht="12.75">
      <c r="A51126" s="2" t="s">
        <v>1443</v>
      </c>
    </row>
    <row r="51127" spans="1:1" ht="12.75">
      <c r="A51127" s="2" t="s">
        <v>1442</v>
      </c>
    </row>
    <row r="51128" spans="1:1" ht="12.75">
      <c r="A51128" s="2" t="s">
        <v>1442</v>
      </c>
    </row>
    <row r="51129" spans="1:1" ht="12.75">
      <c r="A51129" s="2" t="s">
        <v>1446</v>
      </c>
    </row>
    <row r="51130" spans="1:1" ht="12.75">
      <c r="A51130" s="2" t="s">
        <v>1446</v>
      </c>
    </row>
    <row r="51131" spans="1:1" ht="12.75">
      <c r="A51131" s="2" t="s">
        <v>1572</v>
      </c>
    </row>
    <row r="51132" spans="1:1" ht="12.75">
      <c r="A51132" s="2" t="s">
        <v>1572</v>
      </c>
    </row>
    <row r="51134" spans="1:1" ht="12.75">
      <c r="A51134" s="2" t="s">
        <v>1469</v>
      </c>
    </row>
    <row r="51135" spans="1:1" ht="12.75">
      <c r="A51135" s="2" t="s">
        <v>1744</v>
      </c>
    </row>
    <row r="51136" spans="1:1" ht="12.75">
      <c r="A51136" s="2" t="s">
        <v>1449</v>
      </c>
    </row>
    <row r="51137" spans="1:1" ht="12.75">
      <c r="A51137" s="2" t="s">
        <v>1457</v>
      </c>
    </row>
    <row r="51139" spans="1:1" ht="12.75">
      <c r="A51139" s="2" t="s">
        <v>1439</v>
      </c>
    </row>
    <row r="51140" spans="1:1" ht="12.75">
      <c r="A51140" s="2" t="s">
        <v>1439</v>
      </c>
    </row>
    <row r="51141" spans="1:1" ht="12.75">
      <c r="A51141" s="2" t="s">
        <v>1545</v>
      </c>
    </row>
    <row r="51142" spans="1:1" ht="12.75">
      <c r="A51142" s="2" t="s">
        <v>1545</v>
      </c>
    </row>
    <row r="51143" spans="1:1" ht="12.75">
      <c r="A51143" s="2" t="s">
        <v>1541</v>
      </c>
    </row>
    <row r="51144" spans="1:1" ht="12.75">
      <c r="A51144" s="2" t="s">
        <v>1541</v>
      </c>
    </row>
    <row r="51147" spans="1:1" ht="12.75">
      <c r="A51147" s="2" t="s">
        <v>1745</v>
      </c>
    </row>
    <row r="51148" spans="1:1" ht="12.75">
      <c r="A51148" s="2" t="s">
        <v>1453</v>
      </c>
    </row>
    <row r="51149" spans="1:1" ht="12.75">
      <c r="A51149" s="2" t="s">
        <v>1448</v>
      </c>
    </row>
    <row r="51151" spans="1:1" ht="12.75">
      <c r="A51151" s="2" t="s">
        <v>1467</v>
      </c>
    </row>
    <row r="51153" spans="1:1" ht="12.75">
      <c r="A51153" s="2" t="s">
        <v>1363</v>
      </c>
    </row>
    <row r="51154" spans="1:1" ht="12.75">
      <c r="A51154" s="2" t="s">
        <v>1363</v>
      </c>
    </row>
    <row r="51155" spans="1:1" ht="12.75">
      <c r="A51155" s="2" t="s">
        <v>1361</v>
      </c>
    </row>
    <row r="51156" spans="1:1" ht="12.75">
      <c r="A51156" s="2" t="s">
        <v>1361</v>
      </c>
    </row>
    <row r="51157" spans="1:1" ht="12.75">
      <c r="A51157" s="2" t="s">
        <v>1656</v>
      </c>
    </row>
    <row r="51158" spans="1:1" ht="12.75">
      <c r="A51158" s="2" t="s">
        <v>1549</v>
      </c>
    </row>
    <row r="51159" spans="1:1" ht="12.75">
      <c r="A51159" s="2" t="s">
        <v>1551</v>
      </c>
    </row>
    <row r="51160" spans="1:1" ht="12.75">
      <c r="A51160" s="2" t="s">
        <v>1551</v>
      </c>
    </row>
    <row r="51161" spans="1:1" ht="12.75">
      <c r="A51161" s="2" t="s">
        <v>1746</v>
      </c>
    </row>
    <row r="51162" spans="1:1" ht="12.75">
      <c r="A51162" s="2" t="s">
        <v>1472</v>
      </c>
    </row>
    <row r="51163" spans="1:1" ht="12.75">
      <c r="A51163" s="2" t="s">
        <v>1550</v>
      </c>
    </row>
    <row r="51164" spans="1:1" ht="12.75">
      <c r="A51164" s="2" t="s">
        <v>1550</v>
      </c>
    </row>
    <row r="51165" spans="1:1" ht="12.75">
      <c r="A51165" s="2" t="s">
        <v>1559</v>
      </c>
    </row>
    <row r="51166" spans="1:1" ht="12.75">
      <c r="A51166" s="2" t="s">
        <v>1559</v>
      </c>
    </row>
    <row r="51167" spans="1:1" ht="12.75">
      <c r="A51167" s="2" t="s">
        <v>1747</v>
      </c>
    </row>
    <row r="51168" spans="1:1" ht="12.75">
      <c r="A51168" s="2" t="s">
        <v>1558</v>
      </c>
    </row>
    <row r="51169" spans="1:1" ht="12.75">
      <c r="A51169" s="2" t="s">
        <v>1640</v>
      </c>
    </row>
    <row r="51170" spans="1:1" ht="12.75">
      <c r="A51170" s="2" t="s">
        <v>1640</v>
      </c>
    </row>
    <row r="51171" spans="1:1" ht="12.75">
      <c r="A51171" s="2" t="s">
        <v>1643</v>
      </c>
    </row>
    <row r="51172" spans="1:1" ht="12.75">
      <c r="A51172" s="2" t="s">
        <v>1643</v>
      </c>
    </row>
    <row r="51173" spans="1:1" ht="12.75">
      <c r="A51173" s="2" t="s">
        <v>1647</v>
      </c>
    </row>
    <row r="51174" spans="1:1" ht="12.75">
      <c r="A51174" s="2" t="s">
        <v>1647</v>
      </c>
    </row>
    <row r="51175" spans="1:1" ht="12.75">
      <c r="A51175" s="2" t="s">
        <v>1565</v>
      </c>
    </row>
    <row r="51176" spans="1:1" ht="12.75">
      <c r="A51176" s="2" t="s">
        <v>1566</v>
      </c>
    </row>
    <row r="51177" spans="1:1" ht="12.75">
      <c r="A51177" s="2" t="s">
        <v>1142</v>
      </c>
    </row>
    <row r="51178" spans="1:1" ht="12.75">
      <c r="A51178" s="2" t="s">
        <v>1142</v>
      </c>
    </row>
    <row r="51179" spans="1:1" ht="12.75">
      <c r="A51179" s="2" t="s">
        <v>962</v>
      </c>
    </row>
    <row r="51180" spans="1:1" ht="12.75">
      <c r="A51180" s="2" t="s">
        <v>1096</v>
      </c>
    </row>
    <row r="51181" spans="1:1" ht="12.75">
      <c r="A51181" s="2" t="s">
        <v>966</v>
      </c>
    </row>
    <row r="51182" spans="1:1" ht="12.75">
      <c r="A51182" s="2" t="s">
        <v>966</v>
      </c>
    </row>
    <row r="51183" spans="1:1" ht="12.75">
      <c r="A51183" s="2" t="s">
        <v>1748</v>
      </c>
    </row>
    <row r="51184" spans="1:1" ht="12.75">
      <c r="A51184" s="2" t="s">
        <v>1748</v>
      </c>
    </row>
    <row r="51185" spans="1:1" ht="12.75">
      <c r="A51185" s="2" t="s">
        <v>1710</v>
      </c>
    </row>
    <row r="51186" spans="1:1" ht="12.75">
      <c r="A51186" s="2" t="s">
        <v>1710</v>
      </c>
    </row>
    <row r="51187" spans="1:1" ht="12.75">
      <c r="A51187" s="2" t="s">
        <v>1472</v>
      </c>
    </row>
    <row r="51188" spans="1:1" ht="12.75">
      <c r="A51188" s="2" t="s">
        <v>1655</v>
      </c>
    </row>
    <row r="51189" spans="1:1" ht="12.75">
      <c r="A51189" s="2" t="s">
        <v>1546</v>
      </c>
    </row>
    <row r="51190" spans="1:1" ht="12.75">
      <c r="A51190" s="2" t="s">
        <v>1638</v>
      </c>
    </row>
    <row r="51191" spans="1:1" ht="12.75">
      <c r="A51191" s="2" t="s">
        <v>1558</v>
      </c>
    </row>
    <row r="51192" spans="1:1" ht="12.75">
      <c r="A51192" s="2" t="s">
        <v>1558</v>
      </c>
    </row>
    <row r="51193" spans="1:1" ht="12.75">
      <c r="A51193" s="2" t="s">
        <v>1647</v>
      </c>
    </row>
    <row r="51194" spans="1:1" ht="12.75">
      <c r="A51194" s="2" t="s">
        <v>1647</v>
      </c>
    </row>
    <row r="51195" spans="1:1" ht="12.75">
      <c r="A51195" s="2" t="s">
        <v>1716</v>
      </c>
    </row>
    <row r="51196" spans="1:1" ht="12.75">
      <c r="A51196" s="2" t="s">
        <v>1716</v>
      </c>
    </row>
    <row r="51197" spans="1:1" ht="12.75">
      <c r="A51197" s="2" t="s">
        <v>1565</v>
      </c>
    </row>
    <row r="51198" spans="1:1" ht="12.75">
      <c r="A51198" s="2" t="s">
        <v>1565</v>
      </c>
    </row>
    <row r="51201" spans="1:1" ht="12.75">
      <c r="A51201" s="2" t="s">
        <v>1749</v>
      </c>
    </row>
    <row r="51202" spans="1:1" ht="12.75">
      <c r="A51202" s="2" t="s">
        <v>1749</v>
      </c>
    </row>
    <row r="51203" spans="1:1" ht="12.75">
      <c r="A51203" s="2" t="s">
        <v>1459</v>
      </c>
    </row>
    <row r="51204" spans="1:1" ht="12.75">
      <c r="A51204" s="2" t="s">
        <v>1750</v>
      </c>
    </row>
    <row r="51205" spans="1:1" ht="12.75">
      <c r="A51205" s="2" t="s">
        <v>1559</v>
      </c>
    </row>
    <row r="51206" spans="1:1" ht="12.75">
      <c r="A51206" s="2" t="s">
        <v>1559</v>
      </c>
    </row>
    <row r="51207" spans="1:1" ht="12.75">
      <c r="A51207" s="2" t="s">
        <v>1643</v>
      </c>
    </row>
    <row r="51208" spans="1:1" ht="12.75">
      <c r="A51208" s="2" t="s">
        <v>1643</v>
      </c>
    </row>
    <row r="51209" spans="1:1" ht="12.75">
      <c r="A51209" s="2" t="s">
        <v>1446</v>
      </c>
    </row>
    <row r="51210" spans="1:1" ht="12.75">
      <c r="A51210" s="2" t="s">
        <v>1446</v>
      </c>
    </row>
    <row r="51213" spans="1:1" ht="12.75">
      <c r="A51213" s="2" t="s">
        <v>1443</v>
      </c>
    </row>
    <row r="51214" spans="1:1" ht="12.75">
      <c r="A51214" s="2" t="s">
        <v>1443</v>
      </c>
    </row>
    <row r="51215" spans="1:1" ht="12.75">
      <c r="A51215" s="2" t="s">
        <v>1142</v>
      </c>
    </row>
    <row r="51216" spans="1:1" ht="12.75">
      <c r="A51216" s="2" t="s">
        <v>1142</v>
      </c>
    </row>
    <row r="51217" spans="1:1" ht="12.75">
      <c r="A51217" s="2" t="s">
        <v>1361</v>
      </c>
    </row>
    <row r="51218" spans="1:1" ht="12.75">
      <c r="A51218" s="2" t="s">
        <v>1361</v>
      </c>
    </row>
    <row r="51219" spans="1:1" ht="12.75">
      <c r="A51219" s="2" t="s">
        <v>1644</v>
      </c>
    </row>
    <row r="51220" spans="1:1" ht="12.75">
      <c r="A51220" s="2" t="s">
        <v>1644</v>
      </c>
    </row>
    <row r="51221" spans="1:1" ht="12.75">
      <c r="A51221" s="2" t="s">
        <v>1298</v>
      </c>
    </row>
    <row r="51222" spans="1:1" ht="12.75">
      <c r="A51222" s="2" t="s">
        <v>1298</v>
      </c>
    </row>
    <row r="51223" spans="1:1" ht="12.75">
      <c r="A51223" s="2" t="s">
        <v>957</v>
      </c>
    </row>
    <row r="51224" spans="1:1" ht="12.75">
      <c r="A51224" s="2" t="s">
        <v>957</v>
      </c>
    </row>
    <row r="51225" spans="1:1" ht="12.75">
      <c r="A51225" s="2" t="s">
        <v>1707</v>
      </c>
    </row>
    <row r="51226" spans="1:1" ht="12.75">
      <c r="A51226" s="2" t="s">
        <v>1707</v>
      </c>
    </row>
    <row r="51227" spans="1:1" ht="12.75">
      <c r="A51227" s="2" t="s">
        <v>708</v>
      </c>
    </row>
    <row r="51228" spans="1:1" ht="12.75">
      <c r="A51228" s="2" t="s">
        <v>708</v>
      </c>
    </row>
    <row r="51229" spans="1:1" ht="12.75">
      <c r="A51229" s="2" t="s">
        <v>962</v>
      </c>
    </row>
    <row r="51230" spans="1:1" ht="12.75">
      <c r="A51230" s="2" t="s">
        <v>962</v>
      </c>
    </row>
    <row r="51233" spans="1:1" ht="12.75">
      <c r="A51233" s="2" t="s">
        <v>1144</v>
      </c>
    </row>
    <row r="51234" spans="1:1" ht="12.75">
      <c r="A51234" s="2" t="s">
        <v>1144</v>
      </c>
    </row>
    <row r="51235" spans="1:1" ht="12.75">
      <c r="A51235" s="2" t="s">
        <v>1291</v>
      </c>
    </row>
    <row r="51236" spans="1:1" ht="12.75">
      <c r="A51236" s="2" t="s">
        <v>1291</v>
      </c>
    </row>
    <row r="51237" spans="1:1" ht="12.75">
      <c r="A51237" s="2" t="s">
        <v>1134</v>
      </c>
    </row>
    <row r="51238" spans="1:1" ht="12.75">
      <c r="A51238" s="2" t="s">
        <v>1134</v>
      </c>
    </row>
    <row r="51239" spans="1:1" ht="12.75">
      <c r="A51239" s="2" t="s">
        <v>1571</v>
      </c>
    </row>
    <row r="51240" spans="1:1" ht="12.75">
      <c r="A51240" s="2" t="s">
        <v>1292</v>
      </c>
    </row>
    <row r="51245" spans="1:1" ht="12.75">
      <c r="A51245" s="2" t="s">
        <v>1461</v>
      </c>
    </row>
    <row r="51246" spans="1:1" ht="12.75">
      <c r="A51246" s="2" t="s">
        <v>1461</v>
      </c>
    </row>
    <row r="51247" spans="1:1" ht="12.75">
      <c r="A51247" s="2" t="s">
        <v>1442</v>
      </c>
    </row>
    <row r="51248" spans="1:1" ht="12.75">
      <c r="A51248" s="2" t="s">
        <v>1442</v>
      </c>
    </row>
    <row r="51249" spans="1:1" ht="12.75">
      <c r="A51249" s="2" t="s">
        <v>1457</v>
      </c>
    </row>
    <row r="51251" spans="1:1" ht="12.75">
      <c r="A51251" s="2">
        <v>8003</v>
      </c>
    </row>
    <row r="51252" spans="1:1" ht="12.75">
      <c r="A51252" s="2">
        <v>8063</v>
      </c>
    </row>
    <row r="51253" spans="1:1" ht="12.75">
      <c r="A51253" s="2" t="s">
        <v>1448</v>
      </c>
    </row>
    <row r="51255" spans="1:1" ht="12.75">
      <c r="A51255" s="2" t="s">
        <v>1541</v>
      </c>
    </row>
    <row r="51256" spans="1:1" ht="12.75">
      <c r="A51256" s="2" t="s">
        <v>1541</v>
      </c>
    </row>
    <row r="51257" spans="1:1" ht="12.75">
      <c r="A51257" s="2" t="s">
        <v>1545</v>
      </c>
    </row>
    <row r="51258" spans="1:1" ht="12.75">
      <c r="A51258" s="2" t="s">
        <v>1545</v>
      </c>
    </row>
    <row r="51259" spans="1:1" ht="12.75">
      <c r="A51259" s="2" t="s">
        <v>1439</v>
      </c>
    </row>
    <row r="51260" spans="1:1" ht="12.75">
      <c r="A51260" s="2" t="s">
        <v>1439</v>
      </c>
    </row>
    <row r="51261" spans="1:1" ht="12.75">
      <c r="A51261" s="2" t="s">
        <v>1542</v>
      </c>
    </row>
    <row r="51262" spans="1:1" ht="12.75">
      <c r="A51262" s="2" t="s">
        <v>1542</v>
      </c>
    </row>
    <row r="51267" spans="1:1" ht="12.75">
      <c r="A51267" s="2" t="s">
        <v>1472</v>
      </c>
    </row>
    <row r="51268" spans="1:1" ht="12.75">
      <c r="A51268" s="2" t="s">
        <v>1472</v>
      </c>
    </row>
    <row r="51269" spans="1:1" ht="12.75">
      <c r="A51269" s="2" t="s">
        <v>1551</v>
      </c>
    </row>
    <row r="51270" spans="1:1" ht="12.75">
      <c r="A51270" s="2" t="s">
        <v>1551</v>
      </c>
    </row>
    <row r="51271" spans="1:1" ht="12.75">
      <c r="A51271" s="2" t="s">
        <v>708</v>
      </c>
    </row>
    <row r="51272" spans="1:1" ht="12.75">
      <c r="A51272" s="2" t="s">
        <v>708</v>
      </c>
    </row>
    <row r="51273" spans="1:1" ht="12.75">
      <c r="A51273" s="2" t="s">
        <v>1363</v>
      </c>
    </row>
    <row r="51274" spans="1:1" ht="12.75">
      <c r="A51274" s="2" t="s">
        <v>1363</v>
      </c>
    </row>
    <row r="51276" spans="1:1" ht="12.75">
      <c r="A51276" s="2" t="s">
        <v>1138</v>
      </c>
    </row>
    <row r="51277" spans="1:1" ht="12.75">
      <c r="A51277" s="2" t="s">
        <v>1358</v>
      </c>
    </row>
    <row r="51278" spans="1:1" ht="12.75">
      <c r="A51278" s="2" t="s">
        <v>1560</v>
      </c>
    </row>
    <row r="51279" spans="1:1" ht="12.75">
      <c r="A51279" s="2" t="s">
        <v>1466</v>
      </c>
    </row>
    <row r="51280" spans="1:1" ht="12.75">
      <c r="A51280" s="2" t="s">
        <v>1751</v>
      </c>
    </row>
    <row r="51281" spans="1:1" ht="12.75">
      <c r="A51281" s="2" t="s">
        <v>1256</v>
      </c>
    </row>
    <row r="51282" spans="1:1" ht="12.75">
      <c r="A51282" s="2" t="s">
        <v>1256</v>
      </c>
    </row>
    <row r="51283" spans="1:1" ht="12.75">
      <c r="A51283" s="2" t="s">
        <v>1640</v>
      </c>
    </row>
    <row r="51284" spans="1:1" ht="12.75">
      <c r="A51284" s="2" t="s">
        <v>1640</v>
      </c>
    </row>
    <row r="51285" spans="1:1" ht="12.75">
      <c r="A51285" s="2" t="s">
        <v>1459</v>
      </c>
    </row>
    <row r="51286" spans="1:1" ht="12.75">
      <c r="A51286" s="2" t="s">
        <v>1447</v>
      </c>
    </row>
    <row r="51289" spans="1:1" ht="12.75">
      <c r="A51289" s="2" t="s">
        <v>1715</v>
      </c>
    </row>
    <row r="51290" spans="1:1" ht="12.75">
      <c r="A51290" s="2" t="s">
        <v>1715</v>
      </c>
    </row>
    <row r="51291" spans="1:1" ht="12.75">
      <c r="A51291" s="2" t="s">
        <v>1748</v>
      </c>
    </row>
    <row r="51292" spans="1:1" ht="12.75">
      <c r="A51292" s="2" t="s">
        <v>1748</v>
      </c>
    </row>
    <row r="51293" spans="1:1" ht="12.75">
      <c r="A51293" s="2" t="s">
        <v>763</v>
      </c>
    </row>
    <row r="51294" spans="1:1" ht="12.75">
      <c r="A51294" s="2" t="s">
        <v>763</v>
      </c>
    </row>
    <row r="51295" spans="1:1" ht="12.75">
      <c r="A51295" s="2" t="s">
        <v>1716</v>
      </c>
    </row>
    <row r="51296" spans="1:1" ht="12.75">
      <c r="A51296" s="2" t="s">
        <v>1716</v>
      </c>
    </row>
    <row r="51297" spans="1:1" ht="12.75">
      <c r="A51297" s="2" t="s">
        <v>1752</v>
      </c>
    </row>
    <row r="51298" spans="1:1" ht="12.75">
      <c r="A51298" s="2" t="s">
        <v>1710</v>
      </c>
    </row>
    <row r="51299" spans="1:1" ht="12.75">
      <c r="A51299" s="2" t="s">
        <v>1447</v>
      </c>
    </row>
    <row r="51300" spans="1:1" ht="12.75">
      <c r="A51300" s="2" t="s">
        <v>1552</v>
      </c>
    </row>
    <row r="51301" spans="1:1" ht="12.75">
      <c r="A51301" s="2" t="s">
        <v>205</v>
      </c>
    </row>
    <row r="51302" spans="1:1" ht="12.75">
      <c r="A51302" s="2" t="s">
        <v>205</v>
      </c>
    </row>
    <row r="51303" spans="1:1" ht="12.75">
      <c r="A51303" s="2" t="s">
        <v>961</v>
      </c>
    </row>
    <row r="51304" spans="1:1" ht="12.75">
      <c r="A51304" s="2" t="s">
        <v>961</v>
      </c>
    </row>
    <row r="51305" spans="1:1" ht="12.75">
      <c r="A51305" s="2" t="s">
        <v>1637</v>
      </c>
    </row>
    <row r="51307" spans="1:1" ht="12.75">
      <c r="A51307" s="2" t="s">
        <v>1134</v>
      </c>
    </row>
    <row r="51308" spans="1:1" ht="12.75">
      <c r="A51308" s="2" t="s">
        <v>1134</v>
      </c>
    </row>
    <row r="51309" spans="1:1" ht="12.75">
      <c r="A51309" s="2" t="s">
        <v>763</v>
      </c>
    </row>
    <row r="51310" spans="1:1" ht="12.75">
      <c r="A51310" s="2" t="s">
        <v>763</v>
      </c>
    </row>
    <row r="51311" spans="1:1" ht="12.75">
      <c r="A51311" s="2" t="s">
        <v>1753</v>
      </c>
    </row>
    <row r="51312" spans="1:1" ht="12.75">
      <c r="A51312" s="2" t="s">
        <v>1135</v>
      </c>
    </row>
    <row r="51315" spans="1:1" ht="12.75">
      <c r="A51315" s="2" t="s">
        <v>1748</v>
      </c>
    </row>
    <row r="51316" spans="1:1" ht="12.75">
      <c r="A51316" s="2" t="s">
        <v>1748</v>
      </c>
    </row>
    <row r="51317" spans="1:1" ht="12.75">
      <c r="A51317" s="2" t="s">
        <v>1461</v>
      </c>
    </row>
    <row r="51318" spans="1:1" ht="12.75">
      <c r="A51318" s="2" t="s">
        <v>1461</v>
      </c>
    </row>
    <row r="51319" spans="1:1" ht="12.75">
      <c r="A51319" s="2" t="s">
        <v>1449</v>
      </c>
    </row>
    <row r="51320" spans="1:1" ht="12.75">
      <c r="A51320" s="2" t="s">
        <v>1449</v>
      </c>
    </row>
    <row r="51321" spans="1:1" ht="12.75">
      <c r="A51321" s="2" t="s">
        <v>1449</v>
      </c>
    </row>
    <row r="51322" spans="1:1" ht="12.75">
      <c r="A51322" s="2" t="s">
        <v>1449</v>
      </c>
    </row>
    <row r="51323" spans="1:1" ht="12.75">
      <c r="A51323" s="2" t="s">
        <v>1710</v>
      </c>
    </row>
    <row r="51324" spans="1:1" ht="12.75">
      <c r="A51324" s="2" t="s">
        <v>1710</v>
      </c>
    </row>
    <row r="51325" spans="1:1" ht="12.75">
      <c r="A51325" s="2" t="s">
        <v>1457</v>
      </c>
    </row>
    <row r="51329" spans="1:1" ht="12.75">
      <c r="A51329" s="2" t="s">
        <v>1754</v>
      </c>
    </row>
    <row r="51348" spans="1:1" ht="12.75">
      <c r="A51348" s="2" t="s">
        <v>454</v>
      </c>
    </row>
    <row r="51349" spans="1:1" ht="12.75">
      <c r="A51349" s="2" t="s">
        <v>454</v>
      </c>
    </row>
    <row r="51364" spans="1:1" ht="12.75">
      <c r="A51364" s="2" t="s">
        <v>1755</v>
      </c>
    </row>
    <row r="51368" spans="1:1" ht="12.75">
      <c r="A51368" s="2" t="s">
        <v>1756</v>
      </c>
    </row>
    <row r="51369" spans="1:1" ht="12.75">
      <c r="A51369" s="2" t="s">
        <v>1756</v>
      </c>
    </row>
    <row r="51370" spans="1:1" ht="12.75">
      <c r="A51370" s="2" t="s">
        <v>1756</v>
      </c>
    </row>
    <row r="51522" spans="1:1" ht="12.75">
      <c r="A51522" s="2" t="s">
        <v>1757</v>
      </c>
    </row>
    <row r="51523" spans="1:1" ht="12.75">
      <c r="A51523" s="2" t="s">
        <v>1757</v>
      </c>
    </row>
    <row r="51524" spans="1:1" ht="12.75">
      <c r="A51524" s="2" t="s">
        <v>1758</v>
      </c>
    </row>
    <row r="51534" spans="1:1" ht="12.75">
      <c r="A51534" s="2" t="s">
        <v>1759</v>
      </c>
    </row>
    <row r="51635" spans="1:1" ht="12.75">
      <c r="A51635" s="2" t="s">
        <v>710</v>
      </c>
    </row>
    <row r="51737" spans="1:1" ht="12.75">
      <c r="A51737" s="2" t="s">
        <v>339</v>
      </c>
    </row>
    <row r="51738" spans="1:1" ht="12.75">
      <c r="A51738" s="2" t="s">
        <v>339</v>
      </c>
    </row>
    <row r="51739" spans="1:1" ht="12.75">
      <c r="A51739" s="2" t="s">
        <v>340</v>
      </c>
    </row>
    <row r="51740" spans="1:1" ht="12.75">
      <c r="A51740" s="2" t="s">
        <v>340</v>
      </c>
    </row>
    <row r="51741" spans="1:1" ht="12.75">
      <c r="A51741" s="2" t="s">
        <v>158</v>
      </c>
    </row>
    <row r="51742" spans="1:1" ht="12.75">
      <c r="A51742" s="2" t="s">
        <v>158</v>
      </c>
    </row>
    <row r="51743" spans="1:1" ht="12.75">
      <c r="A51743" s="2" t="s">
        <v>1760</v>
      </c>
    </row>
    <row r="51746" spans="1:1" ht="12.75">
      <c r="A51746" s="2" t="s">
        <v>1518</v>
      </c>
    </row>
    <row r="51747" spans="1:1" ht="12.75">
      <c r="A51747" s="2" t="s">
        <v>1518</v>
      </c>
    </row>
    <row r="51754" spans="1:1" ht="12.75">
      <c r="A51754" s="2" t="s">
        <v>959</v>
      </c>
    </row>
    <row r="51755" spans="1:1" ht="12.75">
      <c r="A51755" s="2" t="s">
        <v>959</v>
      </c>
    </row>
    <row r="51758" spans="1:1" ht="12.75">
      <c r="A51758" s="2" t="s">
        <v>959</v>
      </c>
    </row>
    <row r="51759" spans="1:1" ht="12.75">
      <c r="A51759" s="2" t="s">
        <v>291</v>
      </c>
    </row>
    <row r="51760" spans="1:1" ht="12.75">
      <c r="A51760" s="2" t="s">
        <v>291</v>
      </c>
    </row>
    <row r="51761" spans="1:1" ht="12.75">
      <c r="A51761" s="2" t="s">
        <v>289</v>
      </c>
    </row>
    <row r="51762" spans="1:1" ht="12.75">
      <c r="A51762" s="2" t="s">
        <v>289</v>
      </c>
    </row>
    <row r="51763" spans="1:1" ht="12.75">
      <c r="A51763" s="2" t="s">
        <v>290</v>
      </c>
    </row>
    <row r="51764" spans="1:1" ht="12.75">
      <c r="A51764" s="2" t="s">
        <v>289</v>
      </c>
    </row>
    <row r="51765" spans="1:1" ht="12.75">
      <c r="A51765" s="2" t="s">
        <v>293</v>
      </c>
    </row>
    <row r="51766" spans="1:1" ht="12.75">
      <c r="A51766" s="2" t="s">
        <v>290</v>
      </c>
    </row>
    <row r="51767" spans="1:1" ht="12.75">
      <c r="A51767" s="2" t="s">
        <v>755</v>
      </c>
    </row>
    <row r="51768" spans="1:1" ht="12.75">
      <c r="A51768" s="2" t="s">
        <v>755</v>
      </c>
    </row>
    <row r="51769" spans="1:1" ht="12.75">
      <c r="A51769" s="2" t="s">
        <v>290</v>
      </c>
    </row>
    <row r="51770" spans="1:1" ht="12.75">
      <c r="A51770" s="2" t="s">
        <v>290</v>
      </c>
    </row>
    <row r="51771" spans="1:1" ht="12.75">
      <c r="A51771" s="2" t="s">
        <v>293</v>
      </c>
    </row>
    <row r="51773" spans="1:1" ht="12.75">
      <c r="A51773" s="2" t="s">
        <v>290</v>
      </c>
    </row>
    <row r="51774" spans="1:1" ht="12.75">
      <c r="A51774" s="2" t="s">
        <v>290</v>
      </c>
    </row>
    <row r="51775" spans="1:1" ht="12.75">
      <c r="A51775" s="2" t="s">
        <v>291</v>
      </c>
    </row>
    <row r="51777" spans="1:1" ht="12.75">
      <c r="A51777" s="2" t="s">
        <v>291</v>
      </c>
    </row>
    <row r="51778" spans="1:1" ht="12.75">
      <c r="A51778" s="2" t="s">
        <v>291</v>
      </c>
    </row>
    <row r="51779" spans="1:1" ht="12.75">
      <c r="A51779" s="2" t="s">
        <v>289</v>
      </c>
    </row>
    <row r="51780" spans="1:1" ht="12.75">
      <c r="A51780" s="2" t="s">
        <v>289</v>
      </c>
    </row>
    <row r="51781" spans="1:1" ht="12.75">
      <c r="A51781" s="2" t="s">
        <v>296</v>
      </c>
    </row>
    <row r="51782" spans="1:1" ht="12.75">
      <c r="A51782" s="2" t="s">
        <v>289</v>
      </c>
    </row>
    <row r="51783" spans="1:1" ht="12.75">
      <c r="A51783" s="2" t="s">
        <v>290</v>
      </c>
    </row>
    <row r="51784" spans="1:1" ht="12.75">
      <c r="A51784" s="2" t="s">
        <v>1761</v>
      </c>
    </row>
    <row r="51785" spans="1:1" ht="12.75">
      <c r="A51785" s="2" t="s">
        <v>1761</v>
      </c>
    </row>
    <row r="51786" spans="1:1" ht="12.75">
      <c r="A51786" s="2" t="s">
        <v>1761</v>
      </c>
    </row>
    <row r="51787" spans="1:1" ht="12.75">
      <c r="A51787" s="2" t="s">
        <v>755</v>
      </c>
    </row>
    <row r="51788" spans="1:1" ht="12.75">
      <c r="A51788" s="2" t="s">
        <v>755</v>
      </c>
    </row>
    <row r="51789" spans="1:1" ht="12.75">
      <c r="A51789" s="2" t="s">
        <v>1319</v>
      </c>
    </row>
    <row r="51790" spans="1:1" ht="12.75">
      <c r="A51790" s="2" t="s">
        <v>1319</v>
      </c>
    </row>
    <row r="51791" spans="1:1" ht="12.75">
      <c r="A51791" s="2" t="s">
        <v>264</v>
      </c>
    </row>
    <row r="51792" spans="1:1" ht="12.75">
      <c r="A51792" s="2" t="s">
        <v>264</v>
      </c>
    </row>
    <row r="51793" spans="1:1" ht="12.75">
      <c r="A51793" s="2" t="s">
        <v>1582</v>
      </c>
    </row>
    <row r="51794" spans="1:1" ht="12.75">
      <c r="A51794" s="2" t="s">
        <v>1319</v>
      </c>
    </row>
    <row r="51795" spans="1:1" ht="12.75">
      <c r="A51795" s="2" t="s">
        <v>970</v>
      </c>
    </row>
    <row r="51796" spans="1:1" ht="12.75">
      <c r="A51796" s="2" t="s">
        <v>970</v>
      </c>
    </row>
    <row r="51797" spans="1:1" ht="12.75">
      <c r="A51797" s="2" t="s">
        <v>1581</v>
      </c>
    </row>
    <row r="51798" spans="1:1" ht="12.75">
      <c r="A51798" s="2" t="s">
        <v>1581</v>
      </c>
    </row>
    <row r="51799" spans="1:1" ht="12.75">
      <c r="A51799" s="2" t="s">
        <v>1582</v>
      </c>
    </row>
    <row r="51800" spans="1:1" ht="12.75">
      <c r="A51800" s="2" t="s">
        <v>1582</v>
      </c>
    </row>
    <row r="51801" spans="1:1" ht="12.75">
      <c r="A51801" s="2" t="s">
        <v>1003</v>
      </c>
    </row>
    <row r="51802" spans="1:1" ht="12.75">
      <c r="A51802" s="2" t="s">
        <v>1003</v>
      </c>
    </row>
    <row r="51803" spans="1:1" ht="12.75">
      <c r="A51803" s="2" t="s">
        <v>264</v>
      </c>
    </row>
    <row r="51804" spans="1:1" ht="12.75">
      <c r="A51804" s="2" t="s">
        <v>1581</v>
      </c>
    </row>
    <row r="51805" spans="1:1" ht="12.75">
      <c r="A51805" s="2" t="s">
        <v>970</v>
      </c>
    </row>
    <row r="51806" spans="1:1" ht="12.75">
      <c r="A51806" s="2" t="s">
        <v>970</v>
      </c>
    </row>
    <row r="51807" spans="1:1" ht="12.75">
      <c r="A51807" s="2" t="s">
        <v>1003</v>
      </c>
    </row>
    <row r="51808" spans="1:1" ht="12.75">
      <c r="A51808" s="2" t="s">
        <v>264</v>
      </c>
    </row>
    <row r="51809" spans="1:1" ht="12.75">
      <c r="A51809" s="2" t="s">
        <v>1582</v>
      </c>
    </row>
    <row r="51810" spans="1:1" ht="12.75">
      <c r="A51810" s="2" t="s">
        <v>1319</v>
      </c>
    </row>
    <row r="51811" spans="1:1" ht="12.75">
      <c r="A51811" s="2" t="s">
        <v>1319</v>
      </c>
    </row>
    <row r="51812" spans="1:1" ht="12.75">
      <c r="A51812" s="2" t="s">
        <v>1319</v>
      </c>
    </row>
    <row r="51813" spans="1:1" ht="12.75">
      <c r="A51813" s="2" t="s">
        <v>1319</v>
      </c>
    </row>
    <row r="51814" spans="1:1" ht="12.75">
      <c r="A51814" s="2" t="s">
        <v>1582</v>
      </c>
    </row>
    <row r="51815" spans="1:1" ht="12.75">
      <c r="A51815" s="2" t="s">
        <v>970</v>
      </c>
    </row>
    <row r="51816" spans="1:1" ht="12.75">
      <c r="A51816" s="2" t="s">
        <v>970</v>
      </c>
    </row>
    <row r="51817" spans="1:1" ht="12.75">
      <c r="A51817" s="2" t="s">
        <v>970</v>
      </c>
    </row>
    <row r="51818" spans="1:1" ht="12.75">
      <c r="A51818" s="2" t="s">
        <v>1003</v>
      </c>
    </row>
    <row r="51819" spans="1:1" ht="12.75">
      <c r="A51819" s="2" t="s">
        <v>264</v>
      </c>
    </row>
    <row r="51820" spans="1:1" ht="12.75">
      <c r="A51820" s="2" t="s">
        <v>264</v>
      </c>
    </row>
    <row r="51821" spans="1:1" ht="12.75">
      <c r="A51821" s="2" t="s">
        <v>264</v>
      </c>
    </row>
    <row r="51822" spans="1:1" ht="12.75">
      <c r="A51822" s="2" t="s">
        <v>264</v>
      </c>
    </row>
    <row r="51823" spans="1:1" ht="12.75">
      <c r="A51823" s="2" t="s">
        <v>970</v>
      </c>
    </row>
    <row r="51824" spans="1:1" ht="12.75">
      <c r="A51824" s="2" t="s">
        <v>1003</v>
      </c>
    </row>
    <row r="51827" spans="1:1" ht="12.75">
      <c r="A51827" s="2" t="s">
        <v>264</v>
      </c>
    </row>
    <row r="51828" spans="1:1" ht="12.75">
      <c r="A51828" s="2" t="s">
        <v>264</v>
      </c>
    </row>
    <row r="51829" spans="1:1" ht="12.75">
      <c r="A51829" s="2" t="s">
        <v>1582</v>
      </c>
    </row>
    <row r="51830" spans="1:1" ht="12.75">
      <c r="A51830" s="2" t="s">
        <v>1004</v>
      </c>
    </row>
    <row r="51831" spans="1:1" ht="12.75">
      <c r="A51831" s="2" t="s">
        <v>1003</v>
      </c>
    </row>
    <row r="51832" spans="1:1" ht="12.75">
      <c r="A51832" s="2" t="s">
        <v>970</v>
      </c>
    </row>
    <row r="51833" spans="1:1" ht="12.75">
      <c r="A51833" s="2" t="s">
        <v>1003</v>
      </c>
    </row>
    <row r="51836" spans="1:1" ht="12.75">
      <c r="A51836" s="2" t="s">
        <v>1582</v>
      </c>
    </row>
    <row r="51841" spans="1:1" ht="12.75">
      <c r="A51841" s="2" t="s">
        <v>768</v>
      </c>
    </row>
    <row r="51842" spans="1:1" ht="12.75">
      <c r="A51842" s="2" t="s">
        <v>768</v>
      </c>
    </row>
    <row r="51843" spans="1:1" ht="12.75">
      <c r="A51843" s="2" t="s">
        <v>757</v>
      </c>
    </row>
    <row r="51844" spans="1:1" ht="12.75">
      <c r="A51844" s="2" t="s">
        <v>1355</v>
      </c>
    </row>
    <row r="51845" spans="1:1" ht="12.75">
      <c r="A51845" s="2" t="s">
        <v>757</v>
      </c>
    </row>
    <row r="51846" spans="1:1" ht="12.75">
      <c r="A51846" s="2" t="s">
        <v>757</v>
      </c>
    </row>
    <row r="51850" spans="1:1" ht="12.75">
      <c r="A51850" s="2" t="s">
        <v>757</v>
      </c>
    </row>
    <row r="51853" spans="1:1" ht="12.75">
      <c r="A51853" s="2" t="s">
        <v>1559</v>
      </c>
    </row>
    <row r="51854" spans="1:1" ht="12.75">
      <c r="A51854" s="2" t="s">
        <v>1559</v>
      </c>
    </row>
    <row r="51857" spans="1:1" ht="12.75">
      <c r="A51857" s="2" t="s">
        <v>1542</v>
      </c>
    </row>
    <row r="51858" spans="1:1" ht="12.75">
      <c r="A51858" s="2" t="s">
        <v>1656</v>
      </c>
    </row>
    <row r="51859" spans="1:1" ht="12.75">
      <c r="A51859" s="2" t="s">
        <v>1363</v>
      </c>
    </row>
    <row r="51860" spans="1:1" ht="12.75">
      <c r="A51860" s="2" t="s">
        <v>1363</v>
      </c>
    </row>
    <row r="51861" spans="1:1" ht="12.75">
      <c r="A51861" s="2" t="s">
        <v>1660</v>
      </c>
    </row>
    <row r="51862" spans="1:1" ht="12.75">
      <c r="A51862" s="2" t="s">
        <v>1559</v>
      </c>
    </row>
    <row r="51863" spans="1:1" ht="12.75">
      <c r="A51863" s="2" t="s">
        <v>1541</v>
      </c>
    </row>
    <row r="51864" spans="1:1" ht="12.75">
      <c r="A51864" s="2" t="s">
        <v>1541</v>
      </c>
    </row>
    <row r="51865" spans="1:1" ht="12.75">
      <c r="A51865" s="2" t="s">
        <v>1545</v>
      </c>
    </row>
    <row r="51866" spans="1:1" ht="12.75">
      <c r="A51866" s="2" t="s">
        <v>1545</v>
      </c>
    </row>
    <row r="51867" spans="1:1" ht="12.75">
      <c r="A51867" s="2" t="s">
        <v>1439</v>
      </c>
    </row>
    <row r="51868" spans="1:1" ht="12.75">
      <c r="A51868" s="2" t="s">
        <v>1439</v>
      </c>
    </row>
    <row r="51869" spans="1:1" ht="12.75">
      <c r="A51869" s="2" t="s">
        <v>1457</v>
      </c>
    </row>
    <row r="51871" spans="1:1" ht="12.75">
      <c r="A51871" s="2" t="s">
        <v>1449</v>
      </c>
    </row>
    <row r="51872" spans="1:1" ht="12.75">
      <c r="A51872" s="2" t="s">
        <v>1449</v>
      </c>
    </row>
    <row r="51873" spans="1:1" ht="12.75">
      <c r="A51873" s="2">
        <v>674</v>
      </c>
    </row>
    <row r="51875" spans="1:1" ht="12.75">
      <c r="A51875" s="2" t="s">
        <v>1461</v>
      </c>
    </row>
    <row r="51876" spans="1:1" ht="12.75">
      <c r="A51876" s="2" t="s">
        <v>1461</v>
      </c>
    </row>
    <row r="51877" spans="1:1" ht="12.75">
      <c r="A51877" s="2" t="s">
        <v>1446</v>
      </c>
    </row>
    <row r="51878" spans="1:1" ht="12.75">
      <c r="A51878" s="2" t="s">
        <v>1446</v>
      </c>
    </row>
    <row r="51879" spans="1:1" ht="12.75">
      <c r="A51879" s="2" t="s">
        <v>1442</v>
      </c>
    </row>
    <row r="51880" spans="1:1" ht="12.75">
      <c r="A51880" s="2" t="s">
        <v>1653</v>
      </c>
    </row>
    <row r="51881" spans="1:1" ht="12.75">
      <c r="A51881" s="2" t="s">
        <v>1443</v>
      </c>
    </row>
    <row r="51882" spans="1:1" ht="12.75">
      <c r="A51882" s="2" t="s">
        <v>1443</v>
      </c>
    </row>
    <row r="51883" spans="1:1" ht="12.75">
      <c r="A51883" s="2" t="s">
        <v>1550</v>
      </c>
    </row>
    <row r="51884" spans="1:1" ht="12.75">
      <c r="A51884" s="2" t="s">
        <v>1639</v>
      </c>
    </row>
    <row r="51885" spans="1:1" ht="12.75">
      <c r="A51885" s="2" t="s">
        <v>1542</v>
      </c>
    </row>
    <row r="51886" spans="1:1" ht="12.75">
      <c r="A51886" s="2" t="s">
        <v>1542</v>
      </c>
    </row>
    <row r="51888" spans="1:1" ht="12.75">
      <c r="A51888" s="2" t="s">
        <v>1551</v>
      </c>
    </row>
    <row r="51889" spans="1:1" ht="12.75">
      <c r="A51889" s="2" t="s">
        <v>1298</v>
      </c>
    </row>
    <row r="51890" spans="1:1" ht="12.75">
      <c r="A51890" s="2" t="s">
        <v>1298</v>
      </c>
    </row>
    <row r="51891" spans="1:1" ht="12.75">
      <c r="A51891" s="2" t="s">
        <v>1134</v>
      </c>
    </row>
    <row r="51892" spans="1:1" ht="12.75">
      <c r="A51892" s="2" t="s">
        <v>1134</v>
      </c>
    </row>
    <row r="51893" spans="1:1" ht="12.75">
      <c r="A51893" s="2" t="s">
        <v>1762</v>
      </c>
    </row>
    <row r="51894" spans="1:1" ht="12.75">
      <c r="A51894" s="2" t="s">
        <v>1135</v>
      </c>
    </row>
    <row r="51895" spans="1:1" ht="12.75">
      <c r="A51895" s="2" t="s">
        <v>1135</v>
      </c>
    </row>
    <row r="51896" spans="1:1" ht="12.75">
      <c r="A51896" s="2" t="s">
        <v>1135</v>
      </c>
    </row>
    <row r="51897" spans="1:1" ht="12.75">
      <c r="A51897" s="2" t="s">
        <v>1552</v>
      </c>
    </row>
    <row r="51898" spans="1:1" ht="12.75">
      <c r="A51898" s="2" t="s">
        <v>1552</v>
      </c>
    </row>
    <row r="51899" spans="1:1" ht="12.75">
      <c r="A51899" s="2" t="s">
        <v>1715</v>
      </c>
    </row>
    <row r="51900" spans="1:1" ht="12.75">
      <c r="A51900" s="2" t="s">
        <v>1715</v>
      </c>
    </row>
    <row r="51901" spans="1:1" ht="12.75">
      <c r="A51901" s="2" t="s">
        <v>1748</v>
      </c>
    </row>
    <row r="51902" spans="1:1" ht="12.75">
      <c r="A51902" s="2" t="s">
        <v>1748</v>
      </c>
    </row>
    <row r="51903" spans="1:1" ht="12.75">
      <c r="A51903" s="2" t="s">
        <v>1458</v>
      </c>
    </row>
    <row r="51904" spans="1:1" ht="12.75">
      <c r="A51904" s="2" t="s">
        <v>1458</v>
      </c>
    </row>
    <row r="51905" spans="1:1" ht="12.75">
      <c r="A51905" s="2" t="s">
        <v>205</v>
      </c>
    </row>
    <row r="51906" spans="1:1" ht="12.75">
      <c r="A51906" s="2" t="s">
        <v>205</v>
      </c>
    </row>
    <row r="51909" spans="1:1" ht="12.75">
      <c r="A51909" s="2" t="s">
        <v>1657</v>
      </c>
    </row>
    <row r="51910" spans="1:1" ht="12.75">
      <c r="A51910" s="2" t="s">
        <v>1657</v>
      </c>
    </row>
    <row r="51911" spans="1:1" ht="12.75">
      <c r="A51911" s="2" t="s">
        <v>1654</v>
      </c>
    </row>
    <row r="51913" spans="1:1" ht="12.75">
      <c r="A51913" s="2" t="s">
        <v>1458</v>
      </c>
    </row>
    <row r="51914" spans="1:1" ht="12.75">
      <c r="A51914" s="2" t="s">
        <v>1458</v>
      </c>
    </row>
    <row r="51915" spans="1:1" ht="12.75">
      <c r="A51915" s="2" t="s">
        <v>1651</v>
      </c>
    </row>
    <row r="51916" spans="1:1" ht="12.75">
      <c r="A51916" s="2" t="s">
        <v>1651</v>
      </c>
    </row>
    <row r="51917" spans="1:1" ht="12.75">
      <c r="A51917" s="2" t="s">
        <v>1713</v>
      </c>
    </row>
    <row r="51918" spans="1:1" ht="12.75">
      <c r="A51918" s="2" t="s">
        <v>1545</v>
      </c>
    </row>
    <row r="51921" spans="1:1" ht="12.75">
      <c r="A51921" s="2" t="s">
        <v>1457</v>
      </c>
    </row>
    <row r="51923" spans="1:1" ht="12.75">
      <c r="A51923" s="2" t="s">
        <v>1449</v>
      </c>
    </row>
    <row r="51924" spans="1:1" ht="12.75">
      <c r="A51924" s="2" t="s">
        <v>1449</v>
      </c>
    </row>
    <row r="51925" spans="1:1" ht="12.75">
      <c r="A51925" s="2" t="s">
        <v>1469</v>
      </c>
    </row>
    <row r="51927" spans="1:1" ht="12.75">
      <c r="A51927" s="2" t="s">
        <v>1572</v>
      </c>
    </row>
    <row r="51928" spans="1:1" ht="12.75">
      <c r="A51928" s="2" t="s">
        <v>1461</v>
      </c>
    </row>
    <row r="51929" spans="1:1" ht="12.75">
      <c r="A51929" s="2" t="s">
        <v>1446</v>
      </c>
    </row>
    <row r="51930" spans="1:1" ht="12.75">
      <c r="A51930" s="2" t="s">
        <v>1557</v>
      </c>
    </row>
    <row r="51931" spans="1:1" ht="12.75">
      <c r="A51931" s="2" t="s">
        <v>1653</v>
      </c>
    </row>
    <row r="51932" spans="1:1" ht="12.75">
      <c r="A51932" s="2" t="s">
        <v>1442</v>
      </c>
    </row>
    <row r="51933" spans="1:1" ht="12.75">
      <c r="A51933" s="2" t="s">
        <v>1443</v>
      </c>
    </row>
    <row r="51934" spans="1:1" ht="12.75">
      <c r="A51934" s="2" t="s">
        <v>1443</v>
      </c>
    </row>
    <row r="51935" spans="1:1" ht="12.75">
      <c r="A51935" s="2" t="s">
        <v>1298</v>
      </c>
    </row>
    <row r="51936" spans="1:1" ht="12.75">
      <c r="A51936" s="2" t="s">
        <v>1298</v>
      </c>
    </row>
    <row r="51939" spans="1:1" ht="12.75">
      <c r="A51939" s="2" t="s">
        <v>1655</v>
      </c>
    </row>
    <row r="51940" spans="1:1" ht="12.75">
      <c r="A51940" s="2" t="s">
        <v>1655</v>
      </c>
    </row>
    <row r="51941" spans="1:1" ht="12.75">
      <c r="A51941" s="2" t="s">
        <v>1763</v>
      </c>
    </row>
    <row r="51942" spans="1:1" ht="12.75">
      <c r="A51942" s="2" t="s">
        <v>1763</v>
      </c>
    </row>
    <row r="51943" spans="1:1" ht="12.75">
      <c r="A51943" s="2" t="s">
        <v>1144</v>
      </c>
    </row>
    <row r="51944" spans="1:1" ht="12.75">
      <c r="A51944" s="2" t="s">
        <v>1144</v>
      </c>
    </row>
    <row r="51945" spans="1:1" ht="12.75">
      <c r="A51945" s="2" t="s">
        <v>958</v>
      </c>
    </row>
    <row r="51946" spans="1:1" ht="12.75">
      <c r="A51946" s="2" t="s">
        <v>958</v>
      </c>
    </row>
    <row r="51947" spans="1:1" ht="12.75">
      <c r="A51947" s="2" t="s">
        <v>1142</v>
      </c>
    </row>
    <row r="51948" spans="1:1" ht="12.75">
      <c r="A51948" s="2" t="s">
        <v>1142</v>
      </c>
    </row>
    <row r="51949" spans="1:1" ht="12.75">
      <c r="A51949" s="2" t="s">
        <v>962</v>
      </c>
    </row>
    <row r="51950" spans="1:1" ht="12.75">
      <c r="A51950" s="2" t="s">
        <v>962</v>
      </c>
    </row>
    <row r="52053" spans="1:1" ht="12.75">
      <c r="A52053" s="2" t="s">
        <v>708</v>
      </c>
    </row>
    <row r="52054" spans="1:1" ht="12.75">
      <c r="A52054" s="2" t="s">
        <v>708</v>
      </c>
    </row>
    <row r="52055" spans="1:1" ht="12.75">
      <c r="A52055" s="2" t="s">
        <v>957</v>
      </c>
    </row>
    <row r="52056" spans="1:1" ht="12.75">
      <c r="A52056" s="2" t="s">
        <v>957</v>
      </c>
    </row>
    <row r="52057" spans="1:1" ht="12.75">
      <c r="A52057" s="2" t="s">
        <v>1454</v>
      </c>
    </row>
    <row r="52058" spans="1:1" ht="12.75">
      <c r="A52058" s="2" t="s">
        <v>1634</v>
      </c>
    </row>
    <row r="52059" spans="1:1" ht="12.75">
      <c r="A52059" s="2" t="s">
        <v>1640</v>
      </c>
    </row>
    <row r="52060" spans="1:1" ht="12.75">
      <c r="A52060" s="2" t="s">
        <v>1359</v>
      </c>
    </row>
    <row r="52061" spans="1:1" ht="12.75">
      <c r="A52061" s="2" t="s">
        <v>1256</v>
      </c>
    </row>
    <row r="52062" spans="1:1" ht="12.75">
      <c r="A52062" s="2" t="s">
        <v>1256</v>
      </c>
    </row>
    <row r="52063" spans="1:1" ht="12.75">
      <c r="A52063" s="2" t="s">
        <v>1357</v>
      </c>
    </row>
    <row r="52064" spans="1:1" ht="12.75">
      <c r="A52064" s="2" t="s">
        <v>1357</v>
      </c>
    </row>
    <row r="52065" spans="1:1" ht="12.75">
      <c r="A52065" s="2" t="s">
        <v>1358</v>
      </c>
    </row>
    <row r="52066" spans="1:1" ht="12.75">
      <c r="A52066" s="2" t="s">
        <v>1645</v>
      </c>
    </row>
    <row r="52067" spans="1:1" ht="12.75">
      <c r="A52067" s="2" t="s">
        <v>956</v>
      </c>
    </row>
    <row r="52068" spans="1:1" ht="12.75">
      <c r="A52068" s="2" t="s">
        <v>956</v>
      </c>
    </row>
    <row r="52069" spans="1:1" ht="12.75">
      <c r="A52069" s="2" t="s">
        <v>1453</v>
      </c>
    </row>
    <row r="52070" spans="1:1" ht="12.75">
      <c r="A52070" s="2" t="s">
        <v>1453</v>
      </c>
    </row>
    <row r="52071" spans="1:1" ht="12.75">
      <c r="A52071" s="2" t="s">
        <v>1448</v>
      </c>
    </row>
    <row r="52072" spans="1:1" ht="12.75">
      <c r="A52072" s="2" t="s">
        <v>1448</v>
      </c>
    </row>
    <row r="52073" spans="1:1" ht="12.75">
      <c r="A52073" s="2" t="s">
        <v>1467</v>
      </c>
    </row>
    <row r="52074" spans="1:1" ht="12.75">
      <c r="A52074" s="2" t="s">
        <v>1467</v>
      </c>
    </row>
    <row r="52075" spans="1:1" ht="12.75">
      <c r="A52075" s="2" t="s">
        <v>1291</v>
      </c>
    </row>
    <row r="52076" spans="1:1" ht="12.75">
      <c r="A52076" s="2" t="s">
        <v>1291</v>
      </c>
    </row>
    <row r="52077" spans="1:1" ht="12.75">
      <c r="A52077" s="2" t="s">
        <v>1292</v>
      </c>
    </row>
    <row r="52078" spans="1:1" ht="12.75">
      <c r="A52078" s="2" t="s">
        <v>1292</v>
      </c>
    </row>
    <row r="52079" spans="1:1" ht="12.75">
      <c r="A52079" s="2" t="s">
        <v>1139</v>
      </c>
    </row>
    <row r="52080" spans="1:1" ht="12.75">
      <c r="A52080" s="2" t="s">
        <v>1138</v>
      </c>
    </row>
    <row r="52081" spans="1:1" ht="12.75">
      <c r="A52081" s="2" t="s">
        <v>1643</v>
      </c>
    </row>
    <row r="52082" spans="1:1" ht="12.75">
      <c r="A52082" s="2" t="s">
        <v>1658</v>
      </c>
    </row>
    <row r="52083" spans="1:1" ht="12.75">
      <c r="A52083" s="2" t="s">
        <v>1454</v>
      </c>
    </row>
    <row r="52084" spans="1:1" ht="12.75">
      <c r="A52084" s="2" t="s">
        <v>1454</v>
      </c>
    </row>
    <row r="52086" spans="1:1" ht="12.75">
      <c r="A52086" s="2" t="s">
        <v>1647</v>
      </c>
    </row>
    <row r="52087" spans="1:1" ht="12.75">
      <c r="A52087" s="2" t="s">
        <v>1459</v>
      </c>
    </row>
    <row r="52088" spans="1:1" ht="12.75">
      <c r="A52088" s="2" t="s">
        <v>1634</v>
      </c>
    </row>
    <row r="52091" spans="1:1" ht="12.75">
      <c r="A52091" s="2" t="s">
        <v>1659</v>
      </c>
    </row>
    <row r="52092" spans="1:1" ht="12.75">
      <c r="A52092" s="2" t="s">
        <v>1659</v>
      </c>
    </row>
    <row r="52093" spans="1:1" ht="12.75">
      <c r="A52093" s="2" t="s">
        <v>1656</v>
      </c>
    </row>
    <row r="52094" spans="1:1" ht="12.75">
      <c r="A52094" s="2" t="s">
        <v>1542</v>
      </c>
    </row>
    <row r="52095" spans="1:1" ht="12.75">
      <c r="A52095" s="2" t="s">
        <v>1361</v>
      </c>
    </row>
    <row r="52096" spans="1:1" ht="12.75">
      <c r="A52096" s="2" t="s">
        <v>1361</v>
      </c>
    </row>
    <row r="52097" spans="1:1" ht="12.75">
      <c r="A52097" s="2" t="s">
        <v>1563</v>
      </c>
    </row>
    <row r="52098" spans="1:1" ht="12.75">
      <c r="A52098" s="2" t="s">
        <v>1363</v>
      </c>
    </row>
    <row r="52099" spans="1:1" ht="12.75">
      <c r="A52099" s="2" t="s">
        <v>1634</v>
      </c>
    </row>
    <row r="52100" spans="1:1" ht="12.75">
      <c r="A52100" s="2" t="s">
        <v>1447</v>
      </c>
    </row>
    <row r="52101" spans="1:1" ht="12.75">
      <c r="A52101" s="2" t="s">
        <v>1541</v>
      </c>
    </row>
    <row r="52102" spans="1:1" ht="12.75">
      <c r="A52102" s="2" t="s">
        <v>1651</v>
      </c>
    </row>
    <row r="52103" spans="1:1" ht="12.75">
      <c r="A52103" s="2" t="s">
        <v>1764</v>
      </c>
    </row>
    <row r="52104" spans="1:1" ht="12.75">
      <c r="A52104" s="2" t="s">
        <v>1545</v>
      </c>
    </row>
    <row r="52107" spans="1:1" ht="12.75">
      <c r="A52107" s="2" t="s">
        <v>1650</v>
      </c>
    </row>
    <row r="52109" spans="1:1" ht="12.75">
      <c r="A52109" s="2" t="s">
        <v>1665</v>
      </c>
    </row>
    <row r="52110" spans="1:1" ht="12.75">
      <c r="A52110" s="2" t="s">
        <v>1665</v>
      </c>
    </row>
    <row r="52111" spans="1:1" ht="12.75">
      <c r="A52111" s="2" t="s">
        <v>1469</v>
      </c>
    </row>
    <row r="52112" spans="1:1" ht="12.75">
      <c r="A52112" s="2" t="s">
        <v>1765</v>
      </c>
    </row>
    <row r="52115" spans="1:1" ht="12.75">
      <c r="A52115" s="2" t="s">
        <v>1557</v>
      </c>
    </row>
    <row r="52116" spans="1:1" ht="12.75">
      <c r="A52116" s="2" t="s">
        <v>1446</v>
      </c>
    </row>
    <row r="52117" spans="1:1" ht="12.75">
      <c r="A52117" s="2" t="s">
        <v>1653</v>
      </c>
    </row>
    <row r="52118" spans="1:1" ht="12.75">
      <c r="A52118" s="2" t="s">
        <v>1442</v>
      </c>
    </row>
    <row r="52119" spans="1:1" ht="12.75">
      <c r="A52119" s="2" t="s">
        <v>1140</v>
      </c>
    </row>
    <row r="52120" spans="1:1" ht="12.75">
      <c r="A52120" s="2" t="s">
        <v>1662</v>
      </c>
    </row>
    <row r="52121" spans="1:1" ht="12.75">
      <c r="A52121" s="2" t="s">
        <v>1634</v>
      </c>
    </row>
    <row r="52122" spans="1:1" ht="12.75">
      <c r="A52122" s="2" t="s">
        <v>1447</v>
      </c>
    </row>
    <row r="52123" spans="1:1" ht="12.75">
      <c r="A52123" s="2" t="s">
        <v>1298</v>
      </c>
    </row>
    <row r="52125" spans="1:1" ht="12.75">
      <c r="A52125" s="2" t="s">
        <v>1291</v>
      </c>
    </row>
    <row r="52126" spans="1:1" ht="12.75">
      <c r="A52126" s="2" t="s">
        <v>1291</v>
      </c>
    </row>
    <row r="52127" spans="1:1" ht="12.75">
      <c r="A52127" s="2" t="s">
        <v>1766</v>
      </c>
    </row>
    <row r="52128" spans="1:1" ht="12.75">
      <c r="A52128" s="2" t="s">
        <v>956</v>
      </c>
    </row>
    <row r="52129" spans="1:1" ht="12.75">
      <c r="A52129" s="2" t="s">
        <v>1763</v>
      </c>
    </row>
    <row r="52131" spans="1:1" ht="12.75">
      <c r="A52131" s="2" t="s">
        <v>1144</v>
      </c>
    </row>
    <row r="52132" spans="1:1" ht="12.75">
      <c r="A52132" s="2" t="s">
        <v>1668</v>
      </c>
    </row>
    <row r="52135" spans="1:1" ht="12.75">
      <c r="A52135" s="2" t="s">
        <v>1142</v>
      </c>
    </row>
    <row r="52136" spans="1:1" ht="12.75">
      <c r="A52136" s="2" t="s">
        <v>1142</v>
      </c>
    </row>
    <row r="52137" spans="1:1" ht="12.75">
      <c r="A52137" s="2" t="s">
        <v>962</v>
      </c>
    </row>
    <row r="52138" spans="1:1" ht="12.75">
      <c r="A52138" s="2" t="s">
        <v>1096</v>
      </c>
    </row>
    <row r="52141" spans="1:1" ht="12.75">
      <c r="A52141" s="2" t="s">
        <v>708</v>
      </c>
    </row>
    <row r="52142" spans="1:1" ht="12.75">
      <c r="A52142" s="2" t="s">
        <v>708</v>
      </c>
    </row>
    <row r="52143" spans="1:1" ht="12.75">
      <c r="A52143" s="2" t="s">
        <v>957</v>
      </c>
    </row>
    <row r="52144" spans="1:1" ht="12.75">
      <c r="A52144" s="2" t="s">
        <v>957</v>
      </c>
    </row>
    <row r="52145" spans="1:1" ht="12.75">
      <c r="A52145" s="2" t="s">
        <v>1658</v>
      </c>
    </row>
    <row r="52146" spans="1:1" ht="12.75">
      <c r="A52146" s="2" t="s">
        <v>1658</v>
      </c>
    </row>
    <row r="52147" spans="1:1" ht="12.75">
      <c r="A52147" s="2" t="s">
        <v>1654</v>
      </c>
    </row>
    <row r="52148" spans="1:1" ht="12.75">
      <c r="A52148" s="2" t="s">
        <v>1448</v>
      </c>
    </row>
    <row r="52149" spans="1:1" ht="12.75">
      <c r="A52149" s="2" t="s">
        <v>1715</v>
      </c>
    </row>
    <row r="52150" spans="1:1" ht="12.75">
      <c r="A52150" s="2" t="s">
        <v>1715</v>
      </c>
    </row>
    <row r="52151" spans="1:1" ht="12.75">
      <c r="A52151" s="2" t="s">
        <v>1748</v>
      </c>
    </row>
    <row r="52152" spans="1:1" ht="12.75">
      <c r="A52152" s="2" t="s">
        <v>1748</v>
      </c>
    </row>
    <row r="52157" spans="1:1" ht="12.75">
      <c r="A52157" s="2" t="s">
        <v>927</v>
      </c>
    </row>
    <row r="52158" spans="1:1" ht="12.75">
      <c r="A52158" s="2" t="s">
        <v>982</v>
      </c>
    </row>
    <row r="52161" spans="1:1" ht="12.75">
      <c r="A52161" s="2" t="s">
        <v>758</v>
      </c>
    </row>
    <row r="52162" spans="1:1" ht="12.75">
      <c r="A52162" s="2" t="s">
        <v>758</v>
      </c>
    </row>
    <row r="52163" spans="1:1" ht="12.75">
      <c r="A52163" s="2" t="s">
        <v>758</v>
      </c>
    </row>
    <row r="52164" spans="1:1" ht="12.75">
      <c r="A52164" s="2" t="s">
        <v>758</v>
      </c>
    </row>
    <row r="52165" spans="1:1" ht="12.75">
      <c r="A52165" s="2" t="s">
        <v>758</v>
      </c>
    </row>
    <row r="52169" spans="1:1" ht="12.75">
      <c r="A52169" s="2" t="s">
        <v>401</v>
      </c>
    </row>
    <row r="52170" spans="1:1" ht="12.75">
      <c r="A52170" s="2" t="s">
        <v>401</v>
      </c>
    </row>
    <row r="52171" spans="1:1" ht="12.75">
      <c r="A52171" s="2" t="s">
        <v>401</v>
      </c>
    </row>
    <row r="52172" spans="1:1" ht="12.75">
      <c r="A52172" s="2" t="s">
        <v>401</v>
      </c>
    </row>
    <row r="52176" spans="1:1" ht="12.75">
      <c r="A52176" s="2" t="s">
        <v>768</v>
      </c>
    </row>
    <row r="52183" spans="1:1" ht="12.75">
      <c r="A52183" s="2" t="s">
        <v>296</v>
      </c>
    </row>
    <row r="52184" spans="1:1" ht="12.75">
      <c r="A52184" s="2" t="s">
        <v>296</v>
      </c>
    </row>
    <row r="52361" spans="1:1" ht="12.75">
      <c r="A52361" s="2" t="s">
        <v>1767</v>
      </c>
    </row>
    <row r="52363" spans="1:1" ht="12.75">
      <c r="A52363" s="2" t="s">
        <v>1768</v>
      </c>
    </row>
    <row r="52364" spans="1:1" ht="12.75">
      <c r="A52364" s="2" t="s">
        <v>172</v>
      </c>
    </row>
    <row r="52365" spans="1:1" ht="12.75">
      <c r="A52365" s="2" t="s">
        <v>172</v>
      </c>
    </row>
    <row r="52366" spans="1:1" ht="12.75">
      <c r="A52366" s="2" t="s">
        <v>1082</v>
      </c>
    </row>
    <row r="52367" spans="1:1" ht="12.75">
      <c r="A52367" s="2" t="s">
        <v>172</v>
      </c>
    </row>
    <row r="52368" spans="1:1" ht="12.75">
      <c r="A52368" s="2" t="s">
        <v>174</v>
      </c>
    </row>
    <row r="52369" spans="1:1" ht="12.75">
      <c r="A52369" s="2" t="s">
        <v>1089</v>
      </c>
    </row>
    <row r="52370" spans="1:1" ht="12.75">
      <c r="A52370" s="2" t="s">
        <v>1089</v>
      </c>
    </row>
    <row r="52371" spans="1:1" ht="12.75">
      <c r="A52371" s="2" t="s">
        <v>161</v>
      </c>
    </row>
    <row r="52372" spans="1:1" ht="12.75">
      <c r="A52372" s="2" t="s">
        <v>161</v>
      </c>
    </row>
    <row r="52373" spans="1:1" ht="12.75">
      <c r="A52373" s="2" t="s">
        <v>161</v>
      </c>
    </row>
    <row r="52374" spans="1:1" ht="12.75">
      <c r="A52374" s="2" t="s">
        <v>184</v>
      </c>
    </row>
    <row r="52375" spans="1:1" ht="12.75">
      <c r="A52375" s="2" t="s">
        <v>184</v>
      </c>
    </row>
    <row r="52376" spans="1:1" ht="12.75">
      <c r="A52376" s="2" t="s">
        <v>169</v>
      </c>
    </row>
    <row r="52377" spans="1:1" ht="12.75">
      <c r="A52377" s="2" t="s">
        <v>174</v>
      </c>
    </row>
    <row r="52378" spans="1:1" ht="12.75">
      <c r="A52378" s="2" t="s">
        <v>174</v>
      </c>
    </row>
    <row r="52379" spans="1:1" ht="12.75">
      <c r="A52379" s="2" t="s">
        <v>168</v>
      </c>
    </row>
    <row r="52380" spans="1:1" ht="12.75">
      <c r="A52380" s="2" t="s">
        <v>174</v>
      </c>
    </row>
    <row r="52381" spans="1:1" ht="12.75">
      <c r="A52381" s="2" t="s">
        <v>176</v>
      </c>
    </row>
    <row r="52382" spans="1:1" ht="12.75">
      <c r="A52382" s="2" t="s">
        <v>176</v>
      </c>
    </row>
    <row r="52383" spans="1:1" ht="12.75">
      <c r="A52383" s="2" t="s">
        <v>191</v>
      </c>
    </row>
    <row r="52387" spans="1:1" ht="12.75">
      <c r="A52387" s="2" t="s">
        <v>1769</v>
      </c>
    </row>
    <row r="52388" spans="1:1" ht="12.75">
      <c r="A52388" s="2" t="s">
        <v>1769</v>
      </c>
    </row>
    <row r="52389" spans="1:1" ht="12.75">
      <c r="A52389" s="2" t="s">
        <v>166</v>
      </c>
    </row>
    <row r="52390" spans="1:1" ht="12.75">
      <c r="A52390" s="2" t="s">
        <v>160</v>
      </c>
    </row>
    <row r="52391" spans="1:1" ht="12.75">
      <c r="A52391" s="2" t="s">
        <v>160</v>
      </c>
    </row>
    <row r="52392" spans="1:1" ht="12.75">
      <c r="A52392" s="2" t="s">
        <v>1770</v>
      </c>
    </row>
    <row r="52393" spans="1:1" ht="12.75">
      <c r="A52393" s="2" t="s">
        <v>225</v>
      </c>
    </row>
    <row r="52394" spans="1:1" ht="12.75">
      <c r="A52394" s="2" t="s">
        <v>176</v>
      </c>
    </row>
    <row r="52395" spans="1:1" ht="12.75">
      <c r="A52395" s="2" t="s">
        <v>176</v>
      </c>
    </row>
    <row r="52396" spans="1:1" ht="12.75">
      <c r="A52396" s="2" t="s">
        <v>191</v>
      </c>
    </row>
    <row r="52397" spans="1:1" ht="12.75">
      <c r="A52397" s="2" t="s">
        <v>191</v>
      </c>
    </row>
    <row r="52400" spans="1:1" ht="12.75">
      <c r="A52400" s="2" t="s">
        <v>1771</v>
      </c>
    </row>
    <row r="52401" spans="1:1" ht="12.75">
      <c r="A52401" s="2" t="s">
        <v>224</v>
      </c>
    </row>
    <row r="52402" spans="1:1" ht="12.75">
      <c r="A52402" s="2" t="s">
        <v>224</v>
      </c>
    </row>
    <row r="52403" spans="1:1" ht="12.75">
      <c r="A52403" s="2" t="s">
        <v>161</v>
      </c>
    </row>
    <row r="52404" spans="1:1" ht="12.75">
      <c r="A52404" s="2" t="s">
        <v>161</v>
      </c>
    </row>
    <row r="52405" spans="1:1" ht="12.75">
      <c r="A52405" s="2" t="s">
        <v>169</v>
      </c>
    </row>
    <row r="52407" spans="1:1" ht="12.75">
      <c r="A52407" s="2" t="s">
        <v>173</v>
      </c>
    </row>
    <row r="52409" spans="1:1" ht="12.75">
      <c r="A52409" s="2" t="s">
        <v>1080</v>
      </c>
    </row>
    <row r="52410" spans="1:1" ht="12.75">
      <c r="A52410" s="2" t="s">
        <v>1089</v>
      </c>
    </row>
    <row r="52411" spans="1:1" ht="12.75">
      <c r="A52411" s="2" t="s">
        <v>223</v>
      </c>
    </row>
    <row r="52412" spans="1:1" ht="12.75">
      <c r="A52412" s="2" t="s">
        <v>160</v>
      </c>
    </row>
    <row r="52413" spans="1:1" ht="12.75">
      <c r="A52413" s="2" t="s">
        <v>160</v>
      </c>
    </row>
    <row r="52414" spans="1:1" ht="12.75">
      <c r="A52414" s="2" t="s">
        <v>160</v>
      </c>
    </row>
    <row r="52415" spans="1:1" ht="12.75">
      <c r="A52415" s="2" t="s">
        <v>161</v>
      </c>
    </row>
    <row r="52416" spans="1:1" ht="12.75">
      <c r="A52416" s="2" t="s">
        <v>191</v>
      </c>
    </row>
    <row r="52417" spans="1:1" ht="12.75">
      <c r="A52417" s="2" t="s">
        <v>161</v>
      </c>
    </row>
    <row r="52418" spans="1:1" ht="12.75">
      <c r="A52418" s="2" t="s">
        <v>1769</v>
      </c>
    </row>
    <row r="52419" spans="1:1" ht="12.75">
      <c r="A52419" s="2" t="s">
        <v>166</v>
      </c>
    </row>
    <row r="52420" spans="1:1" ht="12.75">
      <c r="A52420" s="2" t="s">
        <v>166</v>
      </c>
    </row>
    <row r="52423" spans="1:1" ht="12.75">
      <c r="A52423" s="2" t="s">
        <v>184</v>
      </c>
    </row>
    <row r="52424" spans="1:1" ht="12.75">
      <c r="A52424" s="2" t="s">
        <v>172</v>
      </c>
    </row>
    <row r="52427" spans="1:1" ht="12.75">
      <c r="A52427" s="2" t="s">
        <v>1084</v>
      </c>
    </row>
    <row r="52429" spans="1:1" ht="12.75">
      <c r="A52429" s="2" t="s">
        <v>184</v>
      </c>
    </row>
    <row r="52430" spans="1:1" ht="12.75">
      <c r="A52430" s="2" t="s">
        <v>174</v>
      </c>
    </row>
    <row r="52431" spans="1:1" ht="12.75">
      <c r="A52431" s="2" t="s">
        <v>184</v>
      </c>
    </row>
    <row r="52432" spans="1:1" ht="12.75">
      <c r="A52432" s="2" t="s">
        <v>169</v>
      </c>
    </row>
    <row r="52433" spans="1:1" ht="12.75">
      <c r="A52433" s="2" t="s">
        <v>169</v>
      </c>
    </row>
    <row r="52434" spans="1:1" ht="12.75">
      <c r="A52434" s="2" t="s">
        <v>223</v>
      </c>
    </row>
    <row r="52435" spans="1:1" ht="12.75">
      <c r="A52435" s="2" t="s">
        <v>221</v>
      </c>
    </row>
    <row r="52436" spans="1:1" ht="12.75">
      <c r="A52436" s="2" t="s">
        <v>223</v>
      </c>
    </row>
    <row r="52437" spans="1:1" ht="12.75">
      <c r="A52437" s="2" t="s">
        <v>224</v>
      </c>
    </row>
    <row r="52438" spans="1:1" ht="12.75">
      <c r="A52438" s="2" t="s">
        <v>224</v>
      </c>
    </row>
    <row r="52439" spans="1:1" ht="12.75">
      <c r="A52439" s="2" t="s">
        <v>224</v>
      </c>
    </row>
    <row r="52442" spans="1:1" ht="12.75">
      <c r="A52442" s="2" t="s">
        <v>169</v>
      </c>
    </row>
    <row r="52443" spans="1:1" ht="12.75">
      <c r="A52443" s="2" t="s">
        <v>223</v>
      </c>
    </row>
    <row r="52444" spans="1:1" ht="12.75">
      <c r="A52444" s="2" t="s">
        <v>1769</v>
      </c>
    </row>
    <row r="52447" spans="1:1" ht="12.75">
      <c r="A52447" s="2" t="s">
        <v>172</v>
      </c>
    </row>
    <row r="52448" spans="1:1" ht="12.75">
      <c r="A52448" s="2" t="s">
        <v>172</v>
      </c>
    </row>
    <row r="52450" spans="1:1" ht="12.75">
      <c r="A52450" s="2" t="s">
        <v>160</v>
      </c>
    </row>
    <row r="52451" spans="1:1" ht="12.75">
      <c r="A52451" s="2" t="s">
        <v>160</v>
      </c>
    </row>
    <row r="52452" spans="1:1" ht="12.75">
      <c r="A52452" s="2" t="s">
        <v>160</v>
      </c>
    </row>
    <row r="52453" spans="1:1" ht="12.75">
      <c r="A52453" s="2" t="s">
        <v>174</v>
      </c>
    </row>
    <row r="52454" spans="1:1" ht="12.75">
      <c r="A52454" s="2" t="s">
        <v>174</v>
      </c>
    </row>
    <row r="52456" spans="1:1" ht="12.75">
      <c r="A52456" s="2" t="s">
        <v>225</v>
      </c>
    </row>
    <row r="52459" spans="1:1" ht="12.75">
      <c r="A52459" s="2" t="s">
        <v>184</v>
      </c>
    </row>
    <row r="52460" spans="1:1" ht="12.75">
      <c r="A52460" s="2" t="s">
        <v>196</v>
      </c>
    </row>
    <row r="52461" spans="1:1" ht="12.75">
      <c r="A52461" s="2" t="s">
        <v>184</v>
      </c>
    </row>
    <row r="52462" spans="1:1" ht="12.75">
      <c r="A52462" s="2" t="s">
        <v>191</v>
      </c>
    </row>
    <row r="52463" spans="1:1" ht="12.75">
      <c r="A52463" s="2" t="s">
        <v>191</v>
      </c>
    </row>
    <row r="52464" spans="1:1" ht="12.75">
      <c r="A52464" s="2" t="s">
        <v>1346</v>
      </c>
    </row>
    <row r="52468" spans="1:1" ht="12.75">
      <c r="A52468" s="2" t="s">
        <v>1722</v>
      </c>
    </row>
    <row r="52470" spans="1:1" ht="12.75">
      <c r="A52470" s="2" t="s">
        <v>321</v>
      </c>
    </row>
    <row r="52471" spans="1:1" ht="12.75">
      <c r="A52471" s="2" t="s">
        <v>321</v>
      </c>
    </row>
    <row r="52472" spans="1:1" ht="12.75">
      <c r="A52472" s="2" t="s">
        <v>321</v>
      </c>
    </row>
    <row r="52473" spans="1:1" ht="12.75">
      <c r="A52473" s="2" t="s">
        <v>321</v>
      </c>
    </row>
    <row r="52474" spans="1:1" ht="12.75">
      <c r="A52474" s="2" t="s">
        <v>321</v>
      </c>
    </row>
    <row r="52491" spans="1:1" ht="12.75">
      <c r="A52491" s="2" t="s">
        <v>546</v>
      </c>
    </row>
    <row r="52492" spans="1:1" ht="12.75">
      <c r="A52492" s="2" t="s">
        <v>546</v>
      </c>
    </row>
    <row r="52493" spans="1:1" ht="12.75">
      <c r="A52493" s="2" t="s">
        <v>528</v>
      </c>
    </row>
    <row r="52494" spans="1:1" ht="12.75">
      <c r="A52494" s="2" t="s">
        <v>528</v>
      </c>
    </row>
    <row r="52495" spans="1:1" ht="12.75">
      <c r="A52495" s="2" t="s">
        <v>530</v>
      </c>
    </row>
    <row r="52496" spans="1:1" ht="12.75">
      <c r="A52496" s="2" t="s">
        <v>530</v>
      </c>
    </row>
    <row r="52497" spans="1:1" ht="12.75">
      <c r="A52497" s="2" t="s">
        <v>1413</v>
      </c>
    </row>
    <row r="52498" spans="1:1" ht="12.75">
      <c r="A52498" s="2" t="s">
        <v>1413</v>
      </c>
    </row>
    <row r="52499" spans="1:1" ht="12.75">
      <c r="A52499" s="2" t="s">
        <v>514</v>
      </c>
    </row>
    <row r="52500" spans="1:1" ht="12.75">
      <c r="A52500" s="2" t="s">
        <v>530</v>
      </c>
    </row>
    <row r="52501" spans="1:1" ht="12.75">
      <c r="A52501" s="2" t="s">
        <v>513</v>
      </c>
    </row>
    <row r="52502" spans="1:1" ht="12.75">
      <c r="A52502" s="2" t="s">
        <v>513</v>
      </c>
    </row>
    <row r="52503" spans="1:1" ht="12.75">
      <c r="A52503" s="2" t="s">
        <v>513</v>
      </c>
    </row>
    <row r="52504" spans="1:1" ht="12.75">
      <c r="A52504" s="2" t="s">
        <v>576</v>
      </c>
    </row>
    <row r="52505" spans="1:1" ht="12.75">
      <c r="A52505" s="2" t="s">
        <v>513</v>
      </c>
    </row>
    <row r="52506" spans="1:1" ht="12.75">
      <c r="A52506" s="2" t="s">
        <v>513</v>
      </c>
    </row>
    <row r="52507" spans="1:1" ht="12.75">
      <c r="A52507" s="2" t="s">
        <v>514</v>
      </c>
    </row>
    <row r="52508" spans="1:1" ht="12.75">
      <c r="A52508" s="2" t="s">
        <v>514</v>
      </c>
    </row>
    <row r="52509" spans="1:1" ht="12.75">
      <c r="A52509" s="2" t="s">
        <v>514</v>
      </c>
    </row>
    <row r="52510" spans="1:1" ht="12.75">
      <c r="A52510" s="2" t="s">
        <v>514</v>
      </c>
    </row>
    <row r="52511" spans="1:1" ht="12.75">
      <c r="A52511" s="2" t="s">
        <v>530</v>
      </c>
    </row>
    <row r="52512" spans="1:1" ht="12.75">
      <c r="A52512" s="2" t="s">
        <v>530</v>
      </c>
    </row>
    <row r="52513" spans="1:1" ht="12.75">
      <c r="A52513" s="2" t="s">
        <v>513</v>
      </c>
    </row>
    <row r="52514" spans="1:1" ht="12.75">
      <c r="A52514" s="2" t="s">
        <v>546</v>
      </c>
    </row>
    <row r="52515" spans="1:1" ht="12.75">
      <c r="A52515" s="2" t="s">
        <v>530</v>
      </c>
    </row>
    <row r="52516" spans="1:1" ht="12.75">
      <c r="A52516" s="2" t="s">
        <v>530</v>
      </c>
    </row>
    <row r="52517" spans="1:1" ht="12.75">
      <c r="A52517" s="2" t="s">
        <v>530</v>
      </c>
    </row>
    <row r="52518" spans="1:1" ht="12.75">
      <c r="A52518" s="2" t="s">
        <v>528</v>
      </c>
    </row>
    <row r="52519" spans="1:1" ht="12.75">
      <c r="A52519" s="2" t="s">
        <v>546</v>
      </c>
    </row>
    <row r="52520" spans="1:1" ht="12.75">
      <c r="A52520" s="2" t="s">
        <v>546</v>
      </c>
    </row>
    <row r="52521" spans="1:1" ht="12.75">
      <c r="A52521" s="2" t="s">
        <v>528</v>
      </c>
    </row>
    <row r="52522" spans="1:1" ht="12.75">
      <c r="A52522" s="2" t="s">
        <v>530</v>
      </c>
    </row>
    <row r="52523" spans="1:1" ht="12.75">
      <c r="A52523" s="2" t="s">
        <v>514</v>
      </c>
    </row>
    <row r="52524" spans="1:1" ht="12.75">
      <c r="A52524" s="2" t="s">
        <v>513</v>
      </c>
    </row>
    <row r="52525" spans="1:1" ht="12.75">
      <c r="A52525" s="2" t="s">
        <v>514</v>
      </c>
    </row>
    <row r="52526" spans="1:1" ht="12.75">
      <c r="A52526" s="2" t="s">
        <v>546</v>
      </c>
    </row>
    <row r="52527" spans="1:1" ht="12.75">
      <c r="A52527" s="2" t="s">
        <v>514</v>
      </c>
    </row>
    <row r="52528" spans="1:1" ht="12.75">
      <c r="A52528" s="2" t="s">
        <v>546</v>
      </c>
    </row>
    <row r="52529" spans="1:1" ht="12.75">
      <c r="A52529" s="2" t="s">
        <v>531</v>
      </c>
    </row>
    <row r="52530" spans="1:1" ht="12.75">
      <c r="A52530" s="2" t="s">
        <v>546</v>
      </c>
    </row>
    <row r="52531" spans="1:1" ht="12.75">
      <c r="A52531" s="2" t="s">
        <v>531</v>
      </c>
    </row>
    <row r="52532" spans="1:1" ht="12.75">
      <c r="A52532" s="2" t="s">
        <v>514</v>
      </c>
    </row>
    <row r="52533" spans="1:1" ht="12.75">
      <c r="A52533" s="2" t="s">
        <v>546</v>
      </c>
    </row>
    <row r="52534" spans="1:1" ht="12.75">
      <c r="A52534" s="2" t="s">
        <v>528</v>
      </c>
    </row>
    <row r="52535" spans="1:1" ht="12.75">
      <c r="A52535" s="2" t="s">
        <v>797</v>
      </c>
    </row>
    <row r="52536" spans="1:1" ht="12.75">
      <c r="A52536" s="2" t="s">
        <v>530</v>
      </c>
    </row>
    <row r="52537" spans="1:1" ht="12.75">
      <c r="A52537" s="2" t="s">
        <v>530</v>
      </c>
    </row>
    <row r="52538" spans="1:1" ht="12.75">
      <c r="A52538" s="2" t="s">
        <v>547</v>
      </c>
    </row>
    <row r="52539" spans="1:1" ht="12.75">
      <c r="A52539" s="2" t="s">
        <v>528</v>
      </c>
    </row>
    <row r="52540" spans="1:1" ht="12.75">
      <c r="A52540" s="2" t="s">
        <v>797</v>
      </c>
    </row>
    <row r="52541" spans="1:1" ht="12.75">
      <c r="A52541" s="2" t="s">
        <v>529</v>
      </c>
    </row>
    <row r="52542" spans="1:1" ht="12.75">
      <c r="A52542" s="2" t="s">
        <v>514</v>
      </c>
    </row>
    <row r="52543" spans="1:1" ht="12.75">
      <c r="A52543" s="2" t="s">
        <v>528</v>
      </c>
    </row>
    <row r="52544" spans="1:1" ht="12.75">
      <c r="A52544" s="2" t="s">
        <v>546</v>
      </c>
    </row>
    <row r="52545" spans="1:1" ht="12.75">
      <c r="A52545" s="2" t="s">
        <v>546</v>
      </c>
    </row>
    <row r="52546" spans="1:1" ht="12.75">
      <c r="A52546" s="2" t="s">
        <v>529</v>
      </c>
    </row>
    <row r="52547" spans="1:1" ht="12.75">
      <c r="A52547" s="2" t="s">
        <v>513</v>
      </c>
    </row>
    <row r="52548" spans="1:1" ht="12.75">
      <c r="A52548" s="2" t="s">
        <v>530</v>
      </c>
    </row>
    <row r="52549" spans="1:1" ht="12.75">
      <c r="A52549" s="2" t="s">
        <v>1772</v>
      </c>
    </row>
    <row r="52551" spans="1:1" ht="12.75">
      <c r="A52551" s="2" t="s">
        <v>514</v>
      </c>
    </row>
    <row r="52552" spans="1:1" ht="12.75">
      <c r="A52552" s="2" t="s">
        <v>546</v>
      </c>
    </row>
    <row r="52553" spans="1:1" ht="12.75">
      <c r="A52553" s="2" t="s">
        <v>514</v>
      </c>
    </row>
    <row r="52554" spans="1:1" ht="12.75">
      <c r="A52554" s="2" t="s">
        <v>532</v>
      </c>
    </row>
    <row r="52556" spans="1:1" ht="12.75">
      <c r="A52556" s="2" t="s">
        <v>532</v>
      </c>
    </row>
    <row r="52557" spans="1:1" ht="12.75">
      <c r="A52557" s="2" t="s">
        <v>514</v>
      </c>
    </row>
    <row r="53024" spans="1:1" ht="12.75">
      <c r="A53024" s="2" t="s">
        <v>1773</v>
      </c>
    </row>
    <row r="53027" spans="1:1" ht="12.75">
      <c r="A53027" s="2" t="s">
        <v>1477</v>
      </c>
    </row>
    <row r="53047" spans="1:1" ht="12.75">
      <c r="A53047" s="2" t="s">
        <v>1207</v>
      </c>
    </row>
    <row r="53048" spans="1:1" ht="12.75">
      <c r="A53048" s="2" t="s">
        <v>1207</v>
      </c>
    </row>
    <row r="53049" spans="1:1" ht="12.75">
      <c r="A53049" s="2" t="s">
        <v>1207</v>
      </c>
    </row>
    <row r="53050" spans="1:1" ht="12.75">
      <c r="A53050" s="2" t="s">
        <v>1774</v>
      </c>
    </row>
    <row r="53051" spans="1:1" ht="12.75">
      <c r="A53051" s="2" t="s">
        <v>1207</v>
      </c>
    </row>
    <row r="53054" spans="1:1" ht="12.75">
      <c r="A53054" s="2" t="s">
        <v>1207</v>
      </c>
    </row>
    <row r="53056" spans="1:1" ht="12.75">
      <c r="A53056" s="2" t="s">
        <v>1207</v>
      </c>
    </row>
    <row r="53057" spans="1:1" ht="12.75">
      <c r="A53057" s="2" t="s">
        <v>1207</v>
      </c>
    </row>
    <row r="53058" spans="1:1" ht="12.75">
      <c r="A53058" s="2" t="s">
        <v>1774</v>
      </c>
    </row>
    <row r="53059" spans="1:1" ht="12.75">
      <c r="A53059" s="2" t="s">
        <v>1207</v>
      </c>
    </row>
    <row r="53060" spans="1:1" ht="12.75">
      <c r="A53060" s="2" t="s">
        <v>1207</v>
      </c>
    </row>
    <row r="53062" spans="1:1" ht="12.75">
      <c r="A53062" s="2" t="s">
        <v>873</v>
      </c>
    </row>
    <row r="53063" spans="1:1" ht="12.75">
      <c r="A53063" s="2" t="s">
        <v>511</v>
      </c>
    </row>
    <row r="53064" spans="1:1" ht="12.75">
      <c r="A53064" s="2" t="s">
        <v>390</v>
      </c>
    </row>
    <row r="53081" spans="1:1" ht="12.75">
      <c r="A53081" s="2" t="s">
        <v>1775</v>
      </c>
    </row>
    <row r="53125" spans="1:1" ht="12.75">
      <c r="A53125" s="2" t="s">
        <v>256</v>
      </c>
    </row>
    <row r="53127" spans="1:1" ht="12.75">
      <c r="A53127" s="2" t="s">
        <v>254</v>
      </c>
    </row>
    <row r="53130" spans="1:1" ht="12.75">
      <c r="A53130" s="2" t="s">
        <v>516</v>
      </c>
    </row>
    <row r="53308" spans="1:1" ht="12.75">
      <c r="A53308" s="2" t="s">
        <v>1656</v>
      </c>
    </row>
    <row r="53486" spans="1:1" ht="12.75">
      <c r="A53486" s="2" t="s">
        <v>169</v>
      </c>
    </row>
    <row r="53489" spans="1:1" ht="12.75">
      <c r="A53489" s="2" t="s">
        <v>160</v>
      </c>
    </row>
    <row r="53491" spans="1:1" ht="12.75">
      <c r="A53491" s="2" t="s">
        <v>173</v>
      </c>
    </row>
    <row r="53498" spans="1:1" ht="12.75">
      <c r="A53498" s="2" t="s">
        <v>225</v>
      </c>
    </row>
    <row r="53500" spans="1:1" ht="12.75">
      <c r="A53500" s="2" t="s">
        <v>160</v>
      </c>
    </row>
    <row r="53501" spans="1:1" ht="12.75">
      <c r="A53501" s="2" t="s">
        <v>169</v>
      </c>
    </row>
    <row r="53502" spans="1:1" ht="12.75">
      <c r="A53502" s="2" t="s">
        <v>178</v>
      </c>
    </row>
    <row r="53503" spans="1:1" ht="12.75">
      <c r="A53503" s="2" t="s">
        <v>737</v>
      </c>
    </row>
    <row r="53506" spans="1:1" ht="12.75">
      <c r="A53506" s="2" t="s">
        <v>1089</v>
      </c>
    </row>
    <row r="53507" spans="1:1" ht="12.75">
      <c r="A53507" s="2" t="s">
        <v>160</v>
      </c>
    </row>
    <row r="53508" spans="1:1" ht="12.75">
      <c r="A53508" s="2" t="s">
        <v>184</v>
      </c>
    </row>
    <row r="53509" spans="1:1" ht="12.75">
      <c r="A53509" s="2" t="s">
        <v>184</v>
      </c>
    </row>
    <row r="53512" spans="1:1" ht="12.75">
      <c r="A53512" s="2" t="s">
        <v>176</v>
      </c>
    </row>
    <row r="53513" spans="1:1" ht="12.75">
      <c r="A53513" s="2" t="s">
        <v>176</v>
      </c>
    </row>
    <row r="53514" spans="1:1" ht="12.75">
      <c r="A53514" s="2" t="s">
        <v>184</v>
      </c>
    </row>
    <row r="53515" spans="1:1" ht="12.75">
      <c r="A53515" s="2" t="s">
        <v>169</v>
      </c>
    </row>
    <row r="53516" spans="1:1" ht="12.75">
      <c r="A53516" s="2" t="s">
        <v>169</v>
      </c>
    </row>
    <row r="53517" spans="1:1" ht="12.75">
      <c r="A53517" s="2" t="s">
        <v>161</v>
      </c>
    </row>
    <row r="53519" spans="1:1" ht="12.75">
      <c r="A53519" s="2" t="s">
        <v>176</v>
      </c>
    </row>
    <row r="53520" spans="1:1" ht="12.75">
      <c r="A53520" s="2" t="s">
        <v>176</v>
      </c>
    </row>
    <row r="53521" spans="1:1" ht="12.75">
      <c r="A53521" s="2" t="s">
        <v>161</v>
      </c>
    </row>
    <row r="53522" spans="1:1" ht="12.75">
      <c r="A53522" s="2" t="s">
        <v>161</v>
      </c>
    </row>
    <row r="53524" spans="1:1" ht="12.75">
      <c r="A53524" s="2" t="s">
        <v>160</v>
      </c>
    </row>
    <row r="53525" spans="1:1" ht="12.75">
      <c r="A53525" s="2" t="s">
        <v>160</v>
      </c>
    </row>
    <row r="53526" spans="1:1" ht="12.75">
      <c r="A53526" s="2" t="s">
        <v>223</v>
      </c>
    </row>
    <row r="53529" spans="1:1" ht="12.75">
      <c r="A53529" s="2" t="s">
        <v>1776</v>
      </c>
    </row>
    <row r="53530" spans="1:1" ht="12.75">
      <c r="A53530" s="2" t="s">
        <v>1080</v>
      </c>
    </row>
    <row r="53532" spans="1:1" ht="12.75">
      <c r="A53532" s="2" t="s">
        <v>165</v>
      </c>
    </row>
    <row r="53533" spans="1:1" ht="12.75">
      <c r="A53533" s="2" t="s">
        <v>165</v>
      </c>
    </row>
    <row r="53534" spans="1:1" ht="12.75">
      <c r="A53534" s="2" t="s">
        <v>165</v>
      </c>
    </row>
    <row r="53535" spans="1:1" ht="12.75">
      <c r="A53535" s="2" t="s">
        <v>173</v>
      </c>
    </row>
    <row r="53536" spans="1:1" ht="12.75">
      <c r="A53536" s="2" t="s">
        <v>196</v>
      </c>
    </row>
    <row r="53537" spans="1:1" ht="12.75">
      <c r="A53537" s="2" t="s">
        <v>1769</v>
      </c>
    </row>
    <row r="53538" spans="1:1" ht="12.75">
      <c r="A53538" s="2" t="s">
        <v>1769</v>
      </c>
    </row>
    <row r="53540" spans="1:1" ht="12.75">
      <c r="A53540" s="2" t="s">
        <v>173</v>
      </c>
    </row>
    <row r="53542" spans="1:1" ht="12.75">
      <c r="A53542" s="2" t="s">
        <v>223</v>
      </c>
    </row>
    <row r="53544" spans="1:1" ht="12.75">
      <c r="A53544" s="2" t="s">
        <v>172</v>
      </c>
    </row>
    <row r="53548" spans="1:1" ht="12.75">
      <c r="A53548" s="2" t="s">
        <v>169</v>
      </c>
    </row>
    <row r="53549" spans="1:1" ht="12.75">
      <c r="A53549" s="2" t="s">
        <v>168</v>
      </c>
    </row>
    <row r="53550" spans="1:1" ht="12.75">
      <c r="A53550" s="2" t="s">
        <v>172</v>
      </c>
    </row>
    <row r="53558" spans="1:1" ht="12.75">
      <c r="A53558" s="2" t="s">
        <v>225</v>
      </c>
    </row>
    <row r="53559" spans="1:1" ht="12.75">
      <c r="A53559" s="2" t="s">
        <v>225</v>
      </c>
    </row>
    <row r="53565" spans="1:1" ht="12.75">
      <c r="A53565" s="2" t="s">
        <v>1089</v>
      </c>
    </row>
    <row r="53566" spans="1:1" ht="12.75">
      <c r="A53566" s="2" t="s">
        <v>196</v>
      </c>
    </row>
    <row r="53567" spans="1:1" ht="12.75">
      <c r="A53567" s="2" t="s">
        <v>223</v>
      </c>
    </row>
    <row r="53568" spans="1:1" ht="12.75">
      <c r="A53568" s="2" t="s">
        <v>169</v>
      </c>
    </row>
    <row r="53569" spans="1:1" ht="12.75">
      <c r="A53569" s="2" t="s">
        <v>169</v>
      </c>
    </row>
    <row r="53570" spans="1:1" ht="12.75">
      <c r="A53570" s="2" t="s">
        <v>169</v>
      </c>
    </row>
    <row r="53573" spans="1:1" ht="12.75">
      <c r="A53573" s="2" t="s">
        <v>184</v>
      </c>
    </row>
    <row r="53576" spans="1:1" ht="12.75">
      <c r="A53576" s="2" t="s">
        <v>174</v>
      </c>
    </row>
    <row r="53577" spans="1:1" ht="12.75">
      <c r="A53577" s="2" t="s">
        <v>161</v>
      </c>
    </row>
    <row r="53578" spans="1:1" ht="12.75">
      <c r="A53578" s="2" t="s">
        <v>161</v>
      </c>
    </row>
    <row r="53586" spans="1:1" ht="12.75">
      <c r="A53586" s="2" t="s">
        <v>233</v>
      </c>
    </row>
    <row r="53587" spans="1:1" ht="12.75">
      <c r="A53587" s="2" t="s">
        <v>233</v>
      </c>
    </row>
    <row r="53588" spans="1:1" ht="12.75">
      <c r="A53588" s="2" t="s">
        <v>235</v>
      </c>
    </row>
    <row r="53589" spans="1:1" ht="12.75">
      <c r="A53589" s="2" t="s">
        <v>199</v>
      </c>
    </row>
    <row r="53590" spans="1:1" ht="12.75">
      <c r="A53590" s="2" t="s">
        <v>233</v>
      </c>
    </row>
    <row r="53591" spans="1:1" ht="12.75">
      <c r="A53591" s="2" t="s">
        <v>233</v>
      </c>
    </row>
    <row r="53592" spans="1:1" ht="12.75">
      <c r="A53592" s="2" t="s">
        <v>235</v>
      </c>
    </row>
    <row r="53593" spans="1:1" ht="12.75">
      <c r="A53593" s="2" t="s">
        <v>235</v>
      </c>
    </row>
    <row r="53594" spans="1:1" ht="12.75">
      <c r="A53594" s="2" t="s">
        <v>235</v>
      </c>
    </row>
    <row r="53595" spans="1:1" ht="12.75">
      <c r="A53595" s="2" t="s">
        <v>235</v>
      </c>
    </row>
    <row r="53596" spans="1:1" ht="12.75">
      <c r="A53596" s="2" t="s">
        <v>235</v>
      </c>
    </row>
    <row r="53597" spans="1:1" ht="12.75">
      <c r="A53597" s="2" t="s">
        <v>235</v>
      </c>
    </row>
    <row r="53598" spans="1:1" ht="12.75">
      <c r="A53598" s="2" t="s">
        <v>1308</v>
      </c>
    </row>
    <row r="53599" spans="1:1" ht="12.75">
      <c r="A53599" s="2" t="s">
        <v>234</v>
      </c>
    </row>
    <row r="53600" spans="1:1" ht="12.75">
      <c r="A53600" s="2" t="s">
        <v>234</v>
      </c>
    </row>
    <row r="53601" spans="1:1" ht="12.75">
      <c r="A53601" s="2" t="s">
        <v>234</v>
      </c>
    </row>
    <row r="53602" spans="1:1" ht="12.75">
      <c r="A53602" s="2" t="s">
        <v>234</v>
      </c>
    </row>
    <row r="53603" spans="1:1" ht="12.75">
      <c r="A53603" s="2" t="s">
        <v>234</v>
      </c>
    </row>
    <row r="53604" spans="1:1" ht="12.75">
      <c r="A53604" s="2" t="s">
        <v>234</v>
      </c>
    </row>
    <row r="53605" spans="1:1" ht="12.75">
      <c r="A53605" s="2" t="s">
        <v>234</v>
      </c>
    </row>
    <row r="53606" spans="1:1" ht="12.75">
      <c r="A53606" s="2" t="s">
        <v>234</v>
      </c>
    </row>
    <row r="53607" spans="1:1" ht="12.75">
      <c r="A53607" s="2" t="s">
        <v>234</v>
      </c>
    </row>
    <row r="53608" spans="1:1" ht="12.75">
      <c r="A53608" s="2" t="s">
        <v>234</v>
      </c>
    </row>
    <row r="53609" spans="1:1" ht="12.75">
      <c r="A53609" s="2" t="s">
        <v>234</v>
      </c>
    </row>
    <row r="53610" spans="1:1" ht="12.75">
      <c r="A53610" s="2" t="s">
        <v>234</v>
      </c>
    </row>
    <row r="53611" spans="1:1" ht="12.75">
      <c r="A53611" s="2" t="s">
        <v>234</v>
      </c>
    </row>
    <row r="53612" spans="1:1" ht="12.75">
      <c r="A53612" s="2" t="s">
        <v>234</v>
      </c>
    </row>
    <row r="53613" spans="1:1" ht="12.75">
      <c r="A53613" s="2" t="s">
        <v>234</v>
      </c>
    </row>
    <row r="53614" spans="1:1" ht="12.75">
      <c r="A53614" s="2" t="s">
        <v>233</v>
      </c>
    </row>
    <row r="53615" spans="1:1" ht="12.75">
      <c r="A53615" s="2" t="s">
        <v>199</v>
      </c>
    </row>
    <row r="53616" spans="1:1" ht="12.75">
      <c r="A53616" s="2" t="s">
        <v>233</v>
      </c>
    </row>
    <row r="53617" spans="1:1" ht="12.75">
      <c r="A53617" s="2" t="s">
        <v>233</v>
      </c>
    </row>
    <row r="53618" spans="1:1" ht="12.75">
      <c r="A53618" s="2" t="s">
        <v>233</v>
      </c>
    </row>
    <row r="53619" spans="1:1" ht="12.75">
      <c r="A53619" s="2" t="s">
        <v>199</v>
      </c>
    </row>
    <row r="53620" spans="1:1" ht="12.75">
      <c r="A53620" s="2" t="s">
        <v>235</v>
      </c>
    </row>
    <row r="53621" spans="1:1" ht="12.75">
      <c r="A53621" s="2" t="s">
        <v>235</v>
      </c>
    </row>
    <row r="53622" spans="1:1" ht="12.75">
      <c r="A53622" s="2" t="s">
        <v>199</v>
      </c>
    </row>
    <row r="53623" spans="1:1" ht="12.75">
      <c r="A53623" s="2" t="s">
        <v>199</v>
      </c>
    </row>
    <row r="53624" spans="1:1" ht="12.75">
      <c r="A53624" s="2" t="s">
        <v>1307</v>
      </c>
    </row>
    <row r="53625" spans="1:1" ht="12.75">
      <c r="A53625" s="2" t="s">
        <v>235</v>
      </c>
    </row>
    <row r="53626" spans="1:1" ht="12.75">
      <c r="A53626" s="2" t="s">
        <v>234</v>
      </c>
    </row>
    <row r="53628" spans="1:1" ht="12.75">
      <c r="A53628" s="2" t="s">
        <v>234</v>
      </c>
    </row>
    <row r="53629" spans="1:1" ht="12.75">
      <c r="A53629" s="2" t="s">
        <v>234</v>
      </c>
    </row>
    <row r="53630" spans="1:1" ht="12.75">
      <c r="A53630" s="2" t="s">
        <v>234</v>
      </c>
    </row>
    <row r="53631" spans="1:1" ht="12.75">
      <c r="A53631" s="2" t="s">
        <v>234</v>
      </c>
    </row>
    <row r="53672" spans="1:1" ht="12.75">
      <c r="A53672" s="2" t="s">
        <v>806</v>
      </c>
    </row>
    <row r="53676" spans="1:1" ht="12.75">
      <c r="A53676" s="2" t="s">
        <v>234</v>
      </c>
    </row>
    <row r="53677" spans="1:1" ht="12.75">
      <c r="A53677" s="2" t="s">
        <v>234</v>
      </c>
    </row>
    <row r="53678" spans="1:1" ht="12.75">
      <c r="A53678" s="2" t="s">
        <v>234</v>
      </c>
    </row>
    <row r="53679" spans="1:1" ht="12.75">
      <c r="A53679" s="2" t="s">
        <v>234</v>
      </c>
    </row>
    <row r="53681" spans="1:1" ht="12.75">
      <c r="A53681" s="2" t="s">
        <v>234</v>
      </c>
    </row>
    <row r="53683" spans="1:1" ht="12.75">
      <c r="A53683" s="2" t="s">
        <v>234</v>
      </c>
    </row>
    <row r="53686" spans="1:1" ht="12.75">
      <c r="A53686" s="2" t="s">
        <v>234</v>
      </c>
    </row>
    <row r="53687" spans="1:1" ht="12.75">
      <c r="A53687" s="2" t="s">
        <v>234</v>
      </c>
    </row>
    <row r="53698" spans="1:1" ht="12.75">
      <c r="A53698" s="2" t="s">
        <v>1777</v>
      </c>
    </row>
    <row r="53699" spans="1:1" ht="12.75">
      <c r="A53699" s="2" t="s">
        <v>233</v>
      </c>
    </row>
    <row r="53701" spans="1:1" ht="12.75">
      <c r="A53701" s="2" t="s">
        <v>199</v>
      </c>
    </row>
    <row r="53938" spans="1:1" ht="12.75">
      <c r="A53938" s="2" t="s">
        <v>1138</v>
      </c>
    </row>
    <row r="53939" spans="1:1" ht="12.75">
      <c r="A53939" s="2" t="s">
        <v>1138</v>
      </c>
    </row>
    <row r="53940" spans="1:1" ht="12.75">
      <c r="A53940" s="2" t="s">
        <v>1138</v>
      </c>
    </row>
    <row r="53941" spans="1:1" ht="12.75">
      <c r="A53941" s="2" t="s">
        <v>1138</v>
      </c>
    </row>
    <row r="53944" spans="1:1" ht="12.75">
      <c r="A53944" s="2" t="s">
        <v>1134</v>
      </c>
    </row>
    <row r="53945" spans="1:1" ht="12.75">
      <c r="A53945" s="2" t="s">
        <v>1134</v>
      </c>
    </row>
    <row r="53946" spans="1:1" ht="12.75">
      <c r="A53946" s="2" t="s">
        <v>1447</v>
      </c>
    </row>
    <row r="53947" spans="1:1" ht="12.75">
      <c r="A53947" s="2" t="s">
        <v>1447</v>
      </c>
    </row>
    <row r="53948" spans="1:1" ht="12.75">
      <c r="A53948" s="2" t="s">
        <v>1291</v>
      </c>
    </row>
    <row r="53949" spans="1:1" ht="12.75">
      <c r="A53949" s="2" t="s">
        <v>1291</v>
      </c>
    </row>
    <row r="53950" spans="1:1" ht="12.75">
      <c r="A53950" s="2" t="s">
        <v>1658</v>
      </c>
    </row>
    <row r="53954" spans="1:1" ht="12.75">
      <c r="A53954" s="2" t="s">
        <v>1447</v>
      </c>
    </row>
    <row r="53955" spans="1:1" ht="12.75">
      <c r="A53955" s="2" t="s">
        <v>1447</v>
      </c>
    </row>
    <row r="53956" spans="1:1" ht="12.75">
      <c r="A53956" s="2" t="s">
        <v>1654</v>
      </c>
    </row>
    <row r="53958" spans="1:1" ht="12.75">
      <c r="A53958" s="2" t="s">
        <v>1292</v>
      </c>
    </row>
    <row r="53959" spans="1:1" ht="12.75">
      <c r="A53959" s="2" t="s">
        <v>1292</v>
      </c>
    </row>
    <row r="53960" spans="1:1" ht="12.75">
      <c r="A53960" s="2" t="s">
        <v>1358</v>
      </c>
    </row>
    <row r="53961" spans="1:1" ht="12.75">
      <c r="A53961" s="2" t="s">
        <v>1358</v>
      </c>
    </row>
    <row r="53962" spans="1:1" ht="12.75">
      <c r="A53962" s="2" t="s">
        <v>1357</v>
      </c>
    </row>
    <row r="53963" spans="1:1" ht="12.75">
      <c r="A53963" s="2" t="s">
        <v>1357</v>
      </c>
    </row>
    <row r="53964" spans="1:1" ht="12.75">
      <c r="A53964" s="2" t="s">
        <v>1256</v>
      </c>
    </row>
    <row r="53965" spans="1:1" ht="12.75">
      <c r="A53965" s="2" t="s">
        <v>1256</v>
      </c>
    </row>
    <row r="53966" spans="1:1" ht="12.75">
      <c r="A53966" s="2" t="s">
        <v>1467</v>
      </c>
    </row>
    <row r="53968" spans="1:1" ht="12.75">
      <c r="A53968" s="2" t="s">
        <v>1359</v>
      </c>
    </row>
    <row r="53969" spans="1:1" ht="12.75">
      <c r="A53969" s="2" t="s">
        <v>1359</v>
      </c>
    </row>
    <row r="53970" spans="1:1" ht="12.75">
      <c r="A53970" s="2" t="s">
        <v>1640</v>
      </c>
    </row>
    <row r="53971" spans="1:1" ht="12.75">
      <c r="A53971" s="2" t="s">
        <v>1640</v>
      </c>
    </row>
    <row r="53972" spans="1:1" ht="12.75">
      <c r="A53972" s="2" t="s">
        <v>1447</v>
      </c>
    </row>
    <row r="53973" spans="1:1" ht="12.75">
      <c r="A53973" s="2" t="s">
        <v>1670</v>
      </c>
    </row>
    <row r="53974" spans="1:1" ht="12.75">
      <c r="A53974" s="2" t="s">
        <v>1256</v>
      </c>
    </row>
    <row r="53975" spans="1:1" ht="12.75">
      <c r="A53975" s="2" t="s">
        <v>1256</v>
      </c>
    </row>
    <row r="53976" spans="1:1" ht="12.75">
      <c r="A53976" s="2" t="s">
        <v>1358</v>
      </c>
    </row>
    <row r="53979" spans="1:1" ht="12.75">
      <c r="A53979" s="2" t="s">
        <v>1138</v>
      </c>
    </row>
    <row r="53981" spans="1:1" ht="12.75">
      <c r="A53981" s="2" t="s">
        <v>1453</v>
      </c>
    </row>
    <row r="53982" spans="1:1" ht="12.75">
      <c r="A53982" s="2" t="s">
        <v>1467</v>
      </c>
    </row>
    <row r="53983" spans="1:1" ht="12.75">
      <c r="A53983" s="2" t="s">
        <v>1467</v>
      </c>
    </row>
    <row r="53984" spans="1:1" ht="12.75">
      <c r="A53984" s="2" t="s">
        <v>1292</v>
      </c>
    </row>
    <row r="53985" spans="1:1" ht="12.75">
      <c r="A53985" s="2" t="s">
        <v>1292</v>
      </c>
    </row>
    <row r="53986" spans="1:1" ht="12.75">
      <c r="A53986" s="2" t="s">
        <v>957</v>
      </c>
    </row>
    <row r="53987" spans="1:1" ht="12.75">
      <c r="A53987" s="2" t="s">
        <v>957</v>
      </c>
    </row>
    <row r="53988" spans="1:1" ht="12.75">
      <c r="A53988" s="2" t="s">
        <v>1565</v>
      </c>
    </row>
    <row r="53989" spans="1:1" ht="12.75">
      <c r="A53989" s="2" t="s">
        <v>1565</v>
      </c>
    </row>
    <row r="53990" spans="1:1" ht="12.75">
      <c r="A53990" s="2" t="s">
        <v>1647</v>
      </c>
    </row>
    <row r="53991" spans="1:1" ht="12.75">
      <c r="A53991" s="2" t="s">
        <v>1647</v>
      </c>
    </row>
    <row r="53992" spans="1:1" ht="12.75">
      <c r="A53992" s="2" t="s">
        <v>1716</v>
      </c>
    </row>
    <row r="53993" spans="1:1" ht="12.75">
      <c r="A53993" s="2" t="s">
        <v>1716</v>
      </c>
    </row>
    <row r="53998" spans="1:1" ht="12.75">
      <c r="A53998" s="2" t="s">
        <v>1559</v>
      </c>
    </row>
    <row r="53999" spans="1:1" ht="12.75">
      <c r="A53999" s="2" t="s">
        <v>1559</v>
      </c>
    </row>
    <row r="54002" spans="1:1" ht="12.75">
      <c r="A54002" s="2" t="s">
        <v>1655</v>
      </c>
    </row>
    <row r="54003" spans="1:1" ht="12.75">
      <c r="A54003" s="2" t="s">
        <v>1655</v>
      </c>
    </row>
    <row r="54006" spans="1:1" ht="12.75">
      <c r="A54006" s="2" t="s">
        <v>1551</v>
      </c>
    </row>
    <row r="54007" spans="1:1" ht="12.75">
      <c r="A54007" s="2" t="s">
        <v>1551</v>
      </c>
    </row>
    <row r="54008" spans="1:1" ht="12.75">
      <c r="A54008" s="2" t="s">
        <v>1549</v>
      </c>
    </row>
    <row r="54009" spans="1:1" ht="12.75">
      <c r="A54009" s="2" t="s">
        <v>1542</v>
      </c>
    </row>
    <row r="54012" spans="1:1" ht="12.75">
      <c r="A54012" s="2" t="s">
        <v>1439</v>
      </c>
    </row>
    <row r="54014" spans="1:1" ht="12.75">
      <c r="A54014" s="2" t="s">
        <v>1545</v>
      </c>
    </row>
    <row r="54015" spans="1:1" ht="12.75">
      <c r="A54015" s="2" t="s">
        <v>1545</v>
      </c>
    </row>
    <row r="54016" spans="1:1" ht="12.75">
      <c r="A54016" s="2" t="s">
        <v>1541</v>
      </c>
    </row>
    <row r="54017" spans="1:1" ht="12.75">
      <c r="A54017" s="2" t="s">
        <v>1651</v>
      </c>
    </row>
    <row r="54022" spans="1:1" ht="12.75">
      <c r="A54022" s="2" t="s">
        <v>1778</v>
      </c>
    </row>
    <row r="54023" spans="1:1" ht="12.75">
      <c r="A54023" s="2" t="s">
        <v>1447</v>
      </c>
    </row>
    <row r="54024" spans="1:1" ht="12.75">
      <c r="A54024" s="2" t="s">
        <v>1449</v>
      </c>
    </row>
    <row r="54025" spans="1:1" ht="12.75">
      <c r="A54025" s="2" t="s">
        <v>1449</v>
      </c>
    </row>
    <row r="54026" spans="1:1" ht="12.75">
      <c r="A54026" s="2" t="s">
        <v>1469</v>
      </c>
    </row>
    <row r="54027" spans="1:1" ht="12.75">
      <c r="A54027" s="2" t="s">
        <v>1469</v>
      </c>
    </row>
    <row r="54028" spans="1:1" ht="12.75">
      <c r="A54028" s="2" t="s">
        <v>1461</v>
      </c>
    </row>
    <row r="54029" spans="1:1" ht="12.75">
      <c r="A54029" s="2" t="s">
        <v>1461</v>
      </c>
    </row>
    <row r="54030" spans="1:1" ht="12.75">
      <c r="A54030" s="2" t="s">
        <v>1446</v>
      </c>
    </row>
    <row r="54032" spans="1:1" ht="12.75">
      <c r="A54032" s="2" t="s">
        <v>1653</v>
      </c>
    </row>
    <row r="54033" spans="1:1" ht="12.75">
      <c r="A54033" s="2" t="s">
        <v>1442</v>
      </c>
    </row>
    <row r="54034" spans="1:1" ht="12.75">
      <c r="A54034" s="2" t="s">
        <v>1140</v>
      </c>
    </row>
    <row r="54036" spans="1:1" ht="12.75">
      <c r="A54036" s="2" t="s">
        <v>1298</v>
      </c>
    </row>
    <row r="54037" spans="1:1" ht="12.75">
      <c r="A54037" s="2" t="s">
        <v>1298</v>
      </c>
    </row>
    <row r="54042" spans="1:1" ht="12.75">
      <c r="A54042" s="2" t="s">
        <v>1144</v>
      </c>
    </row>
    <row r="54043" spans="1:1" ht="12.75">
      <c r="A54043" s="2" t="s">
        <v>1144</v>
      </c>
    </row>
    <row r="54045" spans="1:1" ht="12.75">
      <c r="A54045" s="2" t="s">
        <v>1763</v>
      </c>
    </row>
    <row r="54046" spans="1:1" ht="12.75">
      <c r="A54046" s="2" t="s">
        <v>708</v>
      </c>
    </row>
    <row r="54047" spans="1:1" ht="12.75">
      <c r="A54047" s="2" t="s">
        <v>708</v>
      </c>
    </row>
    <row r="54050" spans="1:1" ht="12.75">
      <c r="A54050" s="2" t="s">
        <v>1096</v>
      </c>
    </row>
    <row r="54051" spans="1:1" ht="12.75">
      <c r="A54051" s="2" t="s">
        <v>1096</v>
      </c>
    </row>
    <row r="54052" spans="1:1" ht="12.75">
      <c r="A54052" s="2" t="s">
        <v>1142</v>
      </c>
    </row>
    <row r="54053" spans="1:1" ht="12.75">
      <c r="A54053" s="2" t="s">
        <v>1142</v>
      </c>
    </row>
    <row r="54054" spans="1:1" ht="12.75">
      <c r="A54054" s="2" t="s">
        <v>958</v>
      </c>
    </row>
    <row r="54055" spans="1:1" ht="12.75">
      <c r="A54055" s="2" t="s">
        <v>958</v>
      </c>
    </row>
    <row r="54062" spans="1:1" ht="12.75">
      <c r="A54062" s="2" t="s">
        <v>1647</v>
      </c>
    </row>
    <row r="54063" spans="1:1" ht="12.75">
      <c r="A54063" s="2" t="s">
        <v>1647</v>
      </c>
    </row>
    <row r="54064" spans="1:1" ht="12.75">
      <c r="A54064" s="2" t="s">
        <v>763</v>
      </c>
    </row>
    <row r="54065" spans="1:1" ht="12.75">
      <c r="A54065" s="2" t="s">
        <v>763</v>
      </c>
    </row>
    <row r="54066" spans="1:1" ht="12.75">
      <c r="A54066" s="2" t="s">
        <v>1710</v>
      </c>
    </row>
    <row r="54068" spans="1:1" ht="12.75">
      <c r="A54068" s="2" t="s">
        <v>1558</v>
      </c>
    </row>
    <row r="54069" spans="1:1" ht="12.75">
      <c r="A54069" s="2" t="s">
        <v>1558</v>
      </c>
    </row>
    <row r="54070" spans="1:1" ht="12.75">
      <c r="A54070" s="2" t="s">
        <v>1660</v>
      </c>
    </row>
    <row r="54071" spans="1:1" ht="12.75">
      <c r="A54071" s="2" t="s">
        <v>1660</v>
      </c>
    </row>
    <row r="54072" spans="1:1" ht="12.75">
      <c r="A54072" s="2" t="s">
        <v>1639</v>
      </c>
    </row>
    <row r="54073" spans="1:1" ht="12.75">
      <c r="A54073" s="2" t="s">
        <v>1639</v>
      </c>
    </row>
    <row r="54074" spans="1:1" ht="12.75">
      <c r="A54074" s="2" t="s">
        <v>1472</v>
      </c>
    </row>
    <row r="54076" spans="1:1" ht="12.75">
      <c r="A54076" s="2" t="s">
        <v>1546</v>
      </c>
    </row>
    <row r="54077" spans="1:1" ht="12.75">
      <c r="A54077" s="2" t="s">
        <v>1638</v>
      </c>
    </row>
    <row r="54078" spans="1:1" ht="12.75">
      <c r="A54078" s="2" t="s">
        <v>1659</v>
      </c>
    </row>
    <row r="54079" spans="1:1" ht="12.75">
      <c r="A54079" s="2" t="s">
        <v>1659</v>
      </c>
    </row>
    <row r="54080" spans="1:1" ht="12.75">
      <c r="A54080" s="2" t="s">
        <v>961</v>
      </c>
    </row>
    <row r="54081" spans="1:1" ht="12.75">
      <c r="A54081" s="2" t="s">
        <v>961</v>
      </c>
    </row>
    <row r="54084" spans="1:1" ht="12.75">
      <c r="A54084" s="2" t="s">
        <v>1363</v>
      </c>
    </row>
    <row r="54085" spans="1:1" ht="12.75">
      <c r="A54085" s="2" t="s">
        <v>1363</v>
      </c>
    </row>
    <row r="54088" spans="1:1" ht="12.75">
      <c r="A54088" s="2" t="s">
        <v>1651</v>
      </c>
    </row>
    <row r="54089" spans="1:1" ht="12.75">
      <c r="A54089" s="2" t="s">
        <v>1541</v>
      </c>
    </row>
    <row r="54090" spans="1:1" ht="12.75">
      <c r="A54090" s="2" t="s">
        <v>1545</v>
      </c>
    </row>
    <row r="54091" spans="1:1" ht="12.75">
      <c r="A54091" s="2" t="s">
        <v>1779</v>
      </c>
    </row>
    <row r="54092" spans="1:1" ht="12.75">
      <c r="A54092" s="2" t="s">
        <v>1439</v>
      </c>
    </row>
    <row r="54093" spans="1:1" ht="12.75">
      <c r="A54093" s="2" t="s">
        <v>1439</v>
      </c>
    </row>
    <row r="54094" spans="1:1" ht="12.75">
      <c r="A54094" s="2" t="s">
        <v>1670</v>
      </c>
    </row>
    <row r="54095" spans="1:1" ht="12.75">
      <c r="A54095" s="2" t="s">
        <v>1670</v>
      </c>
    </row>
    <row r="54096" spans="1:1" ht="12.75">
      <c r="A54096" s="2" t="s">
        <v>1449</v>
      </c>
    </row>
    <row r="54097" spans="1:1" ht="12.75">
      <c r="A54097" s="2" t="s">
        <v>1449</v>
      </c>
    </row>
    <row r="54098" spans="1:1" ht="12.75">
      <c r="A54098" s="2" t="s">
        <v>1469</v>
      </c>
    </row>
    <row r="54099" spans="1:1" ht="12.75">
      <c r="A54099" s="2" t="s">
        <v>1469</v>
      </c>
    </row>
    <row r="54100" spans="1:1" ht="12.75">
      <c r="A54100" s="2" t="s">
        <v>1461</v>
      </c>
    </row>
    <row r="54101" spans="1:1" ht="12.75">
      <c r="A54101" s="2" t="s">
        <v>1461</v>
      </c>
    </row>
    <row r="54106" spans="1:1" ht="12.75">
      <c r="A54106" s="2" t="s">
        <v>1134</v>
      </c>
    </row>
    <row r="54107" spans="1:1" ht="12.75">
      <c r="A54107" s="2" t="s">
        <v>1134</v>
      </c>
    </row>
    <row r="54108" spans="1:1" ht="12.75">
      <c r="A54108" s="2" t="s">
        <v>1748</v>
      </c>
    </row>
    <row r="54109" spans="1:1" ht="12.75">
      <c r="A54109" s="2" t="s">
        <v>1748</v>
      </c>
    </row>
    <row r="54112" spans="1:1" ht="12.75">
      <c r="A54112" s="2" t="s">
        <v>1298</v>
      </c>
    </row>
    <row r="54113" spans="1:1" ht="12.75">
      <c r="A54113" s="2" t="s">
        <v>1298</v>
      </c>
    </row>
    <row r="54114" spans="1:1" ht="12.75">
      <c r="A54114" s="2" t="s">
        <v>1552</v>
      </c>
    </row>
    <row r="54115" spans="1:1" ht="12.75">
      <c r="A54115" s="2" t="s">
        <v>1749</v>
      </c>
    </row>
    <row r="54116" spans="1:1" ht="12.75">
      <c r="A54116" s="2" t="s">
        <v>1144</v>
      </c>
    </row>
    <row r="54117" spans="1:1" ht="12.75">
      <c r="A54117" s="2" t="s">
        <v>1144</v>
      </c>
    </row>
    <row r="54120" spans="1:1" ht="12.75">
      <c r="A54120" s="2" t="s">
        <v>1142</v>
      </c>
    </row>
    <row r="54121" spans="1:1" ht="12.75">
      <c r="A54121" s="2" t="s">
        <v>1142</v>
      </c>
    </row>
    <row r="54122" spans="1:1" ht="12.75">
      <c r="A54122" s="2" t="s">
        <v>1135</v>
      </c>
    </row>
    <row r="54123" spans="1:1" ht="12.75">
      <c r="A54123" s="2" t="s">
        <v>1135</v>
      </c>
    </row>
    <row r="54124" spans="1:1" ht="12.75">
      <c r="A54124" s="2" t="s">
        <v>966</v>
      </c>
    </row>
    <row r="54126" spans="1:1" ht="12.75">
      <c r="A54126" s="2" t="s">
        <v>708</v>
      </c>
    </row>
    <row r="54127" spans="1:1" ht="12.75">
      <c r="A54127" s="2" t="s">
        <v>708</v>
      </c>
    </row>
    <row r="54128" spans="1:1" ht="12.75">
      <c r="A54128" s="2" t="s">
        <v>957</v>
      </c>
    </row>
    <row r="54129" spans="1:1" ht="12.75">
      <c r="A54129" s="2" t="s">
        <v>957</v>
      </c>
    </row>
    <row r="54130" spans="1:1" ht="12.75">
      <c r="A54130" s="2" t="s">
        <v>1743</v>
      </c>
    </row>
    <row r="54131" spans="1:1" ht="12.75">
      <c r="A54131" s="2" t="s">
        <v>1291</v>
      </c>
    </row>
    <row r="54134" spans="1:1" ht="12.75">
      <c r="A54134" s="2" t="s">
        <v>1292</v>
      </c>
    </row>
    <row r="54135" spans="1:1" ht="12.75">
      <c r="A54135" s="2" t="s">
        <v>1292</v>
      </c>
    </row>
    <row r="54137" spans="1:1" ht="12.75">
      <c r="A54137" s="2" t="s">
        <v>1568</v>
      </c>
    </row>
    <row r="54138" spans="1:1" ht="12.75">
      <c r="A54138" s="2" t="s">
        <v>1453</v>
      </c>
    </row>
    <row r="54139" spans="1:1" ht="12.75">
      <c r="A54139" s="2" t="s">
        <v>1643</v>
      </c>
    </row>
    <row r="54140" spans="1:1" ht="12.75">
      <c r="A54140" s="2" t="s">
        <v>1643</v>
      </c>
    </row>
    <row r="54141" spans="1:1" ht="12.75">
      <c r="A54141" s="2" t="s">
        <v>1447</v>
      </c>
    </row>
    <row r="54142" spans="1:1" ht="12.75">
      <c r="A54142" s="2" t="s">
        <v>1459</v>
      </c>
    </row>
    <row r="54143" spans="1:1" ht="12.75">
      <c r="A54143" s="2" t="s">
        <v>1552</v>
      </c>
    </row>
    <row r="54144" spans="1:1" ht="12.75">
      <c r="A54144" s="2" t="s">
        <v>1671</v>
      </c>
    </row>
    <row r="54145" spans="1:1" ht="12.75">
      <c r="A54145" s="2" t="s">
        <v>1654</v>
      </c>
    </row>
    <row r="54146" spans="1:1" ht="12.75">
      <c r="A54146" s="2" t="s">
        <v>1654</v>
      </c>
    </row>
    <row r="54147" spans="1:1" ht="12.75">
      <c r="A54147" s="2" t="s">
        <v>1358</v>
      </c>
    </row>
    <row r="54148" spans="1:1" ht="12.75">
      <c r="A54148" s="2" t="s">
        <v>1358</v>
      </c>
    </row>
    <row r="54149" spans="1:1" ht="12.75">
      <c r="A54149" s="2" t="s">
        <v>1750</v>
      </c>
    </row>
    <row r="54150" spans="1:1" ht="12.75">
      <c r="A54150" s="2" t="s">
        <v>1750</v>
      </c>
    </row>
    <row r="54151" spans="1:1" ht="12.75">
      <c r="A54151" s="2" t="s">
        <v>1256</v>
      </c>
    </row>
    <row r="54152" spans="1:1" ht="12.75">
      <c r="A54152" s="2" t="s">
        <v>1256</v>
      </c>
    </row>
    <row r="54153" spans="1:1" ht="12.75">
      <c r="A54153" s="2" t="s">
        <v>1780</v>
      </c>
    </row>
    <row r="54154" spans="1:1" ht="12.75">
      <c r="A54154" s="2" t="s">
        <v>1780</v>
      </c>
    </row>
    <row r="54157" spans="1:1" ht="12.75">
      <c r="A54157" s="2" t="s">
        <v>1359</v>
      </c>
    </row>
    <row r="54158" spans="1:1" ht="12.75">
      <c r="A54158" s="2" t="s">
        <v>1359</v>
      </c>
    </row>
    <row r="54159" spans="1:1" ht="12.75">
      <c r="A54159" s="2" t="s">
        <v>1781</v>
      </c>
    </row>
    <row r="54160" spans="1:1" ht="12.75">
      <c r="A54160" s="2" t="s">
        <v>1781</v>
      </c>
    </row>
    <row r="54161" spans="1:1" ht="12.75">
      <c r="A54161" s="2" t="s">
        <v>1558</v>
      </c>
    </row>
    <row r="54163" spans="1:1" ht="12.75">
      <c r="A54163" s="2" t="s">
        <v>1135</v>
      </c>
    </row>
    <row r="54164" spans="1:1" ht="12.75">
      <c r="A54164" s="2" t="s">
        <v>1135</v>
      </c>
    </row>
    <row r="54165" spans="1:1" ht="12.75">
      <c r="A54165" s="2" t="s">
        <v>1552</v>
      </c>
    </row>
    <row r="54167" spans="1:1" ht="12.75">
      <c r="A54167" s="2" t="s">
        <v>1138</v>
      </c>
    </row>
    <row r="54168" spans="1:1" ht="12.75">
      <c r="A54168" s="2" t="s">
        <v>1138</v>
      </c>
    </row>
    <row r="54169" spans="1:1" ht="12.75">
      <c r="A54169" s="2" t="s">
        <v>1448</v>
      </c>
    </row>
    <row r="54170" spans="1:1" ht="12.75">
      <c r="A54170" s="2" t="s">
        <v>1448</v>
      </c>
    </row>
    <row r="54171" spans="1:1" ht="12.75">
      <c r="A54171" s="2" t="s">
        <v>1358</v>
      </c>
    </row>
    <row r="54172" spans="1:1" ht="12.75">
      <c r="A54172" s="2" t="s">
        <v>1358</v>
      </c>
    </row>
    <row r="54175" spans="1:1" ht="12.75">
      <c r="A54175" s="2" t="s">
        <v>1256</v>
      </c>
    </row>
    <row r="54176" spans="1:1" ht="12.75">
      <c r="A54176" s="2" t="s">
        <v>1256</v>
      </c>
    </row>
    <row r="54179" spans="1:1" ht="12.75">
      <c r="A54179" s="2" t="s">
        <v>1357</v>
      </c>
    </row>
    <row r="54180" spans="1:1" ht="12.75">
      <c r="A54180" s="2" t="s">
        <v>1357</v>
      </c>
    </row>
    <row r="54181" spans="1:1" ht="12.75">
      <c r="A54181" s="2" t="s">
        <v>1670</v>
      </c>
    </row>
    <row r="54182" spans="1:1" ht="12.75">
      <c r="A54182" s="2" t="s">
        <v>1670</v>
      </c>
    </row>
    <row r="54183" spans="1:1" ht="12.75">
      <c r="A54183" s="2" t="s">
        <v>1459</v>
      </c>
    </row>
    <row r="54184" spans="1:1" ht="12.75">
      <c r="A54184" s="2" t="s">
        <v>957</v>
      </c>
    </row>
    <row r="54187" spans="1:1" ht="12.75">
      <c r="A54187" s="2" t="s">
        <v>1658</v>
      </c>
    </row>
    <row r="54189" spans="1:1" ht="12.75">
      <c r="A54189" s="2" t="s">
        <v>1472</v>
      </c>
    </row>
    <row r="54190" spans="1:1" ht="12.75">
      <c r="A54190" s="2" t="s">
        <v>1472</v>
      </c>
    </row>
    <row r="54191" spans="1:1" ht="12.75">
      <c r="A54191" s="2" t="s">
        <v>1782</v>
      </c>
    </row>
    <row r="54192" spans="1:1" ht="12.75">
      <c r="A54192" s="2" t="s">
        <v>1292</v>
      </c>
    </row>
    <row r="54193" spans="1:1" ht="12.75">
      <c r="A54193" s="2" t="s">
        <v>1291</v>
      </c>
    </row>
    <row r="54194" spans="1:1" ht="12.75">
      <c r="A54194" s="2" t="s">
        <v>1291</v>
      </c>
    </row>
    <row r="54195" spans="1:1" ht="12.75">
      <c r="A54195" s="2" t="s">
        <v>1658</v>
      </c>
    </row>
    <row r="54196" spans="1:1" ht="12.75">
      <c r="A54196" s="2" t="s">
        <v>1643</v>
      </c>
    </row>
    <row r="54199" spans="1:1" ht="12.75">
      <c r="A54199" s="2" t="s">
        <v>1541</v>
      </c>
    </row>
    <row r="54203" spans="1:1" ht="12.75">
      <c r="A54203" s="2" t="s">
        <v>1750</v>
      </c>
    </row>
    <row r="54204" spans="1:1" ht="12.75">
      <c r="A54204" s="2" t="s">
        <v>1750</v>
      </c>
    </row>
    <row r="54205" spans="1:1" ht="12.75">
      <c r="A54205" s="2" t="s">
        <v>1783</v>
      </c>
    </row>
    <row r="54206" spans="1:1" ht="12.75">
      <c r="A54206" s="2" t="s">
        <v>1783</v>
      </c>
    </row>
    <row r="54207" spans="1:1" ht="12.75">
      <c r="A54207" s="2" t="s">
        <v>1665</v>
      </c>
    </row>
    <row r="54208" spans="1:1" ht="12.75">
      <c r="A54208" s="2" t="s">
        <v>1665</v>
      </c>
    </row>
    <row r="54211" spans="1:1" ht="12.75">
      <c r="A54211" s="2" t="s">
        <v>1449</v>
      </c>
    </row>
    <row r="54212" spans="1:1" ht="12.75">
      <c r="A54212" s="2" t="s">
        <v>1449</v>
      </c>
    </row>
    <row r="54217" spans="1:1" ht="12.75">
      <c r="A54217" s="2" t="s">
        <v>1662</v>
      </c>
    </row>
    <row r="54218" spans="1:1" ht="12.75">
      <c r="A54218" s="2" t="s">
        <v>1443</v>
      </c>
    </row>
    <row r="54221" spans="1:1" ht="12.75">
      <c r="A54221" s="2" t="s">
        <v>1298</v>
      </c>
    </row>
    <row r="54222" spans="1:1" ht="12.75">
      <c r="A54222" s="2" t="s">
        <v>1298</v>
      </c>
    </row>
    <row r="54223" spans="1:1" ht="12.75">
      <c r="A54223" s="2" t="s">
        <v>1454</v>
      </c>
    </row>
    <row r="54224" spans="1:1" ht="12.75">
      <c r="A54224" s="2" t="s">
        <v>1454</v>
      </c>
    </row>
    <row r="54225" spans="1:1" ht="12.75">
      <c r="A54225" s="2" t="s">
        <v>957</v>
      </c>
    </row>
    <row r="54226" spans="1:1" ht="12.75">
      <c r="A54226" s="2" t="s">
        <v>957</v>
      </c>
    </row>
    <row r="54227" spans="1:1" ht="12.75">
      <c r="A54227" s="2" t="s">
        <v>708</v>
      </c>
    </row>
    <row r="54228" spans="1:1" ht="12.75">
      <c r="A54228" s="2" t="s">
        <v>708</v>
      </c>
    </row>
    <row r="54229" spans="1:1" ht="12.75">
      <c r="A54229" s="2" t="s">
        <v>966</v>
      </c>
    </row>
    <row r="54230" spans="1:1" ht="12.75">
      <c r="A54230" s="2" t="s">
        <v>966</v>
      </c>
    </row>
    <row r="54231" spans="1:1" ht="12.75">
      <c r="A54231" s="2" t="s">
        <v>962</v>
      </c>
    </row>
    <row r="54232" spans="1:1" ht="12.75">
      <c r="A54232" s="2" t="s">
        <v>962</v>
      </c>
    </row>
    <row r="54233" spans="1:1" ht="12.75">
      <c r="A54233" s="2" t="s">
        <v>1142</v>
      </c>
    </row>
    <row r="54234" spans="1:1" ht="12.75">
      <c r="A54234" s="2" t="s">
        <v>1784</v>
      </c>
    </row>
    <row r="54235" spans="1:1" ht="12.75">
      <c r="A54235" s="2" t="s">
        <v>958</v>
      </c>
    </row>
    <row r="54236" spans="1:1" ht="12.75">
      <c r="A54236" s="2" t="s">
        <v>958</v>
      </c>
    </row>
    <row r="54239" spans="1:1" ht="12.75">
      <c r="A54239" s="2" t="s">
        <v>1144</v>
      </c>
    </row>
    <row r="54240" spans="1:1" ht="12.75">
      <c r="A54240" s="2" t="s">
        <v>1144</v>
      </c>
    </row>
    <row r="54241" spans="1:1" ht="12.75">
      <c r="A54241" s="2" t="s">
        <v>1648</v>
      </c>
    </row>
    <row r="54242" spans="1:1" ht="12.75">
      <c r="A54242" s="2" t="s">
        <v>1648</v>
      </c>
    </row>
    <row r="54243" spans="1:1" ht="12.75">
      <c r="A54243" s="2" t="s">
        <v>1710</v>
      </c>
    </row>
    <row r="54244" spans="1:1" ht="12.75">
      <c r="A54244" s="2" t="s">
        <v>1710</v>
      </c>
    </row>
    <row r="54245" spans="1:1" ht="12.75">
      <c r="A54245" s="2" t="s">
        <v>1644</v>
      </c>
    </row>
    <row r="54246" spans="1:1" ht="12.75">
      <c r="A54246" s="2" t="s">
        <v>1644</v>
      </c>
    </row>
    <row r="54247" spans="1:1" ht="12.75">
      <c r="A54247" s="2" t="s">
        <v>1660</v>
      </c>
    </row>
    <row r="54248" spans="1:1" ht="12.75">
      <c r="A54248" s="2" t="s">
        <v>1660</v>
      </c>
    </row>
    <row r="54249" spans="1:1" ht="12.75">
      <c r="A54249" s="2" t="s">
        <v>708</v>
      </c>
    </row>
    <row r="54250" spans="1:1" ht="12.75">
      <c r="A54250" s="2" t="s">
        <v>708</v>
      </c>
    </row>
    <row r="54251" spans="1:1" ht="12.75">
      <c r="A54251" s="2" t="s">
        <v>1655</v>
      </c>
    </row>
    <row r="54252" spans="1:1" ht="12.75">
      <c r="A54252" s="2" t="s">
        <v>1655</v>
      </c>
    </row>
    <row r="54255" spans="1:1" ht="12.75">
      <c r="A54255" s="2" t="s">
        <v>1551</v>
      </c>
    </row>
    <row r="54256" spans="1:1" ht="12.75">
      <c r="A54256" s="2" t="s">
        <v>1659</v>
      </c>
    </row>
    <row r="54257" spans="1:1" ht="12.75">
      <c r="A54257" s="2" t="s">
        <v>1656</v>
      </c>
    </row>
    <row r="54258" spans="1:1" ht="12.75">
      <c r="A54258" s="2" t="s">
        <v>1656</v>
      </c>
    </row>
    <row r="54259" spans="1:1" ht="12.75">
      <c r="A54259" s="2" t="s">
        <v>1657</v>
      </c>
    </row>
    <row r="54260" spans="1:1" ht="12.75">
      <c r="A54260" s="2" t="s">
        <v>1657</v>
      </c>
    </row>
    <row r="54261" spans="1:1" ht="12.75">
      <c r="A54261" s="2" t="s">
        <v>1565</v>
      </c>
    </row>
    <row r="54262" spans="1:1" ht="12.75">
      <c r="A54262" s="2" t="s">
        <v>1565</v>
      </c>
    </row>
    <row r="54263" spans="1:1" ht="12.75">
      <c r="A54263" s="2" t="s">
        <v>1647</v>
      </c>
    </row>
    <row r="54264" spans="1:1" ht="12.75">
      <c r="A54264" s="2" t="s">
        <v>1647</v>
      </c>
    </row>
    <row r="54267" spans="1:1" ht="12.75">
      <c r="A54267" s="2" t="s">
        <v>1710</v>
      </c>
    </row>
    <row r="54269" spans="1:1" ht="12.75">
      <c r="A54269" s="2" t="s">
        <v>1657</v>
      </c>
    </row>
    <row r="54270" spans="1:1" ht="12.75">
      <c r="A54270" s="2" t="s">
        <v>1361</v>
      </c>
    </row>
    <row r="54271" spans="1:1" ht="12.75">
      <c r="A54271" s="2" t="s">
        <v>1565</v>
      </c>
    </row>
    <row r="54272" spans="1:1" ht="12.75">
      <c r="A54272" s="2" t="s">
        <v>1565</v>
      </c>
    </row>
    <row r="54273" spans="1:1" ht="12.75">
      <c r="A54273" s="2" t="s">
        <v>1551</v>
      </c>
    </row>
    <row r="54274" spans="1:1" ht="12.75">
      <c r="A54274" s="2" t="s">
        <v>1551</v>
      </c>
    </row>
    <row r="54275" spans="1:1" ht="12.75">
      <c r="A54275" s="2" t="s">
        <v>1546</v>
      </c>
    </row>
    <row r="54276" spans="1:1" ht="12.75">
      <c r="A54276" s="2" t="s">
        <v>1638</v>
      </c>
    </row>
    <row r="54277" spans="1:1" ht="12.75">
      <c r="A54277" s="2" t="s">
        <v>1472</v>
      </c>
    </row>
    <row r="54278" spans="1:1" ht="12.75">
      <c r="A54278" s="2" t="s">
        <v>1472</v>
      </c>
    </row>
    <row r="54279" spans="1:1" ht="12.75">
      <c r="A54279" s="2" t="s">
        <v>1716</v>
      </c>
    </row>
    <row r="54280" spans="1:1" ht="12.75">
      <c r="A54280" s="2" t="s">
        <v>1716</v>
      </c>
    </row>
    <row r="54281" spans="1:1" ht="12.75">
      <c r="A54281" s="2" t="s">
        <v>1660</v>
      </c>
    </row>
    <row r="54282" spans="1:1" ht="12.75">
      <c r="A54282" s="2" t="s">
        <v>1632</v>
      </c>
    </row>
    <row r="54285" spans="1:1" ht="12.75">
      <c r="A54285" s="2" t="s">
        <v>1439</v>
      </c>
    </row>
    <row r="54287" spans="1:1" ht="12.75">
      <c r="A54287" s="2" t="s">
        <v>1545</v>
      </c>
    </row>
    <row r="54288" spans="1:1" ht="12.75">
      <c r="A54288" s="2" t="s">
        <v>1545</v>
      </c>
    </row>
    <row r="54289" spans="1:1" ht="12.75">
      <c r="A54289" s="2" t="s">
        <v>1363</v>
      </c>
    </row>
    <row r="54290" spans="1:1" ht="12.75">
      <c r="A54290" s="2" t="s">
        <v>1563</v>
      </c>
    </row>
    <row r="54291" spans="1:1" ht="12.75">
      <c r="A54291" s="2" t="s">
        <v>1458</v>
      </c>
    </row>
    <row r="54292" spans="1:1" ht="12.75">
      <c r="A54292" s="2" t="s">
        <v>1458</v>
      </c>
    </row>
    <row r="54293" spans="1:1" ht="12.75">
      <c r="A54293" s="2" t="s">
        <v>1651</v>
      </c>
    </row>
    <row r="54294" spans="1:1" ht="12.75">
      <c r="A54294" s="2" t="s">
        <v>1651</v>
      </c>
    </row>
    <row r="54295" spans="1:1" ht="12.75">
      <c r="A54295" s="2" t="s">
        <v>1545</v>
      </c>
    </row>
    <row r="54296" spans="1:1" ht="12.75">
      <c r="A54296" s="2" t="s">
        <v>1545</v>
      </c>
    </row>
    <row r="54299" spans="1:1" ht="12.75">
      <c r="A54299" s="2" t="s">
        <v>957</v>
      </c>
    </row>
    <row r="54300" spans="1:1" ht="12.75">
      <c r="A54300" s="2" t="s">
        <v>957</v>
      </c>
    </row>
    <row r="54301" spans="1:1" ht="12.75">
      <c r="A54301" s="2" t="s">
        <v>1449</v>
      </c>
    </row>
    <row r="54302" spans="1:1" ht="12.75">
      <c r="A54302" s="2" t="s">
        <v>1449</v>
      </c>
    </row>
    <row r="54303" spans="1:1" ht="12.75">
      <c r="A54303" s="2" t="s">
        <v>1572</v>
      </c>
    </row>
    <row r="54307" spans="1:1" ht="12.75">
      <c r="A54307" s="2" t="s">
        <v>1653</v>
      </c>
    </row>
    <row r="54308" spans="1:1" ht="12.75">
      <c r="A54308" s="2" t="s">
        <v>1442</v>
      </c>
    </row>
    <row r="54309" spans="1:1" ht="12.75">
      <c r="A54309" s="2" t="s">
        <v>1662</v>
      </c>
    </row>
    <row r="54310" spans="1:1" ht="12.75">
      <c r="A54310" s="2" t="s">
        <v>1443</v>
      </c>
    </row>
    <row r="54311" spans="1:1" ht="12.75">
      <c r="A54311" s="2" t="s">
        <v>1763</v>
      </c>
    </row>
    <row r="54312" spans="1:1" ht="12.75">
      <c r="A54312" s="2" t="s">
        <v>1763</v>
      </c>
    </row>
    <row r="54313" spans="1:1" ht="12.75">
      <c r="A54313" s="2" t="s">
        <v>1637</v>
      </c>
    </row>
    <row r="54317" spans="1:1" ht="12.75">
      <c r="A54317" s="2" t="s">
        <v>1749</v>
      </c>
    </row>
    <row r="54321" spans="1:1" ht="12.75">
      <c r="A54321" s="2" t="s">
        <v>1715</v>
      </c>
    </row>
    <row r="54322" spans="1:1" ht="12.75">
      <c r="A54322" s="2" t="s">
        <v>1715</v>
      </c>
    </row>
    <row r="54323" spans="1:1" ht="12.75">
      <c r="A54323" s="2" t="s">
        <v>1144</v>
      </c>
    </row>
    <row r="54324" spans="1:1" ht="12.75">
      <c r="A54324" s="2" t="s">
        <v>1668</v>
      </c>
    </row>
    <row r="54327" spans="1:1" ht="12.75">
      <c r="A54327" s="2" t="s">
        <v>1142</v>
      </c>
    </row>
    <row r="54328" spans="1:1" ht="12.75">
      <c r="A54328" s="2" t="s">
        <v>1142</v>
      </c>
    </row>
    <row r="54333" spans="1:1" ht="12.75">
      <c r="A54333" s="2" t="s">
        <v>708</v>
      </c>
    </row>
    <row r="54334" spans="1:1" ht="12.75">
      <c r="A54334" s="2" t="s">
        <v>708</v>
      </c>
    </row>
    <row r="54335" spans="1:1" ht="12.75">
      <c r="A54335" s="2" t="s">
        <v>957</v>
      </c>
    </row>
    <row r="54336" spans="1:1" ht="12.75">
      <c r="A54336" s="2" t="s">
        <v>957</v>
      </c>
    </row>
    <row r="54337" spans="1:1" ht="12.75">
      <c r="A54337" s="2" t="s">
        <v>1298</v>
      </c>
    </row>
    <row r="54339" spans="1:1" ht="12.75">
      <c r="A54339" s="2" t="s">
        <v>1658</v>
      </c>
    </row>
    <row r="54340" spans="1:1" ht="12.75">
      <c r="A54340" s="2" t="s">
        <v>1658</v>
      </c>
    </row>
    <row r="54343" spans="1:1" ht="12.75">
      <c r="A54343" s="2" t="s">
        <v>1560</v>
      </c>
    </row>
    <row r="54344" spans="1:1" ht="12.75">
      <c r="A54344" s="2" t="s">
        <v>1358</v>
      </c>
    </row>
    <row r="54345" spans="1:1" ht="12.75">
      <c r="A54345" s="2" t="s">
        <v>1357</v>
      </c>
    </row>
    <row r="54346" spans="1:1" ht="12.75">
      <c r="A54346" s="2" t="s">
        <v>1357</v>
      </c>
    </row>
    <row r="54347" spans="1:1" ht="12.75">
      <c r="A54347" s="2" t="s">
        <v>1256</v>
      </c>
    </row>
    <row r="54348" spans="1:1" ht="12.75">
      <c r="A54348" s="2" t="s">
        <v>1256</v>
      </c>
    </row>
    <row r="54353" spans="1:1" ht="12.75">
      <c r="A54353" s="2" t="s">
        <v>1750</v>
      </c>
    </row>
    <row r="54354" spans="1:1" ht="12.75">
      <c r="A54354" s="2" t="s">
        <v>1750</v>
      </c>
    </row>
    <row r="54355" spans="1:1" ht="12.75">
      <c r="A54355" s="2" t="s">
        <v>1671</v>
      </c>
    </row>
    <row r="54356" spans="1:1" ht="12.75">
      <c r="A54356" s="2" t="s">
        <v>1671</v>
      </c>
    </row>
    <row r="54357" spans="1:1" ht="12.75">
      <c r="A54357" s="2" t="s">
        <v>1781</v>
      </c>
    </row>
    <row r="54359" spans="1:1" ht="12.75">
      <c r="A54359" s="2" t="s">
        <v>1292</v>
      </c>
    </row>
    <row r="54360" spans="1:1" ht="12.75">
      <c r="A54360" s="2" t="s">
        <v>1292</v>
      </c>
    </row>
    <row r="54361" spans="1:1" ht="12.75">
      <c r="A54361" s="2" t="s">
        <v>1291</v>
      </c>
    </row>
    <row r="54362" spans="1:1" ht="12.75">
      <c r="A54362" s="2" t="s">
        <v>1291</v>
      </c>
    </row>
    <row r="54363" spans="1:1" ht="12.75">
      <c r="A54363" s="2" t="s">
        <v>1467</v>
      </c>
    </row>
    <row r="54365" spans="1:1" ht="12.75">
      <c r="A54365" s="2" t="s">
        <v>1448</v>
      </c>
    </row>
    <row r="54366" spans="1:1" ht="12.75">
      <c r="A54366" s="2" t="s">
        <v>1448</v>
      </c>
    </row>
    <row r="54367" spans="1:1" ht="12.75">
      <c r="A54367" s="2" t="s">
        <v>1568</v>
      </c>
    </row>
    <row r="54368" spans="1:1" ht="12.75">
      <c r="A54368" s="2" t="s">
        <v>1568</v>
      </c>
    </row>
    <row r="54369" spans="1:1" ht="12.75">
      <c r="A54369" s="2" t="s">
        <v>1663</v>
      </c>
    </row>
    <row r="54370" spans="1:1" ht="12.75">
      <c r="A54370" s="2" t="s">
        <v>1469</v>
      </c>
    </row>
    <row r="54371" spans="1:1" ht="12.75">
      <c r="A54371" s="2" t="s">
        <v>966</v>
      </c>
    </row>
    <row r="54375" spans="1:1" ht="12.75">
      <c r="A54375" s="2" t="s">
        <v>1785</v>
      </c>
    </row>
    <row r="54376" spans="1:1" ht="12.75">
      <c r="A54376" s="2" t="s">
        <v>1785</v>
      </c>
    </row>
    <row r="54377" spans="1:1" ht="12.75">
      <c r="A54377" s="2" t="s">
        <v>958</v>
      </c>
    </row>
    <row r="54379" spans="1:1" ht="12.75">
      <c r="A54379" s="2" t="s">
        <v>1144</v>
      </c>
    </row>
    <row r="54385" spans="1:1" ht="12.75">
      <c r="A54385" s="2" t="s">
        <v>961</v>
      </c>
    </row>
    <row r="54386" spans="1:1" ht="12.75">
      <c r="A54386" s="2" t="s">
        <v>961</v>
      </c>
    </row>
    <row r="54387" spans="1:1" ht="12.75">
      <c r="A54387" s="2" t="s">
        <v>1780</v>
      </c>
    </row>
    <row r="54389" spans="1:1" ht="12.75">
      <c r="A54389" s="2" t="s">
        <v>1298</v>
      </c>
    </row>
    <row r="54390" spans="1:1" ht="12.75">
      <c r="A54390" s="2" t="s">
        <v>1690</v>
      </c>
    </row>
    <row r="54391" spans="1:1" ht="12.75">
      <c r="A54391" s="2" t="s">
        <v>1786</v>
      </c>
    </row>
    <row r="54393" spans="1:1" ht="12.75">
      <c r="A54393" s="2" t="s">
        <v>1763</v>
      </c>
    </row>
    <row r="54395" spans="1:1" ht="12.75">
      <c r="A54395" s="2" t="s">
        <v>1662</v>
      </c>
    </row>
    <row r="54396" spans="1:1" ht="12.75">
      <c r="A54396" s="2" t="s">
        <v>1140</v>
      </c>
    </row>
    <row r="54401" spans="1:1" ht="12.75">
      <c r="A54401" s="2" t="s">
        <v>1469</v>
      </c>
    </row>
    <row r="54403" spans="1:1" ht="12.75">
      <c r="A54403" s="2" t="s">
        <v>1457</v>
      </c>
    </row>
    <row r="54404" spans="1:1" ht="12.75">
      <c r="A54404" s="2" t="s">
        <v>1457</v>
      </c>
    </row>
    <row r="54405" spans="1:1" ht="12.75">
      <c r="A54405" s="2" t="s">
        <v>1449</v>
      </c>
    </row>
    <row r="54406" spans="1:1" ht="12.75">
      <c r="A54406" s="2" t="s">
        <v>1449</v>
      </c>
    </row>
    <row r="54409" spans="1:1" ht="12.75">
      <c r="A54409" s="2" t="s">
        <v>1764</v>
      </c>
    </row>
    <row r="54410" spans="1:1" ht="12.75">
      <c r="A54410" s="2" t="s">
        <v>1764</v>
      </c>
    </row>
    <row r="54411" spans="1:1" ht="12.75">
      <c r="A54411" s="2" t="s">
        <v>1651</v>
      </c>
    </row>
    <row r="54417" spans="1:1" ht="12.75">
      <c r="A54417" s="2" t="s">
        <v>1787</v>
      </c>
    </row>
    <row r="54420" spans="1:1" ht="12.75">
      <c r="A54420" s="2" t="s">
        <v>1716</v>
      </c>
    </row>
    <row r="54423" spans="1:1" ht="12.75">
      <c r="A54423" s="2" t="s">
        <v>1546</v>
      </c>
    </row>
    <row r="54425" spans="1:1" ht="12.75">
      <c r="A54425" s="2" t="s">
        <v>1551</v>
      </c>
    </row>
    <row r="54426" spans="1:1" ht="12.75">
      <c r="A54426" s="2" t="s">
        <v>1659</v>
      </c>
    </row>
    <row r="54427" spans="1:1" ht="12.75">
      <c r="A54427" s="2" t="s">
        <v>1542</v>
      </c>
    </row>
    <row r="54428" spans="1:1" ht="12.75">
      <c r="A54428" s="2" t="s">
        <v>1656</v>
      </c>
    </row>
    <row r="54429" spans="1:1" ht="12.75">
      <c r="A54429" s="2" t="s">
        <v>1361</v>
      </c>
    </row>
    <row r="54430" spans="1:1" ht="12.75">
      <c r="A54430" s="2" t="s">
        <v>1657</v>
      </c>
    </row>
    <row r="54434" spans="1:1" ht="12.75">
      <c r="A54434" s="2" t="s">
        <v>1550</v>
      </c>
    </row>
    <row r="54435" spans="1:1" ht="12.75">
      <c r="A54435" s="2" t="s">
        <v>1559</v>
      </c>
    </row>
    <row r="54436" spans="1:1" ht="12.75">
      <c r="A54436" s="2" t="s">
        <v>1559</v>
      </c>
    </row>
    <row r="54470" spans="1:1" ht="12.75">
      <c r="A54470" s="2" t="s">
        <v>566</v>
      </c>
    </row>
    <row r="54471" spans="1:1" ht="12.75">
      <c r="A54471" s="2" t="s">
        <v>566</v>
      </c>
    </row>
    <row r="54472" spans="1:1" ht="12.75">
      <c r="A54472" s="2" t="s">
        <v>566</v>
      </c>
    </row>
    <row r="54474" spans="1:1" ht="12.75">
      <c r="A54474" s="2" t="s">
        <v>566</v>
      </c>
    </row>
    <row r="54475" spans="1:1" ht="12.75">
      <c r="A54475" s="2" t="s">
        <v>566</v>
      </c>
    </row>
    <row r="54506" spans="1:1" ht="12.75">
      <c r="A54506" s="2" t="s">
        <v>940</v>
      </c>
    </row>
    <row r="54508" spans="1:1" ht="12.75">
      <c r="A54508" s="2" t="s">
        <v>257</v>
      </c>
    </row>
    <row r="54536" spans="1:1" ht="12.75">
      <c r="A54536" s="2" t="s">
        <v>1680</v>
      </c>
    </row>
    <row r="54537" spans="1:1" ht="12.75">
      <c r="A54537" s="2" t="s">
        <v>760</v>
      </c>
    </row>
    <row r="54538" spans="1:1" ht="12.75">
      <c r="A54538" s="2" t="s">
        <v>581</v>
      </c>
    </row>
    <row r="54566" spans="1:1" ht="12.75">
      <c r="A54566" s="2" t="s">
        <v>447</v>
      </c>
    </row>
    <row r="54567" spans="1:1" ht="12.75">
      <c r="A54567" s="2" t="s">
        <v>447</v>
      </c>
    </row>
    <row r="54569" spans="1:1" ht="12.75">
      <c r="A54569" s="2" t="s">
        <v>446</v>
      </c>
    </row>
    <row r="54570" spans="1:1" ht="12.75">
      <c r="A54570" s="2" t="s">
        <v>446</v>
      </c>
    </row>
    <row r="54571" spans="1:1" ht="12.75">
      <c r="A54571" s="2" t="s">
        <v>446</v>
      </c>
    </row>
    <row r="54572" spans="1:1" ht="12.75">
      <c r="A54572" s="2" t="s">
        <v>446</v>
      </c>
    </row>
    <row r="54595" spans="1:1" ht="12.75">
      <c r="A54595" s="2" t="s">
        <v>453</v>
      </c>
    </row>
    <row r="54596" spans="1:1" ht="12.75">
      <c r="A54596" s="2" t="s">
        <v>453</v>
      </c>
    </row>
    <row r="54597" spans="1:1" ht="12.75">
      <c r="A54597" s="2" t="s">
        <v>448</v>
      </c>
    </row>
    <row r="54598" spans="1:1" ht="12.75">
      <c r="A54598" s="2" t="s">
        <v>473</v>
      </c>
    </row>
    <row r="54599" spans="1:1" ht="12.75">
      <c r="A54599" s="2" t="s">
        <v>473</v>
      </c>
    </row>
    <row r="54600" spans="1:1" ht="12.75">
      <c r="A54600" s="2" t="s">
        <v>473</v>
      </c>
    </row>
    <row r="54603" spans="1:1" ht="12.75">
      <c r="A54603" s="2" t="s">
        <v>473</v>
      </c>
    </row>
    <row r="54604" spans="1:1" ht="12.75">
      <c r="A54604" s="2" t="s">
        <v>473</v>
      </c>
    </row>
    <row r="54607" spans="1:1" ht="12.75">
      <c r="A54607" s="2" t="s">
        <v>473</v>
      </c>
    </row>
    <row r="54608" spans="1:1" ht="12.75">
      <c r="A54608" s="2" t="s">
        <v>473</v>
      </c>
    </row>
    <row r="54625" spans="1:1" ht="12.75">
      <c r="A54625" s="2" t="s">
        <v>1577</v>
      </c>
    </row>
    <row r="54626" spans="1:1" ht="12.75">
      <c r="A54626" s="2" t="s">
        <v>949</v>
      </c>
    </row>
    <row r="54627" spans="1:1" ht="12.75">
      <c r="A54627" s="2" t="s">
        <v>1515</v>
      </c>
    </row>
    <row r="54628" spans="1:1" ht="12.75">
      <c r="A54628" s="2" t="s">
        <v>1515</v>
      </c>
    </row>
    <row r="54634" spans="1:1" ht="12.75">
      <c r="A54634" s="2" t="s">
        <v>224</v>
      </c>
    </row>
    <row r="54639" spans="1:1" ht="12.75">
      <c r="A54639" s="2" t="s">
        <v>173</v>
      </c>
    </row>
    <row r="54647" spans="1:1" ht="12.75">
      <c r="A54647" s="2" t="s">
        <v>160</v>
      </c>
    </row>
    <row r="54649" spans="1:1" ht="12.75">
      <c r="A54649" s="2" t="s">
        <v>160</v>
      </c>
    </row>
    <row r="54650" spans="1:1" ht="12.75">
      <c r="A54650" s="2" t="s">
        <v>191</v>
      </c>
    </row>
    <row r="55268" spans="1:1" ht="12.75">
      <c r="A55268" s="2" t="s">
        <v>591</v>
      </c>
    </row>
    <row r="55269" spans="1:1" ht="12.75">
      <c r="A55269" s="2" t="s">
        <v>1788</v>
      </c>
    </row>
    <row r="55272" spans="1:1" ht="12.75">
      <c r="A55272" s="2" t="s">
        <v>1644</v>
      </c>
    </row>
    <row r="55282" spans="1:1" ht="12.75">
      <c r="A55282" s="2" t="s">
        <v>1140</v>
      </c>
    </row>
    <row r="55283" spans="1:1" ht="12.75">
      <c r="A55283" s="2" t="s">
        <v>1662</v>
      </c>
    </row>
    <row r="55285" spans="1:1" ht="12.75">
      <c r="A55285" s="2" t="s">
        <v>1559</v>
      </c>
    </row>
    <row r="55291" spans="1:1" ht="12.75">
      <c r="A55291" s="2" t="s">
        <v>1361</v>
      </c>
    </row>
    <row r="55292" spans="1:1" ht="12.75">
      <c r="A55292" s="2" t="s">
        <v>1659</v>
      </c>
    </row>
    <row r="55294" spans="1:1" ht="12.75">
      <c r="A55294" s="2" t="s">
        <v>1469</v>
      </c>
    </row>
    <row r="55295" spans="1:1" ht="12.75">
      <c r="A55295" s="2" t="s">
        <v>1469</v>
      </c>
    </row>
    <row r="55303" spans="1:1" ht="12.75">
      <c r="A55303" s="2" t="s">
        <v>957</v>
      </c>
    </row>
    <row r="55304" spans="1:1" ht="12.75">
      <c r="A55304" s="2" t="s">
        <v>1647</v>
      </c>
    </row>
    <row r="55306" spans="1:1" ht="12.75">
      <c r="A55306" s="2" t="s">
        <v>1142</v>
      </c>
    </row>
    <row r="55307" spans="1:1" ht="12.75">
      <c r="A55307" s="2" t="s">
        <v>1142</v>
      </c>
    </row>
    <row r="55308" spans="1:1" ht="12.75">
      <c r="A55308" s="2" t="s">
        <v>1656</v>
      </c>
    </row>
    <row r="55313" spans="1:1" ht="12.75">
      <c r="A55313" s="2" t="s">
        <v>1545</v>
      </c>
    </row>
    <row r="55314" spans="1:1" ht="12.75">
      <c r="A55314" s="2" t="s">
        <v>1786</v>
      </c>
    </row>
    <row r="55319" spans="1:1" ht="12.75">
      <c r="A55319" s="2" t="s">
        <v>1741</v>
      </c>
    </row>
    <row r="55322" spans="1:1" ht="12.75">
      <c r="A55322" s="2" t="s">
        <v>1715</v>
      </c>
    </row>
    <row r="55333" spans="1:1" ht="12.75">
      <c r="A55333" s="2" t="s">
        <v>1448</v>
      </c>
    </row>
    <row r="55337" spans="1:1" ht="12.75">
      <c r="A55337" s="2" t="s">
        <v>1292</v>
      </c>
    </row>
    <row r="55339" spans="1:1" ht="12.75">
      <c r="A55339" s="2" t="s">
        <v>1291</v>
      </c>
    </row>
    <row r="55343" spans="1:1" ht="12.75">
      <c r="A55343" s="2" t="s">
        <v>1670</v>
      </c>
    </row>
    <row r="55346" spans="1:1" ht="12.75">
      <c r="A55346" s="2" t="s">
        <v>1643</v>
      </c>
    </row>
    <row r="55349" spans="1:1" ht="12.75">
      <c r="A55349" s="2" t="s">
        <v>1671</v>
      </c>
    </row>
    <row r="55352" spans="1:1" ht="12.75">
      <c r="A55352" s="2" t="s">
        <v>1256</v>
      </c>
    </row>
    <row r="55356" spans="1:1" ht="12.75">
      <c r="A55356" s="2" t="s">
        <v>1357</v>
      </c>
    </row>
    <row r="55393" spans="1:1" ht="12.75">
      <c r="A55393" s="2" t="s">
        <v>961</v>
      </c>
    </row>
    <row r="55574" spans="1:1" ht="12.75">
      <c r="A55574" s="2" t="s">
        <v>540</v>
      </c>
    </row>
    <row r="55575" spans="1:1" ht="12.75">
      <c r="A55575" s="2" t="s">
        <v>540</v>
      </c>
    </row>
    <row r="55676" spans="1:1" ht="12.75">
      <c r="A55676" s="2" t="s">
        <v>1789</v>
      </c>
    </row>
    <row r="55709" spans="1:1" ht="12.75">
      <c r="A55709" s="2" t="s">
        <v>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24"/>
  <sheetViews>
    <sheetView workbookViewId="0"/>
  </sheetViews>
  <sheetFormatPr defaultColWidth="12.5703125" defaultRowHeight="15.75" customHeight="1"/>
  <cols>
    <col min="1" max="1" width="51" customWidth="1"/>
  </cols>
  <sheetData>
    <row r="1" spans="1:2" ht="15.75" customHeight="1">
      <c r="A1" s="3" t="s">
        <v>0</v>
      </c>
      <c r="B1" s="2">
        <v>0</v>
      </c>
    </row>
    <row r="2" spans="1:2" ht="15.75" customHeight="1">
      <c r="A2" s="3" t="s">
        <v>11</v>
      </c>
      <c r="B2" s="2">
        <v>1</v>
      </c>
    </row>
    <row r="3" spans="1:2" ht="15.75" customHeight="1">
      <c r="A3" s="3" t="s">
        <v>17</v>
      </c>
      <c r="B3" s="2">
        <v>2</v>
      </c>
    </row>
    <row r="4" spans="1:2" ht="15.75" customHeight="1">
      <c r="A4" s="3" t="s">
        <v>1</v>
      </c>
      <c r="B4" s="2">
        <v>3</v>
      </c>
    </row>
    <row r="5" spans="1:2" ht="15.75" customHeight="1">
      <c r="A5" s="3" t="s">
        <v>2</v>
      </c>
      <c r="B5" s="2">
        <v>4</v>
      </c>
    </row>
    <row r="6" spans="1:2" ht="15.75" customHeight="1">
      <c r="A6" s="3" t="s">
        <v>18</v>
      </c>
      <c r="B6" s="2">
        <v>5</v>
      </c>
    </row>
    <row r="7" spans="1:2" ht="15.75" customHeight="1">
      <c r="A7" s="3" t="s">
        <v>3</v>
      </c>
      <c r="B7" s="2">
        <v>6</v>
      </c>
    </row>
    <row r="8" spans="1:2" ht="15.75" customHeight="1">
      <c r="A8" s="3" t="s">
        <v>4</v>
      </c>
      <c r="B8" s="2">
        <v>7</v>
      </c>
    </row>
    <row r="9" spans="1:2" ht="15.75" customHeight="1">
      <c r="A9" s="3" t="s">
        <v>5</v>
      </c>
      <c r="B9" s="2">
        <v>8</v>
      </c>
    </row>
    <row r="10" spans="1:2" ht="15.75" customHeight="1">
      <c r="A10" s="3" t="s">
        <v>19</v>
      </c>
      <c r="B10" s="2">
        <v>9</v>
      </c>
    </row>
    <row r="11" spans="1:2" ht="15.75" customHeight="1">
      <c r="A11" s="3" t="s">
        <v>6</v>
      </c>
      <c r="B11" s="2">
        <v>10</v>
      </c>
    </row>
    <row r="12" spans="1:2" ht="15.75" customHeight="1">
      <c r="A12" s="3" t="s">
        <v>7</v>
      </c>
      <c r="B12" s="2">
        <v>11</v>
      </c>
    </row>
    <row r="13" spans="1:2" ht="15.75" customHeight="1">
      <c r="A13" s="3" t="s">
        <v>8</v>
      </c>
      <c r="B13" s="2">
        <v>12</v>
      </c>
    </row>
    <row r="14" spans="1:2" ht="15.75" customHeight="1">
      <c r="A14" s="3" t="s">
        <v>9</v>
      </c>
      <c r="B14" s="2">
        <v>13</v>
      </c>
    </row>
    <row r="15" spans="1:2" ht="15.75" customHeight="1">
      <c r="A15" s="3" t="s">
        <v>14</v>
      </c>
      <c r="B15" s="2">
        <v>14</v>
      </c>
    </row>
    <row r="16" spans="1:2" ht="15.75" customHeight="1">
      <c r="A16" s="3" t="s">
        <v>20</v>
      </c>
      <c r="B16" s="2">
        <v>15</v>
      </c>
    </row>
    <row r="17" spans="1:2" ht="15.75" customHeight="1">
      <c r="A17" s="3" t="s">
        <v>21</v>
      </c>
      <c r="B17" s="2">
        <v>16</v>
      </c>
    </row>
    <row r="18" spans="1:2" ht="15.75" customHeight="1">
      <c r="A18" s="3" t="s">
        <v>22</v>
      </c>
      <c r="B18" s="2">
        <v>17</v>
      </c>
    </row>
    <row r="19" spans="1:2" ht="15.75" customHeight="1">
      <c r="A19" s="3" t="s">
        <v>23</v>
      </c>
      <c r="B19" s="2">
        <v>18</v>
      </c>
    </row>
    <row r="20" spans="1:2" ht="15.75" customHeight="1">
      <c r="A20" s="3" t="s">
        <v>24</v>
      </c>
      <c r="B20" s="2">
        <v>19</v>
      </c>
    </row>
    <row r="21" spans="1:2" ht="15.75" customHeight="1">
      <c r="A21" s="3" t="s">
        <v>25</v>
      </c>
      <c r="B21" s="2">
        <v>20</v>
      </c>
    </row>
    <row r="22" spans="1:2" ht="15.75" customHeight="1">
      <c r="A22" s="3" t="s">
        <v>26</v>
      </c>
      <c r="B22" s="2">
        <v>21</v>
      </c>
    </row>
    <row r="23" spans="1:2" ht="15.75" customHeight="1">
      <c r="A23" s="3" t="s">
        <v>27</v>
      </c>
      <c r="B23" s="2">
        <v>22</v>
      </c>
    </row>
    <row r="24" spans="1:2" ht="15.75" customHeight="1">
      <c r="A24" s="3" t="s">
        <v>28</v>
      </c>
      <c r="B24" s="2">
        <v>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D8"/>
  <sheetViews>
    <sheetView workbookViewId="0"/>
  </sheetViews>
  <sheetFormatPr defaultColWidth="12.5703125" defaultRowHeight="15.75" customHeight="1"/>
  <cols>
    <col min="4" max="4" width="26.7109375" customWidth="1"/>
  </cols>
  <sheetData>
    <row r="1" spans="1:4" ht="15.75" customHeight="1">
      <c r="A1" s="2" t="s">
        <v>1790</v>
      </c>
      <c r="B1" s="2" t="s">
        <v>1791</v>
      </c>
      <c r="C1" s="2" t="s">
        <v>1792</v>
      </c>
      <c r="D1" s="2" t="s">
        <v>1793</v>
      </c>
    </row>
    <row r="2" spans="1:4" ht="15.75" customHeight="1">
      <c r="A2" s="2" t="s">
        <v>1794</v>
      </c>
      <c r="B2" t="str">
        <f ca="1">UPPER(TEXT(TODAY(),"mmmYY-"))</f>
        <v>MMMYY-</v>
      </c>
      <c r="C2" s="2">
        <v>1133</v>
      </c>
      <c r="D2" s="2" t="s">
        <v>1795</v>
      </c>
    </row>
    <row r="3" spans="1:4" ht="15.75" customHeight="1">
      <c r="A3" t="str">
        <f ca="1">source!A2&amp;source!B2&amp;source!C2</f>
        <v>Л-MMMYY-1133</v>
      </c>
    </row>
    <row r="7" spans="1:4" ht="15.75" customHeight="1">
      <c r="A7" s="2" t="s">
        <v>1796</v>
      </c>
    </row>
    <row r="8" spans="1:4" ht="15.75" customHeight="1">
      <c r="A8" s="87" t="str">
        <f ca="1">TEXT(TODAY(),"mmmYY-DD")</f>
        <v>mmmYY-DD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DD200"/>
  <sheetViews>
    <sheetView workbookViewId="0"/>
  </sheetViews>
  <sheetFormatPr defaultColWidth="12.5703125" defaultRowHeight="15.75" customHeight="1"/>
  <cols>
    <col min="1" max="108" width="1" customWidth="1"/>
  </cols>
  <sheetData>
    <row r="1" spans="1:108" ht="9" customHeight="1">
      <c r="A1" s="284" t="s">
        <v>31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09"/>
      <c r="BV1" s="209"/>
      <c r="BW1" s="209"/>
      <c r="BX1" s="209"/>
      <c r="BY1" s="209"/>
      <c r="BZ1" s="209"/>
      <c r="CA1" s="209"/>
      <c r="CB1" s="209"/>
      <c r="CC1" s="209"/>
      <c r="CD1" s="209"/>
      <c r="CE1" s="209"/>
      <c r="CF1" s="209"/>
      <c r="CG1" s="209"/>
      <c r="CH1" s="209"/>
      <c r="CI1" s="209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</row>
    <row r="2" spans="1:108" ht="9" customHeight="1">
      <c r="A2" s="284" t="s">
        <v>32</v>
      </c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09"/>
      <c r="BV2" s="209"/>
      <c r="BW2" s="209"/>
      <c r="BX2" s="209"/>
      <c r="BY2" s="209"/>
      <c r="BZ2" s="209"/>
      <c r="CA2" s="209"/>
      <c r="CB2" s="209"/>
      <c r="CC2" s="209"/>
      <c r="CD2" s="209"/>
      <c r="CE2" s="209"/>
      <c r="CF2" s="209"/>
      <c r="CG2" s="209"/>
      <c r="CH2" s="209"/>
      <c r="CI2" s="209"/>
      <c r="CJ2" s="209"/>
      <c r="CK2" s="209"/>
      <c r="CL2" s="209"/>
      <c r="CM2" s="209"/>
      <c r="CN2" s="209"/>
      <c r="CO2" s="209"/>
      <c r="CP2" s="209"/>
      <c r="CQ2" s="209"/>
      <c r="CR2" s="209"/>
      <c r="CS2" s="209"/>
      <c r="CT2" s="209"/>
      <c r="CU2" s="209"/>
      <c r="CV2" s="209"/>
      <c r="CW2" s="209"/>
      <c r="CX2" s="209"/>
      <c r="CY2" s="209"/>
      <c r="CZ2" s="209"/>
      <c r="DA2" s="209"/>
      <c r="DB2" s="209"/>
      <c r="DC2" s="209"/>
      <c r="DD2" s="209"/>
    </row>
    <row r="3" spans="1:108" ht="9" customHeight="1">
      <c r="A3" s="284" t="s">
        <v>1797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09"/>
      <c r="AV3" s="209"/>
      <c r="AW3" s="209"/>
      <c r="AX3" s="209"/>
      <c r="AY3" s="209"/>
      <c r="AZ3" s="209"/>
      <c r="BA3" s="209"/>
      <c r="BB3" s="209"/>
      <c r="BC3" s="209"/>
      <c r="BD3" s="209"/>
      <c r="BE3" s="209"/>
      <c r="BF3" s="209"/>
      <c r="BG3" s="209"/>
      <c r="BH3" s="209"/>
      <c r="BI3" s="209"/>
      <c r="BJ3" s="209"/>
      <c r="BK3" s="209"/>
      <c r="BL3" s="209"/>
      <c r="BM3" s="209"/>
      <c r="BN3" s="209"/>
      <c r="BO3" s="209"/>
      <c r="BP3" s="209"/>
      <c r="BQ3" s="209"/>
      <c r="BR3" s="209"/>
      <c r="BS3" s="209"/>
      <c r="BT3" s="209"/>
      <c r="BU3" s="209"/>
      <c r="BV3" s="209"/>
      <c r="BW3" s="209"/>
      <c r="BX3" s="209"/>
      <c r="BY3" s="209"/>
      <c r="BZ3" s="209"/>
      <c r="CA3" s="209"/>
      <c r="CB3" s="209"/>
      <c r="CC3" s="209"/>
      <c r="CD3" s="209"/>
      <c r="CE3" s="209"/>
      <c r="CF3" s="209"/>
      <c r="CG3" s="209"/>
      <c r="CH3" s="209"/>
      <c r="CI3" s="209"/>
      <c r="CJ3" s="209"/>
      <c r="CK3" s="209"/>
      <c r="CL3" s="209"/>
      <c r="CM3" s="209"/>
      <c r="CN3" s="209"/>
      <c r="CO3" s="209"/>
      <c r="CP3" s="209"/>
      <c r="CQ3" s="209"/>
      <c r="CR3" s="209"/>
      <c r="CS3" s="209"/>
      <c r="CT3" s="209"/>
      <c r="CU3" s="209"/>
      <c r="CV3" s="209"/>
      <c r="CW3" s="209"/>
      <c r="CX3" s="209"/>
      <c r="CY3" s="209"/>
      <c r="CZ3" s="209"/>
      <c r="DA3" s="209"/>
      <c r="DB3" s="209"/>
      <c r="DC3" s="209"/>
      <c r="DD3" s="209"/>
    </row>
    <row r="4" spans="1:108" ht="6" hidden="1" customHeight="1">
      <c r="A4" s="88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89"/>
      <c r="CG4" s="89"/>
      <c r="CH4" s="89"/>
      <c r="CI4" s="89"/>
      <c r="CJ4" s="89"/>
      <c r="CK4" s="89"/>
      <c r="CL4" s="89"/>
      <c r="CM4" s="89"/>
      <c r="CN4" s="89"/>
      <c r="CO4" s="89"/>
      <c r="CP4" s="89"/>
      <c r="CQ4" s="89"/>
      <c r="CR4" s="89"/>
      <c r="CS4" s="89"/>
      <c r="CT4" s="89"/>
      <c r="CU4" s="89"/>
      <c r="CV4" s="89"/>
      <c r="CW4" s="89"/>
      <c r="CX4" s="89"/>
      <c r="CY4" s="89"/>
      <c r="CZ4" s="89"/>
      <c r="DA4" s="89"/>
      <c r="DB4" s="89"/>
      <c r="DC4" s="89"/>
      <c r="DD4" s="88"/>
    </row>
    <row r="5" spans="1:108" ht="3" hidden="1" customHeight="1">
      <c r="A5" s="88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  <c r="CU5" s="89"/>
      <c r="CV5" s="89"/>
      <c r="CW5" s="89"/>
      <c r="CX5" s="89"/>
      <c r="CY5" s="89"/>
      <c r="CZ5" s="89"/>
      <c r="DA5" s="89"/>
      <c r="DB5" s="89"/>
      <c r="DC5" s="89"/>
      <c r="DD5" s="90"/>
    </row>
    <row r="6" spans="1:108" ht="3" hidden="1" customHeight="1">
      <c r="A6" s="91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2"/>
      <c r="CH6" s="92"/>
      <c r="CI6" s="92"/>
      <c r="CJ6" s="92"/>
      <c r="CK6" s="92"/>
      <c r="CL6" s="92"/>
      <c r="CM6" s="92"/>
      <c r="CN6" s="92"/>
      <c r="CO6" s="92"/>
      <c r="CP6" s="92"/>
      <c r="CQ6" s="92"/>
      <c r="CR6" s="92"/>
      <c r="CS6" s="92"/>
      <c r="CT6" s="92"/>
      <c r="CU6" s="92"/>
      <c r="CV6" s="92"/>
      <c r="CW6" s="92"/>
      <c r="CX6" s="92"/>
      <c r="CY6" s="92"/>
      <c r="CZ6" s="92"/>
      <c r="DA6" s="92"/>
      <c r="DB6" s="92"/>
      <c r="DC6" s="92"/>
      <c r="DD6" s="93"/>
    </row>
    <row r="7" spans="1:108" ht="12.75">
      <c r="A7" s="285" t="s">
        <v>12</v>
      </c>
      <c r="B7" s="209"/>
      <c r="C7" s="209"/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  <c r="AQ7" s="209"/>
      <c r="AR7" s="209"/>
      <c r="AS7" s="209"/>
      <c r="AT7" s="209"/>
      <c r="AU7" s="209"/>
      <c r="AV7" s="209"/>
      <c r="AW7" s="209"/>
      <c r="AX7" s="209"/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09"/>
      <c r="BN7" s="209"/>
      <c r="BO7" s="209"/>
      <c r="BP7" s="209"/>
      <c r="BQ7" s="209"/>
      <c r="BR7" s="209"/>
      <c r="BS7" s="209"/>
      <c r="BT7" s="209"/>
      <c r="BU7" s="209"/>
      <c r="BV7" s="209"/>
      <c r="BW7" s="209"/>
      <c r="BX7" s="209"/>
      <c r="BY7" s="209"/>
      <c r="BZ7" s="209"/>
      <c r="CA7" s="209"/>
      <c r="CB7" s="209"/>
      <c r="CC7" s="209"/>
      <c r="CD7" s="209"/>
      <c r="CE7" s="209"/>
      <c r="CF7" s="209"/>
      <c r="CG7" s="209"/>
      <c r="CH7" s="209"/>
      <c r="CI7" s="209"/>
      <c r="CJ7" s="209"/>
      <c r="CK7" s="209"/>
      <c r="CL7" s="209"/>
      <c r="CM7" s="209"/>
      <c r="CN7" s="209"/>
      <c r="CO7" s="209"/>
      <c r="CP7" s="209"/>
      <c r="CQ7" s="209"/>
      <c r="CR7" s="209"/>
      <c r="CS7" s="209"/>
      <c r="CT7" s="209"/>
      <c r="CU7" s="209"/>
      <c r="CV7" s="209"/>
      <c r="CW7" s="209"/>
      <c r="CX7" s="209"/>
      <c r="CY7" s="209"/>
      <c r="CZ7" s="209"/>
      <c r="DA7" s="209"/>
      <c r="DB7" s="209"/>
      <c r="DC7" s="209"/>
      <c r="DD7" s="209"/>
    </row>
    <row r="8" spans="1:108" ht="2.25" customHeight="1">
      <c r="A8" s="94"/>
      <c r="B8" s="94"/>
      <c r="C8" s="94"/>
      <c r="D8" s="94"/>
      <c r="E8" s="94"/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4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</row>
    <row r="9" spans="1:108" ht="15" customHeight="1">
      <c r="A9" s="286" t="s">
        <v>35</v>
      </c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214"/>
      <c r="AW9" s="214"/>
      <c r="AX9" s="214"/>
      <c r="AY9" s="214"/>
      <c r="AZ9" s="214"/>
      <c r="BA9" s="214"/>
      <c r="BB9" s="215"/>
      <c r="BC9" s="286" t="s">
        <v>36</v>
      </c>
      <c r="BD9" s="214"/>
      <c r="BE9" s="214"/>
      <c r="BF9" s="214"/>
      <c r="BG9" s="214"/>
      <c r="BH9" s="214"/>
      <c r="BI9" s="214"/>
      <c r="BJ9" s="214"/>
      <c r="BK9" s="214"/>
      <c r="BL9" s="214"/>
      <c r="BM9" s="214"/>
      <c r="BN9" s="214"/>
      <c r="BO9" s="214"/>
      <c r="BP9" s="214"/>
      <c r="BQ9" s="214"/>
      <c r="BR9" s="214"/>
      <c r="BS9" s="214"/>
      <c r="BT9" s="214"/>
      <c r="BU9" s="214"/>
      <c r="BV9" s="214"/>
      <c r="BW9" s="214"/>
      <c r="BX9" s="214"/>
      <c r="BY9" s="214"/>
      <c r="BZ9" s="214"/>
      <c r="CA9" s="214"/>
      <c r="CB9" s="214"/>
      <c r="CC9" s="214"/>
      <c r="CD9" s="214"/>
      <c r="CE9" s="214"/>
      <c r="CF9" s="214"/>
      <c r="CG9" s="214"/>
      <c r="CH9" s="214"/>
      <c r="CI9" s="214"/>
      <c r="CJ9" s="214"/>
      <c r="CK9" s="214"/>
      <c r="CL9" s="214"/>
      <c r="CM9" s="214"/>
      <c r="CN9" s="214"/>
      <c r="CO9" s="214"/>
      <c r="CP9" s="214"/>
      <c r="CQ9" s="214"/>
      <c r="CR9" s="214"/>
      <c r="CS9" s="214"/>
      <c r="CT9" s="214"/>
      <c r="CU9" s="214"/>
      <c r="CV9" s="214"/>
      <c r="CW9" s="214"/>
      <c r="CX9" s="214"/>
      <c r="CY9" s="214"/>
      <c r="CZ9" s="214"/>
      <c r="DA9" s="214"/>
      <c r="DB9" s="214"/>
      <c r="DC9" s="214"/>
      <c r="DD9" s="215"/>
    </row>
    <row r="10" spans="1:108" ht="12.75">
      <c r="A10" s="287" t="s">
        <v>37</v>
      </c>
      <c r="B10" s="288"/>
      <c r="C10" s="288"/>
      <c r="D10" s="288"/>
      <c r="E10" s="288"/>
      <c r="F10" s="289"/>
      <c r="G10" s="292">
        <v>44744.546762442129</v>
      </c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289"/>
      <c r="AG10" s="293" t="s">
        <v>38</v>
      </c>
      <c r="AH10" s="256"/>
      <c r="AI10" s="256"/>
      <c r="AJ10" s="257"/>
      <c r="AK10" s="299" t="s">
        <v>1798</v>
      </c>
      <c r="AL10" s="288"/>
      <c r="AM10" s="288"/>
      <c r="AN10" s="288"/>
      <c r="AO10" s="28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A10" s="288"/>
      <c r="BB10" s="300"/>
      <c r="BC10" s="291" t="s">
        <v>37</v>
      </c>
      <c r="BD10" s="209"/>
      <c r="BE10" s="209"/>
      <c r="BF10" s="209"/>
      <c r="BG10" s="209"/>
      <c r="BH10" s="209"/>
      <c r="BI10" s="290"/>
      <c r="BJ10" s="209"/>
      <c r="BK10" s="209"/>
      <c r="BL10" s="209"/>
      <c r="BM10" s="209"/>
      <c r="BN10" s="209"/>
      <c r="BO10" s="209"/>
      <c r="BP10" s="209"/>
      <c r="BQ10" s="209"/>
      <c r="BR10" s="209"/>
      <c r="BS10" s="209"/>
      <c r="BT10" s="209"/>
      <c r="BU10" s="209"/>
      <c r="BV10" s="209"/>
      <c r="BW10" s="209"/>
      <c r="BX10" s="209"/>
      <c r="BY10" s="209"/>
      <c r="BZ10" s="209"/>
      <c r="CA10" s="209"/>
      <c r="CB10" s="209"/>
      <c r="CC10" s="209"/>
      <c r="CD10" s="209"/>
      <c r="CE10" s="209"/>
      <c r="CF10" s="209"/>
      <c r="CG10" s="209"/>
      <c r="CH10" s="231"/>
      <c r="CI10" s="291" t="s">
        <v>38</v>
      </c>
      <c r="CJ10" s="209"/>
      <c r="CK10" s="209"/>
      <c r="CL10" s="209"/>
      <c r="CM10" s="290"/>
      <c r="CN10" s="209"/>
      <c r="CO10" s="209"/>
      <c r="CP10" s="209"/>
      <c r="CQ10" s="209"/>
      <c r="CR10" s="209"/>
      <c r="CS10" s="209"/>
      <c r="CT10" s="209"/>
      <c r="CU10" s="209"/>
      <c r="CV10" s="209"/>
      <c r="CW10" s="209"/>
      <c r="CX10" s="209"/>
      <c r="CY10" s="209"/>
      <c r="CZ10" s="209"/>
      <c r="DA10" s="209"/>
      <c r="DB10" s="209"/>
      <c r="DC10" s="209"/>
      <c r="DD10" s="231"/>
    </row>
    <row r="11" spans="1:108" ht="2.25" customHeight="1">
      <c r="A11" s="95"/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5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5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7"/>
    </row>
    <row r="12" spans="1:108" ht="12.75" customHeight="1">
      <c r="A12" s="294" t="s">
        <v>39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95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09"/>
      <c r="AM12" s="209"/>
      <c r="AN12" s="209"/>
      <c r="AO12" s="209"/>
      <c r="AP12" s="209"/>
      <c r="AQ12" s="209"/>
      <c r="AR12" s="209"/>
      <c r="AS12" s="209"/>
      <c r="AT12" s="209"/>
      <c r="AU12" s="209"/>
      <c r="AV12" s="209"/>
      <c r="AW12" s="209"/>
      <c r="AX12" s="209"/>
      <c r="AY12" s="209"/>
      <c r="AZ12" s="209"/>
      <c r="BA12" s="209"/>
      <c r="BB12" s="231"/>
      <c r="BC12" s="301"/>
      <c r="BD12" s="233"/>
      <c r="BE12" s="233"/>
      <c r="BF12" s="233"/>
      <c r="BG12" s="233"/>
      <c r="BH12" s="233"/>
      <c r="BI12" s="233"/>
      <c r="BJ12" s="233"/>
      <c r="BK12" s="233"/>
      <c r="BL12" s="233"/>
      <c r="BM12" s="233"/>
      <c r="BN12" s="233"/>
      <c r="BO12" s="233"/>
      <c r="BP12" s="233"/>
      <c r="BQ12" s="233"/>
      <c r="BR12" s="233"/>
      <c r="BS12" s="233"/>
      <c r="BT12" s="233"/>
      <c r="BU12" s="233"/>
      <c r="BV12" s="233"/>
      <c r="BW12" s="233"/>
      <c r="BX12" s="233"/>
      <c r="BY12" s="233"/>
      <c r="BZ12" s="233"/>
      <c r="CA12" s="233"/>
      <c r="CB12" s="233"/>
      <c r="CC12" s="233"/>
      <c r="CD12" s="233"/>
      <c r="CE12" s="233"/>
      <c r="CF12" s="233"/>
      <c r="CG12" s="233"/>
      <c r="CH12" s="233"/>
      <c r="CI12" s="233"/>
      <c r="CJ12" s="233"/>
      <c r="CK12" s="233"/>
      <c r="CL12" s="233"/>
      <c r="CM12" s="233"/>
      <c r="CN12" s="233"/>
      <c r="CO12" s="233"/>
      <c r="CP12" s="233"/>
      <c r="CQ12" s="233"/>
      <c r="CR12" s="233"/>
      <c r="CS12" s="233"/>
      <c r="CT12" s="233"/>
      <c r="CU12" s="233"/>
      <c r="CV12" s="233"/>
      <c r="CW12" s="233"/>
      <c r="CX12" s="233"/>
      <c r="CY12" s="233"/>
      <c r="CZ12" s="233"/>
      <c r="DA12" s="233"/>
      <c r="DB12" s="233"/>
      <c r="DC12" s="233"/>
      <c r="DD12" s="234"/>
    </row>
    <row r="13" spans="1:108" ht="2.25" customHeight="1">
      <c r="A13" s="95"/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5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7"/>
    </row>
    <row r="14" spans="1:108" ht="12.75">
      <c r="A14" s="296" t="s">
        <v>40</v>
      </c>
      <c r="B14" s="214"/>
      <c r="C14" s="214"/>
      <c r="D14" s="214"/>
      <c r="E14" s="214"/>
      <c r="F14" s="214"/>
      <c r="G14" s="214"/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214"/>
      <c r="AW14" s="214"/>
      <c r="AX14" s="214"/>
      <c r="AY14" s="214"/>
      <c r="AZ14" s="214"/>
      <c r="BA14" s="214"/>
      <c r="BB14" s="243"/>
      <c r="BC14" s="296" t="s">
        <v>50</v>
      </c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4"/>
      <c r="BS14" s="214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4"/>
      <c r="CJ14" s="214"/>
      <c r="CK14" s="214"/>
      <c r="CL14" s="214"/>
      <c r="CM14" s="214"/>
      <c r="CN14" s="214"/>
      <c r="CO14" s="214"/>
      <c r="CP14" s="214"/>
      <c r="CQ14" s="214"/>
      <c r="CR14" s="214"/>
      <c r="CS14" s="214"/>
      <c r="CT14" s="214"/>
      <c r="CU14" s="214"/>
      <c r="CV14" s="214"/>
      <c r="CW14" s="214"/>
      <c r="CX14" s="214"/>
      <c r="CY14" s="214"/>
      <c r="CZ14" s="214"/>
      <c r="DA14" s="214"/>
      <c r="DB14" s="214"/>
      <c r="DC14" s="214"/>
      <c r="DD14" s="215"/>
    </row>
    <row r="15" spans="1:108" ht="10.5" customHeight="1">
      <c r="A15" s="98"/>
      <c r="B15" s="297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214"/>
      <c r="AW15" s="214"/>
      <c r="AX15" s="214"/>
      <c r="AY15" s="214"/>
      <c r="AZ15" s="214"/>
      <c r="BA15" s="243"/>
      <c r="BB15" s="99"/>
      <c r="BC15" s="100"/>
      <c r="BD15" s="302" t="s">
        <v>1799</v>
      </c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4"/>
      <c r="BS15" s="214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4"/>
      <c r="CJ15" s="214"/>
      <c r="CK15" s="214"/>
      <c r="CL15" s="214"/>
      <c r="CM15" s="214"/>
      <c r="CN15" s="214"/>
      <c r="CO15" s="214"/>
      <c r="CP15" s="214"/>
      <c r="CQ15" s="214"/>
      <c r="CR15" s="214"/>
      <c r="CS15" s="214"/>
      <c r="CT15" s="214"/>
      <c r="CU15" s="214"/>
      <c r="CV15" s="214"/>
      <c r="CW15" s="214"/>
      <c r="CX15" s="214"/>
      <c r="CY15" s="214"/>
      <c r="CZ15" s="214"/>
      <c r="DA15" s="214"/>
      <c r="DB15" s="214"/>
      <c r="DC15" s="243"/>
      <c r="DD15" s="99"/>
    </row>
    <row r="16" spans="1:108" ht="14.25" customHeight="1">
      <c r="A16" s="101"/>
      <c r="B16" s="298" t="s">
        <v>1800</v>
      </c>
      <c r="C16" s="288"/>
      <c r="D16" s="288"/>
      <c r="E16" s="288"/>
      <c r="F16" s="288"/>
      <c r="G16" s="288"/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/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  <c r="BA16" s="289"/>
      <c r="BB16" s="102"/>
      <c r="BC16" s="103"/>
      <c r="BD16" s="298" t="s">
        <v>1801</v>
      </c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88"/>
      <c r="BR16" s="288"/>
      <c r="BS16" s="288"/>
      <c r="BT16" s="288"/>
      <c r="BU16" s="288"/>
      <c r="BV16" s="288"/>
      <c r="BW16" s="288"/>
      <c r="BX16" s="288"/>
      <c r="BY16" s="288"/>
      <c r="BZ16" s="288"/>
      <c r="CA16" s="288"/>
      <c r="CB16" s="288"/>
      <c r="CC16" s="288"/>
      <c r="CD16" s="288"/>
      <c r="CE16" s="288"/>
      <c r="CF16" s="288"/>
      <c r="CG16" s="288"/>
      <c r="CH16" s="288"/>
      <c r="CI16" s="288"/>
      <c r="CJ16" s="288"/>
      <c r="CK16" s="288"/>
      <c r="CL16" s="288"/>
      <c r="CM16" s="288"/>
      <c r="CN16" s="288"/>
      <c r="CO16" s="288"/>
      <c r="CP16" s="288"/>
      <c r="CQ16" s="288"/>
      <c r="CR16" s="288"/>
      <c r="CS16" s="288"/>
      <c r="CT16" s="288"/>
      <c r="CU16" s="288"/>
      <c r="CV16" s="288"/>
      <c r="CW16" s="288"/>
      <c r="CX16" s="288"/>
      <c r="CY16" s="288"/>
      <c r="CZ16" s="288"/>
      <c r="DA16" s="288"/>
      <c r="DB16" s="288"/>
      <c r="DC16" s="289"/>
      <c r="DD16" s="104"/>
    </row>
    <row r="17" spans="1:108" ht="23.25" customHeight="1">
      <c r="A17" s="105"/>
      <c r="B17" s="221" t="s">
        <v>1802</v>
      </c>
      <c r="C17" s="21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8"/>
      <c r="R17" s="218"/>
      <c r="S17" s="218"/>
      <c r="T17" s="218"/>
      <c r="U17" s="218"/>
      <c r="V17" s="218"/>
      <c r="W17" s="218"/>
      <c r="X17" s="218"/>
      <c r="Y17" s="218"/>
      <c r="Z17" s="218"/>
      <c r="AA17" s="218"/>
      <c r="AB17" s="218"/>
      <c r="AC17" s="218"/>
      <c r="AD17" s="218"/>
      <c r="AE17" s="218"/>
      <c r="AF17" s="218"/>
      <c r="AG17" s="218"/>
      <c r="AH17" s="218"/>
      <c r="AI17" s="218"/>
      <c r="AJ17" s="218"/>
      <c r="AK17" s="218"/>
      <c r="AL17" s="218"/>
      <c r="AM17" s="218"/>
      <c r="AN17" s="218"/>
      <c r="AO17" s="218"/>
      <c r="AP17" s="218"/>
      <c r="AQ17" s="218"/>
      <c r="AR17" s="218"/>
      <c r="AS17" s="218"/>
      <c r="AT17" s="218"/>
      <c r="AU17" s="218"/>
      <c r="AV17" s="218"/>
      <c r="AW17" s="218"/>
      <c r="AX17" s="218"/>
      <c r="AY17" s="218"/>
      <c r="AZ17" s="218"/>
      <c r="BA17" s="222"/>
      <c r="BB17" s="106"/>
      <c r="BC17" s="107"/>
      <c r="BD17" s="221" t="s">
        <v>1803</v>
      </c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8"/>
      <c r="BP17" s="218"/>
      <c r="BQ17" s="218"/>
      <c r="BR17" s="218"/>
      <c r="BS17" s="218"/>
      <c r="BT17" s="218"/>
      <c r="BU17" s="218"/>
      <c r="BV17" s="218"/>
      <c r="BW17" s="218"/>
      <c r="BX17" s="218"/>
      <c r="BY17" s="218"/>
      <c r="BZ17" s="218"/>
      <c r="CA17" s="218"/>
      <c r="CB17" s="218"/>
      <c r="CC17" s="218"/>
      <c r="CD17" s="218"/>
      <c r="CE17" s="218"/>
      <c r="CF17" s="218"/>
      <c r="CG17" s="218"/>
      <c r="CH17" s="218"/>
      <c r="CI17" s="218"/>
      <c r="CJ17" s="218"/>
      <c r="CK17" s="218"/>
      <c r="CL17" s="218"/>
      <c r="CM17" s="218"/>
      <c r="CN17" s="218"/>
      <c r="CO17" s="218"/>
      <c r="CP17" s="218"/>
      <c r="CQ17" s="218"/>
      <c r="CR17" s="218"/>
      <c r="CS17" s="218"/>
      <c r="CT17" s="218"/>
      <c r="CU17" s="218"/>
      <c r="CV17" s="218"/>
      <c r="CW17" s="218"/>
      <c r="CX17" s="218"/>
      <c r="CY17" s="218"/>
      <c r="CZ17" s="218"/>
      <c r="DA17" s="218"/>
      <c r="DB17" s="218"/>
      <c r="DC17" s="222"/>
      <c r="DD17" s="106"/>
    </row>
    <row r="18" spans="1:108" ht="18" customHeight="1">
      <c r="A18" s="108"/>
      <c r="B18" s="303" t="s">
        <v>1804</v>
      </c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  <c r="AQ18" s="209"/>
      <c r="AR18" s="209"/>
      <c r="AS18" s="209"/>
      <c r="AT18" s="209"/>
      <c r="AU18" s="209"/>
      <c r="AV18" s="209"/>
      <c r="AW18" s="209"/>
      <c r="AX18" s="209"/>
      <c r="AY18" s="209"/>
      <c r="AZ18" s="209"/>
      <c r="BA18" s="209"/>
      <c r="BB18" s="109"/>
      <c r="BC18" s="110"/>
      <c r="BD18" s="303" t="s">
        <v>1804</v>
      </c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09"/>
      <c r="BS18" s="209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09"/>
      <c r="CJ18" s="209"/>
      <c r="CK18" s="209"/>
      <c r="CL18" s="209"/>
      <c r="CM18" s="209"/>
      <c r="CN18" s="209"/>
      <c r="CO18" s="209"/>
      <c r="CP18" s="209"/>
      <c r="CQ18" s="209"/>
      <c r="CR18" s="209"/>
      <c r="CS18" s="209"/>
      <c r="CT18" s="209"/>
      <c r="CU18" s="209"/>
      <c r="CV18" s="209"/>
      <c r="CW18" s="209"/>
      <c r="CX18" s="209"/>
      <c r="CY18" s="209"/>
      <c r="CZ18" s="209"/>
      <c r="DA18" s="209"/>
      <c r="DB18" s="209"/>
      <c r="DC18" s="209"/>
      <c r="DD18" s="109"/>
    </row>
    <row r="19" spans="1:108" ht="6" customHeight="1">
      <c r="A19" s="111"/>
      <c r="B19" s="91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112"/>
      <c r="BC19" s="91"/>
      <c r="BD19" s="91"/>
      <c r="BE19" s="91"/>
      <c r="BF19" s="91"/>
      <c r="BG19" s="91"/>
      <c r="BH19" s="91"/>
      <c r="BI19" s="91"/>
      <c r="BJ19" s="91"/>
      <c r="BK19" s="91"/>
      <c r="BL19" s="91"/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  <c r="CQ19" s="91"/>
      <c r="CR19" s="91"/>
      <c r="CS19" s="91"/>
      <c r="CT19" s="91"/>
      <c r="CU19" s="91"/>
      <c r="CV19" s="91"/>
      <c r="CW19" s="91"/>
      <c r="CX19" s="91"/>
      <c r="CY19" s="91"/>
      <c r="CZ19" s="91"/>
      <c r="DA19" s="91"/>
      <c r="DB19" s="91"/>
      <c r="DC19" s="91"/>
      <c r="DD19" s="112"/>
    </row>
    <row r="20" spans="1:108" ht="12" customHeight="1">
      <c r="A20" s="307"/>
      <c r="B20" s="209"/>
      <c r="C20" s="209"/>
      <c r="D20" s="209"/>
      <c r="E20" s="209"/>
      <c r="F20" s="209"/>
      <c r="G20" s="209"/>
      <c r="H20" s="209"/>
      <c r="I20" s="209"/>
      <c r="J20" s="209"/>
      <c r="K20" s="209"/>
      <c r="L20" s="209"/>
      <c r="M20" s="209"/>
      <c r="N20" s="209"/>
      <c r="O20" s="231"/>
      <c r="P20" s="308"/>
      <c r="Q20" s="214"/>
      <c r="R20" s="215"/>
      <c r="S20" s="91"/>
      <c r="T20" s="309" t="s">
        <v>43</v>
      </c>
      <c r="U20" s="209"/>
      <c r="V20" s="209"/>
      <c r="W20" s="209"/>
      <c r="X20" s="209"/>
      <c r="Y20" s="2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09"/>
      <c r="BB20" s="231"/>
      <c r="BC20" s="304"/>
      <c r="BD20" s="209"/>
      <c r="BE20" s="209"/>
      <c r="BF20" s="209"/>
      <c r="BG20" s="209"/>
      <c r="BH20" s="209"/>
      <c r="BI20" s="209"/>
      <c r="BJ20" s="209"/>
      <c r="BK20" s="209"/>
      <c r="BL20" s="209"/>
      <c r="BM20" s="209"/>
      <c r="BN20" s="209"/>
      <c r="BO20" s="209"/>
      <c r="BP20" s="209"/>
      <c r="BQ20" s="209"/>
      <c r="BR20" s="209"/>
      <c r="BS20" s="209"/>
      <c r="BT20" s="209"/>
      <c r="BU20" s="209"/>
      <c r="BV20" s="209"/>
      <c r="BW20" s="209"/>
      <c r="BX20" s="209"/>
      <c r="BY20" s="209"/>
      <c r="BZ20" s="209"/>
      <c r="CA20" s="209"/>
      <c r="CB20" s="209"/>
      <c r="CC20" s="209"/>
      <c r="CD20" s="209"/>
      <c r="CE20" s="209"/>
      <c r="CF20" s="209"/>
      <c r="CG20" s="209"/>
      <c r="CH20" s="209"/>
      <c r="CI20" s="209"/>
      <c r="CJ20" s="209"/>
      <c r="CK20" s="209"/>
      <c r="CL20" s="209"/>
      <c r="CM20" s="209"/>
      <c r="CN20" s="209"/>
      <c r="CO20" s="209"/>
      <c r="CP20" s="209"/>
      <c r="CQ20" s="209"/>
      <c r="CR20" s="209"/>
      <c r="CS20" s="209"/>
      <c r="CT20" s="209"/>
      <c r="CU20" s="209"/>
      <c r="CV20" s="209"/>
      <c r="CW20" s="209"/>
      <c r="CX20" s="209"/>
      <c r="CY20" s="209"/>
      <c r="CZ20" s="209"/>
      <c r="DA20" s="209"/>
      <c r="DB20" s="209"/>
      <c r="DC20" s="209"/>
      <c r="DD20" s="231"/>
    </row>
    <row r="21" spans="1:108" ht="3" customHeight="1">
      <c r="A21" s="113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114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114"/>
    </row>
    <row r="22" spans="1:108" ht="15" customHeight="1">
      <c r="A22" s="286" t="s">
        <v>1805</v>
      </c>
      <c r="B22" s="214"/>
      <c r="C22" s="214"/>
      <c r="D22" s="214"/>
      <c r="E22" s="214"/>
      <c r="F22" s="214"/>
      <c r="G22" s="214"/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214"/>
      <c r="AL22" s="21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214"/>
      <c r="AY22" s="214"/>
      <c r="AZ22" s="214"/>
      <c r="BA22" s="214"/>
      <c r="BB22" s="214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4"/>
      <c r="BS22" s="214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4"/>
      <c r="CJ22" s="214"/>
      <c r="CK22" s="214"/>
      <c r="CL22" s="214"/>
      <c r="CM22" s="214"/>
      <c r="CN22" s="214"/>
      <c r="CO22" s="214"/>
      <c r="CP22" s="214"/>
      <c r="CQ22" s="214"/>
      <c r="CR22" s="214"/>
      <c r="CS22" s="214"/>
      <c r="CT22" s="214"/>
      <c r="CU22" s="214"/>
      <c r="CV22" s="214"/>
      <c r="CW22" s="214"/>
      <c r="CX22" s="214"/>
      <c r="CY22" s="214"/>
      <c r="CZ22" s="214"/>
      <c r="DA22" s="214"/>
      <c r="DB22" s="214"/>
      <c r="DC22" s="214"/>
      <c r="DD22" s="215"/>
    </row>
    <row r="23" spans="1:108" ht="9" customHeight="1">
      <c r="A23" s="115"/>
      <c r="B23" s="305"/>
      <c r="C23" s="214"/>
      <c r="D23" s="214"/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214"/>
      <c r="AY23" s="214"/>
      <c r="AZ23" s="214"/>
      <c r="BA23" s="116"/>
      <c r="BB23" s="115"/>
      <c r="BC23" s="117"/>
      <c r="BD23" s="118"/>
      <c r="BE23" s="306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4"/>
      <c r="BS23" s="214"/>
      <c r="BT23" s="214"/>
      <c r="BU23" s="214"/>
      <c r="BV23" s="214"/>
      <c r="BW23" s="214"/>
      <c r="BX23" s="306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4"/>
      <c r="CJ23" s="306"/>
      <c r="CK23" s="214"/>
      <c r="CL23" s="214"/>
      <c r="CM23" s="214"/>
      <c r="CN23" s="214"/>
      <c r="CO23" s="214"/>
      <c r="CP23" s="214"/>
      <c r="CQ23" s="214"/>
      <c r="CR23" s="214"/>
      <c r="CS23" s="214"/>
      <c r="CT23" s="214"/>
      <c r="CU23" s="214"/>
      <c r="CV23" s="214"/>
      <c r="CW23" s="214"/>
      <c r="CX23" s="214"/>
      <c r="CY23" s="214"/>
      <c r="CZ23" s="214"/>
      <c r="DA23" s="214"/>
      <c r="DB23" s="214"/>
      <c r="DC23" s="214"/>
      <c r="DD23" s="119"/>
    </row>
    <row r="24" spans="1:108" ht="24.75" customHeight="1">
      <c r="A24" s="120"/>
      <c r="B24" s="250" t="s">
        <v>1806</v>
      </c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88"/>
      <c r="BB24" s="121"/>
      <c r="BC24" s="122"/>
      <c r="BD24" s="123"/>
      <c r="BE24" s="303" t="s">
        <v>1807</v>
      </c>
      <c r="BF24" s="209"/>
      <c r="BG24" s="209"/>
      <c r="BH24" s="209"/>
      <c r="BI24" s="209"/>
      <c r="BJ24" s="209"/>
      <c r="BK24" s="209"/>
      <c r="BL24" s="209"/>
      <c r="BM24" s="209"/>
      <c r="BN24" s="209"/>
      <c r="BO24" s="209"/>
      <c r="BP24" s="209"/>
      <c r="BQ24" s="209"/>
      <c r="BR24" s="209"/>
      <c r="BS24" s="209"/>
      <c r="BT24" s="209"/>
      <c r="BU24" s="209"/>
      <c r="BV24" s="209"/>
      <c r="BW24" s="209"/>
      <c r="BX24" s="209"/>
      <c r="BY24" s="209"/>
      <c r="BZ24" s="209"/>
      <c r="CA24" s="209"/>
      <c r="CB24" s="209"/>
      <c r="CC24" s="209"/>
      <c r="CD24" s="209"/>
      <c r="CE24" s="209"/>
      <c r="CF24" s="209"/>
      <c r="CG24" s="209"/>
      <c r="CH24" s="209"/>
      <c r="CI24" s="209"/>
      <c r="CJ24" s="209"/>
      <c r="CK24" s="209"/>
      <c r="CL24" s="209"/>
      <c r="CM24" s="209"/>
      <c r="CN24" s="209"/>
      <c r="CO24" s="209"/>
      <c r="CP24" s="209"/>
      <c r="CQ24" s="209"/>
      <c r="CR24" s="209"/>
      <c r="CS24" s="209"/>
      <c r="CT24" s="209"/>
      <c r="CU24" s="209"/>
      <c r="CV24" s="209"/>
      <c r="CW24" s="209"/>
      <c r="CX24" s="209"/>
      <c r="CY24" s="209"/>
      <c r="CZ24" s="209"/>
      <c r="DA24" s="209"/>
      <c r="DB24" s="209"/>
      <c r="DC24" s="209"/>
      <c r="DD24" s="124"/>
    </row>
    <row r="25" spans="1:108" ht="3.75" customHeight="1">
      <c r="A25" s="310"/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  <c r="AZ25" s="214"/>
      <c r="BA25" s="214"/>
      <c r="BB25" s="214"/>
      <c r="BC25" s="214"/>
      <c r="BD25" s="214"/>
      <c r="BE25" s="214"/>
      <c r="BF25" s="214"/>
      <c r="BG25" s="214"/>
      <c r="BH25" s="214"/>
      <c r="BI25" s="214"/>
      <c r="BJ25" s="214"/>
      <c r="BK25" s="214"/>
      <c r="BL25" s="214"/>
      <c r="BM25" s="214"/>
      <c r="BN25" s="214"/>
      <c r="BO25" s="214"/>
      <c r="BP25" s="214"/>
      <c r="BQ25" s="214"/>
      <c r="BR25" s="214"/>
      <c r="BS25" s="214"/>
      <c r="BT25" s="214"/>
      <c r="BU25" s="214"/>
      <c r="BV25" s="214"/>
      <c r="BW25" s="214"/>
      <c r="BX25" s="214"/>
      <c r="BY25" s="214"/>
      <c r="BZ25" s="214"/>
      <c r="CA25" s="214"/>
      <c r="CB25" s="214"/>
      <c r="CC25" s="214"/>
      <c r="CD25" s="214"/>
      <c r="CE25" s="214"/>
      <c r="CF25" s="214"/>
      <c r="CG25" s="214"/>
      <c r="CH25" s="214"/>
      <c r="CI25" s="214"/>
      <c r="CJ25" s="214"/>
      <c r="CK25" s="214"/>
      <c r="CL25" s="214"/>
      <c r="CM25" s="214"/>
      <c r="CN25" s="214"/>
      <c r="CO25" s="214"/>
      <c r="CP25" s="214"/>
      <c r="CQ25" s="214"/>
      <c r="CR25" s="214"/>
      <c r="CS25" s="214"/>
      <c r="CT25" s="214"/>
      <c r="CU25" s="214"/>
      <c r="CV25" s="214"/>
      <c r="CW25" s="214"/>
      <c r="CX25" s="214"/>
      <c r="CY25" s="214"/>
      <c r="CZ25" s="214"/>
      <c r="DA25" s="214"/>
      <c r="DB25" s="214"/>
      <c r="DC25" s="214"/>
      <c r="DD25" s="215"/>
    </row>
    <row r="26" spans="1:108" ht="15" customHeight="1">
      <c r="A26" s="311" t="s">
        <v>53</v>
      </c>
      <c r="B26" s="256"/>
      <c r="C26" s="256"/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  <c r="O26" s="256"/>
      <c r="P26" s="256"/>
      <c r="Q26" s="256"/>
      <c r="R26" s="256"/>
      <c r="S26" s="256"/>
      <c r="T26" s="256"/>
      <c r="U26" s="256"/>
      <c r="V26" s="256"/>
      <c r="W26" s="256"/>
      <c r="X26" s="256"/>
      <c r="Y26" s="256"/>
      <c r="Z26" s="256"/>
      <c r="AA26" s="256"/>
      <c r="AB26" s="256"/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256"/>
      <c r="AQ26" s="256"/>
      <c r="AR26" s="256"/>
      <c r="AS26" s="256"/>
      <c r="AT26" s="256"/>
      <c r="AU26" s="256"/>
      <c r="AV26" s="256"/>
      <c r="AW26" s="256"/>
      <c r="AX26" s="256"/>
      <c r="AY26" s="256"/>
      <c r="AZ26" s="256"/>
      <c r="BA26" s="256"/>
      <c r="BB26" s="256"/>
      <c r="BC26" s="256"/>
      <c r="BD26" s="256"/>
      <c r="BE26" s="256"/>
      <c r="BF26" s="256"/>
      <c r="BG26" s="256"/>
      <c r="BH26" s="256"/>
      <c r="BI26" s="256"/>
      <c r="BJ26" s="256"/>
      <c r="BK26" s="256"/>
      <c r="BL26" s="256"/>
      <c r="BM26" s="256"/>
      <c r="BN26" s="256"/>
      <c r="BO26" s="256"/>
      <c r="BP26" s="256"/>
      <c r="BQ26" s="256"/>
      <c r="BR26" s="256"/>
      <c r="BS26" s="256"/>
      <c r="BT26" s="256"/>
      <c r="BU26" s="256"/>
      <c r="BV26" s="256"/>
      <c r="BW26" s="256"/>
      <c r="BX26" s="256"/>
      <c r="BY26" s="256"/>
      <c r="BZ26" s="256"/>
      <c r="CA26" s="256"/>
      <c r="CB26" s="256"/>
      <c r="CC26" s="256"/>
      <c r="CD26" s="256"/>
      <c r="CE26" s="256"/>
      <c r="CF26" s="256"/>
      <c r="CG26" s="256"/>
      <c r="CH26" s="256"/>
      <c r="CI26" s="256"/>
      <c r="CJ26" s="256"/>
      <c r="CK26" s="256"/>
      <c r="CL26" s="256"/>
      <c r="CM26" s="256"/>
      <c r="CN26" s="256"/>
      <c r="CO26" s="256"/>
      <c r="CP26" s="256"/>
      <c r="CQ26" s="256"/>
      <c r="CR26" s="256"/>
      <c r="CS26" s="256"/>
      <c r="CT26" s="256"/>
      <c r="CU26" s="256"/>
      <c r="CV26" s="256"/>
      <c r="CW26" s="256"/>
      <c r="CX26" s="256"/>
      <c r="CY26" s="256"/>
      <c r="CZ26" s="256"/>
      <c r="DA26" s="256"/>
      <c r="DB26" s="256"/>
      <c r="DC26" s="256"/>
      <c r="DD26" s="257"/>
    </row>
    <row r="27" spans="1:108" ht="12.75" customHeight="1">
      <c r="A27" s="98"/>
      <c r="B27" s="242" t="s">
        <v>54</v>
      </c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214"/>
      <c r="AZ27" s="214"/>
      <c r="BA27" s="214"/>
      <c r="BB27" s="214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4"/>
      <c r="BS27" s="214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4"/>
      <c r="CJ27" s="214"/>
      <c r="CK27" s="214"/>
      <c r="CL27" s="214"/>
      <c r="CM27" s="214"/>
      <c r="CN27" s="214"/>
      <c r="CO27" s="214"/>
      <c r="CP27" s="214"/>
      <c r="CQ27" s="214"/>
      <c r="CR27" s="214"/>
      <c r="CS27" s="214"/>
      <c r="CT27" s="214"/>
      <c r="CU27" s="214"/>
      <c r="CV27" s="214"/>
      <c r="CW27" s="214"/>
      <c r="CX27" s="214"/>
      <c r="CY27" s="214"/>
      <c r="CZ27" s="214"/>
      <c r="DA27" s="214"/>
      <c r="DB27" s="214"/>
      <c r="DC27" s="243"/>
      <c r="DD27" s="125"/>
    </row>
    <row r="28" spans="1:108" ht="18" customHeight="1">
      <c r="A28" s="108"/>
      <c r="B28" s="312" t="s">
        <v>1808</v>
      </c>
      <c r="C28" s="233"/>
      <c r="D28" s="233"/>
      <c r="E28" s="233"/>
      <c r="F28" s="233"/>
      <c r="G28" s="233"/>
      <c r="H28" s="233"/>
      <c r="I28" s="233"/>
      <c r="J28" s="233"/>
      <c r="K28" s="233"/>
      <c r="L28" s="233"/>
      <c r="M28" s="233"/>
      <c r="N28" s="233"/>
      <c r="O28" s="233"/>
      <c r="P28" s="233"/>
      <c r="Q28" s="233"/>
      <c r="R28" s="233"/>
      <c r="S28" s="233"/>
      <c r="T28" s="233"/>
      <c r="U28" s="233"/>
      <c r="V28" s="233"/>
      <c r="W28" s="233"/>
      <c r="X28" s="233"/>
      <c r="Y28" s="233"/>
      <c r="Z28" s="233"/>
      <c r="AA28" s="233"/>
      <c r="AB28" s="233"/>
      <c r="AC28" s="233"/>
      <c r="AD28" s="233"/>
      <c r="AE28" s="233"/>
      <c r="AF28" s="233"/>
      <c r="AG28" s="233"/>
      <c r="AH28" s="233"/>
      <c r="AI28" s="233"/>
      <c r="AJ28" s="233"/>
      <c r="AK28" s="233"/>
      <c r="AL28" s="233"/>
      <c r="AM28" s="233"/>
      <c r="AN28" s="233"/>
      <c r="AO28" s="233"/>
      <c r="AP28" s="233"/>
      <c r="AQ28" s="233"/>
      <c r="AR28" s="233"/>
      <c r="AS28" s="233"/>
      <c r="AT28" s="233"/>
      <c r="AU28" s="233"/>
      <c r="AV28" s="233"/>
      <c r="AW28" s="233"/>
      <c r="AX28" s="233"/>
      <c r="AY28" s="233"/>
      <c r="AZ28" s="233"/>
      <c r="BA28" s="233"/>
      <c r="BB28" s="233"/>
      <c r="BC28" s="233"/>
      <c r="BD28" s="233"/>
      <c r="BE28" s="233"/>
      <c r="BF28" s="233"/>
      <c r="BG28" s="233"/>
      <c r="BH28" s="233"/>
      <c r="BI28" s="233"/>
      <c r="BJ28" s="233"/>
      <c r="BK28" s="233"/>
      <c r="BL28" s="233"/>
      <c r="BM28" s="233"/>
      <c r="BN28" s="233"/>
      <c r="BO28" s="233"/>
      <c r="BP28" s="233"/>
      <c r="BQ28" s="233"/>
      <c r="BR28" s="233"/>
      <c r="BS28" s="233"/>
      <c r="BT28" s="233"/>
      <c r="BU28" s="233"/>
      <c r="BV28" s="233"/>
      <c r="BW28" s="233"/>
      <c r="BX28" s="233"/>
      <c r="BY28" s="233"/>
      <c r="BZ28" s="233"/>
      <c r="CA28" s="233"/>
      <c r="CB28" s="233"/>
      <c r="CC28" s="233"/>
      <c r="CD28" s="233"/>
      <c r="CE28" s="233"/>
      <c r="CF28" s="233"/>
      <c r="CG28" s="233"/>
      <c r="CH28" s="233"/>
      <c r="CI28" s="233"/>
      <c r="CJ28" s="233"/>
      <c r="CK28" s="233"/>
      <c r="CL28" s="233"/>
      <c r="CM28" s="233"/>
      <c r="CN28" s="233"/>
      <c r="CO28" s="233"/>
      <c r="CP28" s="233"/>
      <c r="CQ28" s="233"/>
      <c r="CR28" s="233"/>
      <c r="CS28" s="233"/>
      <c r="CT28" s="233"/>
      <c r="CU28" s="233"/>
      <c r="CV28" s="233"/>
      <c r="CW28" s="233"/>
      <c r="CX28" s="233"/>
      <c r="CY28" s="233"/>
      <c r="CZ28" s="233"/>
      <c r="DA28" s="233"/>
      <c r="DB28" s="233"/>
      <c r="DC28" s="233"/>
      <c r="DD28" s="109"/>
    </row>
    <row r="29" spans="1:108" ht="9" customHeight="1">
      <c r="A29" s="126"/>
      <c r="B29" s="313"/>
      <c r="C29" s="240"/>
      <c r="D29" s="240"/>
      <c r="E29" s="240"/>
      <c r="F29" s="240"/>
      <c r="G29" s="240"/>
      <c r="H29" s="240"/>
      <c r="I29" s="240"/>
      <c r="J29" s="240"/>
      <c r="K29" s="240"/>
      <c r="L29" s="240"/>
      <c r="M29" s="240"/>
      <c r="N29" s="240"/>
      <c r="O29" s="240"/>
      <c r="P29" s="240"/>
      <c r="Q29" s="240"/>
      <c r="R29" s="240"/>
      <c r="S29" s="240"/>
      <c r="T29" s="240"/>
      <c r="U29" s="240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127"/>
    </row>
    <row r="30" spans="1:108" ht="9" customHeight="1">
      <c r="A30" s="126"/>
      <c r="B30" s="322"/>
      <c r="C30" s="240"/>
      <c r="D30" s="240"/>
      <c r="E30" s="240"/>
      <c r="F30" s="240"/>
      <c r="G30" s="240"/>
      <c r="H30" s="240"/>
      <c r="I30" s="240"/>
      <c r="J30" s="240"/>
      <c r="K30" s="240"/>
      <c r="L30" s="240"/>
      <c r="M30" s="240"/>
      <c r="N30" s="240"/>
      <c r="O30" s="240"/>
      <c r="P30" s="240"/>
      <c r="Q30" s="240"/>
      <c r="R30" s="240"/>
      <c r="S30" s="240"/>
      <c r="T30" s="240"/>
      <c r="U30" s="240"/>
      <c r="V30" s="240"/>
      <c r="W30" s="240"/>
      <c r="X30" s="240"/>
      <c r="Y30" s="240"/>
      <c r="Z30" s="240"/>
      <c r="AA30" s="240"/>
      <c r="AB30" s="240"/>
      <c r="AC30" s="240"/>
      <c r="AD30" s="240"/>
      <c r="AE30" s="240"/>
      <c r="AF30" s="240"/>
      <c r="AG30" s="240"/>
      <c r="AH30" s="240"/>
      <c r="AI30" s="240"/>
      <c r="AJ30" s="240"/>
      <c r="AK30" s="240"/>
      <c r="AL30" s="240"/>
      <c r="AM30" s="240"/>
      <c r="AN30" s="240"/>
      <c r="AO30" s="240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127"/>
    </row>
    <row r="31" spans="1:108" ht="18" customHeight="1">
      <c r="A31" s="108"/>
      <c r="B31" s="312" t="s">
        <v>1809</v>
      </c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233"/>
      <c r="Q31" s="233"/>
      <c r="R31" s="233"/>
      <c r="S31" s="233"/>
      <c r="T31" s="233"/>
      <c r="U31" s="233"/>
      <c r="V31" s="233"/>
      <c r="W31" s="233"/>
      <c r="X31" s="233"/>
      <c r="Y31" s="233"/>
      <c r="Z31" s="233"/>
      <c r="AA31" s="233"/>
      <c r="AB31" s="233"/>
      <c r="AC31" s="233"/>
      <c r="AD31" s="233"/>
      <c r="AE31" s="233"/>
      <c r="AF31" s="233"/>
      <c r="AG31" s="233"/>
      <c r="AH31" s="233"/>
      <c r="AI31" s="233"/>
      <c r="AJ31" s="233"/>
      <c r="AK31" s="233"/>
      <c r="AL31" s="233"/>
      <c r="AM31" s="233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233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233"/>
      <c r="BZ31" s="233"/>
      <c r="CA31" s="233"/>
      <c r="CB31" s="233"/>
      <c r="CC31" s="233"/>
      <c r="CD31" s="233"/>
      <c r="CE31" s="233"/>
      <c r="CF31" s="233"/>
      <c r="CG31" s="233"/>
      <c r="CH31" s="233"/>
      <c r="CI31" s="233"/>
      <c r="CJ31" s="233"/>
      <c r="CK31" s="233"/>
      <c r="CL31" s="233"/>
      <c r="CM31" s="233"/>
      <c r="CN31" s="233"/>
      <c r="CO31" s="233"/>
      <c r="CP31" s="233"/>
      <c r="CQ31" s="233"/>
      <c r="CR31" s="233"/>
      <c r="CS31" s="233"/>
      <c r="CT31" s="233"/>
      <c r="CU31" s="233"/>
      <c r="CV31" s="233"/>
      <c r="CW31" s="233"/>
      <c r="CX31" s="233"/>
      <c r="CY31" s="233"/>
      <c r="CZ31" s="233"/>
      <c r="DA31" s="233"/>
      <c r="DB31" s="233"/>
      <c r="DC31" s="233"/>
      <c r="DD31" s="109"/>
    </row>
    <row r="32" spans="1:108" ht="7.5" customHeight="1">
      <c r="A32" s="126"/>
      <c r="B32" s="323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8"/>
      <c r="V32" s="218"/>
      <c r="W32" s="218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8"/>
      <c r="AI32" s="218"/>
      <c r="AJ32" s="218"/>
      <c r="AK32" s="218"/>
      <c r="AL32" s="218"/>
      <c r="AM32" s="218"/>
      <c r="AN32" s="218"/>
      <c r="AO32" s="218"/>
      <c r="AP32" s="218"/>
      <c r="AQ32" s="218"/>
      <c r="AR32" s="218"/>
      <c r="AS32" s="218"/>
      <c r="AT32" s="218"/>
      <c r="AU32" s="218"/>
      <c r="AV32" s="218"/>
      <c r="AW32" s="218"/>
      <c r="AX32" s="218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8"/>
      <c r="BP32" s="218"/>
      <c r="BQ32" s="218"/>
      <c r="BR32" s="218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8"/>
      <c r="CJ32" s="218"/>
      <c r="CK32" s="218"/>
      <c r="CL32" s="218"/>
      <c r="CM32" s="218"/>
      <c r="CN32" s="218"/>
      <c r="CO32" s="218"/>
      <c r="CP32" s="218"/>
      <c r="CQ32" s="218"/>
      <c r="CR32" s="218"/>
      <c r="CS32" s="218"/>
      <c r="CT32" s="218"/>
      <c r="CU32" s="218"/>
      <c r="CV32" s="218"/>
      <c r="CW32" s="218"/>
      <c r="CX32" s="218"/>
      <c r="CY32" s="218"/>
      <c r="CZ32" s="218"/>
      <c r="DA32" s="218"/>
      <c r="DB32" s="218"/>
      <c r="DC32" s="222"/>
      <c r="DD32" s="127"/>
    </row>
    <row r="33" spans="1:108" ht="15.75" customHeight="1">
      <c r="A33" s="128"/>
      <c r="B33" s="324" t="s">
        <v>1810</v>
      </c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218"/>
      <c r="Z33" s="218"/>
      <c r="AA33" s="218"/>
      <c r="AB33" s="218"/>
      <c r="AC33" s="218"/>
      <c r="AD33" s="218"/>
      <c r="AE33" s="218"/>
      <c r="AF33" s="218"/>
      <c r="AG33" s="218"/>
      <c r="AH33" s="218"/>
      <c r="AI33" s="218"/>
      <c r="AJ33" s="218"/>
      <c r="AK33" s="218"/>
      <c r="AL33" s="218"/>
      <c r="AM33" s="218"/>
      <c r="AN33" s="218"/>
      <c r="AO33" s="218"/>
      <c r="AP33" s="218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8"/>
      <c r="BP33" s="218"/>
      <c r="BQ33" s="218"/>
      <c r="BR33" s="218"/>
      <c r="BS33" s="218"/>
      <c r="BT33" s="218"/>
      <c r="BU33" s="218"/>
      <c r="BV33" s="218"/>
      <c r="BW33" s="218"/>
      <c r="BX33" s="218"/>
      <c r="BY33" s="218"/>
      <c r="BZ33" s="218"/>
      <c r="CA33" s="218"/>
      <c r="CB33" s="218"/>
      <c r="CC33" s="218"/>
      <c r="CD33" s="218"/>
      <c r="CE33" s="218"/>
      <c r="CF33" s="218"/>
      <c r="CG33" s="218"/>
      <c r="CH33" s="218"/>
      <c r="CI33" s="218"/>
      <c r="CJ33" s="218"/>
      <c r="CK33" s="218"/>
      <c r="CL33" s="218"/>
      <c r="CM33" s="218"/>
      <c r="CN33" s="218"/>
      <c r="CO33" s="218"/>
      <c r="CP33" s="218"/>
      <c r="CQ33" s="218"/>
      <c r="CR33" s="218"/>
      <c r="CS33" s="218"/>
      <c r="CT33" s="218"/>
      <c r="CU33" s="218"/>
      <c r="CV33" s="218"/>
      <c r="CW33" s="218"/>
      <c r="CX33" s="218"/>
      <c r="CY33" s="218"/>
      <c r="CZ33" s="218"/>
      <c r="DA33" s="218"/>
      <c r="DB33" s="218"/>
      <c r="DC33" s="222"/>
      <c r="DD33" s="129"/>
    </row>
    <row r="34" spans="1:108" ht="9" customHeight="1">
      <c r="A34" s="108"/>
      <c r="B34" s="312" t="s">
        <v>1811</v>
      </c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233"/>
      <c r="W34" s="233"/>
      <c r="X34" s="233"/>
      <c r="Y34" s="233"/>
      <c r="Z34" s="233"/>
      <c r="AA34" s="233"/>
      <c r="AB34" s="233"/>
      <c r="AC34" s="233"/>
      <c r="AD34" s="233"/>
      <c r="AE34" s="233"/>
      <c r="AF34" s="233"/>
      <c r="AG34" s="233"/>
      <c r="AH34" s="233"/>
      <c r="AI34" s="233"/>
      <c r="AJ34" s="233"/>
      <c r="AK34" s="233"/>
      <c r="AL34" s="233"/>
      <c r="AM34" s="233"/>
      <c r="AN34" s="233"/>
      <c r="AO34" s="233"/>
      <c r="AP34" s="233"/>
      <c r="AQ34" s="233"/>
      <c r="AR34" s="233"/>
      <c r="AS34" s="233"/>
      <c r="AT34" s="233"/>
      <c r="AU34" s="233"/>
      <c r="AV34" s="233"/>
      <c r="AW34" s="233"/>
      <c r="AX34" s="233"/>
      <c r="AY34" s="233"/>
      <c r="AZ34" s="233"/>
      <c r="BA34" s="233"/>
      <c r="BB34" s="233"/>
      <c r="BC34" s="233"/>
      <c r="BD34" s="233"/>
      <c r="BE34" s="233"/>
      <c r="BF34" s="233"/>
      <c r="BG34" s="233"/>
      <c r="BH34" s="233"/>
      <c r="BI34" s="233"/>
      <c r="BJ34" s="233"/>
      <c r="BK34" s="233"/>
      <c r="BL34" s="233"/>
      <c r="BM34" s="233"/>
      <c r="BN34" s="233"/>
      <c r="BO34" s="233"/>
      <c r="BP34" s="233"/>
      <c r="BQ34" s="233"/>
      <c r="BR34" s="233"/>
      <c r="BS34" s="233"/>
      <c r="BT34" s="233"/>
      <c r="BU34" s="233"/>
      <c r="BV34" s="233"/>
      <c r="BW34" s="233"/>
      <c r="BX34" s="233"/>
      <c r="BY34" s="233"/>
      <c r="BZ34" s="233"/>
      <c r="CA34" s="233"/>
      <c r="CB34" s="233"/>
      <c r="CC34" s="233"/>
      <c r="CD34" s="233"/>
      <c r="CE34" s="233"/>
      <c r="CF34" s="233"/>
      <c r="CG34" s="233"/>
      <c r="CH34" s="233"/>
      <c r="CI34" s="233"/>
      <c r="CJ34" s="233"/>
      <c r="CK34" s="233"/>
      <c r="CL34" s="233"/>
      <c r="CM34" s="233"/>
      <c r="CN34" s="233"/>
      <c r="CO34" s="233"/>
      <c r="CP34" s="233"/>
      <c r="CQ34" s="233"/>
      <c r="CR34" s="233"/>
      <c r="CS34" s="233"/>
      <c r="CT34" s="233"/>
      <c r="CU34" s="233"/>
      <c r="CV34" s="233"/>
      <c r="CW34" s="233"/>
      <c r="CX34" s="233"/>
      <c r="CY34" s="233"/>
      <c r="CZ34" s="233"/>
      <c r="DA34" s="233"/>
      <c r="DB34" s="233"/>
      <c r="DC34" s="233"/>
      <c r="DD34" s="109"/>
    </row>
    <row r="35" spans="1:108" ht="9" customHeight="1">
      <c r="A35" s="126"/>
      <c r="B35" s="313"/>
      <c r="C35" s="240"/>
      <c r="D35" s="240"/>
      <c r="E35" s="240"/>
      <c r="F35" s="240"/>
      <c r="G35" s="240"/>
      <c r="H35" s="240"/>
      <c r="I35" s="240"/>
      <c r="J35" s="240"/>
      <c r="K35" s="240"/>
      <c r="L35" s="240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0"/>
      <c r="X35" s="240"/>
      <c r="Y35" s="240"/>
      <c r="Z35" s="240"/>
      <c r="AA35" s="240"/>
      <c r="AB35" s="240"/>
      <c r="AC35" s="240"/>
      <c r="AD35" s="240"/>
      <c r="AE35" s="240"/>
      <c r="AF35" s="240"/>
      <c r="AG35" s="240"/>
      <c r="AH35" s="240"/>
      <c r="AI35" s="240"/>
      <c r="AJ35" s="240"/>
      <c r="AK35" s="240"/>
      <c r="AL35" s="240"/>
      <c r="AM35" s="240"/>
      <c r="AN35" s="240"/>
      <c r="AO35" s="240"/>
      <c r="AP35" s="240"/>
      <c r="AQ35" s="240"/>
      <c r="AR35" s="240"/>
      <c r="AS35" s="240"/>
      <c r="AT35" s="240"/>
      <c r="AU35" s="240"/>
      <c r="AV35" s="240"/>
      <c r="AW35" s="240"/>
      <c r="AX35" s="240"/>
      <c r="AY35" s="240"/>
      <c r="AZ35" s="240"/>
      <c r="BA35" s="240"/>
      <c r="BB35" s="240"/>
      <c r="BC35" s="240"/>
      <c r="BD35" s="240"/>
      <c r="BE35" s="240"/>
      <c r="BF35" s="240"/>
      <c r="BG35" s="240"/>
      <c r="BH35" s="240"/>
      <c r="BI35" s="240"/>
      <c r="BJ35" s="240"/>
      <c r="BK35" s="240"/>
      <c r="BL35" s="240"/>
      <c r="BM35" s="240"/>
      <c r="BN35" s="240"/>
      <c r="BO35" s="240"/>
      <c r="BP35" s="240"/>
      <c r="BQ35" s="240"/>
      <c r="BR35" s="240"/>
      <c r="BS35" s="240"/>
      <c r="BT35" s="240"/>
      <c r="BU35" s="240"/>
      <c r="BV35" s="240"/>
      <c r="BW35" s="240"/>
      <c r="BX35" s="240"/>
      <c r="BY35" s="240"/>
      <c r="BZ35" s="240"/>
      <c r="CA35" s="240"/>
      <c r="CB35" s="240"/>
      <c r="CC35" s="240"/>
      <c r="CD35" s="240"/>
      <c r="CE35" s="240"/>
      <c r="CF35" s="240"/>
      <c r="CG35" s="240"/>
      <c r="CH35" s="240"/>
      <c r="CI35" s="240"/>
      <c r="CJ35" s="240"/>
      <c r="CK35" s="240"/>
      <c r="CL35" s="240"/>
      <c r="CM35" s="240"/>
      <c r="CN35" s="240"/>
      <c r="CO35" s="240"/>
      <c r="CP35" s="240"/>
      <c r="CQ35" s="240"/>
      <c r="CR35" s="240"/>
      <c r="CS35" s="240"/>
      <c r="CT35" s="240"/>
      <c r="CU35" s="240"/>
      <c r="CV35" s="240"/>
      <c r="CW35" s="240"/>
      <c r="CX35" s="240"/>
      <c r="CY35" s="240"/>
      <c r="CZ35" s="240"/>
      <c r="DA35" s="240"/>
      <c r="DB35" s="240"/>
      <c r="DC35" s="240"/>
      <c r="DD35" s="127"/>
    </row>
    <row r="36" spans="1:108" ht="9" customHeight="1">
      <c r="A36" s="126"/>
      <c r="B36" s="313"/>
      <c r="C36" s="240"/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40"/>
      <c r="AB36" s="240"/>
      <c r="AC36" s="240"/>
      <c r="AD36" s="240"/>
      <c r="AE36" s="240"/>
      <c r="AF36" s="240"/>
      <c r="AG36" s="240"/>
      <c r="AH36" s="240"/>
      <c r="AI36" s="240"/>
      <c r="AJ36" s="240"/>
      <c r="AK36" s="240"/>
      <c r="AL36" s="240"/>
      <c r="AM36" s="240"/>
      <c r="AN36" s="240"/>
      <c r="AO36" s="240"/>
      <c r="AP36" s="240"/>
      <c r="AQ36" s="240"/>
      <c r="AR36" s="240"/>
      <c r="AS36" s="240"/>
      <c r="AT36" s="240"/>
      <c r="AU36" s="240"/>
      <c r="AV36" s="240"/>
      <c r="AW36" s="240"/>
      <c r="AX36" s="240"/>
      <c r="AY36" s="240"/>
      <c r="AZ36" s="240"/>
      <c r="BA36" s="240"/>
      <c r="BB36" s="240"/>
      <c r="BC36" s="240"/>
      <c r="BD36" s="240"/>
      <c r="BE36" s="240"/>
      <c r="BF36" s="240"/>
      <c r="BG36" s="240"/>
      <c r="BH36" s="240"/>
      <c r="BI36" s="240"/>
      <c r="BJ36" s="240"/>
      <c r="BK36" s="240"/>
      <c r="BL36" s="240"/>
      <c r="BM36" s="240"/>
      <c r="BN36" s="240"/>
      <c r="BO36" s="240"/>
      <c r="BP36" s="240"/>
      <c r="BQ36" s="240"/>
      <c r="BR36" s="240"/>
      <c r="BS36" s="240"/>
      <c r="BT36" s="240"/>
      <c r="BU36" s="240"/>
      <c r="BV36" s="240"/>
      <c r="BW36" s="240"/>
      <c r="BX36" s="240"/>
      <c r="BY36" s="240"/>
      <c r="BZ36" s="240"/>
      <c r="CA36" s="240"/>
      <c r="CB36" s="240"/>
      <c r="CC36" s="240"/>
      <c r="CD36" s="240"/>
      <c r="CE36" s="240"/>
      <c r="CF36" s="240"/>
      <c r="CG36" s="240"/>
      <c r="CH36" s="240"/>
      <c r="CI36" s="240"/>
      <c r="CJ36" s="240"/>
      <c r="CK36" s="240"/>
      <c r="CL36" s="240"/>
      <c r="CM36" s="240"/>
      <c r="CN36" s="240"/>
      <c r="CO36" s="240"/>
      <c r="CP36" s="240"/>
      <c r="CQ36" s="240"/>
      <c r="CR36" s="240"/>
      <c r="CS36" s="240"/>
      <c r="CT36" s="240"/>
      <c r="CU36" s="240"/>
      <c r="CV36" s="240"/>
      <c r="CW36" s="240"/>
      <c r="CX36" s="240"/>
      <c r="CY36" s="240"/>
      <c r="CZ36" s="240"/>
      <c r="DA36" s="240"/>
      <c r="DB36" s="240"/>
      <c r="DC36" s="240"/>
      <c r="DD36" s="127"/>
    </row>
    <row r="37" spans="1:108" ht="18" customHeight="1">
      <c r="A37" s="108"/>
      <c r="B37" s="312" t="s">
        <v>1812</v>
      </c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233"/>
      <c r="O37" s="233"/>
      <c r="P37" s="233"/>
      <c r="Q37" s="233"/>
      <c r="R37" s="233"/>
      <c r="S37" s="233"/>
      <c r="T37" s="233"/>
      <c r="U37" s="233"/>
      <c r="V37" s="233"/>
      <c r="W37" s="233"/>
      <c r="X37" s="233"/>
      <c r="Y37" s="233"/>
      <c r="Z37" s="233"/>
      <c r="AA37" s="233"/>
      <c r="AB37" s="233"/>
      <c r="AC37" s="233"/>
      <c r="AD37" s="233"/>
      <c r="AE37" s="233"/>
      <c r="AF37" s="233"/>
      <c r="AG37" s="233"/>
      <c r="AH37" s="233"/>
      <c r="AI37" s="233"/>
      <c r="AJ37" s="233"/>
      <c r="AK37" s="233"/>
      <c r="AL37" s="233"/>
      <c r="AM37" s="233"/>
      <c r="AN37" s="233"/>
      <c r="AO37" s="233"/>
      <c r="AP37" s="233"/>
      <c r="AQ37" s="233"/>
      <c r="AR37" s="233"/>
      <c r="AS37" s="233"/>
      <c r="AT37" s="233"/>
      <c r="AU37" s="233"/>
      <c r="AV37" s="233"/>
      <c r="AW37" s="233"/>
      <c r="AX37" s="233"/>
      <c r="AY37" s="233"/>
      <c r="AZ37" s="233"/>
      <c r="BA37" s="233"/>
      <c r="BB37" s="233"/>
      <c r="BC37" s="233"/>
      <c r="BD37" s="233"/>
      <c r="BE37" s="233"/>
      <c r="BF37" s="233"/>
      <c r="BG37" s="233"/>
      <c r="BH37" s="233"/>
      <c r="BI37" s="233"/>
      <c r="BJ37" s="233"/>
      <c r="BK37" s="233"/>
      <c r="BL37" s="233"/>
      <c r="BM37" s="233"/>
      <c r="BN37" s="233"/>
      <c r="BO37" s="233"/>
      <c r="BP37" s="233"/>
      <c r="BQ37" s="233"/>
      <c r="BR37" s="233"/>
      <c r="BS37" s="233"/>
      <c r="BT37" s="233"/>
      <c r="BU37" s="233"/>
      <c r="BV37" s="233"/>
      <c r="BW37" s="233"/>
      <c r="BX37" s="233"/>
      <c r="BY37" s="233"/>
      <c r="BZ37" s="233"/>
      <c r="CA37" s="233"/>
      <c r="CB37" s="233"/>
      <c r="CC37" s="233"/>
      <c r="CD37" s="233"/>
      <c r="CE37" s="233"/>
      <c r="CF37" s="233"/>
      <c r="CG37" s="233"/>
      <c r="CH37" s="233"/>
      <c r="CI37" s="233"/>
      <c r="CJ37" s="233"/>
      <c r="CK37" s="233"/>
      <c r="CL37" s="233"/>
      <c r="CM37" s="233"/>
      <c r="CN37" s="233"/>
      <c r="CO37" s="233"/>
      <c r="CP37" s="233"/>
      <c r="CQ37" s="233"/>
      <c r="CR37" s="233"/>
      <c r="CS37" s="233"/>
      <c r="CT37" s="233"/>
      <c r="CU37" s="233"/>
      <c r="CV37" s="233"/>
      <c r="CW37" s="233"/>
      <c r="CX37" s="233"/>
      <c r="CY37" s="233"/>
      <c r="CZ37" s="233"/>
      <c r="DA37" s="233"/>
      <c r="DB37" s="233"/>
      <c r="DC37" s="233"/>
      <c r="DD37" s="109"/>
    </row>
    <row r="38" spans="1:108" ht="9" customHeight="1">
      <c r="A38" s="126"/>
      <c r="B38" s="313"/>
      <c r="C38" s="240"/>
      <c r="D38" s="240"/>
      <c r="E38" s="240"/>
      <c r="F38" s="240"/>
      <c r="G38" s="240"/>
      <c r="H38" s="240"/>
      <c r="I38" s="240"/>
      <c r="J38" s="240"/>
      <c r="K38" s="240"/>
      <c r="L38" s="240"/>
      <c r="M38" s="240"/>
      <c r="N38" s="240"/>
      <c r="O38" s="240"/>
      <c r="P38" s="240"/>
      <c r="Q38" s="240"/>
      <c r="R38" s="240"/>
      <c r="S38" s="240"/>
      <c r="T38" s="240"/>
      <c r="U38" s="240"/>
      <c r="V38" s="240"/>
      <c r="W38" s="240"/>
      <c r="X38" s="240"/>
      <c r="Y38" s="240"/>
      <c r="Z38" s="240"/>
      <c r="AA38" s="240"/>
      <c r="AB38" s="240"/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240"/>
      <c r="AQ38" s="240"/>
      <c r="AR38" s="240"/>
      <c r="AS38" s="240"/>
      <c r="AT38" s="240"/>
      <c r="AU38" s="240"/>
      <c r="AV38" s="240"/>
      <c r="AW38" s="240"/>
      <c r="AX38" s="240"/>
      <c r="AY38" s="240"/>
      <c r="AZ38" s="240"/>
      <c r="BA38" s="240"/>
      <c r="BB38" s="240"/>
      <c r="BC38" s="240"/>
      <c r="BD38" s="240"/>
      <c r="BE38" s="240"/>
      <c r="BF38" s="240"/>
      <c r="BG38" s="240"/>
      <c r="BH38" s="240"/>
      <c r="BI38" s="240"/>
      <c r="BJ38" s="240"/>
      <c r="BK38" s="240"/>
      <c r="BL38" s="240"/>
      <c r="BM38" s="240"/>
      <c r="BN38" s="240"/>
      <c r="BO38" s="240"/>
      <c r="BP38" s="240"/>
      <c r="BQ38" s="240"/>
      <c r="BR38" s="240"/>
      <c r="BS38" s="240"/>
      <c r="BT38" s="240"/>
      <c r="BU38" s="240"/>
      <c r="BV38" s="240"/>
      <c r="BW38" s="240"/>
      <c r="BX38" s="240"/>
      <c r="BY38" s="240"/>
      <c r="BZ38" s="240"/>
      <c r="CA38" s="240"/>
      <c r="CB38" s="240"/>
      <c r="CC38" s="240"/>
      <c r="CD38" s="240"/>
      <c r="CE38" s="240"/>
      <c r="CF38" s="240"/>
      <c r="CG38" s="240"/>
      <c r="CH38" s="240"/>
      <c r="CI38" s="240"/>
      <c r="CJ38" s="240"/>
      <c r="CK38" s="240"/>
      <c r="CL38" s="240"/>
      <c r="CM38" s="240"/>
      <c r="CN38" s="240"/>
      <c r="CO38" s="240"/>
      <c r="CP38" s="240"/>
      <c r="CQ38" s="240"/>
      <c r="CR38" s="240"/>
      <c r="CS38" s="240"/>
      <c r="CT38" s="240"/>
      <c r="CU38" s="240"/>
      <c r="CV38" s="240"/>
      <c r="CW38" s="240"/>
      <c r="CX38" s="240"/>
      <c r="CY38" s="240"/>
      <c r="CZ38" s="240"/>
      <c r="DA38" s="240"/>
      <c r="DB38" s="240"/>
      <c r="DC38" s="240"/>
      <c r="DD38" s="127"/>
    </row>
    <row r="39" spans="1:108" ht="11.25" customHeight="1">
      <c r="A39" s="130"/>
      <c r="B39" s="250" t="s">
        <v>1813</v>
      </c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214"/>
      <c r="AZ39" s="214"/>
      <c r="BA39" s="214"/>
      <c r="BB39" s="214"/>
      <c r="BC39" s="214"/>
      <c r="BD39" s="214"/>
      <c r="BE39" s="214"/>
      <c r="BF39" s="214"/>
      <c r="BG39" s="214"/>
      <c r="BH39" s="214"/>
      <c r="BI39" s="214"/>
      <c r="BJ39" s="214"/>
      <c r="BK39" s="214"/>
      <c r="BL39" s="214"/>
      <c r="BM39" s="214"/>
      <c r="BN39" s="214"/>
      <c r="BO39" s="214"/>
      <c r="BP39" s="214"/>
      <c r="BQ39" s="214"/>
      <c r="BR39" s="214"/>
      <c r="BS39" s="214"/>
      <c r="BT39" s="214"/>
      <c r="BU39" s="214"/>
      <c r="BV39" s="214"/>
      <c r="BW39" s="214"/>
      <c r="BX39" s="214"/>
      <c r="BY39" s="214"/>
      <c r="BZ39" s="214"/>
      <c r="CA39" s="214"/>
      <c r="CB39" s="214"/>
      <c r="CC39" s="214"/>
      <c r="CD39" s="214"/>
      <c r="CE39" s="214"/>
      <c r="CF39" s="214"/>
      <c r="CG39" s="214"/>
      <c r="CH39" s="214"/>
      <c r="CI39" s="214"/>
      <c r="CJ39" s="214"/>
      <c r="CK39" s="214"/>
      <c r="CL39" s="214"/>
      <c r="CM39" s="214"/>
      <c r="CN39" s="214"/>
      <c r="CO39" s="214"/>
      <c r="CP39" s="214"/>
      <c r="CQ39" s="214"/>
      <c r="CR39" s="214"/>
      <c r="CS39" s="214"/>
      <c r="CT39" s="214"/>
      <c r="CU39" s="214"/>
      <c r="CV39" s="214"/>
      <c r="CW39" s="214"/>
      <c r="CX39" s="214"/>
      <c r="CY39" s="214"/>
      <c r="CZ39" s="214"/>
      <c r="DA39" s="214"/>
      <c r="DB39" s="214"/>
      <c r="DC39" s="214"/>
      <c r="DD39" s="131"/>
    </row>
    <row r="40" spans="1:108" ht="15" customHeight="1">
      <c r="A40" s="325" t="s">
        <v>1814</v>
      </c>
      <c r="B40" s="233"/>
      <c r="C40" s="233"/>
      <c r="D40" s="233"/>
      <c r="E40" s="233"/>
      <c r="F40" s="233"/>
      <c r="G40" s="233"/>
      <c r="H40" s="233"/>
      <c r="I40" s="233"/>
      <c r="J40" s="233"/>
      <c r="K40" s="233"/>
      <c r="L40" s="233"/>
      <c r="M40" s="233"/>
      <c r="N40" s="233"/>
      <c r="O40" s="233"/>
      <c r="P40" s="233"/>
      <c r="Q40" s="233"/>
      <c r="R40" s="233"/>
      <c r="S40" s="233"/>
      <c r="T40" s="233"/>
      <c r="U40" s="233"/>
      <c r="V40" s="233"/>
      <c r="W40" s="233"/>
      <c r="X40" s="233"/>
      <c r="Y40" s="233"/>
      <c r="Z40" s="233"/>
      <c r="AA40" s="233"/>
      <c r="AB40" s="233"/>
      <c r="AC40" s="233"/>
      <c r="AD40" s="233"/>
      <c r="AE40" s="233"/>
      <c r="AF40" s="233"/>
      <c r="AG40" s="233"/>
      <c r="AH40" s="233"/>
      <c r="AI40" s="233"/>
      <c r="AJ40" s="233"/>
      <c r="AK40" s="233"/>
      <c r="AL40" s="233"/>
      <c r="AM40" s="233"/>
      <c r="AN40" s="233"/>
      <c r="AO40" s="233"/>
      <c r="AP40" s="233"/>
      <c r="AQ40" s="233"/>
      <c r="AR40" s="233"/>
      <c r="AS40" s="233"/>
      <c r="AT40" s="233"/>
      <c r="AU40" s="233"/>
      <c r="AV40" s="233"/>
      <c r="AW40" s="233"/>
      <c r="AX40" s="233"/>
      <c r="AY40" s="233"/>
      <c r="AZ40" s="233"/>
      <c r="BA40" s="233"/>
      <c r="BB40" s="233"/>
      <c r="BC40" s="233"/>
      <c r="BD40" s="233"/>
      <c r="BE40" s="233"/>
      <c r="BF40" s="233"/>
      <c r="BG40" s="233"/>
      <c r="BH40" s="233"/>
      <c r="BI40" s="233"/>
      <c r="BJ40" s="233"/>
      <c r="BK40" s="233"/>
      <c r="BL40" s="233"/>
      <c r="BM40" s="233"/>
      <c r="BN40" s="233"/>
      <c r="BO40" s="233"/>
      <c r="BP40" s="233"/>
      <c r="BQ40" s="233"/>
      <c r="BR40" s="233"/>
      <c r="BS40" s="233"/>
      <c r="BT40" s="233"/>
      <c r="BU40" s="233"/>
      <c r="BV40" s="233"/>
      <c r="BW40" s="233"/>
      <c r="BX40" s="233"/>
      <c r="BY40" s="233"/>
      <c r="BZ40" s="233"/>
      <c r="CA40" s="233"/>
      <c r="CB40" s="233"/>
      <c r="CC40" s="233"/>
      <c r="CD40" s="233"/>
      <c r="CE40" s="233"/>
      <c r="CF40" s="233"/>
      <c r="CG40" s="233"/>
      <c r="CH40" s="233"/>
      <c r="CI40" s="233"/>
      <c r="CJ40" s="233"/>
      <c r="CK40" s="233"/>
      <c r="CL40" s="233"/>
      <c r="CM40" s="233"/>
      <c r="CN40" s="233"/>
      <c r="CO40" s="233"/>
      <c r="CP40" s="233"/>
      <c r="CQ40" s="233"/>
      <c r="CR40" s="233"/>
      <c r="CS40" s="233"/>
      <c r="CT40" s="233"/>
      <c r="CU40" s="233"/>
      <c r="CV40" s="233"/>
      <c r="CW40" s="233"/>
      <c r="CX40" s="233"/>
      <c r="CY40" s="233"/>
      <c r="CZ40" s="233"/>
      <c r="DA40" s="233"/>
      <c r="DB40" s="233"/>
      <c r="DC40" s="233"/>
      <c r="DD40" s="233"/>
    </row>
    <row r="41" spans="1:108" ht="9" customHeight="1">
      <c r="A41" s="132"/>
      <c r="B41" s="306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214"/>
      <c r="AZ41" s="214"/>
      <c r="BA41" s="214"/>
      <c r="BB41" s="214"/>
      <c r="BC41" s="214"/>
      <c r="BD41" s="214"/>
      <c r="BE41" s="214"/>
      <c r="BF41" s="214"/>
      <c r="BG41" s="214"/>
      <c r="BH41" s="214"/>
      <c r="BI41" s="214"/>
      <c r="BJ41" s="214"/>
      <c r="BK41" s="214"/>
      <c r="BL41" s="214"/>
      <c r="BM41" s="214"/>
      <c r="BN41" s="214"/>
      <c r="BO41" s="214"/>
      <c r="BP41" s="214"/>
      <c r="BQ41" s="214"/>
      <c r="BR41" s="214"/>
      <c r="BS41" s="214"/>
      <c r="BT41" s="214"/>
      <c r="BU41" s="214"/>
      <c r="BV41" s="214"/>
      <c r="BW41" s="214"/>
      <c r="BX41" s="214"/>
      <c r="BY41" s="214"/>
      <c r="BZ41" s="214"/>
      <c r="CA41" s="214"/>
      <c r="CB41" s="214"/>
      <c r="CC41" s="214"/>
      <c r="CD41" s="214"/>
      <c r="CE41" s="214"/>
      <c r="CF41" s="214"/>
      <c r="CG41" s="214"/>
      <c r="CH41" s="214"/>
      <c r="CI41" s="214"/>
      <c r="CJ41" s="214"/>
      <c r="CK41" s="214"/>
      <c r="CL41" s="214"/>
      <c r="CM41" s="214"/>
      <c r="CN41" s="214"/>
      <c r="CO41" s="214"/>
      <c r="CP41" s="214"/>
      <c r="CQ41" s="214"/>
      <c r="CR41" s="214"/>
      <c r="CS41" s="214"/>
      <c r="CT41" s="214"/>
      <c r="CU41" s="214"/>
      <c r="CV41" s="214"/>
      <c r="CW41" s="214"/>
      <c r="CX41" s="214"/>
      <c r="CY41" s="214"/>
      <c r="CZ41" s="214"/>
      <c r="DA41" s="214"/>
      <c r="DB41" s="214"/>
      <c r="DC41" s="214"/>
      <c r="DD41" s="119"/>
    </row>
    <row r="42" spans="1:108" ht="25.5" customHeight="1">
      <c r="A42" s="108"/>
      <c r="B42" s="312" t="s">
        <v>1815</v>
      </c>
      <c r="C42" s="233"/>
      <c r="D42" s="233"/>
      <c r="E42" s="233"/>
      <c r="F42" s="233"/>
      <c r="G42" s="233"/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233"/>
      <c r="W42" s="233"/>
      <c r="X42" s="233"/>
      <c r="Y42" s="233"/>
      <c r="Z42" s="233"/>
      <c r="AA42" s="233"/>
      <c r="AB42" s="233"/>
      <c r="AC42" s="233"/>
      <c r="AD42" s="233"/>
      <c r="AE42" s="233"/>
      <c r="AF42" s="233"/>
      <c r="AG42" s="233"/>
      <c r="AH42" s="233"/>
      <c r="AI42" s="233"/>
      <c r="AJ42" s="233"/>
      <c r="AK42" s="233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233"/>
      <c r="AW42" s="233"/>
      <c r="AX42" s="233"/>
      <c r="AY42" s="233"/>
      <c r="AZ42" s="233"/>
      <c r="BA42" s="233"/>
      <c r="BB42" s="233"/>
      <c r="BC42" s="233"/>
      <c r="BD42" s="233"/>
      <c r="BE42" s="233"/>
      <c r="BF42" s="233"/>
      <c r="BG42" s="233"/>
      <c r="BH42" s="233"/>
      <c r="BI42" s="233"/>
      <c r="BJ42" s="233"/>
      <c r="BK42" s="233"/>
      <c r="BL42" s="233"/>
      <c r="BM42" s="233"/>
      <c r="BN42" s="233"/>
      <c r="BO42" s="233"/>
      <c r="BP42" s="233"/>
      <c r="BQ42" s="233"/>
      <c r="BR42" s="233"/>
      <c r="BS42" s="233"/>
      <c r="BT42" s="233"/>
      <c r="BU42" s="233"/>
      <c r="BV42" s="233"/>
      <c r="BW42" s="233"/>
      <c r="BX42" s="233"/>
      <c r="BY42" s="233"/>
      <c r="BZ42" s="233"/>
      <c r="CA42" s="233"/>
      <c r="CB42" s="233"/>
      <c r="CC42" s="233"/>
      <c r="CD42" s="233"/>
      <c r="CE42" s="233"/>
      <c r="CF42" s="233"/>
      <c r="CG42" s="233"/>
      <c r="CH42" s="233"/>
      <c r="CI42" s="233"/>
      <c r="CJ42" s="233"/>
      <c r="CK42" s="233"/>
      <c r="CL42" s="233"/>
      <c r="CM42" s="233"/>
      <c r="CN42" s="233"/>
      <c r="CO42" s="233"/>
      <c r="CP42" s="233"/>
      <c r="CQ42" s="233"/>
      <c r="CR42" s="233"/>
      <c r="CS42" s="233"/>
      <c r="CT42" s="233"/>
      <c r="CU42" s="233"/>
      <c r="CV42" s="233"/>
      <c r="CW42" s="233"/>
      <c r="CX42" s="233"/>
      <c r="CY42" s="233"/>
      <c r="CZ42" s="233"/>
      <c r="DA42" s="233"/>
      <c r="DB42" s="233"/>
      <c r="DC42" s="233"/>
      <c r="DD42" s="109"/>
    </row>
    <row r="43" spans="1:108" ht="9" customHeight="1">
      <c r="A43" s="126"/>
      <c r="B43" s="248"/>
      <c r="C43" s="240"/>
      <c r="D43" s="240"/>
      <c r="E43" s="240"/>
      <c r="F43" s="240"/>
      <c r="G43" s="240"/>
      <c r="H43" s="240"/>
      <c r="I43" s="240"/>
      <c r="J43" s="240"/>
      <c r="K43" s="240"/>
      <c r="L43" s="240"/>
      <c r="M43" s="240"/>
      <c r="N43" s="240"/>
      <c r="O43" s="240"/>
      <c r="P43" s="240"/>
      <c r="Q43" s="240"/>
      <c r="R43" s="240"/>
      <c r="S43" s="240"/>
      <c r="T43" s="240"/>
      <c r="U43" s="240"/>
      <c r="V43" s="240"/>
      <c r="W43" s="240"/>
      <c r="X43" s="240"/>
      <c r="Y43" s="240"/>
      <c r="Z43" s="240"/>
      <c r="AA43" s="240"/>
      <c r="AB43" s="240"/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240"/>
      <c r="AO43" s="240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127"/>
    </row>
    <row r="44" spans="1:108" ht="9" customHeight="1">
      <c r="A44" s="126"/>
      <c r="B44" s="248"/>
      <c r="C44" s="240"/>
      <c r="D44" s="240"/>
      <c r="E44" s="240"/>
      <c r="F44" s="240"/>
      <c r="G44" s="240"/>
      <c r="H44" s="240"/>
      <c r="I44" s="240"/>
      <c r="J44" s="240"/>
      <c r="K44" s="240"/>
      <c r="L44" s="240"/>
      <c r="M44" s="240"/>
      <c r="N44" s="240"/>
      <c r="O44" s="240"/>
      <c r="P44" s="240"/>
      <c r="Q44" s="240"/>
      <c r="R44" s="240"/>
      <c r="S44" s="240"/>
      <c r="T44" s="240"/>
      <c r="U44" s="240"/>
      <c r="V44" s="240"/>
      <c r="W44" s="240"/>
      <c r="X44" s="240"/>
      <c r="Y44" s="240"/>
      <c r="Z44" s="240"/>
      <c r="AA44" s="240"/>
      <c r="AB44" s="240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240"/>
      <c r="AO44" s="240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127"/>
    </row>
    <row r="45" spans="1:108" ht="25.5" customHeight="1">
      <c r="A45" s="108"/>
      <c r="B45" s="312" t="s">
        <v>1816</v>
      </c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P45" s="233"/>
      <c r="Q45" s="233"/>
      <c r="R45" s="233"/>
      <c r="S45" s="233"/>
      <c r="T45" s="233"/>
      <c r="U45" s="233"/>
      <c r="V45" s="233"/>
      <c r="W45" s="233"/>
      <c r="X45" s="233"/>
      <c r="Y45" s="233"/>
      <c r="Z45" s="233"/>
      <c r="AA45" s="233"/>
      <c r="AB45" s="233"/>
      <c r="AC45" s="233"/>
      <c r="AD45" s="233"/>
      <c r="AE45" s="233"/>
      <c r="AF45" s="233"/>
      <c r="AG45" s="233"/>
      <c r="AH45" s="233"/>
      <c r="AI45" s="233"/>
      <c r="AJ45" s="233"/>
      <c r="AK45" s="233"/>
      <c r="AL45" s="233"/>
      <c r="AM45" s="233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233"/>
      <c r="AY45" s="233"/>
      <c r="AZ45" s="233"/>
      <c r="BA45" s="233"/>
      <c r="BB45" s="233"/>
      <c r="BC45" s="233"/>
      <c r="BD45" s="233"/>
      <c r="BE45" s="233"/>
      <c r="BF45" s="233"/>
      <c r="BG45" s="233"/>
      <c r="BH45" s="233"/>
      <c r="BI45" s="233"/>
      <c r="BJ45" s="233"/>
      <c r="BK45" s="233"/>
      <c r="BL45" s="233"/>
      <c r="BM45" s="233"/>
      <c r="BN45" s="233"/>
      <c r="BO45" s="233"/>
      <c r="BP45" s="233"/>
      <c r="BQ45" s="233"/>
      <c r="BR45" s="233"/>
      <c r="BS45" s="233"/>
      <c r="BT45" s="233"/>
      <c r="BU45" s="233"/>
      <c r="BV45" s="233"/>
      <c r="BW45" s="233"/>
      <c r="BX45" s="233"/>
      <c r="BY45" s="233"/>
      <c r="BZ45" s="233"/>
      <c r="CA45" s="233"/>
      <c r="CB45" s="233"/>
      <c r="CC45" s="233"/>
      <c r="CD45" s="233"/>
      <c r="CE45" s="233"/>
      <c r="CF45" s="233"/>
      <c r="CG45" s="233"/>
      <c r="CH45" s="233"/>
      <c r="CI45" s="233"/>
      <c r="CJ45" s="233"/>
      <c r="CK45" s="233"/>
      <c r="CL45" s="233"/>
      <c r="CM45" s="233"/>
      <c r="CN45" s="233"/>
      <c r="CO45" s="233"/>
      <c r="CP45" s="233"/>
      <c r="CQ45" s="233"/>
      <c r="CR45" s="233"/>
      <c r="CS45" s="233"/>
      <c r="CT45" s="233"/>
      <c r="CU45" s="233"/>
      <c r="CV45" s="233"/>
      <c r="CW45" s="233"/>
      <c r="CX45" s="233"/>
      <c r="CY45" s="233"/>
      <c r="CZ45" s="233"/>
      <c r="DA45" s="233"/>
      <c r="DB45" s="233"/>
      <c r="DC45" s="233"/>
      <c r="DD45" s="109"/>
    </row>
    <row r="46" spans="1:108" ht="6.75" customHeight="1">
      <c r="A46" s="133"/>
      <c r="B46" s="315"/>
      <c r="C46" s="240"/>
      <c r="D46" s="240"/>
      <c r="E46" s="240"/>
      <c r="F46" s="240"/>
      <c r="G46" s="240"/>
      <c r="H46" s="240"/>
      <c r="I46" s="240"/>
      <c r="J46" s="240"/>
      <c r="K46" s="240"/>
      <c r="L46" s="240"/>
      <c r="M46" s="240"/>
      <c r="N46" s="240"/>
      <c r="O46" s="240"/>
      <c r="P46" s="240"/>
      <c r="Q46" s="240"/>
      <c r="R46" s="240"/>
      <c r="S46" s="240"/>
      <c r="T46" s="240"/>
      <c r="U46" s="240"/>
      <c r="V46" s="240"/>
      <c r="W46" s="240"/>
      <c r="X46" s="240"/>
      <c r="Y46" s="240"/>
      <c r="Z46" s="240"/>
      <c r="AA46" s="240"/>
      <c r="AB46" s="240"/>
      <c r="AC46" s="240"/>
      <c r="AD46" s="240"/>
      <c r="AE46" s="240"/>
      <c r="AF46" s="240"/>
      <c r="AG46" s="240"/>
      <c r="AH46" s="240"/>
      <c r="AI46" s="240"/>
      <c r="AJ46" s="240"/>
      <c r="AK46" s="240"/>
      <c r="AL46" s="240"/>
      <c r="AM46" s="240"/>
      <c r="AN46" s="240"/>
      <c r="AO46" s="240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134"/>
    </row>
    <row r="47" spans="1:108" ht="18" customHeight="1">
      <c r="A47" s="130"/>
      <c r="B47" s="250" t="s">
        <v>1817</v>
      </c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  <c r="BA47" s="214"/>
      <c r="BB47" s="214"/>
      <c r="BC47" s="214"/>
      <c r="BD47" s="214"/>
      <c r="BE47" s="214"/>
      <c r="BF47" s="214"/>
      <c r="BG47" s="214"/>
      <c r="BH47" s="214"/>
      <c r="BI47" s="214"/>
      <c r="BJ47" s="214"/>
      <c r="BK47" s="214"/>
      <c r="BL47" s="214"/>
      <c r="BM47" s="214"/>
      <c r="BN47" s="214"/>
      <c r="BO47" s="214"/>
      <c r="BP47" s="214"/>
      <c r="BQ47" s="214"/>
      <c r="BR47" s="214"/>
      <c r="BS47" s="214"/>
      <c r="BT47" s="214"/>
      <c r="BU47" s="214"/>
      <c r="BV47" s="214"/>
      <c r="BW47" s="214"/>
      <c r="BX47" s="214"/>
      <c r="BY47" s="214"/>
      <c r="BZ47" s="214"/>
      <c r="CA47" s="214"/>
      <c r="CB47" s="214"/>
      <c r="CC47" s="214"/>
      <c r="CD47" s="214"/>
      <c r="CE47" s="214"/>
      <c r="CF47" s="214"/>
      <c r="CG47" s="214"/>
      <c r="CH47" s="214"/>
      <c r="CI47" s="214"/>
      <c r="CJ47" s="214"/>
      <c r="CK47" s="214"/>
      <c r="CL47" s="214"/>
      <c r="CM47" s="214"/>
      <c r="CN47" s="214"/>
      <c r="CO47" s="214"/>
      <c r="CP47" s="214"/>
      <c r="CQ47" s="214"/>
      <c r="CR47" s="214"/>
      <c r="CS47" s="214"/>
      <c r="CT47" s="214"/>
      <c r="CU47" s="214"/>
      <c r="CV47" s="214"/>
      <c r="CW47" s="214"/>
      <c r="CX47" s="214"/>
      <c r="CY47" s="214"/>
      <c r="CZ47" s="214"/>
      <c r="DA47" s="214"/>
      <c r="DB47" s="214"/>
      <c r="DC47" s="214"/>
      <c r="DD47" s="131"/>
    </row>
    <row r="48" spans="1:108" ht="15" customHeight="1">
      <c r="A48" s="316" t="s">
        <v>1818</v>
      </c>
      <c r="B48" s="233"/>
      <c r="C48" s="233"/>
      <c r="D48" s="233"/>
      <c r="E48" s="233"/>
      <c r="F48" s="233"/>
      <c r="G48" s="233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  <c r="V48" s="233"/>
      <c r="W48" s="233"/>
      <c r="X48" s="233"/>
      <c r="Y48" s="233"/>
      <c r="Z48" s="233"/>
      <c r="AA48" s="233"/>
      <c r="AB48" s="233"/>
      <c r="AC48" s="233"/>
      <c r="AD48" s="233"/>
      <c r="AE48" s="233"/>
      <c r="AF48" s="233"/>
      <c r="AG48" s="233"/>
      <c r="AH48" s="233"/>
      <c r="AI48" s="233"/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33"/>
      <c r="AY48" s="233"/>
      <c r="AZ48" s="233"/>
      <c r="BA48" s="233"/>
      <c r="BB48" s="233"/>
      <c r="BC48" s="233"/>
      <c r="BD48" s="233"/>
      <c r="BE48" s="233"/>
      <c r="BF48" s="233"/>
      <c r="BG48" s="233"/>
      <c r="BH48" s="233"/>
      <c r="BI48" s="233"/>
      <c r="BJ48" s="233"/>
      <c r="BK48" s="233"/>
      <c r="BL48" s="233"/>
      <c r="BM48" s="233"/>
      <c r="BN48" s="233"/>
      <c r="BO48" s="233"/>
      <c r="BP48" s="233"/>
      <c r="BQ48" s="233"/>
      <c r="BR48" s="233"/>
      <c r="BS48" s="233"/>
      <c r="BT48" s="233"/>
      <c r="BU48" s="233"/>
      <c r="BV48" s="233"/>
      <c r="BW48" s="233"/>
      <c r="BX48" s="233"/>
      <c r="BY48" s="233"/>
      <c r="BZ48" s="233"/>
      <c r="CA48" s="233"/>
      <c r="CB48" s="233"/>
      <c r="CC48" s="233"/>
      <c r="CD48" s="233"/>
      <c r="CE48" s="233"/>
      <c r="CF48" s="233"/>
      <c r="CG48" s="233"/>
      <c r="CH48" s="233"/>
      <c r="CI48" s="233"/>
      <c r="CJ48" s="233"/>
      <c r="CK48" s="233"/>
      <c r="CL48" s="233"/>
      <c r="CM48" s="233"/>
      <c r="CN48" s="233"/>
      <c r="CO48" s="233"/>
      <c r="CP48" s="233"/>
      <c r="CQ48" s="233"/>
      <c r="CR48" s="233"/>
      <c r="CS48" s="233"/>
      <c r="CT48" s="233"/>
      <c r="CU48" s="233"/>
      <c r="CV48" s="233"/>
      <c r="CW48" s="233"/>
      <c r="CX48" s="233"/>
      <c r="CY48" s="233"/>
      <c r="CZ48" s="233"/>
      <c r="DA48" s="233"/>
      <c r="DB48" s="233"/>
      <c r="DC48" s="233"/>
      <c r="DD48" s="234"/>
    </row>
    <row r="49" spans="1:108" ht="6.75" customHeight="1">
      <c r="A49" s="126"/>
      <c r="B49" s="313" t="s">
        <v>30</v>
      </c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  <c r="S49" s="240"/>
      <c r="T49" s="240"/>
      <c r="U49" s="240"/>
      <c r="V49" s="240"/>
      <c r="W49" s="240"/>
      <c r="X49" s="240"/>
      <c r="Y49" s="240"/>
      <c r="Z49" s="240"/>
      <c r="AA49" s="240"/>
      <c r="AB49" s="240"/>
      <c r="AC49" s="240"/>
      <c r="AD49" s="240"/>
      <c r="AE49" s="240"/>
      <c r="AF49" s="240"/>
      <c r="AG49" s="240"/>
      <c r="AH49" s="240"/>
      <c r="AI49" s="240"/>
      <c r="AJ49" s="240"/>
      <c r="AK49" s="240"/>
      <c r="AL49" s="240"/>
      <c r="AM49" s="240"/>
      <c r="AN49" s="240"/>
      <c r="AO49" s="240"/>
      <c r="AP49" s="240"/>
      <c r="AQ49" s="240"/>
      <c r="AR49" s="240"/>
      <c r="AS49" s="240"/>
      <c r="AT49" s="240"/>
      <c r="AU49" s="240"/>
      <c r="AV49" s="240"/>
      <c r="AW49" s="240"/>
      <c r="AX49" s="240"/>
      <c r="AY49" s="240"/>
      <c r="AZ49" s="240"/>
      <c r="BA49" s="240"/>
      <c r="BB49" s="240"/>
      <c r="BC49" s="240"/>
      <c r="BD49" s="240"/>
      <c r="BE49" s="240"/>
      <c r="BF49" s="240"/>
      <c r="BG49" s="240"/>
      <c r="BH49" s="240"/>
      <c r="BI49" s="240"/>
      <c r="BJ49" s="240"/>
      <c r="BK49" s="240"/>
      <c r="BL49" s="240"/>
      <c r="BM49" s="240"/>
      <c r="BN49" s="240"/>
      <c r="BO49" s="240"/>
      <c r="BP49" s="240"/>
      <c r="BQ49" s="240"/>
      <c r="BR49" s="240"/>
      <c r="BS49" s="240"/>
      <c r="BT49" s="240"/>
      <c r="BU49" s="240"/>
      <c r="BV49" s="240"/>
      <c r="BW49" s="240"/>
      <c r="BX49" s="240"/>
      <c r="BY49" s="240"/>
      <c r="BZ49" s="240"/>
      <c r="CA49" s="240"/>
      <c r="CB49" s="240"/>
      <c r="CC49" s="240"/>
      <c r="CD49" s="240"/>
      <c r="CE49" s="240"/>
      <c r="CF49" s="240"/>
      <c r="CG49" s="240"/>
      <c r="CH49" s="240"/>
      <c r="CI49" s="240"/>
      <c r="CJ49" s="240"/>
      <c r="CK49" s="240"/>
      <c r="CL49" s="240"/>
      <c r="CM49" s="240"/>
      <c r="CN49" s="240"/>
      <c r="CO49" s="240"/>
      <c r="CP49" s="240"/>
      <c r="CQ49" s="240"/>
      <c r="CR49" s="240"/>
      <c r="CS49" s="240"/>
      <c r="CT49" s="240"/>
      <c r="CU49" s="240"/>
      <c r="CV49" s="240"/>
      <c r="CW49" s="240"/>
      <c r="CX49" s="240"/>
      <c r="CY49" s="240"/>
      <c r="CZ49" s="240"/>
      <c r="DA49" s="240"/>
      <c r="DB49" s="240"/>
      <c r="DC49" s="240"/>
      <c r="DD49" s="127"/>
    </row>
    <row r="50" spans="1:108" ht="10.5" customHeight="1">
      <c r="A50" s="108"/>
      <c r="B50" s="312" t="s">
        <v>1819</v>
      </c>
      <c r="C50" s="233"/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  <c r="P50" s="233"/>
      <c r="Q50" s="233"/>
      <c r="R50" s="233"/>
      <c r="S50" s="233"/>
      <c r="T50" s="233"/>
      <c r="U50" s="233"/>
      <c r="V50" s="233"/>
      <c r="W50" s="233"/>
      <c r="X50" s="233"/>
      <c r="Y50" s="233"/>
      <c r="Z50" s="233"/>
      <c r="AA50" s="233"/>
      <c r="AB50" s="233"/>
      <c r="AC50" s="233"/>
      <c r="AD50" s="233"/>
      <c r="AE50" s="233"/>
      <c r="AF50" s="233"/>
      <c r="AG50" s="233"/>
      <c r="AH50" s="233"/>
      <c r="AI50" s="233"/>
      <c r="AJ50" s="233"/>
      <c r="AK50" s="233"/>
      <c r="AL50" s="233"/>
      <c r="AM50" s="233"/>
      <c r="AN50" s="233"/>
      <c r="AO50" s="233"/>
      <c r="AP50" s="233"/>
      <c r="AQ50" s="233"/>
      <c r="AR50" s="233"/>
      <c r="AS50" s="233"/>
      <c r="AT50" s="233"/>
      <c r="AU50" s="233"/>
      <c r="AV50" s="233"/>
      <c r="AW50" s="233"/>
      <c r="AX50" s="233"/>
      <c r="AY50" s="233"/>
      <c r="AZ50" s="233"/>
      <c r="BA50" s="233"/>
      <c r="BB50" s="233"/>
      <c r="BC50" s="233"/>
      <c r="BD50" s="233"/>
      <c r="BE50" s="233"/>
      <c r="BF50" s="233"/>
      <c r="BG50" s="233"/>
      <c r="BH50" s="233"/>
      <c r="BI50" s="233"/>
      <c r="BJ50" s="233"/>
      <c r="BK50" s="233"/>
      <c r="BL50" s="233"/>
      <c r="BM50" s="233"/>
      <c r="BN50" s="233"/>
      <c r="BO50" s="233"/>
      <c r="BP50" s="233"/>
      <c r="BQ50" s="233"/>
      <c r="BR50" s="233"/>
      <c r="BS50" s="233"/>
      <c r="BT50" s="233"/>
      <c r="BU50" s="233"/>
      <c r="BV50" s="233"/>
      <c r="BW50" s="233"/>
      <c r="BX50" s="233"/>
      <c r="BY50" s="233"/>
      <c r="BZ50" s="233"/>
      <c r="CA50" s="233"/>
      <c r="CB50" s="233"/>
      <c r="CC50" s="233"/>
      <c r="CD50" s="233"/>
      <c r="CE50" s="233"/>
      <c r="CF50" s="233"/>
      <c r="CG50" s="233"/>
      <c r="CH50" s="233"/>
      <c r="CI50" s="233"/>
      <c r="CJ50" s="233"/>
      <c r="CK50" s="233"/>
      <c r="CL50" s="233"/>
      <c r="CM50" s="233"/>
      <c r="CN50" s="233"/>
      <c r="CO50" s="233"/>
      <c r="CP50" s="233"/>
      <c r="CQ50" s="233"/>
      <c r="CR50" s="233"/>
      <c r="CS50" s="233"/>
      <c r="CT50" s="233"/>
      <c r="CU50" s="233"/>
      <c r="CV50" s="233"/>
      <c r="CW50" s="233"/>
      <c r="CX50" s="233"/>
      <c r="CY50" s="233"/>
      <c r="CZ50" s="233"/>
      <c r="DA50" s="233"/>
      <c r="DB50" s="233"/>
      <c r="DC50" s="233"/>
      <c r="DD50" s="109"/>
    </row>
    <row r="51" spans="1:108" ht="6.75" customHeight="1">
      <c r="A51" s="126"/>
      <c r="B51" s="313"/>
      <c r="C51" s="240"/>
      <c r="D51" s="240"/>
      <c r="E51" s="240"/>
      <c r="F51" s="240"/>
      <c r="G51" s="240"/>
      <c r="H51" s="240"/>
      <c r="I51" s="240"/>
      <c r="J51" s="240"/>
      <c r="K51" s="240"/>
      <c r="L51" s="240"/>
      <c r="M51" s="240"/>
      <c r="N51" s="240"/>
      <c r="O51" s="240"/>
      <c r="P51" s="240"/>
      <c r="Q51" s="240"/>
      <c r="R51" s="240"/>
      <c r="S51" s="240"/>
      <c r="T51" s="240"/>
      <c r="U51" s="240"/>
      <c r="V51" s="240"/>
      <c r="W51" s="240"/>
      <c r="X51" s="240"/>
      <c r="Y51" s="240"/>
      <c r="Z51" s="240"/>
      <c r="AA51" s="240"/>
      <c r="AB51" s="240"/>
      <c r="AC51" s="240"/>
      <c r="AD51" s="240"/>
      <c r="AE51" s="240"/>
      <c r="AF51" s="240"/>
      <c r="AG51" s="240"/>
      <c r="AH51" s="240"/>
      <c r="AI51" s="240"/>
      <c r="AJ51" s="240"/>
      <c r="AK51" s="240"/>
      <c r="AL51" s="240"/>
      <c r="AM51" s="240"/>
      <c r="AN51" s="240"/>
      <c r="AO51" s="240"/>
      <c r="AP51" s="240"/>
      <c r="AQ51" s="240"/>
      <c r="AR51" s="240"/>
      <c r="AS51" s="240"/>
      <c r="AT51" s="240"/>
      <c r="AU51" s="240"/>
      <c r="AV51" s="240"/>
      <c r="AW51" s="240"/>
      <c r="AX51" s="240"/>
      <c r="AY51" s="240"/>
      <c r="AZ51" s="240"/>
      <c r="BA51" s="240"/>
      <c r="BB51" s="240"/>
      <c r="BC51" s="240"/>
      <c r="BD51" s="240"/>
      <c r="BE51" s="240"/>
      <c r="BF51" s="240"/>
      <c r="BG51" s="240"/>
      <c r="BH51" s="240"/>
      <c r="BI51" s="240"/>
      <c r="BJ51" s="240"/>
      <c r="BK51" s="240"/>
      <c r="BL51" s="240"/>
      <c r="BM51" s="240"/>
      <c r="BN51" s="240"/>
      <c r="BO51" s="240"/>
      <c r="BP51" s="240"/>
      <c r="BQ51" s="240"/>
      <c r="BR51" s="240"/>
      <c r="BS51" s="240"/>
      <c r="BT51" s="240"/>
      <c r="BU51" s="240"/>
      <c r="BV51" s="240"/>
      <c r="BW51" s="240"/>
      <c r="BX51" s="240"/>
      <c r="BY51" s="240"/>
      <c r="BZ51" s="240"/>
      <c r="CA51" s="240"/>
      <c r="CB51" s="240"/>
      <c r="CC51" s="240"/>
      <c r="CD51" s="240"/>
      <c r="CE51" s="240"/>
      <c r="CF51" s="240"/>
      <c r="CG51" s="240"/>
      <c r="CH51" s="240"/>
      <c r="CI51" s="240"/>
      <c r="CJ51" s="240"/>
      <c r="CK51" s="240"/>
      <c r="CL51" s="240"/>
      <c r="CM51" s="240"/>
      <c r="CN51" s="240"/>
      <c r="CO51" s="240"/>
      <c r="CP51" s="240"/>
      <c r="CQ51" s="240"/>
      <c r="CR51" s="240"/>
      <c r="CS51" s="240"/>
      <c r="CT51" s="240"/>
      <c r="CU51" s="240"/>
      <c r="CV51" s="240"/>
      <c r="CW51" s="240"/>
      <c r="CX51" s="240"/>
      <c r="CY51" s="240"/>
      <c r="CZ51" s="240"/>
      <c r="DA51" s="240"/>
      <c r="DB51" s="240"/>
      <c r="DC51" s="240"/>
      <c r="DD51" s="127"/>
    </row>
    <row r="52" spans="1:108" ht="10.5" customHeight="1">
      <c r="A52" s="108"/>
      <c r="B52" s="312" t="s">
        <v>68</v>
      </c>
      <c r="C52" s="233"/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  <c r="P52" s="233"/>
      <c r="Q52" s="233"/>
      <c r="R52" s="233"/>
      <c r="S52" s="233"/>
      <c r="T52" s="233"/>
      <c r="U52" s="233"/>
      <c r="V52" s="233"/>
      <c r="W52" s="233"/>
      <c r="X52" s="233"/>
      <c r="Y52" s="233"/>
      <c r="Z52" s="233"/>
      <c r="AA52" s="233"/>
      <c r="AB52" s="233"/>
      <c r="AC52" s="233"/>
      <c r="AD52" s="233"/>
      <c r="AE52" s="233"/>
      <c r="AF52" s="233"/>
      <c r="AG52" s="233"/>
      <c r="AH52" s="233"/>
      <c r="AI52" s="233"/>
      <c r="AJ52" s="233"/>
      <c r="AK52" s="233"/>
      <c r="AL52" s="233"/>
      <c r="AM52" s="233"/>
      <c r="AN52" s="233"/>
      <c r="AO52" s="233"/>
      <c r="AP52" s="233"/>
      <c r="AQ52" s="233"/>
      <c r="AR52" s="233"/>
      <c r="AS52" s="233"/>
      <c r="AT52" s="233"/>
      <c r="AU52" s="233"/>
      <c r="AV52" s="233"/>
      <c r="AW52" s="233"/>
      <c r="AX52" s="233"/>
      <c r="AY52" s="233"/>
      <c r="AZ52" s="233"/>
      <c r="BA52" s="233"/>
      <c r="BB52" s="233"/>
      <c r="BC52" s="233"/>
      <c r="BD52" s="233"/>
      <c r="BE52" s="233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3"/>
      <c r="BW52" s="233"/>
      <c r="BX52" s="233"/>
      <c r="BY52" s="233"/>
      <c r="BZ52" s="233"/>
      <c r="CA52" s="233"/>
      <c r="CB52" s="233"/>
      <c r="CC52" s="233"/>
      <c r="CD52" s="233"/>
      <c r="CE52" s="233"/>
      <c r="CF52" s="233"/>
      <c r="CG52" s="233"/>
      <c r="CH52" s="233"/>
      <c r="CI52" s="233"/>
      <c r="CJ52" s="233"/>
      <c r="CK52" s="233"/>
      <c r="CL52" s="233"/>
      <c r="CM52" s="233"/>
      <c r="CN52" s="233"/>
      <c r="CO52" s="233"/>
      <c r="CP52" s="233"/>
      <c r="CQ52" s="233"/>
      <c r="CR52" s="233"/>
      <c r="CS52" s="233"/>
      <c r="CT52" s="233"/>
      <c r="CU52" s="233"/>
      <c r="CV52" s="233"/>
      <c r="CW52" s="233"/>
      <c r="CX52" s="233"/>
      <c r="CY52" s="233"/>
      <c r="CZ52" s="233"/>
      <c r="DA52" s="233"/>
      <c r="DB52" s="233"/>
      <c r="DC52" s="233"/>
      <c r="DD52" s="109"/>
    </row>
    <row r="53" spans="1:108" ht="6.75" customHeight="1">
      <c r="A53" s="126"/>
      <c r="B53" s="313"/>
      <c r="C53" s="240"/>
      <c r="D53" s="240"/>
      <c r="E53" s="240"/>
      <c r="F53" s="240"/>
      <c r="G53" s="240"/>
      <c r="H53" s="240"/>
      <c r="I53" s="240"/>
      <c r="J53" s="240"/>
      <c r="K53" s="240"/>
      <c r="L53" s="240"/>
      <c r="M53" s="240"/>
      <c r="N53" s="240"/>
      <c r="O53" s="240"/>
      <c r="P53" s="240"/>
      <c r="Q53" s="240"/>
      <c r="R53" s="240"/>
      <c r="S53" s="240"/>
      <c r="T53" s="240"/>
      <c r="U53" s="240"/>
      <c r="V53" s="240"/>
      <c r="W53" s="240"/>
      <c r="X53" s="240"/>
      <c r="Y53" s="240"/>
      <c r="Z53" s="240"/>
      <c r="AA53" s="240"/>
      <c r="AB53" s="240"/>
      <c r="AC53" s="240"/>
      <c r="AD53" s="240"/>
      <c r="AE53" s="240"/>
      <c r="AF53" s="240"/>
      <c r="AG53" s="240"/>
      <c r="AH53" s="240"/>
      <c r="AI53" s="240"/>
      <c r="AJ53" s="240"/>
      <c r="AK53" s="240"/>
      <c r="AL53" s="240"/>
      <c r="AM53" s="240"/>
      <c r="AN53" s="240"/>
      <c r="AO53" s="240"/>
      <c r="AP53" s="240"/>
      <c r="AQ53" s="240"/>
      <c r="AR53" s="240"/>
      <c r="AS53" s="240"/>
      <c r="AT53" s="240"/>
      <c r="AU53" s="240"/>
      <c r="AV53" s="240"/>
      <c r="AW53" s="240"/>
      <c r="AX53" s="240"/>
      <c r="AY53" s="240"/>
      <c r="AZ53" s="240"/>
      <c r="BA53" s="240"/>
      <c r="BB53" s="240"/>
      <c r="BC53" s="240"/>
      <c r="BD53" s="240"/>
      <c r="BE53" s="240"/>
      <c r="BF53" s="240"/>
      <c r="BG53" s="240"/>
      <c r="BH53" s="240"/>
      <c r="BI53" s="240"/>
      <c r="BJ53" s="240"/>
      <c r="BK53" s="240"/>
      <c r="BL53" s="240"/>
      <c r="BM53" s="240"/>
      <c r="BN53" s="240"/>
      <c r="BO53" s="240"/>
      <c r="BP53" s="240"/>
      <c r="BQ53" s="240"/>
      <c r="BR53" s="240"/>
      <c r="BS53" s="240"/>
      <c r="BT53" s="240"/>
      <c r="BU53" s="240"/>
      <c r="BV53" s="240"/>
      <c r="BW53" s="240"/>
      <c r="BX53" s="240"/>
      <c r="BY53" s="240"/>
      <c r="BZ53" s="240"/>
      <c r="CA53" s="240"/>
      <c r="CB53" s="240"/>
      <c r="CC53" s="240"/>
      <c r="CD53" s="240"/>
      <c r="CE53" s="240"/>
      <c r="CF53" s="240"/>
      <c r="CG53" s="240"/>
      <c r="CH53" s="240"/>
      <c r="CI53" s="240"/>
      <c r="CJ53" s="240"/>
      <c r="CK53" s="240"/>
      <c r="CL53" s="240"/>
      <c r="CM53" s="240"/>
      <c r="CN53" s="240"/>
      <c r="CO53" s="240"/>
      <c r="CP53" s="240"/>
      <c r="CQ53" s="240"/>
      <c r="CR53" s="240"/>
      <c r="CS53" s="240"/>
      <c r="CT53" s="240"/>
      <c r="CU53" s="240"/>
      <c r="CV53" s="240"/>
      <c r="CW53" s="240"/>
      <c r="CX53" s="240"/>
      <c r="CY53" s="240"/>
      <c r="CZ53" s="240"/>
      <c r="DA53" s="240"/>
      <c r="DB53" s="240"/>
      <c r="DC53" s="240"/>
      <c r="DD53" s="127"/>
    </row>
    <row r="54" spans="1:108" ht="18" customHeight="1">
      <c r="A54" s="135"/>
      <c r="B54" s="312" t="s">
        <v>1820</v>
      </c>
      <c r="C54" s="233"/>
      <c r="D54" s="233"/>
      <c r="E54" s="233"/>
      <c r="F54" s="233"/>
      <c r="G54" s="233"/>
      <c r="H54" s="233"/>
      <c r="I54" s="233"/>
      <c r="J54" s="233"/>
      <c r="K54" s="233"/>
      <c r="L54" s="233"/>
      <c r="M54" s="233"/>
      <c r="N54" s="233"/>
      <c r="O54" s="233"/>
      <c r="P54" s="233"/>
      <c r="Q54" s="233"/>
      <c r="R54" s="233"/>
      <c r="S54" s="233"/>
      <c r="T54" s="233"/>
      <c r="U54" s="233"/>
      <c r="V54" s="233"/>
      <c r="W54" s="233"/>
      <c r="X54" s="233"/>
      <c r="Y54" s="233"/>
      <c r="Z54" s="233"/>
      <c r="AA54" s="233"/>
      <c r="AB54" s="233"/>
      <c r="AC54" s="233"/>
      <c r="AD54" s="233"/>
      <c r="AE54" s="233"/>
      <c r="AF54" s="233"/>
      <c r="AG54" s="233"/>
      <c r="AH54" s="233"/>
      <c r="AI54" s="233"/>
      <c r="AJ54" s="233"/>
      <c r="AK54" s="233"/>
      <c r="AL54" s="233"/>
      <c r="AM54" s="233"/>
      <c r="AN54" s="233"/>
      <c r="AO54" s="233"/>
      <c r="AP54" s="233"/>
      <c r="AQ54" s="233"/>
      <c r="AR54" s="233"/>
      <c r="AS54" s="233"/>
      <c r="AT54" s="233"/>
      <c r="AU54" s="233"/>
      <c r="AV54" s="233"/>
      <c r="AW54" s="233"/>
      <c r="AX54" s="233"/>
      <c r="AY54" s="233"/>
      <c r="AZ54" s="233"/>
      <c r="BA54" s="233"/>
      <c r="BB54" s="233"/>
      <c r="BC54" s="233"/>
      <c r="BD54" s="233"/>
      <c r="BE54" s="233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3"/>
      <c r="BW54" s="233"/>
      <c r="BX54" s="233"/>
      <c r="BY54" s="233"/>
      <c r="BZ54" s="233"/>
      <c r="CA54" s="233"/>
      <c r="CB54" s="233"/>
      <c r="CC54" s="233"/>
      <c r="CD54" s="233"/>
      <c r="CE54" s="233"/>
      <c r="CF54" s="233"/>
      <c r="CG54" s="233"/>
      <c r="CH54" s="233"/>
      <c r="CI54" s="233"/>
      <c r="CJ54" s="233"/>
      <c r="CK54" s="233"/>
      <c r="CL54" s="233"/>
      <c r="CM54" s="233"/>
      <c r="CN54" s="233"/>
      <c r="CO54" s="233"/>
      <c r="CP54" s="233"/>
      <c r="CQ54" s="233"/>
      <c r="CR54" s="233"/>
      <c r="CS54" s="233"/>
      <c r="CT54" s="233"/>
      <c r="CU54" s="233"/>
      <c r="CV54" s="233"/>
      <c r="CW54" s="233"/>
      <c r="CX54" s="233"/>
      <c r="CY54" s="233"/>
      <c r="CZ54" s="233"/>
      <c r="DA54" s="233"/>
      <c r="DB54" s="233"/>
      <c r="DC54" s="233"/>
      <c r="DD54" s="124"/>
    </row>
    <row r="55" spans="1:108" ht="15" customHeight="1">
      <c r="A55" s="317" t="s">
        <v>1821</v>
      </c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43"/>
      <c r="BC55" s="317" t="s">
        <v>1822</v>
      </c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4"/>
      <c r="BS55" s="214"/>
      <c r="BT55" s="214"/>
      <c r="BU55" s="214"/>
      <c r="BV55" s="214"/>
      <c r="BW55" s="214"/>
      <c r="BX55" s="214"/>
      <c r="BY55" s="214"/>
      <c r="BZ55" s="214"/>
      <c r="CA55" s="214"/>
      <c r="CB55" s="214"/>
      <c r="CC55" s="214"/>
      <c r="CD55" s="214"/>
      <c r="CE55" s="214"/>
      <c r="CF55" s="214"/>
      <c r="CG55" s="214"/>
      <c r="CH55" s="214"/>
      <c r="CI55" s="214"/>
      <c r="CJ55" s="214"/>
      <c r="CK55" s="214"/>
      <c r="CL55" s="214"/>
      <c r="CM55" s="214"/>
      <c r="CN55" s="214"/>
      <c r="CO55" s="214"/>
      <c r="CP55" s="214"/>
      <c r="CQ55" s="214"/>
      <c r="CR55" s="214"/>
      <c r="CS55" s="214"/>
      <c r="CT55" s="214"/>
      <c r="CU55" s="214"/>
      <c r="CV55" s="214"/>
      <c r="CW55" s="214"/>
      <c r="CX55" s="214"/>
      <c r="CY55" s="214"/>
      <c r="CZ55" s="214"/>
      <c r="DA55" s="214"/>
      <c r="DB55" s="214"/>
      <c r="DC55" s="214"/>
      <c r="DD55" s="243"/>
    </row>
    <row r="56" spans="1:108" ht="12" customHeight="1">
      <c r="A56" s="136"/>
      <c r="B56" s="255" t="s">
        <v>13</v>
      </c>
      <c r="C56" s="256"/>
      <c r="D56" s="256"/>
      <c r="E56" s="256"/>
      <c r="F56" s="256"/>
      <c r="G56" s="256"/>
      <c r="H56" s="256"/>
      <c r="I56" s="256"/>
      <c r="J56" s="256"/>
      <c r="K56" s="256"/>
      <c r="L56" s="256"/>
      <c r="M56" s="256"/>
      <c r="N56" s="256"/>
      <c r="O56" s="256"/>
      <c r="P56" s="256"/>
      <c r="Q56" s="256"/>
      <c r="R56" s="256"/>
      <c r="S56" s="256"/>
      <c r="T56" s="256"/>
      <c r="U56" s="256"/>
      <c r="V56" s="256"/>
      <c r="W56" s="256"/>
      <c r="X56" s="256"/>
      <c r="Y56" s="256"/>
      <c r="Z56" s="256"/>
      <c r="AA56" s="256"/>
      <c r="AB56" s="256"/>
      <c r="AC56" s="256"/>
      <c r="AD56" s="256"/>
      <c r="AE56" s="256"/>
      <c r="AF56" s="256"/>
      <c r="AG56" s="256"/>
      <c r="AH56" s="256"/>
      <c r="AI56" s="256"/>
      <c r="AJ56" s="256"/>
      <c r="AK56" s="256"/>
      <c r="AL56" s="256"/>
      <c r="AM56" s="256"/>
      <c r="AN56" s="256"/>
      <c r="AO56" s="256"/>
      <c r="AP56" s="256"/>
      <c r="AQ56" s="256"/>
      <c r="AR56" s="256"/>
      <c r="AS56" s="256"/>
      <c r="AT56" s="256"/>
      <c r="AU56" s="256"/>
      <c r="AV56" s="256"/>
      <c r="AW56" s="256"/>
      <c r="AX56" s="256"/>
      <c r="AY56" s="256"/>
      <c r="AZ56" s="256"/>
      <c r="BA56" s="257"/>
      <c r="BB56" s="137"/>
      <c r="BC56" s="327"/>
      <c r="BD56" s="233"/>
      <c r="BE56" s="233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3"/>
      <c r="BW56" s="233"/>
      <c r="BX56" s="233"/>
      <c r="BY56" s="233"/>
      <c r="BZ56" s="233"/>
      <c r="CA56" s="233"/>
      <c r="CB56" s="233"/>
      <c r="CC56" s="233"/>
      <c r="CD56" s="233"/>
      <c r="CE56" s="233"/>
      <c r="CF56" s="233"/>
      <c r="CG56" s="233"/>
      <c r="CH56" s="233"/>
      <c r="CI56" s="233"/>
      <c r="CJ56" s="233"/>
      <c r="CK56" s="233"/>
      <c r="CL56" s="233"/>
      <c r="CM56" s="233"/>
      <c r="CN56" s="233"/>
      <c r="CO56" s="233"/>
      <c r="CP56" s="233"/>
      <c r="CQ56" s="233"/>
      <c r="CR56" s="233"/>
      <c r="CS56" s="233"/>
      <c r="CT56" s="233"/>
      <c r="CU56" s="233"/>
      <c r="CV56" s="233"/>
      <c r="CW56" s="233"/>
      <c r="CX56" s="233"/>
      <c r="CY56" s="233"/>
      <c r="CZ56" s="233"/>
      <c r="DA56" s="233"/>
      <c r="DB56" s="233"/>
      <c r="DC56" s="328"/>
      <c r="DD56" s="138"/>
    </row>
    <row r="57" spans="1:108" ht="3.75" customHeight="1">
      <c r="A57" s="139"/>
      <c r="B57" s="314"/>
      <c r="C57" s="218"/>
      <c r="D57" s="218"/>
      <c r="E57" s="218"/>
      <c r="F57" s="218"/>
      <c r="G57" s="218"/>
      <c r="H57" s="218"/>
      <c r="I57" s="218"/>
      <c r="J57" s="218"/>
      <c r="K57" s="218"/>
      <c r="L57" s="218"/>
      <c r="M57" s="218"/>
      <c r="N57" s="218"/>
      <c r="O57" s="218"/>
      <c r="P57" s="218"/>
      <c r="Q57" s="218"/>
      <c r="R57" s="218"/>
      <c r="S57" s="218"/>
      <c r="T57" s="218"/>
      <c r="U57" s="218"/>
      <c r="V57" s="218"/>
      <c r="W57" s="218"/>
      <c r="X57" s="218"/>
      <c r="Y57" s="218"/>
      <c r="Z57" s="218"/>
      <c r="AA57" s="218"/>
      <c r="AB57" s="218"/>
      <c r="AC57" s="218"/>
      <c r="AD57" s="218"/>
      <c r="AE57" s="218"/>
      <c r="AF57" s="218"/>
      <c r="AG57" s="218"/>
      <c r="AH57" s="218"/>
      <c r="AI57" s="218"/>
      <c r="AJ57" s="218"/>
      <c r="AK57" s="218"/>
      <c r="AL57" s="218"/>
      <c r="AM57" s="218"/>
      <c r="AN57" s="218"/>
      <c r="AO57" s="218"/>
      <c r="AP57" s="218"/>
      <c r="AQ57" s="218"/>
      <c r="AR57" s="218"/>
      <c r="AS57" s="218"/>
      <c r="AT57" s="218"/>
      <c r="AU57" s="218"/>
      <c r="AV57" s="218"/>
      <c r="AW57" s="218"/>
      <c r="AX57" s="218"/>
      <c r="AY57" s="218"/>
      <c r="AZ57" s="218"/>
      <c r="BA57" s="222"/>
      <c r="BB57" s="140"/>
      <c r="BC57" s="329"/>
      <c r="BD57" s="209"/>
      <c r="BE57" s="209"/>
      <c r="BF57" s="209"/>
      <c r="BG57" s="209"/>
      <c r="BH57" s="209"/>
      <c r="BI57" s="209"/>
      <c r="BJ57" s="209"/>
      <c r="BK57" s="209"/>
      <c r="BL57" s="209"/>
      <c r="BM57" s="209"/>
      <c r="BN57" s="209"/>
      <c r="BO57" s="209"/>
      <c r="BP57" s="209"/>
      <c r="BQ57" s="209"/>
      <c r="BR57" s="209"/>
      <c r="BS57" s="209"/>
      <c r="BT57" s="209"/>
      <c r="BU57" s="209"/>
      <c r="BV57" s="209"/>
      <c r="BW57" s="209"/>
      <c r="BX57" s="209"/>
      <c r="BY57" s="209"/>
      <c r="BZ57" s="209"/>
      <c r="CA57" s="209"/>
      <c r="CB57" s="209"/>
      <c r="CC57" s="209"/>
      <c r="CD57" s="209"/>
      <c r="CE57" s="209"/>
      <c r="CF57" s="209"/>
      <c r="CG57" s="209"/>
      <c r="CH57" s="209"/>
      <c r="CI57" s="209"/>
      <c r="CJ57" s="209"/>
      <c r="CK57" s="209"/>
      <c r="CL57" s="209"/>
      <c r="CM57" s="209"/>
      <c r="CN57" s="209"/>
      <c r="CO57" s="209"/>
      <c r="CP57" s="209"/>
      <c r="CQ57" s="209"/>
      <c r="CR57" s="209"/>
      <c r="CS57" s="209"/>
      <c r="CT57" s="209"/>
      <c r="CU57" s="209"/>
      <c r="CV57" s="209"/>
      <c r="CW57" s="209"/>
      <c r="CX57" s="209"/>
      <c r="CY57" s="209"/>
      <c r="CZ57" s="209"/>
      <c r="DA57" s="209"/>
      <c r="DB57" s="209"/>
      <c r="DC57" s="330"/>
      <c r="DD57" s="141"/>
    </row>
    <row r="58" spans="1:108" ht="25.5" customHeight="1">
      <c r="A58" s="142"/>
      <c r="B58" s="326" t="s">
        <v>1823</v>
      </c>
      <c r="C58" s="256"/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256"/>
      <c r="O58" s="256"/>
      <c r="P58" s="256"/>
      <c r="Q58" s="256"/>
      <c r="R58" s="256"/>
      <c r="S58" s="256"/>
      <c r="T58" s="256"/>
      <c r="U58" s="256"/>
      <c r="V58" s="256"/>
      <c r="W58" s="256"/>
      <c r="X58" s="256"/>
      <c r="Y58" s="256"/>
      <c r="Z58" s="256"/>
      <c r="AA58" s="256"/>
      <c r="AB58" s="256"/>
      <c r="AC58" s="256"/>
      <c r="AD58" s="256"/>
      <c r="AE58" s="256"/>
      <c r="AF58" s="256"/>
      <c r="AG58" s="256"/>
      <c r="AH58" s="256"/>
      <c r="AI58" s="256"/>
      <c r="AJ58" s="256"/>
      <c r="AK58" s="256"/>
      <c r="AL58" s="256"/>
      <c r="AM58" s="256"/>
      <c r="AN58" s="256"/>
      <c r="AO58" s="256"/>
      <c r="AP58" s="256"/>
      <c r="AQ58" s="256"/>
      <c r="AR58" s="256"/>
      <c r="AS58" s="256"/>
      <c r="AT58" s="256"/>
      <c r="AU58" s="256"/>
      <c r="AV58" s="256"/>
      <c r="AW58" s="256"/>
      <c r="AX58" s="256"/>
      <c r="AY58" s="256"/>
      <c r="AZ58" s="256"/>
      <c r="BA58" s="257"/>
      <c r="BB58" s="143"/>
      <c r="BC58" s="331"/>
      <c r="BD58" s="332"/>
      <c r="BE58" s="332"/>
      <c r="BF58" s="332"/>
      <c r="BG58" s="332"/>
      <c r="BH58" s="332"/>
      <c r="BI58" s="332"/>
      <c r="BJ58" s="332"/>
      <c r="BK58" s="332"/>
      <c r="BL58" s="332"/>
      <c r="BM58" s="332"/>
      <c r="BN58" s="332"/>
      <c r="BO58" s="332"/>
      <c r="BP58" s="332"/>
      <c r="BQ58" s="332"/>
      <c r="BR58" s="332"/>
      <c r="BS58" s="332"/>
      <c r="BT58" s="332"/>
      <c r="BU58" s="332"/>
      <c r="BV58" s="332"/>
      <c r="BW58" s="332"/>
      <c r="BX58" s="332"/>
      <c r="BY58" s="332"/>
      <c r="BZ58" s="332"/>
      <c r="CA58" s="332"/>
      <c r="CB58" s="332"/>
      <c r="CC58" s="332"/>
      <c r="CD58" s="332"/>
      <c r="CE58" s="332"/>
      <c r="CF58" s="332"/>
      <c r="CG58" s="332"/>
      <c r="CH58" s="332"/>
      <c r="CI58" s="332"/>
      <c r="CJ58" s="332"/>
      <c r="CK58" s="332"/>
      <c r="CL58" s="332"/>
      <c r="CM58" s="332"/>
      <c r="CN58" s="332"/>
      <c r="CO58" s="332"/>
      <c r="CP58" s="332"/>
      <c r="CQ58" s="332"/>
      <c r="CR58" s="332"/>
      <c r="CS58" s="332"/>
      <c r="CT58" s="332"/>
      <c r="CU58" s="332"/>
      <c r="CV58" s="332"/>
      <c r="CW58" s="332"/>
      <c r="CX58" s="332"/>
      <c r="CY58" s="332"/>
      <c r="CZ58" s="332"/>
      <c r="DA58" s="332"/>
      <c r="DB58" s="332"/>
      <c r="DC58" s="333"/>
      <c r="DD58" s="144"/>
    </row>
    <row r="59" spans="1:108" ht="51" customHeight="1">
      <c r="A59" s="139"/>
      <c r="B59" s="319" t="s">
        <v>87</v>
      </c>
      <c r="C59" s="218"/>
      <c r="D59" s="218"/>
      <c r="E59" s="218"/>
      <c r="F59" s="218"/>
      <c r="G59" s="218"/>
      <c r="H59" s="218"/>
      <c r="I59" s="218"/>
      <c r="J59" s="218"/>
      <c r="K59" s="218"/>
      <c r="L59" s="218"/>
      <c r="M59" s="218"/>
      <c r="N59" s="218"/>
      <c r="O59" s="218"/>
      <c r="P59" s="218"/>
      <c r="Q59" s="218"/>
      <c r="R59" s="218"/>
      <c r="S59" s="218"/>
      <c r="T59" s="218"/>
      <c r="U59" s="218"/>
      <c r="V59" s="218"/>
      <c r="W59" s="218"/>
      <c r="X59" s="218"/>
      <c r="Y59" s="218"/>
      <c r="Z59" s="218"/>
      <c r="AA59" s="218"/>
      <c r="AB59" s="218"/>
      <c r="AC59" s="218"/>
      <c r="AD59" s="218"/>
      <c r="AE59" s="218"/>
      <c r="AF59" s="218"/>
      <c r="AG59" s="218"/>
      <c r="AH59" s="218"/>
      <c r="AI59" s="218"/>
      <c r="AJ59" s="218"/>
      <c r="AK59" s="218"/>
      <c r="AL59" s="218"/>
      <c r="AM59" s="218"/>
      <c r="AN59" s="218"/>
      <c r="AO59" s="218"/>
      <c r="AP59" s="218"/>
      <c r="AQ59" s="218"/>
      <c r="AR59" s="218"/>
      <c r="AS59" s="218"/>
      <c r="AT59" s="218"/>
      <c r="AU59" s="218"/>
      <c r="AV59" s="218"/>
      <c r="AW59" s="218"/>
      <c r="AX59" s="218"/>
      <c r="AY59" s="218"/>
      <c r="AZ59" s="218"/>
      <c r="BA59" s="222"/>
      <c r="BB59" s="145"/>
      <c r="BC59" s="146"/>
      <c r="BD59" s="334" t="s">
        <v>1824</v>
      </c>
      <c r="BE59" s="218"/>
      <c r="BF59" s="218"/>
      <c r="BG59" s="218"/>
      <c r="BH59" s="218"/>
      <c r="BI59" s="218"/>
      <c r="BJ59" s="218"/>
      <c r="BK59" s="218"/>
      <c r="BL59" s="218"/>
      <c r="BM59" s="218"/>
      <c r="BN59" s="218"/>
      <c r="BO59" s="218"/>
      <c r="BP59" s="218"/>
      <c r="BQ59" s="218"/>
      <c r="BR59" s="218"/>
      <c r="BS59" s="218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8"/>
      <c r="CJ59" s="218"/>
      <c r="CK59" s="218"/>
      <c r="CL59" s="218"/>
      <c r="CM59" s="218"/>
      <c r="CN59" s="218"/>
      <c r="CO59" s="218"/>
      <c r="CP59" s="218"/>
      <c r="CQ59" s="218"/>
      <c r="CR59" s="218"/>
      <c r="CS59" s="218"/>
      <c r="CT59" s="218"/>
      <c r="CU59" s="218"/>
      <c r="CV59" s="218"/>
      <c r="CW59" s="218"/>
      <c r="CX59" s="218"/>
      <c r="CY59" s="218"/>
      <c r="CZ59" s="218"/>
      <c r="DA59" s="218"/>
      <c r="DB59" s="218"/>
      <c r="DC59" s="222"/>
      <c r="DD59" s="141"/>
    </row>
    <row r="60" spans="1:108" ht="11.25" customHeight="1">
      <c r="A60" s="135"/>
      <c r="B60" s="303" t="s">
        <v>88</v>
      </c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  <c r="AL60" s="209"/>
      <c r="AM60" s="209"/>
      <c r="AN60" s="209"/>
      <c r="AO60" s="209"/>
      <c r="AP60" s="209"/>
      <c r="AQ60" s="209"/>
      <c r="AR60" s="209"/>
      <c r="AS60" s="209"/>
      <c r="AT60" s="209"/>
      <c r="AU60" s="209"/>
      <c r="AV60" s="209"/>
      <c r="AW60" s="209"/>
      <c r="AX60" s="209"/>
      <c r="AY60" s="209"/>
      <c r="AZ60" s="209"/>
      <c r="BA60" s="209"/>
      <c r="BB60" s="88"/>
      <c r="BC60" s="135"/>
      <c r="BD60" s="303" t="s">
        <v>107</v>
      </c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09"/>
      <c r="BR60" s="209"/>
      <c r="BS60" s="209"/>
      <c r="BT60" s="209"/>
      <c r="BU60" s="209"/>
      <c r="BV60" s="209"/>
      <c r="BW60" s="209"/>
      <c r="BX60" s="209"/>
      <c r="BY60" s="209"/>
      <c r="BZ60" s="209"/>
      <c r="CA60" s="209"/>
      <c r="CB60" s="209"/>
      <c r="CC60" s="209"/>
      <c r="CD60" s="209"/>
      <c r="CE60" s="209"/>
      <c r="CF60" s="209"/>
      <c r="CG60" s="209"/>
      <c r="CH60" s="209"/>
      <c r="CI60" s="209"/>
      <c r="CJ60" s="209"/>
      <c r="CK60" s="209"/>
      <c r="CL60" s="209"/>
      <c r="CM60" s="209"/>
      <c r="CN60" s="209"/>
      <c r="CO60" s="209"/>
      <c r="CP60" s="209"/>
      <c r="CQ60" s="209"/>
      <c r="CR60" s="209"/>
      <c r="CS60" s="209"/>
      <c r="CT60" s="209"/>
      <c r="CU60" s="209"/>
      <c r="CV60" s="209"/>
      <c r="CW60" s="209"/>
      <c r="CX60" s="209"/>
      <c r="CY60" s="209"/>
      <c r="CZ60" s="209"/>
      <c r="DA60" s="209"/>
      <c r="DB60" s="209"/>
      <c r="DC60" s="209"/>
      <c r="DD60" s="124"/>
    </row>
    <row r="61" spans="1:108" ht="11.25" customHeight="1">
      <c r="A61" s="120"/>
      <c r="B61" s="320"/>
      <c r="C61" s="240"/>
      <c r="D61" s="240"/>
      <c r="E61" s="240"/>
      <c r="F61" s="240"/>
      <c r="G61" s="240"/>
      <c r="H61" s="240"/>
      <c r="I61" s="240"/>
      <c r="J61" s="240"/>
      <c r="K61" s="240"/>
      <c r="L61" s="240"/>
      <c r="M61" s="240"/>
      <c r="N61" s="240"/>
      <c r="O61" s="240"/>
      <c r="P61" s="240"/>
      <c r="Q61" s="240"/>
      <c r="R61" s="240"/>
      <c r="S61" s="240"/>
      <c r="T61" s="240"/>
      <c r="U61" s="240"/>
      <c r="V61" s="240"/>
      <c r="W61" s="240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123"/>
      <c r="BC61" s="120"/>
      <c r="BD61" s="32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147"/>
    </row>
    <row r="62" spans="1:108" ht="7.5" customHeight="1">
      <c r="A62" s="135"/>
      <c r="B62" s="303" t="s">
        <v>1825</v>
      </c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  <c r="AT62" s="209"/>
      <c r="AU62" s="209"/>
      <c r="AV62" s="209"/>
      <c r="AW62" s="209"/>
      <c r="AX62" s="209"/>
      <c r="AY62" s="209"/>
      <c r="AZ62" s="209"/>
      <c r="BA62" s="209"/>
      <c r="BB62" s="88"/>
      <c r="BC62" s="135"/>
      <c r="BD62" s="303" t="s">
        <v>1826</v>
      </c>
      <c r="BE62" s="209"/>
      <c r="BF62" s="209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09"/>
      <c r="CJ62" s="209"/>
      <c r="CK62" s="209"/>
      <c r="CL62" s="209"/>
      <c r="CM62" s="209"/>
      <c r="CN62" s="209"/>
      <c r="CO62" s="209"/>
      <c r="CP62" s="209"/>
      <c r="CQ62" s="209"/>
      <c r="CR62" s="209"/>
      <c r="CS62" s="209"/>
      <c r="CT62" s="209"/>
      <c r="CU62" s="209"/>
      <c r="CV62" s="209"/>
      <c r="CW62" s="209"/>
      <c r="CX62" s="209"/>
      <c r="CY62" s="209"/>
      <c r="CZ62" s="209"/>
      <c r="DA62" s="209"/>
      <c r="DB62" s="209"/>
      <c r="DC62" s="209"/>
      <c r="DD62" s="124"/>
    </row>
    <row r="63" spans="1:108" ht="7.5" customHeight="1">
      <c r="A63" s="133"/>
      <c r="B63" s="315"/>
      <c r="C63" s="240"/>
      <c r="D63" s="240"/>
      <c r="E63" s="240"/>
      <c r="F63" s="240"/>
      <c r="G63" s="240"/>
      <c r="H63" s="240"/>
      <c r="I63" s="240"/>
      <c r="J63" s="240"/>
      <c r="K63" s="240"/>
      <c r="L63" s="240"/>
      <c r="M63" s="240"/>
      <c r="N63" s="240"/>
      <c r="O63" s="240"/>
      <c r="P63" s="240"/>
      <c r="Q63" s="240"/>
      <c r="R63" s="240"/>
      <c r="S63" s="240"/>
      <c r="T63" s="240"/>
      <c r="U63" s="240"/>
      <c r="V63" s="240"/>
      <c r="W63" s="240"/>
      <c r="X63" s="240"/>
      <c r="Y63" s="240"/>
      <c r="Z63" s="118"/>
      <c r="AA63" s="118"/>
      <c r="AB63" s="118"/>
      <c r="AC63" s="118"/>
      <c r="AD63" s="315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118"/>
      <c r="BC63" s="133"/>
      <c r="BD63" s="315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118"/>
      <c r="CC63" s="118"/>
      <c r="CD63" s="118"/>
      <c r="CE63" s="118"/>
      <c r="CF63" s="315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134"/>
    </row>
    <row r="64" spans="1:108" ht="7.5" customHeight="1">
      <c r="A64" s="120"/>
      <c r="B64" s="321" t="s">
        <v>109</v>
      </c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123"/>
      <c r="AA64" s="123"/>
      <c r="AB64" s="123"/>
      <c r="AC64" s="123"/>
      <c r="AD64" s="321" t="s">
        <v>91</v>
      </c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123"/>
      <c r="BC64" s="120"/>
      <c r="BD64" s="321" t="s">
        <v>109</v>
      </c>
      <c r="BE64" s="209"/>
      <c r="BF64" s="209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123"/>
      <c r="CC64" s="123"/>
      <c r="CD64" s="123"/>
      <c r="CE64" s="123"/>
      <c r="CF64" s="321" t="s">
        <v>91</v>
      </c>
      <c r="CG64" s="209"/>
      <c r="CH64" s="209"/>
      <c r="CI64" s="209"/>
      <c r="CJ64" s="209"/>
      <c r="CK64" s="209"/>
      <c r="CL64" s="209"/>
      <c r="CM64" s="209"/>
      <c r="CN64" s="209"/>
      <c r="CO64" s="209"/>
      <c r="CP64" s="209"/>
      <c r="CQ64" s="209"/>
      <c r="CR64" s="209"/>
      <c r="CS64" s="209"/>
      <c r="CT64" s="209"/>
      <c r="CU64" s="209"/>
      <c r="CV64" s="209"/>
      <c r="CW64" s="209"/>
      <c r="CX64" s="209"/>
      <c r="CY64" s="209"/>
      <c r="CZ64" s="209"/>
      <c r="DA64" s="209"/>
      <c r="DB64" s="209"/>
      <c r="DC64" s="209"/>
      <c r="DD64" s="147"/>
    </row>
    <row r="65" spans="1:108" ht="7.5" customHeight="1">
      <c r="A65" s="126"/>
      <c r="B65" s="313"/>
      <c r="C65" s="240"/>
      <c r="D65" s="240"/>
      <c r="E65" s="240"/>
      <c r="F65" s="240"/>
      <c r="G65" s="240"/>
      <c r="H65" s="240"/>
      <c r="I65" s="240"/>
      <c r="J65" s="240"/>
      <c r="K65" s="240"/>
      <c r="L65" s="240"/>
      <c r="M65" s="240"/>
      <c r="N65" s="240"/>
      <c r="O65" s="240"/>
      <c r="P65" s="240"/>
      <c r="Q65" s="240"/>
      <c r="R65" s="240"/>
      <c r="S65" s="240"/>
      <c r="T65" s="240"/>
      <c r="U65" s="240"/>
      <c r="V65" s="240"/>
      <c r="W65" s="240"/>
      <c r="X65" s="240"/>
      <c r="Y65" s="240"/>
      <c r="Z65" s="240"/>
      <c r="AA65" s="240"/>
      <c r="AB65" s="240"/>
      <c r="AC65" s="240"/>
      <c r="AD65" s="240"/>
      <c r="AE65" s="240"/>
      <c r="AF65" s="240"/>
      <c r="AG65" s="240"/>
      <c r="AH65" s="240"/>
      <c r="AI65" s="240"/>
      <c r="AJ65" s="240"/>
      <c r="AK65" s="240"/>
      <c r="AL65" s="240"/>
      <c r="AM65" s="240"/>
      <c r="AN65" s="240"/>
      <c r="AO65" s="240"/>
      <c r="AP65" s="240"/>
      <c r="AQ65" s="240"/>
      <c r="AR65" s="240"/>
      <c r="AS65" s="240"/>
      <c r="AT65" s="240"/>
      <c r="AU65" s="240"/>
      <c r="AV65" s="240"/>
      <c r="AW65" s="240"/>
      <c r="AX65" s="240"/>
      <c r="AY65" s="240"/>
      <c r="AZ65" s="240"/>
      <c r="BA65" s="240"/>
      <c r="BB65" s="148"/>
      <c r="BC65" s="126"/>
      <c r="BD65" s="313"/>
      <c r="BE65" s="240"/>
      <c r="BF65" s="240"/>
      <c r="BG65" s="240"/>
      <c r="BH65" s="240"/>
      <c r="BI65" s="240"/>
      <c r="BJ65" s="240"/>
      <c r="BK65" s="240"/>
      <c r="BL65" s="240"/>
      <c r="BM65" s="240"/>
      <c r="BN65" s="240"/>
      <c r="BO65" s="240"/>
      <c r="BP65" s="240"/>
      <c r="BQ65" s="240"/>
      <c r="BR65" s="240"/>
      <c r="BS65" s="240"/>
      <c r="BT65" s="240"/>
      <c r="BU65" s="240"/>
      <c r="BV65" s="240"/>
      <c r="BW65" s="240"/>
      <c r="BX65" s="240"/>
      <c r="BY65" s="240"/>
      <c r="BZ65" s="240"/>
      <c r="CA65" s="240"/>
      <c r="CB65" s="240"/>
      <c r="CC65" s="240"/>
      <c r="CD65" s="240"/>
      <c r="CE65" s="240"/>
      <c r="CF65" s="240"/>
      <c r="CG65" s="240"/>
      <c r="CH65" s="240"/>
      <c r="CI65" s="240"/>
      <c r="CJ65" s="240"/>
      <c r="CK65" s="240"/>
      <c r="CL65" s="240"/>
      <c r="CM65" s="240"/>
      <c r="CN65" s="240"/>
      <c r="CO65" s="240"/>
      <c r="CP65" s="240"/>
      <c r="CQ65" s="240"/>
      <c r="CR65" s="240"/>
      <c r="CS65" s="240"/>
      <c r="CT65" s="240"/>
      <c r="CU65" s="240"/>
      <c r="CV65" s="240"/>
      <c r="CW65" s="240"/>
      <c r="CX65" s="240"/>
      <c r="CY65" s="240"/>
      <c r="CZ65" s="240"/>
      <c r="DA65" s="240"/>
      <c r="DB65" s="240"/>
      <c r="DC65" s="240"/>
      <c r="DD65" s="127"/>
    </row>
    <row r="66" spans="1:108" ht="7.5" customHeight="1">
      <c r="A66" s="135"/>
      <c r="B66" s="303" t="s">
        <v>1827</v>
      </c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  <c r="AH66" s="209"/>
      <c r="AI66" s="209"/>
      <c r="AJ66" s="209"/>
      <c r="AK66" s="209"/>
      <c r="AL66" s="209"/>
      <c r="AM66" s="209"/>
      <c r="AN66" s="209"/>
      <c r="AO66" s="209"/>
      <c r="AP66" s="209"/>
      <c r="AQ66" s="209"/>
      <c r="AR66" s="209"/>
      <c r="AS66" s="209"/>
      <c r="AT66" s="209"/>
      <c r="AU66" s="209"/>
      <c r="AV66" s="209"/>
      <c r="AW66" s="209"/>
      <c r="AX66" s="209"/>
      <c r="AY66" s="209"/>
      <c r="AZ66" s="209"/>
      <c r="BA66" s="209"/>
      <c r="BB66" s="88"/>
      <c r="BC66" s="135"/>
      <c r="BD66" s="303" t="s">
        <v>1827</v>
      </c>
      <c r="BE66" s="209"/>
      <c r="BF66" s="209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09"/>
      <c r="BR66" s="209"/>
      <c r="BS66" s="209"/>
      <c r="BT66" s="209"/>
      <c r="BU66" s="209"/>
      <c r="BV66" s="209"/>
      <c r="BW66" s="209"/>
      <c r="BX66" s="209"/>
      <c r="BY66" s="209"/>
      <c r="BZ66" s="209"/>
      <c r="CA66" s="209"/>
      <c r="CB66" s="209"/>
      <c r="CC66" s="209"/>
      <c r="CD66" s="209"/>
      <c r="CE66" s="209"/>
      <c r="CF66" s="209"/>
      <c r="CG66" s="209"/>
      <c r="CH66" s="209"/>
      <c r="CI66" s="209"/>
      <c r="CJ66" s="209"/>
      <c r="CK66" s="209"/>
      <c r="CL66" s="209"/>
      <c r="CM66" s="209"/>
      <c r="CN66" s="209"/>
      <c r="CO66" s="209"/>
      <c r="CP66" s="209"/>
      <c r="CQ66" s="209"/>
      <c r="CR66" s="209"/>
      <c r="CS66" s="209"/>
      <c r="CT66" s="209"/>
      <c r="CU66" s="209"/>
      <c r="CV66" s="209"/>
      <c r="CW66" s="209"/>
      <c r="CX66" s="209"/>
      <c r="CY66" s="209"/>
      <c r="CZ66" s="209"/>
      <c r="DA66" s="209"/>
      <c r="DB66" s="209"/>
      <c r="DC66" s="209"/>
      <c r="DD66" s="124"/>
    </row>
    <row r="67" spans="1:108" ht="7.5" customHeight="1">
      <c r="A67" s="126"/>
      <c r="B67" s="313"/>
      <c r="C67" s="240"/>
      <c r="D67" s="240"/>
      <c r="E67" s="240"/>
      <c r="F67" s="240"/>
      <c r="G67" s="240"/>
      <c r="H67" s="240"/>
      <c r="I67" s="240"/>
      <c r="J67" s="240"/>
      <c r="K67" s="240"/>
      <c r="L67" s="240"/>
      <c r="M67" s="240"/>
      <c r="N67" s="240"/>
      <c r="O67" s="240"/>
      <c r="P67" s="240"/>
      <c r="Q67" s="240"/>
      <c r="R67" s="240"/>
      <c r="S67" s="240"/>
      <c r="T67" s="240"/>
      <c r="U67" s="240"/>
      <c r="V67" s="240"/>
      <c r="W67" s="240"/>
      <c r="X67" s="240"/>
      <c r="Y67" s="240"/>
      <c r="Z67" s="148"/>
      <c r="AA67" s="148"/>
      <c r="AB67" s="148"/>
      <c r="AC67" s="148"/>
      <c r="AD67" s="313"/>
      <c r="AE67" s="240"/>
      <c r="AF67" s="240"/>
      <c r="AG67" s="240"/>
      <c r="AH67" s="240"/>
      <c r="AI67" s="240"/>
      <c r="AJ67" s="240"/>
      <c r="AK67" s="240"/>
      <c r="AL67" s="240"/>
      <c r="AM67" s="240"/>
      <c r="AN67" s="240"/>
      <c r="AO67" s="240"/>
      <c r="AP67" s="240"/>
      <c r="AQ67" s="240"/>
      <c r="AR67" s="240"/>
      <c r="AS67" s="240"/>
      <c r="AT67" s="240"/>
      <c r="AU67" s="240"/>
      <c r="AV67" s="240"/>
      <c r="AW67" s="240"/>
      <c r="AX67" s="240"/>
      <c r="AY67" s="240"/>
      <c r="AZ67" s="240"/>
      <c r="BA67" s="240"/>
      <c r="BB67" s="148"/>
      <c r="BC67" s="126"/>
      <c r="BD67" s="313"/>
      <c r="BE67" s="240"/>
      <c r="BF67" s="240"/>
      <c r="BG67" s="240"/>
      <c r="BH67" s="240"/>
      <c r="BI67" s="240"/>
      <c r="BJ67" s="240"/>
      <c r="BK67" s="240"/>
      <c r="BL67" s="240"/>
      <c r="BM67" s="240"/>
      <c r="BN67" s="240"/>
      <c r="BO67" s="240"/>
      <c r="BP67" s="240"/>
      <c r="BQ67" s="240"/>
      <c r="BR67" s="240"/>
      <c r="BS67" s="240"/>
      <c r="BT67" s="240"/>
      <c r="BU67" s="240"/>
      <c r="BV67" s="240"/>
      <c r="BW67" s="240"/>
      <c r="BX67" s="240"/>
      <c r="BY67" s="240"/>
      <c r="BZ67" s="240"/>
      <c r="CA67" s="240"/>
      <c r="CB67" s="148"/>
      <c r="CC67" s="148"/>
      <c r="CD67" s="148"/>
      <c r="CE67" s="148"/>
      <c r="CF67" s="313"/>
      <c r="CG67" s="240"/>
      <c r="CH67" s="240"/>
      <c r="CI67" s="240"/>
      <c r="CJ67" s="240"/>
      <c r="CK67" s="240"/>
      <c r="CL67" s="240"/>
      <c r="CM67" s="240"/>
      <c r="CN67" s="240"/>
      <c r="CO67" s="240"/>
      <c r="CP67" s="240"/>
      <c r="CQ67" s="240"/>
      <c r="CR67" s="240"/>
      <c r="CS67" s="240"/>
      <c r="CT67" s="240"/>
      <c r="CU67" s="240"/>
      <c r="CV67" s="240"/>
      <c r="CW67" s="240"/>
      <c r="CX67" s="240"/>
      <c r="CY67" s="240"/>
      <c r="CZ67" s="240"/>
      <c r="DA67" s="240"/>
      <c r="DB67" s="240"/>
      <c r="DC67" s="240"/>
      <c r="DD67" s="127"/>
    </row>
    <row r="68" spans="1:108" ht="7.5" customHeight="1">
      <c r="A68" s="135"/>
      <c r="B68" s="303" t="s">
        <v>1828</v>
      </c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88"/>
      <c r="AA68" s="88"/>
      <c r="AB68" s="88"/>
      <c r="AC68" s="88"/>
      <c r="AD68" s="303" t="s">
        <v>93</v>
      </c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88"/>
      <c r="BC68" s="135"/>
      <c r="BD68" s="303" t="s">
        <v>1828</v>
      </c>
      <c r="BE68" s="209"/>
      <c r="BF68" s="209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09"/>
      <c r="BR68" s="209"/>
      <c r="BS68" s="209"/>
      <c r="BT68" s="209"/>
      <c r="BU68" s="209"/>
      <c r="BV68" s="209"/>
      <c r="BW68" s="209"/>
      <c r="BX68" s="209"/>
      <c r="BY68" s="209"/>
      <c r="BZ68" s="209"/>
      <c r="CA68" s="209"/>
      <c r="CB68" s="88"/>
      <c r="CC68" s="88"/>
      <c r="CD68" s="88"/>
      <c r="CE68" s="88"/>
      <c r="CF68" s="303" t="s">
        <v>93</v>
      </c>
      <c r="CG68" s="209"/>
      <c r="CH68" s="209"/>
      <c r="CI68" s="209"/>
      <c r="CJ68" s="209"/>
      <c r="CK68" s="209"/>
      <c r="CL68" s="209"/>
      <c r="CM68" s="209"/>
      <c r="CN68" s="209"/>
      <c r="CO68" s="209"/>
      <c r="CP68" s="209"/>
      <c r="CQ68" s="209"/>
      <c r="CR68" s="209"/>
      <c r="CS68" s="209"/>
      <c r="CT68" s="209"/>
      <c r="CU68" s="209"/>
      <c r="CV68" s="209"/>
      <c r="CW68" s="209"/>
      <c r="CX68" s="209"/>
      <c r="CY68" s="209"/>
      <c r="CZ68" s="209"/>
      <c r="DA68" s="209"/>
      <c r="DB68" s="209"/>
      <c r="DC68" s="209"/>
      <c r="DD68" s="124"/>
    </row>
    <row r="69" spans="1:108" ht="7.5" customHeight="1">
      <c r="A69" s="126"/>
      <c r="B69" s="313"/>
      <c r="C69" s="240"/>
      <c r="D69" s="240"/>
      <c r="E69" s="240"/>
      <c r="F69" s="240"/>
      <c r="G69" s="240"/>
      <c r="H69" s="240"/>
      <c r="I69" s="240"/>
      <c r="J69" s="240"/>
      <c r="K69" s="240"/>
      <c r="L69" s="240"/>
      <c r="M69" s="240"/>
      <c r="N69" s="240"/>
      <c r="O69" s="240"/>
      <c r="P69" s="240"/>
      <c r="Q69" s="240"/>
      <c r="R69" s="240"/>
      <c r="S69" s="240"/>
      <c r="T69" s="240"/>
      <c r="U69" s="240"/>
      <c r="V69" s="313"/>
      <c r="W69" s="240"/>
      <c r="X69" s="240"/>
      <c r="Y69" s="240"/>
      <c r="Z69" s="240"/>
      <c r="AA69" s="240"/>
      <c r="AB69" s="240"/>
      <c r="AC69" s="240"/>
      <c r="AD69" s="240"/>
      <c r="AE69" s="240"/>
      <c r="AF69" s="240"/>
      <c r="AG69" s="240"/>
      <c r="AH69" s="313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40"/>
      <c r="AW69" s="240"/>
      <c r="AX69" s="240"/>
      <c r="AY69" s="240"/>
      <c r="AZ69" s="240"/>
      <c r="BA69" s="240"/>
      <c r="BB69" s="148"/>
      <c r="BC69" s="126"/>
      <c r="BD69" s="313"/>
      <c r="BE69" s="240"/>
      <c r="BF69" s="240"/>
      <c r="BG69" s="240"/>
      <c r="BH69" s="240"/>
      <c r="BI69" s="240"/>
      <c r="BJ69" s="240"/>
      <c r="BK69" s="240"/>
      <c r="BL69" s="240"/>
      <c r="BM69" s="240"/>
      <c r="BN69" s="240"/>
      <c r="BO69" s="240"/>
      <c r="BP69" s="240"/>
      <c r="BQ69" s="240"/>
      <c r="BR69" s="240"/>
      <c r="BS69" s="240"/>
      <c r="BT69" s="240"/>
      <c r="BU69" s="240"/>
      <c r="BV69" s="240"/>
      <c r="BW69" s="240"/>
      <c r="BX69" s="313"/>
      <c r="BY69" s="240"/>
      <c r="BZ69" s="240"/>
      <c r="CA69" s="240"/>
      <c r="CB69" s="240"/>
      <c r="CC69" s="240"/>
      <c r="CD69" s="240"/>
      <c r="CE69" s="240"/>
      <c r="CF69" s="240"/>
      <c r="CG69" s="240"/>
      <c r="CH69" s="240"/>
      <c r="CI69" s="240"/>
      <c r="CJ69" s="313"/>
      <c r="CK69" s="240"/>
      <c r="CL69" s="240"/>
      <c r="CM69" s="240"/>
      <c r="CN69" s="240"/>
      <c r="CO69" s="240"/>
      <c r="CP69" s="240"/>
      <c r="CQ69" s="240"/>
      <c r="CR69" s="240"/>
      <c r="CS69" s="240"/>
      <c r="CT69" s="240"/>
      <c r="CU69" s="240"/>
      <c r="CV69" s="240"/>
      <c r="CW69" s="240"/>
      <c r="CX69" s="240"/>
      <c r="CY69" s="240"/>
      <c r="CZ69" s="240"/>
      <c r="DA69" s="240"/>
      <c r="DB69" s="240"/>
      <c r="DC69" s="240"/>
      <c r="DD69" s="127"/>
    </row>
    <row r="70" spans="1:108" ht="18" customHeight="1">
      <c r="A70" s="135"/>
      <c r="B70" s="303" t="s">
        <v>1829</v>
      </c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09"/>
      <c r="BB70" s="88"/>
      <c r="BC70" s="135"/>
      <c r="BD70" s="303" t="s">
        <v>1830</v>
      </c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09"/>
      <c r="BS70" s="209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09"/>
      <c r="CJ70" s="209"/>
      <c r="CK70" s="209"/>
      <c r="CL70" s="209"/>
      <c r="CM70" s="209"/>
      <c r="CN70" s="209"/>
      <c r="CO70" s="209"/>
      <c r="CP70" s="209"/>
      <c r="CQ70" s="209"/>
      <c r="CR70" s="209"/>
      <c r="CS70" s="209"/>
      <c r="CT70" s="209"/>
      <c r="CU70" s="209"/>
      <c r="CV70" s="209"/>
      <c r="CW70" s="209"/>
      <c r="CX70" s="209"/>
      <c r="CY70" s="209"/>
      <c r="CZ70" s="209"/>
      <c r="DA70" s="209"/>
      <c r="DB70" s="209"/>
      <c r="DC70" s="209"/>
      <c r="DD70" s="124"/>
    </row>
    <row r="71" spans="1:108" ht="4.5" customHeight="1">
      <c r="A71" s="126"/>
      <c r="B71" s="318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318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318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09"/>
      <c r="BB71" s="148"/>
      <c r="BC71" s="126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  <c r="BV71" s="148"/>
      <c r="BW71" s="148"/>
      <c r="BX71" s="148"/>
      <c r="BY71" s="148"/>
      <c r="BZ71" s="148"/>
      <c r="CA71" s="148"/>
      <c r="CB71" s="148"/>
      <c r="CC71" s="148"/>
      <c r="CD71" s="148"/>
      <c r="CE71" s="148"/>
      <c r="CF71" s="148"/>
      <c r="CG71" s="148"/>
      <c r="CH71" s="148"/>
      <c r="CI71" s="148"/>
      <c r="CJ71" s="148"/>
      <c r="CK71" s="148"/>
      <c r="CL71" s="148"/>
      <c r="CM71" s="148"/>
      <c r="CN71" s="148"/>
      <c r="CO71" s="148"/>
      <c r="CP71" s="148"/>
      <c r="CQ71" s="148"/>
      <c r="CR71" s="148"/>
      <c r="CS71" s="148"/>
      <c r="CT71" s="148"/>
      <c r="CU71" s="148"/>
      <c r="CV71" s="148"/>
      <c r="CW71" s="148"/>
      <c r="CX71" s="148"/>
      <c r="CY71" s="148"/>
      <c r="CZ71" s="148"/>
      <c r="DA71" s="148"/>
      <c r="DB71" s="148"/>
      <c r="DC71" s="148"/>
      <c r="DD71" s="127"/>
    </row>
    <row r="72" spans="1:108" ht="15" customHeight="1">
      <c r="A72" s="135"/>
      <c r="B72" s="303" t="s">
        <v>1831</v>
      </c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124"/>
      <c r="BC72" s="135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  <c r="DC72" s="88"/>
      <c r="DD72" s="124"/>
    </row>
    <row r="73" spans="1:108" ht="10.5" customHeight="1">
      <c r="A73" s="126"/>
      <c r="B73" s="313"/>
      <c r="C73" s="240"/>
      <c r="D73" s="240"/>
      <c r="E73" s="240"/>
      <c r="F73" s="240"/>
      <c r="G73" s="240"/>
      <c r="H73" s="240"/>
      <c r="I73" s="240"/>
      <c r="J73" s="240"/>
      <c r="K73" s="240"/>
      <c r="L73" s="240"/>
      <c r="M73" s="240"/>
      <c r="N73" s="313"/>
      <c r="O73" s="240"/>
      <c r="P73" s="240"/>
      <c r="Q73" s="240"/>
      <c r="R73" s="240"/>
      <c r="S73" s="240"/>
      <c r="T73" s="240"/>
      <c r="U73" s="240"/>
      <c r="V73" s="240"/>
      <c r="W73" s="240"/>
      <c r="X73" s="240"/>
      <c r="Y73" s="240"/>
      <c r="Z73" s="240"/>
      <c r="AA73" s="240"/>
      <c r="AB73" s="240"/>
      <c r="AC73" s="240"/>
      <c r="AD73" s="240"/>
      <c r="AE73" s="240"/>
      <c r="AF73" s="240"/>
      <c r="AG73" s="240"/>
      <c r="AH73" s="240"/>
      <c r="AI73" s="240"/>
      <c r="AJ73" s="240"/>
      <c r="AK73" s="240"/>
      <c r="AL73" s="240"/>
      <c r="AM73" s="240"/>
      <c r="AN73" s="240"/>
      <c r="AO73" s="240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148"/>
      <c r="BC73" s="126"/>
      <c r="BD73" s="313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313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127"/>
    </row>
    <row r="74" spans="1:108" ht="10.5" customHeight="1">
      <c r="A74" s="135"/>
      <c r="B74" s="303" t="s">
        <v>97</v>
      </c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88"/>
      <c r="BC74" s="135"/>
      <c r="BD74" s="303" t="s">
        <v>1832</v>
      </c>
      <c r="BE74" s="209"/>
      <c r="BF74" s="209"/>
      <c r="BG74" s="209"/>
      <c r="BH74" s="209"/>
      <c r="BI74" s="209"/>
      <c r="BJ74" s="209"/>
      <c r="BK74" s="209"/>
      <c r="BL74" s="209"/>
      <c r="BM74" s="209"/>
      <c r="BN74" s="209"/>
      <c r="BO74" s="209"/>
      <c r="BP74" s="209"/>
      <c r="BQ74" s="209"/>
      <c r="BR74" s="209"/>
      <c r="BS74" s="209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09"/>
      <c r="CJ74" s="209"/>
      <c r="CK74" s="209"/>
      <c r="CL74" s="209"/>
      <c r="CM74" s="209"/>
      <c r="CN74" s="209"/>
      <c r="CO74" s="209"/>
      <c r="CP74" s="209"/>
      <c r="CQ74" s="209"/>
      <c r="CR74" s="209"/>
      <c r="CS74" s="209"/>
      <c r="CT74" s="209"/>
      <c r="CU74" s="209"/>
      <c r="CV74" s="209"/>
      <c r="CW74" s="209"/>
      <c r="CX74" s="209"/>
      <c r="CY74" s="209"/>
      <c r="CZ74" s="209"/>
      <c r="DA74" s="209"/>
      <c r="DB74" s="209"/>
      <c r="DC74" s="209"/>
      <c r="DD74" s="124"/>
    </row>
    <row r="75" spans="1:108" ht="10.5" customHeight="1">
      <c r="A75" s="149"/>
      <c r="B75" s="313"/>
      <c r="C75" s="240"/>
      <c r="D75" s="240"/>
      <c r="E75" s="240"/>
      <c r="F75" s="240"/>
      <c r="G75" s="240"/>
      <c r="H75" s="240"/>
      <c r="I75" s="240"/>
      <c r="J75" s="240"/>
      <c r="K75" s="240"/>
      <c r="L75" s="240"/>
      <c r="M75" s="240"/>
      <c r="N75" s="240"/>
      <c r="O75" s="240"/>
      <c r="P75" s="240"/>
      <c r="Q75" s="240"/>
      <c r="R75" s="240"/>
      <c r="S75" s="240"/>
      <c r="T75" s="240"/>
      <c r="U75" s="240"/>
      <c r="V75" s="313"/>
      <c r="W75" s="240"/>
      <c r="X75" s="240"/>
      <c r="Y75" s="240"/>
      <c r="Z75" s="240"/>
      <c r="AA75" s="240"/>
      <c r="AB75" s="240"/>
      <c r="AC75" s="240"/>
      <c r="AD75" s="240"/>
      <c r="AE75" s="240"/>
      <c r="AF75" s="240"/>
      <c r="AG75" s="240"/>
      <c r="AH75" s="313"/>
      <c r="AI75" s="240"/>
      <c r="AJ75" s="240"/>
      <c r="AK75" s="240"/>
      <c r="AL75" s="240"/>
      <c r="AM75" s="240"/>
      <c r="AN75" s="240"/>
      <c r="AO75" s="240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46"/>
      <c r="BC75" s="149"/>
      <c r="BD75" s="313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313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313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150"/>
    </row>
    <row r="76" spans="1:108" ht="18" customHeight="1">
      <c r="A76" s="151"/>
      <c r="B76" s="258" t="s">
        <v>1833</v>
      </c>
      <c r="C76" s="240"/>
      <c r="D76" s="240"/>
      <c r="E76" s="240"/>
      <c r="F76" s="240"/>
      <c r="G76" s="240"/>
      <c r="H76" s="240"/>
      <c r="I76" s="240"/>
      <c r="J76" s="240"/>
      <c r="K76" s="240"/>
      <c r="L76" s="240"/>
      <c r="M76" s="240"/>
      <c r="N76" s="240"/>
      <c r="O76" s="240"/>
      <c r="P76" s="240"/>
      <c r="Q76" s="240"/>
      <c r="R76" s="240"/>
      <c r="S76" s="240"/>
      <c r="T76" s="240"/>
      <c r="U76" s="240"/>
      <c r="V76" s="240"/>
      <c r="W76" s="240"/>
      <c r="X76" s="240"/>
      <c r="Y76" s="240"/>
      <c r="Z76" s="240"/>
      <c r="AA76" s="240"/>
      <c r="AB76" s="240"/>
      <c r="AC76" s="240"/>
      <c r="AD76" s="240"/>
      <c r="AE76" s="240"/>
      <c r="AF76" s="240"/>
      <c r="AG76" s="240"/>
      <c r="AH76" s="240"/>
      <c r="AI76" s="240"/>
      <c r="AJ76" s="240"/>
      <c r="AK76" s="240"/>
      <c r="AL76" s="240"/>
      <c r="AM76" s="240"/>
      <c r="AN76" s="240"/>
      <c r="AO76" s="240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56"/>
      <c r="BC76" s="151"/>
      <c r="BD76" s="258" t="s">
        <v>1834</v>
      </c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152"/>
    </row>
    <row r="77" spans="1:108" ht="4.5" customHeight="1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  <c r="BO77" s="123"/>
      <c r="BP77" s="123"/>
      <c r="BQ77" s="123"/>
      <c r="BR77" s="123"/>
      <c r="BS77" s="123"/>
      <c r="BT77" s="123"/>
      <c r="BU77" s="123"/>
      <c r="BV77" s="123"/>
      <c r="BW77" s="123"/>
      <c r="BX77" s="123"/>
      <c r="BY77" s="123"/>
      <c r="BZ77" s="123"/>
      <c r="CA77" s="123"/>
      <c r="CB77" s="123"/>
      <c r="CC77" s="123"/>
      <c r="CD77" s="123"/>
      <c r="CE77" s="123"/>
      <c r="CF77" s="123"/>
      <c r="CG77" s="123"/>
      <c r="CH77" s="123"/>
      <c r="CI77" s="123"/>
      <c r="CJ77" s="123"/>
      <c r="CK77" s="123"/>
      <c r="CL77" s="123"/>
      <c r="CM77" s="123"/>
      <c r="CN77" s="123"/>
      <c r="CO77" s="123"/>
      <c r="CP77" s="123"/>
      <c r="CQ77" s="123"/>
      <c r="CR77" s="123"/>
      <c r="CS77" s="123"/>
      <c r="CT77" s="123"/>
      <c r="CU77" s="123"/>
      <c r="CV77" s="123"/>
      <c r="CW77" s="123"/>
      <c r="CX77" s="123"/>
      <c r="CY77" s="123"/>
      <c r="CZ77" s="123"/>
      <c r="DA77" s="123"/>
      <c r="DB77" s="123"/>
      <c r="DC77" s="123"/>
      <c r="DD77" s="123"/>
    </row>
    <row r="78" spans="1:108" ht="15" customHeight="1">
      <c r="A78" s="286" t="s">
        <v>1835</v>
      </c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4"/>
      <c r="CJ78" s="214"/>
      <c r="CK78" s="214"/>
      <c r="CL78" s="214"/>
      <c r="CM78" s="214"/>
      <c r="CN78" s="214"/>
      <c r="CO78" s="214"/>
      <c r="CP78" s="214"/>
      <c r="CQ78" s="214"/>
      <c r="CR78" s="214"/>
      <c r="CS78" s="214"/>
      <c r="CT78" s="214"/>
      <c r="CU78" s="214"/>
      <c r="CV78" s="214"/>
      <c r="CW78" s="214"/>
      <c r="CX78" s="214"/>
      <c r="CY78" s="214"/>
      <c r="CZ78" s="214"/>
      <c r="DA78" s="214"/>
      <c r="DB78" s="214"/>
      <c r="DC78" s="214"/>
      <c r="DD78" s="215"/>
    </row>
    <row r="79" spans="1:108" ht="2.25" customHeight="1">
      <c r="A79" s="133"/>
      <c r="B79" s="315"/>
      <c r="C79" s="240"/>
      <c r="D79" s="240"/>
      <c r="E79" s="240"/>
      <c r="F79" s="240"/>
      <c r="G79" s="240"/>
      <c r="H79" s="240"/>
      <c r="I79" s="240"/>
      <c r="J79" s="240"/>
      <c r="K79" s="240"/>
      <c r="L79" s="240"/>
      <c r="M79" s="240"/>
      <c r="N79" s="240"/>
      <c r="O79" s="240"/>
      <c r="P79" s="240"/>
      <c r="Q79" s="240"/>
      <c r="R79" s="240"/>
      <c r="S79" s="240"/>
      <c r="T79" s="240"/>
      <c r="U79" s="240"/>
      <c r="V79" s="240"/>
      <c r="W79" s="240"/>
      <c r="X79" s="240"/>
      <c r="Y79" s="240"/>
      <c r="Z79" s="240"/>
      <c r="AA79" s="240"/>
      <c r="AB79" s="240"/>
      <c r="AC79" s="240"/>
      <c r="AD79" s="240"/>
      <c r="AE79" s="240"/>
      <c r="AF79" s="240"/>
      <c r="AG79" s="240"/>
      <c r="AH79" s="240"/>
      <c r="AI79" s="240"/>
      <c r="AJ79" s="240"/>
      <c r="AK79" s="240"/>
      <c r="AL79" s="240"/>
      <c r="AM79" s="240"/>
      <c r="AN79" s="240"/>
      <c r="AO79" s="240"/>
      <c r="AP79" s="240"/>
      <c r="AQ79" s="240"/>
      <c r="AR79" s="240"/>
      <c r="AS79" s="240"/>
      <c r="AT79" s="240"/>
      <c r="AU79" s="240"/>
      <c r="AV79" s="240"/>
      <c r="AW79" s="240"/>
      <c r="AX79" s="240"/>
      <c r="AY79" s="240"/>
      <c r="AZ79" s="240"/>
      <c r="BA79" s="240"/>
      <c r="BB79" s="240"/>
      <c r="BC79" s="240"/>
      <c r="BD79" s="240"/>
      <c r="BE79" s="240"/>
      <c r="BF79" s="240"/>
      <c r="BG79" s="240"/>
      <c r="BH79" s="240"/>
      <c r="BI79" s="240"/>
      <c r="BJ79" s="240"/>
      <c r="BK79" s="240"/>
      <c r="BL79" s="240"/>
      <c r="BM79" s="240"/>
      <c r="BN79" s="240"/>
      <c r="BO79" s="240"/>
      <c r="BP79" s="240"/>
      <c r="BQ79" s="240"/>
      <c r="BR79" s="240"/>
      <c r="BS79" s="240"/>
      <c r="BT79" s="240"/>
      <c r="BU79" s="240"/>
      <c r="BV79" s="240"/>
      <c r="BW79" s="240"/>
      <c r="BX79" s="240"/>
      <c r="BY79" s="240"/>
      <c r="BZ79" s="240"/>
      <c r="CA79" s="240"/>
      <c r="CB79" s="240"/>
      <c r="CC79" s="240"/>
      <c r="CD79" s="240"/>
      <c r="CE79" s="240"/>
      <c r="CF79" s="240"/>
      <c r="CG79" s="240"/>
      <c r="CH79" s="240"/>
      <c r="CI79" s="240"/>
      <c r="CJ79" s="240"/>
      <c r="CK79" s="240"/>
      <c r="CL79" s="240"/>
      <c r="CM79" s="240"/>
      <c r="CN79" s="240"/>
      <c r="CO79" s="240"/>
      <c r="CP79" s="240"/>
      <c r="CQ79" s="240"/>
      <c r="CR79" s="240"/>
      <c r="CS79" s="240"/>
      <c r="CT79" s="240"/>
      <c r="CU79" s="240"/>
      <c r="CV79" s="240"/>
      <c r="CW79" s="240"/>
      <c r="CX79" s="240"/>
      <c r="CY79" s="240"/>
      <c r="CZ79" s="240"/>
      <c r="DA79" s="240"/>
      <c r="DB79" s="240"/>
      <c r="DC79" s="240"/>
      <c r="DD79" s="134"/>
    </row>
    <row r="80" spans="1:108" ht="18" customHeight="1">
      <c r="A80" s="108"/>
      <c r="B80" s="312" t="s">
        <v>1836</v>
      </c>
      <c r="C80" s="233"/>
      <c r="D80" s="233"/>
      <c r="E80" s="233"/>
      <c r="F80" s="233"/>
      <c r="G80" s="233"/>
      <c r="H80" s="233"/>
      <c r="I80" s="233"/>
      <c r="J80" s="233"/>
      <c r="K80" s="233"/>
      <c r="L80" s="233"/>
      <c r="M80" s="233"/>
      <c r="N80" s="233"/>
      <c r="O80" s="233"/>
      <c r="P80" s="233"/>
      <c r="Q80" s="233"/>
      <c r="R80" s="233"/>
      <c r="S80" s="233"/>
      <c r="T80" s="233"/>
      <c r="U80" s="233"/>
      <c r="V80" s="233"/>
      <c r="W80" s="233"/>
      <c r="X80" s="233"/>
      <c r="Y80" s="233"/>
      <c r="Z80" s="233"/>
      <c r="AA80" s="233"/>
      <c r="AB80" s="233"/>
      <c r="AC80" s="233"/>
      <c r="AD80" s="233"/>
      <c r="AE80" s="233"/>
      <c r="AF80" s="233"/>
      <c r="AG80" s="233"/>
      <c r="AH80" s="233"/>
      <c r="AI80" s="233"/>
      <c r="AJ80" s="233"/>
      <c r="AK80" s="233"/>
      <c r="AL80" s="233"/>
      <c r="AM80" s="233"/>
      <c r="AN80" s="233"/>
      <c r="AO80" s="233"/>
      <c r="AP80" s="233"/>
      <c r="AQ80" s="233"/>
      <c r="AR80" s="233"/>
      <c r="AS80" s="233"/>
      <c r="AT80" s="233"/>
      <c r="AU80" s="233"/>
      <c r="AV80" s="233"/>
      <c r="AW80" s="233"/>
      <c r="AX80" s="233"/>
      <c r="AY80" s="233"/>
      <c r="AZ80" s="233"/>
      <c r="BA80" s="233"/>
      <c r="BB80" s="233"/>
      <c r="BC80" s="233"/>
      <c r="BD80" s="233"/>
      <c r="BE80" s="233"/>
      <c r="BF80" s="233"/>
      <c r="BG80" s="233"/>
      <c r="BH80" s="233"/>
      <c r="BI80" s="233"/>
      <c r="BJ80" s="233"/>
      <c r="BK80" s="233"/>
      <c r="BL80" s="233"/>
      <c r="BM80" s="233"/>
      <c r="BN80" s="233"/>
      <c r="BO80" s="233"/>
      <c r="BP80" s="233"/>
      <c r="BQ80" s="233"/>
      <c r="BR80" s="233"/>
      <c r="BS80" s="233"/>
      <c r="BT80" s="233"/>
      <c r="BU80" s="233"/>
      <c r="BV80" s="233"/>
      <c r="BW80" s="233"/>
      <c r="BX80" s="233"/>
      <c r="BY80" s="233"/>
      <c r="BZ80" s="233"/>
      <c r="CA80" s="233"/>
      <c r="CB80" s="233"/>
      <c r="CC80" s="233"/>
      <c r="CD80" s="233"/>
      <c r="CE80" s="233"/>
      <c r="CF80" s="233"/>
      <c r="CG80" s="233"/>
      <c r="CH80" s="233"/>
      <c r="CI80" s="233"/>
      <c r="CJ80" s="233"/>
      <c r="CK80" s="233"/>
      <c r="CL80" s="233"/>
      <c r="CM80" s="233"/>
      <c r="CN80" s="233"/>
      <c r="CO80" s="233"/>
      <c r="CP80" s="233"/>
      <c r="CQ80" s="233"/>
      <c r="CR80" s="233"/>
      <c r="CS80" s="233"/>
      <c r="CT80" s="233"/>
      <c r="CU80" s="233"/>
      <c r="CV80" s="233"/>
      <c r="CW80" s="233"/>
      <c r="CX80" s="233"/>
      <c r="CY80" s="233"/>
      <c r="CZ80" s="233"/>
      <c r="DA80" s="233"/>
      <c r="DB80" s="233"/>
      <c r="DC80" s="233"/>
      <c r="DD80" s="109"/>
    </row>
    <row r="81" spans="1:108" ht="9" customHeight="1">
      <c r="A81" s="133"/>
      <c r="B81" s="315"/>
      <c r="C81" s="240"/>
      <c r="D81" s="240"/>
      <c r="E81" s="240"/>
      <c r="F81" s="240"/>
      <c r="G81" s="240"/>
      <c r="H81" s="240"/>
      <c r="I81" s="240"/>
      <c r="J81" s="240"/>
      <c r="K81" s="240"/>
      <c r="L81" s="240"/>
      <c r="M81" s="240"/>
      <c r="N81" s="240"/>
      <c r="O81" s="240"/>
      <c r="P81" s="240"/>
      <c r="Q81" s="240"/>
      <c r="R81" s="240"/>
      <c r="S81" s="240"/>
      <c r="T81" s="240"/>
      <c r="U81" s="240"/>
      <c r="V81" s="240"/>
      <c r="W81" s="240"/>
      <c r="X81" s="240"/>
      <c r="Y81" s="240"/>
      <c r="Z81" s="240"/>
      <c r="AA81" s="240"/>
      <c r="AB81" s="240"/>
      <c r="AC81" s="240"/>
      <c r="AD81" s="240"/>
      <c r="AE81" s="240"/>
      <c r="AF81" s="240"/>
      <c r="AG81" s="240"/>
      <c r="AH81" s="240"/>
      <c r="AI81" s="240"/>
      <c r="AJ81" s="240"/>
      <c r="AK81" s="240"/>
      <c r="AL81" s="240"/>
      <c r="AM81" s="240"/>
      <c r="AN81" s="240"/>
      <c r="AO81" s="240"/>
      <c r="AP81" s="240"/>
      <c r="AQ81" s="240"/>
      <c r="AR81" s="240"/>
      <c r="AS81" s="240"/>
      <c r="AT81" s="240"/>
      <c r="AU81" s="240"/>
      <c r="AV81" s="240"/>
      <c r="AW81" s="240"/>
      <c r="AX81" s="240"/>
      <c r="AY81" s="240"/>
      <c r="AZ81" s="240"/>
      <c r="BA81" s="240"/>
      <c r="BB81" s="240"/>
      <c r="BC81" s="240"/>
      <c r="BD81" s="240"/>
      <c r="BE81" s="240"/>
      <c r="BF81" s="240"/>
      <c r="BG81" s="240"/>
      <c r="BH81" s="240"/>
      <c r="BI81" s="240"/>
      <c r="BJ81" s="240"/>
      <c r="BK81" s="240"/>
      <c r="BL81" s="240"/>
      <c r="BM81" s="240"/>
      <c r="BN81" s="240"/>
      <c r="BO81" s="240"/>
      <c r="BP81" s="240"/>
      <c r="BQ81" s="240"/>
      <c r="BR81" s="240"/>
      <c r="BS81" s="240"/>
      <c r="BT81" s="240"/>
      <c r="BU81" s="240"/>
      <c r="BV81" s="240"/>
      <c r="BW81" s="240"/>
      <c r="BX81" s="240"/>
      <c r="BY81" s="240"/>
      <c r="BZ81" s="240"/>
      <c r="CA81" s="240"/>
      <c r="CB81" s="240"/>
      <c r="CC81" s="240"/>
      <c r="CD81" s="240"/>
      <c r="CE81" s="240"/>
      <c r="CF81" s="240"/>
      <c r="CG81" s="240"/>
      <c r="CH81" s="240"/>
      <c r="CI81" s="240"/>
      <c r="CJ81" s="240"/>
      <c r="CK81" s="240"/>
      <c r="CL81" s="240"/>
      <c r="CM81" s="240"/>
      <c r="CN81" s="240"/>
      <c r="CO81" s="240"/>
      <c r="CP81" s="240"/>
      <c r="CQ81" s="240"/>
      <c r="CR81" s="240"/>
      <c r="CS81" s="240"/>
      <c r="CT81" s="240"/>
      <c r="CU81" s="240"/>
      <c r="CV81" s="240"/>
      <c r="CW81" s="240"/>
      <c r="CX81" s="240"/>
      <c r="CY81" s="240"/>
      <c r="CZ81" s="240"/>
      <c r="DA81" s="240"/>
      <c r="DB81" s="240"/>
      <c r="DC81" s="240"/>
      <c r="DD81" s="134"/>
    </row>
    <row r="82" spans="1:108" ht="18" customHeight="1">
      <c r="A82" s="108"/>
      <c r="B82" s="312" t="s">
        <v>1837</v>
      </c>
      <c r="C82" s="233"/>
      <c r="D82" s="233"/>
      <c r="E82" s="233"/>
      <c r="F82" s="233"/>
      <c r="G82" s="233"/>
      <c r="H82" s="233"/>
      <c r="I82" s="233"/>
      <c r="J82" s="233"/>
      <c r="K82" s="233"/>
      <c r="L82" s="233"/>
      <c r="M82" s="233"/>
      <c r="N82" s="233"/>
      <c r="O82" s="233"/>
      <c r="P82" s="233"/>
      <c r="Q82" s="233"/>
      <c r="R82" s="233"/>
      <c r="S82" s="233"/>
      <c r="T82" s="233"/>
      <c r="U82" s="233"/>
      <c r="V82" s="233"/>
      <c r="W82" s="233"/>
      <c r="X82" s="233"/>
      <c r="Y82" s="233"/>
      <c r="Z82" s="233"/>
      <c r="AA82" s="233"/>
      <c r="AB82" s="233"/>
      <c r="AC82" s="233"/>
      <c r="AD82" s="233"/>
      <c r="AE82" s="233"/>
      <c r="AF82" s="233"/>
      <c r="AG82" s="233"/>
      <c r="AH82" s="233"/>
      <c r="AI82" s="233"/>
      <c r="AJ82" s="233"/>
      <c r="AK82" s="233"/>
      <c r="AL82" s="233"/>
      <c r="AM82" s="233"/>
      <c r="AN82" s="233"/>
      <c r="AO82" s="233"/>
      <c r="AP82" s="233"/>
      <c r="AQ82" s="233"/>
      <c r="AR82" s="233"/>
      <c r="AS82" s="233"/>
      <c r="AT82" s="233"/>
      <c r="AU82" s="233"/>
      <c r="AV82" s="233"/>
      <c r="AW82" s="233"/>
      <c r="AX82" s="233"/>
      <c r="AY82" s="233"/>
      <c r="AZ82" s="233"/>
      <c r="BA82" s="233"/>
      <c r="BB82" s="233"/>
      <c r="BC82" s="233"/>
      <c r="BD82" s="233"/>
      <c r="BE82" s="233"/>
      <c r="BF82" s="233"/>
      <c r="BG82" s="233"/>
      <c r="BH82" s="233"/>
      <c r="BI82" s="233"/>
      <c r="BJ82" s="233"/>
      <c r="BK82" s="233"/>
      <c r="BL82" s="233"/>
      <c r="BM82" s="233"/>
      <c r="BN82" s="233"/>
      <c r="BO82" s="233"/>
      <c r="BP82" s="233"/>
      <c r="BQ82" s="233"/>
      <c r="BR82" s="233"/>
      <c r="BS82" s="233"/>
      <c r="BT82" s="233"/>
      <c r="BU82" s="233"/>
      <c r="BV82" s="233"/>
      <c r="BW82" s="233"/>
      <c r="BX82" s="233"/>
      <c r="BY82" s="233"/>
      <c r="BZ82" s="233"/>
      <c r="CA82" s="233"/>
      <c r="CB82" s="233"/>
      <c r="CC82" s="233"/>
      <c r="CD82" s="233"/>
      <c r="CE82" s="233"/>
      <c r="CF82" s="233"/>
      <c r="CG82" s="233"/>
      <c r="CH82" s="233"/>
      <c r="CI82" s="233"/>
      <c r="CJ82" s="233"/>
      <c r="CK82" s="233"/>
      <c r="CL82" s="233"/>
      <c r="CM82" s="233"/>
      <c r="CN82" s="233"/>
      <c r="CO82" s="233"/>
      <c r="CP82" s="233"/>
      <c r="CQ82" s="233"/>
      <c r="CR82" s="233"/>
      <c r="CS82" s="233"/>
      <c r="CT82" s="233"/>
      <c r="CU82" s="233"/>
      <c r="CV82" s="233"/>
      <c r="CW82" s="233"/>
      <c r="CX82" s="233"/>
      <c r="CY82" s="233"/>
      <c r="CZ82" s="233"/>
      <c r="DA82" s="233"/>
      <c r="DB82" s="233"/>
      <c r="DC82" s="233"/>
      <c r="DD82" s="109"/>
    </row>
    <row r="83" spans="1:108" ht="9" customHeight="1">
      <c r="A83" s="126"/>
      <c r="B83" s="313"/>
      <c r="C83" s="240"/>
      <c r="D83" s="240"/>
      <c r="E83" s="240"/>
      <c r="F83" s="240"/>
      <c r="G83" s="240"/>
      <c r="H83" s="240"/>
      <c r="I83" s="240"/>
      <c r="J83" s="240"/>
      <c r="K83" s="240"/>
      <c r="L83" s="240"/>
      <c r="M83" s="240"/>
      <c r="N83" s="240"/>
      <c r="O83" s="240"/>
      <c r="P83" s="240"/>
      <c r="Q83" s="240"/>
      <c r="R83" s="240"/>
      <c r="S83" s="240"/>
      <c r="T83" s="240"/>
      <c r="U83" s="240"/>
      <c r="V83" s="240"/>
      <c r="W83" s="240"/>
      <c r="X83" s="240"/>
      <c r="Y83" s="240"/>
      <c r="Z83" s="240"/>
      <c r="AA83" s="240"/>
      <c r="AB83" s="240"/>
      <c r="AC83" s="240"/>
      <c r="AD83" s="240"/>
      <c r="AE83" s="240"/>
      <c r="AF83" s="240"/>
      <c r="AG83" s="240"/>
      <c r="AH83" s="240"/>
      <c r="AI83" s="240"/>
      <c r="AJ83" s="240"/>
      <c r="AK83" s="240"/>
      <c r="AL83" s="240"/>
      <c r="AM83" s="240"/>
      <c r="AN83" s="240"/>
      <c r="AO83" s="240"/>
      <c r="AP83" s="240"/>
      <c r="AQ83" s="240"/>
      <c r="AR83" s="240"/>
      <c r="AS83" s="240"/>
      <c r="AT83" s="240"/>
      <c r="AU83" s="240"/>
      <c r="AV83" s="240"/>
      <c r="AW83" s="240"/>
      <c r="AX83" s="240"/>
      <c r="AY83" s="240"/>
      <c r="AZ83" s="240"/>
      <c r="BA83" s="240"/>
      <c r="BB83" s="240"/>
      <c r="BC83" s="240"/>
      <c r="BD83" s="240"/>
      <c r="BE83" s="240"/>
      <c r="BF83" s="240"/>
      <c r="BG83" s="240"/>
      <c r="BH83" s="240"/>
      <c r="BI83" s="240"/>
      <c r="BJ83" s="240"/>
      <c r="BK83" s="240"/>
      <c r="BL83" s="240"/>
      <c r="BM83" s="240"/>
      <c r="BN83" s="240"/>
      <c r="BO83" s="240"/>
      <c r="BP83" s="240"/>
      <c r="BQ83" s="240"/>
      <c r="BR83" s="240"/>
      <c r="BS83" s="240"/>
      <c r="BT83" s="240"/>
      <c r="BU83" s="240"/>
      <c r="BV83" s="240"/>
      <c r="BW83" s="240"/>
      <c r="BX83" s="240"/>
      <c r="BY83" s="240"/>
      <c r="BZ83" s="240"/>
      <c r="CA83" s="240"/>
      <c r="CB83" s="240"/>
      <c r="CC83" s="240"/>
      <c r="CD83" s="240"/>
      <c r="CE83" s="240"/>
      <c r="CF83" s="240"/>
      <c r="CG83" s="240"/>
      <c r="CH83" s="240"/>
      <c r="CI83" s="240"/>
      <c r="CJ83" s="240"/>
      <c r="CK83" s="240"/>
      <c r="CL83" s="240"/>
      <c r="CM83" s="240"/>
      <c r="CN83" s="240"/>
      <c r="CO83" s="240"/>
      <c r="CP83" s="240"/>
      <c r="CQ83" s="240"/>
      <c r="CR83" s="240"/>
      <c r="CS83" s="240"/>
      <c r="CT83" s="240"/>
      <c r="CU83" s="240"/>
      <c r="CV83" s="240"/>
      <c r="CW83" s="240"/>
      <c r="CX83" s="240"/>
      <c r="CY83" s="240"/>
      <c r="CZ83" s="240"/>
      <c r="DA83" s="240"/>
      <c r="DB83" s="240"/>
      <c r="DC83" s="240"/>
      <c r="DD83" s="127"/>
    </row>
    <row r="84" spans="1:108" ht="18" customHeight="1">
      <c r="A84" s="108"/>
      <c r="B84" s="312" t="s">
        <v>1838</v>
      </c>
      <c r="C84" s="233"/>
      <c r="D84" s="233"/>
      <c r="E84" s="233"/>
      <c r="F84" s="233"/>
      <c r="G84" s="233"/>
      <c r="H84" s="233"/>
      <c r="I84" s="233"/>
      <c r="J84" s="233"/>
      <c r="K84" s="233"/>
      <c r="L84" s="233"/>
      <c r="M84" s="233"/>
      <c r="N84" s="233"/>
      <c r="O84" s="233"/>
      <c r="P84" s="233"/>
      <c r="Q84" s="233"/>
      <c r="R84" s="233"/>
      <c r="S84" s="233"/>
      <c r="T84" s="233"/>
      <c r="U84" s="233"/>
      <c r="V84" s="233"/>
      <c r="W84" s="233"/>
      <c r="X84" s="233"/>
      <c r="Y84" s="233"/>
      <c r="Z84" s="233"/>
      <c r="AA84" s="233"/>
      <c r="AB84" s="233"/>
      <c r="AC84" s="233"/>
      <c r="AD84" s="233"/>
      <c r="AE84" s="233"/>
      <c r="AF84" s="233"/>
      <c r="AG84" s="233"/>
      <c r="AH84" s="233"/>
      <c r="AI84" s="233"/>
      <c r="AJ84" s="233"/>
      <c r="AK84" s="233"/>
      <c r="AL84" s="233"/>
      <c r="AM84" s="233"/>
      <c r="AN84" s="233"/>
      <c r="AO84" s="233"/>
      <c r="AP84" s="233"/>
      <c r="AQ84" s="233"/>
      <c r="AR84" s="233"/>
      <c r="AS84" s="233"/>
      <c r="AT84" s="233"/>
      <c r="AU84" s="233"/>
      <c r="AV84" s="233"/>
      <c r="AW84" s="233"/>
      <c r="AX84" s="233"/>
      <c r="AY84" s="233"/>
      <c r="AZ84" s="233"/>
      <c r="BA84" s="233"/>
      <c r="BB84" s="233"/>
      <c r="BC84" s="233"/>
      <c r="BD84" s="233"/>
      <c r="BE84" s="233"/>
      <c r="BF84" s="233"/>
      <c r="BG84" s="233"/>
      <c r="BH84" s="233"/>
      <c r="BI84" s="233"/>
      <c r="BJ84" s="233"/>
      <c r="BK84" s="233"/>
      <c r="BL84" s="233"/>
      <c r="BM84" s="233"/>
      <c r="BN84" s="233"/>
      <c r="BO84" s="233"/>
      <c r="BP84" s="233"/>
      <c r="BQ84" s="233"/>
      <c r="BR84" s="233"/>
      <c r="BS84" s="233"/>
      <c r="BT84" s="233"/>
      <c r="BU84" s="233"/>
      <c r="BV84" s="233"/>
      <c r="BW84" s="233"/>
      <c r="BX84" s="233"/>
      <c r="BY84" s="233"/>
      <c r="BZ84" s="233"/>
      <c r="CA84" s="233"/>
      <c r="CB84" s="233"/>
      <c r="CC84" s="233"/>
      <c r="CD84" s="233"/>
      <c r="CE84" s="233"/>
      <c r="CF84" s="233"/>
      <c r="CG84" s="233"/>
      <c r="CH84" s="233"/>
      <c r="CI84" s="233"/>
      <c r="CJ84" s="233"/>
      <c r="CK84" s="233"/>
      <c r="CL84" s="233"/>
      <c r="CM84" s="233"/>
      <c r="CN84" s="233"/>
      <c r="CO84" s="233"/>
      <c r="CP84" s="233"/>
      <c r="CQ84" s="233"/>
      <c r="CR84" s="233"/>
      <c r="CS84" s="233"/>
      <c r="CT84" s="233"/>
      <c r="CU84" s="233"/>
      <c r="CV84" s="233"/>
      <c r="CW84" s="233"/>
      <c r="CX84" s="233"/>
      <c r="CY84" s="233"/>
      <c r="CZ84" s="233"/>
      <c r="DA84" s="233"/>
      <c r="DB84" s="233"/>
      <c r="DC84" s="233"/>
      <c r="DD84" s="109"/>
    </row>
    <row r="85" spans="1:108" ht="9" customHeight="1">
      <c r="A85" s="126"/>
      <c r="B85" s="313"/>
      <c r="C85" s="240"/>
      <c r="D85" s="240"/>
      <c r="E85" s="240"/>
      <c r="F85" s="240"/>
      <c r="G85" s="240"/>
      <c r="H85" s="240"/>
      <c r="I85" s="240"/>
      <c r="J85" s="240"/>
      <c r="K85" s="240"/>
      <c r="L85" s="240"/>
      <c r="M85" s="240"/>
      <c r="N85" s="240"/>
      <c r="O85" s="240"/>
      <c r="P85" s="240"/>
      <c r="Q85" s="240"/>
      <c r="R85" s="240"/>
      <c r="S85" s="240"/>
      <c r="T85" s="240"/>
      <c r="U85" s="240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40"/>
      <c r="AQ85" s="240"/>
      <c r="AR85" s="240"/>
      <c r="AS85" s="240"/>
      <c r="AT85" s="240"/>
      <c r="AU85" s="240"/>
      <c r="AV85" s="240"/>
      <c r="AW85" s="240"/>
      <c r="AX85" s="240"/>
      <c r="AY85" s="240"/>
      <c r="AZ85" s="240"/>
      <c r="BA85" s="240"/>
      <c r="BB85" s="240"/>
      <c r="BC85" s="240"/>
      <c r="BD85" s="240"/>
      <c r="BE85" s="240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0"/>
      <c r="BW85" s="240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0"/>
      <c r="CO85" s="240"/>
      <c r="CP85" s="240"/>
      <c r="CQ85" s="240"/>
      <c r="CR85" s="240"/>
      <c r="CS85" s="240"/>
      <c r="CT85" s="240"/>
      <c r="CU85" s="240"/>
      <c r="CV85" s="240"/>
      <c r="CW85" s="240"/>
      <c r="CX85" s="240"/>
      <c r="CY85" s="240"/>
      <c r="CZ85" s="240"/>
      <c r="DA85" s="240"/>
      <c r="DB85" s="240"/>
      <c r="DC85" s="240"/>
      <c r="DD85" s="127"/>
    </row>
    <row r="86" spans="1:108" ht="18" customHeight="1">
      <c r="A86" s="108"/>
      <c r="B86" s="312" t="s">
        <v>1839</v>
      </c>
      <c r="C86" s="233"/>
      <c r="D86" s="233"/>
      <c r="E86" s="233"/>
      <c r="F86" s="233"/>
      <c r="G86" s="233"/>
      <c r="H86" s="233"/>
      <c r="I86" s="233"/>
      <c r="J86" s="233"/>
      <c r="K86" s="233"/>
      <c r="L86" s="233"/>
      <c r="M86" s="233"/>
      <c r="N86" s="233"/>
      <c r="O86" s="233"/>
      <c r="P86" s="233"/>
      <c r="Q86" s="233"/>
      <c r="R86" s="233"/>
      <c r="S86" s="233"/>
      <c r="T86" s="233"/>
      <c r="U86" s="233"/>
      <c r="V86" s="233"/>
      <c r="W86" s="233"/>
      <c r="X86" s="233"/>
      <c r="Y86" s="233"/>
      <c r="Z86" s="233"/>
      <c r="AA86" s="233"/>
      <c r="AB86" s="233"/>
      <c r="AC86" s="233"/>
      <c r="AD86" s="233"/>
      <c r="AE86" s="233"/>
      <c r="AF86" s="233"/>
      <c r="AG86" s="233"/>
      <c r="AH86" s="233"/>
      <c r="AI86" s="233"/>
      <c r="AJ86" s="233"/>
      <c r="AK86" s="233"/>
      <c r="AL86" s="233"/>
      <c r="AM86" s="233"/>
      <c r="AN86" s="233"/>
      <c r="AO86" s="233"/>
      <c r="AP86" s="233"/>
      <c r="AQ86" s="233"/>
      <c r="AR86" s="233"/>
      <c r="AS86" s="233"/>
      <c r="AT86" s="233"/>
      <c r="AU86" s="233"/>
      <c r="AV86" s="233"/>
      <c r="AW86" s="233"/>
      <c r="AX86" s="233"/>
      <c r="AY86" s="233"/>
      <c r="AZ86" s="233"/>
      <c r="BA86" s="233"/>
      <c r="BB86" s="233"/>
      <c r="BC86" s="233"/>
      <c r="BD86" s="233"/>
      <c r="BE86" s="233"/>
      <c r="BF86" s="233"/>
      <c r="BG86" s="233"/>
      <c r="BH86" s="233"/>
      <c r="BI86" s="233"/>
      <c r="BJ86" s="233"/>
      <c r="BK86" s="233"/>
      <c r="BL86" s="233"/>
      <c r="BM86" s="233"/>
      <c r="BN86" s="233"/>
      <c r="BO86" s="233"/>
      <c r="BP86" s="233"/>
      <c r="BQ86" s="233"/>
      <c r="BR86" s="233"/>
      <c r="BS86" s="233"/>
      <c r="BT86" s="233"/>
      <c r="BU86" s="233"/>
      <c r="BV86" s="233"/>
      <c r="BW86" s="233"/>
      <c r="BX86" s="233"/>
      <c r="BY86" s="233"/>
      <c r="BZ86" s="233"/>
      <c r="CA86" s="233"/>
      <c r="CB86" s="233"/>
      <c r="CC86" s="233"/>
      <c r="CD86" s="233"/>
      <c r="CE86" s="233"/>
      <c r="CF86" s="233"/>
      <c r="CG86" s="233"/>
      <c r="CH86" s="233"/>
      <c r="CI86" s="233"/>
      <c r="CJ86" s="233"/>
      <c r="CK86" s="233"/>
      <c r="CL86" s="233"/>
      <c r="CM86" s="233"/>
      <c r="CN86" s="233"/>
      <c r="CO86" s="233"/>
      <c r="CP86" s="233"/>
      <c r="CQ86" s="233"/>
      <c r="CR86" s="233"/>
      <c r="CS86" s="233"/>
      <c r="CT86" s="233"/>
      <c r="CU86" s="233"/>
      <c r="CV86" s="233"/>
      <c r="CW86" s="233"/>
      <c r="CX86" s="233"/>
      <c r="CY86" s="233"/>
      <c r="CZ86" s="233"/>
      <c r="DA86" s="233"/>
      <c r="DB86" s="233"/>
      <c r="DC86" s="233"/>
      <c r="DD86" s="109"/>
    </row>
    <row r="87" spans="1:108" ht="9" customHeight="1">
      <c r="A87" s="126"/>
      <c r="B87" s="313"/>
      <c r="C87" s="240"/>
      <c r="D87" s="240"/>
      <c r="E87" s="240"/>
      <c r="F87" s="240"/>
      <c r="G87" s="240"/>
      <c r="H87" s="240"/>
      <c r="I87" s="240"/>
      <c r="J87" s="240"/>
      <c r="K87" s="240"/>
      <c r="L87" s="240"/>
      <c r="M87" s="240"/>
      <c r="N87" s="240"/>
      <c r="O87" s="240"/>
      <c r="P87" s="240"/>
      <c r="Q87" s="240"/>
      <c r="R87" s="240"/>
      <c r="S87" s="240"/>
      <c r="T87" s="240"/>
      <c r="U87" s="240"/>
      <c r="V87" s="240"/>
      <c r="W87" s="24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40"/>
      <c r="AI87" s="240"/>
      <c r="AJ87" s="240"/>
      <c r="AK87" s="240"/>
      <c r="AL87" s="240"/>
      <c r="AM87" s="240"/>
      <c r="AN87" s="240"/>
      <c r="AO87" s="240"/>
      <c r="AP87" s="240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240"/>
      <c r="BR87" s="240"/>
      <c r="BS87" s="240"/>
      <c r="BT87" s="240"/>
      <c r="BU87" s="240"/>
      <c r="BV87" s="240"/>
      <c r="BW87" s="240"/>
      <c r="BX87" s="240"/>
      <c r="BY87" s="240"/>
      <c r="BZ87" s="240"/>
      <c r="CA87" s="240"/>
      <c r="CB87" s="240"/>
      <c r="CC87" s="240"/>
      <c r="CD87" s="240"/>
      <c r="CE87" s="240"/>
      <c r="CF87" s="240"/>
      <c r="CG87" s="240"/>
      <c r="CH87" s="240"/>
      <c r="CI87" s="240"/>
      <c r="CJ87" s="240"/>
      <c r="CK87" s="240"/>
      <c r="CL87" s="240"/>
      <c r="CM87" s="240"/>
      <c r="CN87" s="240"/>
      <c r="CO87" s="240"/>
      <c r="CP87" s="240"/>
      <c r="CQ87" s="240"/>
      <c r="CR87" s="240"/>
      <c r="CS87" s="240"/>
      <c r="CT87" s="240"/>
      <c r="CU87" s="240"/>
      <c r="CV87" s="240"/>
      <c r="CW87" s="240"/>
      <c r="CX87" s="240"/>
      <c r="CY87" s="240"/>
      <c r="CZ87" s="240"/>
      <c r="DA87" s="240"/>
      <c r="DB87" s="240"/>
      <c r="DC87" s="240"/>
      <c r="DD87" s="127"/>
    </row>
    <row r="88" spans="1:108" ht="18" customHeight="1">
      <c r="A88" s="108"/>
      <c r="B88" s="312" t="s">
        <v>1840</v>
      </c>
      <c r="C88" s="233"/>
      <c r="D88" s="233"/>
      <c r="E88" s="233"/>
      <c r="F88" s="233"/>
      <c r="G88" s="233"/>
      <c r="H88" s="233"/>
      <c r="I88" s="233"/>
      <c r="J88" s="233"/>
      <c r="K88" s="233"/>
      <c r="L88" s="233"/>
      <c r="M88" s="233"/>
      <c r="N88" s="233"/>
      <c r="O88" s="233"/>
      <c r="P88" s="233"/>
      <c r="Q88" s="233"/>
      <c r="R88" s="233"/>
      <c r="S88" s="233"/>
      <c r="T88" s="233"/>
      <c r="U88" s="233"/>
      <c r="V88" s="233"/>
      <c r="W88" s="233"/>
      <c r="X88" s="233"/>
      <c r="Y88" s="233"/>
      <c r="Z88" s="233"/>
      <c r="AA88" s="233"/>
      <c r="AB88" s="233"/>
      <c r="AC88" s="233"/>
      <c r="AD88" s="233"/>
      <c r="AE88" s="233"/>
      <c r="AF88" s="233"/>
      <c r="AG88" s="233"/>
      <c r="AH88" s="233"/>
      <c r="AI88" s="233"/>
      <c r="AJ88" s="233"/>
      <c r="AK88" s="233"/>
      <c r="AL88" s="233"/>
      <c r="AM88" s="233"/>
      <c r="AN88" s="233"/>
      <c r="AO88" s="233"/>
      <c r="AP88" s="233"/>
      <c r="AQ88" s="233"/>
      <c r="AR88" s="233"/>
      <c r="AS88" s="233"/>
      <c r="AT88" s="233"/>
      <c r="AU88" s="233"/>
      <c r="AV88" s="233"/>
      <c r="AW88" s="233"/>
      <c r="AX88" s="233"/>
      <c r="AY88" s="233"/>
      <c r="AZ88" s="233"/>
      <c r="BA88" s="233"/>
      <c r="BB88" s="233"/>
      <c r="BC88" s="233"/>
      <c r="BD88" s="233"/>
      <c r="BE88" s="233"/>
      <c r="BF88" s="233"/>
      <c r="BG88" s="233"/>
      <c r="BH88" s="233"/>
      <c r="BI88" s="233"/>
      <c r="BJ88" s="233"/>
      <c r="BK88" s="233"/>
      <c r="BL88" s="233"/>
      <c r="BM88" s="233"/>
      <c r="BN88" s="233"/>
      <c r="BO88" s="233"/>
      <c r="BP88" s="233"/>
      <c r="BQ88" s="233"/>
      <c r="BR88" s="233"/>
      <c r="BS88" s="233"/>
      <c r="BT88" s="233"/>
      <c r="BU88" s="233"/>
      <c r="BV88" s="233"/>
      <c r="BW88" s="233"/>
      <c r="BX88" s="233"/>
      <c r="BY88" s="233"/>
      <c r="BZ88" s="233"/>
      <c r="CA88" s="233"/>
      <c r="CB88" s="233"/>
      <c r="CC88" s="233"/>
      <c r="CD88" s="233"/>
      <c r="CE88" s="233"/>
      <c r="CF88" s="233"/>
      <c r="CG88" s="233"/>
      <c r="CH88" s="233"/>
      <c r="CI88" s="233"/>
      <c r="CJ88" s="233"/>
      <c r="CK88" s="233"/>
      <c r="CL88" s="233"/>
      <c r="CM88" s="233"/>
      <c r="CN88" s="233"/>
      <c r="CO88" s="233"/>
      <c r="CP88" s="233"/>
      <c r="CQ88" s="233"/>
      <c r="CR88" s="233"/>
      <c r="CS88" s="233"/>
      <c r="CT88" s="233"/>
      <c r="CU88" s="233"/>
      <c r="CV88" s="233"/>
      <c r="CW88" s="233"/>
      <c r="CX88" s="233"/>
      <c r="CY88" s="233"/>
      <c r="CZ88" s="233"/>
      <c r="DA88" s="233"/>
      <c r="DB88" s="233"/>
      <c r="DC88" s="233"/>
      <c r="DD88" s="109"/>
    </row>
    <row r="89" spans="1:108" ht="15" customHeight="1">
      <c r="A89" s="286" t="s">
        <v>1841</v>
      </c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4"/>
      <c r="CJ89" s="214"/>
      <c r="CK89" s="214"/>
      <c r="CL89" s="214"/>
      <c r="CM89" s="214"/>
      <c r="CN89" s="214"/>
      <c r="CO89" s="214"/>
      <c r="CP89" s="214"/>
      <c r="CQ89" s="214"/>
      <c r="CR89" s="214"/>
      <c r="CS89" s="214"/>
      <c r="CT89" s="214"/>
      <c r="CU89" s="214"/>
      <c r="CV89" s="214"/>
      <c r="CW89" s="214"/>
      <c r="CX89" s="214"/>
      <c r="CY89" s="214"/>
      <c r="CZ89" s="214"/>
      <c r="DA89" s="214"/>
      <c r="DB89" s="214"/>
      <c r="DC89" s="214"/>
      <c r="DD89" s="215"/>
    </row>
    <row r="90" spans="1:108" ht="9.75" customHeight="1">
      <c r="A90" s="115"/>
      <c r="B90" s="305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153"/>
      <c r="AA90" s="153"/>
      <c r="AB90" s="153"/>
      <c r="AC90" s="153"/>
      <c r="AD90" s="24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  <c r="BY90" s="214"/>
      <c r="BZ90" s="214"/>
      <c r="CA90" s="214"/>
      <c r="CB90" s="153"/>
      <c r="CC90" s="153"/>
      <c r="CD90" s="153"/>
      <c r="CE90" s="153"/>
      <c r="CF90" s="306"/>
      <c r="CG90" s="214"/>
      <c r="CH90" s="214"/>
      <c r="CI90" s="214"/>
      <c r="CJ90" s="214"/>
      <c r="CK90" s="214"/>
      <c r="CL90" s="214"/>
      <c r="CM90" s="214"/>
      <c r="CN90" s="214"/>
      <c r="CO90" s="214"/>
      <c r="CP90" s="214"/>
      <c r="CQ90" s="214"/>
      <c r="CR90" s="214"/>
      <c r="CS90" s="214"/>
      <c r="CT90" s="214"/>
      <c r="CU90" s="214"/>
      <c r="CV90" s="214"/>
      <c r="CW90" s="214"/>
      <c r="CX90" s="214"/>
      <c r="CY90" s="214"/>
      <c r="CZ90" s="214"/>
      <c r="DA90" s="214"/>
      <c r="DB90" s="214"/>
      <c r="DC90" s="214"/>
      <c r="DD90" s="154"/>
    </row>
    <row r="91" spans="1:108" ht="18" customHeight="1">
      <c r="A91" s="155"/>
      <c r="B91" s="258" t="s">
        <v>1842</v>
      </c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240"/>
      <c r="S91" s="240"/>
      <c r="T91" s="240"/>
      <c r="U91" s="240"/>
      <c r="V91" s="240"/>
      <c r="W91" s="240"/>
      <c r="X91" s="240"/>
      <c r="Y91" s="240"/>
      <c r="Z91" s="156"/>
      <c r="AA91" s="156"/>
      <c r="AB91" s="156"/>
      <c r="AC91" s="156"/>
      <c r="AD91" s="250" t="s">
        <v>1843</v>
      </c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  <c r="BY91" s="214"/>
      <c r="BZ91" s="214"/>
      <c r="CA91" s="214"/>
      <c r="CB91" s="156"/>
      <c r="CC91" s="156"/>
      <c r="CD91" s="156"/>
      <c r="CE91" s="156"/>
      <c r="CF91" s="258" t="s">
        <v>1844</v>
      </c>
      <c r="CG91" s="240"/>
      <c r="CH91" s="240"/>
      <c r="CI91" s="240"/>
      <c r="CJ91" s="240"/>
      <c r="CK91" s="240"/>
      <c r="CL91" s="240"/>
      <c r="CM91" s="240"/>
      <c r="CN91" s="240"/>
      <c r="CO91" s="240"/>
      <c r="CP91" s="240"/>
      <c r="CQ91" s="240"/>
      <c r="CR91" s="240"/>
      <c r="CS91" s="240"/>
      <c r="CT91" s="240"/>
      <c r="CU91" s="240"/>
      <c r="CV91" s="240"/>
      <c r="CW91" s="240"/>
      <c r="CX91" s="240"/>
      <c r="CY91" s="240"/>
      <c r="CZ91" s="240"/>
      <c r="DA91" s="240"/>
      <c r="DB91" s="240"/>
      <c r="DC91" s="240"/>
      <c r="DD91" s="157"/>
    </row>
    <row r="92" spans="1:108" ht="12.75" customHeight="1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58"/>
      <c r="BN92" s="158"/>
      <c r="BO92" s="158"/>
      <c r="BP92" s="158"/>
      <c r="BQ92" s="158"/>
      <c r="BR92" s="158"/>
      <c r="BS92" s="158"/>
      <c r="BT92" s="158"/>
      <c r="BU92" s="158"/>
      <c r="BV92" s="158"/>
      <c r="BW92" s="158"/>
      <c r="BX92" s="158"/>
      <c r="BY92" s="158"/>
      <c r="BZ92" s="158"/>
      <c r="CA92" s="158"/>
      <c r="CB92" s="158"/>
      <c r="CC92" s="158"/>
      <c r="CD92" s="158"/>
      <c r="CE92" s="158"/>
      <c r="CF92" s="158"/>
      <c r="CG92" s="158"/>
      <c r="CH92" s="158"/>
      <c r="CI92" s="158"/>
      <c r="CJ92" s="158"/>
      <c r="CK92" s="158"/>
      <c r="CL92" s="158"/>
      <c r="CM92" s="158"/>
      <c r="CN92" s="158"/>
      <c r="CO92" s="158"/>
      <c r="CP92" s="158"/>
      <c r="CQ92" s="158"/>
      <c r="CR92" s="158"/>
      <c r="CS92" s="158"/>
      <c r="CT92" s="158"/>
      <c r="CU92" s="158"/>
      <c r="CV92" s="158"/>
      <c r="CW92" s="158"/>
      <c r="CX92" s="158"/>
      <c r="CY92" s="158"/>
      <c r="CZ92" s="158"/>
      <c r="DA92" s="158"/>
      <c r="DB92" s="158"/>
      <c r="DC92" s="158"/>
      <c r="DD92" s="158"/>
    </row>
    <row r="93" spans="1:108" ht="9" customHeight="1">
      <c r="A93" s="335" t="s">
        <v>103</v>
      </c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09"/>
      <c r="CJ93" s="209"/>
      <c r="CK93" s="209"/>
      <c r="CL93" s="209"/>
      <c r="CM93" s="209"/>
      <c r="CN93" s="209"/>
      <c r="CO93" s="209"/>
      <c r="CP93" s="209"/>
      <c r="CQ93" s="209"/>
      <c r="CR93" s="209"/>
      <c r="CS93" s="209"/>
      <c r="CT93" s="209"/>
      <c r="CU93" s="209"/>
      <c r="CV93" s="209"/>
      <c r="CW93" s="209"/>
      <c r="CX93" s="209"/>
      <c r="CY93" s="209"/>
      <c r="CZ93" s="209"/>
      <c r="DA93" s="209"/>
      <c r="DB93" s="209"/>
      <c r="DC93" s="209"/>
      <c r="DD93" s="209"/>
    </row>
    <row r="94" spans="1:108" ht="9" customHeight="1">
      <c r="A94" s="335" t="s">
        <v>104</v>
      </c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09"/>
      <c r="CJ94" s="209"/>
      <c r="CK94" s="209"/>
      <c r="CL94" s="209"/>
      <c r="CM94" s="209"/>
      <c r="CN94" s="209"/>
      <c r="CO94" s="209"/>
      <c r="CP94" s="209"/>
      <c r="CQ94" s="209"/>
      <c r="CR94" s="209"/>
      <c r="CS94" s="209"/>
      <c r="CT94" s="209"/>
      <c r="CU94" s="209"/>
      <c r="CV94" s="209"/>
      <c r="CW94" s="209"/>
      <c r="CX94" s="209"/>
      <c r="CY94" s="209"/>
      <c r="CZ94" s="209"/>
      <c r="DA94" s="209"/>
      <c r="DB94" s="209"/>
      <c r="DC94" s="209"/>
      <c r="DD94" s="209"/>
    </row>
    <row r="95" spans="1:108" ht="11.25" customHeight="1">
      <c r="A95" s="263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09"/>
      <c r="BL95" s="209"/>
      <c r="BM95" s="209"/>
      <c r="BN95" s="209"/>
      <c r="BO95" s="209"/>
      <c r="BP95" s="209"/>
      <c r="BQ95" s="209"/>
      <c r="BR95" s="209"/>
      <c r="BS95" s="209"/>
      <c r="BT95" s="209"/>
      <c r="BU95" s="209"/>
      <c r="BV95" s="209"/>
      <c r="BW95" s="209"/>
      <c r="BX95" s="209"/>
      <c r="BY95" s="209"/>
      <c r="BZ95" s="209"/>
      <c r="CA95" s="209"/>
      <c r="CB95" s="209"/>
      <c r="CC95" s="209"/>
      <c r="CD95" s="209"/>
      <c r="CE95" s="209"/>
      <c r="CF95" s="209"/>
      <c r="CG95" s="209"/>
      <c r="CH95" s="209"/>
      <c r="CI95" s="209"/>
      <c r="CJ95" s="209"/>
      <c r="CK95" s="209"/>
      <c r="CL95" s="209"/>
      <c r="CM95" s="209"/>
      <c r="CN95" s="209"/>
      <c r="CO95" s="209"/>
      <c r="CP95" s="209"/>
      <c r="CQ95" s="209"/>
      <c r="CR95" s="209"/>
      <c r="CS95" s="209"/>
      <c r="CT95" s="209"/>
      <c r="CU95" s="209"/>
      <c r="CV95" s="209"/>
      <c r="CW95" s="209"/>
      <c r="CX95" s="209"/>
      <c r="CY95" s="209"/>
      <c r="CZ95" s="209"/>
      <c r="DA95" s="209"/>
      <c r="DB95" s="209"/>
      <c r="DC95" s="209"/>
      <c r="DD95" s="209"/>
    </row>
    <row r="96" spans="1:108" ht="15" customHeight="1">
      <c r="A96" s="336" t="s">
        <v>1845</v>
      </c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14"/>
      <c r="CE96" s="214"/>
      <c r="CF96" s="214"/>
      <c r="CG96" s="214"/>
      <c r="CH96" s="214"/>
      <c r="CI96" s="214"/>
      <c r="CJ96" s="214"/>
      <c r="CK96" s="214"/>
      <c r="CL96" s="214"/>
      <c r="CM96" s="214"/>
      <c r="CN96" s="214"/>
      <c r="CO96" s="214"/>
      <c r="CP96" s="214"/>
      <c r="CQ96" s="214"/>
      <c r="CR96" s="214"/>
      <c r="CS96" s="214"/>
      <c r="CT96" s="214"/>
      <c r="CU96" s="214"/>
      <c r="CV96" s="214"/>
      <c r="CW96" s="214"/>
      <c r="CX96" s="214"/>
      <c r="CY96" s="214"/>
      <c r="CZ96" s="214"/>
      <c r="DA96" s="214"/>
      <c r="DB96" s="214"/>
      <c r="DC96" s="214"/>
      <c r="DD96" s="215"/>
    </row>
    <row r="97" spans="1:108" ht="16.5" customHeight="1">
      <c r="A97" s="159"/>
      <c r="B97" s="337" t="s">
        <v>71</v>
      </c>
      <c r="C97" s="218"/>
      <c r="D97" s="218"/>
      <c r="E97" s="218"/>
      <c r="F97" s="218"/>
      <c r="G97" s="218"/>
      <c r="H97" s="218"/>
      <c r="I97" s="218"/>
      <c r="J97" s="218"/>
      <c r="K97" s="218"/>
      <c r="L97" s="218"/>
      <c r="M97" s="218"/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218"/>
      <c r="AI97" s="218"/>
      <c r="AJ97" s="218"/>
      <c r="AK97" s="218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8"/>
      <c r="BS97" s="218"/>
      <c r="BT97" s="218"/>
      <c r="BU97" s="218"/>
      <c r="BV97" s="218"/>
      <c r="BW97" s="218"/>
      <c r="BX97" s="218"/>
      <c r="BY97" s="218"/>
      <c r="BZ97" s="218"/>
      <c r="CA97" s="218"/>
      <c r="CB97" s="218"/>
      <c r="CC97" s="218"/>
      <c r="CD97" s="218"/>
      <c r="CE97" s="218"/>
      <c r="CF97" s="218"/>
      <c r="CG97" s="218"/>
      <c r="CH97" s="218"/>
      <c r="CI97" s="218"/>
      <c r="CJ97" s="218"/>
      <c r="CK97" s="218"/>
      <c r="CL97" s="218"/>
      <c r="CM97" s="218"/>
      <c r="CN97" s="218"/>
      <c r="CO97" s="218"/>
      <c r="CP97" s="218"/>
      <c r="CQ97" s="218"/>
      <c r="CR97" s="218"/>
      <c r="CS97" s="218"/>
      <c r="CT97" s="218"/>
      <c r="CU97" s="218"/>
      <c r="CV97" s="218"/>
      <c r="CW97" s="218"/>
      <c r="CX97" s="218"/>
      <c r="CY97" s="218"/>
      <c r="CZ97" s="218"/>
      <c r="DA97" s="218"/>
      <c r="DB97" s="218"/>
      <c r="DC97" s="222"/>
      <c r="DD97" s="160"/>
    </row>
    <row r="98" spans="1:108" ht="10.5" customHeight="1">
      <c r="A98" s="161"/>
      <c r="B98" s="326" t="s">
        <v>1846</v>
      </c>
      <c r="C98" s="256"/>
      <c r="D98" s="256"/>
      <c r="E98" s="256"/>
      <c r="F98" s="256"/>
      <c r="G98" s="256"/>
      <c r="H98" s="256"/>
      <c r="I98" s="256"/>
      <c r="J98" s="256"/>
      <c r="K98" s="256"/>
      <c r="L98" s="256"/>
      <c r="M98" s="256"/>
      <c r="N98" s="256"/>
      <c r="O98" s="256"/>
      <c r="P98" s="256"/>
      <c r="Q98" s="256"/>
      <c r="R98" s="256"/>
      <c r="S98" s="256"/>
      <c r="T98" s="256"/>
      <c r="U98" s="256"/>
      <c r="V98" s="256"/>
      <c r="W98" s="256"/>
      <c r="X98" s="256"/>
      <c r="Y98" s="256"/>
      <c r="Z98" s="256"/>
      <c r="AA98" s="256"/>
      <c r="AB98" s="256"/>
      <c r="AC98" s="256"/>
      <c r="AD98" s="256"/>
      <c r="AE98" s="256"/>
      <c r="AF98" s="256"/>
      <c r="AG98" s="256"/>
      <c r="AH98" s="256"/>
      <c r="AI98" s="256"/>
      <c r="AJ98" s="256"/>
      <c r="AK98" s="256"/>
      <c r="AL98" s="256"/>
      <c r="AM98" s="256"/>
      <c r="AN98" s="256"/>
      <c r="AO98" s="256"/>
      <c r="AP98" s="256"/>
      <c r="AQ98" s="256"/>
      <c r="AR98" s="256"/>
      <c r="AS98" s="256"/>
      <c r="AT98" s="256"/>
      <c r="AU98" s="256"/>
      <c r="AV98" s="256"/>
      <c r="AW98" s="256"/>
      <c r="AX98" s="256"/>
      <c r="AY98" s="256"/>
      <c r="AZ98" s="256"/>
      <c r="BA98" s="256"/>
      <c r="BB98" s="256"/>
      <c r="BC98" s="256"/>
      <c r="BD98" s="256"/>
      <c r="BE98" s="256"/>
      <c r="BF98" s="256"/>
      <c r="BG98" s="256"/>
      <c r="BH98" s="256"/>
      <c r="BI98" s="256"/>
      <c r="BJ98" s="256"/>
      <c r="BK98" s="256"/>
      <c r="BL98" s="256"/>
      <c r="BM98" s="256"/>
      <c r="BN98" s="256"/>
      <c r="BO98" s="256"/>
      <c r="BP98" s="256"/>
      <c r="BQ98" s="256"/>
      <c r="BR98" s="256"/>
      <c r="BS98" s="256"/>
      <c r="BT98" s="256"/>
      <c r="BU98" s="256"/>
      <c r="BV98" s="256"/>
      <c r="BW98" s="256"/>
      <c r="BX98" s="256"/>
      <c r="BY98" s="256"/>
      <c r="BZ98" s="256"/>
      <c r="CA98" s="256"/>
      <c r="CB98" s="256"/>
      <c r="CC98" s="256"/>
      <c r="CD98" s="256"/>
      <c r="CE98" s="256"/>
      <c r="CF98" s="256"/>
      <c r="CG98" s="256"/>
      <c r="CH98" s="256"/>
      <c r="CI98" s="256"/>
      <c r="CJ98" s="256"/>
      <c r="CK98" s="256"/>
      <c r="CL98" s="256"/>
      <c r="CM98" s="256"/>
      <c r="CN98" s="256"/>
      <c r="CO98" s="256"/>
      <c r="CP98" s="256"/>
      <c r="CQ98" s="256"/>
      <c r="CR98" s="256"/>
      <c r="CS98" s="256"/>
      <c r="CT98" s="256"/>
      <c r="CU98" s="256"/>
      <c r="CV98" s="256"/>
      <c r="CW98" s="256"/>
      <c r="CX98" s="256"/>
      <c r="CY98" s="256"/>
      <c r="CZ98" s="256"/>
      <c r="DA98" s="256"/>
      <c r="DB98" s="256"/>
      <c r="DC98" s="257"/>
      <c r="DD98" s="162"/>
    </row>
    <row r="99" spans="1:108" ht="16.5" customHeight="1">
      <c r="A99" s="159"/>
      <c r="B99" s="337" t="s">
        <v>85</v>
      </c>
      <c r="C99" s="218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18"/>
      <c r="AK99" s="218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8"/>
      <c r="BB99" s="218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8"/>
      <c r="BS99" s="218"/>
      <c r="BT99" s="218"/>
      <c r="BU99" s="218"/>
      <c r="BV99" s="218"/>
      <c r="BW99" s="218"/>
      <c r="BX99" s="218"/>
      <c r="BY99" s="218"/>
      <c r="BZ99" s="218"/>
      <c r="CA99" s="218"/>
      <c r="CB99" s="218"/>
      <c r="CC99" s="218"/>
      <c r="CD99" s="218"/>
      <c r="CE99" s="218"/>
      <c r="CF99" s="218"/>
      <c r="CG99" s="218"/>
      <c r="CH99" s="218"/>
      <c r="CI99" s="218"/>
      <c r="CJ99" s="218"/>
      <c r="CK99" s="218"/>
      <c r="CL99" s="218"/>
      <c r="CM99" s="218"/>
      <c r="CN99" s="218"/>
      <c r="CO99" s="218"/>
      <c r="CP99" s="218"/>
      <c r="CQ99" s="218"/>
      <c r="CR99" s="218"/>
      <c r="CS99" s="218"/>
      <c r="CT99" s="218"/>
      <c r="CU99" s="218"/>
      <c r="CV99" s="218"/>
      <c r="CW99" s="218"/>
      <c r="CX99" s="218"/>
      <c r="CY99" s="218"/>
      <c r="CZ99" s="218"/>
      <c r="DA99" s="218"/>
      <c r="DB99" s="218"/>
      <c r="DC99" s="222"/>
      <c r="DD99" s="160"/>
    </row>
    <row r="100" spans="1:108" ht="10.5" customHeight="1">
      <c r="A100" s="161"/>
      <c r="B100" s="326" t="s">
        <v>1847</v>
      </c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  <c r="X100" s="256"/>
      <c r="Y100" s="256"/>
      <c r="Z100" s="256"/>
      <c r="AA100" s="256"/>
      <c r="AB100" s="256"/>
      <c r="AC100" s="256"/>
      <c r="AD100" s="256"/>
      <c r="AE100" s="256"/>
      <c r="AF100" s="256"/>
      <c r="AG100" s="256"/>
      <c r="AH100" s="256"/>
      <c r="AI100" s="256"/>
      <c r="AJ100" s="256"/>
      <c r="AK100" s="256"/>
      <c r="AL100" s="256"/>
      <c r="AM100" s="256"/>
      <c r="AN100" s="256"/>
      <c r="AO100" s="256"/>
      <c r="AP100" s="256"/>
      <c r="AQ100" s="256"/>
      <c r="AR100" s="256"/>
      <c r="AS100" s="256"/>
      <c r="AT100" s="256"/>
      <c r="AU100" s="256"/>
      <c r="AV100" s="256"/>
      <c r="AW100" s="256"/>
      <c r="AX100" s="256"/>
      <c r="AY100" s="256"/>
      <c r="AZ100" s="256"/>
      <c r="BA100" s="256"/>
      <c r="BB100" s="256"/>
      <c r="BC100" s="256"/>
      <c r="BD100" s="256"/>
      <c r="BE100" s="256"/>
      <c r="BF100" s="256"/>
      <c r="BG100" s="256"/>
      <c r="BH100" s="256"/>
      <c r="BI100" s="256"/>
      <c r="BJ100" s="256"/>
      <c r="BK100" s="256"/>
      <c r="BL100" s="256"/>
      <c r="BM100" s="256"/>
      <c r="BN100" s="256"/>
      <c r="BO100" s="256"/>
      <c r="BP100" s="256"/>
      <c r="BQ100" s="256"/>
      <c r="BR100" s="256"/>
      <c r="BS100" s="256"/>
      <c r="BT100" s="256"/>
      <c r="BU100" s="256"/>
      <c r="BV100" s="256"/>
      <c r="BW100" s="256"/>
      <c r="BX100" s="256"/>
      <c r="BY100" s="256"/>
      <c r="BZ100" s="256"/>
      <c r="CA100" s="256"/>
      <c r="CB100" s="256"/>
      <c r="CC100" s="256"/>
      <c r="CD100" s="256"/>
      <c r="CE100" s="256"/>
      <c r="CF100" s="256"/>
      <c r="CG100" s="256"/>
      <c r="CH100" s="256"/>
      <c r="CI100" s="256"/>
      <c r="CJ100" s="256"/>
      <c r="CK100" s="256"/>
      <c r="CL100" s="256"/>
      <c r="CM100" s="256"/>
      <c r="CN100" s="256"/>
      <c r="CO100" s="256"/>
      <c r="CP100" s="256"/>
      <c r="CQ100" s="256"/>
      <c r="CR100" s="256"/>
      <c r="CS100" s="256"/>
      <c r="CT100" s="256"/>
      <c r="CU100" s="256"/>
      <c r="CV100" s="256"/>
      <c r="CW100" s="256"/>
      <c r="CX100" s="256"/>
      <c r="CY100" s="256"/>
      <c r="CZ100" s="256"/>
      <c r="DA100" s="256"/>
      <c r="DB100" s="256"/>
      <c r="DC100" s="257"/>
      <c r="DD100" s="162"/>
    </row>
    <row r="101" spans="1:108" ht="16.5" customHeight="1">
      <c r="A101" s="159"/>
      <c r="B101" s="337" t="s">
        <v>1848</v>
      </c>
      <c r="C101" s="218"/>
      <c r="D101" s="218"/>
      <c r="E101" s="218"/>
      <c r="F101" s="218"/>
      <c r="G101" s="218"/>
      <c r="H101" s="218"/>
      <c r="I101" s="218"/>
      <c r="J101" s="218"/>
      <c r="K101" s="218"/>
      <c r="L101" s="218"/>
      <c r="M101" s="218"/>
      <c r="N101" s="218"/>
      <c r="O101" s="218"/>
      <c r="P101" s="218"/>
      <c r="Q101" s="218"/>
      <c r="R101" s="218"/>
      <c r="S101" s="218"/>
      <c r="T101" s="218"/>
      <c r="U101" s="218"/>
      <c r="V101" s="218"/>
      <c r="W101" s="218"/>
      <c r="X101" s="218"/>
      <c r="Y101" s="218"/>
      <c r="Z101" s="218"/>
      <c r="AA101" s="218"/>
      <c r="AB101" s="218"/>
      <c r="AC101" s="218"/>
      <c r="AD101" s="218"/>
      <c r="AE101" s="218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18"/>
      <c r="AP101" s="218"/>
      <c r="AQ101" s="218"/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/>
      <c r="BF101" s="218"/>
      <c r="BG101" s="218"/>
      <c r="BH101" s="218"/>
      <c r="BI101" s="218"/>
      <c r="BJ101" s="218"/>
      <c r="BK101" s="218"/>
      <c r="BL101" s="218"/>
      <c r="BM101" s="218"/>
      <c r="BN101" s="218"/>
      <c r="BO101" s="218"/>
      <c r="BP101" s="218"/>
      <c r="BQ101" s="218"/>
      <c r="BR101" s="218"/>
      <c r="BS101" s="218"/>
      <c r="BT101" s="218"/>
      <c r="BU101" s="218"/>
      <c r="BV101" s="218"/>
      <c r="BW101" s="218"/>
      <c r="BX101" s="218"/>
      <c r="BY101" s="218"/>
      <c r="BZ101" s="218"/>
      <c r="CA101" s="218"/>
      <c r="CB101" s="218"/>
      <c r="CC101" s="218"/>
      <c r="CD101" s="218"/>
      <c r="CE101" s="218"/>
      <c r="CF101" s="218"/>
      <c r="CG101" s="218"/>
      <c r="CH101" s="218"/>
      <c r="CI101" s="218"/>
      <c r="CJ101" s="218"/>
      <c r="CK101" s="218"/>
      <c r="CL101" s="218"/>
      <c r="CM101" s="218"/>
      <c r="CN101" s="218"/>
      <c r="CO101" s="218"/>
      <c r="CP101" s="218"/>
      <c r="CQ101" s="218"/>
      <c r="CR101" s="218"/>
      <c r="CS101" s="218"/>
      <c r="CT101" s="218"/>
      <c r="CU101" s="218"/>
      <c r="CV101" s="218"/>
      <c r="CW101" s="218"/>
      <c r="CX101" s="218"/>
      <c r="CY101" s="218"/>
      <c r="CZ101" s="218"/>
      <c r="DA101" s="218"/>
      <c r="DB101" s="218"/>
      <c r="DC101" s="222"/>
      <c r="DD101" s="160"/>
    </row>
    <row r="102" spans="1:108" ht="10.5" customHeight="1">
      <c r="A102" s="161"/>
      <c r="B102" s="326" t="s">
        <v>1849</v>
      </c>
      <c r="C102" s="256"/>
      <c r="D102" s="256"/>
      <c r="E102" s="256"/>
      <c r="F102" s="256"/>
      <c r="G102" s="256"/>
      <c r="H102" s="256"/>
      <c r="I102" s="256"/>
      <c r="J102" s="256"/>
      <c r="K102" s="256"/>
      <c r="L102" s="256"/>
      <c r="M102" s="256"/>
      <c r="N102" s="256"/>
      <c r="O102" s="256"/>
      <c r="P102" s="256"/>
      <c r="Q102" s="256"/>
      <c r="R102" s="256"/>
      <c r="S102" s="256"/>
      <c r="T102" s="256"/>
      <c r="U102" s="256"/>
      <c r="V102" s="256"/>
      <c r="W102" s="256"/>
      <c r="X102" s="256"/>
      <c r="Y102" s="256"/>
      <c r="Z102" s="256"/>
      <c r="AA102" s="256"/>
      <c r="AB102" s="256"/>
      <c r="AC102" s="256"/>
      <c r="AD102" s="256"/>
      <c r="AE102" s="256"/>
      <c r="AF102" s="256"/>
      <c r="AG102" s="256"/>
      <c r="AH102" s="256"/>
      <c r="AI102" s="256"/>
      <c r="AJ102" s="256"/>
      <c r="AK102" s="256"/>
      <c r="AL102" s="256"/>
      <c r="AM102" s="256"/>
      <c r="AN102" s="256"/>
      <c r="AO102" s="256"/>
      <c r="AP102" s="256"/>
      <c r="AQ102" s="256"/>
      <c r="AR102" s="256"/>
      <c r="AS102" s="256"/>
      <c r="AT102" s="256"/>
      <c r="AU102" s="256"/>
      <c r="AV102" s="256"/>
      <c r="AW102" s="256"/>
      <c r="AX102" s="256"/>
      <c r="AY102" s="256"/>
      <c r="AZ102" s="256"/>
      <c r="BA102" s="256"/>
      <c r="BB102" s="256"/>
      <c r="BC102" s="256"/>
      <c r="BD102" s="256"/>
      <c r="BE102" s="256"/>
      <c r="BF102" s="256"/>
      <c r="BG102" s="256"/>
      <c r="BH102" s="256"/>
      <c r="BI102" s="256"/>
      <c r="BJ102" s="256"/>
      <c r="BK102" s="256"/>
      <c r="BL102" s="256"/>
      <c r="BM102" s="256"/>
      <c r="BN102" s="256"/>
      <c r="BO102" s="256"/>
      <c r="BP102" s="256"/>
      <c r="BQ102" s="256"/>
      <c r="BR102" s="256"/>
      <c r="BS102" s="256"/>
      <c r="BT102" s="256"/>
      <c r="BU102" s="256"/>
      <c r="BV102" s="256"/>
      <c r="BW102" s="256"/>
      <c r="BX102" s="256"/>
      <c r="BY102" s="256"/>
      <c r="BZ102" s="256"/>
      <c r="CA102" s="256"/>
      <c r="CB102" s="256"/>
      <c r="CC102" s="256"/>
      <c r="CD102" s="256"/>
      <c r="CE102" s="256"/>
      <c r="CF102" s="256"/>
      <c r="CG102" s="256"/>
      <c r="CH102" s="256"/>
      <c r="CI102" s="256"/>
      <c r="CJ102" s="256"/>
      <c r="CK102" s="256"/>
      <c r="CL102" s="256"/>
      <c r="CM102" s="256"/>
      <c r="CN102" s="256"/>
      <c r="CO102" s="256"/>
      <c r="CP102" s="256"/>
      <c r="CQ102" s="256"/>
      <c r="CR102" s="256"/>
      <c r="CS102" s="256"/>
      <c r="CT102" s="256"/>
      <c r="CU102" s="256"/>
      <c r="CV102" s="256"/>
      <c r="CW102" s="256"/>
      <c r="CX102" s="256"/>
      <c r="CY102" s="256"/>
      <c r="CZ102" s="256"/>
      <c r="DA102" s="256"/>
      <c r="DB102" s="256"/>
      <c r="DC102" s="257"/>
      <c r="DD102" s="162"/>
    </row>
    <row r="103" spans="1:108" ht="15" customHeight="1">
      <c r="A103" s="336" t="s">
        <v>1850</v>
      </c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4"/>
      <c r="CJ103" s="214"/>
      <c r="CK103" s="214"/>
      <c r="CL103" s="214"/>
      <c r="CM103" s="214"/>
      <c r="CN103" s="214"/>
      <c r="CO103" s="214"/>
      <c r="CP103" s="214"/>
      <c r="CQ103" s="214"/>
      <c r="CR103" s="214"/>
      <c r="CS103" s="214"/>
      <c r="CT103" s="214"/>
      <c r="CU103" s="214"/>
      <c r="CV103" s="214"/>
      <c r="CW103" s="214"/>
      <c r="CX103" s="214"/>
      <c r="CY103" s="214"/>
      <c r="CZ103" s="214"/>
      <c r="DA103" s="214"/>
      <c r="DB103" s="214"/>
      <c r="DC103" s="214"/>
      <c r="DD103" s="215"/>
    </row>
    <row r="104" spans="1:108" ht="11.25" customHeight="1">
      <c r="A104" s="163"/>
      <c r="B104" s="340" t="s">
        <v>1851</v>
      </c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43"/>
      <c r="BB104" s="164"/>
      <c r="BC104" s="165"/>
      <c r="BD104" s="340" t="s">
        <v>29</v>
      </c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4"/>
      <c r="CJ104" s="214"/>
      <c r="CK104" s="214"/>
      <c r="CL104" s="214"/>
      <c r="CM104" s="214"/>
      <c r="CN104" s="214"/>
      <c r="CO104" s="214"/>
      <c r="CP104" s="214"/>
      <c r="CQ104" s="214"/>
      <c r="CR104" s="214"/>
      <c r="CS104" s="214"/>
      <c r="CT104" s="214"/>
      <c r="CU104" s="214"/>
      <c r="CV104" s="214"/>
      <c r="CW104" s="214"/>
      <c r="CX104" s="214"/>
      <c r="CY104" s="214"/>
      <c r="CZ104" s="214"/>
      <c r="DA104" s="214"/>
      <c r="DB104" s="214"/>
      <c r="DC104" s="243"/>
      <c r="DD104" s="166"/>
    </row>
    <row r="105" spans="1:108" ht="18" customHeight="1">
      <c r="A105" s="167"/>
      <c r="B105" s="338" t="s">
        <v>1852</v>
      </c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288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9"/>
      <c r="BB105" s="168"/>
      <c r="BC105" s="169"/>
      <c r="BD105" s="338" t="s">
        <v>1853</v>
      </c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288"/>
      <c r="BV105" s="288"/>
      <c r="BW105" s="288"/>
      <c r="BX105" s="288"/>
      <c r="BY105" s="288"/>
      <c r="BZ105" s="288"/>
      <c r="CA105" s="288"/>
      <c r="CB105" s="288"/>
      <c r="CC105" s="288"/>
      <c r="CD105" s="288"/>
      <c r="CE105" s="288"/>
      <c r="CF105" s="288"/>
      <c r="CG105" s="288"/>
      <c r="CH105" s="288"/>
      <c r="CI105" s="288"/>
      <c r="CJ105" s="288"/>
      <c r="CK105" s="288"/>
      <c r="CL105" s="288"/>
      <c r="CM105" s="288"/>
      <c r="CN105" s="288"/>
      <c r="CO105" s="288"/>
      <c r="CP105" s="288"/>
      <c r="CQ105" s="288"/>
      <c r="CR105" s="288"/>
      <c r="CS105" s="288"/>
      <c r="CT105" s="288"/>
      <c r="CU105" s="288"/>
      <c r="CV105" s="288"/>
      <c r="CW105" s="288"/>
      <c r="CX105" s="288"/>
      <c r="CY105" s="288"/>
      <c r="CZ105" s="288"/>
      <c r="DA105" s="288"/>
      <c r="DB105" s="288"/>
      <c r="DC105" s="289"/>
      <c r="DD105" s="170"/>
    </row>
    <row r="106" spans="1:108" ht="11.25" customHeight="1">
      <c r="A106" s="171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172"/>
      <c r="Z106" s="172"/>
      <c r="AA106" s="172"/>
      <c r="AB106" s="172"/>
      <c r="AC106" s="172"/>
      <c r="AD106" s="172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3"/>
      <c r="BC106" s="172"/>
      <c r="BD106" s="172"/>
      <c r="BE106" s="172"/>
      <c r="BF106" s="172"/>
      <c r="BG106" s="172"/>
      <c r="BH106" s="172"/>
      <c r="BI106" s="172"/>
      <c r="BJ106" s="339"/>
      <c r="BK106" s="214"/>
      <c r="BL106" s="215"/>
      <c r="BM106" s="172"/>
      <c r="BN106" s="172"/>
      <c r="BO106" s="172"/>
      <c r="BP106" s="172"/>
      <c r="BQ106" s="172"/>
      <c r="BR106" s="174" t="s">
        <v>1854</v>
      </c>
      <c r="BS106" s="172"/>
      <c r="BT106" s="172"/>
      <c r="BU106" s="172"/>
      <c r="BV106" s="172"/>
      <c r="BW106" s="172"/>
      <c r="BX106" s="172"/>
      <c r="BY106" s="172"/>
      <c r="BZ106" s="172"/>
      <c r="CA106" s="172"/>
      <c r="CB106" s="172"/>
      <c r="CC106" s="174" t="s">
        <v>1855</v>
      </c>
      <c r="CD106" s="172"/>
      <c r="CE106" s="172"/>
      <c r="CF106" s="172"/>
      <c r="CG106" s="172"/>
      <c r="CH106" s="172"/>
      <c r="CI106" s="172"/>
      <c r="CJ106" s="172"/>
      <c r="CK106" s="172"/>
      <c r="CL106" s="172"/>
      <c r="CM106" s="172"/>
      <c r="CN106" s="172"/>
      <c r="CO106" s="172"/>
      <c r="CP106" s="172"/>
      <c r="CQ106" s="172"/>
      <c r="CR106" s="172"/>
      <c r="CS106" s="172"/>
      <c r="CT106" s="172"/>
      <c r="CU106" s="172"/>
      <c r="CV106" s="172"/>
      <c r="CW106" s="172"/>
      <c r="CX106" s="172"/>
      <c r="CY106" s="172"/>
      <c r="CZ106" s="172"/>
      <c r="DA106" s="172"/>
      <c r="DB106" s="172"/>
      <c r="DC106" s="172"/>
      <c r="DD106" s="173"/>
    </row>
    <row r="107" spans="1:108" ht="3" customHeight="1">
      <c r="A107" s="175"/>
      <c r="B107" s="176"/>
      <c r="C107" s="176"/>
      <c r="D107" s="176"/>
      <c r="E107" s="176"/>
      <c r="F107" s="176"/>
      <c r="G107" s="176"/>
      <c r="H107" s="176"/>
      <c r="I107" s="176"/>
      <c r="J107" s="176"/>
      <c r="K107" s="176"/>
      <c r="L107" s="176"/>
      <c r="M107" s="176"/>
      <c r="N107" s="176"/>
      <c r="O107" s="176"/>
      <c r="P107" s="176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7"/>
      <c r="BC107" s="176"/>
      <c r="BD107" s="176"/>
      <c r="BE107" s="176"/>
      <c r="BF107" s="176"/>
      <c r="BG107" s="176"/>
      <c r="BH107" s="176"/>
      <c r="BI107" s="176"/>
      <c r="BJ107" s="176"/>
      <c r="BK107" s="176"/>
      <c r="BL107" s="176"/>
      <c r="BM107" s="176"/>
      <c r="BN107" s="178"/>
      <c r="BO107" s="178"/>
      <c r="BP107" s="176"/>
      <c r="BQ107" s="176"/>
      <c r="BR107" s="176"/>
      <c r="BS107" s="176"/>
      <c r="BT107" s="176"/>
      <c r="BU107" s="176"/>
      <c r="BV107" s="176"/>
      <c r="BW107" s="176"/>
      <c r="BX107" s="176"/>
      <c r="BY107" s="176"/>
      <c r="BZ107" s="176"/>
      <c r="CA107" s="176"/>
      <c r="CB107" s="176"/>
      <c r="CC107" s="176"/>
      <c r="CD107" s="176"/>
      <c r="CE107" s="176"/>
      <c r="CF107" s="176"/>
      <c r="CG107" s="176"/>
      <c r="CH107" s="176"/>
      <c r="CI107" s="176"/>
      <c r="CJ107" s="176"/>
      <c r="CK107" s="176"/>
      <c r="CL107" s="176"/>
      <c r="CM107" s="176"/>
      <c r="CN107" s="176"/>
      <c r="CO107" s="176"/>
      <c r="CP107" s="176"/>
      <c r="CQ107" s="176"/>
      <c r="CR107" s="176"/>
      <c r="CS107" s="176"/>
      <c r="CT107" s="176"/>
      <c r="CU107" s="176"/>
      <c r="CV107" s="176"/>
      <c r="CW107" s="176"/>
      <c r="CX107" s="176"/>
      <c r="CY107" s="176"/>
      <c r="CZ107" s="176"/>
      <c r="DA107" s="176"/>
      <c r="DB107" s="176"/>
      <c r="DC107" s="176"/>
      <c r="DD107" s="179"/>
    </row>
    <row r="108" spans="1:108" ht="15" customHeight="1">
      <c r="A108" s="336" t="s">
        <v>1856</v>
      </c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4"/>
      <c r="CJ108" s="214"/>
      <c r="CK108" s="214"/>
      <c r="CL108" s="214"/>
      <c r="CM108" s="214"/>
      <c r="CN108" s="214"/>
      <c r="CO108" s="214"/>
      <c r="CP108" s="214"/>
      <c r="CQ108" s="214"/>
      <c r="CR108" s="214"/>
      <c r="CS108" s="214"/>
      <c r="CT108" s="214"/>
      <c r="CU108" s="214"/>
      <c r="CV108" s="214"/>
      <c r="CW108" s="214"/>
      <c r="CX108" s="214"/>
      <c r="CY108" s="214"/>
      <c r="CZ108" s="214"/>
      <c r="DA108" s="214"/>
      <c r="DB108" s="214"/>
      <c r="DC108" s="214"/>
      <c r="DD108" s="215"/>
    </row>
    <row r="109" spans="1:108" ht="11.25" customHeight="1">
      <c r="A109" s="180"/>
      <c r="B109" s="341" t="s">
        <v>30</v>
      </c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181"/>
      <c r="BC109" s="180"/>
      <c r="BD109" s="341" t="s">
        <v>30</v>
      </c>
      <c r="BE109" s="240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0"/>
      <c r="BW109" s="240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0"/>
      <c r="CO109" s="240"/>
      <c r="CP109" s="240"/>
      <c r="CQ109" s="240"/>
      <c r="CR109" s="240"/>
      <c r="CS109" s="240"/>
      <c r="CT109" s="240"/>
      <c r="CU109" s="240"/>
      <c r="CV109" s="240"/>
      <c r="CW109" s="240"/>
      <c r="CX109" s="240"/>
      <c r="CY109" s="240"/>
      <c r="CZ109" s="240"/>
      <c r="DA109" s="240"/>
      <c r="DB109" s="240"/>
      <c r="DC109" s="240"/>
      <c r="DD109" s="182"/>
    </row>
    <row r="110" spans="1:108" ht="18" customHeight="1">
      <c r="A110" s="167"/>
      <c r="B110" s="303" t="s">
        <v>1857</v>
      </c>
      <c r="C110" s="209"/>
      <c r="D110" s="209"/>
      <c r="E110" s="209"/>
      <c r="F110" s="209"/>
      <c r="G110" s="209"/>
      <c r="H110" s="209"/>
      <c r="I110" s="209"/>
      <c r="J110" s="209"/>
      <c r="K110" s="209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  <c r="AH110" s="209"/>
      <c r="AI110" s="209"/>
      <c r="AJ110" s="209"/>
      <c r="AK110" s="209"/>
      <c r="AL110" s="209"/>
      <c r="AM110" s="209"/>
      <c r="AN110" s="209"/>
      <c r="AO110" s="209"/>
      <c r="AP110" s="209"/>
      <c r="AQ110" s="209"/>
      <c r="AR110" s="209"/>
      <c r="AS110" s="209"/>
      <c r="AT110" s="209"/>
      <c r="AU110" s="209"/>
      <c r="AV110" s="209"/>
      <c r="AW110" s="209"/>
      <c r="AX110" s="209"/>
      <c r="AY110" s="209"/>
      <c r="AZ110" s="209"/>
      <c r="BA110" s="209"/>
      <c r="BB110" s="183"/>
      <c r="BC110" s="167"/>
      <c r="BD110" s="303" t="s">
        <v>1858</v>
      </c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09"/>
      <c r="BS110" s="209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09"/>
      <c r="CJ110" s="209"/>
      <c r="CK110" s="209"/>
      <c r="CL110" s="209"/>
      <c r="CM110" s="209"/>
      <c r="CN110" s="209"/>
      <c r="CO110" s="209"/>
      <c r="CP110" s="209"/>
      <c r="CQ110" s="209"/>
      <c r="CR110" s="209"/>
      <c r="CS110" s="209"/>
      <c r="CT110" s="209"/>
      <c r="CU110" s="209"/>
      <c r="CV110" s="209"/>
      <c r="CW110" s="209"/>
      <c r="CX110" s="209"/>
      <c r="CY110" s="209"/>
      <c r="CZ110" s="209"/>
      <c r="DA110" s="209"/>
      <c r="DB110" s="209"/>
      <c r="DC110" s="209"/>
      <c r="DD110" s="170"/>
    </row>
    <row r="111" spans="1:108" ht="11.25" customHeight="1">
      <c r="A111" s="180"/>
      <c r="B111" s="341" t="s">
        <v>30</v>
      </c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  <c r="AW111" s="240"/>
      <c r="AX111" s="240"/>
      <c r="AY111" s="240"/>
      <c r="AZ111" s="240"/>
      <c r="BA111" s="240"/>
      <c r="BB111" s="181"/>
      <c r="BC111" s="180"/>
      <c r="BD111" s="341" t="s">
        <v>30</v>
      </c>
      <c r="BE111" s="240"/>
      <c r="BF111" s="240"/>
      <c r="BG111" s="240"/>
      <c r="BH111" s="240"/>
      <c r="BI111" s="240"/>
      <c r="BJ111" s="240"/>
      <c r="BK111" s="240"/>
      <c r="BL111" s="240"/>
      <c r="BM111" s="240"/>
      <c r="BN111" s="240"/>
      <c r="BO111" s="240"/>
      <c r="BP111" s="240"/>
      <c r="BQ111" s="240"/>
      <c r="BR111" s="240"/>
      <c r="BS111" s="240"/>
      <c r="BT111" s="240"/>
      <c r="BU111" s="240"/>
      <c r="BV111" s="240"/>
      <c r="BW111" s="240"/>
      <c r="BX111" s="240"/>
      <c r="BY111" s="240"/>
      <c r="BZ111" s="240"/>
      <c r="CA111" s="240"/>
      <c r="CB111" s="240"/>
      <c r="CC111" s="240"/>
      <c r="CD111" s="240"/>
      <c r="CE111" s="240"/>
      <c r="CF111" s="240"/>
      <c r="CG111" s="240"/>
      <c r="CH111" s="240"/>
      <c r="CI111" s="240"/>
      <c r="CJ111" s="240"/>
      <c r="CK111" s="240"/>
      <c r="CL111" s="240"/>
      <c r="CM111" s="240"/>
      <c r="CN111" s="240"/>
      <c r="CO111" s="240"/>
      <c r="CP111" s="240"/>
      <c r="CQ111" s="240"/>
      <c r="CR111" s="240"/>
      <c r="CS111" s="240"/>
      <c r="CT111" s="240"/>
      <c r="CU111" s="240"/>
      <c r="CV111" s="240"/>
      <c r="CW111" s="240"/>
      <c r="CX111" s="240"/>
      <c r="CY111" s="240"/>
      <c r="CZ111" s="240"/>
      <c r="DA111" s="240"/>
      <c r="DB111" s="240"/>
      <c r="DC111" s="240"/>
      <c r="DD111" s="182"/>
    </row>
    <row r="112" spans="1:108" ht="12" customHeight="1">
      <c r="A112" s="167"/>
      <c r="B112" s="303" t="s">
        <v>1859</v>
      </c>
      <c r="C112" s="209"/>
      <c r="D112" s="209"/>
      <c r="E112" s="209"/>
      <c r="F112" s="209"/>
      <c r="G112" s="209"/>
      <c r="H112" s="209"/>
      <c r="I112" s="209"/>
      <c r="J112" s="209"/>
      <c r="K112" s="209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209"/>
      <c r="AI112" s="209"/>
      <c r="AJ112" s="209"/>
      <c r="AK112" s="209"/>
      <c r="AL112" s="209"/>
      <c r="AM112" s="209"/>
      <c r="AN112" s="209"/>
      <c r="AO112" s="209"/>
      <c r="AP112" s="209"/>
      <c r="AQ112" s="209"/>
      <c r="AR112" s="209"/>
      <c r="AS112" s="209"/>
      <c r="AT112" s="209"/>
      <c r="AU112" s="209"/>
      <c r="AV112" s="209"/>
      <c r="AW112" s="209"/>
      <c r="AX112" s="209"/>
      <c r="AY112" s="209"/>
      <c r="AZ112" s="209"/>
      <c r="BA112" s="209"/>
      <c r="BB112" s="183"/>
      <c r="BC112" s="167"/>
      <c r="BD112" s="303" t="s">
        <v>1860</v>
      </c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09"/>
      <c r="BS112" s="209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09"/>
      <c r="CJ112" s="209"/>
      <c r="CK112" s="209"/>
      <c r="CL112" s="209"/>
      <c r="CM112" s="209"/>
      <c r="CN112" s="209"/>
      <c r="CO112" s="209"/>
      <c r="CP112" s="209"/>
      <c r="CQ112" s="209"/>
      <c r="CR112" s="209"/>
      <c r="CS112" s="209"/>
      <c r="CT112" s="209"/>
      <c r="CU112" s="209"/>
      <c r="CV112" s="209"/>
      <c r="CW112" s="209"/>
      <c r="CX112" s="209"/>
      <c r="CY112" s="209"/>
      <c r="CZ112" s="209"/>
      <c r="DA112" s="209"/>
      <c r="DB112" s="209"/>
      <c r="DC112" s="209"/>
      <c r="DD112" s="170"/>
    </row>
    <row r="113" spans="1:108" ht="15" customHeight="1">
      <c r="A113" s="336" t="s">
        <v>1861</v>
      </c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R113" s="214"/>
      <c r="CS113" s="214"/>
      <c r="CT113" s="214"/>
      <c r="CU113" s="214"/>
      <c r="CV113" s="214"/>
      <c r="CW113" s="214"/>
      <c r="CX113" s="214"/>
      <c r="CY113" s="214"/>
      <c r="CZ113" s="214"/>
      <c r="DA113" s="214"/>
      <c r="DB113" s="214"/>
      <c r="DC113" s="214"/>
      <c r="DD113" s="215"/>
    </row>
    <row r="114" spans="1:108" ht="11.25" customHeight="1">
      <c r="A114" s="184"/>
      <c r="B114" s="342" t="s">
        <v>30</v>
      </c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  <c r="AW114" s="240"/>
      <c r="AX114" s="240"/>
      <c r="AY114" s="240"/>
      <c r="AZ114" s="240"/>
      <c r="BA114" s="240"/>
      <c r="BB114" s="240"/>
      <c r="BC114" s="240"/>
      <c r="BD114" s="240"/>
      <c r="BE114" s="240"/>
      <c r="BF114" s="240"/>
      <c r="BG114" s="240"/>
      <c r="BH114" s="240"/>
      <c r="BI114" s="240"/>
      <c r="BJ114" s="240"/>
      <c r="BK114" s="240"/>
      <c r="BL114" s="240"/>
      <c r="BM114" s="240"/>
      <c r="BN114" s="240"/>
      <c r="BO114" s="240"/>
      <c r="BP114" s="240"/>
      <c r="BQ114" s="240"/>
      <c r="BR114" s="240"/>
      <c r="BS114" s="240"/>
      <c r="BT114" s="240"/>
      <c r="BU114" s="240"/>
      <c r="BV114" s="240"/>
      <c r="BW114" s="240"/>
      <c r="BX114" s="240"/>
      <c r="BY114" s="240"/>
      <c r="BZ114" s="240"/>
      <c r="CA114" s="240"/>
      <c r="CB114" s="240"/>
      <c r="CC114" s="240"/>
      <c r="CD114" s="240"/>
      <c r="CE114" s="240"/>
      <c r="CF114" s="240"/>
      <c r="CG114" s="240"/>
      <c r="CH114" s="240"/>
      <c r="CI114" s="240"/>
      <c r="CJ114" s="240"/>
      <c r="CK114" s="240"/>
      <c r="CL114" s="240"/>
      <c r="CM114" s="240"/>
      <c r="CN114" s="240"/>
      <c r="CO114" s="240"/>
      <c r="CP114" s="240"/>
      <c r="CQ114" s="240"/>
      <c r="CR114" s="240"/>
      <c r="CS114" s="240"/>
      <c r="CT114" s="240"/>
      <c r="CU114" s="240"/>
      <c r="CV114" s="240"/>
      <c r="CW114" s="240"/>
      <c r="CX114" s="240"/>
      <c r="CY114" s="240"/>
      <c r="CZ114" s="240"/>
      <c r="DA114" s="240"/>
      <c r="DB114" s="240"/>
      <c r="DC114" s="240"/>
      <c r="DD114" s="185"/>
    </row>
    <row r="115" spans="1:108" ht="18.75" customHeight="1">
      <c r="A115" s="167"/>
      <c r="B115" s="312" t="s">
        <v>1862</v>
      </c>
      <c r="C115" s="233"/>
      <c r="D115" s="233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33"/>
      <c r="AG115" s="233"/>
      <c r="AH115" s="233"/>
      <c r="AI115" s="233"/>
      <c r="AJ115" s="233"/>
      <c r="AK115" s="233"/>
      <c r="AL115" s="233"/>
      <c r="AM115" s="233"/>
      <c r="AN115" s="233"/>
      <c r="AO115" s="233"/>
      <c r="AP115" s="233"/>
      <c r="AQ115" s="233"/>
      <c r="AR115" s="233"/>
      <c r="AS115" s="233"/>
      <c r="AT115" s="233"/>
      <c r="AU115" s="233"/>
      <c r="AV115" s="233"/>
      <c r="AW115" s="233"/>
      <c r="AX115" s="233"/>
      <c r="AY115" s="233"/>
      <c r="AZ115" s="233"/>
      <c r="BA115" s="233"/>
      <c r="BB115" s="233"/>
      <c r="BC115" s="233"/>
      <c r="BD115" s="233"/>
      <c r="BE115" s="233"/>
      <c r="BF115" s="233"/>
      <c r="BG115" s="233"/>
      <c r="BH115" s="233"/>
      <c r="BI115" s="233"/>
      <c r="BJ115" s="233"/>
      <c r="BK115" s="233"/>
      <c r="BL115" s="233"/>
      <c r="BM115" s="233"/>
      <c r="BN115" s="233"/>
      <c r="BO115" s="233"/>
      <c r="BP115" s="233"/>
      <c r="BQ115" s="233"/>
      <c r="BR115" s="233"/>
      <c r="BS115" s="233"/>
      <c r="BT115" s="233"/>
      <c r="BU115" s="233"/>
      <c r="BV115" s="233"/>
      <c r="BW115" s="233"/>
      <c r="BX115" s="233"/>
      <c r="BY115" s="233"/>
      <c r="BZ115" s="233"/>
      <c r="CA115" s="233"/>
      <c r="CB115" s="233"/>
      <c r="CC115" s="233"/>
      <c r="CD115" s="233"/>
      <c r="CE115" s="233"/>
      <c r="CF115" s="233"/>
      <c r="CG115" s="233"/>
      <c r="CH115" s="233"/>
      <c r="CI115" s="233"/>
      <c r="CJ115" s="233"/>
      <c r="CK115" s="233"/>
      <c r="CL115" s="233"/>
      <c r="CM115" s="233"/>
      <c r="CN115" s="233"/>
      <c r="CO115" s="233"/>
      <c r="CP115" s="233"/>
      <c r="CQ115" s="233"/>
      <c r="CR115" s="233"/>
      <c r="CS115" s="233"/>
      <c r="CT115" s="233"/>
      <c r="CU115" s="233"/>
      <c r="CV115" s="233"/>
      <c r="CW115" s="233"/>
      <c r="CX115" s="233"/>
      <c r="CY115" s="233"/>
      <c r="CZ115" s="233"/>
      <c r="DA115" s="233"/>
      <c r="DB115" s="233"/>
      <c r="DC115" s="233"/>
      <c r="DD115" s="170"/>
    </row>
    <row r="116" spans="1:108" ht="11.25" customHeight="1">
      <c r="A116" s="180"/>
      <c r="B116" s="341" t="s">
        <v>30</v>
      </c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  <c r="AW116" s="240"/>
      <c r="AX116" s="240"/>
      <c r="AY116" s="240"/>
      <c r="AZ116" s="240"/>
      <c r="BA116" s="240"/>
      <c r="BB116" s="240"/>
      <c r="BC116" s="240"/>
      <c r="BD116" s="240"/>
      <c r="BE116" s="240"/>
      <c r="BF116" s="240"/>
      <c r="BG116" s="240"/>
      <c r="BH116" s="240"/>
      <c r="BI116" s="240"/>
      <c r="BJ116" s="240"/>
      <c r="BK116" s="240"/>
      <c r="BL116" s="240"/>
      <c r="BM116" s="240"/>
      <c r="BN116" s="240"/>
      <c r="BO116" s="240"/>
      <c r="BP116" s="240"/>
      <c r="BQ116" s="240"/>
      <c r="BR116" s="240"/>
      <c r="BS116" s="240"/>
      <c r="BT116" s="240"/>
      <c r="BU116" s="240"/>
      <c r="BV116" s="240"/>
      <c r="BW116" s="240"/>
      <c r="BX116" s="240"/>
      <c r="BY116" s="240"/>
      <c r="BZ116" s="240"/>
      <c r="CA116" s="240"/>
      <c r="CB116" s="240"/>
      <c r="CC116" s="240"/>
      <c r="CD116" s="240"/>
      <c r="CE116" s="240"/>
      <c r="CF116" s="240"/>
      <c r="CG116" s="240"/>
      <c r="CH116" s="240"/>
      <c r="CI116" s="240"/>
      <c r="CJ116" s="240"/>
      <c r="CK116" s="240"/>
      <c r="CL116" s="240"/>
      <c r="CM116" s="240"/>
      <c r="CN116" s="240"/>
      <c r="CO116" s="240"/>
      <c r="CP116" s="240"/>
      <c r="CQ116" s="240"/>
      <c r="CR116" s="240"/>
      <c r="CS116" s="240"/>
      <c r="CT116" s="240"/>
      <c r="CU116" s="240"/>
      <c r="CV116" s="240"/>
      <c r="CW116" s="240"/>
      <c r="CX116" s="240"/>
      <c r="CY116" s="240"/>
      <c r="CZ116" s="240"/>
      <c r="DA116" s="240"/>
      <c r="DB116" s="240"/>
      <c r="DC116" s="240"/>
      <c r="DD116" s="182"/>
    </row>
    <row r="117" spans="1:108" ht="10.5" customHeight="1">
      <c r="A117" s="167"/>
      <c r="B117" s="312" t="s">
        <v>1863</v>
      </c>
      <c r="C117" s="233"/>
      <c r="D117" s="233"/>
      <c r="E117" s="233"/>
      <c r="F117" s="233"/>
      <c r="G117" s="233"/>
      <c r="H117" s="233"/>
      <c r="I117" s="233"/>
      <c r="J117" s="233"/>
      <c r="K117" s="233"/>
      <c r="L117" s="233"/>
      <c r="M117" s="233"/>
      <c r="N117" s="233"/>
      <c r="O117" s="233"/>
      <c r="P117" s="233"/>
      <c r="Q117" s="233"/>
      <c r="R117" s="233"/>
      <c r="S117" s="233"/>
      <c r="T117" s="233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3"/>
      <c r="AI117" s="233"/>
      <c r="AJ117" s="233"/>
      <c r="AK117" s="233"/>
      <c r="AL117" s="233"/>
      <c r="AM117" s="233"/>
      <c r="AN117" s="233"/>
      <c r="AO117" s="233"/>
      <c r="AP117" s="233"/>
      <c r="AQ117" s="233"/>
      <c r="AR117" s="233"/>
      <c r="AS117" s="233"/>
      <c r="AT117" s="233"/>
      <c r="AU117" s="233"/>
      <c r="AV117" s="233"/>
      <c r="AW117" s="233"/>
      <c r="AX117" s="233"/>
      <c r="AY117" s="233"/>
      <c r="AZ117" s="233"/>
      <c r="BA117" s="233"/>
      <c r="BB117" s="233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3"/>
      <c r="BS117" s="233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3"/>
      <c r="CJ117" s="233"/>
      <c r="CK117" s="233"/>
      <c r="CL117" s="233"/>
      <c r="CM117" s="233"/>
      <c r="CN117" s="233"/>
      <c r="CO117" s="233"/>
      <c r="CP117" s="233"/>
      <c r="CQ117" s="233"/>
      <c r="CR117" s="233"/>
      <c r="CS117" s="233"/>
      <c r="CT117" s="233"/>
      <c r="CU117" s="233"/>
      <c r="CV117" s="233"/>
      <c r="CW117" s="233"/>
      <c r="CX117" s="233"/>
      <c r="CY117" s="233"/>
      <c r="CZ117" s="233"/>
      <c r="DA117" s="233"/>
      <c r="DB117" s="233"/>
      <c r="DC117" s="233"/>
      <c r="DD117" s="170"/>
    </row>
    <row r="118" spans="1:108" ht="15" customHeight="1">
      <c r="A118" s="336" t="s">
        <v>1864</v>
      </c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R118" s="214"/>
      <c r="CS118" s="214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5"/>
    </row>
    <row r="119" spans="1:108" ht="11.25" customHeight="1">
      <c r="A119" s="184"/>
      <c r="B119" s="342" t="s">
        <v>30</v>
      </c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  <c r="AW119" s="240"/>
      <c r="AX119" s="240"/>
      <c r="AY119" s="240"/>
      <c r="AZ119" s="240"/>
      <c r="BA119" s="240"/>
      <c r="BB119" s="59"/>
      <c r="BC119" s="184"/>
      <c r="BD119" s="342" t="s">
        <v>30</v>
      </c>
      <c r="BE119" s="240"/>
      <c r="BF119" s="240"/>
      <c r="BG119" s="240"/>
      <c r="BH119" s="240"/>
      <c r="BI119" s="240"/>
      <c r="BJ119" s="240"/>
      <c r="BK119" s="240"/>
      <c r="BL119" s="240"/>
      <c r="BM119" s="240"/>
      <c r="BN119" s="240"/>
      <c r="BO119" s="240"/>
      <c r="BP119" s="240"/>
      <c r="BQ119" s="240"/>
      <c r="BR119" s="240"/>
      <c r="BS119" s="240"/>
      <c r="BT119" s="240"/>
      <c r="BU119" s="240"/>
      <c r="BV119" s="240"/>
      <c r="BW119" s="240"/>
      <c r="BX119" s="240"/>
      <c r="BY119" s="240"/>
      <c r="BZ119" s="240"/>
      <c r="CA119" s="240"/>
      <c r="CB119" s="240"/>
      <c r="CC119" s="240"/>
      <c r="CD119" s="240"/>
      <c r="CE119" s="240"/>
      <c r="CF119" s="240"/>
      <c r="CG119" s="240"/>
      <c r="CH119" s="240"/>
      <c r="CI119" s="240"/>
      <c r="CJ119" s="240"/>
      <c r="CK119" s="240"/>
      <c r="CL119" s="240"/>
      <c r="CM119" s="240"/>
      <c r="CN119" s="240"/>
      <c r="CO119" s="240"/>
      <c r="CP119" s="240"/>
      <c r="CQ119" s="240"/>
      <c r="CR119" s="240"/>
      <c r="CS119" s="240"/>
      <c r="CT119" s="240"/>
      <c r="CU119" s="240"/>
      <c r="CV119" s="240"/>
      <c r="CW119" s="240"/>
      <c r="CX119" s="240"/>
      <c r="CY119" s="240"/>
      <c r="CZ119" s="240"/>
      <c r="DA119" s="240"/>
      <c r="DB119" s="240"/>
      <c r="DC119" s="240"/>
      <c r="DD119" s="185"/>
    </row>
    <row r="120" spans="1:108" ht="18" customHeight="1">
      <c r="A120" s="167"/>
      <c r="B120" s="303" t="s">
        <v>1865</v>
      </c>
      <c r="C120" s="209"/>
      <c r="D120" s="209"/>
      <c r="E120" s="209"/>
      <c r="F120" s="209"/>
      <c r="G120" s="209"/>
      <c r="H120" s="209"/>
      <c r="I120" s="209"/>
      <c r="J120" s="209"/>
      <c r="K120" s="209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209"/>
      <c r="AI120" s="209"/>
      <c r="AJ120" s="209"/>
      <c r="AK120" s="209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09"/>
      <c r="BB120" s="183"/>
      <c r="BC120" s="167"/>
      <c r="BD120" s="303" t="s">
        <v>1866</v>
      </c>
      <c r="BE120" s="209"/>
      <c r="BF120" s="209"/>
      <c r="BG120" s="209"/>
      <c r="BH120" s="209"/>
      <c r="BI120" s="209"/>
      <c r="BJ120" s="209"/>
      <c r="BK120" s="209"/>
      <c r="BL120" s="209"/>
      <c r="BM120" s="209"/>
      <c r="BN120" s="209"/>
      <c r="BO120" s="209"/>
      <c r="BP120" s="209"/>
      <c r="BQ120" s="209"/>
      <c r="BR120" s="209"/>
      <c r="BS120" s="209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09"/>
      <c r="CJ120" s="209"/>
      <c r="CK120" s="209"/>
      <c r="CL120" s="209"/>
      <c r="CM120" s="209"/>
      <c r="CN120" s="209"/>
      <c r="CO120" s="209"/>
      <c r="CP120" s="209"/>
      <c r="CQ120" s="209"/>
      <c r="CR120" s="209"/>
      <c r="CS120" s="209"/>
      <c r="CT120" s="209"/>
      <c r="CU120" s="209"/>
      <c r="CV120" s="209"/>
      <c r="CW120" s="209"/>
      <c r="CX120" s="209"/>
      <c r="CY120" s="209"/>
      <c r="CZ120" s="209"/>
      <c r="DA120" s="209"/>
      <c r="DB120" s="209"/>
      <c r="DC120" s="209"/>
      <c r="DD120" s="170"/>
    </row>
    <row r="121" spans="1:108" ht="11.25" customHeight="1">
      <c r="A121" s="180"/>
      <c r="B121" s="341" t="s">
        <v>30</v>
      </c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181"/>
      <c r="BC121" s="180"/>
      <c r="BD121" s="341" t="s">
        <v>30</v>
      </c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240"/>
      <c r="BR121" s="240"/>
      <c r="BS121" s="240"/>
      <c r="BT121" s="240"/>
      <c r="BU121" s="240"/>
      <c r="BV121" s="240"/>
      <c r="BW121" s="240"/>
      <c r="BX121" s="240"/>
      <c r="BY121" s="240"/>
      <c r="BZ121" s="240"/>
      <c r="CA121" s="240"/>
      <c r="CB121" s="240"/>
      <c r="CC121" s="240"/>
      <c r="CD121" s="240"/>
      <c r="CE121" s="240"/>
      <c r="CF121" s="240"/>
      <c r="CG121" s="240"/>
      <c r="CH121" s="240"/>
      <c r="CI121" s="240"/>
      <c r="CJ121" s="240"/>
      <c r="CK121" s="240"/>
      <c r="CL121" s="240"/>
      <c r="CM121" s="240"/>
      <c r="CN121" s="240"/>
      <c r="CO121" s="240"/>
      <c r="CP121" s="240"/>
      <c r="CQ121" s="240"/>
      <c r="CR121" s="240"/>
      <c r="CS121" s="240"/>
      <c r="CT121" s="240"/>
      <c r="CU121" s="240"/>
      <c r="CV121" s="240"/>
      <c r="CW121" s="240"/>
      <c r="CX121" s="240"/>
      <c r="CY121" s="240"/>
      <c r="CZ121" s="240"/>
      <c r="DA121" s="240"/>
      <c r="DB121" s="240"/>
      <c r="DC121" s="240"/>
      <c r="DD121" s="182"/>
    </row>
    <row r="122" spans="1:108" ht="18" customHeight="1">
      <c r="A122" s="167"/>
      <c r="B122" s="303" t="s">
        <v>1867</v>
      </c>
      <c r="C122" s="209"/>
      <c r="D122" s="209"/>
      <c r="E122" s="209"/>
      <c r="F122" s="209"/>
      <c r="G122" s="209"/>
      <c r="H122" s="209"/>
      <c r="I122" s="209"/>
      <c r="J122" s="209"/>
      <c r="K122" s="209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209"/>
      <c r="AI122" s="209"/>
      <c r="AJ122" s="209"/>
      <c r="AK122" s="209"/>
      <c r="AL122" s="209"/>
      <c r="AM122" s="209"/>
      <c r="AN122" s="209"/>
      <c r="AO122" s="209"/>
      <c r="AP122" s="209"/>
      <c r="AQ122" s="209"/>
      <c r="AR122" s="209"/>
      <c r="AS122" s="209"/>
      <c r="AT122" s="209"/>
      <c r="AU122" s="209"/>
      <c r="AV122" s="209"/>
      <c r="AW122" s="209"/>
      <c r="AX122" s="209"/>
      <c r="AY122" s="209"/>
      <c r="AZ122" s="209"/>
      <c r="BA122" s="209"/>
      <c r="BB122" s="183"/>
      <c r="BC122" s="167"/>
      <c r="BD122" s="303" t="s">
        <v>1868</v>
      </c>
      <c r="BE122" s="209"/>
      <c r="BF122" s="209"/>
      <c r="BG122" s="209"/>
      <c r="BH122" s="209"/>
      <c r="BI122" s="209"/>
      <c r="BJ122" s="209"/>
      <c r="BK122" s="209"/>
      <c r="BL122" s="209"/>
      <c r="BM122" s="209"/>
      <c r="BN122" s="209"/>
      <c r="BO122" s="209"/>
      <c r="BP122" s="209"/>
      <c r="BQ122" s="209"/>
      <c r="BR122" s="209"/>
      <c r="BS122" s="209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09"/>
      <c r="CJ122" s="209"/>
      <c r="CK122" s="209"/>
      <c r="CL122" s="209"/>
      <c r="CM122" s="209"/>
      <c r="CN122" s="209"/>
      <c r="CO122" s="209"/>
      <c r="CP122" s="209"/>
      <c r="CQ122" s="209"/>
      <c r="CR122" s="209"/>
      <c r="CS122" s="209"/>
      <c r="CT122" s="209"/>
      <c r="CU122" s="209"/>
      <c r="CV122" s="209"/>
      <c r="CW122" s="209"/>
      <c r="CX122" s="209"/>
      <c r="CY122" s="209"/>
      <c r="CZ122" s="209"/>
      <c r="DA122" s="209"/>
      <c r="DB122" s="209"/>
      <c r="DC122" s="209"/>
      <c r="DD122" s="170"/>
    </row>
    <row r="123" spans="1:108" ht="15" customHeight="1">
      <c r="A123" s="336" t="s">
        <v>1869</v>
      </c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4"/>
      <c r="CJ123" s="214"/>
      <c r="CK123" s="214"/>
      <c r="CL123" s="214"/>
      <c r="CM123" s="214"/>
      <c r="CN123" s="214"/>
      <c r="CO123" s="214"/>
      <c r="CP123" s="214"/>
      <c r="CQ123" s="214"/>
      <c r="CR123" s="214"/>
      <c r="CS123" s="214"/>
      <c r="CT123" s="214"/>
      <c r="CU123" s="214"/>
      <c r="CV123" s="214"/>
      <c r="CW123" s="214"/>
      <c r="CX123" s="214"/>
      <c r="CY123" s="214"/>
      <c r="CZ123" s="214"/>
      <c r="DA123" s="214"/>
      <c r="DB123" s="214"/>
      <c r="DC123" s="214"/>
      <c r="DD123" s="215"/>
    </row>
    <row r="124" spans="1:108" ht="11.25" customHeight="1">
      <c r="A124" s="186"/>
      <c r="B124" s="341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240"/>
      <c r="T124" s="240"/>
      <c r="U124" s="240"/>
      <c r="V124" s="343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187"/>
      <c r="AH124" s="341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  <c r="AW124" s="240"/>
      <c r="AX124" s="240"/>
      <c r="AY124" s="240"/>
      <c r="AZ124" s="240"/>
      <c r="BA124" s="240"/>
      <c r="BB124" s="188"/>
      <c r="BC124" s="186"/>
      <c r="BD124" s="341"/>
      <c r="BE124" s="240"/>
      <c r="BF124" s="240"/>
      <c r="BG124" s="240"/>
      <c r="BH124" s="240"/>
      <c r="BI124" s="240"/>
      <c r="BJ124" s="240"/>
      <c r="BK124" s="240"/>
      <c r="BL124" s="240"/>
      <c r="BM124" s="240"/>
      <c r="BN124" s="240"/>
      <c r="BO124" s="240"/>
      <c r="BP124" s="240"/>
      <c r="BQ124" s="240"/>
      <c r="BR124" s="240"/>
      <c r="BS124" s="240"/>
      <c r="BT124" s="240"/>
      <c r="BU124" s="240"/>
      <c r="BV124" s="240"/>
      <c r="BW124" s="240"/>
      <c r="BX124" s="343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187"/>
      <c r="CJ124" s="341"/>
      <c r="CK124" s="240"/>
      <c r="CL124" s="240"/>
      <c r="CM124" s="240"/>
      <c r="CN124" s="240"/>
      <c r="CO124" s="240"/>
      <c r="CP124" s="240"/>
      <c r="CQ124" s="240"/>
      <c r="CR124" s="240"/>
      <c r="CS124" s="240"/>
      <c r="CT124" s="240"/>
      <c r="CU124" s="240"/>
      <c r="CV124" s="240"/>
      <c r="CW124" s="240"/>
      <c r="CX124" s="240"/>
      <c r="CY124" s="240"/>
      <c r="CZ124" s="240"/>
      <c r="DA124" s="240"/>
      <c r="DB124" s="240"/>
      <c r="DC124" s="240"/>
      <c r="DD124" s="189"/>
    </row>
    <row r="125" spans="1:108" ht="18" customHeight="1">
      <c r="A125" s="190"/>
      <c r="B125" s="258" t="s">
        <v>1870</v>
      </c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191"/>
      <c r="BC125" s="190"/>
      <c r="BD125" s="258" t="s">
        <v>1871</v>
      </c>
      <c r="BE125" s="240"/>
      <c r="BF125" s="240"/>
      <c r="BG125" s="240"/>
      <c r="BH125" s="240"/>
      <c r="BI125" s="240"/>
      <c r="BJ125" s="240"/>
      <c r="BK125" s="240"/>
      <c r="BL125" s="240"/>
      <c r="BM125" s="240"/>
      <c r="BN125" s="240"/>
      <c r="BO125" s="240"/>
      <c r="BP125" s="240"/>
      <c r="BQ125" s="240"/>
      <c r="BR125" s="240"/>
      <c r="BS125" s="240"/>
      <c r="BT125" s="240"/>
      <c r="BU125" s="240"/>
      <c r="BV125" s="240"/>
      <c r="BW125" s="240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0"/>
      <c r="CO125" s="240"/>
      <c r="CP125" s="240"/>
      <c r="CQ125" s="240"/>
      <c r="CR125" s="240"/>
      <c r="CS125" s="240"/>
      <c r="CT125" s="240"/>
      <c r="CU125" s="240"/>
      <c r="CV125" s="240"/>
      <c r="CW125" s="240"/>
      <c r="CX125" s="240"/>
      <c r="CY125" s="240"/>
      <c r="CZ125" s="240"/>
      <c r="DA125" s="240"/>
      <c r="DB125" s="240"/>
      <c r="DC125" s="240"/>
      <c r="DD125" s="192"/>
    </row>
    <row r="126" spans="1:108" ht="15" customHeight="1">
      <c r="A126" s="336" t="s">
        <v>1872</v>
      </c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4"/>
      <c r="X126" s="214"/>
      <c r="Y126" s="214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  <c r="BY126" s="214"/>
      <c r="BZ126" s="214"/>
      <c r="CA126" s="214"/>
      <c r="CB126" s="214"/>
      <c r="CC126" s="214"/>
      <c r="CD126" s="214"/>
      <c r="CE126" s="214"/>
      <c r="CF126" s="214"/>
      <c r="CG126" s="214"/>
      <c r="CH126" s="214"/>
      <c r="CI126" s="214"/>
      <c r="CJ126" s="214"/>
      <c r="CK126" s="214"/>
      <c r="CL126" s="214"/>
      <c r="CM126" s="214"/>
      <c r="CN126" s="214"/>
      <c r="CO126" s="214"/>
      <c r="CP126" s="214"/>
      <c r="CQ126" s="214"/>
      <c r="CR126" s="214"/>
      <c r="CS126" s="214"/>
      <c r="CT126" s="214"/>
      <c r="CU126" s="214"/>
      <c r="CV126" s="214"/>
      <c r="CW126" s="214"/>
      <c r="CX126" s="214"/>
      <c r="CY126" s="214"/>
      <c r="CZ126" s="214"/>
      <c r="DA126" s="214"/>
      <c r="DB126" s="214"/>
      <c r="DC126" s="214"/>
      <c r="DD126" s="215"/>
    </row>
    <row r="127" spans="1:108" ht="11.25" customHeight="1">
      <c r="A127" s="186"/>
      <c r="B127" s="344" t="s">
        <v>1873</v>
      </c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43"/>
      <c r="BB127" s="188"/>
      <c r="BC127" s="186"/>
      <c r="BD127" s="343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  <c r="BY127" s="214"/>
      <c r="BZ127" s="214"/>
      <c r="CA127" s="214"/>
      <c r="CB127" s="214"/>
      <c r="CC127" s="214"/>
      <c r="CD127" s="214"/>
      <c r="CE127" s="214"/>
      <c r="CF127" s="214"/>
      <c r="CG127" s="214"/>
      <c r="CH127" s="214"/>
      <c r="CI127" s="214"/>
      <c r="CJ127" s="214"/>
      <c r="CK127" s="214"/>
      <c r="CL127" s="214"/>
      <c r="CM127" s="214"/>
      <c r="CN127" s="214"/>
      <c r="CO127" s="214"/>
      <c r="CP127" s="214"/>
      <c r="CQ127" s="214"/>
      <c r="CR127" s="214"/>
      <c r="CS127" s="214"/>
      <c r="CT127" s="214"/>
      <c r="CU127" s="214"/>
      <c r="CV127" s="214"/>
      <c r="CW127" s="214"/>
      <c r="CX127" s="214"/>
      <c r="CY127" s="214"/>
      <c r="CZ127" s="214"/>
      <c r="DA127" s="214"/>
      <c r="DB127" s="214"/>
      <c r="DC127" s="214"/>
      <c r="DD127" s="189"/>
    </row>
    <row r="128" spans="1:108" ht="10.5" customHeight="1">
      <c r="A128" s="193"/>
      <c r="B128" s="312" t="s">
        <v>1874</v>
      </c>
      <c r="C128" s="233"/>
      <c r="D128" s="233"/>
      <c r="E128" s="233"/>
      <c r="F128" s="233"/>
      <c r="G128" s="233"/>
      <c r="H128" s="233"/>
      <c r="I128" s="233"/>
      <c r="J128" s="233"/>
      <c r="K128" s="233"/>
      <c r="L128" s="233"/>
      <c r="M128" s="233"/>
      <c r="N128" s="233"/>
      <c r="O128" s="233"/>
      <c r="P128" s="233"/>
      <c r="Q128" s="233"/>
      <c r="R128" s="233"/>
      <c r="S128" s="233"/>
      <c r="T128" s="233"/>
      <c r="U128" s="233"/>
      <c r="V128" s="233"/>
      <c r="W128" s="233"/>
      <c r="X128" s="233"/>
      <c r="Y128" s="233"/>
      <c r="Z128" s="233"/>
      <c r="AA128" s="233"/>
      <c r="AB128" s="233"/>
      <c r="AC128" s="233"/>
      <c r="AD128" s="233"/>
      <c r="AE128" s="233"/>
      <c r="AF128" s="233"/>
      <c r="AG128" s="233"/>
      <c r="AH128" s="233"/>
      <c r="AI128" s="233"/>
      <c r="AJ128" s="233"/>
      <c r="AK128" s="233"/>
      <c r="AL128" s="233"/>
      <c r="AM128" s="233"/>
      <c r="AN128" s="233"/>
      <c r="AO128" s="233"/>
      <c r="AP128" s="233"/>
      <c r="AQ128" s="233"/>
      <c r="AR128" s="233"/>
      <c r="AS128" s="233"/>
      <c r="AT128" s="233"/>
      <c r="AU128" s="233"/>
      <c r="AV128" s="233"/>
      <c r="AW128" s="233"/>
      <c r="AX128" s="233"/>
      <c r="AY128" s="233"/>
      <c r="AZ128" s="233"/>
      <c r="BA128" s="233"/>
      <c r="BB128" s="194"/>
      <c r="BC128" s="193"/>
      <c r="BD128" s="195" t="s">
        <v>1875</v>
      </c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  <c r="DB128" s="195"/>
      <c r="DC128" s="195"/>
      <c r="DD128" s="196"/>
    </row>
    <row r="129" spans="1:108" ht="8.25" customHeight="1">
      <c r="A129" s="167"/>
      <c r="B129" s="209"/>
      <c r="C129" s="209"/>
      <c r="D129" s="209"/>
      <c r="E129" s="209"/>
      <c r="F129" s="209"/>
      <c r="G129" s="209"/>
      <c r="H129" s="209"/>
      <c r="I129" s="209"/>
      <c r="J129" s="209"/>
      <c r="K129" s="209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209"/>
      <c r="AI129" s="209"/>
      <c r="AJ129" s="209"/>
      <c r="AK129" s="209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09"/>
      <c r="BB129" s="183"/>
      <c r="BC129" s="167"/>
      <c r="BD129" s="345" t="s">
        <v>1876</v>
      </c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09"/>
      <c r="BS129" s="209"/>
      <c r="BT129" s="209"/>
      <c r="BU129" s="209"/>
      <c r="BV129" s="209"/>
      <c r="BW129" s="209"/>
      <c r="BX129" s="209"/>
      <c r="BY129" s="209"/>
      <c r="BZ129" s="209"/>
      <c r="CA129" s="209"/>
      <c r="CB129" s="209"/>
      <c r="CC129" s="209"/>
      <c r="CD129" s="209"/>
      <c r="CE129" s="209"/>
      <c r="CF129" s="209"/>
      <c r="CG129" s="209"/>
      <c r="CH129" s="209"/>
      <c r="CI129" s="209"/>
      <c r="CJ129" s="209"/>
      <c r="CK129" s="209"/>
      <c r="CL129" s="209"/>
      <c r="CM129" s="209"/>
      <c r="CN129" s="209"/>
      <c r="CO129" s="209"/>
      <c r="CP129" s="209"/>
      <c r="CQ129" s="209"/>
      <c r="CR129" s="209"/>
      <c r="CS129" s="209"/>
      <c r="CT129" s="209"/>
      <c r="CU129" s="209"/>
      <c r="CV129" s="346"/>
      <c r="CW129" s="240"/>
      <c r="CX129" s="240"/>
      <c r="CY129" s="240"/>
      <c r="CZ129" s="240"/>
      <c r="DA129" s="240"/>
      <c r="DB129" s="240"/>
      <c r="DC129" s="240"/>
      <c r="DD129" s="170"/>
    </row>
    <row r="130" spans="1:108" ht="8.25" customHeight="1">
      <c r="A130" s="167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67"/>
      <c r="BD130" s="174" t="s">
        <v>1877</v>
      </c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/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/>
      <c r="CF130" s="174"/>
      <c r="CG130" s="174"/>
      <c r="CH130" s="174"/>
      <c r="CI130" s="174"/>
      <c r="CJ130" s="174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74"/>
      <c r="CX130" s="174"/>
      <c r="CY130" s="174"/>
      <c r="CZ130" s="174"/>
      <c r="DA130" s="174"/>
      <c r="DB130" s="174"/>
      <c r="DC130" s="174"/>
      <c r="DD130" s="197"/>
    </row>
    <row r="131" spans="1:108" ht="8.25" customHeight="1">
      <c r="A131" s="167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67"/>
      <c r="BD131" s="174" t="s">
        <v>1878</v>
      </c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346"/>
      <c r="BY131" s="240"/>
      <c r="BZ131" s="240"/>
      <c r="CA131" s="240"/>
      <c r="CB131" s="240"/>
      <c r="CC131" s="240"/>
      <c r="CD131" s="240"/>
      <c r="CE131" s="240"/>
      <c r="CF131" s="240"/>
      <c r="CG131" s="240"/>
      <c r="CH131" s="240"/>
      <c r="CI131" s="240"/>
      <c r="CJ131" s="174" t="s">
        <v>1879</v>
      </c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97"/>
    </row>
    <row r="132" spans="1:108" ht="8.25" customHeight="1">
      <c r="A132" s="167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67"/>
      <c r="BD132" s="174" t="s">
        <v>1880</v>
      </c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74"/>
      <c r="CA132" s="174"/>
      <c r="CB132" s="174"/>
      <c r="CC132" s="174"/>
      <c r="CD132" s="174"/>
      <c r="CE132" s="174"/>
      <c r="CF132" s="174"/>
      <c r="CG132" s="174"/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/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97"/>
    </row>
    <row r="133" spans="1:108" ht="8.25" customHeight="1">
      <c r="A133" s="167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67"/>
      <c r="BD133" s="174" t="s">
        <v>1881</v>
      </c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/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/>
      <c r="CF133" s="174"/>
      <c r="CG133" s="174"/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/>
      <c r="CR133" s="174"/>
      <c r="CS133" s="174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97"/>
    </row>
    <row r="134" spans="1:108" ht="8.25" customHeight="1">
      <c r="A134" s="167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67"/>
      <c r="BD134" s="174" t="s">
        <v>1882</v>
      </c>
      <c r="BE134" s="174"/>
      <c r="BF134" s="174"/>
      <c r="BG134" s="174"/>
      <c r="BH134" s="174"/>
      <c r="BI134" s="174"/>
      <c r="BJ134" s="346"/>
      <c r="BK134" s="240"/>
      <c r="BL134" s="240"/>
      <c r="BM134" s="240"/>
      <c r="BN134" s="240"/>
      <c r="BO134" s="240"/>
      <c r="BP134" s="240"/>
      <c r="BQ134" s="240"/>
      <c r="BR134" s="240"/>
      <c r="BS134" s="240"/>
      <c r="BT134" s="240"/>
      <c r="BU134" s="240"/>
      <c r="BV134" s="174" t="s">
        <v>1879</v>
      </c>
      <c r="BW134" s="174"/>
      <c r="BX134" s="174"/>
      <c r="BY134" s="174"/>
      <c r="BZ134" s="174"/>
      <c r="CA134" s="174"/>
      <c r="CB134" s="174"/>
      <c r="CC134" s="174"/>
      <c r="CD134" s="174"/>
      <c r="CE134" s="174"/>
      <c r="CF134" s="174"/>
      <c r="CG134" s="174"/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/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97"/>
    </row>
    <row r="135" spans="1:108" ht="8.25" customHeight="1">
      <c r="A135" s="167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67"/>
      <c r="BD135" s="174" t="s">
        <v>1883</v>
      </c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/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/>
      <c r="CF135" s="174"/>
      <c r="CG135" s="174"/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/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97"/>
    </row>
    <row r="136" spans="1:108" ht="8.25" customHeight="1">
      <c r="A136" s="167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67"/>
      <c r="BD136" s="174" t="s">
        <v>1884</v>
      </c>
      <c r="BE136" s="174"/>
      <c r="BF136" s="174"/>
      <c r="BG136" s="174"/>
      <c r="BH136" s="174"/>
      <c r="BI136" s="174"/>
      <c r="BJ136" s="174"/>
      <c r="BK136" s="174"/>
      <c r="BL136" s="174"/>
      <c r="BM136" s="174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74"/>
      <c r="CA136" s="174"/>
      <c r="CB136" s="174"/>
      <c r="CC136" s="174"/>
      <c r="CD136" s="346"/>
      <c r="CE136" s="240"/>
      <c r="CF136" s="240"/>
      <c r="CG136" s="240"/>
      <c r="CH136" s="240"/>
      <c r="CI136" s="240"/>
      <c r="CJ136" s="240"/>
      <c r="CK136" s="240"/>
      <c r="CL136" s="240"/>
      <c r="CM136" s="240"/>
      <c r="CN136" s="240"/>
      <c r="CO136" s="240"/>
      <c r="CP136" s="174" t="s">
        <v>1879</v>
      </c>
      <c r="CQ136" s="174"/>
      <c r="CR136" s="174"/>
      <c r="CS136" s="174"/>
      <c r="CT136" s="174"/>
      <c r="CU136" s="174"/>
      <c r="CV136" s="174"/>
      <c r="CW136" s="174"/>
      <c r="CX136" s="174"/>
      <c r="CY136" s="174"/>
      <c r="CZ136" s="174"/>
      <c r="DA136" s="174"/>
      <c r="DB136" s="174"/>
      <c r="DC136" s="174"/>
      <c r="DD136" s="197"/>
    </row>
    <row r="137" spans="1:108" ht="8.25" customHeight="1">
      <c r="A137" s="167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67"/>
      <c r="BD137" s="345" t="s">
        <v>1885</v>
      </c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09"/>
      <c r="BS137" s="209"/>
      <c r="BT137" s="209"/>
      <c r="BU137" s="209"/>
      <c r="BV137" s="209"/>
      <c r="BW137" s="209"/>
      <c r="BX137" s="209"/>
      <c r="BY137" s="209"/>
      <c r="BZ137" s="209"/>
      <c r="CA137" s="346"/>
      <c r="CB137" s="240"/>
      <c r="CC137" s="240"/>
      <c r="CD137" s="240"/>
      <c r="CE137" s="240"/>
      <c r="CF137" s="240"/>
      <c r="CG137" s="240"/>
      <c r="CH137" s="240"/>
      <c r="CI137" s="240"/>
      <c r="CJ137" s="240"/>
      <c r="CK137" s="240"/>
      <c r="CL137" s="240"/>
      <c r="CM137" s="174" t="s">
        <v>1879</v>
      </c>
      <c r="CN137" s="174"/>
      <c r="CO137" s="174"/>
      <c r="CP137" s="174"/>
      <c r="CQ137" s="174"/>
      <c r="CR137" s="174"/>
      <c r="CS137" s="183"/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97"/>
    </row>
    <row r="138" spans="1:108" ht="8.25" customHeight="1">
      <c r="A138" s="190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191"/>
      <c r="AQ138" s="191"/>
      <c r="AR138" s="191"/>
      <c r="AS138" s="191"/>
      <c r="AT138" s="191"/>
      <c r="AU138" s="191"/>
      <c r="AV138" s="191"/>
      <c r="AW138" s="191"/>
      <c r="AX138" s="191"/>
      <c r="AY138" s="191"/>
      <c r="AZ138" s="191"/>
      <c r="BA138" s="191"/>
      <c r="BB138" s="191"/>
      <c r="BC138" s="190"/>
      <c r="BD138" s="198"/>
      <c r="BE138" s="198"/>
      <c r="BF138" s="198"/>
      <c r="BG138" s="198"/>
      <c r="BH138" s="198"/>
      <c r="BI138" s="198"/>
      <c r="BJ138" s="198"/>
      <c r="BK138" s="198"/>
      <c r="BL138" s="198"/>
      <c r="BM138" s="198"/>
      <c r="BN138" s="198"/>
      <c r="BO138" s="198"/>
      <c r="BP138" s="198"/>
      <c r="BQ138" s="198"/>
      <c r="BR138" s="198"/>
      <c r="BS138" s="198"/>
      <c r="BT138" s="198"/>
      <c r="BU138" s="198"/>
      <c r="BV138" s="198"/>
      <c r="BW138" s="198"/>
      <c r="BX138" s="198"/>
      <c r="BY138" s="198"/>
      <c r="BZ138" s="198"/>
      <c r="CA138" s="191"/>
      <c r="CB138" s="191"/>
      <c r="CC138" s="191"/>
      <c r="CD138" s="191"/>
      <c r="CE138" s="191"/>
      <c r="CF138" s="191"/>
      <c r="CG138" s="191"/>
      <c r="CH138" s="191"/>
      <c r="CI138" s="191"/>
      <c r="CJ138" s="191"/>
      <c r="CK138" s="191"/>
      <c r="CL138" s="191"/>
      <c r="CM138" s="191"/>
      <c r="CN138" s="191"/>
      <c r="CO138" s="191"/>
      <c r="CP138" s="191"/>
      <c r="CQ138" s="191"/>
      <c r="CR138" s="191"/>
      <c r="CS138" s="191"/>
      <c r="CT138" s="198"/>
      <c r="CU138" s="198"/>
      <c r="CV138" s="198"/>
      <c r="CW138" s="198"/>
      <c r="CX138" s="198"/>
      <c r="CY138" s="198"/>
      <c r="CZ138" s="198"/>
      <c r="DA138" s="198"/>
      <c r="DB138" s="198"/>
      <c r="DC138" s="198"/>
      <c r="DD138" s="199"/>
    </row>
    <row r="139" spans="1:108" ht="105" customHeight="1">
      <c r="A139" s="349"/>
      <c r="B139" s="200"/>
      <c r="C139" s="268" t="s">
        <v>126</v>
      </c>
      <c r="D139" s="214"/>
      <c r="E139" s="214"/>
      <c r="F139" s="214"/>
      <c r="G139" s="214"/>
      <c r="H139" s="214"/>
      <c r="I139" s="214"/>
      <c r="J139" s="214"/>
      <c r="K139" s="214"/>
      <c r="L139" s="214"/>
      <c r="M139" s="214"/>
      <c r="N139" s="214"/>
      <c r="O139" s="214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/>
      <c r="Z139" s="214"/>
      <c r="AA139" s="214"/>
      <c r="AB139" s="214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43"/>
      <c r="BB139" s="201"/>
      <c r="BC139" s="202"/>
      <c r="BD139" s="352" t="s">
        <v>125</v>
      </c>
      <c r="BE139" s="256"/>
      <c r="BF139" s="256"/>
      <c r="BG139" s="256"/>
      <c r="BH139" s="256"/>
      <c r="BI139" s="256"/>
      <c r="BJ139" s="256"/>
      <c r="BK139" s="256"/>
      <c r="BL139" s="256"/>
      <c r="BM139" s="256"/>
      <c r="BN139" s="256"/>
      <c r="BO139" s="256"/>
      <c r="BP139" s="256"/>
      <c r="BQ139" s="256"/>
      <c r="BR139" s="256"/>
      <c r="BS139" s="256"/>
      <c r="BT139" s="256"/>
      <c r="BU139" s="256"/>
      <c r="BV139" s="256"/>
      <c r="BW139" s="256"/>
      <c r="BX139" s="256"/>
      <c r="BY139" s="256"/>
      <c r="BZ139" s="256"/>
      <c r="CA139" s="256"/>
      <c r="CB139" s="256"/>
      <c r="CC139" s="256"/>
      <c r="CD139" s="256"/>
      <c r="CE139" s="256"/>
      <c r="CF139" s="256"/>
      <c r="CG139" s="256"/>
      <c r="CH139" s="256"/>
      <c r="CI139" s="256"/>
      <c r="CJ139" s="256"/>
      <c r="CK139" s="256"/>
      <c r="CL139" s="256"/>
      <c r="CM139" s="256"/>
      <c r="CN139" s="256"/>
      <c r="CO139" s="256"/>
      <c r="CP139" s="256"/>
      <c r="CQ139" s="256"/>
      <c r="CR139" s="256"/>
      <c r="CS139" s="256"/>
      <c r="CT139" s="256"/>
      <c r="CU139" s="256"/>
      <c r="CV139" s="256"/>
      <c r="CW139" s="256"/>
      <c r="CX139" s="256"/>
      <c r="CY139" s="256"/>
      <c r="CZ139" s="256"/>
      <c r="DA139" s="256"/>
      <c r="DB139" s="256"/>
      <c r="DC139" s="257"/>
      <c r="DD139" s="203"/>
    </row>
    <row r="140" spans="1:108" ht="11.25" customHeight="1">
      <c r="A140" s="350"/>
      <c r="B140" s="204"/>
      <c r="C140" s="312" t="s">
        <v>1886</v>
      </c>
      <c r="D140" s="233"/>
      <c r="E140" s="233"/>
      <c r="F140" s="233"/>
      <c r="G140" s="233"/>
      <c r="H140" s="233"/>
      <c r="I140" s="233"/>
      <c r="J140" s="233"/>
      <c r="K140" s="233"/>
      <c r="L140" s="233"/>
      <c r="M140" s="233"/>
      <c r="N140" s="233"/>
      <c r="O140" s="233"/>
      <c r="P140" s="233"/>
      <c r="Q140" s="233"/>
      <c r="R140" s="233"/>
      <c r="S140" s="233"/>
      <c r="T140" s="233"/>
      <c r="U140" s="233"/>
      <c r="V140" s="233"/>
      <c r="W140" s="233"/>
      <c r="X140" s="233"/>
      <c r="Y140" s="233"/>
      <c r="Z140" s="233"/>
      <c r="AA140" s="233"/>
      <c r="AB140" s="233"/>
      <c r="AC140" s="233"/>
      <c r="AD140" s="233"/>
      <c r="AE140" s="233"/>
      <c r="AF140" s="233"/>
      <c r="AG140" s="233"/>
      <c r="AH140" s="233"/>
      <c r="AI140" s="233"/>
      <c r="AJ140" s="233"/>
      <c r="AK140" s="233"/>
      <c r="AL140" s="233"/>
      <c r="AM140" s="233"/>
      <c r="AN140" s="233"/>
      <c r="AO140" s="233"/>
      <c r="AP140" s="233"/>
      <c r="AQ140" s="233"/>
      <c r="AR140" s="233"/>
      <c r="AS140" s="233"/>
      <c r="AT140" s="233"/>
      <c r="AU140" s="233"/>
      <c r="AV140" s="233"/>
      <c r="AW140" s="233"/>
      <c r="AX140" s="233"/>
      <c r="AY140" s="233"/>
      <c r="AZ140" s="233"/>
      <c r="BA140" s="233"/>
      <c r="BB140" s="205"/>
      <c r="BC140" s="204"/>
      <c r="BD140" s="342"/>
      <c r="BE140" s="240"/>
      <c r="BF140" s="240"/>
      <c r="BG140" s="240"/>
      <c r="BH140" s="240"/>
      <c r="BI140" s="240"/>
      <c r="BJ140" s="240"/>
      <c r="BK140" s="240"/>
      <c r="BL140" s="240"/>
      <c r="BM140" s="240"/>
      <c r="BN140" s="240"/>
      <c r="BO140" s="240"/>
      <c r="BP140" s="240"/>
      <c r="BQ140" s="240"/>
      <c r="BR140" s="240"/>
      <c r="BS140" s="240"/>
      <c r="BT140" s="240"/>
      <c r="BU140" s="240"/>
      <c r="BV140" s="240"/>
      <c r="BW140" s="240"/>
      <c r="BX140" s="240"/>
      <c r="BY140" s="240"/>
      <c r="BZ140" s="240"/>
      <c r="CA140" s="240"/>
      <c r="CB140" s="240"/>
      <c r="CC140" s="240"/>
      <c r="CD140" s="240"/>
      <c r="CE140" s="240"/>
      <c r="CF140" s="240"/>
      <c r="CG140" s="240"/>
      <c r="CH140" s="240"/>
      <c r="CI140" s="240"/>
      <c r="CJ140" s="240"/>
      <c r="CK140" s="240"/>
      <c r="CL140" s="240"/>
      <c r="CM140" s="240"/>
      <c r="CN140" s="240"/>
      <c r="CO140" s="240"/>
      <c r="CP140" s="240"/>
      <c r="CQ140" s="240"/>
      <c r="CR140" s="240"/>
      <c r="CS140" s="240"/>
      <c r="CT140" s="240"/>
      <c r="CU140" s="240"/>
      <c r="CV140" s="240"/>
      <c r="CW140" s="240"/>
      <c r="CX140" s="240"/>
      <c r="CY140" s="240"/>
      <c r="CZ140" s="240"/>
      <c r="DA140" s="240"/>
      <c r="DB140" s="240"/>
      <c r="DC140" s="240"/>
      <c r="DD140" s="205"/>
    </row>
    <row r="141" spans="1:108" ht="10.5" customHeight="1">
      <c r="A141" s="350"/>
      <c r="B141" s="204"/>
      <c r="C141" s="209"/>
      <c r="D141" s="209"/>
      <c r="E141" s="209"/>
      <c r="F141" s="209"/>
      <c r="G141" s="209"/>
      <c r="H141" s="209"/>
      <c r="I141" s="209"/>
      <c r="J141" s="209"/>
      <c r="K141" s="209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  <c r="AH141" s="209"/>
      <c r="AI141" s="209"/>
      <c r="AJ141" s="209"/>
      <c r="AK141" s="209"/>
      <c r="AL141" s="209"/>
      <c r="AM141" s="209"/>
      <c r="AN141" s="209"/>
      <c r="AO141" s="209"/>
      <c r="AP141" s="209"/>
      <c r="AQ141" s="209"/>
      <c r="AR141" s="209"/>
      <c r="AS141" s="209"/>
      <c r="AT141" s="209"/>
      <c r="AU141" s="209"/>
      <c r="AV141" s="209"/>
      <c r="AW141" s="209"/>
      <c r="AX141" s="209"/>
      <c r="AY141" s="209"/>
      <c r="AZ141" s="209"/>
      <c r="BA141" s="209"/>
      <c r="BB141" s="205"/>
      <c r="BC141" s="206"/>
      <c r="BD141" s="258" t="s">
        <v>1887</v>
      </c>
      <c r="BE141" s="240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0"/>
      <c r="BW141" s="240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0"/>
      <c r="CO141" s="240"/>
      <c r="CP141" s="240"/>
      <c r="CQ141" s="240"/>
      <c r="CR141" s="240"/>
      <c r="CS141" s="240"/>
      <c r="CT141" s="240"/>
      <c r="CU141" s="240"/>
      <c r="CV141" s="240"/>
      <c r="CW141" s="240"/>
      <c r="CX141" s="240"/>
      <c r="CY141" s="240"/>
      <c r="CZ141" s="240"/>
      <c r="DA141" s="240"/>
      <c r="DB141" s="240"/>
      <c r="DC141" s="240"/>
      <c r="DD141" s="207"/>
    </row>
    <row r="142" spans="1:108" ht="10.5" customHeight="1">
      <c r="A142" s="350"/>
      <c r="B142" s="59"/>
      <c r="C142" s="341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40"/>
      <c r="O142" s="240"/>
      <c r="P142" s="240"/>
      <c r="Q142" s="240"/>
      <c r="R142" s="240"/>
      <c r="S142" s="240"/>
      <c r="T142" s="240"/>
      <c r="U142" s="240"/>
      <c r="V142" s="341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40"/>
      <c r="AH142" s="341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0"/>
      <c r="BB142" s="182"/>
      <c r="BC142" s="181"/>
      <c r="BD142" s="341"/>
      <c r="BE142" s="240"/>
      <c r="BF142" s="240"/>
      <c r="BG142" s="240"/>
      <c r="BH142" s="240"/>
      <c r="BI142" s="240"/>
      <c r="BJ142" s="240"/>
      <c r="BK142" s="240"/>
      <c r="BL142" s="240"/>
      <c r="BM142" s="240"/>
      <c r="BN142" s="240"/>
      <c r="BO142" s="240"/>
      <c r="BP142" s="240"/>
      <c r="BQ142" s="240"/>
      <c r="BR142" s="240"/>
      <c r="BS142" s="240"/>
      <c r="BT142" s="240"/>
      <c r="BU142" s="240"/>
      <c r="BV142" s="240"/>
      <c r="BW142" s="240"/>
      <c r="BX142" s="341"/>
      <c r="BY142" s="240"/>
      <c r="BZ142" s="240"/>
      <c r="CA142" s="240"/>
      <c r="CB142" s="240"/>
      <c r="CC142" s="240"/>
      <c r="CD142" s="240"/>
      <c r="CE142" s="240"/>
      <c r="CF142" s="240"/>
      <c r="CG142" s="240"/>
      <c r="CH142" s="240"/>
      <c r="CI142" s="240"/>
      <c r="CJ142" s="341"/>
      <c r="CK142" s="240"/>
      <c r="CL142" s="240"/>
      <c r="CM142" s="240"/>
      <c r="CN142" s="240"/>
      <c r="CO142" s="240"/>
      <c r="CP142" s="240"/>
      <c r="CQ142" s="240"/>
      <c r="CR142" s="240"/>
      <c r="CS142" s="240"/>
      <c r="CT142" s="240"/>
      <c r="CU142" s="240"/>
      <c r="CV142" s="240"/>
      <c r="CW142" s="240"/>
      <c r="CX142" s="240"/>
      <c r="CY142" s="240"/>
      <c r="CZ142" s="240"/>
      <c r="DA142" s="240"/>
      <c r="DB142" s="240"/>
      <c r="DC142" s="240"/>
      <c r="DD142" s="185"/>
    </row>
    <row r="143" spans="1:108" ht="18" customHeight="1">
      <c r="A143" s="350"/>
      <c r="B143" s="183"/>
      <c r="C143" s="303" t="s">
        <v>1888</v>
      </c>
      <c r="D143" s="209"/>
      <c r="E143" s="209"/>
      <c r="F143" s="209"/>
      <c r="G143" s="209"/>
      <c r="H143" s="209"/>
      <c r="I143" s="209"/>
      <c r="J143" s="209"/>
      <c r="K143" s="209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  <c r="AH143" s="209"/>
      <c r="AI143" s="209"/>
      <c r="AJ143" s="209"/>
      <c r="AK143" s="209"/>
      <c r="AL143" s="209"/>
      <c r="AM143" s="209"/>
      <c r="AN143" s="209"/>
      <c r="AO143" s="209"/>
      <c r="AP143" s="209"/>
      <c r="AQ143" s="209"/>
      <c r="AR143" s="209"/>
      <c r="AS143" s="209"/>
      <c r="AT143" s="209"/>
      <c r="AU143" s="209"/>
      <c r="AV143" s="209"/>
      <c r="AW143" s="209"/>
      <c r="AX143" s="209"/>
      <c r="AY143" s="209"/>
      <c r="AZ143" s="209"/>
      <c r="BA143" s="209"/>
      <c r="BB143" s="170"/>
      <c r="BC143" s="183"/>
      <c r="BD143" s="303" t="s">
        <v>1889</v>
      </c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09"/>
      <c r="BS143" s="209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09"/>
      <c r="CJ143" s="209"/>
      <c r="CK143" s="209"/>
      <c r="CL143" s="209"/>
      <c r="CM143" s="209"/>
      <c r="CN143" s="209"/>
      <c r="CO143" s="209"/>
      <c r="CP143" s="209"/>
      <c r="CQ143" s="209"/>
      <c r="CR143" s="209"/>
      <c r="CS143" s="209"/>
      <c r="CT143" s="209"/>
      <c r="CU143" s="209"/>
      <c r="CV143" s="209"/>
      <c r="CW143" s="209"/>
      <c r="CX143" s="209"/>
      <c r="CY143" s="209"/>
      <c r="CZ143" s="209"/>
      <c r="DA143" s="209"/>
      <c r="DB143" s="209"/>
      <c r="DC143" s="209"/>
      <c r="DD143" s="170"/>
    </row>
    <row r="144" spans="1:108" ht="9" customHeight="1">
      <c r="A144" s="350"/>
      <c r="B144" s="123"/>
      <c r="C144" s="348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347" t="s">
        <v>1890</v>
      </c>
      <c r="AD144" s="209"/>
      <c r="AE144" s="209"/>
      <c r="AF144" s="209"/>
      <c r="AG144" s="209"/>
      <c r="AH144" s="348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  <c r="AW144" s="240"/>
      <c r="AX144" s="240"/>
      <c r="AY144" s="240"/>
      <c r="AZ144" s="240"/>
      <c r="BA144" s="240"/>
      <c r="BB144" s="205"/>
      <c r="BC144" s="204"/>
      <c r="BD144" s="348"/>
      <c r="BE144" s="240"/>
      <c r="BF144" s="240"/>
      <c r="BG144" s="240"/>
      <c r="BH144" s="240"/>
      <c r="BI144" s="240"/>
      <c r="BJ144" s="240"/>
      <c r="BK144" s="240"/>
      <c r="BL144" s="240"/>
      <c r="BM144" s="240"/>
      <c r="BN144" s="240"/>
      <c r="BO144" s="240"/>
      <c r="BP144" s="240"/>
      <c r="BQ144" s="240"/>
      <c r="BR144" s="240"/>
      <c r="BS144" s="240"/>
      <c r="BT144" s="240"/>
      <c r="BU144" s="240"/>
      <c r="BV144" s="240"/>
      <c r="BW144" s="240"/>
      <c r="BX144" s="240"/>
      <c r="BY144" s="240"/>
      <c r="BZ144" s="240"/>
      <c r="CA144" s="240"/>
      <c r="CB144" s="240"/>
      <c r="CC144" s="240"/>
      <c r="CD144" s="240"/>
      <c r="CE144" s="347" t="s">
        <v>1890</v>
      </c>
      <c r="CF144" s="209"/>
      <c r="CG144" s="209"/>
      <c r="CH144" s="209"/>
      <c r="CI144" s="209"/>
      <c r="CJ144" s="348"/>
      <c r="CK144" s="240"/>
      <c r="CL144" s="240"/>
      <c r="CM144" s="240"/>
      <c r="CN144" s="240"/>
      <c r="CO144" s="240"/>
      <c r="CP144" s="240"/>
      <c r="CQ144" s="240"/>
      <c r="CR144" s="240"/>
      <c r="CS144" s="240"/>
      <c r="CT144" s="240"/>
      <c r="CU144" s="240"/>
      <c r="CV144" s="240"/>
      <c r="CW144" s="240"/>
      <c r="CX144" s="240"/>
      <c r="CY144" s="240"/>
      <c r="CZ144" s="240"/>
      <c r="DA144" s="240"/>
      <c r="DB144" s="240"/>
      <c r="DC144" s="240"/>
      <c r="DD144" s="205"/>
    </row>
    <row r="145" spans="1:108" ht="8.25" customHeight="1">
      <c r="A145" s="351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192"/>
      <c r="BC145" s="191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192"/>
    </row>
    <row r="146" spans="1:108" ht="4.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183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88"/>
      <c r="BR146" s="88"/>
      <c r="BS146" s="88"/>
      <c r="BT146" s="88"/>
      <c r="BU146" s="88"/>
      <c r="BV146" s="88"/>
      <c r="BW146" s="88"/>
      <c r="BX146" s="88"/>
      <c r="BY146" s="88"/>
      <c r="BZ146" s="88"/>
      <c r="CA146" s="8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88"/>
      <c r="CO146" s="88"/>
      <c r="CP146" s="88"/>
      <c r="CQ146" s="88"/>
      <c r="CR146" s="88"/>
      <c r="CS146" s="88"/>
      <c r="CT146" s="88"/>
      <c r="CU146" s="88"/>
      <c r="CV146" s="88"/>
      <c r="CW146" s="88"/>
      <c r="CX146" s="88"/>
      <c r="CY146" s="88"/>
      <c r="CZ146" s="88"/>
      <c r="DA146" s="88"/>
      <c r="DB146" s="88"/>
      <c r="DC146" s="183"/>
      <c r="DD146" s="183"/>
    </row>
    <row r="147" spans="1:108" ht="15" customHeight="1">
      <c r="A147" s="336" t="s">
        <v>1891</v>
      </c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14"/>
      <c r="AV147" s="214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4"/>
      <c r="BS147" s="214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14"/>
      <c r="CR147" s="214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5"/>
    </row>
    <row r="148" spans="1:108" ht="8.25" customHeight="1">
      <c r="A148" s="353" t="s">
        <v>1892</v>
      </c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214"/>
      <c r="AW148" s="214"/>
      <c r="AX148" s="214"/>
      <c r="AY148" s="215"/>
      <c r="AZ148" s="353" t="s">
        <v>1893</v>
      </c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214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5"/>
      <c r="CE148" s="353" t="s">
        <v>1894</v>
      </c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R148" s="214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5"/>
    </row>
    <row r="149" spans="1:108" ht="10.5" customHeight="1">
      <c r="A149" s="354" t="s">
        <v>30</v>
      </c>
      <c r="B149" s="214"/>
      <c r="C149" s="214"/>
      <c r="D149" s="214"/>
      <c r="E149" s="214"/>
      <c r="F149" s="214"/>
      <c r="G149" s="214"/>
      <c r="H149" s="214"/>
      <c r="I149" s="214"/>
      <c r="J149" s="214"/>
      <c r="K149" s="214"/>
      <c r="L149" s="214"/>
      <c r="M149" s="214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214"/>
      <c r="AW149" s="214"/>
      <c r="AX149" s="214"/>
      <c r="AY149" s="215"/>
      <c r="AZ149" s="355" t="s">
        <v>30</v>
      </c>
      <c r="BA149" s="214"/>
      <c r="BB149" s="214"/>
      <c r="BC149" s="214"/>
      <c r="BD149" s="214"/>
      <c r="BE149" s="214"/>
      <c r="BF149" s="214"/>
      <c r="BG149" s="214"/>
      <c r="BH149" s="214"/>
      <c r="BI149" s="214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215"/>
      <c r="CE149" s="356" t="s">
        <v>30</v>
      </c>
      <c r="CF149" s="214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R149" s="214"/>
      <c r="CS149" s="214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214"/>
      <c r="DD149" s="215"/>
    </row>
    <row r="150" spans="1:108" ht="10.5" customHeight="1">
      <c r="A150" s="354" t="s">
        <v>30</v>
      </c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214"/>
      <c r="AW150" s="214"/>
      <c r="AX150" s="214"/>
      <c r="AY150" s="215"/>
      <c r="AZ150" s="355" t="s">
        <v>30</v>
      </c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5"/>
      <c r="CE150" s="356" t="s">
        <v>30</v>
      </c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R150" s="214"/>
      <c r="CS150" s="214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5"/>
    </row>
    <row r="151" spans="1:108" ht="10.5" customHeight="1">
      <c r="A151" s="354" t="s">
        <v>30</v>
      </c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5"/>
      <c r="AZ151" s="355" t="s">
        <v>30</v>
      </c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5"/>
      <c r="CE151" s="356" t="s">
        <v>30</v>
      </c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R151" s="214"/>
      <c r="CS151" s="214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5"/>
    </row>
    <row r="152" spans="1:108" ht="10.5" customHeight="1">
      <c r="A152" s="354" t="s">
        <v>30</v>
      </c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5"/>
      <c r="AZ152" s="355" t="s">
        <v>30</v>
      </c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5"/>
      <c r="CE152" s="356" t="s">
        <v>30</v>
      </c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R152" s="214"/>
      <c r="CS152" s="214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5"/>
    </row>
    <row r="153" spans="1:108" ht="10.5" customHeight="1">
      <c r="A153" s="354" t="s">
        <v>30</v>
      </c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5"/>
      <c r="AZ153" s="355" t="s">
        <v>30</v>
      </c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5"/>
      <c r="CE153" s="356" t="s">
        <v>30</v>
      </c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R153" s="214"/>
      <c r="CS153" s="214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5"/>
    </row>
    <row r="154" spans="1:108" ht="11.2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59"/>
      <c r="AW154" s="59"/>
      <c r="AX154" s="59"/>
      <c r="AY154" s="59"/>
      <c r="AZ154" s="59"/>
      <c r="BA154" s="59"/>
      <c r="BB154" s="59"/>
      <c r="BC154" s="59"/>
      <c r="BD154" s="59"/>
      <c r="BE154" s="59"/>
      <c r="BF154" s="59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9"/>
      <c r="BR154" s="59"/>
      <c r="BS154" s="59"/>
      <c r="BT154" s="59"/>
      <c r="BU154" s="59"/>
      <c r="BV154" s="59"/>
      <c r="BW154" s="59"/>
      <c r="BX154" s="59"/>
      <c r="BY154" s="59"/>
      <c r="BZ154" s="59"/>
      <c r="CA154" s="59"/>
      <c r="CB154" s="59"/>
      <c r="CC154" s="59"/>
      <c r="CD154" s="59"/>
      <c r="CE154" s="59"/>
      <c r="CF154" s="59"/>
      <c r="CG154" s="59"/>
      <c r="CH154" s="59"/>
      <c r="CI154" s="59"/>
      <c r="CJ154" s="59"/>
      <c r="CK154" s="59"/>
      <c r="CL154" s="59"/>
      <c r="CM154" s="59"/>
      <c r="CN154" s="59"/>
      <c r="CO154" s="59"/>
      <c r="CP154" s="59"/>
      <c r="CQ154" s="59"/>
      <c r="CR154" s="59"/>
      <c r="CS154" s="59"/>
      <c r="CT154" s="59"/>
      <c r="CU154" s="59"/>
      <c r="CV154" s="59"/>
      <c r="CW154" s="59"/>
      <c r="CX154" s="59"/>
      <c r="CY154" s="59"/>
      <c r="CZ154" s="59"/>
      <c r="DA154" s="59"/>
      <c r="DB154" s="59"/>
      <c r="DC154" s="59"/>
      <c r="DD154" s="59"/>
    </row>
    <row r="155" spans="1:108" ht="11.2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59"/>
      <c r="AW155" s="59"/>
      <c r="AX155" s="59"/>
      <c r="AY155" s="59"/>
      <c r="AZ155" s="59"/>
      <c r="BA155" s="59"/>
      <c r="BB155" s="59"/>
      <c r="BC155" s="59"/>
      <c r="BD155" s="59"/>
      <c r="BE155" s="59"/>
      <c r="BF155" s="59"/>
      <c r="BG155" s="59"/>
      <c r="BH155" s="59"/>
      <c r="BI155" s="59"/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59"/>
      <c r="BV155" s="59"/>
      <c r="BW155" s="59"/>
      <c r="BX155" s="59"/>
      <c r="BY155" s="59"/>
      <c r="BZ155" s="59"/>
      <c r="CA155" s="59"/>
      <c r="CB155" s="59"/>
      <c r="CC155" s="59"/>
      <c r="CD155" s="59"/>
      <c r="CE155" s="59"/>
      <c r="CF155" s="59"/>
      <c r="CG155" s="59"/>
      <c r="CH155" s="59"/>
      <c r="CI155" s="59"/>
      <c r="CJ155" s="59"/>
      <c r="CK155" s="59"/>
      <c r="CL155" s="59"/>
      <c r="CM155" s="59"/>
      <c r="CN155" s="59"/>
      <c r="CO155" s="59"/>
      <c r="CP155" s="59"/>
      <c r="CQ155" s="59"/>
      <c r="CR155" s="59"/>
      <c r="CS155" s="59"/>
      <c r="CT155" s="59"/>
      <c r="CU155" s="59"/>
      <c r="CV155" s="59"/>
      <c r="CW155" s="59"/>
      <c r="CX155" s="59"/>
      <c r="CY155" s="59"/>
      <c r="CZ155" s="59"/>
      <c r="DA155" s="59"/>
      <c r="DB155" s="59"/>
      <c r="DC155" s="59"/>
      <c r="DD155" s="59"/>
    </row>
    <row r="156" spans="1:108" ht="11.2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9"/>
      <c r="AW156" s="59"/>
      <c r="AX156" s="59"/>
      <c r="AY156" s="59"/>
      <c r="AZ156" s="59"/>
      <c r="BA156" s="59"/>
      <c r="BB156" s="59"/>
      <c r="BC156" s="59"/>
      <c r="BD156" s="59"/>
      <c r="BE156" s="59"/>
      <c r="BF156" s="59"/>
      <c r="BG156" s="59"/>
      <c r="BH156" s="59"/>
      <c r="BI156" s="59"/>
      <c r="BJ156" s="59"/>
      <c r="BK156" s="59"/>
      <c r="BL156" s="59"/>
      <c r="BM156" s="59"/>
      <c r="BN156" s="59"/>
      <c r="BO156" s="59"/>
      <c r="BP156" s="59"/>
      <c r="BQ156" s="59"/>
      <c r="BR156" s="59"/>
      <c r="BS156" s="59"/>
      <c r="BT156" s="59"/>
      <c r="BU156" s="59"/>
      <c r="BV156" s="59"/>
      <c r="BW156" s="59"/>
      <c r="BX156" s="59"/>
      <c r="BY156" s="59"/>
      <c r="BZ156" s="59"/>
      <c r="CA156" s="59"/>
      <c r="CB156" s="59"/>
      <c r="CC156" s="59"/>
      <c r="CD156" s="59"/>
      <c r="CE156" s="59"/>
      <c r="CF156" s="59"/>
      <c r="CG156" s="59"/>
      <c r="CH156" s="59"/>
      <c r="CI156" s="59"/>
      <c r="CJ156" s="59"/>
      <c r="CK156" s="59"/>
      <c r="CL156" s="59"/>
      <c r="CM156" s="59"/>
      <c r="CN156" s="59"/>
      <c r="CO156" s="59"/>
      <c r="CP156" s="59"/>
      <c r="CQ156" s="59"/>
      <c r="CR156" s="59"/>
      <c r="CS156" s="59"/>
      <c r="CT156" s="59"/>
      <c r="CU156" s="59"/>
      <c r="CV156" s="59"/>
      <c r="CW156" s="59"/>
      <c r="CX156" s="59"/>
      <c r="CY156" s="59"/>
      <c r="CZ156" s="59"/>
      <c r="DA156" s="59"/>
      <c r="DB156" s="59"/>
      <c r="DC156" s="59"/>
      <c r="DD156" s="59"/>
    </row>
    <row r="157" spans="1:108" ht="11.2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9"/>
      <c r="AW157" s="59"/>
      <c r="AX157" s="59"/>
      <c r="AY157" s="59"/>
      <c r="AZ157" s="59"/>
      <c r="BA157" s="59"/>
      <c r="BB157" s="59"/>
      <c r="BC157" s="59"/>
      <c r="BD157" s="59"/>
      <c r="BE157" s="59"/>
      <c r="BF157" s="59"/>
      <c r="BG157" s="59"/>
      <c r="BH157" s="59"/>
      <c r="BI157" s="59"/>
      <c r="BJ157" s="59"/>
      <c r="BK157" s="59"/>
      <c r="BL157" s="59"/>
      <c r="BM157" s="59"/>
      <c r="BN157" s="59"/>
      <c r="BO157" s="59"/>
      <c r="BP157" s="59"/>
      <c r="BQ157" s="59"/>
      <c r="BR157" s="59"/>
      <c r="BS157" s="59"/>
      <c r="BT157" s="59"/>
      <c r="BU157" s="59"/>
      <c r="BV157" s="59"/>
      <c r="BW157" s="59"/>
      <c r="BX157" s="59"/>
      <c r="BY157" s="59"/>
      <c r="BZ157" s="59"/>
      <c r="CA157" s="59"/>
      <c r="CB157" s="59"/>
      <c r="CC157" s="59"/>
      <c r="CD157" s="59"/>
      <c r="CE157" s="59"/>
      <c r="CF157" s="59"/>
      <c r="CG157" s="59"/>
      <c r="CH157" s="59"/>
      <c r="CI157" s="59"/>
      <c r="CJ157" s="59"/>
      <c r="CK157" s="59"/>
      <c r="CL157" s="59"/>
      <c r="CM157" s="59"/>
      <c r="CN157" s="59"/>
      <c r="CO157" s="59"/>
      <c r="CP157" s="59"/>
      <c r="CQ157" s="59"/>
      <c r="CR157" s="59"/>
      <c r="CS157" s="59"/>
      <c r="CT157" s="59"/>
      <c r="CU157" s="59"/>
      <c r="CV157" s="59"/>
      <c r="CW157" s="59"/>
      <c r="CX157" s="59"/>
      <c r="CY157" s="59"/>
      <c r="CZ157" s="59"/>
      <c r="DA157" s="59"/>
      <c r="DB157" s="59"/>
      <c r="DC157" s="59"/>
      <c r="DD157" s="59"/>
    </row>
    <row r="158" spans="1:108" ht="11.2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  <c r="AT158" s="59"/>
      <c r="AU158" s="59"/>
      <c r="AV158" s="59"/>
      <c r="AW158" s="59"/>
      <c r="AX158" s="59"/>
      <c r="AY158" s="59"/>
      <c r="AZ158" s="59"/>
      <c r="BA158" s="59"/>
      <c r="BB158" s="59"/>
      <c r="BC158" s="59"/>
      <c r="BD158" s="59"/>
      <c r="BE158" s="59"/>
      <c r="BF158" s="59"/>
      <c r="BG158" s="59"/>
      <c r="BH158" s="59"/>
      <c r="BI158" s="59"/>
      <c r="BJ158" s="59"/>
      <c r="BK158" s="59"/>
      <c r="BL158" s="59"/>
      <c r="BM158" s="59"/>
      <c r="BN158" s="59"/>
      <c r="BO158" s="5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59"/>
      <c r="CE158" s="59"/>
      <c r="CF158" s="59"/>
      <c r="CG158" s="59"/>
      <c r="CH158" s="59"/>
      <c r="CI158" s="59"/>
      <c r="CJ158" s="59"/>
      <c r="CK158" s="59"/>
      <c r="CL158" s="59"/>
      <c r="CM158" s="59"/>
      <c r="CN158" s="59"/>
      <c r="CO158" s="59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59"/>
      <c r="DA158" s="59"/>
      <c r="DB158" s="59"/>
      <c r="DC158" s="59"/>
      <c r="DD158" s="59"/>
    </row>
    <row r="159" spans="1:108" ht="11.2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9"/>
      <c r="AW159" s="59"/>
      <c r="AX159" s="59"/>
      <c r="AY159" s="59"/>
      <c r="AZ159" s="59"/>
      <c r="BA159" s="59"/>
      <c r="BB159" s="59"/>
      <c r="BC159" s="59"/>
      <c r="BD159" s="59"/>
      <c r="BE159" s="59"/>
      <c r="BF159" s="59"/>
      <c r="BG159" s="59"/>
      <c r="BH159" s="59"/>
      <c r="BI159" s="59"/>
      <c r="BJ159" s="59"/>
      <c r="BK159" s="59"/>
      <c r="BL159" s="59"/>
      <c r="BM159" s="59"/>
      <c r="BN159" s="59"/>
      <c r="BO159" s="59"/>
      <c r="BP159" s="59"/>
      <c r="BQ159" s="59"/>
      <c r="BR159" s="59"/>
      <c r="BS159" s="59"/>
      <c r="BT159" s="59"/>
      <c r="BU159" s="59"/>
      <c r="BV159" s="59"/>
      <c r="BW159" s="59"/>
      <c r="BX159" s="59"/>
      <c r="BY159" s="59"/>
      <c r="BZ159" s="59"/>
      <c r="CA159" s="59"/>
      <c r="CB159" s="59"/>
      <c r="CC159" s="59"/>
      <c r="CD159" s="59"/>
      <c r="CE159" s="59"/>
      <c r="CF159" s="59"/>
      <c r="CG159" s="59"/>
      <c r="CH159" s="59"/>
      <c r="CI159" s="59"/>
      <c r="CJ159" s="59"/>
      <c r="CK159" s="59"/>
      <c r="CL159" s="59"/>
      <c r="CM159" s="59"/>
      <c r="CN159" s="59"/>
      <c r="CO159" s="59"/>
      <c r="CP159" s="59"/>
      <c r="CQ159" s="59"/>
      <c r="CR159" s="59"/>
      <c r="CS159" s="59"/>
      <c r="CT159" s="59"/>
      <c r="CU159" s="59"/>
      <c r="CV159" s="59"/>
      <c r="CW159" s="59"/>
      <c r="CX159" s="59"/>
      <c r="CY159" s="59"/>
      <c r="CZ159" s="59"/>
      <c r="DA159" s="59"/>
      <c r="DB159" s="59"/>
      <c r="DC159" s="59"/>
      <c r="DD159" s="59"/>
    </row>
    <row r="160" spans="1:108" ht="11.2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9"/>
      <c r="AW160" s="59"/>
      <c r="AX160" s="59"/>
      <c r="AY160" s="59"/>
      <c r="AZ160" s="59"/>
      <c r="BA160" s="59"/>
      <c r="BB160" s="59"/>
      <c r="BC160" s="59"/>
      <c r="BD160" s="59"/>
      <c r="BE160" s="59"/>
      <c r="BF160" s="59"/>
      <c r="BG160" s="59"/>
      <c r="BH160" s="59"/>
      <c r="BI160" s="59"/>
      <c r="BJ160" s="59"/>
      <c r="BK160" s="59"/>
      <c r="BL160" s="59"/>
      <c r="BM160" s="59"/>
      <c r="BN160" s="59"/>
      <c r="BO160" s="59"/>
      <c r="BP160" s="59"/>
      <c r="BQ160" s="59"/>
      <c r="BR160" s="59"/>
      <c r="BS160" s="59"/>
      <c r="BT160" s="59"/>
      <c r="BU160" s="59"/>
      <c r="BV160" s="59"/>
      <c r="BW160" s="59"/>
      <c r="BX160" s="59"/>
      <c r="BY160" s="59"/>
      <c r="BZ160" s="59"/>
      <c r="CA160" s="59"/>
      <c r="CB160" s="59"/>
      <c r="CC160" s="59"/>
      <c r="CD160" s="59"/>
      <c r="CE160" s="59"/>
      <c r="CF160" s="59"/>
      <c r="CG160" s="59"/>
      <c r="CH160" s="59"/>
      <c r="CI160" s="59"/>
      <c r="CJ160" s="59"/>
      <c r="CK160" s="59"/>
      <c r="CL160" s="59"/>
      <c r="CM160" s="59"/>
      <c r="CN160" s="59"/>
      <c r="CO160" s="59"/>
      <c r="CP160" s="59"/>
      <c r="CQ160" s="59"/>
      <c r="CR160" s="59"/>
      <c r="CS160" s="59"/>
      <c r="CT160" s="59"/>
      <c r="CU160" s="59"/>
      <c r="CV160" s="59"/>
      <c r="CW160" s="59"/>
      <c r="CX160" s="59"/>
      <c r="CY160" s="59"/>
      <c r="CZ160" s="59"/>
      <c r="DA160" s="59"/>
      <c r="DB160" s="59"/>
      <c r="DC160" s="59"/>
      <c r="DD160" s="59"/>
    </row>
    <row r="161" spans="1:108" ht="11.2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9"/>
      <c r="AW161" s="59"/>
      <c r="AX161" s="59"/>
      <c r="AY161" s="59"/>
      <c r="AZ161" s="59"/>
      <c r="BA161" s="59"/>
      <c r="BB161" s="59"/>
      <c r="BC161" s="59"/>
      <c r="BD161" s="59"/>
      <c r="BE161" s="59"/>
      <c r="BF161" s="59"/>
      <c r="BG161" s="59"/>
      <c r="BH161" s="59"/>
      <c r="BI161" s="59"/>
      <c r="BJ161" s="59"/>
      <c r="BK161" s="59"/>
      <c r="BL161" s="59"/>
      <c r="BM161" s="59"/>
      <c r="BN161" s="59"/>
      <c r="BO161" s="59"/>
      <c r="BP161" s="59"/>
      <c r="BQ161" s="59"/>
      <c r="BR161" s="59"/>
      <c r="BS161" s="59"/>
      <c r="BT161" s="59"/>
      <c r="BU161" s="59"/>
      <c r="BV161" s="59"/>
      <c r="BW161" s="59"/>
      <c r="BX161" s="59"/>
      <c r="BY161" s="59"/>
      <c r="BZ161" s="59"/>
      <c r="CA161" s="59"/>
      <c r="CB161" s="59"/>
      <c r="CC161" s="59"/>
      <c r="CD161" s="59"/>
      <c r="CE161" s="59"/>
      <c r="CF161" s="59"/>
      <c r="CG161" s="59"/>
      <c r="CH161" s="59"/>
      <c r="CI161" s="59"/>
      <c r="CJ161" s="59"/>
      <c r="CK161" s="59"/>
      <c r="CL161" s="59"/>
      <c r="CM161" s="59"/>
      <c r="CN161" s="59"/>
      <c r="CO161" s="59"/>
      <c r="CP161" s="59"/>
      <c r="CQ161" s="59"/>
      <c r="CR161" s="59"/>
      <c r="CS161" s="59"/>
      <c r="CT161" s="59"/>
      <c r="CU161" s="59"/>
      <c r="CV161" s="59"/>
      <c r="CW161" s="59"/>
      <c r="CX161" s="59"/>
      <c r="CY161" s="59"/>
      <c r="CZ161" s="59"/>
      <c r="DA161" s="59"/>
      <c r="DB161" s="59"/>
      <c r="DC161" s="59"/>
      <c r="DD161" s="59"/>
    </row>
    <row r="162" spans="1:108" ht="11.2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9"/>
      <c r="AW162" s="59"/>
      <c r="AX162" s="59"/>
      <c r="AY162" s="59"/>
      <c r="AZ162" s="59"/>
      <c r="BA162" s="59"/>
      <c r="BB162" s="59"/>
      <c r="BC162" s="59"/>
      <c r="BD162" s="59"/>
      <c r="BE162" s="59"/>
      <c r="BF162" s="59"/>
      <c r="BG162" s="59"/>
      <c r="BH162" s="59"/>
      <c r="BI162" s="59"/>
      <c r="BJ162" s="59"/>
      <c r="BK162" s="59"/>
      <c r="BL162" s="59"/>
      <c r="BM162" s="59"/>
      <c r="BN162" s="59"/>
      <c r="BO162" s="59"/>
      <c r="BP162" s="59"/>
      <c r="BQ162" s="59"/>
      <c r="BR162" s="59"/>
      <c r="BS162" s="59"/>
      <c r="BT162" s="59"/>
      <c r="BU162" s="59"/>
      <c r="BV162" s="59"/>
      <c r="BW162" s="59"/>
      <c r="BX162" s="59"/>
      <c r="BY162" s="59"/>
      <c r="BZ162" s="59"/>
      <c r="CA162" s="59"/>
      <c r="CB162" s="59"/>
      <c r="CC162" s="59"/>
      <c r="CD162" s="59"/>
      <c r="CE162" s="59"/>
      <c r="CF162" s="59"/>
      <c r="CG162" s="59"/>
      <c r="CH162" s="59"/>
      <c r="CI162" s="59"/>
      <c r="CJ162" s="59"/>
      <c r="CK162" s="59"/>
      <c r="CL162" s="59"/>
      <c r="CM162" s="59"/>
      <c r="CN162" s="59"/>
      <c r="CO162" s="59"/>
      <c r="CP162" s="59"/>
      <c r="CQ162" s="59"/>
      <c r="CR162" s="59"/>
      <c r="CS162" s="59"/>
      <c r="CT162" s="59"/>
      <c r="CU162" s="59"/>
      <c r="CV162" s="59"/>
      <c r="CW162" s="59"/>
      <c r="CX162" s="59"/>
      <c r="CY162" s="59"/>
      <c r="CZ162" s="59"/>
      <c r="DA162" s="59"/>
      <c r="DB162" s="59"/>
      <c r="DC162" s="59"/>
      <c r="DD162" s="59"/>
    </row>
    <row r="163" spans="1:108" ht="11.2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/>
      <c r="BB163" s="59"/>
      <c r="BC163" s="59"/>
      <c r="BD163" s="59"/>
      <c r="BE163" s="59"/>
      <c r="BF163" s="59"/>
      <c r="BG163" s="59"/>
      <c r="BH163" s="59"/>
      <c r="BI163" s="59"/>
      <c r="BJ163" s="59"/>
      <c r="BK163" s="5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59"/>
      <c r="CE163" s="59"/>
      <c r="CF163" s="59"/>
      <c r="CG163" s="59"/>
      <c r="CH163" s="59"/>
      <c r="CI163" s="59"/>
      <c r="CJ163" s="59"/>
      <c r="CK163" s="59"/>
      <c r="CL163" s="59"/>
      <c r="CM163" s="59"/>
      <c r="CN163" s="59"/>
      <c r="CO163" s="59"/>
      <c r="CP163" s="59"/>
      <c r="CQ163" s="59"/>
      <c r="CR163" s="59"/>
      <c r="CS163" s="59"/>
      <c r="CT163" s="59"/>
      <c r="CU163" s="59"/>
      <c r="CV163" s="59"/>
      <c r="CW163" s="59"/>
      <c r="CX163" s="59"/>
      <c r="CY163" s="59"/>
      <c r="CZ163" s="59"/>
      <c r="DA163" s="59"/>
      <c r="DB163" s="59"/>
      <c r="DC163" s="59"/>
      <c r="DD163" s="59"/>
    </row>
    <row r="164" spans="1:108" ht="11.2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/>
      <c r="BB164" s="59"/>
      <c r="BC164" s="59"/>
      <c r="BD164" s="59"/>
      <c r="BE164" s="59"/>
      <c r="BF164" s="59"/>
      <c r="BG164" s="59"/>
      <c r="BH164" s="59"/>
      <c r="BI164" s="59"/>
      <c r="BJ164" s="59"/>
      <c r="BK164" s="5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59"/>
      <c r="CE164" s="59"/>
      <c r="CF164" s="59"/>
      <c r="CG164" s="59"/>
      <c r="CH164" s="59"/>
      <c r="CI164" s="59"/>
      <c r="CJ164" s="59"/>
      <c r="CK164" s="59"/>
      <c r="CL164" s="59"/>
      <c r="CM164" s="59"/>
      <c r="CN164" s="59"/>
      <c r="CO164" s="59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59"/>
      <c r="DA164" s="59"/>
      <c r="DB164" s="59"/>
      <c r="DC164" s="59"/>
      <c r="DD164" s="59"/>
    </row>
    <row r="165" spans="1:108" ht="11.2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9"/>
      <c r="AW165" s="59"/>
      <c r="AX165" s="59"/>
      <c r="AY165" s="59"/>
      <c r="AZ165" s="59"/>
      <c r="BA165" s="59"/>
      <c r="BB165" s="59"/>
      <c r="BC165" s="59"/>
      <c r="BD165" s="59"/>
      <c r="BE165" s="59"/>
      <c r="BF165" s="59"/>
      <c r="BG165" s="59"/>
      <c r="BH165" s="59"/>
      <c r="BI165" s="59"/>
      <c r="BJ165" s="59"/>
      <c r="BK165" s="59"/>
      <c r="BL165" s="59"/>
      <c r="BM165" s="59"/>
      <c r="BN165" s="59"/>
      <c r="BO165" s="59"/>
      <c r="BP165" s="59"/>
      <c r="BQ165" s="59"/>
      <c r="BR165" s="59"/>
      <c r="BS165" s="59"/>
      <c r="BT165" s="59"/>
      <c r="BU165" s="59"/>
      <c r="BV165" s="59"/>
      <c r="BW165" s="59"/>
      <c r="BX165" s="59"/>
      <c r="BY165" s="59"/>
      <c r="BZ165" s="59"/>
      <c r="CA165" s="59"/>
      <c r="CB165" s="59"/>
      <c r="CC165" s="59"/>
      <c r="CD165" s="59"/>
      <c r="CE165" s="59"/>
      <c r="CF165" s="59"/>
      <c r="CG165" s="59"/>
      <c r="CH165" s="59"/>
      <c r="CI165" s="59"/>
      <c r="CJ165" s="59"/>
      <c r="CK165" s="59"/>
      <c r="CL165" s="59"/>
      <c r="CM165" s="59"/>
      <c r="CN165" s="59"/>
      <c r="CO165" s="59"/>
      <c r="CP165" s="59"/>
      <c r="CQ165" s="59"/>
      <c r="CR165" s="59"/>
      <c r="CS165" s="59"/>
      <c r="CT165" s="59"/>
      <c r="CU165" s="59"/>
      <c r="CV165" s="59"/>
      <c r="CW165" s="59"/>
      <c r="CX165" s="59"/>
      <c r="CY165" s="59"/>
      <c r="CZ165" s="59"/>
      <c r="DA165" s="59"/>
      <c r="DB165" s="59"/>
      <c r="DC165" s="59"/>
      <c r="DD165" s="59"/>
    </row>
    <row r="166" spans="1:108" ht="11.2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  <c r="BC166" s="59"/>
      <c r="BD166" s="59"/>
      <c r="BE166" s="59"/>
      <c r="BF166" s="59"/>
      <c r="BG166" s="59"/>
      <c r="BH166" s="59"/>
      <c r="BI166" s="59"/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  <c r="CI166" s="59"/>
      <c r="CJ166" s="59"/>
      <c r="CK166" s="59"/>
      <c r="CL166" s="59"/>
      <c r="CM166" s="59"/>
      <c r="CN166" s="59"/>
      <c r="CO166" s="59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59"/>
      <c r="DA166" s="59"/>
      <c r="DB166" s="59"/>
      <c r="DC166" s="59"/>
      <c r="DD166" s="59"/>
    </row>
    <row r="167" spans="1:108" ht="11.2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9"/>
      <c r="AW167" s="59"/>
      <c r="AX167" s="59"/>
      <c r="AY167" s="59"/>
      <c r="AZ167" s="59"/>
      <c r="BA167" s="59"/>
      <c r="BB167" s="59"/>
      <c r="BC167" s="59"/>
      <c r="BD167" s="59"/>
      <c r="BE167" s="59"/>
      <c r="BF167" s="59"/>
      <c r="BG167" s="59"/>
      <c r="BH167" s="59"/>
      <c r="BI167" s="59"/>
      <c r="BJ167" s="59"/>
      <c r="BK167" s="59"/>
      <c r="BL167" s="59"/>
      <c r="BM167" s="59"/>
      <c r="BN167" s="59"/>
      <c r="BO167" s="59"/>
      <c r="BP167" s="59"/>
      <c r="BQ167" s="59"/>
      <c r="BR167" s="59"/>
      <c r="BS167" s="59"/>
      <c r="BT167" s="59"/>
      <c r="BU167" s="59"/>
      <c r="BV167" s="59"/>
      <c r="BW167" s="59"/>
      <c r="BX167" s="59"/>
      <c r="BY167" s="59"/>
      <c r="BZ167" s="59"/>
      <c r="CA167" s="59"/>
      <c r="CB167" s="59"/>
      <c r="CC167" s="59"/>
      <c r="CD167" s="59"/>
      <c r="CE167" s="59"/>
      <c r="CF167" s="59"/>
      <c r="CG167" s="59"/>
      <c r="CH167" s="59"/>
      <c r="CI167" s="59"/>
      <c r="CJ167" s="59"/>
      <c r="CK167" s="59"/>
      <c r="CL167" s="59"/>
      <c r="CM167" s="59"/>
      <c r="CN167" s="59"/>
      <c r="CO167" s="59"/>
      <c r="CP167" s="59"/>
      <c r="CQ167" s="59"/>
      <c r="CR167" s="59"/>
      <c r="CS167" s="59"/>
      <c r="CT167" s="59"/>
      <c r="CU167" s="59"/>
      <c r="CV167" s="59"/>
      <c r="CW167" s="59"/>
      <c r="CX167" s="59"/>
      <c r="CY167" s="59"/>
      <c r="CZ167" s="59"/>
      <c r="DA167" s="59"/>
      <c r="DB167" s="59"/>
      <c r="DC167" s="59"/>
      <c r="DD167" s="59"/>
    </row>
    <row r="168" spans="1:108" ht="11.2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9"/>
      <c r="AW168" s="59"/>
      <c r="AX168" s="59"/>
      <c r="AY168" s="59"/>
      <c r="AZ168" s="59"/>
      <c r="BA168" s="59"/>
      <c r="BB168" s="59"/>
      <c r="BC168" s="59"/>
      <c r="BD168" s="59"/>
      <c r="BE168" s="59"/>
      <c r="BF168" s="59"/>
      <c r="BG168" s="59"/>
      <c r="BH168" s="59"/>
      <c r="BI168" s="59"/>
      <c r="BJ168" s="59"/>
      <c r="BK168" s="59"/>
      <c r="BL168" s="59"/>
      <c r="BM168" s="59"/>
      <c r="BN168" s="59"/>
      <c r="BO168" s="59"/>
      <c r="BP168" s="59"/>
      <c r="BQ168" s="59"/>
      <c r="BR168" s="59"/>
      <c r="BS168" s="59"/>
      <c r="BT168" s="59"/>
      <c r="BU168" s="59"/>
      <c r="BV168" s="59"/>
      <c r="BW168" s="59"/>
      <c r="BX168" s="59"/>
      <c r="BY168" s="59"/>
      <c r="BZ168" s="59"/>
      <c r="CA168" s="59"/>
      <c r="CB168" s="59"/>
      <c r="CC168" s="59"/>
      <c r="CD168" s="59"/>
      <c r="CE168" s="59"/>
      <c r="CF168" s="59"/>
      <c r="CG168" s="59"/>
      <c r="CH168" s="59"/>
      <c r="CI168" s="59"/>
      <c r="CJ168" s="59"/>
      <c r="CK168" s="59"/>
      <c r="CL168" s="59"/>
      <c r="CM168" s="59"/>
      <c r="CN168" s="59"/>
      <c r="CO168" s="59"/>
      <c r="CP168" s="59"/>
      <c r="CQ168" s="59"/>
      <c r="CR168" s="59"/>
      <c r="CS168" s="59"/>
      <c r="CT168" s="59"/>
      <c r="CU168" s="59"/>
      <c r="CV168" s="59"/>
      <c r="CW168" s="59"/>
      <c r="CX168" s="59"/>
      <c r="CY168" s="59"/>
      <c r="CZ168" s="59"/>
      <c r="DA168" s="59"/>
      <c r="DB168" s="59"/>
      <c r="DC168" s="59"/>
      <c r="DD168" s="59"/>
    </row>
    <row r="169" spans="1:108" ht="11.2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9"/>
      <c r="AW169" s="59"/>
      <c r="AX169" s="59"/>
      <c r="AY169" s="59"/>
      <c r="AZ169" s="59"/>
      <c r="BA169" s="59"/>
      <c r="BB169" s="59"/>
      <c r="BC169" s="59"/>
      <c r="BD169" s="59"/>
      <c r="BE169" s="59"/>
      <c r="BF169" s="59"/>
      <c r="BG169" s="59"/>
      <c r="BH169" s="59"/>
      <c r="BI169" s="59"/>
      <c r="BJ169" s="59"/>
      <c r="BK169" s="59"/>
      <c r="BL169" s="59"/>
      <c r="BM169" s="59"/>
      <c r="BN169" s="59"/>
      <c r="BO169" s="59"/>
      <c r="BP169" s="59"/>
      <c r="BQ169" s="59"/>
      <c r="BR169" s="59"/>
      <c r="BS169" s="59"/>
      <c r="BT169" s="59"/>
      <c r="BU169" s="59"/>
      <c r="BV169" s="59"/>
      <c r="BW169" s="59"/>
      <c r="BX169" s="59"/>
      <c r="BY169" s="59"/>
      <c r="BZ169" s="59"/>
      <c r="CA169" s="59"/>
      <c r="CB169" s="59"/>
      <c r="CC169" s="59"/>
      <c r="CD169" s="59"/>
      <c r="CE169" s="59"/>
      <c r="CF169" s="59"/>
      <c r="CG169" s="59"/>
      <c r="CH169" s="59"/>
      <c r="CI169" s="59"/>
      <c r="CJ169" s="59"/>
      <c r="CK169" s="59"/>
      <c r="CL169" s="59"/>
      <c r="CM169" s="59"/>
      <c r="CN169" s="59"/>
      <c r="CO169" s="59"/>
      <c r="CP169" s="59"/>
      <c r="CQ169" s="59"/>
      <c r="CR169" s="59"/>
      <c r="CS169" s="59"/>
      <c r="CT169" s="59"/>
      <c r="CU169" s="59"/>
      <c r="CV169" s="59"/>
      <c r="CW169" s="59"/>
      <c r="CX169" s="59"/>
      <c r="CY169" s="59"/>
      <c r="CZ169" s="59"/>
      <c r="DA169" s="59"/>
      <c r="DB169" s="59"/>
      <c r="DC169" s="59"/>
      <c r="DD169" s="59"/>
    </row>
    <row r="170" spans="1:108" ht="11.2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9"/>
      <c r="AW170" s="59"/>
      <c r="AX170" s="59"/>
      <c r="AY170" s="59"/>
      <c r="AZ170" s="59"/>
      <c r="BA170" s="59"/>
      <c r="BB170" s="59"/>
      <c r="BC170" s="59"/>
      <c r="BD170" s="59"/>
      <c r="BE170" s="59"/>
      <c r="BF170" s="59"/>
      <c r="BG170" s="59"/>
      <c r="BH170" s="59"/>
      <c r="BI170" s="59"/>
      <c r="BJ170" s="59"/>
      <c r="BK170" s="59"/>
      <c r="BL170" s="59"/>
      <c r="BM170" s="59"/>
      <c r="BN170" s="59"/>
      <c r="BO170" s="59"/>
      <c r="BP170" s="59"/>
      <c r="BQ170" s="59"/>
      <c r="BR170" s="59"/>
      <c r="BS170" s="59"/>
      <c r="BT170" s="59"/>
      <c r="BU170" s="59"/>
      <c r="BV170" s="59"/>
      <c r="BW170" s="59"/>
      <c r="BX170" s="59"/>
      <c r="BY170" s="59"/>
      <c r="BZ170" s="59"/>
      <c r="CA170" s="59"/>
      <c r="CB170" s="59"/>
      <c r="CC170" s="59"/>
      <c r="CD170" s="59"/>
      <c r="CE170" s="59"/>
      <c r="CF170" s="59"/>
      <c r="CG170" s="59"/>
      <c r="CH170" s="59"/>
      <c r="CI170" s="59"/>
      <c r="CJ170" s="59"/>
      <c r="CK170" s="59"/>
      <c r="CL170" s="59"/>
      <c r="CM170" s="59"/>
      <c r="CN170" s="59"/>
      <c r="CO170" s="59"/>
      <c r="CP170" s="59"/>
      <c r="CQ170" s="59"/>
      <c r="CR170" s="59"/>
      <c r="CS170" s="59"/>
      <c r="CT170" s="59"/>
      <c r="CU170" s="59"/>
      <c r="CV170" s="59"/>
      <c r="CW170" s="59"/>
      <c r="CX170" s="59"/>
      <c r="CY170" s="59"/>
      <c r="CZ170" s="59"/>
      <c r="DA170" s="59"/>
      <c r="DB170" s="59"/>
      <c r="DC170" s="59"/>
      <c r="DD170" s="59"/>
    </row>
    <row r="171" spans="1:108" ht="11.2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/>
      <c r="BB171" s="59"/>
      <c r="BC171" s="59"/>
      <c r="BD171" s="59"/>
      <c r="BE171" s="59"/>
      <c r="BF171" s="59"/>
      <c r="BG171" s="59"/>
      <c r="BH171" s="59"/>
      <c r="BI171" s="59"/>
      <c r="BJ171" s="59"/>
      <c r="BK171" s="5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9"/>
      <c r="CE171" s="59"/>
      <c r="CF171" s="59"/>
      <c r="CG171" s="59"/>
      <c r="CH171" s="59"/>
      <c r="CI171" s="59"/>
      <c r="CJ171" s="59"/>
      <c r="CK171" s="59"/>
      <c r="CL171" s="59"/>
      <c r="CM171" s="59"/>
      <c r="CN171" s="59"/>
      <c r="CO171" s="59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59"/>
      <c r="DA171" s="59"/>
      <c r="DB171" s="59"/>
      <c r="DC171" s="59"/>
      <c r="DD171" s="59"/>
    </row>
    <row r="172" spans="1:108" ht="11.2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9"/>
      <c r="AW172" s="59"/>
      <c r="AX172" s="59"/>
      <c r="AY172" s="59"/>
      <c r="AZ172" s="59"/>
      <c r="BA172" s="59"/>
      <c r="BB172" s="59"/>
      <c r="BC172" s="59"/>
      <c r="BD172" s="59"/>
      <c r="BE172" s="59"/>
      <c r="BF172" s="59"/>
      <c r="BG172" s="59"/>
      <c r="BH172" s="59"/>
      <c r="BI172" s="59"/>
      <c r="BJ172" s="59"/>
      <c r="BK172" s="59"/>
      <c r="BL172" s="59"/>
      <c r="BM172" s="59"/>
      <c r="BN172" s="59"/>
      <c r="BO172" s="59"/>
      <c r="BP172" s="59"/>
      <c r="BQ172" s="59"/>
      <c r="BR172" s="59"/>
      <c r="BS172" s="59"/>
      <c r="BT172" s="59"/>
      <c r="BU172" s="59"/>
      <c r="BV172" s="59"/>
      <c r="BW172" s="59"/>
      <c r="BX172" s="59"/>
      <c r="BY172" s="59"/>
      <c r="BZ172" s="59"/>
      <c r="CA172" s="59"/>
      <c r="CB172" s="59"/>
      <c r="CC172" s="59"/>
      <c r="CD172" s="59"/>
      <c r="CE172" s="59"/>
      <c r="CF172" s="59"/>
      <c r="CG172" s="59"/>
      <c r="CH172" s="59"/>
      <c r="CI172" s="59"/>
      <c r="CJ172" s="59"/>
      <c r="CK172" s="59"/>
      <c r="CL172" s="59"/>
      <c r="CM172" s="59"/>
      <c r="CN172" s="59"/>
      <c r="CO172" s="59"/>
      <c r="CP172" s="59"/>
      <c r="CQ172" s="59"/>
      <c r="CR172" s="59"/>
      <c r="CS172" s="59"/>
      <c r="CT172" s="59"/>
      <c r="CU172" s="59"/>
      <c r="CV172" s="59"/>
      <c r="CW172" s="59"/>
      <c r="CX172" s="59"/>
      <c r="CY172" s="59"/>
      <c r="CZ172" s="59"/>
      <c r="DA172" s="59"/>
      <c r="DB172" s="59"/>
      <c r="DC172" s="59"/>
      <c r="DD172" s="59"/>
    </row>
    <row r="173" spans="1:108" ht="11.2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/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59"/>
      <c r="CF173" s="59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</row>
    <row r="174" spans="1:108" ht="11.2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59"/>
      <c r="AW174" s="59"/>
      <c r="AX174" s="59"/>
      <c r="AY174" s="59"/>
      <c r="AZ174" s="59"/>
      <c r="BA174" s="59"/>
      <c r="BB174" s="59"/>
      <c r="BC174" s="59"/>
      <c r="BD174" s="59"/>
      <c r="BE174" s="59"/>
      <c r="BF174" s="59"/>
      <c r="BG174" s="59"/>
      <c r="BH174" s="59"/>
      <c r="BI174" s="59"/>
      <c r="BJ174" s="59"/>
      <c r="BK174" s="59"/>
      <c r="BL174" s="59"/>
      <c r="BM174" s="59"/>
      <c r="BN174" s="59"/>
      <c r="BO174" s="59"/>
      <c r="BP174" s="59"/>
      <c r="BQ174" s="59"/>
      <c r="BR174" s="59"/>
      <c r="BS174" s="59"/>
      <c r="BT174" s="59"/>
      <c r="BU174" s="59"/>
      <c r="BV174" s="59"/>
      <c r="BW174" s="59"/>
      <c r="BX174" s="59"/>
      <c r="BY174" s="59"/>
      <c r="BZ174" s="59"/>
      <c r="CA174" s="59"/>
      <c r="CB174" s="59"/>
      <c r="CC174" s="59"/>
      <c r="CD174" s="59"/>
      <c r="CE174" s="59"/>
      <c r="CF174" s="59"/>
      <c r="CG174" s="59"/>
      <c r="CH174" s="59"/>
      <c r="CI174" s="59"/>
      <c r="CJ174" s="59"/>
      <c r="CK174" s="59"/>
      <c r="CL174" s="59"/>
      <c r="CM174" s="59"/>
      <c r="CN174" s="59"/>
      <c r="CO174" s="59"/>
      <c r="CP174" s="59"/>
      <c r="CQ174" s="59"/>
      <c r="CR174" s="59"/>
      <c r="CS174" s="59"/>
      <c r="CT174" s="59"/>
      <c r="CU174" s="59"/>
      <c r="CV174" s="59"/>
      <c r="CW174" s="59"/>
      <c r="CX174" s="59"/>
      <c r="CY174" s="59"/>
      <c r="CZ174" s="59"/>
      <c r="DA174" s="59"/>
      <c r="DB174" s="59"/>
      <c r="DC174" s="59"/>
      <c r="DD174" s="59"/>
    </row>
    <row r="175" spans="1:108" ht="11.2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/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59"/>
      <c r="CF175" s="59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</row>
    <row r="176" spans="1:108" ht="11.2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59"/>
      <c r="AW176" s="59"/>
      <c r="AX176" s="59"/>
      <c r="AY176" s="59"/>
      <c r="AZ176" s="59"/>
      <c r="BA176" s="59"/>
      <c r="BB176" s="59"/>
      <c r="BC176" s="59"/>
      <c r="BD176" s="59"/>
      <c r="BE176" s="59"/>
      <c r="BF176" s="59"/>
      <c r="BG176" s="59"/>
      <c r="BH176" s="59"/>
      <c r="BI176" s="59"/>
      <c r="BJ176" s="59"/>
      <c r="BK176" s="59"/>
      <c r="BL176" s="59"/>
      <c r="BM176" s="59"/>
      <c r="BN176" s="59"/>
      <c r="BO176" s="59"/>
      <c r="BP176" s="59"/>
      <c r="BQ176" s="59"/>
      <c r="BR176" s="59"/>
      <c r="BS176" s="59"/>
      <c r="BT176" s="59"/>
      <c r="BU176" s="59"/>
      <c r="BV176" s="59"/>
      <c r="BW176" s="59"/>
      <c r="BX176" s="59"/>
      <c r="BY176" s="59"/>
      <c r="BZ176" s="59"/>
      <c r="CA176" s="59"/>
      <c r="CB176" s="59"/>
      <c r="CC176" s="59"/>
      <c r="CD176" s="59"/>
      <c r="CE176" s="59"/>
      <c r="CF176" s="59"/>
      <c r="CG176" s="59"/>
      <c r="CH176" s="59"/>
      <c r="CI176" s="59"/>
      <c r="CJ176" s="59"/>
      <c r="CK176" s="59"/>
      <c r="CL176" s="59"/>
      <c r="CM176" s="59"/>
      <c r="CN176" s="59"/>
      <c r="CO176" s="59"/>
      <c r="CP176" s="59"/>
      <c r="CQ176" s="59"/>
      <c r="CR176" s="59"/>
      <c r="CS176" s="59"/>
      <c r="CT176" s="59"/>
      <c r="CU176" s="59"/>
      <c r="CV176" s="59"/>
      <c r="CW176" s="59"/>
      <c r="CX176" s="59"/>
      <c r="CY176" s="59"/>
      <c r="CZ176" s="59"/>
      <c r="DA176" s="59"/>
      <c r="DB176" s="59"/>
      <c r="DC176" s="59"/>
      <c r="DD176" s="59"/>
    </row>
    <row r="177" spans="1:108" ht="11.2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/>
      <c r="BB177" s="59"/>
      <c r="BC177" s="59"/>
      <c r="BD177" s="59"/>
      <c r="BE177" s="59"/>
      <c r="BF177" s="59"/>
      <c r="BG177" s="59"/>
      <c r="BH177" s="59"/>
      <c r="BI177" s="59"/>
      <c r="BJ177" s="59"/>
      <c r="BK177" s="59"/>
      <c r="BL177" s="59"/>
      <c r="BM177" s="59"/>
      <c r="BN177" s="59"/>
      <c r="BO177" s="59"/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59"/>
      <c r="CF177" s="59"/>
      <c r="CG177" s="59"/>
      <c r="CH177" s="59"/>
      <c r="CI177" s="59"/>
      <c r="CJ177" s="59"/>
      <c r="CK177" s="59"/>
      <c r="CL177" s="59"/>
      <c r="CM177" s="59"/>
      <c r="CN177" s="59"/>
      <c r="CO177" s="59"/>
      <c r="CP177" s="59"/>
      <c r="CQ177" s="59"/>
      <c r="CR177" s="59"/>
      <c r="CS177" s="59"/>
      <c r="CT177" s="59"/>
      <c r="CU177" s="59"/>
      <c r="CV177" s="59"/>
      <c r="CW177" s="59"/>
      <c r="CX177" s="59"/>
      <c r="CY177" s="59"/>
      <c r="CZ177" s="59"/>
      <c r="DA177" s="59"/>
      <c r="DB177" s="59"/>
      <c r="DC177" s="59"/>
      <c r="DD177" s="59"/>
    </row>
    <row r="178" spans="1:108" ht="11.2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  <c r="AT178" s="59"/>
      <c r="AU178" s="59"/>
      <c r="AV178" s="59"/>
      <c r="AW178" s="59"/>
      <c r="AX178" s="59"/>
      <c r="AY178" s="59"/>
      <c r="AZ178" s="59"/>
      <c r="BA178" s="59"/>
      <c r="BB178" s="59"/>
      <c r="BC178" s="59"/>
      <c r="BD178" s="59"/>
      <c r="BE178" s="59"/>
      <c r="BF178" s="59"/>
      <c r="BG178" s="59"/>
      <c r="BH178" s="59"/>
      <c r="BI178" s="59"/>
      <c r="BJ178" s="59"/>
      <c r="BK178" s="59"/>
      <c r="BL178" s="59"/>
      <c r="BM178" s="59"/>
      <c r="BN178" s="59"/>
      <c r="BO178" s="59"/>
      <c r="BP178" s="59"/>
      <c r="BQ178" s="59"/>
      <c r="BR178" s="59"/>
      <c r="BS178" s="59"/>
      <c r="BT178" s="59"/>
      <c r="BU178" s="59"/>
      <c r="BV178" s="59"/>
      <c r="BW178" s="59"/>
      <c r="BX178" s="59"/>
      <c r="BY178" s="59"/>
      <c r="BZ178" s="59"/>
      <c r="CA178" s="59"/>
      <c r="CB178" s="59"/>
      <c r="CC178" s="59"/>
      <c r="CD178" s="59"/>
      <c r="CE178" s="59"/>
      <c r="CF178" s="59"/>
      <c r="CG178" s="59"/>
      <c r="CH178" s="59"/>
      <c r="CI178" s="59"/>
      <c r="CJ178" s="59"/>
      <c r="CK178" s="59"/>
      <c r="CL178" s="59"/>
      <c r="CM178" s="59"/>
      <c r="CN178" s="59"/>
      <c r="CO178" s="59"/>
      <c r="CP178" s="59"/>
      <c r="CQ178" s="59"/>
      <c r="CR178" s="59"/>
      <c r="CS178" s="59"/>
      <c r="CT178" s="59"/>
      <c r="CU178" s="59"/>
      <c r="CV178" s="59"/>
      <c r="CW178" s="59"/>
      <c r="CX178" s="59"/>
      <c r="CY178" s="59"/>
      <c r="CZ178" s="59"/>
      <c r="DA178" s="59"/>
      <c r="DB178" s="59"/>
      <c r="DC178" s="59"/>
      <c r="DD178" s="59"/>
    </row>
    <row r="179" spans="1:108" ht="11.2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/>
      <c r="BB179" s="59"/>
      <c r="BC179" s="59"/>
      <c r="BD179" s="59"/>
      <c r="BE179" s="59"/>
      <c r="BF179" s="59"/>
      <c r="BG179" s="59"/>
      <c r="BH179" s="59"/>
      <c r="BI179" s="59"/>
      <c r="BJ179" s="59"/>
      <c r="BK179" s="59"/>
      <c r="BL179" s="59"/>
      <c r="BM179" s="59"/>
      <c r="BN179" s="59"/>
      <c r="BO179" s="59"/>
      <c r="BP179" s="59"/>
      <c r="BQ179" s="59"/>
      <c r="BR179" s="59"/>
      <c r="BS179" s="59"/>
      <c r="BT179" s="59"/>
      <c r="BU179" s="59"/>
      <c r="BV179" s="59"/>
      <c r="BW179" s="59"/>
      <c r="BX179" s="59"/>
      <c r="BY179" s="59"/>
      <c r="BZ179" s="59"/>
      <c r="CA179" s="59"/>
      <c r="CB179" s="59"/>
      <c r="CC179" s="59"/>
      <c r="CD179" s="59"/>
      <c r="CE179" s="59"/>
      <c r="CF179" s="59"/>
      <c r="CG179" s="59"/>
      <c r="CH179" s="59"/>
      <c r="CI179" s="59"/>
      <c r="CJ179" s="59"/>
      <c r="CK179" s="59"/>
      <c r="CL179" s="59"/>
      <c r="CM179" s="59"/>
      <c r="CN179" s="59"/>
      <c r="CO179" s="59"/>
      <c r="CP179" s="59"/>
      <c r="CQ179" s="59"/>
      <c r="CR179" s="59"/>
      <c r="CS179" s="59"/>
      <c r="CT179" s="59"/>
      <c r="CU179" s="59"/>
      <c r="CV179" s="59"/>
      <c r="CW179" s="59"/>
      <c r="CX179" s="59"/>
      <c r="CY179" s="59"/>
      <c r="CZ179" s="59"/>
      <c r="DA179" s="59"/>
      <c r="DB179" s="59"/>
      <c r="DC179" s="59"/>
      <c r="DD179" s="59"/>
    </row>
    <row r="180" spans="1:108" ht="11.2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/>
      <c r="BB180" s="59"/>
      <c r="BC180" s="59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9"/>
      <c r="BR180" s="59"/>
      <c r="BS180" s="59"/>
      <c r="BT180" s="59"/>
      <c r="BU180" s="59"/>
      <c r="BV180" s="59"/>
      <c r="BW180" s="59"/>
      <c r="BX180" s="59"/>
      <c r="BY180" s="59"/>
      <c r="BZ180" s="59"/>
      <c r="CA180" s="59"/>
      <c r="CB180" s="59"/>
      <c r="CC180" s="59"/>
      <c r="CD180" s="59"/>
      <c r="CE180" s="59"/>
      <c r="CF180" s="59"/>
      <c r="CG180" s="59"/>
      <c r="CH180" s="59"/>
      <c r="CI180" s="59"/>
      <c r="CJ180" s="59"/>
      <c r="CK180" s="59"/>
      <c r="CL180" s="59"/>
      <c r="CM180" s="59"/>
      <c r="CN180" s="59"/>
      <c r="CO180" s="59"/>
      <c r="CP180" s="59"/>
      <c r="CQ180" s="59"/>
      <c r="CR180" s="59"/>
      <c r="CS180" s="59"/>
      <c r="CT180" s="59"/>
      <c r="CU180" s="59"/>
      <c r="CV180" s="59"/>
      <c r="CW180" s="59"/>
      <c r="CX180" s="59"/>
      <c r="CY180" s="59"/>
      <c r="CZ180" s="59"/>
      <c r="DA180" s="59"/>
      <c r="DB180" s="59"/>
      <c r="DC180" s="59"/>
      <c r="DD180" s="59"/>
    </row>
    <row r="181" spans="1:108" ht="11.2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/>
      <c r="BB181" s="59"/>
      <c r="BC181" s="59"/>
      <c r="BD181" s="59"/>
      <c r="BE181" s="59"/>
      <c r="BF181" s="59"/>
      <c r="BG181" s="59"/>
      <c r="BH181" s="59"/>
      <c r="BI181" s="59"/>
      <c r="BJ181" s="59"/>
      <c r="BK181" s="59"/>
      <c r="BL181" s="59"/>
      <c r="BM181" s="59"/>
      <c r="BN181" s="59"/>
      <c r="BO181" s="59"/>
      <c r="BP181" s="59"/>
      <c r="BQ181" s="59"/>
      <c r="BR181" s="59"/>
      <c r="BS181" s="59"/>
      <c r="BT181" s="59"/>
      <c r="BU181" s="59"/>
      <c r="BV181" s="59"/>
      <c r="BW181" s="59"/>
      <c r="BX181" s="59"/>
      <c r="BY181" s="59"/>
      <c r="BZ181" s="59"/>
      <c r="CA181" s="59"/>
      <c r="CB181" s="59"/>
      <c r="CC181" s="59"/>
      <c r="CD181" s="59"/>
      <c r="CE181" s="59"/>
      <c r="CF181" s="59"/>
      <c r="CG181" s="59"/>
      <c r="CH181" s="59"/>
      <c r="CI181" s="59"/>
      <c r="CJ181" s="59"/>
      <c r="CK181" s="59"/>
      <c r="CL181" s="59"/>
      <c r="CM181" s="59"/>
      <c r="CN181" s="59"/>
      <c r="CO181" s="59"/>
      <c r="CP181" s="59"/>
      <c r="CQ181" s="59"/>
      <c r="CR181" s="59"/>
      <c r="CS181" s="59"/>
      <c r="CT181" s="59"/>
      <c r="CU181" s="59"/>
      <c r="CV181" s="59"/>
      <c r="CW181" s="59"/>
      <c r="CX181" s="59"/>
      <c r="CY181" s="59"/>
      <c r="CZ181" s="59"/>
      <c r="DA181" s="59"/>
      <c r="DB181" s="59"/>
      <c r="DC181" s="59"/>
      <c r="DD181" s="59"/>
    </row>
    <row r="182" spans="1:108" ht="11.2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/>
      <c r="BB182" s="59"/>
      <c r="BC182" s="59"/>
      <c r="BD182" s="59"/>
      <c r="BE182" s="59"/>
      <c r="BF182" s="59"/>
      <c r="BG182" s="59"/>
      <c r="BH182" s="59"/>
      <c r="BI182" s="59"/>
      <c r="BJ182" s="59"/>
      <c r="BK182" s="59"/>
      <c r="BL182" s="59"/>
      <c r="BM182" s="59"/>
      <c r="BN182" s="59"/>
      <c r="BO182" s="59"/>
      <c r="BP182" s="59"/>
      <c r="BQ182" s="59"/>
      <c r="BR182" s="59"/>
      <c r="BS182" s="59"/>
      <c r="BT182" s="59"/>
      <c r="BU182" s="59"/>
      <c r="BV182" s="59"/>
      <c r="BW182" s="59"/>
      <c r="BX182" s="59"/>
      <c r="BY182" s="59"/>
      <c r="BZ182" s="59"/>
      <c r="CA182" s="59"/>
      <c r="CB182" s="59"/>
      <c r="CC182" s="59"/>
      <c r="CD182" s="59"/>
      <c r="CE182" s="59"/>
      <c r="CF182" s="59"/>
      <c r="CG182" s="59"/>
      <c r="CH182" s="59"/>
      <c r="CI182" s="59"/>
      <c r="CJ182" s="59"/>
      <c r="CK182" s="59"/>
      <c r="CL182" s="59"/>
      <c r="CM182" s="59"/>
      <c r="CN182" s="59"/>
      <c r="CO182" s="59"/>
      <c r="CP182" s="59"/>
      <c r="CQ182" s="59"/>
      <c r="CR182" s="59"/>
      <c r="CS182" s="59"/>
      <c r="CT182" s="59"/>
      <c r="CU182" s="59"/>
      <c r="CV182" s="59"/>
      <c r="CW182" s="59"/>
      <c r="CX182" s="59"/>
      <c r="CY182" s="59"/>
      <c r="CZ182" s="59"/>
      <c r="DA182" s="59"/>
      <c r="DB182" s="59"/>
      <c r="DC182" s="59"/>
      <c r="DD182" s="59"/>
    </row>
    <row r="183" spans="1:108" ht="11.2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  <c r="BC183" s="59"/>
      <c r="BD183" s="59"/>
      <c r="BE183" s="59"/>
      <c r="BF183" s="59"/>
      <c r="BG183" s="59"/>
      <c r="BH183" s="59"/>
      <c r="BI183" s="59"/>
      <c r="BJ183" s="59"/>
      <c r="BK183" s="59"/>
      <c r="BL183" s="59"/>
      <c r="BM183" s="59"/>
      <c r="BN183" s="59"/>
      <c r="BO183" s="59"/>
      <c r="BP183" s="59"/>
      <c r="BQ183" s="59"/>
      <c r="BR183" s="59"/>
      <c r="BS183" s="59"/>
      <c r="BT183" s="59"/>
      <c r="BU183" s="59"/>
      <c r="BV183" s="59"/>
      <c r="BW183" s="59"/>
      <c r="BX183" s="59"/>
      <c r="BY183" s="59"/>
      <c r="BZ183" s="59"/>
      <c r="CA183" s="59"/>
      <c r="CB183" s="59"/>
      <c r="CC183" s="59"/>
      <c r="CD183" s="59"/>
      <c r="CE183" s="59"/>
      <c r="CF183" s="59"/>
      <c r="CG183" s="59"/>
      <c r="CH183" s="59"/>
      <c r="CI183" s="59"/>
      <c r="CJ183" s="59"/>
      <c r="CK183" s="59"/>
      <c r="CL183" s="59"/>
      <c r="CM183" s="59"/>
      <c r="CN183" s="59"/>
      <c r="CO183" s="59"/>
      <c r="CP183" s="59"/>
      <c r="CQ183" s="59"/>
      <c r="CR183" s="59"/>
      <c r="CS183" s="59"/>
      <c r="CT183" s="59"/>
      <c r="CU183" s="59"/>
      <c r="CV183" s="59"/>
      <c r="CW183" s="59"/>
      <c r="CX183" s="59"/>
      <c r="CY183" s="59"/>
      <c r="CZ183" s="59"/>
      <c r="DA183" s="59"/>
      <c r="DB183" s="59"/>
      <c r="DC183" s="59"/>
      <c r="DD183" s="59"/>
    </row>
    <row r="184" spans="1:108" ht="11.2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  <c r="AT184" s="59"/>
      <c r="AU184" s="59"/>
      <c r="AV184" s="59"/>
      <c r="AW184" s="59"/>
      <c r="AX184" s="59"/>
      <c r="AY184" s="59"/>
      <c r="AZ184" s="59"/>
      <c r="BA184" s="59"/>
      <c r="BB184" s="59"/>
      <c r="BC184" s="59"/>
      <c r="BD184" s="59"/>
      <c r="BE184" s="59"/>
      <c r="BF184" s="59"/>
      <c r="BG184" s="59"/>
      <c r="BH184" s="59"/>
      <c r="BI184" s="59"/>
      <c r="BJ184" s="59"/>
      <c r="BK184" s="59"/>
      <c r="BL184" s="59"/>
      <c r="BM184" s="59"/>
      <c r="BN184" s="59"/>
      <c r="BO184" s="59"/>
      <c r="BP184" s="59"/>
      <c r="BQ184" s="59"/>
      <c r="BR184" s="59"/>
      <c r="BS184" s="59"/>
      <c r="BT184" s="59"/>
      <c r="BU184" s="59"/>
      <c r="BV184" s="59"/>
      <c r="BW184" s="59"/>
      <c r="BX184" s="59"/>
      <c r="BY184" s="59"/>
      <c r="BZ184" s="59"/>
      <c r="CA184" s="59"/>
      <c r="CB184" s="59"/>
      <c r="CC184" s="59"/>
      <c r="CD184" s="59"/>
      <c r="CE184" s="59"/>
      <c r="CF184" s="59"/>
      <c r="CG184" s="59"/>
      <c r="CH184" s="59"/>
      <c r="CI184" s="59"/>
      <c r="CJ184" s="59"/>
      <c r="CK184" s="59"/>
      <c r="CL184" s="59"/>
      <c r="CM184" s="59"/>
      <c r="CN184" s="59"/>
      <c r="CO184" s="59"/>
      <c r="CP184" s="59"/>
      <c r="CQ184" s="59"/>
      <c r="CR184" s="59"/>
      <c r="CS184" s="59"/>
      <c r="CT184" s="59"/>
      <c r="CU184" s="59"/>
      <c r="CV184" s="59"/>
      <c r="CW184" s="59"/>
      <c r="CX184" s="59"/>
      <c r="CY184" s="59"/>
      <c r="CZ184" s="59"/>
      <c r="DA184" s="59"/>
      <c r="DB184" s="59"/>
      <c r="DC184" s="59"/>
      <c r="DD184" s="59"/>
    </row>
    <row r="185" spans="1:108" ht="11.2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/>
      <c r="BB185" s="59"/>
      <c r="BC185" s="59"/>
      <c r="BD185" s="59"/>
      <c r="BE185" s="59"/>
      <c r="BF185" s="59"/>
      <c r="BG185" s="59"/>
      <c r="BH185" s="59"/>
      <c r="BI185" s="59"/>
      <c r="BJ185" s="59"/>
      <c r="BK185" s="59"/>
      <c r="BL185" s="59"/>
      <c r="BM185" s="59"/>
      <c r="BN185" s="59"/>
      <c r="BO185" s="59"/>
      <c r="BP185" s="59"/>
      <c r="BQ185" s="59"/>
      <c r="BR185" s="59"/>
      <c r="BS185" s="59"/>
      <c r="BT185" s="59"/>
      <c r="BU185" s="59"/>
      <c r="BV185" s="59"/>
      <c r="BW185" s="59"/>
      <c r="BX185" s="59"/>
      <c r="BY185" s="59"/>
      <c r="BZ185" s="59"/>
      <c r="CA185" s="59"/>
      <c r="CB185" s="59"/>
      <c r="CC185" s="59"/>
      <c r="CD185" s="59"/>
      <c r="CE185" s="59"/>
      <c r="CF185" s="59"/>
      <c r="CG185" s="59"/>
      <c r="CH185" s="59"/>
      <c r="CI185" s="59"/>
      <c r="CJ185" s="59"/>
      <c r="CK185" s="59"/>
      <c r="CL185" s="59"/>
      <c r="CM185" s="59"/>
      <c r="CN185" s="59"/>
      <c r="CO185" s="59"/>
      <c r="CP185" s="59"/>
      <c r="CQ185" s="59"/>
      <c r="CR185" s="59"/>
      <c r="CS185" s="59"/>
      <c r="CT185" s="59"/>
      <c r="CU185" s="59"/>
      <c r="CV185" s="59"/>
      <c r="CW185" s="59"/>
      <c r="CX185" s="59"/>
      <c r="CY185" s="59"/>
      <c r="CZ185" s="59"/>
      <c r="DA185" s="59"/>
      <c r="DB185" s="59"/>
      <c r="DC185" s="59"/>
      <c r="DD185" s="59"/>
    </row>
    <row r="186" spans="1:108" ht="11.2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/>
      <c r="BB186" s="59"/>
      <c r="BC186" s="59"/>
      <c r="BD186" s="59"/>
      <c r="BE186" s="59"/>
      <c r="BF186" s="59"/>
      <c r="BG186" s="59"/>
      <c r="BH186" s="59"/>
      <c r="BI186" s="59"/>
      <c r="BJ186" s="59"/>
      <c r="BK186" s="59"/>
      <c r="BL186" s="59"/>
      <c r="BM186" s="59"/>
      <c r="BN186" s="59"/>
      <c r="BO186" s="59"/>
      <c r="BP186" s="59"/>
      <c r="BQ186" s="59"/>
      <c r="BR186" s="59"/>
      <c r="BS186" s="59"/>
      <c r="BT186" s="59"/>
      <c r="BU186" s="59"/>
      <c r="BV186" s="59"/>
      <c r="BW186" s="59"/>
      <c r="BX186" s="59"/>
      <c r="BY186" s="59"/>
      <c r="BZ186" s="59"/>
      <c r="CA186" s="59"/>
      <c r="CB186" s="59"/>
      <c r="CC186" s="59"/>
      <c r="CD186" s="59"/>
      <c r="CE186" s="59"/>
      <c r="CF186" s="59"/>
      <c r="CG186" s="59"/>
      <c r="CH186" s="59"/>
      <c r="CI186" s="59"/>
      <c r="CJ186" s="59"/>
      <c r="CK186" s="59"/>
      <c r="CL186" s="59"/>
      <c r="CM186" s="59"/>
      <c r="CN186" s="59"/>
      <c r="CO186" s="59"/>
      <c r="CP186" s="59"/>
      <c r="CQ186" s="59"/>
      <c r="CR186" s="59"/>
      <c r="CS186" s="59"/>
      <c r="CT186" s="59"/>
      <c r="CU186" s="59"/>
      <c r="CV186" s="59"/>
      <c r="CW186" s="59"/>
      <c r="CX186" s="59"/>
      <c r="CY186" s="59"/>
      <c r="CZ186" s="59"/>
      <c r="DA186" s="59"/>
      <c r="DB186" s="59"/>
      <c r="DC186" s="59"/>
      <c r="DD186" s="59"/>
    </row>
    <row r="187" spans="1:108" ht="11.2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  <c r="AV187" s="59"/>
      <c r="AW187" s="59"/>
      <c r="AX187" s="59"/>
      <c r="AY187" s="59"/>
      <c r="AZ187" s="59"/>
      <c r="BA187" s="59"/>
      <c r="BB187" s="59"/>
      <c r="BC187" s="59"/>
      <c r="BD187" s="59"/>
      <c r="BE187" s="59"/>
      <c r="BF187" s="59"/>
      <c r="BG187" s="59"/>
      <c r="BH187" s="59"/>
      <c r="BI187" s="59"/>
      <c r="BJ187" s="59"/>
      <c r="BK187" s="59"/>
      <c r="BL187" s="59"/>
      <c r="BM187" s="59"/>
      <c r="BN187" s="59"/>
      <c r="BO187" s="59"/>
      <c r="BP187" s="59"/>
      <c r="BQ187" s="59"/>
      <c r="BR187" s="59"/>
      <c r="BS187" s="59"/>
      <c r="BT187" s="59"/>
      <c r="BU187" s="59"/>
      <c r="BV187" s="59"/>
      <c r="BW187" s="59"/>
      <c r="BX187" s="59"/>
      <c r="BY187" s="59"/>
      <c r="BZ187" s="59"/>
      <c r="CA187" s="59"/>
      <c r="CB187" s="59"/>
      <c r="CC187" s="59"/>
      <c r="CD187" s="59"/>
      <c r="CE187" s="59"/>
      <c r="CF187" s="59"/>
      <c r="CG187" s="59"/>
      <c r="CH187" s="59"/>
      <c r="CI187" s="59"/>
      <c r="CJ187" s="59"/>
      <c r="CK187" s="59"/>
      <c r="CL187" s="59"/>
      <c r="CM187" s="59"/>
      <c r="CN187" s="59"/>
      <c r="CO187" s="59"/>
      <c r="CP187" s="59"/>
      <c r="CQ187" s="59"/>
      <c r="CR187" s="59"/>
      <c r="CS187" s="59"/>
      <c r="CT187" s="59"/>
      <c r="CU187" s="59"/>
      <c r="CV187" s="59"/>
      <c r="CW187" s="59"/>
      <c r="CX187" s="59"/>
      <c r="CY187" s="59"/>
      <c r="CZ187" s="59"/>
      <c r="DA187" s="59"/>
      <c r="DB187" s="59"/>
      <c r="DC187" s="59"/>
      <c r="DD187" s="59"/>
    </row>
    <row r="188" spans="1:108" ht="11.2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  <c r="AV188" s="59"/>
      <c r="AW188" s="59"/>
      <c r="AX188" s="59"/>
      <c r="AY188" s="59"/>
      <c r="AZ188" s="59"/>
      <c r="BA188" s="59"/>
      <c r="BB188" s="59"/>
      <c r="BC188" s="59"/>
      <c r="BD188" s="59"/>
      <c r="BE188" s="59"/>
      <c r="BF188" s="59"/>
      <c r="BG188" s="59"/>
      <c r="BH188" s="59"/>
      <c r="BI188" s="59"/>
      <c r="BJ188" s="59"/>
      <c r="BK188" s="59"/>
      <c r="BL188" s="59"/>
      <c r="BM188" s="59"/>
      <c r="BN188" s="59"/>
      <c r="BO188" s="59"/>
      <c r="BP188" s="59"/>
      <c r="BQ188" s="59"/>
      <c r="BR188" s="59"/>
      <c r="BS188" s="59"/>
      <c r="BT188" s="59"/>
      <c r="BU188" s="59"/>
      <c r="BV188" s="59"/>
      <c r="BW188" s="59"/>
      <c r="BX188" s="59"/>
      <c r="BY188" s="59"/>
      <c r="BZ188" s="59"/>
      <c r="CA188" s="59"/>
      <c r="CB188" s="59"/>
      <c r="CC188" s="59"/>
      <c r="CD188" s="59"/>
      <c r="CE188" s="59"/>
      <c r="CF188" s="59"/>
      <c r="CG188" s="59"/>
      <c r="CH188" s="59"/>
      <c r="CI188" s="59"/>
      <c r="CJ188" s="59"/>
      <c r="CK188" s="59"/>
      <c r="CL188" s="59"/>
      <c r="CM188" s="59"/>
      <c r="CN188" s="59"/>
      <c r="CO188" s="59"/>
      <c r="CP188" s="59"/>
      <c r="CQ188" s="59"/>
      <c r="CR188" s="59"/>
      <c r="CS188" s="59"/>
      <c r="CT188" s="59"/>
      <c r="CU188" s="59"/>
      <c r="CV188" s="59"/>
      <c r="CW188" s="59"/>
      <c r="CX188" s="59"/>
      <c r="CY188" s="59"/>
      <c r="CZ188" s="59"/>
      <c r="DA188" s="59"/>
      <c r="DB188" s="59"/>
      <c r="DC188" s="59"/>
      <c r="DD188" s="59"/>
    </row>
    <row r="189" spans="1:108" ht="11.2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  <c r="AV189" s="59"/>
      <c r="AW189" s="59"/>
      <c r="AX189" s="59"/>
      <c r="AY189" s="59"/>
      <c r="AZ189" s="59"/>
      <c r="BA189" s="59"/>
      <c r="BB189" s="59"/>
      <c r="BC189" s="59"/>
      <c r="BD189" s="59"/>
      <c r="BE189" s="59"/>
      <c r="BF189" s="59"/>
      <c r="BG189" s="59"/>
      <c r="BH189" s="59"/>
      <c r="BI189" s="59"/>
      <c r="BJ189" s="59"/>
      <c r="BK189" s="59"/>
      <c r="BL189" s="59"/>
      <c r="BM189" s="59"/>
      <c r="BN189" s="59"/>
      <c r="BO189" s="59"/>
      <c r="BP189" s="59"/>
      <c r="BQ189" s="59"/>
      <c r="BR189" s="59"/>
      <c r="BS189" s="59"/>
      <c r="BT189" s="59"/>
      <c r="BU189" s="59"/>
      <c r="BV189" s="59"/>
      <c r="BW189" s="59"/>
      <c r="BX189" s="59"/>
      <c r="BY189" s="59"/>
      <c r="BZ189" s="59"/>
      <c r="CA189" s="59"/>
      <c r="CB189" s="59"/>
      <c r="CC189" s="59"/>
      <c r="CD189" s="59"/>
      <c r="CE189" s="59"/>
      <c r="CF189" s="59"/>
      <c r="CG189" s="59"/>
      <c r="CH189" s="59"/>
      <c r="CI189" s="59"/>
      <c r="CJ189" s="59"/>
      <c r="CK189" s="59"/>
      <c r="CL189" s="59"/>
      <c r="CM189" s="59"/>
      <c r="CN189" s="59"/>
      <c r="CO189" s="59"/>
      <c r="CP189" s="59"/>
      <c r="CQ189" s="59"/>
      <c r="CR189" s="59"/>
      <c r="CS189" s="59"/>
      <c r="CT189" s="59"/>
      <c r="CU189" s="59"/>
      <c r="CV189" s="59"/>
      <c r="CW189" s="59"/>
      <c r="CX189" s="59"/>
      <c r="CY189" s="59"/>
      <c r="CZ189" s="59"/>
      <c r="DA189" s="59"/>
      <c r="DB189" s="59"/>
      <c r="DC189" s="59"/>
      <c r="DD189" s="59"/>
    </row>
    <row r="190" spans="1:108" ht="11.2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/>
      <c r="BB190" s="59"/>
      <c r="BC190" s="59"/>
      <c r="BD190" s="59"/>
      <c r="BE190" s="59"/>
      <c r="BF190" s="59"/>
      <c r="BG190" s="59"/>
      <c r="BH190" s="59"/>
      <c r="BI190" s="59"/>
      <c r="BJ190" s="59"/>
      <c r="BK190" s="59"/>
      <c r="BL190" s="59"/>
      <c r="BM190" s="59"/>
      <c r="BN190" s="59"/>
      <c r="BO190" s="59"/>
      <c r="BP190" s="59"/>
      <c r="BQ190" s="59"/>
      <c r="BR190" s="59"/>
      <c r="BS190" s="59"/>
      <c r="BT190" s="59"/>
      <c r="BU190" s="59"/>
      <c r="BV190" s="59"/>
      <c r="BW190" s="59"/>
      <c r="BX190" s="59"/>
      <c r="BY190" s="59"/>
      <c r="BZ190" s="59"/>
      <c r="CA190" s="59"/>
      <c r="CB190" s="59"/>
      <c r="CC190" s="59"/>
      <c r="CD190" s="59"/>
      <c r="CE190" s="59"/>
      <c r="CF190" s="59"/>
      <c r="CG190" s="59"/>
      <c r="CH190" s="59"/>
      <c r="CI190" s="59"/>
      <c r="CJ190" s="59"/>
      <c r="CK190" s="59"/>
      <c r="CL190" s="59"/>
      <c r="CM190" s="59"/>
      <c r="CN190" s="59"/>
      <c r="CO190" s="59"/>
      <c r="CP190" s="59"/>
      <c r="CQ190" s="59"/>
      <c r="CR190" s="59"/>
      <c r="CS190" s="59"/>
      <c r="CT190" s="59"/>
      <c r="CU190" s="59"/>
      <c r="CV190" s="59"/>
      <c r="CW190" s="59"/>
      <c r="CX190" s="59"/>
      <c r="CY190" s="59"/>
      <c r="CZ190" s="59"/>
      <c r="DA190" s="59"/>
      <c r="DB190" s="59"/>
      <c r="DC190" s="59"/>
      <c r="DD190" s="59"/>
    </row>
    <row r="191" spans="1:108" ht="11.2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/>
      <c r="BB191" s="59"/>
      <c r="BC191" s="59"/>
      <c r="BD191" s="59"/>
      <c r="BE191" s="59"/>
      <c r="BF191" s="59"/>
      <c r="BG191" s="59"/>
      <c r="BH191" s="59"/>
      <c r="BI191" s="59"/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9"/>
      <c r="CE191" s="59"/>
      <c r="CF191" s="59"/>
      <c r="CG191" s="59"/>
      <c r="CH191" s="59"/>
      <c r="CI191" s="59"/>
      <c r="CJ191" s="59"/>
      <c r="CK191" s="59"/>
      <c r="CL191" s="59"/>
      <c r="CM191" s="59"/>
      <c r="CN191" s="59"/>
      <c r="CO191" s="59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59"/>
      <c r="DA191" s="59"/>
      <c r="DB191" s="59"/>
      <c r="DC191" s="59"/>
      <c r="DD191" s="59"/>
    </row>
    <row r="192" spans="1:108" ht="11.2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  <c r="AV192" s="59"/>
      <c r="AW192" s="59"/>
      <c r="AX192" s="59"/>
      <c r="AY192" s="59"/>
      <c r="AZ192" s="59"/>
      <c r="BA192" s="59"/>
      <c r="BB192" s="59"/>
      <c r="BC192" s="59"/>
      <c r="BD192" s="59"/>
      <c r="BE192" s="59"/>
      <c r="BF192" s="59"/>
      <c r="BG192" s="59"/>
      <c r="BH192" s="59"/>
      <c r="BI192" s="59"/>
      <c r="BJ192" s="59"/>
      <c r="BK192" s="59"/>
      <c r="BL192" s="59"/>
      <c r="BM192" s="59"/>
      <c r="BN192" s="59"/>
      <c r="BO192" s="59"/>
      <c r="BP192" s="59"/>
      <c r="BQ192" s="59"/>
      <c r="BR192" s="59"/>
      <c r="BS192" s="59"/>
      <c r="BT192" s="59"/>
      <c r="BU192" s="59"/>
      <c r="BV192" s="59"/>
      <c r="BW192" s="59"/>
      <c r="BX192" s="59"/>
      <c r="BY192" s="59"/>
      <c r="BZ192" s="59"/>
      <c r="CA192" s="59"/>
      <c r="CB192" s="59"/>
      <c r="CC192" s="59"/>
      <c r="CD192" s="59"/>
      <c r="CE192" s="59"/>
      <c r="CF192" s="59"/>
      <c r="CG192" s="59"/>
      <c r="CH192" s="59"/>
      <c r="CI192" s="59"/>
      <c r="CJ192" s="59"/>
      <c r="CK192" s="59"/>
      <c r="CL192" s="59"/>
      <c r="CM192" s="59"/>
      <c r="CN192" s="59"/>
      <c r="CO192" s="59"/>
      <c r="CP192" s="59"/>
      <c r="CQ192" s="59"/>
      <c r="CR192" s="59"/>
      <c r="CS192" s="59"/>
      <c r="CT192" s="59"/>
      <c r="CU192" s="59"/>
      <c r="CV192" s="59"/>
      <c r="CW192" s="59"/>
      <c r="CX192" s="59"/>
      <c r="CY192" s="59"/>
      <c r="CZ192" s="59"/>
      <c r="DA192" s="59"/>
      <c r="DB192" s="59"/>
      <c r="DC192" s="59"/>
      <c r="DD192" s="59"/>
    </row>
    <row r="193" spans="1:108" ht="11.2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59"/>
      <c r="BG193" s="59"/>
      <c r="BH193" s="59"/>
      <c r="BI193" s="59"/>
      <c r="BJ193" s="59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  <c r="CJ193" s="59"/>
      <c r="CK193" s="59"/>
      <c r="CL193" s="59"/>
      <c r="CM193" s="59"/>
      <c r="CN193" s="59"/>
      <c r="CO193" s="59"/>
      <c r="CP193" s="59"/>
      <c r="CQ193" s="59"/>
      <c r="CR193" s="59"/>
      <c r="CS193" s="59"/>
      <c r="CT193" s="59"/>
      <c r="CU193" s="59"/>
      <c r="CV193" s="59"/>
      <c r="CW193" s="59"/>
      <c r="CX193" s="59"/>
      <c r="CY193" s="59"/>
      <c r="CZ193" s="59"/>
      <c r="DA193" s="59"/>
      <c r="DB193" s="59"/>
      <c r="DC193" s="59"/>
      <c r="DD193" s="59"/>
    </row>
    <row r="194" spans="1:108" ht="11.2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59"/>
      <c r="BG194" s="59"/>
      <c r="BH194" s="59"/>
      <c r="BI194" s="59"/>
      <c r="BJ194" s="59"/>
      <c r="BK194" s="59"/>
      <c r="BL194" s="59"/>
      <c r="BM194" s="59"/>
      <c r="BN194" s="59"/>
      <c r="BO194" s="59"/>
      <c r="BP194" s="59"/>
      <c r="BQ194" s="59"/>
      <c r="BR194" s="59"/>
      <c r="BS194" s="59"/>
      <c r="BT194" s="59"/>
      <c r="BU194" s="59"/>
      <c r="BV194" s="59"/>
      <c r="BW194" s="59"/>
      <c r="BX194" s="59"/>
      <c r="BY194" s="59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  <c r="CJ194" s="59"/>
      <c r="CK194" s="59"/>
      <c r="CL194" s="59"/>
      <c r="CM194" s="59"/>
      <c r="CN194" s="59"/>
      <c r="CO194" s="59"/>
      <c r="CP194" s="59"/>
      <c r="CQ194" s="59"/>
      <c r="CR194" s="59"/>
      <c r="CS194" s="59"/>
      <c r="CT194" s="59"/>
      <c r="CU194" s="59"/>
      <c r="CV194" s="59"/>
      <c r="CW194" s="59"/>
      <c r="CX194" s="59"/>
      <c r="CY194" s="59"/>
      <c r="CZ194" s="59"/>
      <c r="DA194" s="59"/>
      <c r="DB194" s="59"/>
      <c r="DC194" s="59"/>
      <c r="DD194" s="59"/>
    </row>
    <row r="195" spans="1:108" ht="11.2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59"/>
      <c r="BG195" s="59"/>
      <c r="BH195" s="59"/>
      <c r="BI195" s="59"/>
      <c r="BJ195" s="59"/>
      <c r="BK195" s="59"/>
      <c r="BL195" s="59"/>
      <c r="BM195" s="59"/>
      <c r="BN195" s="59"/>
      <c r="BO195" s="59"/>
      <c r="BP195" s="59"/>
      <c r="BQ195" s="59"/>
      <c r="BR195" s="59"/>
      <c r="BS195" s="59"/>
      <c r="BT195" s="59"/>
      <c r="BU195" s="59"/>
      <c r="BV195" s="59"/>
      <c r="BW195" s="59"/>
      <c r="BX195" s="59"/>
      <c r="BY195" s="59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  <c r="CJ195" s="59"/>
      <c r="CK195" s="59"/>
      <c r="CL195" s="59"/>
      <c r="CM195" s="59"/>
      <c r="CN195" s="59"/>
      <c r="CO195" s="59"/>
      <c r="CP195" s="59"/>
      <c r="CQ195" s="59"/>
      <c r="CR195" s="59"/>
      <c r="CS195" s="59"/>
      <c r="CT195" s="59"/>
      <c r="CU195" s="59"/>
      <c r="CV195" s="59"/>
      <c r="CW195" s="59"/>
      <c r="CX195" s="59"/>
      <c r="CY195" s="59"/>
      <c r="CZ195" s="59"/>
      <c r="DA195" s="59"/>
      <c r="DB195" s="59"/>
      <c r="DC195" s="59"/>
      <c r="DD195" s="59"/>
    </row>
    <row r="196" spans="1:108" ht="11.2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  <c r="BE196" s="59"/>
      <c r="BF196" s="59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  <c r="CJ196" s="59"/>
      <c r="CK196" s="59"/>
      <c r="CL196" s="59"/>
      <c r="CM196" s="59"/>
      <c r="CN196" s="59"/>
      <c r="CO196" s="59"/>
      <c r="CP196" s="59"/>
      <c r="CQ196" s="59"/>
      <c r="CR196" s="59"/>
      <c r="CS196" s="59"/>
      <c r="CT196" s="59"/>
      <c r="CU196" s="59"/>
      <c r="CV196" s="59"/>
      <c r="CW196" s="59"/>
      <c r="CX196" s="59"/>
      <c r="CY196" s="59"/>
      <c r="CZ196" s="59"/>
      <c r="DA196" s="59"/>
      <c r="DB196" s="59"/>
      <c r="DC196" s="59"/>
      <c r="DD196" s="59"/>
    </row>
    <row r="197" spans="1:108" ht="11.2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  <c r="AT197" s="59"/>
      <c r="AU197" s="59"/>
      <c r="AV197" s="59"/>
      <c r="AW197" s="59"/>
      <c r="AX197" s="59"/>
      <c r="AY197" s="59"/>
      <c r="AZ197" s="59"/>
      <c r="BA197" s="59"/>
      <c r="BB197" s="59"/>
      <c r="BC197" s="59"/>
      <c r="BD197" s="59"/>
      <c r="BE197" s="59"/>
      <c r="BF197" s="59"/>
      <c r="BG197" s="59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  <c r="CJ197" s="59"/>
      <c r="CK197" s="59"/>
      <c r="CL197" s="59"/>
      <c r="CM197" s="59"/>
      <c r="CN197" s="59"/>
      <c r="CO197" s="59"/>
      <c r="CP197" s="59"/>
      <c r="CQ197" s="59"/>
      <c r="CR197" s="59"/>
      <c r="CS197" s="59"/>
      <c r="CT197" s="59"/>
      <c r="CU197" s="59"/>
      <c r="CV197" s="59"/>
      <c r="CW197" s="59"/>
      <c r="CX197" s="59"/>
      <c r="CY197" s="59"/>
      <c r="CZ197" s="59"/>
      <c r="DA197" s="59"/>
      <c r="DB197" s="59"/>
      <c r="DC197" s="59"/>
      <c r="DD197" s="59"/>
    </row>
    <row r="198" spans="1:108" ht="11.2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/>
      <c r="BB198" s="59"/>
      <c r="BC198" s="59"/>
      <c r="BD198" s="59"/>
      <c r="BE198" s="59"/>
      <c r="BF198" s="59"/>
      <c r="BG198" s="59"/>
      <c r="BH198" s="59"/>
      <c r="BI198" s="59"/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  <c r="CJ198" s="59"/>
      <c r="CK198" s="59"/>
      <c r="CL198" s="59"/>
      <c r="CM198" s="59"/>
      <c r="CN198" s="59"/>
      <c r="CO198" s="59"/>
      <c r="CP198" s="59"/>
      <c r="CQ198" s="59"/>
      <c r="CR198" s="59"/>
      <c r="CS198" s="59"/>
      <c r="CT198" s="59"/>
      <c r="CU198" s="59"/>
      <c r="CV198" s="59"/>
      <c r="CW198" s="59"/>
      <c r="CX198" s="59"/>
      <c r="CY198" s="59"/>
      <c r="CZ198" s="59"/>
      <c r="DA198" s="59"/>
      <c r="DB198" s="59"/>
      <c r="DC198" s="59"/>
      <c r="DD198" s="59"/>
    </row>
    <row r="199" spans="1:108" ht="11.2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  <c r="AR199" s="59"/>
      <c r="AS199" s="59"/>
      <c r="AT199" s="59"/>
      <c r="AU199" s="59"/>
      <c r="AV199" s="59"/>
      <c r="AW199" s="59"/>
      <c r="AX199" s="59"/>
      <c r="AY199" s="59"/>
      <c r="AZ199" s="59"/>
      <c r="BA199" s="59"/>
      <c r="BB199" s="59"/>
      <c r="BC199" s="59"/>
      <c r="BD199" s="59"/>
      <c r="BE199" s="59"/>
      <c r="BF199" s="59"/>
      <c r="BG199" s="59"/>
      <c r="BH199" s="59"/>
      <c r="BI199" s="59"/>
      <c r="BJ199" s="59"/>
      <c r="BK199" s="59"/>
      <c r="BL199" s="59"/>
      <c r="BM199" s="59"/>
      <c r="BN199" s="59"/>
      <c r="BO199" s="59"/>
      <c r="BP199" s="59"/>
      <c r="BQ199" s="59"/>
      <c r="BR199" s="59"/>
      <c r="BS199" s="59"/>
      <c r="BT199" s="59"/>
      <c r="BU199" s="59"/>
      <c r="BV199" s="59"/>
      <c r="BW199" s="59"/>
      <c r="BX199" s="59"/>
      <c r="BY199" s="59"/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  <c r="CJ199" s="59"/>
      <c r="CK199" s="59"/>
      <c r="CL199" s="59"/>
      <c r="CM199" s="59"/>
      <c r="CN199" s="59"/>
      <c r="CO199" s="59"/>
      <c r="CP199" s="59"/>
      <c r="CQ199" s="59"/>
      <c r="CR199" s="59"/>
      <c r="CS199" s="59"/>
      <c r="CT199" s="59"/>
      <c r="CU199" s="59"/>
      <c r="CV199" s="59"/>
      <c r="CW199" s="59"/>
      <c r="CX199" s="59"/>
      <c r="CY199" s="59"/>
      <c r="CZ199" s="59"/>
      <c r="DA199" s="59"/>
      <c r="DB199" s="59"/>
      <c r="DC199" s="59"/>
      <c r="DD199" s="59"/>
    </row>
    <row r="200" spans="1:108" ht="11.2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59"/>
      <c r="AW200" s="59"/>
      <c r="AX200" s="59"/>
      <c r="AY200" s="59"/>
      <c r="AZ200" s="59"/>
      <c r="BA200" s="59"/>
      <c r="BB200" s="59"/>
      <c r="BC200" s="59"/>
      <c r="BD200" s="59"/>
      <c r="BE200" s="59"/>
      <c r="BF200" s="59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59"/>
      <c r="BV200" s="59"/>
      <c r="BW200" s="59"/>
      <c r="BX200" s="59"/>
      <c r="BY200" s="59"/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  <c r="CJ200" s="59"/>
      <c r="CK200" s="59"/>
      <c r="CL200" s="59"/>
      <c r="CM200" s="59"/>
      <c r="CN200" s="59"/>
      <c r="CO200" s="59"/>
      <c r="CP200" s="59"/>
      <c r="CQ200" s="59"/>
      <c r="CR200" s="59"/>
      <c r="CS200" s="59"/>
      <c r="CT200" s="59"/>
      <c r="CU200" s="59"/>
      <c r="CV200" s="59"/>
      <c r="CW200" s="59"/>
      <c r="CX200" s="59"/>
      <c r="CY200" s="59"/>
      <c r="CZ200" s="59"/>
      <c r="DA200" s="59"/>
      <c r="DB200" s="59"/>
      <c r="DC200" s="59"/>
      <c r="DD200" s="59"/>
    </row>
  </sheetData>
  <mergeCells count="244">
    <mergeCell ref="AZ152:CD152"/>
    <mergeCell ref="CE152:DD152"/>
    <mergeCell ref="A153:AY153"/>
    <mergeCell ref="AZ153:CD153"/>
    <mergeCell ref="CE153:DD153"/>
    <mergeCell ref="A150:AY150"/>
    <mergeCell ref="AZ150:CD150"/>
    <mergeCell ref="CE150:DD150"/>
    <mergeCell ref="A151:AY151"/>
    <mergeCell ref="AZ151:CD151"/>
    <mergeCell ref="CE151:DD151"/>
    <mergeCell ref="A152:AY152"/>
    <mergeCell ref="A139:A145"/>
    <mergeCell ref="BD139:DC139"/>
    <mergeCell ref="A147:DD147"/>
    <mergeCell ref="A148:AY148"/>
    <mergeCell ref="AZ148:CD148"/>
    <mergeCell ref="CE148:DD148"/>
    <mergeCell ref="A149:AY149"/>
    <mergeCell ref="AZ149:CD149"/>
    <mergeCell ref="CE149:DD149"/>
    <mergeCell ref="BD140:DC140"/>
    <mergeCell ref="BD141:DC141"/>
    <mergeCell ref="C142:U142"/>
    <mergeCell ref="V142:AG142"/>
    <mergeCell ref="AH142:BA142"/>
    <mergeCell ref="BD142:BW142"/>
    <mergeCell ref="BX142:CI142"/>
    <mergeCell ref="CJ142:DC142"/>
    <mergeCell ref="C143:BA143"/>
    <mergeCell ref="BD143:DC143"/>
    <mergeCell ref="C144:AB144"/>
    <mergeCell ref="AC144:AG144"/>
    <mergeCell ref="AH144:BA144"/>
    <mergeCell ref="BD144:CD144"/>
    <mergeCell ref="B127:BA127"/>
    <mergeCell ref="BD127:DC127"/>
    <mergeCell ref="B128:BA129"/>
    <mergeCell ref="BD129:CU129"/>
    <mergeCell ref="CV129:DC129"/>
    <mergeCell ref="C139:BA139"/>
    <mergeCell ref="C140:BA141"/>
    <mergeCell ref="CE144:CI144"/>
    <mergeCell ref="CJ144:DC144"/>
    <mergeCell ref="BX131:CI131"/>
    <mergeCell ref="BJ134:BU134"/>
    <mergeCell ref="CD136:CO136"/>
    <mergeCell ref="BD137:BZ137"/>
    <mergeCell ref="CA137:CL137"/>
    <mergeCell ref="A113:DD113"/>
    <mergeCell ref="B114:DC114"/>
    <mergeCell ref="B115:DC115"/>
    <mergeCell ref="B116:DC116"/>
    <mergeCell ref="B117:DC117"/>
    <mergeCell ref="A118:DD118"/>
    <mergeCell ref="BD119:DC119"/>
    <mergeCell ref="BD125:DC125"/>
    <mergeCell ref="A126:DD126"/>
    <mergeCell ref="B119:BA119"/>
    <mergeCell ref="B120:BA120"/>
    <mergeCell ref="B121:BA121"/>
    <mergeCell ref="B122:BA122"/>
    <mergeCell ref="B124:U124"/>
    <mergeCell ref="V124:AF124"/>
    <mergeCell ref="AH124:BA124"/>
    <mergeCell ref="B125:BA125"/>
    <mergeCell ref="BD120:DC120"/>
    <mergeCell ref="BD121:DC121"/>
    <mergeCell ref="BD122:DC122"/>
    <mergeCell ref="A123:DD123"/>
    <mergeCell ref="BD124:BW124"/>
    <mergeCell ref="BX124:CH124"/>
    <mergeCell ref="CJ124:DC124"/>
    <mergeCell ref="BD111:DC111"/>
    <mergeCell ref="BD112:DC112"/>
    <mergeCell ref="A108:DD108"/>
    <mergeCell ref="B109:BA109"/>
    <mergeCell ref="BD109:DC109"/>
    <mergeCell ref="B110:BA110"/>
    <mergeCell ref="BD110:DC110"/>
    <mergeCell ref="B111:BA111"/>
    <mergeCell ref="B112:BA112"/>
    <mergeCell ref="A93:DD93"/>
    <mergeCell ref="A94:DD94"/>
    <mergeCell ref="A95:DD95"/>
    <mergeCell ref="A96:DD96"/>
    <mergeCell ref="B97:DC97"/>
    <mergeCell ref="B98:DC98"/>
    <mergeCell ref="B99:DC99"/>
    <mergeCell ref="BD105:DC105"/>
    <mergeCell ref="BJ106:BL106"/>
    <mergeCell ref="B100:DC100"/>
    <mergeCell ref="B101:DC101"/>
    <mergeCell ref="B102:DC102"/>
    <mergeCell ref="A103:DD103"/>
    <mergeCell ref="B104:BA104"/>
    <mergeCell ref="BD104:DC104"/>
    <mergeCell ref="B105:BA105"/>
    <mergeCell ref="B86:DC86"/>
    <mergeCell ref="CF90:DC90"/>
    <mergeCell ref="CF91:DC91"/>
    <mergeCell ref="B87:DC87"/>
    <mergeCell ref="B88:DC88"/>
    <mergeCell ref="A89:DD89"/>
    <mergeCell ref="B90:Y90"/>
    <mergeCell ref="AD90:CA90"/>
    <mergeCell ref="B91:Y91"/>
    <mergeCell ref="AD91:CA91"/>
    <mergeCell ref="BD76:DC76"/>
    <mergeCell ref="A78:DD78"/>
    <mergeCell ref="B79:DC79"/>
    <mergeCell ref="B80:DC80"/>
    <mergeCell ref="B81:DC81"/>
    <mergeCell ref="B82:DC82"/>
    <mergeCell ref="B83:DC83"/>
    <mergeCell ref="B84:DC84"/>
    <mergeCell ref="B85:DC85"/>
    <mergeCell ref="B76:BA76"/>
    <mergeCell ref="BD73:BO73"/>
    <mergeCell ref="BD75:BW75"/>
    <mergeCell ref="BD65:DC65"/>
    <mergeCell ref="BD66:DC66"/>
    <mergeCell ref="BD67:CA67"/>
    <mergeCell ref="CF67:DC67"/>
    <mergeCell ref="BD68:CA68"/>
    <mergeCell ref="CF68:DC68"/>
    <mergeCell ref="BD70:DC70"/>
    <mergeCell ref="BP73:DC73"/>
    <mergeCell ref="BD74:DC74"/>
    <mergeCell ref="BX75:CI75"/>
    <mergeCell ref="CJ75:DC75"/>
    <mergeCell ref="BD59:DC59"/>
    <mergeCell ref="BD60:DC60"/>
    <mergeCell ref="BD61:DC61"/>
    <mergeCell ref="BD62:DC62"/>
    <mergeCell ref="BD63:CA63"/>
    <mergeCell ref="BD64:CA64"/>
    <mergeCell ref="BX69:CI69"/>
    <mergeCell ref="CJ69:DC69"/>
    <mergeCell ref="BD69:BW69"/>
    <mergeCell ref="B72:BA72"/>
    <mergeCell ref="B30:DC30"/>
    <mergeCell ref="B31:DC31"/>
    <mergeCell ref="B32:DC32"/>
    <mergeCell ref="B33:DC33"/>
    <mergeCell ref="B34:DC34"/>
    <mergeCell ref="B35:DC35"/>
    <mergeCell ref="B36:DC36"/>
    <mergeCell ref="B37:DC37"/>
    <mergeCell ref="B38:DC38"/>
    <mergeCell ref="B39:DC39"/>
    <mergeCell ref="A40:DD40"/>
    <mergeCell ref="B41:DC41"/>
    <mergeCell ref="B42:DC42"/>
    <mergeCell ref="B43:DC43"/>
    <mergeCell ref="B44:DC44"/>
    <mergeCell ref="B45:DC45"/>
    <mergeCell ref="B68:Y68"/>
    <mergeCell ref="B58:BA58"/>
    <mergeCell ref="B63:Y63"/>
    <mergeCell ref="B64:Y64"/>
    <mergeCell ref="CF63:DC63"/>
    <mergeCell ref="CF64:DC64"/>
    <mergeCell ref="BC56:DC58"/>
    <mergeCell ref="AD68:BA68"/>
    <mergeCell ref="B71:U71"/>
    <mergeCell ref="B73:M73"/>
    <mergeCell ref="B75:U75"/>
    <mergeCell ref="N73:BA73"/>
    <mergeCell ref="B74:BA74"/>
    <mergeCell ref="V75:AG75"/>
    <mergeCell ref="AH75:BA75"/>
    <mergeCell ref="B59:BA59"/>
    <mergeCell ref="B60:BA60"/>
    <mergeCell ref="B61:BA61"/>
    <mergeCell ref="B62:BA62"/>
    <mergeCell ref="AD63:BA63"/>
    <mergeCell ref="AD64:BA64"/>
    <mergeCell ref="B65:BA65"/>
    <mergeCell ref="B66:BA66"/>
    <mergeCell ref="B67:Y67"/>
    <mergeCell ref="AD67:BA67"/>
    <mergeCell ref="B69:U69"/>
    <mergeCell ref="V69:AG69"/>
    <mergeCell ref="AH69:BA69"/>
    <mergeCell ref="B70:BA70"/>
    <mergeCell ref="V71:AG71"/>
    <mergeCell ref="AH71:BA71"/>
    <mergeCell ref="B24:AZ24"/>
    <mergeCell ref="BE24:DC24"/>
    <mergeCell ref="A25:DD25"/>
    <mergeCell ref="A26:DD26"/>
    <mergeCell ref="B27:DC27"/>
    <mergeCell ref="B28:DC28"/>
    <mergeCell ref="B29:DC29"/>
    <mergeCell ref="B56:BA56"/>
    <mergeCell ref="B57:BA57"/>
    <mergeCell ref="B46:DC46"/>
    <mergeCell ref="B47:DC47"/>
    <mergeCell ref="A48:DD48"/>
    <mergeCell ref="B49:DC49"/>
    <mergeCell ref="B50:DC50"/>
    <mergeCell ref="B51:DC51"/>
    <mergeCell ref="B52:DC52"/>
    <mergeCell ref="B53:DC53"/>
    <mergeCell ref="B54:DC54"/>
    <mergeCell ref="A55:BB55"/>
    <mergeCell ref="BC55:DD55"/>
    <mergeCell ref="BD17:DC17"/>
    <mergeCell ref="BD18:DC18"/>
    <mergeCell ref="BC20:DD20"/>
    <mergeCell ref="A22:DD22"/>
    <mergeCell ref="B23:AZ23"/>
    <mergeCell ref="BE23:BW23"/>
    <mergeCell ref="BX23:CI23"/>
    <mergeCell ref="CJ23:DC23"/>
    <mergeCell ref="B17:BA17"/>
    <mergeCell ref="B18:BA18"/>
    <mergeCell ref="A20:O20"/>
    <mergeCell ref="P20:R20"/>
    <mergeCell ref="T20:BB20"/>
    <mergeCell ref="A12:N12"/>
    <mergeCell ref="O12:BB12"/>
    <mergeCell ref="A14:BB14"/>
    <mergeCell ref="B15:BA15"/>
    <mergeCell ref="B16:BA16"/>
    <mergeCell ref="AK10:BB10"/>
    <mergeCell ref="BC10:BH10"/>
    <mergeCell ref="BC12:DD12"/>
    <mergeCell ref="BC14:DD14"/>
    <mergeCell ref="BD15:DC15"/>
    <mergeCell ref="BD16:DC16"/>
    <mergeCell ref="A1:DD1"/>
    <mergeCell ref="A2:DD2"/>
    <mergeCell ref="A3:DD3"/>
    <mergeCell ref="A7:DD7"/>
    <mergeCell ref="A9:BB9"/>
    <mergeCell ref="BC9:DD9"/>
    <mergeCell ref="A10:F10"/>
    <mergeCell ref="CM10:DD10"/>
    <mergeCell ref="BI10:CH10"/>
    <mergeCell ref="CI10:CL10"/>
    <mergeCell ref="G10:AF10"/>
    <mergeCell ref="AG10:AJ10"/>
  </mergeCells>
  <dataValidations count="1">
    <dataValidation type="list" allowBlank="1" showErrorMessage="1" sqref="A11:F11" xr:uid="{00000000-0002-0000-0E00-000000000000}">
      <formula1>"[object Map Iterator]"</formula1>
    </dataValidation>
  </dataValidations>
  <pageMargins left="0.25" right="0.25" top="0.75" bottom="0.75" header="0" footer="0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ТН</vt:lpstr>
      <vt:lpstr>Талоны</vt:lpstr>
      <vt:lpstr>Виды услуг</vt:lpstr>
      <vt:lpstr>Отчет по полигону</vt:lpstr>
      <vt:lpstr>Номера авто</vt:lpstr>
      <vt:lpstr>Лист17</vt:lpstr>
      <vt:lpstr>source</vt:lpstr>
      <vt:lpstr>ТН 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cp:lastPrinted>2022-11-17T10:06:41Z</cp:lastPrinted>
  <dcterms:created xsi:type="dcterms:W3CDTF">2022-10-13T05:49:08Z</dcterms:created>
  <dcterms:modified xsi:type="dcterms:W3CDTF">2022-11-17T10:06:57Z</dcterms:modified>
</cp:coreProperties>
</file>